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VEDA\Veda_models\Gallivare_Model_Final_220902\SubRES_TMPL\"/>
    </mc:Choice>
  </mc:AlternateContent>
  <xr:revisionPtr revIDLastSave="0" documentId="13_ncr:1_{A6EF8616-7071-406E-85B2-EFAE04C00D8E}" xr6:coauthVersionLast="47" xr6:coauthVersionMax="47" xr10:uidLastSave="{00000000-0000-0000-0000-000000000000}"/>
  <bookViews>
    <workbookView xWindow="28680" yWindow="-120" windowWidth="29040" windowHeight="17640" activeTab="3" xr2:uid="{00000000-000D-0000-FFFF-FFFF00000000}"/>
  </bookViews>
  <sheets>
    <sheet name="RSD_HeatingDemand" sheetId="23" r:id="rId1"/>
    <sheet name="RSD_Otherdemands_HS_AP" sheetId="17" r:id="rId2"/>
    <sheet name="RSD_INSULATION_HS_AP" sheetId="18" r:id="rId3"/>
    <sheet name="RSD_Process" sheetId="19" r:id="rId4"/>
    <sheet name="KEY_RSD_AF" sheetId="22" r:id="rId5"/>
    <sheet name="RSD (DEA)" sheetId="14" r:id="rId6"/>
    <sheet name="Source_Info" sheetId="10" r:id="rId7"/>
    <sheet name="Source_Comments to datasets" sheetId="3" r:id="rId8"/>
    <sheet name="KEY_Processes" sheetId="4" r:id="rId9"/>
    <sheet name="KEY_Technology" sheetId="11" r:id="rId10"/>
    <sheet name="KEY_Sectors" sheetId="7" r:id="rId11"/>
    <sheet name="KEY_FUELS" sheetId="5" r:id="rId12"/>
    <sheet name="KEY_TRL" sheetId="6" r:id="rId13"/>
    <sheet name="KEY_Other" sheetId="8" r:id="rId14"/>
    <sheet name="X_RSD_HeatingDemand" sheetId="15" r:id="rId15"/>
  </sheets>
  <externalReferences>
    <externalReference r:id="rId16"/>
    <externalReference r:id="rId17"/>
    <externalReference r:id="rId18"/>
    <externalReference r:id="rId19"/>
    <externalReference r:id="rId20"/>
  </externalReferences>
  <definedNames>
    <definedName name="_.DMD." localSheetId="5">#REF!</definedName>
    <definedName name="_.DMD.">#REF!</definedName>
    <definedName name="_AP" localSheetId="5">#REF!</definedName>
    <definedName name="_AP">#REF!</definedName>
    <definedName name="_APT" localSheetId="5">'[1]TechRep-Doc'!#REF!</definedName>
    <definedName name="_APT">'[1]TechRep-Doc'!#REF!</definedName>
    <definedName name="_xlnm._FilterDatabase" localSheetId="13" hidden="1">KEY_Other!$B$37:$B$91</definedName>
    <definedName name="_xlnm._FilterDatabase" localSheetId="5" hidden="1">'RSD (DEA)'!$A$1:$BX$529</definedName>
    <definedName name="_xlnm._FilterDatabase" localSheetId="0" hidden="1">RSD_HeatingDemand!$H$665:$H$829</definedName>
    <definedName name="_xlnm._FilterDatabase" localSheetId="3" hidden="1">RSD_Process!$A$4:$G$314</definedName>
    <definedName name="_xlnm._FilterDatabase" localSheetId="14" hidden="1">X_RSD_HeatingDemand!$D$4:$W$871</definedName>
    <definedName name="Cars_11" localSheetId="5">'[2]TechRep-Doc'!#REF!</definedName>
    <definedName name="Cars_11">'[2]TechRep-Doc'!#REF!</definedName>
    <definedName name="Cars_12" localSheetId="5">'[1]TechRep-Doc'!#REF!</definedName>
    <definedName name="Cars_12">'[1]TechRep-Doc'!#REF!</definedName>
    <definedName name="Cars_13" localSheetId="5">'[1]TechRep-Doc'!#REF!</definedName>
    <definedName name="Cars_13">'[1]TechRep-Doc'!#REF!</definedName>
    <definedName name="Cars_14" localSheetId="5">'[1]TechRep-Doc'!#REF!</definedName>
    <definedName name="Cars_14">'[1]TechRep-Doc'!#REF!</definedName>
    <definedName name="ddddd">[3]AGR_Fuels!$A$2</definedName>
    <definedName name="DISCRATE" localSheetId="5">'[1]TechRep-Doc'!#REF!</definedName>
    <definedName name="DISCRATE">'[1]TechRep-Doc'!#REF!</definedName>
    <definedName name="DISCRATE_" localSheetId="5">'[2]TechRep-Doc'!#REF!</definedName>
    <definedName name="DISCRATE_">'[2]TechRep-Doc'!#REF!</definedName>
    <definedName name="DISCRATEs" localSheetId="5">'[1]TechRep-Doc'!#REF!</definedName>
    <definedName name="DISCRATEs">'[1]TechRep-Doc'!#REF!</definedName>
    <definedName name="FID_1" localSheetId="8">[4]AGR_Fuels!$A$2</definedName>
    <definedName name="FID_1">[5]AGR_Fuels!$A$2</definedName>
    <definedName name="GROWTH" localSheetId="5">'[1]TechRep-Doc'!#REF!</definedName>
    <definedName name="GROWTH">'[1]TechRep-Doc'!#REF!</definedName>
    <definedName name="GROWTH_TID" localSheetId="5">'[1]TechRep-Doc'!#REF!</definedName>
    <definedName name="GROWTH_TID">'[1]TechRep-Doc'!#REF!</definedName>
    <definedName name="HTML1_1" hidden="1">"'[internet 98q4.xls]xcontact'!$A$1:$F$114"</definedName>
    <definedName name="HTML1_10" hidden="1">""</definedName>
    <definedName name="HTML1_11" hidden="1">1</definedName>
    <definedName name="HTML1_12" hidden="1">"D:\data\xl\MyHTML.htm"</definedName>
    <definedName name="HTML1_13" hidden="1">#N/A</definedName>
    <definedName name="HTML1_14" hidden="1">#N/A</definedName>
    <definedName name="HTML1_15" hidden="1">#N/A</definedName>
    <definedName name="HTML1_2" hidden="1">1</definedName>
    <definedName name="HTML1_3" hidden="1">"internet 98q4.xls"</definedName>
    <definedName name="HTML1_4" hidden="1">"xcontact"</definedName>
    <definedName name="HTML1_5" hidden="1">""</definedName>
    <definedName name="HTML1_6" hidden="1">-4146</definedName>
    <definedName name="HTML1_7" hidden="1">-4146</definedName>
    <definedName name="HTML1_8" hidden="1">"15/10/1998"</definedName>
    <definedName name="HTML1_9" hidden="1">"GEORGIADES"</definedName>
    <definedName name="HTML2_1" hidden="1">"'[internet 98q4.xls]xcontact'!$A$2:$F$114"</definedName>
    <definedName name="HTML2_10" hidden="1">""</definedName>
    <definedName name="HTML2_11" hidden="1">1</definedName>
    <definedName name="HTML2_12" hidden="1">"D:\data\xl\MyHTML.htm"</definedName>
    <definedName name="HTML2_13" hidden="1">#N/A</definedName>
    <definedName name="HTML2_14" hidden="1">#N/A</definedName>
    <definedName name="HTML2_15" hidden="1">#N/A</definedName>
    <definedName name="HTML2_2" hidden="1">1</definedName>
    <definedName name="HTML2_3" hidden="1">"internet 98q4.xls"</definedName>
    <definedName name="HTML2_4" hidden="1">"xcontact"</definedName>
    <definedName name="HTML2_5" hidden="1">""</definedName>
    <definedName name="HTML2_6" hidden="1">-4146</definedName>
    <definedName name="HTML2_7" hidden="1">-4146</definedName>
    <definedName name="HTML2_8" hidden="1">"15/10/1998"</definedName>
    <definedName name="HTML2_9" hidden="1">"GEORGIADES"</definedName>
    <definedName name="HTML3_1" hidden="1">"'[internet 98q4.xls]xlist3'!$A$3:$E$175"</definedName>
    <definedName name="HTML3_10" hidden="1">""</definedName>
    <definedName name="HTML3_11" hidden="1">-4146</definedName>
    <definedName name="HTML3_12" hidden="1">"D:\data\aaa html\national2.htm"</definedName>
    <definedName name="HTML3_13" hidden="1">#N/A</definedName>
    <definedName name="HTML3_14" hidden="1">#N/A</definedName>
    <definedName name="HTML3_15" hidden="1">#N/A</definedName>
    <definedName name="HTML3_2" hidden="1">1</definedName>
    <definedName name="HTML3_3" hidden="1">"internet 98q4.xls"</definedName>
    <definedName name="HTML3_4" hidden="1">"xlist3"</definedName>
    <definedName name="HTML3_5" hidden="1">""</definedName>
    <definedName name="HTML3_6" hidden="1">-4146</definedName>
    <definedName name="HTML3_7" hidden="1">-4146</definedName>
    <definedName name="HTML3_8" hidden="1">"15/10/1998"</definedName>
    <definedName name="HTML3_9" hidden="1">"GEORGIADES"</definedName>
    <definedName name="HTML4_1" hidden="1">"'[internet 98q4.xls]x1.2'!$B$5:$C$25"</definedName>
    <definedName name="HTML4_10" hidden="1">""</definedName>
    <definedName name="HTML4_11" hidden="1">1</definedName>
    <definedName name="HTML4_12" hidden="1">"D:\data\aaa html\test1.htm"</definedName>
    <definedName name="HTML4_13" hidden="1">#N/A</definedName>
    <definedName name="HTML4_14" hidden="1">#N/A</definedName>
    <definedName name="HTML4_15" hidden="1">#N/A</definedName>
    <definedName name="HTML4_2" hidden="1">1</definedName>
    <definedName name="HTML4_3" hidden="1">""</definedName>
    <definedName name="HTML4_4" hidden="1">""</definedName>
    <definedName name="HTML4_5" hidden="1">""</definedName>
    <definedName name="HTML4_6" hidden="1">-4146</definedName>
    <definedName name="HTML4_7" hidden="1">-4146</definedName>
    <definedName name="HTML4_8" hidden="1">""</definedName>
    <definedName name="HTML4_9" hidden="1">""</definedName>
    <definedName name="HTMLCount" hidden="1">4</definedName>
    <definedName name="INVCOST" localSheetId="5">'[1]TechRep-Doc'!#REF!</definedName>
    <definedName name="INVCOST">'[1]TechRep-Doc'!#REF!</definedName>
    <definedName name="INVCOST2" localSheetId="5">'[1]TechRep-Doc'!#REF!</definedName>
    <definedName name="INVCOST2">'[1]TechRep-Doc'!#REF!</definedName>
    <definedName name="LIFE" localSheetId="5">'[1]TechRep-Doc'!#REF!</definedName>
    <definedName name="LIFE">'[1]TechRep-Doc'!#REF!</definedName>
    <definedName name="NAs_CCAR" localSheetId="5">'[1]TechRep-Doc'!#REF!</definedName>
    <definedName name="NAs_CCAR">'[1]TechRep-Doc'!#REF!</definedName>
    <definedName name="pollo" localSheetId="5">'[2]TechRep-Doc'!#REF!</definedName>
    <definedName name="pollo">'[2]TechRep-Doc'!#REF!</definedName>
    <definedName name="Polo" localSheetId="5">'[2]TechRep-Doc'!#REF!</definedName>
    <definedName name="Polo">'[2]TechRep-Doc'!#REF!</definedName>
    <definedName name="RSD_APC" localSheetId="5">'[2]TechRep-Doc'!#REF!</definedName>
    <definedName name="RSD_APC">'[2]TechRep-Doc'!#REF!</definedName>
    <definedName name="SETS" localSheetId="5">'[1]TechRep-Doc'!#REF!</definedName>
    <definedName name="SETS">'[1]TechRep-Doc'!#REF!</definedName>
    <definedName name="TRTGAB005" localSheetId="5">'[1]TechRep-Doc'!#REF!</definedName>
    <definedName name="TRTGAB005">'[1]TechRep-Doc'!#REF!</definedName>
    <definedName name="TRTGAC005" localSheetId="5">'[1]TechRep-Doc'!#REF!</definedName>
    <definedName name="TRTGAC005">'[1]TechRep-Doc'!#REF!</definedName>
    <definedName name="Trucks_15" localSheetId="5">'[1]TechRep-Doc'!#REF!</definedName>
    <definedName name="Trucks_15">'[1]TechRep-Doc'!#REF!</definedName>
    <definedName name="TSUB_COST" localSheetId="5">'[1]TechRep-Doc'!#REF!</definedName>
    <definedName name="TSUB_COST">'[1]TechRep-Doc'!#REF!</definedName>
    <definedName name="x">[1]AGR_Fuels!$A$2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02" i="19" l="1"/>
  <c r="C202" i="19"/>
  <c r="D202" i="19"/>
  <c r="E202" i="19"/>
  <c r="B203" i="19"/>
  <c r="C203" i="19"/>
  <c r="D203" i="19"/>
  <c r="E203" i="19"/>
  <c r="B204" i="19"/>
  <c r="C204" i="19"/>
  <c r="D204" i="19"/>
  <c r="E204" i="19"/>
  <c r="B205" i="19"/>
  <c r="C205" i="19"/>
  <c r="D205" i="19"/>
  <c r="E205" i="19"/>
  <c r="B206" i="19"/>
  <c r="C206" i="19"/>
  <c r="D206" i="19"/>
  <c r="E206" i="19"/>
  <c r="B207" i="19"/>
  <c r="C207" i="19"/>
  <c r="D207" i="19"/>
  <c r="E207" i="19"/>
  <c r="B208" i="19"/>
  <c r="C208" i="19"/>
  <c r="D208" i="19"/>
  <c r="E208" i="19"/>
  <c r="B209" i="19"/>
  <c r="C209" i="19"/>
  <c r="D209" i="19"/>
  <c r="E209" i="19"/>
  <c r="B210" i="19"/>
  <c r="C210" i="19"/>
  <c r="D210" i="19"/>
  <c r="E210" i="19"/>
  <c r="B211" i="19"/>
  <c r="C211" i="19"/>
  <c r="D211" i="19"/>
  <c r="E211" i="19"/>
  <c r="B212" i="19"/>
  <c r="C212" i="19"/>
  <c r="D212" i="19"/>
  <c r="E212" i="19"/>
  <c r="B213" i="19"/>
  <c r="C213" i="19"/>
  <c r="D213" i="19"/>
  <c r="E213" i="19"/>
  <c r="B214" i="19"/>
  <c r="C214" i="19"/>
  <c r="D214" i="19"/>
  <c r="E214" i="19"/>
  <c r="B215" i="19"/>
  <c r="C215" i="19"/>
  <c r="D215" i="19"/>
  <c r="E215" i="19"/>
  <c r="B216" i="19"/>
  <c r="C216" i="19"/>
  <c r="D216" i="19"/>
  <c r="E216" i="19"/>
  <c r="B217" i="19"/>
  <c r="C217" i="19"/>
  <c r="D217" i="19"/>
  <c r="E217" i="19"/>
  <c r="B218" i="19"/>
  <c r="C218" i="19"/>
  <c r="D218" i="19"/>
  <c r="E218" i="19"/>
  <c r="B219" i="19"/>
  <c r="C219" i="19"/>
  <c r="D219" i="19"/>
  <c r="E219" i="19"/>
  <c r="B220" i="19"/>
  <c r="C220" i="19"/>
  <c r="D220" i="19"/>
  <c r="E220" i="19"/>
  <c r="B221" i="19"/>
  <c r="C221" i="19"/>
  <c r="D221" i="19"/>
  <c r="E221" i="19"/>
  <c r="B222" i="19"/>
  <c r="C222" i="19"/>
  <c r="D222" i="19"/>
  <c r="E222" i="19"/>
  <c r="B223" i="19"/>
  <c r="C223" i="19"/>
  <c r="D223" i="19"/>
  <c r="E223" i="19"/>
  <c r="B224" i="19"/>
  <c r="C224" i="19"/>
  <c r="D224" i="19"/>
  <c r="E224" i="19"/>
  <c r="B225" i="19"/>
  <c r="C225" i="19"/>
  <c r="D225" i="19"/>
  <c r="E225" i="19"/>
  <c r="B226" i="19"/>
  <c r="C226" i="19"/>
  <c r="D226" i="19"/>
  <c r="E226" i="19"/>
  <c r="B227" i="19"/>
  <c r="C227" i="19"/>
  <c r="D227" i="19"/>
  <c r="E227" i="19"/>
  <c r="B228" i="19"/>
  <c r="C228" i="19"/>
  <c r="D228" i="19"/>
  <c r="E228" i="19"/>
  <c r="B229" i="19"/>
  <c r="C229" i="19"/>
  <c r="D229" i="19"/>
  <c r="E229" i="19"/>
  <c r="B230" i="19"/>
  <c r="C230" i="19"/>
  <c r="D230" i="19"/>
  <c r="E230" i="19"/>
  <c r="B231" i="19"/>
  <c r="C231" i="19"/>
  <c r="D231" i="19"/>
  <c r="E231" i="19"/>
  <c r="B232" i="19"/>
  <c r="C232" i="19"/>
  <c r="D232" i="19"/>
  <c r="E232" i="19"/>
  <c r="B233" i="19"/>
  <c r="C233" i="19"/>
  <c r="D233" i="19"/>
  <c r="E233" i="19"/>
  <c r="B234" i="19"/>
  <c r="C234" i="19"/>
  <c r="D234" i="19"/>
  <c r="E234" i="19"/>
  <c r="B235" i="19"/>
  <c r="C235" i="19"/>
  <c r="D235" i="19"/>
  <c r="E235" i="19"/>
  <c r="B236" i="19"/>
  <c r="C236" i="19"/>
  <c r="D236" i="19"/>
  <c r="E236" i="19"/>
  <c r="B237" i="19"/>
  <c r="C237" i="19"/>
  <c r="D237" i="19"/>
  <c r="E237" i="19"/>
  <c r="B238" i="19"/>
  <c r="C238" i="19"/>
  <c r="D238" i="19"/>
  <c r="E238" i="19"/>
  <c r="B239" i="19"/>
  <c r="C239" i="19"/>
  <c r="D239" i="19"/>
  <c r="E239" i="19"/>
  <c r="B240" i="19"/>
  <c r="C240" i="19"/>
  <c r="D240" i="19"/>
  <c r="E240" i="19"/>
  <c r="B241" i="19"/>
  <c r="C241" i="19"/>
  <c r="D241" i="19"/>
  <c r="E241" i="19"/>
  <c r="B242" i="19"/>
  <c r="C242" i="19"/>
  <c r="D242" i="19"/>
  <c r="E242" i="19"/>
  <c r="B243" i="19"/>
  <c r="C243" i="19"/>
  <c r="D243" i="19"/>
  <c r="E243" i="19"/>
  <c r="B244" i="19"/>
  <c r="C244" i="19"/>
  <c r="D244" i="19"/>
  <c r="E244" i="19"/>
  <c r="B245" i="19"/>
  <c r="C245" i="19"/>
  <c r="D245" i="19"/>
  <c r="E245" i="19"/>
  <c r="B246" i="19"/>
  <c r="C246" i="19"/>
  <c r="D246" i="19"/>
  <c r="E246" i="19"/>
  <c r="B247" i="19"/>
  <c r="C247" i="19"/>
  <c r="D247" i="19"/>
  <c r="E247" i="19"/>
  <c r="B248" i="19"/>
  <c r="C248" i="19"/>
  <c r="D248" i="19"/>
  <c r="E248" i="19"/>
  <c r="B249" i="19"/>
  <c r="C249" i="19"/>
  <c r="D249" i="19"/>
  <c r="E249" i="19"/>
  <c r="B250" i="19"/>
  <c r="C250" i="19"/>
  <c r="D250" i="19"/>
  <c r="E250" i="19"/>
  <c r="B251" i="19"/>
  <c r="C251" i="19"/>
  <c r="D251" i="19"/>
  <c r="E251" i="19"/>
  <c r="B252" i="19"/>
  <c r="C252" i="19"/>
  <c r="D252" i="19"/>
  <c r="E252" i="19"/>
  <c r="B253" i="19"/>
  <c r="C253" i="19"/>
  <c r="D253" i="19"/>
  <c r="E253" i="19"/>
  <c r="B254" i="19"/>
  <c r="C254" i="19"/>
  <c r="D254" i="19"/>
  <c r="E254" i="19"/>
  <c r="B255" i="19"/>
  <c r="C255" i="19"/>
  <c r="D255" i="19"/>
  <c r="E255" i="19"/>
  <c r="B256" i="19"/>
  <c r="C256" i="19"/>
  <c r="D256" i="19"/>
  <c r="E256" i="19"/>
  <c r="B257" i="19"/>
  <c r="C257" i="19"/>
  <c r="D257" i="19"/>
  <c r="E257" i="19"/>
  <c r="B258" i="19"/>
  <c r="C258" i="19"/>
  <c r="D258" i="19"/>
  <c r="E258" i="19"/>
  <c r="B259" i="19"/>
  <c r="C259" i="19"/>
  <c r="D259" i="19"/>
  <c r="E259" i="19"/>
  <c r="B260" i="19"/>
  <c r="C260" i="19"/>
  <c r="D260" i="19"/>
  <c r="E260" i="19"/>
  <c r="B261" i="19"/>
  <c r="C261" i="19"/>
  <c r="D261" i="19"/>
  <c r="E261" i="19"/>
  <c r="B262" i="19"/>
  <c r="C262" i="19"/>
  <c r="D262" i="19"/>
  <c r="E262" i="19"/>
  <c r="B263" i="19"/>
  <c r="C263" i="19"/>
  <c r="D263" i="19"/>
  <c r="E263" i="19"/>
  <c r="B264" i="19"/>
  <c r="C264" i="19"/>
  <c r="D264" i="19"/>
  <c r="E264" i="19"/>
  <c r="B265" i="19"/>
  <c r="C265" i="19"/>
  <c r="D265" i="19"/>
  <c r="E265" i="19"/>
  <c r="B266" i="19"/>
  <c r="C266" i="19"/>
  <c r="D266" i="19"/>
  <c r="E266" i="19"/>
  <c r="B267" i="19"/>
  <c r="C267" i="19"/>
  <c r="D267" i="19"/>
  <c r="E267" i="19"/>
  <c r="B268" i="19"/>
  <c r="C268" i="19"/>
  <c r="D268" i="19"/>
  <c r="E268" i="19"/>
  <c r="B269" i="19"/>
  <c r="C269" i="19"/>
  <c r="D269" i="19"/>
  <c r="E269" i="19"/>
  <c r="B270" i="19"/>
  <c r="C270" i="19"/>
  <c r="D270" i="19"/>
  <c r="E270" i="19"/>
  <c r="B271" i="19"/>
  <c r="C271" i="19"/>
  <c r="D271" i="19"/>
  <c r="E271" i="19"/>
  <c r="B272" i="19"/>
  <c r="C272" i="19"/>
  <c r="D272" i="19"/>
  <c r="E272" i="19"/>
  <c r="B273" i="19"/>
  <c r="C273" i="19"/>
  <c r="D273" i="19"/>
  <c r="E273" i="19"/>
  <c r="B274" i="19"/>
  <c r="C274" i="19"/>
  <c r="D274" i="19"/>
  <c r="E274" i="19"/>
  <c r="B275" i="19"/>
  <c r="C275" i="19"/>
  <c r="D275" i="19"/>
  <c r="E275" i="19"/>
  <c r="B276" i="19"/>
  <c r="C276" i="19"/>
  <c r="D276" i="19"/>
  <c r="E276" i="19"/>
  <c r="B277" i="19"/>
  <c r="C277" i="19"/>
  <c r="D277" i="19"/>
  <c r="E277" i="19"/>
  <c r="B278" i="19"/>
  <c r="C278" i="19"/>
  <c r="D278" i="19"/>
  <c r="E278" i="19"/>
  <c r="B279" i="19"/>
  <c r="C279" i="19"/>
  <c r="D279" i="19"/>
  <c r="E279" i="19"/>
  <c r="B280" i="19"/>
  <c r="C280" i="19"/>
  <c r="D280" i="19"/>
  <c r="E280" i="19"/>
  <c r="B281" i="19"/>
  <c r="C281" i="19"/>
  <c r="D281" i="19"/>
  <c r="E281" i="19"/>
  <c r="B282" i="19"/>
  <c r="C282" i="19"/>
  <c r="D282" i="19"/>
  <c r="E282" i="19"/>
  <c r="B283" i="19"/>
  <c r="C283" i="19"/>
  <c r="D283" i="19"/>
  <c r="E283" i="19"/>
  <c r="B284" i="19"/>
  <c r="C284" i="19"/>
  <c r="D284" i="19"/>
  <c r="E284" i="19"/>
  <c r="B285" i="19"/>
  <c r="C285" i="19"/>
  <c r="D285" i="19"/>
  <c r="E285" i="19"/>
  <c r="B286" i="19"/>
  <c r="C286" i="19"/>
  <c r="D286" i="19"/>
  <c r="E286" i="19"/>
  <c r="B287" i="19"/>
  <c r="C287" i="19"/>
  <c r="D287" i="19"/>
  <c r="E287" i="19"/>
  <c r="B288" i="19"/>
  <c r="C288" i="19"/>
  <c r="D288" i="19"/>
  <c r="E288" i="19"/>
  <c r="B289" i="19"/>
  <c r="C289" i="19"/>
  <c r="D289" i="19"/>
  <c r="E289" i="19"/>
  <c r="B290" i="19"/>
  <c r="C290" i="19"/>
  <c r="D290" i="19"/>
  <c r="E290" i="19"/>
  <c r="B291" i="19"/>
  <c r="C291" i="19"/>
  <c r="D291" i="19"/>
  <c r="E291" i="19"/>
  <c r="B292" i="19"/>
  <c r="C292" i="19"/>
  <c r="D292" i="19"/>
  <c r="E292" i="19"/>
  <c r="B293" i="19"/>
  <c r="C293" i="19"/>
  <c r="D293" i="19"/>
  <c r="E293" i="19"/>
  <c r="B294" i="19"/>
  <c r="C294" i="19"/>
  <c r="D294" i="19"/>
  <c r="E294" i="19"/>
  <c r="B295" i="19"/>
  <c r="C295" i="19"/>
  <c r="D295" i="19"/>
  <c r="E295" i="19"/>
  <c r="B296" i="19"/>
  <c r="C296" i="19"/>
  <c r="D296" i="19"/>
  <c r="E296" i="19"/>
  <c r="B297" i="19"/>
  <c r="C297" i="19"/>
  <c r="D297" i="19"/>
  <c r="E297" i="19"/>
  <c r="B298" i="19"/>
  <c r="C298" i="19"/>
  <c r="D298" i="19"/>
  <c r="E298" i="19"/>
  <c r="B299" i="19"/>
  <c r="C299" i="19"/>
  <c r="D299" i="19"/>
  <c r="E299" i="19"/>
  <c r="B300" i="19"/>
  <c r="C300" i="19"/>
  <c r="D300" i="19"/>
  <c r="E300" i="19"/>
  <c r="B301" i="19"/>
  <c r="C301" i="19"/>
  <c r="D301" i="19"/>
  <c r="E301" i="19"/>
  <c r="B302" i="19"/>
  <c r="C302" i="19"/>
  <c r="D302" i="19"/>
  <c r="E302" i="19"/>
  <c r="B303" i="19"/>
  <c r="C303" i="19"/>
  <c r="D303" i="19"/>
  <c r="E303" i="19"/>
  <c r="B304" i="19"/>
  <c r="C304" i="19"/>
  <c r="D304" i="19"/>
  <c r="E304" i="19"/>
  <c r="B305" i="19"/>
  <c r="C305" i="19"/>
  <c r="D305" i="19"/>
  <c r="E305" i="19"/>
  <c r="B306" i="19"/>
  <c r="C306" i="19"/>
  <c r="D306" i="19"/>
  <c r="E306" i="19"/>
  <c r="B307" i="19"/>
  <c r="C307" i="19"/>
  <c r="D307" i="19"/>
  <c r="E307" i="19"/>
  <c r="B308" i="19"/>
  <c r="C308" i="19"/>
  <c r="D308" i="19"/>
  <c r="E308" i="19"/>
  <c r="B309" i="19"/>
  <c r="C309" i="19"/>
  <c r="D309" i="19"/>
  <c r="E309" i="19"/>
  <c r="B310" i="19"/>
  <c r="C310" i="19"/>
  <c r="D310" i="19"/>
  <c r="E310" i="19"/>
  <c r="B311" i="19"/>
  <c r="C311" i="19"/>
  <c r="D311" i="19"/>
  <c r="E311" i="19"/>
  <c r="B312" i="19"/>
  <c r="C312" i="19"/>
  <c r="D312" i="19"/>
  <c r="E312" i="19"/>
  <c r="B313" i="19"/>
  <c r="C313" i="19"/>
  <c r="D313" i="19"/>
  <c r="E313" i="19"/>
  <c r="B314" i="19"/>
  <c r="C314" i="19"/>
  <c r="D314" i="19"/>
  <c r="E314" i="19"/>
  <c r="B160" i="19"/>
  <c r="C160" i="19"/>
  <c r="D160" i="19"/>
  <c r="E160" i="19"/>
  <c r="B161" i="19"/>
  <c r="C161" i="19"/>
  <c r="D161" i="19"/>
  <c r="E161" i="19"/>
  <c r="B162" i="19"/>
  <c r="C162" i="19"/>
  <c r="D162" i="19"/>
  <c r="E162" i="19"/>
  <c r="B163" i="19"/>
  <c r="C163" i="19"/>
  <c r="D163" i="19"/>
  <c r="E163" i="19"/>
  <c r="B164" i="19"/>
  <c r="C164" i="19"/>
  <c r="D164" i="19"/>
  <c r="E164" i="19"/>
  <c r="B165" i="19"/>
  <c r="C165" i="19"/>
  <c r="D165" i="19"/>
  <c r="E165" i="19"/>
  <c r="B166" i="19"/>
  <c r="C166" i="19"/>
  <c r="D166" i="19"/>
  <c r="E166" i="19"/>
  <c r="B167" i="19"/>
  <c r="C167" i="19"/>
  <c r="D167" i="19"/>
  <c r="E167" i="19"/>
  <c r="B168" i="19"/>
  <c r="C168" i="19"/>
  <c r="D168" i="19"/>
  <c r="E168" i="19"/>
  <c r="B169" i="19"/>
  <c r="C169" i="19"/>
  <c r="D169" i="19"/>
  <c r="E169" i="19"/>
  <c r="B170" i="19"/>
  <c r="C170" i="19"/>
  <c r="D170" i="19"/>
  <c r="E170" i="19"/>
  <c r="B171" i="19"/>
  <c r="C171" i="19"/>
  <c r="D171" i="19"/>
  <c r="E171" i="19"/>
  <c r="B172" i="19"/>
  <c r="C172" i="19"/>
  <c r="D172" i="19"/>
  <c r="E172" i="19"/>
  <c r="B173" i="19"/>
  <c r="C173" i="19"/>
  <c r="D173" i="19"/>
  <c r="E173" i="19"/>
  <c r="B174" i="19"/>
  <c r="C174" i="19"/>
  <c r="D174" i="19"/>
  <c r="E174" i="19"/>
  <c r="B175" i="19"/>
  <c r="C175" i="19"/>
  <c r="D175" i="19"/>
  <c r="E175" i="19"/>
  <c r="B176" i="19"/>
  <c r="C176" i="19"/>
  <c r="D176" i="19"/>
  <c r="E176" i="19"/>
  <c r="B177" i="19"/>
  <c r="C177" i="19"/>
  <c r="D177" i="19"/>
  <c r="E177" i="19"/>
  <c r="B178" i="19"/>
  <c r="C178" i="19"/>
  <c r="D178" i="19"/>
  <c r="E178" i="19"/>
  <c r="B179" i="19"/>
  <c r="C179" i="19"/>
  <c r="D179" i="19"/>
  <c r="E179" i="19"/>
  <c r="B180" i="19"/>
  <c r="C180" i="19"/>
  <c r="D180" i="19"/>
  <c r="E180" i="19"/>
  <c r="B181" i="19"/>
  <c r="C181" i="19"/>
  <c r="D181" i="19"/>
  <c r="E181" i="19"/>
  <c r="B182" i="19"/>
  <c r="C182" i="19"/>
  <c r="D182" i="19"/>
  <c r="E182" i="19"/>
  <c r="B183" i="19"/>
  <c r="C183" i="19"/>
  <c r="D183" i="19"/>
  <c r="E183" i="19"/>
  <c r="B184" i="19"/>
  <c r="C184" i="19"/>
  <c r="D184" i="19"/>
  <c r="E184" i="19"/>
  <c r="B185" i="19"/>
  <c r="C185" i="19"/>
  <c r="D185" i="19"/>
  <c r="E185" i="19"/>
  <c r="B186" i="19"/>
  <c r="C186" i="19"/>
  <c r="D186" i="19"/>
  <c r="E186" i="19"/>
  <c r="B187" i="19"/>
  <c r="C187" i="19"/>
  <c r="D187" i="19"/>
  <c r="E187" i="19"/>
  <c r="B188" i="19"/>
  <c r="C188" i="19"/>
  <c r="D188" i="19"/>
  <c r="E188" i="19"/>
  <c r="B189" i="19"/>
  <c r="C189" i="19"/>
  <c r="D189" i="19"/>
  <c r="E189" i="19"/>
  <c r="B190" i="19"/>
  <c r="C190" i="19"/>
  <c r="D190" i="19"/>
  <c r="E190" i="19"/>
  <c r="B191" i="19"/>
  <c r="C191" i="19"/>
  <c r="D191" i="19"/>
  <c r="E191" i="19"/>
  <c r="B192" i="19"/>
  <c r="C192" i="19"/>
  <c r="D192" i="19"/>
  <c r="E192" i="19"/>
  <c r="B193" i="19"/>
  <c r="C193" i="19"/>
  <c r="D193" i="19"/>
  <c r="E193" i="19"/>
  <c r="B194" i="19"/>
  <c r="C194" i="19"/>
  <c r="D194" i="19"/>
  <c r="E194" i="19"/>
  <c r="B195" i="19"/>
  <c r="C195" i="19"/>
  <c r="D195" i="19"/>
  <c r="E195" i="19"/>
  <c r="B196" i="19"/>
  <c r="C196" i="19"/>
  <c r="D196" i="19"/>
  <c r="E196" i="19"/>
  <c r="B197" i="19"/>
  <c r="C197" i="19"/>
  <c r="D197" i="19"/>
  <c r="E197" i="19"/>
  <c r="B198" i="19"/>
  <c r="C198" i="19"/>
  <c r="D198" i="19"/>
  <c r="E198" i="19"/>
  <c r="B199" i="19"/>
  <c r="C199" i="19"/>
  <c r="D199" i="19"/>
  <c r="E199" i="19"/>
  <c r="B200" i="19"/>
  <c r="C200" i="19"/>
  <c r="D200" i="19"/>
  <c r="E200" i="19"/>
  <c r="B201" i="19"/>
  <c r="C201" i="19"/>
  <c r="D201" i="19"/>
  <c r="E201" i="19"/>
  <c r="B118" i="19"/>
  <c r="C118" i="19"/>
  <c r="D118" i="19"/>
  <c r="E118" i="19"/>
  <c r="B119" i="19"/>
  <c r="C119" i="19"/>
  <c r="D119" i="19"/>
  <c r="E119" i="19"/>
  <c r="B120" i="19"/>
  <c r="C120" i="19"/>
  <c r="D120" i="19"/>
  <c r="E120" i="19"/>
  <c r="B121" i="19"/>
  <c r="C121" i="19"/>
  <c r="D121" i="19"/>
  <c r="E121" i="19"/>
  <c r="B122" i="19"/>
  <c r="C122" i="19"/>
  <c r="D122" i="19"/>
  <c r="E122" i="19"/>
  <c r="B123" i="19"/>
  <c r="C123" i="19"/>
  <c r="D123" i="19"/>
  <c r="E123" i="19"/>
  <c r="B124" i="19"/>
  <c r="C124" i="19"/>
  <c r="D124" i="19"/>
  <c r="E124" i="19"/>
  <c r="B125" i="19"/>
  <c r="C125" i="19"/>
  <c r="D125" i="19"/>
  <c r="E125" i="19"/>
  <c r="B126" i="19"/>
  <c r="C126" i="19"/>
  <c r="D126" i="19"/>
  <c r="E126" i="19"/>
  <c r="B127" i="19"/>
  <c r="C127" i="19"/>
  <c r="D127" i="19"/>
  <c r="E127" i="19"/>
  <c r="B128" i="19"/>
  <c r="C128" i="19"/>
  <c r="D128" i="19"/>
  <c r="E128" i="19"/>
  <c r="B129" i="19"/>
  <c r="C129" i="19"/>
  <c r="D129" i="19"/>
  <c r="E129" i="19"/>
  <c r="B130" i="19"/>
  <c r="C130" i="19"/>
  <c r="D130" i="19"/>
  <c r="E130" i="19"/>
  <c r="B131" i="19"/>
  <c r="C131" i="19"/>
  <c r="D131" i="19"/>
  <c r="E131" i="19"/>
  <c r="B132" i="19"/>
  <c r="C132" i="19"/>
  <c r="D132" i="19"/>
  <c r="E132" i="19"/>
  <c r="B133" i="19"/>
  <c r="C133" i="19"/>
  <c r="D133" i="19"/>
  <c r="E133" i="19"/>
  <c r="B134" i="19"/>
  <c r="C134" i="19"/>
  <c r="D134" i="19"/>
  <c r="E134" i="19"/>
  <c r="B135" i="19"/>
  <c r="C135" i="19"/>
  <c r="D135" i="19"/>
  <c r="E135" i="19"/>
  <c r="B136" i="19"/>
  <c r="C136" i="19"/>
  <c r="D136" i="19"/>
  <c r="E136" i="19"/>
  <c r="B137" i="19"/>
  <c r="C137" i="19"/>
  <c r="D137" i="19"/>
  <c r="E137" i="19"/>
  <c r="B138" i="19"/>
  <c r="C138" i="19"/>
  <c r="D138" i="19"/>
  <c r="E138" i="19"/>
  <c r="B139" i="19"/>
  <c r="C139" i="19"/>
  <c r="D139" i="19"/>
  <c r="E139" i="19"/>
  <c r="B140" i="19"/>
  <c r="C140" i="19"/>
  <c r="D140" i="19"/>
  <c r="E140" i="19"/>
  <c r="B141" i="19"/>
  <c r="C141" i="19"/>
  <c r="D141" i="19"/>
  <c r="E141" i="19"/>
  <c r="B142" i="19"/>
  <c r="C142" i="19"/>
  <c r="D142" i="19"/>
  <c r="E142" i="19"/>
  <c r="B143" i="19"/>
  <c r="C143" i="19"/>
  <c r="D143" i="19"/>
  <c r="E143" i="19"/>
  <c r="B144" i="19"/>
  <c r="C144" i="19"/>
  <c r="D144" i="19"/>
  <c r="E144" i="19"/>
  <c r="B145" i="19"/>
  <c r="C145" i="19"/>
  <c r="D145" i="19"/>
  <c r="E145" i="19"/>
  <c r="B146" i="19"/>
  <c r="C146" i="19"/>
  <c r="D146" i="19"/>
  <c r="E146" i="19"/>
  <c r="B147" i="19"/>
  <c r="C147" i="19"/>
  <c r="D147" i="19"/>
  <c r="E147" i="19"/>
  <c r="B148" i="19"/>
  <c r="C148" i="19"/>
  <c r="D148" i="19"/>
  <c r="E148" i="19"/>
  <c r="B149" i="19"/>
  <c r="C149" i="19"/>
  <c r="D149" i="19"/>
  <c r="E149" i="19"/>
  <c r="B150" i="19"/>
  <c r="C150" i="19"/>
  <c r="D150" i="19"/>
  <c r="E150" i="19"/>
  <c r="B151" i="19"/>
  <c r="C151" i="19"/>
  <c r="D151" i="19"/>
  <c r="E151" i="19"/>
  <c r="B152" i="19"/>
  <c r="C152" i="19"/>
  <c r="D152" i="19"/>
  <c r="E152" i="19"/>
  <c r="B153" i="19"/>
  <c r="C153" i="19"/>
  <c r="D153" i="19"/>
  <c r="E153" i="19"/>
  <c r="B154" i="19"/>
  <c r="C154" i="19"/>
  <c r="D154" i="19"/>
  <c r="E154" i="19"/>
  <c r="B155" i="19"/>
  <c r="C155" i="19"/>
  <c r="D155" i="19"/>
  <c r="E155" i="19"/>
  <c r="B156" i="19"/>
  <c r="C156" i="19"/>
  <c r="D156" i="19"/>
  <c r="E156" i="19"/>
  <c r="B157" i="19"/>
  <c r="C157" i="19"/>
  <c r="D157" i="19"/>
  <c r="E157" i="19"/>
  <c r="B158" i="19"/>
  <c r="C158" i="19"/>
  <c r="D158" i="19"/>
  <c r="E158" i="19"/>
  <c r="B159" i="19"/>
  <c r="C159" i="19"/>
  <c r="D159" i="19"/>
  <c r="E159" i="19"/>
  <c r="B6" i="19"/>
  <c r="C6" i="19"/>
  <c r="D6" i="19"/>
  <c r="E6" i="19"/>
  <c r="B7" i="19"/>
  <c r="C7" i="19"/>
  <c r="D7" i="19"/>
  <c r="E7" i="19"/>
  <c r="B8" i="19"/>
  <c r="C8" i="19"/>
  <c r="D8" i="19"/>
  <c r="E8" i="19"/>
  <c r="B9" i="19"/>
  <c r="C9" i="19"/>
  <c r="D9" i="19"/>
  <c r="E9" i="19"/>
  <c r="B10" i="19"/>
  <c r="C10" i="19"/>
  <c r="D10" i="19"/>
  <c r="E10" i="19"/>
  <c r="B11" i="19"/>
  <c r="C11" i="19"/>
  <c r="D11" i="19"/>
  <c r="E11" i="19"/>
  <c r="B12" i="19"/>
  <c r="C12" i="19"/>
  <c r="D12" i="19"/>
  <c r="E12" i="19"/>
  <c r="B13" i="19"/>
  <c r="C13" i="19"/>
  <c r="D13" i="19"/>
  <c r="E13" i="19"/>
  <c r="B14" i="19"/>
  <c r="C14" i="19"/>
  <c r="D14" i="19"/>
  <c r="E14" i="19"/>
  <c r="B15" i="19"/>
  <c r="C15" i="19"/>
  <c r="D15" i="19"/>
  <c r="E15" i="19"/>
  <c r="B16" i="19"/>
  <c r="C16" i="19"/>
  <c r="D16" i="19"/>
  <c r="E16" i="19"/>
  <c r="B17" i="19"/>
  <c r="C17" i="19"/>
  <c r="D17" i="19"/>
  <c r="E17" i="19"/>
  <c r="B18" i="19"/>
  <c r="C18" i="19"/>
  <c r="D18" i="19"/>
  <c r="E18" i="19"/>
  <c r="B19" i="19"/>
  <c r="C19" i="19"/>
  <c r="D19" i="19"/>
  <c r="E19" i="19"/>
  <c r="B20" i="19"/>
  <c r="C20" i="19"/>
  <c r="D20" i="19"/>
  <c r="E20" i="19"/>
  <c r="B21" i="19"/>
  <c r="C21" i="19"/>
  <c r="D21" i="19"/>
  <c r="E21" i="19"/>
  <c r="B22" i="19"/>
  <c r="C22" i="19"/>
  <c r="D22" i="19"/>
  <c r="E22" i="19"/>
  <c r="B23" i="19"/>
  <c r="C23" i="19"/>
  <c r="D23" i="19"/>
  <c r="E23" i="19"/>
  <c r="B24" i="19"/>
  <c r="C24" i="19"/>
  <c r="D24" i="19"/>
  <c r="E24" i="19"/>
  <c r="B25" i="19"/>
  <c r="C25" i="19"/>
  <c r="D25" i="19"/>
  <c r="E25" i="19"/>
  <c r="B26" i="19"/>
  <c r="C26" i="19"/>
  <c r="D26" i="19"/>
  <c r="E26" i="19"/>
  <c r="B27" i="19"/>
  <c r="C27" i="19"/>
  <c r="D27" i="19"/>
  <c r="E27" i="19"/>
  <c r="B28" i="19"/>
  <c r="C28" i="19"/>
  <c r="D28" i="19"/>
  <c r="E28" i="19"/>
  <c r="B29" i="19"/>
  <c r="C29" i="19"/>
  <c r="D29" i="19"/>
  <c r="E29" i="19"/>
  <c r="B30" i="19"/>
  <c r="C30" i="19"/>
  <c r="D30" i="19"/>
  <c r="E30" i="19"/>
  <c r="B31" i="19"/>
  <c r="C31" i="19"/>
  <c r="D31" i="19"/>
  <c r="E31" i="19"/>
  <c r="B32" i="19"/>
  <c r="C32" i="19"/>
  <c r="D32" i="19"/>
  <c r="E32" i="19"/>
  <c r="B33" i="19"/>
  <c r="C33" i="19"/>
  <c r="D33" i="19"/>
  <c r="E33" i="19"/>
  <c r="B34" i="19"/>
  <c r="C34" i="19"/>
  <c r="D34" i="19"/>
  <c r="E34" i="19"/>
  <c r="B35" i="19"/>
  <c r="C35" i="19"/>
  <c r="D35" i="19"/>
  <c r="E35" i="19"/>
  <c r="B36" i="19"/>
  <c r="C36" i="19"/>
  <c r="D36" i="19"/>
  <c r="E36" i="19"/>
  <c r="B37" i="19"/>
  <c r="C37" i="19"/>
  <c r="D37" i="19"/>
  <c r="E37" i="19"/>
  <c r="B38" i="19"/>
  <c r="C38" i="19"/>
  <c r="D38" i="19"/>
  <c r="E38" i="19"/>
  <c r="B39" i="19"/>
  <c r="C39" i="19"/>
  <c r="D39" i="19"/>
  <c r="E39" i="19"/>
  <c r="B40" i="19"/>
  <c r="C40" i="19"/>
  <c r="D40" i="19"/>
  <c r="E40" i="19"/>
  <c r="B41" i="19"/>
  <c r="C41" i="19"/>
  <c r="D41" i="19"/>
  <c r="E41" i="19"/>
  <c r="B42" i="19"/>
  <c r="C42" i="19"/>
  <c r="D42" i="19"/>
  <c r="E42" i="19"/>
  <c r="B43" i="19"/>
  <c r="C43" i="19"/>
  <c r="D43" i="19"/>
  <c r="E43" i="19"/>
  <c r="B44" i="19"/>
  <c r="C44" i="19"/>
  <c r="D44" i="19"/>
  <c r="E44" i="19"/>
  <c r="B45" i="19"/>
  <c r="C45" i="19"/>
  <c r="D45" i="19"/>
  <c r="E45" i="19"/>
  <c r="B46" i="19"/>
  <c r="C46" i="19"/>
  <c r="D46" i="19"/>
  <c r="E46" i="19"/>
  <c r="B47" i="19"/>
  <c r="C47" i="19"/>
  <c r="D47" i="19"/>
  <c r="E47" i="19"/>
  <c r="B48" i="19"/>
  <c r="C48" i="19"/>
  <c r="D48" i="19"/>
  <c r="E48" i="19"/>
  <c r="B49" i="19"/>
  <c r="C49" i="19"/>
  <c r="D49" i="19"/>
  <c r="E49" i="19"/>
  <c r="B50" i="19"/>
  <c r="C50" i="19"/>
  <c r="D50" i="19"/>
  <c r="E50" i="19"/>
  <c r="B51" i="19"/>
  <c r="C51" i="19"/>
  <c r="D51" i="19"/>
  <c r="E51" i="19"/>
  <c r="B52" i="19"/>
  <c r="C52" i="19"/>
  <c r="D52" i="19"/>
  <c r="E52" i="19"/>
  <c r="B53" i="19"/>
  <c r="C53" i="19"/>
  <c r="D53" i="19"/>
  <c r="E53" i="19"/>
  <c r="B54" i="19"/>
  <c r="C54" i="19"/>
  <c r="D54" i="19"/>
  <c r="E54" i="19"/>
  <c r="B55" i="19"/>
  <c r="C55" i="19"/>
  <c r="D55" i="19"/>
  <c r="E55" i="19"/>
  <c r="B56" i="19"/>
  <c r="C56" i="19"/>
  <c r="D56" i="19"/>
  <c r="E56" i="19"/>
  <c r="B57" i="19"/>
  <c r="C57" i="19"/>
  <c r="D57" i="19"/>
  <c r="E57" i="19"/>
  <c r="B58" i="19"/>
  <c r="C58" i="19"/>
  <c r="D58" i="19"/>
  <c r="E58" i="19"/>
  <c r="B59" i="19"/>
  <c r="C59" i="19"/>
  <c r="D59" i="19"/>
  <c r="E59" i="19"/>
  <c r="B60" i="19"/>
  <c r="C60" i="19"/>
  <c r="D60" i="19"/>
  <c r="E60" i="19"/>
  <c r="B61" i="19"/>
  <c r="C61" i="19"/>
  <c r="D61" i="19"/>
  <c r="E61" i="19"/>
  <c r="B62" i="19"/>
  <c r="C62" i="19"/>
  <c r="D62" i="19"/>
  <c r="E62" i="19"/>
  <c r="B63" i="19"/>
  <c r="C63" i="19"/>
  <c r="D63" i="19"/>
  <c r="E63" i="19"/>
  <c r="B64" i="19"/>
  <c r="C64" i="19"/>
  <c r="D64" i="19"/>
  <c r="E64" i="19"/>
  <c r="B65" i="19"/>
  <c r="C65" i="19"/>
  <c r="D65" i="19"/>
  <c r="E65" i="19"/>
  <c r="B66" i="19"/>
  <c r="C66" i="19"/>
  <c r="D66" i="19"/>
  <c r="E66" i="19"/>
  <c r="B67" i="19"/>
  <c r="C67" i="19"/>
  <c r="D67" i="19"/>
  <c r="E67" i="19"/>
  <c r="B68" i="19"/>
  <c r="C68" i="19"/>
  <c r="D68" i="19"/>
  <c r="E68" i="19"/>
  <c r="B69" i="19"/>
  <c r="C69" i="19"/>
  <c r="D69" i="19"/>
  <c r="E69" i="19"/>
  <c r="B70" i="19"/>
  <c r="C70" i="19"/>
  <c r="D70" i="19"/>
  <c r="E70" i="19"/>
  <c r="B71" i="19"/>
  <c r="C71" i="19"/>
  <c r="D71" i="19"/>
  <c r="E71" i="19"/>
  <c r="B72" i="19"/>
  <c r="C72" i="19"/>
  <c r="D72" i="19"/>
  <c r="E72" i="19"/>
  <c r="B73" i="19"/>
  <c r="C73" i="19"/>
  <c r="D73" i="19"/>
  <c r="E73" i="19"/>
  <c r="B74" i="19"/>
  <c r="C74" i="19"/>
  <c r="D74" i="19"/>
  <c r="E74" i="19"/>
  <c r="B75" i="19"/>
  <c r="C75" i="19"/>
  <c r="D75" i="19"/>
  <c r="E75" i="19"/>
  <c r="B76" i="19"/>
  <c r="C76" i="19"/>
  <c r="D76" i="19"/>
  <c r="E76" i="19"/>
  <c r="B77" i="19"/>
  <c r="C77" i="19"/>
  <c r="D77" i="19"/>
  <c r="E77" i="19"/>
  <c r="B78" i="19"/>
  <c r="C78" i="19"/>
  <c r="D78" i="19"/>
  <c r="E78" i="19"/>
  <c r="B79" i="19"/>
  <c r="C79" i="19"/>
  <c r="D79" i="19"/>
  <c r="E79" i="19"/>
  <c r="B80" i="19"/>
  <c r="C80" i="19"/>
  <c r="D80" i="19"/>
  <c r="E80" i="19"/>
  <c r="B81" i="19"/>
  <c r="C81" i="19"/>
  <c r="D81" i="19"/>
  <c r="E81" i="19"/>
  <c r="B82" i="19"/>
  <c r="C82" i="19"/>
  <c r="D82" i="19"/>
  <c r="E82" i="19"/>
  <c r="B83" i="19"/>
  <c r="C83" i="19"/>
  <c r="D83" i="19"/>
  <c r="E83" i="19"/>
  <c r="B84" i="19"/>
  <c r="C84" i="19"/>
  <c r="D84" i="19"/>
  <c r="E84" i="19"/>
  <c r="B85" i="19"/>
  <c r="C85" i="19"/>
  <c r="D85" i="19"/>
  <c r="E85" i="19"/>
  <c r="B86" i="19"/>
  <c r="C86" i="19"/>
  <c r="D86" i="19"/>
  <c r="E86" i="19"/>
  <c r="B87" i="19"/>
  <c r="C87" i="19"/>
  <c r="D87" i="19"/>
  <c r="E87" i="19"/>
  <c r="B88" i="19"/>
  <c r="C88" i="19"/>
  <c r="D88" i="19"/>
  <c r="E88" i="19"/>
  <c r="B89" i="19"/>
  <c r="C89" i="19"/>
  <c r="D89" i="19"/>
  <c r="E89" i="19"/>
  <c r="B90" i="19"/>
  <c r="C90" i="19"/>
  <c r="D90" i="19"/>
  <c r="E90" i="19"/>
  <c r="B91" i="19"/>
  <c r="C91" i="19"/>
  <c r="D91" i="19"/>
  <c r="E91" i="19"/>
  <c r="B92" i="19"/>
  <c r="C92" i="19"/>
  <c r="D92" i="19"/>
  <c r="E92" i="19"/>
  <c r="B93" i="19"/>
  <c r="C93" i="19"/>
  <c r="D93" i="19"/>
  <c r="E93" i="19"/>
  <c r="B94" i="19"/>
  <c r="C94" i="19"/>
  <c r="D94" i="19"/>
  <c r="E94" i="19"/>
  <c r="B95" i="19"/>
  <c r="C95" i="19"/>
  <c r="D95" i="19"/>
  <c r="E95" i="19"/>
  <c r="B96" i="19"/>
  <c r="C96" i="19"/>
  <c r="D96" i="19"/>
  <c r="E96" i="19"/>
  <c r="B97" i="19"/>
  <c r="C97" i="19"/>
  <c r="D97" i="19"/>
  <c r="E97" i="19"/>
  <c r="B98" i="19"/>
  <c r="C98" i="19"/>
  <c r="D98" i="19"/>
  <c r="E98" i="19"/>
  <c r="B99" i="19"/>
  <c r="C99" i="19"/>
  <c r="D99" i="19"/>
  <c r="E99" i="19"/>
  <c r="B100" i="19"/>
  <c r="C100" i="19"/>
  <c r="D100" i="19"/>
  <c r="E100" i="19"/>
  <c r="B101" i="19"/>
  <c r="C101" i="19"/>
  <c r="D101" i="19"/>
  <c r="E101" i="19"/>
  <c r="B102" i="19"/>
  <c r="C102" i="19"/>
  <c r="D102" i="19"/>
  <c r="E102" i="19"/>
  <c r="B103" i="19"/>
  <c r="C103" i="19"/>
  <c r="D103" i="19"/>
  <c r="E103" i="19"/>
  <c r="B104" i="19"/>
  <c r="C104" i="19"/>
  <c r="D104" i="19"/>
  <c r="E104" i="19"/>
  <c r="B105" i="19"/>
  <c r="C105" i="19"/>
  <c r="D105" i="19"/>
  <c r="E105" i="19"/>
  <c r="B106" i="19"/>
  <c r="C106" i="19"/>
  <c r="D106" i="19"/>
  <c r="E106" i="19"/>
  <c r="B107" i="19"/>
  <c r="C107" i="19"/>
  <c r="D107" i="19"/>
  <c r="E107" i="19"/>
  <c r="B108" i="19"/>
  <c r="C108" i="19"/>
  <c r="D108" i="19"/>
  <c r="E108" i="19"/>
  <c r="B109" i="19"/>
  <c r="C109" i="19"/>
  <c r="D109" i="19"/>
  <c r="E109" i="19"/>
  <c r="B110" i="19"/>
  <c r="C110" i="19"/>
  <c r="D110" i="19"/>
  <c r="E110" i="19"/>
  <c r="B111" i="19"/>
  <c r="C111" i="19"/>
  <c r="D111" i="19"/>
  <c r="E111" i="19"/>
  <c r="B112" i="19"/>
  <c r="C112" i="19"/>
  <c r="D112" i="19"/>
  <c r="E112" i="19"/>
  <c r="B113" i="19"/>
  <c r="C113" i="19"/>
  <c r="D113" i="19"/>
  <c r="E113" i="19"/>
  <c r="B114" i="19"/>
  <c r="C114" i="19"/>
  <c r="D114" i="19"/>
  <c r="E114" i="19"/>
  <c r="B115" i="19"/>
  <c r="C115" i="19"/>
  <c r="D115" i="19"/>
  <c r="E115" i="19"/>
  <c r="B116" i="19"/>
  <c r="C116" i="19"/>
  <c r="D116" i="19"/>
  <c r="E116" i="19"/>
  <c r="B117" i="19"/>
  <c r="C117" i="19"/>
  <c r="D117" i="19"/>
  <c r="E117" i="19"/>
  <c r="C5" i="19"/>
  <c r="D5" i="19"/>
  <c r="E5" i="19"/>
  <c r="B5" i="19"/>
  <c r="AE663" i="23"/>
  <c r="AC663" i="23"/>
  <c r="AA663" i="23"/>
  <c r="Y663" i="23"/>
  <c r="X663" i="23"/>
  <c r="W663" i="23"/>
  <c r="V663" i="23"/>
  <c r="T663" i="23"/>
  <c r="S664" i="23" s="1"/>
  <c r="S663" i="23"/>
  <c r="Q663" i="23"/>
  <c r="P663" i="23"/>
  <c r="L663" i="23"/>
  <c r="I663" i="23"/>
  <c r="E663" i="23"/>
  <c r="AD663" i="23" s="1"/>
  <c r="N664" i="23" s="1"/>
  <c r="R664" i="23" s="1"/>
  <c r="C663" i="23"/>
  <c r="AE661" i="23"/>
  <c r="AC661" i="23"/>
  <c r="AA661" i="23"/>
  <c r="Y661" i="23"/>
  <c r="X661" i="23"/>
  <c r="W661" i="23"/>
  <c r="V661" i="23"/>
  <c r="T661" i="23"/>
  <c r="S662" i="23" s="1"/>
  <c r="S661" i="23"/>
  <c r="Q661" i="23"/>
  <c r="P661" i="23"/>
  <c r="L661" i="23"/>
  <c r="I661" i="23"/>
  <c r="E661" i="23"/>
  <c r="AD661" i="23" s="1"/>
  <c r="N662" i="23" s="1"/>
  <c r="R662" i="23" s="1"/>
  <c r="C661" i="23"/>
  <c r="AE659" i="23"/>
  <c r="AC659" i="23"/>
  <c r="AA659" i="23"/>
  <c r="Y659" i="23"/>
  <c r="X659" i="23"/>
  <c r="W659" i="23"/>
  <c r="V659" i="23"/>
  <c r="T659" i="23"/>
  <c r="S660" i="23" s="1"/>
  <c r="S659" i="23"/>
  <c r="Q659" i="23"/>
  <c r="P659" i="23"/>
  <c r="N659" i="23"/>
  <c r="D659" i="23" s="1"/>
  <c r="L659" i="23"/>
  <c r="I659" i="23"/>
  <c r="E659" i="23"/>
  <c r="AD659" i="23" s="1"/>
  <c r="N660" i="23" s="1"/>
  <c r="R660" i="23" s="1"/>
  <c r="C659" i="23"/>
  <c r="AE657" i="23"/>
  <c r="AD657" i="23"/>
  <c r="N658" i="23" s="1"/>
  <c r="R658" i="23" s="1"/>
  <c r="AC657" i="23"/>
  <c r="AA657" i="23"/>
  <c r="Y657" i="23"/>
  <c r="X657" i="23"/>
  <c r="W657" i="23"/>
  <c r="V657" i="23"/>
  <c r="T657" i="23"/>
  <c r="S658" i="23" s="1"/>
  <c r="S657" i="23"/>
  <c r="Q657" i="23"/>
  <c r="P657" i="23"/>
  <c r="L657" i="23"/>
  <c r="I657" i="23"/>
  <c r="E657" i="23"/>
  <c r="N657" i="23" s="1"/>
  <c r="D657" i="23" s="1"/>
  <c r="C657" i="23"/>
  <c r="S656" i="23"/>
  <c r="AE655" i="23"/>
  <c r="AC655" i="23"/>
  <c r="AA655" i="23"/>
  <c r="Y655" i="23"/>
  <c r="X655" i="23"/>
  <c r="W655" i="23"/>
  <c r="V655" i="23"/>
  <c r="T655" i="23"/>
  <c r="S655" i="23"/>
  <c r="Q655" i="23"/>
  <c r="P655" i="23"/>
  <c r="L655" i="23"/>
  <c r="I655" i="23"/>
  <c r="E655" i="23"/>
  <c r="N655" i="23" s="1"/>
  <c r="D655" i="23" s="1"/>
  <c r="C655" i="23"/>
  <c r="AE653" i="23"/>
  <c r="AC653" i="23"/>
  <c r="AA653" i="23"/>
  <c r="Y653" i="23"/>
  <c r="X653" i="23"/>
  <c r="W653" i="23"/>
  <c r="V653" i="23"/>
  <c r="T653" i="23"/>
  <c r="S654" i="23" s="1"/>
  <c r="S653" i="23"/>
  <c r="Q653" i="23"/>
  <c r="P653" i="23"/>
  <c r="L653" i="23"/>
  <c r="I653" i="23"/>
  <c r="E653" i="23"/>
  <c r="AD653" i="23" s="1"/>
  <c r="N654" i="23" s="1"/>
  <c r="R654" i="23" s="1"/>
  <c r="C653" i="23"/>
  <c r="AE651" i="23"/>
  <c r="AC651" i="23"/>
  <c r="AA651" i="23"/>
  <c r="Y651" i="23"/>
  <c r="X651" i="23"/>
  <c r="W651" i="23"/>
  <c r="V651" i="23"/>
  <c r="T651" i="23"/>
  <c r="S652" i="23" s="1"/>
  <c r="S651" i="23"/>
  <c r="Q651" i="23"/>
  <c r="P651" i="23"/>
  <c r="L651" i="23"/>
  <c r="I651" i="23"/>
  <c r="E651" i="23"/>
  <c r="AD651" i="23" s="1"/>
  <c r="N652" i="23" s="1"/>
  <c r="R652" i="23" s="1"/>
  <c r="C651" i="23"/>
  <c r="AE649" i="23"/>
  <c r="AC649" i="23"/>
  <c r="AA649" i="23"/>
  <c r="Y649" i="23"/>
  <c r="X649" i="23"/>
  <c r="W649" i="23"/>
  <c r="V649" i="23"/>
  <c r="T649" i="23"/>
  <c r="S650" i="23" s="1"/>
  <c r="S649" i="23"/>
  <c r="Q649" i="23"/>
  <c r="P649" i="23"/>
  <c r="N649" i="23"/>
  <c r="D649" i="23" s="1"/>
  <c r="L649" i="23"/>
  <c r="I649" i="23"/>
  <c r="E649" i="23"/>
  <c r="AD649" i="23" s="1"/>
  <c r="N650" i="23" s="1"/>
  <c r="R650" i="23" s="1"/>
  <c r="C649" i="23"/>
  <c r="AE647" i="23"/>
  <c r="AC647" i="23"/>
  <c r="AA647" i="23"/>
  <c r="Y647" i="23"/>
  <c r="X647" i="23"/>
  <c r="W647" i="23"/>
  <c r="V647" i="23"/>
  <c r="T647" i="23"/>
  <c r="S648" i="23" s="1"/>
  <c r="S647" i="23"/>
  <c r="Q647" i="23"/>
  <c r="P647" i="23"/>
  <c r="L647" i="23"/>
  <c r="I647" i="23"/>
  <c r="E647" i="23"/>
  <c r="AD647" i="23" s="1"/>
  <c r="N648" i="23" s="1"/>
  <c r="R648" i="23" s="1"/>
  <c r="C647" i="23"/>
  <c r="AE645" i="23"/>
  <c r="AC645" i="23"/>
  <c r="AA645" i="23"/>
  <c r="Y645" i="23"/>
  <c r="X645" i="23"/>
  <c r="W645" i="23"/>
  <c r="V645" i="23"/>
  <c r="T645" i="23"/>
  <c r="S646" i="23" s="1"/>
  <c r="S645" i="23"/>
  <c r="Q645" i="23"/>
  <c r="P645" i="23"/>
  <c r="L645" i="23"/>
  <c r="I645" i="23"/>
  <c r="E645" i="23"/>
  <c r="AD645" i="23" s="1"/>
  <c r="N646" i="23" s="1"/>
  <c r="C645" i="23"/>
  <c r="AE643" i="23"/>
  <c r="AC643" i="23"/>
  <c r="AA643" i="23"/>
  <c r="Y643" i="23"/>
  <c r="X643" i="23"/>
  <c r="W643" i="23"/>
  <c r="V643" i="23"/>
  <c r="T643" i="23"/>
  <c r="S644" i="23" s="1"/>
  <c r="S643" i="23"/>
  <c r="Q643" i="23"/>
  <c r="P643" i="23"/>
  <c r="L643" i="23"/>
  <c r="I643" i="23"/>
  <c r="E643" i="23"/>
  <c r="AD643" i="23" s="1"/>
  <c r="N644" i="23" s="1"/>
  <c r="R644" i="23" s="1"/>
  <c r="C643" i="23"/>
  <c r="AE641" i="23"/>
  <c r="AC641" i="23"/>
  <c r="AA641" i="23"/>
  <c r="Y641" i="23"/>
  <c r="X641" i="23"/>
  <c r="W641" i="23"/>
  <c r="V641" i="23"/>
  <c r="T641" i="23"/>
  <c r="S642" i="23" s="1"/>
  <c r="S641" i="23"/>
  <c r="Q641" i="23"/>
  <c r="P641" i="23"/>
  <c r="L641" i="23"/>
  <c r="I641" i="23"/>
  <c r="E641" i="23"/>
  <c r="C641" i="23"/>
  <c r="AE639" i="23"/>
  <c r="AC639" i="23"/>
  <c r="AA639" i="23"/>
  <c r="Y639" i="23"/>
  <c r="X639" i="23"/>
  <c r="W639" i="23"/>
  <c r="V639" i="23"/>
  <c r="T639" i="23"/>
  <c r="S640" i="23" s="1"/>
  <c r="S639" i="23"/>
  <c r="Q639" i="23"/>
  <c r="P639" i="23"/>
  <c r="L639" i="23"/>
  <c r="I639" i="23"/>
  <c r="E639" i="23"/>
  <c r="AD639" i="23" s="1"/>
  <c r="N640" i="23" s="1"/>
  <c r="R640" i="23" s="1"/>
  <c r="C639" i="23"/>
  <c r="AE637" i="23"/>
  <c r="AC637" i="23"/>
  <c r="AA637" i="23"/>
  <c r="Y637" i="23"/>
  <c r="X637" i="23"/>
  <c r="W637" i="23"/>
  <c r="V637" i="23"/>
  <c r="T637" i="23"/>
  <c r="S638" i="23" s="1"/>
  <c r="S637" i="23"/>
  <c r="Q637" i="23"/>
  <c r="P637" i="23"/>
  <c r="L637" i="23"/>
  <c r="I637" i="23"/>
  <c r="E637" i="23"/>
  <c r="AD637" i="23" s="1"/>
  <c r="N638" i="23" s="1"/>
  <c r="R638" i="23" s="1"/>
  <c r="C637" i="23"/>
  <c r="AE635" i="23"/>
  <c r="AC635" i="23"/>
  <c r="AA635" i="23"/>
  <c r="Y635" i="23"/>
  <c r="X635" i="23"/>
  <c r="W635" i="23"/>
  <c r="V635" i="23"/>
  <c r="T635" i="23"/>
  <c r="S636" i="23" s="1"/>
  <c r="S635" i="23"/>
  <c r="Q635" i="23"/>
  <c r="P635" i="23"/>
  <c r="L635" i="23"/>
  <c r="I635" i="23"/>
  <c r="E635" i="23"/>
  <c r="N635" i="23" s="1"/>
  <c r="D635" i="23" s="1"/>
  <c r="C635" i="23"/>
  <c r="AE633" i="23"/>
  <c r="AD633" i="23"/>
  <c r="N634" i="23" s="1"/>
  <c r="AC633" i="23"/>
  <c r="AA633" i="23"/>
  <c r="Y633" i="23"/>
  <c r="X633" i="23"/>
  <c r="W633" i="23"/>
  <c r="V633" i="23"/>
  <c r="T633" i="23"/>
  <c r="S634" i="23" s="1"/>
  <c r="S633" i="23"/>
  <c r="Q633" i="23"/>
  <c r="P633" i="23"/>
  <c r="L633" i="23"/>
  <c r="I633" i="23"/>
  <c r="E633" i="23"/>
  <c r="N633" i="23" s="1"/>
  <c r="D633" i="23" s="1"/>
  <c r="C633" i="23"/>
  <c r="AE631" i="23"/>
  <c r="AC631" i="23"/>
  <c r="AA631" i="23"/>
  <c r="Y631" i="23"/>
  <c r="X631" i="23"/>
  <c r="W631" i="23"/>
  <c r="V631" i="23"/>
  <c r="T631" i="23"/>
  <c r="S632" i="23" s="1"/>
  <c r="S631" i="23"/>
  <c r="Q631" i="23"/>
  <c r="P631" i="23"/>
  <c r="L631" i="23"/>
  <c r="I631" i="23"/>
  <c r="E631" i="23"/>
  <c r="N631" i="23" s="1"/>
  <c r="D631" i="23" s="1"/>
  <c r="C631" i="23"/>
  <c r="AE629" i="23"/>
  <c r="AC629" i="23"/>
  <c r="AA629" i="23"/>
  <c r="Y629" i="23"/>
  <c r="X629" i="23"/>
  <c r="W629" i="23"/>
  <c r="V629" i="23"/>
  <c r="T629" i="23"/>
  <c r="S630" i="23" s="1"/>
  <c r="S629" i="23"/>
  <c r="Q629" i="23"/>
  <c r="P629" i="23"/>
  <c r="N629" i="23"/>
  <c r="D629" i="23" s="1"/>
  <c r="L629" i="23"/>
  <c r="I629" i="23"/>
  <c r="E629" i="23"/>
  <c r="AD629" i="23" s="1"/>
  <c r="N630" i="23" s="1"/>
  <c r="R630" i="23" s="1"/>
  <c r="C629" i="23"/>
  <c r="AE627" i="23"/>
  <c r="AC627" i="23"/>
  <c r="AA627" i="23"/>
  <c r="Y627" i="23"/>
  <c r="X627" i="23"/>
  <c r="W627" i="23"/>
  <c r="V627" i="23"/>
  <c r="T627" i="23"/>
  <c r="S628" i="23" s="1"/>
  <c r="S627" i="23"/>
  <c r="Q627" i="23"/>
  <c r="P627" i="23"/>
  <c r="L627" i="23"/>
  <c r="I627" i="23"/>
  <c r="E627" i="23"/>
  <c r="AD627" i="23" s="1"/>
  <c r="N628" i="23" s="1"/>
  <c r="R628" i="23" s="1"/>
  <c r="C627" i="23"/>
  <c r="AE625" i="23"/>
  <c r="AC625" i="23"/>
  <c r="AA625" i="23"/>
  <c r="Y625" i="23"/>
  <c r="X625" i="23"/>
  <c r="W625" i="23"/>
  <c r="V625" i="23"/>
  <c r="T625" i="23"/>
  <c r="S626" i="23" s="1"/>
  <c r="S625" i="23"/>
  <c r="Q625" i="23"/>
  <c r="P625" i="23"/>
  <c r="L625" i="23"/>
  <c r="I625" i="23"/>
  <c r="E625" i="23"/>
  <c r="N625" i="23" s="1"/>
  <c r="D625" i="23" s="1"/>
  <c r="C625" i="23"/>
  <c r="AE623" i="23"/>
  <c r="AC623" i="23"/>
  <c r="AA623" i="23"/>
  <c r="Y623" i="23"/>
  <c r="X623" i="23"/>
  <c r="W623" i="23"/>
  <c r="V623" i="23"/>
  <c r="T623" i="23"/>
  <c r="S624" i="23" s="1"/>
  <c r="S623" i="23"/>
  <c r="Q623" i="23"/>
  <c r="P623" i="23"/>
  <c r="L623" i="23"/>
  <c r="I623" i="23"/>
  <c r="E623" i="23"/>
  <c r="AD623" i="23" s="1"/>
  <c r="N624" i="23" s="1"/>
  <c r="R624" i="23" s="1"/>
  <c r="C623" i="23"/>
  <c r="AE621" i="23"/>
  <c r="AC621" i="23"/>
  <c r="AA621" i="23"/>
  <c r="Y621" i="23"/>
  <c r="X621" i="23"/>
  <c r="W621" i="23"/>
  <c r="V621" i="23"/>
  <c r="T621" i="23"/>
  <c r="S622" i="23" s="1"/>
  <c r="S621" i="23"/>
  <c r="Q621" i="23"/>
  <c r="P621" i="23"/>
  <c r="L621" i="23"/>
  <c r="I621" i="23"/>
  <c r="E621" i="23"/>
  <c r="AD621" i="23" s="1"/>
  <c r="N622" i="23" s="1"/>
  <c r="C621" i="23"/>
  <c r="S620" i="23"/>
  <c r="AE619" i="23"/>
  <c r="AC619" i="23"/>
  <c r="AA619" i="23"/>
  <c r="Y619" i="23"/>
  <c r="X619" i="23"/>
  <c r="W619" i="23"/>
  <c r="V619" i="23"/>
  <c r="T619" i="23"/>
  <c r="S619" i="23"/>
  <c r="Q619" i="23"/>
  <c r="P619" i="23"/>
  <c r="L619" i="23"/>
  <c r="I619" i="23"/>
  <c r="E619" i="23"/>
  <c r="AD619" i="23" s="1"/>
  <c r="N620" i="23" s="1"/>
  <c r="R620" i="23" s="1"/>
  <c r="C619" i="23"/>
  <c r="AE617" i="23"/>
  <c r="AC617" i="23"/>
  <c r="AA617" i="23"/>
  <c r="Y617" i="23"/>
  <c r="X617" i="23"/>
  <c r="W617" i="23"/>
  <c r="V617" i="23"/>
  <c r="T617" i="23"/>
  <c r="S618" i="23" s="1"/>
  <c r="S617" i="23"/>
  <c r="Q617" i="23"/>
  <c r="P617" i="23"/>
  <c r="L617" i="23"/>
  <c r="I617" i="23"/>
  <c r="E617" i="23"/>
  <c r="C617" i="23"/>
  <c r="AE615" i="23"/>
  <c r="AC615" i="23"/>
  <c r="AA615" i="23"/>
  <c r="Y615" i="23"/>
  <c r="X615" i="23"/>
  <c r="W615" i="23"/>
  <c r="V615" i="23"/>
  <c r="T615" i="23"/>
  <c r="S616" i="23" s="1"/>
  <c r="S615" i="23"/>
  <c r="Q615" i="23"/>
  <c r="P615" i="23"/>
  <c r="L615" i="23"/>
  <c r="I615" i="23"/>
  <c r="E615" i="23"/>
  <c r="AD615" i="23" s="1"/>
  <c r="N616" i="23" s="1"/>
  <c r="R616" i="23" s="1"/>
  <c r="C615" i="23"/>
  <c r="AE613" i="23"/>
  <c r="AC613" i="23"/>
  <c r="AA613" i="23"/>
  <c r="Y613" i="23"/>
  <c r="X613" i="23"/>
  <c r="W613" i="23"/>
  <c r="V613" i="23"/>
  <c r="T613" i="23"/>
  <c r="S614" i="23" s="1"/>
  <c r="S613" i="23"/>
  <c r="Q613" i="23"/>
  <c r="P613" i="23"/>
  <c r="L613" i="23"/>
  <c r="I613" i="23"/>
  <c r="E613" i="23"/>
  <c r="AD613" i="23" s="1"/>
  <c r="N614" i="23" s="1"/>
  <c r="R614" i="23" s="1"/>
  <c r="C613" i="23"/>
  <c r="AE611" i="23"/>
  <c r="AD611" i="23"/>
  <c r="N612" i="23" s="1"/>
  <c r="AC611" i="23"/>
  <c r="AA611" i="23"/>
  <c r="Y611" i="23"/>
  <c r="X611" i="23"/>
  <c r="W611" i="23"/>
  <c r="V611" i="23"/>
  <c r="T611" i="23"/>
  <c r="S612" i="23" s="1"/>
  <c r="S611" i="23"/>
  <c r="Q611" i="23"/>
  <c r="P611" i="23"/>
  <c r="L611" i="23"/>
  <c r="I611" i="23"/>
  <c r="E611" i="23"/>
  <c r="N611" i="23" s="1"/>
  <c r="D611" i="23" s="1"/>
  <c r="C611" i="23"/>
  <c r="AE609" i="23"/>
  <c r="AC609" i="23"/>
  <c r="AA609" i="23"/>
  <c r="Y609" i="23"/>
  <c r="X609" i="23"/>
  <c r="W609" i="23"/>
  <c r="V609" i="23"/>
  <c r="T609" i="23"/>
  <c r="S610" i="23" s="1"/>
  <c r="S609" i="23"/>
  <c r="Q609" i="23"/>
  <c r="P609" i="23"/>
  <c r="L609" i="23"/>
  <c r="I609" i="23"/>
  <c r="E609" i="23"/>
  <c r="AD609" i="23" s="1"/>
  <c r="N610" i="23" s="1"/>
  <c r="R610" i="23" s="1"/>
  <c r="C609" i="23"/>
  <c r="AE607" i="23"/>
  <c r="AD607" i="23"/>
  <c r="N608" i="23" s="1"/>
  <c r="R608" i="23" s="1"/>
  <c r="AC607" i="23"/>
  <c r="AA607" i="23"/>
  <c r="Y607" i="23"/>
  <c r="X607" i="23"/>
  <c r="W607" i="23"/>
  <c r="V607" i="23"/>
  <c r="T607" i="23"/>
  <c r="S608" i="23" s="1"/>
  <c r="S607" i="23"/>
  <c r="Q607" i="23"/>
  <c r="P607" i="23"/>
  <c r="N607" i="23"/>
  <c r="L607" i="23"/>
  <c r="I607" i="23"/>
  <c r="E607" i="23"/>
  <c r="C607" i="23"/>
  <c r="O605" i="23"/>
  <c r="Z605" i="23" s="1"/>
  <c r="AE603" i="23"/>
  <c r="AC603" i="23"/>
  <c r="AA603" i="23"/>
  <c r="Z603" i="23"/>
  <c r="Y603" i="23"/>
  <c r="X603" i="23"/>
  <c r="W603" i="23"/>
  <c r="V603" i="23"/>
  <c r="S603" i="23"/>
  <c r="T603" i="23" s="1"/>
  <c r="S604" i="23" s="1"/>
  <c r="Q603" i="23"/>
  <c r="P603" i="23"/>
  <c r="M603" i="23"/>
  <c r="M605" i="23" s="1"/>
  <c r="M606" i="23" s="1"/>
  <c r="L603" i="23"/>
  <c r="O606" i="23" s="1"/>
  <c r="Z606" i="23" s="1"/>
  <c r="I603" i="23"/>
  <c r="E603" i="23"/>
  <c r="AD603" i="23" s="1"/>
  <c r="N604" i="23" s="1"/>
  <c r="R604" i="23" s="1"/>
  <c r="C603" i="23"/>
  <c r="O601" i="23"/>
  <c r="Z601" i="23" s="1"/>
  <c r="AE599" i="23"/>
  <c r="AC599" i="23"/>
  <c r="AA599" i="23"/>
  <c r="Z599" i="23"/>
  <c r="Y599" i="23"/>
  <c r="X599" i="23"/>
  <c r="W599" i="23"/>
  <c r="V599" i="23"/>
  <c r="S599" i="23"/>
  <c r="T599" i="23" s="1"/>
  <c r="S600" i="23" s="1"/>
  <c r="Q599" i="23"/>
  <c r="P599" i="23"/>
  <c r="M599" i="23"/>
  <c r="M601" i="23" s="1"/>
  <c r="M602" i="23" s="1"/>
  <c r="L599" i="23"/>
  <c r="O602" i="23" s="1"/>
  <c r="Z602" i="23" s="1"/>
  <c r="I599" i="23"/>
  <c r="E599" i="23"/>
  <c r="N599" i="23" s="1"/>
  <c r="D599" i="23" s="1"/>
  <c r="C599" i="23"/>
  <c r="O597" i="23"/>
  <c r="Z597" i="23" s="1"/>
  <c r="AE595" i="23"/>
  <c r="AC595" i="23"/>
  <c r="AA595" i="23"/>
  <c r="Z595" i="23"/>
  <c r="Y595" i="23"/>
  <c r="X595" i="23"/>
  <c r="W595" i="23"/>
  <c r="V595" i="23"/>
  <c r="S595" i="23"/>
  <c r="T595" i="23" s="1"/>
  <c r="S596" i="23" s="1"/>
  <c r="Q595" i="23"/>
  <c r="P595" i="23"/>
  <c r="M595" i="23"/>
  <c r="M597" i="23" s="1"/>
  <c r="M598" i="23" s="1"/>
  <c r="L595" i="23"/>
  <c r="O598" i="23" s="1"/>
  <c r="Z598" i="23" s="1"/>
  <c r="I595" i="23"/>
  <c r="E595" i="23"/>
  <c r="AD595" i="23" s="1"/>
  <c r="N596" i="23" s="1"/>
  <c r="R596" i="23" s="1"/>
  <c r="C595" i="23"/>
  <c r="O593" i="23"/>
  <c r="Z593" i="23" s="1"/>
  <c r="AE591" i="23"/>
  <c r="AC591" i="23"/>
  <c r="AA591" i="23"/>
  <c r="Z591" i="23"/>
  <c r="Y591" i="23"/>
  <c r="X591" i="23"/>
  <c r="W591" i="23"/>
  <c r="V591" i="23"/>
  <c r="S591" i="23"/>
  <c r="T591" i="23" s="1"/>
  <c r="S592" i="23" s="1"/>
  <c r="Q591" i="23"/>
  <c r="P591" i="23"/>
  <c r="M591" i="23"/>
  <c r="M593" i="23" s="1"/>
  <c r="M594" i="23" s="1"/>
  <c r="L591" i="23"/>
  <c r="O594" i="23" s="1"/>
  <c r="Z594" i="23" s="1"/>
  <c r="I591" i="23"/>
  <c r="E591" i="23"/>
  <c r="N591" i="23" s="1"/>
  <c r="R591" i="23" s="1"/>
  <c r="C591" i="23"/>
  <c r="Z589" i="23"/>
  <c r="O589" i="23"/>
  <c r="AE587" i="23"/>
  <c r="AD587" i="23"/>
  <c r="N588" i="23" s="1"/>
  <c r="AC587" i="23"/>
  <c r="AA587" i="23"/>
  <c r="Z587" i="23"/>
  <c r="Y587" i="23"/>
  <c r="X587" i="23"/>
  <c r="W587" i="23"/>
  <c r="V587" i="23"/>
  <c r="S587" i="23"/>
  <c r="T587" i="23" s="1"/>
  <c r="S588" i="23" s="1"/>
  <c r="Q587" i="23"/>
  <c r="P587" i="23"/>
  <c r="M587" i="23"/>
  <c r="M589" i="23" s="1"/>
  <c r="M590" i="23" s="1"/>
  <c r="L587" i="23"/>
  <c r="O590" i="23" s="1"/>
  <c r="Z590" i="23" s="1"/>
  <c r="I587" i="23"/>
  <c r="E587" i="23"/>
  <c r="N587" i="23" s="1"/>
  <c r="C587" i="23"/>
  <c r="O585" i="23"/>
  <c r="Z585" i="23" s="1"/>
  <c r="AE583" i="23"/>
  <c r="AC583" i="23"/>
  <c r="AA583" i="23"/>
  <c r="Z583" i="23"/>
  <c r="Y583" i="23"/>
  <c r="X583" i="23"/>
  <c r="W583" i="23"/>
  <c r="V583" i="23"/>
  <c r="S583" i="23"/>
  <c r="T583" i="23" s="1"/>
  <c r="S584" i="23" s="1"/>
  <c r="Q583" i="23"/>
  <c r="P583" i="23"/>
  <c r="M583" i="23"/>
  <c r="M585" i="23" s="1"/>
  <c r="M586" i="23" s="1"/>
  <c r="L583" i="23"/>
  <c r="O586" i="23" s="1"/>
  <c r="Z586" i="23" s="1"/>
  <c r="I583" i="23"/>
  <c r="E583" i="23"/>
  <c r="AD583" i="23" s="1"/>
  <c r="N584" i="23" s="1"/>
  <c r="C583" i="23"/>
  <c r="O581" i="23"/>
  <c r="Z581" i="23" s="1"/>
  <c r="N580" i="23"/>
  <c r="AE579" i="23"/>
  <c r="AD579" i="23"/>
  <c r="AC579" i="23"/>
  <c r="AA579" i="23"/>
  <c r="Z579" i="23"/>
  <c r="Y579" i="23"/>
  <c r="X579" i="23"/>
  <c r="W579" i="23"/>
  <c r="V579" i="23"/>
  <c r="S579" i="23"/>
  <c r="T579" i="23" s="1"/>
  <c r="S580" i="23" s="1"/>
  <c r="Q579" i="23"/>
  <c r="P579" i="23"/>
  <c r="N579" i="23"/>
  <c r="D579" i="23" s="1"/>
  <c r="M579" i="23"/>
  <c r="M581" i="23" s="1"/>
  <c r="M582" i="23" s="1"/>
  <c r="L579" i="23"/>
  <c r="O582" i="23" s="1"/>
  <c r="Z582" i="23" s="1"/>
  <c r="I579" i="23"/>
  <c r="E579" i="23"/>
  <c r="C579" i="23"/>
  <c r="O578" i="23"/>
  <c r="Z578" i="23" s="1"/>
  <c r="O577" i="23"/>
  <c r="Z577" i="23" s="1"/>
  <c r="M577" i="23"/>
  <c r="M578" i="23" s="1"/>
  <c r="AE575" i="23"/>
  <c r="AC575" i="23"/>
  <c r="AA575" i="23"/>
  <c r="Z575" i="23"/>
  <c r="Y575" i="23"/>
  <c r="X575" i="23"/>
  <c r="W575" i="23"/>
  <c r="V575" i="23"/>
  <c r="S575" i="23"/>
  <c r="T575" i="23" s="1"/>
  <c r="S576" i="23" s="1"/>
  <c r="Q575" i="23"/>
  <c r="P575" i="23"/>
  <c r="M575" i="23"/>
  <c r="L575" i="23"/>
  <c r="I575" i="23"/>
  <c r="E575" i="23"/>
  <c r="AD575" i="23" s="1"/>
  <c r="N576" i="23" s="1"/>
  <c r="R576" i="23" s="1"/>
  <c r="C575" i="23"/>
  <c r="O573" i="23"/>
  <c r="Z573" i="23" s="1"/>
  <c r="AE571" i="23"/>
  <c r="AD571" i="23"/>
  <c r="N572" i="23" s="1"/>
  <c r="AC571" i="23"/>
  <c r="AA571" i="23"/>
  <c r="Z571" i="23"/>
  <c r="Y571" i="23"/>
  <c r="X571" i="23"/>
  <c r="W571" i="23"/>
  <c r="V571" i="23"/>
  <c r="S571" i="23"/>
  <c r="T571" i="23" s="1"/>
  <c r="S572" i="23" s="1"/>
  <c r="Q571" i="23"/>
  <c r="P571" i="23"/>
  <c r="N571" i="23"/>
  <c r="M571" i="23"/>
  <c r="M573" i="23" s="1"/>
  <c r="M574" i="23" s="1"/>
  <c r="L571" i="23"/>
  <c r="O574" i="23" s="1"/>
  <c r="Z574" i="23" s="1"/>
  <c r="I571" i="23"/>
  <c r="E571" i="23"/>
  <c r="C571" i="23"/>
  <c r="O569" i="23"/>
  <c r="Z569" i="23" s="1"/>
  <c r="AE567" i="23"/>
  <c r="AC567" i="23"/>
  <c r="AA567" i="23"/>
  <c r="Z567" i="23"/>
  <c r="Y567" i="23"/>
  <c r="X567" i="23"/>
  <c r="W567" i="23"/>
  <c r="V567" i="23"/>
  <c r="S567" i="23"/>
  <c r="T567" i="23" s="1"/>
  <c r="S568" i="23" s="1"/>
  <c r="Q567" i="23"/>
  <c r="P567" i="23"/>
  <c r="M567" i="23"/>
  <c r="M569" i="23" s="1"/>
  <c r="M570" i="23" s="1"/>
  <c r="L567" i="23"/>
  <c r="O570" i="23" s="1"/>
  <c r="Z570" i="23" s="1"/>
  <c r="I567" i="23"/>
  <c r="E567" i="23"/>
  <c r="AD567" i="23" s="1"/>
  <c r="N568" i="23" s="1"/>
  <c r="R568" i="23" s="1"/>
  <c r="C567" i="23"/>
  <c r="O565" i="23"/>
  <c r="Z565" i="23" s="1"/>
  <c r="AE563" i="23"/>
  <c r="AC563" i="23"/>
  <c r="AA563" i="23"/>
  <c r="Z563" i="23"/>
  <c r="Y563" i="23"/>
  <c r="X563" i="23"/>
  <c r="W563" i="23"/>
  <c r="V563" i="23"/>
  <c r="S563" i="23"/>
  <c r="T563" i="23" s="1"/>
  <c r="S564" i="23" s="1"/>
  <c r="Q563" i="23"/>
  <c r="P563" i="23"/>
  <c r="M563" i="23"/>
  <c r="M565" i="23" s="1"/>
  <c r="M566" i="23" s="1"/>
  <c r="L563" i="23"/>
  <c r="O566" i="23" s="1"/>
  <c r="Z566" i="23" s="1"/>
  <c r="I563" i="23"/>
  <c r="E563" i="23"/>
  <c r="C563" i="23"/>
  <c r="O561" i="23"/>
  <c r="Z561" i="23" s="1"/>
  <c r="AE559" i="23"/>
  <c r="AC559" i="23"/>
  <c r="AA559" i="23"/>
  <c r="Z559" i="23"/>
  <c r="Y559" i="23"/>
  <c r="X559" i="23"/>
  <c r="W559" i="23"/>
  <c r="V559" i="23"/>
  <c r="S559" i="23"/>
  <c r="T559" i="23" s="1"/>
  <c r="S560" i="23" s="1"/>
  <c r="Q559" i="23"/>
  <c r="P559" i="23"/>
  <c r="M559" i="23"/>
  <c r="M561" i="23" s="1"/>
  <c r="M562" i="23" s="1"/>
  <c r="L559" i="23"/>
  <c r="O562" i="23" s="1"/>
  <c r="Z562" i="23" s="1"/>
  <c r="I559" i="23"/>
  <c r="E559" i="23"/>
  <c r="AD559" i="23" s="1"/>
  <c r="N560" i="23" s="1"/>
  <c r="C559" i="23"/>
  <c r="O557" i="23"/>
  <c r="Z557" i="23" s="1"/>
  <c r="M557" i="23"/>
  <c r="M558" i="23" s="1"/>
  <c r="AE555" i="23"/>
  <c r="AC555" i="23"/>
  <c r="AA555" i="23"/>
  <c r="Z555" i="23"/>
  <c r="Y555" i="23"/>
  <c r="X555" i="23"/>
  <c r="W555" i="23"/>
  <c r="V555" i="23"/>
  <c r="S555" i="23"/>
  <c r="T555" i="23" s="1"/>
  <c r="S556" i="23" s="1"/>
  <c r="Q555" i="23"/>
  <c r="P555" i="23"/>
  <c r="M555" i="23"/>
  <c r="L555" i="23"/>
  <c r="O558" i="23" s="1"/>
  <c r="Z558" i="23" s="1"/>
  <c r="I555" i="23"/>
  <c r="E555" i="23"/>
  <c r="AD555" i="23" s="1"/>
  <c r="N556" i="23" s="1"/>
  <c r="R556" i="23" s="1"/>
  <c r="C555" i="23"/>
  <c r="O553" i="23"/>
  <c r="Z553" i="23" s="1"/>
  <c r="AE551" i="23"/>
  <c r="AC551" i="23"/>
  <c r="AA551" i="23"/>
  <c r="Z551" i="23"/>
  <c r="Y551" i="23"/>
  <c r="X551" i="23"/>
  <c r="W551" i="23"/>
  <c r="V551" i="23"/>
  <c r="S551" i="23"/>
  <c r="T551" i="23" s="1"/>
  <c r="S552" i="23" s="1"/>
  <c r="Q551" i="23"/>
  <c r="P551" i="23"/>
  <c r="M551" i="23"/>
  <c r="M553" i="23" s="1"/>
  <c r="M554" i="23" s="1"/>
  <c r="L551" i="23"/>
  <c r="O554" i="23" s="1"/>
  <c r="Z554" i="23" s="1"/>
  <c r="I551" i="23"/>
  <c r="E551" i="23"/>
  <c r="AD551" i="23" s="1"/>
  <c r="N552" i="23" s="1"/>
  <c r="R552" i="23" s="1"/>
  <c r="C551" i="23"/>
  <c r="O549" i="23"/>
  <c r="Z549" i="23" s="1"/>
  <c r="AE547" i="23"/>
  <c r="AC547" i="23"/>
  <c r="AA547" i="23"/>
  <c r="Z547" i="23"/>
  <c r="Y547" i="23"/>
  <c r="X547" i="23"/>
  <c r="W547" i="23"/>
  <c r="V547" i="23"/>
  <c r="S547" i="23"/>
  <c r="T547" i="23" s="1"/>
  <c r="S548" i="23" s="1"/>
  <c r="Q547" i="23"/>
  <c r="P547" i="23"/>
  <c r="M547" i="23"/>
  <c r="M549" i="23" s="1"/>
  <c r="M550" i="23" s="1"/>
  <c r="L547" i="23"/>
  <c r="O550" i="23" s="1"/>
  <c r="Z550" i="23" s="1"/>
  <c r="I547" i="23"/>
  <c r="E547" i="23"/>
  <c r="AD547" i="23" s="1"/>
  <c r="N548" i="23" s="1"/>
  <c r="R548" i="23" s="1"/>
  <c r="C547" i="23"/>
  <c r="O545" i="23"/>
  <c r="Z545" i="23" s="1"/>
  <c r="AE543" i="23"/>
  <c r="AC543" i="23"/>
  <c r="AA543" i="23"/>
  <c r="Z543" i="23"/>
  <c r="Y543" i="23"/>
  <c r="X543" i="23"/>
  <c r="W543" i="23"/>
  <c r="V543" i="23"/>
  <c r="S543" i="23"/>
  <c r="T543" i="23" s="1"/>
  <c r="S544" i="23" s="1"/>
  <c r="Q543" i="23"/>
  <c r="P543" i="23"/>
  <c r="M543" i="23"/>
  <c r="M545" i="23" s="1"/>
  <c r="M546" i="23" s="1"/>
  <c r="L543" i="23"/>
  <c r="O546" i="23" s="1"/>
  <c r="Z546" i="23" s="1"/>
  <c r="I543" i="23"/>
  <c r="E543" i="23"/>
  <c r="N543" i="23" s="1"/>
  <c r="D543" i="23" s="1"/>
  <c r="C543" i="23"/>
  <c r="O541" i="23"/>
  <c r="Z541" i="23" s="1"/>
  <c r="AE539" i="23"/>
  <c r="AD539" i="23"/>
  <c r="N540" i="23" s="1"/>
  <c r="R540" i="23" s="1"/>
  <c r="AC539" i="23"/>
  <c r="AA539" i="23"/>
  <c r="Z539" i="23"/>
  <c r="Y539" i="23"/>
  <c r="X539" i="23"/>
  <c r="W539" i="23"/>
  <c r="V539" i="23"/>
  <c r="S539" i="23"/>
  <c r="T539" i="23" s="1"/>
  <c r="S540" i="23" s="1"/>
  <c r="Q539" i="23"/>
  <c r="P539" i="23"/>
  <c r="M539" i="23"/>
  <c r="M541" i="23" s="1"/>
  <c r="M542" i="23" s="1"/>
  <c r="L539" i="23"/>
  <c r="O542" i="23" s="1"/>
  <c r="Z542" i="23" s="1"/>
  <c r="I539" i="23"/>
  <c r="E539" i="23"/>
  <c r="N539" i="23" s="1"/>
  <c r="C539" i="23"/>
  <c r="O537" i="23"/>
  <c r="Z537" i="23" s="1"/>
  <c r="AE535" i="23"/>
  <c r="AC535" i="23"/>
  <c r="AA535" i="23"/>
  <c r="Z535" i="23"/>
  <c r="Y535" i="23"/>
  <c r="X535" i="23"/>
  <c r="W535" i="23"/>
  <c r="V535" i="23"/>
  <c r="S535" i="23"/>
  <c r="T535" i="23" s="1"/>
  <c r="S536" i="23" s="1"/>
  <c r="Q535" i="23"/>
  <c r="P535" i="23"/>
  <c r="M535" i="23"/>
  <c r="M537" i="23" s="1"/>
  <c r="M538" i="23" s="1"/>
  <c r="L535" i="23"/>
  <c r="O538" i="23" s="1"/>
  <c r="Z538" i="23" s="1"/>
  <c r="I535" i="23"/>
  <c r="E535" i="23"/>
  <c r="AD535" i="23" s="1"/>
  <c r="N536" i="23" s="1"/>
  <c r="C535" i="23"/>
  <c r="O534" i="23"/>
  <c r="Z534" i="23" s="1"/>
  <c r="O533" i="23"/>
  <c r="Z533" i="23" s="1"/>
  <c r="M533" i="23"/>
  <c r="M534" i="23" s="1"/>
  <c r="AE531" i="23"/>
  <c r="AC531" i="23"/>
  <c r="AA531" i="23"/>
  <c r="Z531" i="23"/>
  <c r="Y531" i="23"/>
  <c r="X531" i="23"/>
  <c r="W531" i="23"/>
  <c r="V531" i="23"/>
  <c r="S531" i="23"/>
  <c r="T531" i="23" s="1"/>
  <c r="S532" i="23" s="1"/>
  <c r="Q531" i="23"/>
  <c r="P531" i="23"/>
  <c r="M531" i="23"/>
  <c r="L531" i="23"/>
  <c r="I531" i="23"/>
  <c r="E531" i="23"/>
  <c r="N531" i="23" s="1"/>
  <c r="D531" i="23" s="1"/>
  <c r="C531" i="23"/>
  <c r="O529" i="23"/>
  <c r="Z529" i="23" s="1"/>
  <c r="M529" i="23"/>
  <c r="M530" i="23" s="1"/>
  <c r="AE527" i="23"/>
  <c r="AC527" i="23"/>
  <c r="AA527" i="23"/>
  <c r="Z527" i="23"/>
  <c r="Y527" i="23"/>
  <c r="X527" i="23"/>
  <c r="W527" i="23"/>
  <c r="V527" i="23"/>
  <c r="S527" i="23"/>
  <c r="T527" i="23" s="1"/>
  <c r="S528" i="23" s="1"/>
  <c r="Q527" i="23"/>
  <c r="P527" i="23"/>
  <c r="M527" i="23"/>
  <c r="L527" i="23"/>
  <c r="O530" i="23" s="1"/>
  <c r="Z530" i="23" s="1"/>
  <c r="I527" i="23"/>
  <c r="E527" i="23"/>
  <c r="N527" i="23" s="1"/>
  <c r="D527" i="23" s="1"/>
  <c r="C527" i="23"/>
  <c r="O525" i="23"/>
  <c r="Z525" i="23" s="1"/>
  <c r="AE523" i="23"/>
  <c r="AD523" i="23"/>
  <c r="N524" i="23" s="1"/>
  <c r="AC523" i="23"/>
  <c r="AA523" i="23"/>
  <c r="Z523" i="23"/>
  <c r="Y523" i="23"/>
  <c r="X523" i="23"/>
  <c r="W523" i="23"/>
  <c r="V523" i="23"/>
  <c r="T523" i="23"/>
  <c r="S524" i="23" s="1"/>
  <c r="S523" i="23"/>
  <c r="Q523" i="23"/>
  <c r="P523" i="23"/>
  <c r="N523" i="23"/>
  <c r="M523" i="23"/>
  <c r="M525" i="23" s="1"/>
  <c r="M526" i="23" s="1"/>
  <c r="L523" i="23"/>
  <c r="O526" i="23" s="1"/>
  <c r="Z526" i="23" s="1"/>
  <c r="I523" i="23"/>
  <c r="E523" i="23"/>
  <c r="C523" i="23"/>
  <c r="O521" i="23"/>
  <c r="Z521" i="23" s="1"/>
  <c r="AE519" i="23"/>
  <c r="AC519" i="23"/>
  <c r="AA519" i="23"/>
  <c r="Z519" i="23"/>
  <c r="Y519" i="23"/>
  <c r="X519" i="23"/>
  <c r="W519" i="23"/>
  <c r="V519" i="23"/>
  <c r="S519" i="23"/>
  <c r="T519" i="23" s="1"/>
  <c r="S520" i="23" s="1"/>
  <c r="Q519" i="23"/>
  <c r="P519" i="23"/>
  <c r="M519" i="23"/>
  <c r="M521" i="23" s="1"/>
  <c r="M522" i="23" s="1"/>
  <c r="L519" i="23"/>
  <c r="O522" i="23" s="1"/>
  <c r="Z522" i="23" s="1"/>
  <c r="I519" i="23"/>
  <c r="E519" i="23"/>
  <c r="AD519" i="23" s="1"/>
  <c r="N520" i="23" s="1"/>
  <c r="C519" i="23"/>
  <c r="O517" i="23"/>
  <c r="Z517" i="23" s="1"/>
  <c r="AE515" i="23"/>
  <c r="AC515" i="23"/>
  <c r="AA515" i="23"/>
  <c r="Z515" i="23"/>
  <c r="Y515" i="23"/>
  <c r="X515" i="23"/>
  <c r="W515" i="23"/>
  <c r="V515" i="23"/>
  <c r="T515" i="23"/>
  <c r="S516" i="23" s="1"/>
  <c r="S515" i="23"/>
  <c r="Q515" i="23"/>
  <c r="P515" i="23"/>
  <c r="M515" i="23"/>
  <c r="M517" i="23" s="1"/>
  <c r="M518" i="23" s="1"/>
  <c r="L515" i="23"/>
  <c r="O518" i="23" s="1"/>
  <c r="Z518" i="23" s="1"/>
  <c r="I515" i="23"/>
  <c r="E515" i="23"/>
  <c r="C515" i="23"/>
  <c r="O513" i="23"/>
  <c r="Z513" i="23" s="1"/>
  <c r="AE511" i="23"/>
  <c r="AC511" i="23"/>
  <c r="AA511" i="23"/>
  <c r="Z511" i="23"/>
  <c r="Y511" i="23"/>
  <c r="X511" i="23"/>
  <c r="W511" i="23"/>
  <c r="V511" i="23"/>
  <c r="S511" i="23"/>
  <c r="T511" i="23" s="1"/>
  <c r="S512" i="23" s="1"/>
  <c r="Q511" i="23"/>
  <c r="P511" i="23"/>
  <c r="N511" i="23"/>
  <c r="D511" i="23" s="1"/>
  <c r="M511" i="23"/>
  <c r="M513" i="23" s="1"/>
  <c r="M514" i="23" s="1"/>
  <c r="L511" i="23"/>
  <c r="O514" i="23" s="1"/>
  <c r="Z514" i="23" s="1"/>
  <c r="I511" i="23"/>
  <c r="E511" i="23"/>
  <c r="AD511" i="23" s="1"/>
  <c r="N512" i="23" s="1"/>
  <c r="R512" i="23" s="1"/>
  <c r="C511" i="23"/>
  <c r="O509" i="23"/>
  <c r="Z509" i="23" s="1"/>
  <c r="AE507" i="23"/>
  <c r="AC507" i="23"/>
  <c r="AA507" i="23"/>
  <c r="Z507" i="23"/>
  <c r="Y507" i="23"/>
  <c r="X507" i="23"/>
  <c r="W507" i="23"/>
  <c r="V507" i="23"/>
  <c r="S507" i="23"/>
  <c r="T507" i="23" s="1"/>
  <c r="S508" i="23" s="1"/>
  <c r="Q507" i="23"/>
  <c r="P507" i="23"/>
  <c r="M507" i="23"/>
  <c r="M509" i="23" s="1"/>
  <c r="M510" i="23" s="1"/>
  <c r="L507" i="23"/>
  <c r="O510" i="23" s="1"/>
  <c r="Z510" i="23" s="1"/>
  <c r="I507" i="23"/>
  <c r="E507" i="23"/>
  <c r="AD507" i="23" s="1"/>
  <c r="N508" i="23" s="1"/>
  <c r="R508" i="23" s="1"/>
  <c r="C507" i="23"/>
  <c r="O505" i="23"/>
  <c r="Z505" i="23" s="1"/>
  <c r="AE503" i="23"/>
  <c r="AC503" i="23"/>
  <c r="AA503" i="23"/>
  <c r="Z503" i="23"/>
  <c r="Y503" i="23"/>
  <c r="X503" i="23"/>
  <c r="W503" i="23"/>
  <c r="V503" i="23"/>
  <c r="S503" i="23"/>
  <c r="T503" i="23" s="1"/>
  <c r="S504" i="23" s="1"/>
  <c r="Q503" i="23"/>
  <c r="P503" i="23"/>
  <c r="M503" i="23"/>
  <c r="M505" i="23" s="1"/>
  <c r="M506" i="23" s="1"/>
  <c r="L503" i="23"/>
  <c r="O506" i="23" s="1"/>
  <c r="Z506" i="23" s="1"/>
  <c r="I503" i="23"/>
  <c r="E503" i="23"/>
  <c r="AD503" i="23" s="1"/>
  <c r="N504" i="23" s="1"/>
  <c r="R504" i="23" s="1"/>
  <c r="C503" i="23"/>
  <c r="O501" i="23"/>
  <c r="Z501" i="23" s="1"/>
  <c r="AE499" i="23"/>
  <c r="AC499" i="23"/>
  <c r="AA499" i="23"/>
  <c r="Z499" i="23"/>
  <c r="Y499" i="23"/>
  <c r="X499" i="23"/>
  <c r="W499" i="23"/>
  <c r="V499" i="23"/>
  <c r="S499" i="23"/>
  <c r="T499" i="23" s="1"/>
  <c r="S500" i="23" s="1"/>
  <c r="Q499" i="23"/>
  <c r="P499" i="23"/>
  <c r="M499" i="23"/>
  <c r="M501" i="23" s="1"/>
  <c r="M502" i="23" s="1"/>
  <c r="L499" i="23"/>
  <c r="O502" i="23" s="1"/>
  <c r="Z502" i="23" s="1"/>
  <c r="I499" i="23"/>
  <c r="E499" i="23"/>
  <c r="AD499" i="23" s="1"/>
  <c r="N500" i="23" s="1"/>
  <c r="C499" i="23"/>
  <c r="O497" i="23"/>
  <c r="Z497" i="23" s="1"/>
  <c r="AE495" i="23"/>
  <c r="AC495" i="23"/>
  <c r="AA495" i="23"/>
  <c r="Z495" i="23"/>
  <c r="Y495" i="23"/>
  <c r="X495" i="23"/>
  <c r="W495" i="23"/>
  <c r="V495" i="23"/>
  <c r="S495" i="23"/>
  <c r="T495" i="23" s="1"/>
  <c r="S496" i="23" s="1"/>
  <c r="Q495" i="23"/>
  <c r="P495" i="23"/>
  <c r="M495" i="23"/>
  <c r="M497" i="23" s="1"/>
  <c r="M498" i="23" s="1"/>
  <c r="L495" i="23"/>
  <c r="O498" i="23" s="1"/>
  <c r="Z498" i="23" s="1"/>
  <c r="I495" i="23"/>
  <c r="E495" i="23"/>
  <c r="N495" i="23" s="1"/>
  <c r="D495" i="23" s="1"/>
  <c r="C495" i="23"/>
  <c r="O493" i="23"/>
  <c r="Z493" i="23" s="1"/>
  <c r="AE491" i="23"/>
  <c r="AC491" i="23"/>
  <c r="AA491" i="23"/>
  <c r="Z491" i="23"/>
  <c r="Y491" i="23"/>
  <c r="X491" i="23"/>
  <c r="W491" i="23"/>
  <c r="V491" i="23"/>
  <c r="T491" i="23"/>
  <c r="S492" i="23" s="1"/>
  <c r="S491" i="23"/>
  <c r="Q491" i="23"/>
  <c r="P491" i="23"/>
  <c r="M491" i="23"/>
  <c r="M493" i="23" s="1"/>
  <c r="M494" i="23" s="1"/>
  <c r="L491" i="23"/>
  <c r="O494" i="23" s="1"/>
  <c r="Z494" i="23" s="1"/>
  <c r="I491" i="23"/>
  <c r="E491" i="23"/>
  <c r="N491" i="23" s="1"/>
  <c r="D491" i="23" s="1"/>
  <c r="C491" i="23"/>
  <c r="O489" i="23"/>
  <c r="Z489" i="23" s="1"/>
  <c r="M489" i="23"/>
  <c r="M490" i="23" s="1"/>
  <c r="AE487" i="23"/>
  <c r="AC487" i="23"/>
  <c r="AA487" i="23"/>
  <c r="Z487" i="23"/>
  <c r="Y487" i="23"/>
  <c r="X487" i="23"/>
  <c r="W487" i="23"/>
  <c r="V487" i="23"/>
  <c r="T487" i="23"/>
  <c r="S488" i="23" s="1"/>
  <c r="S487" i="23"/>
  <c r="Q487" i="23"/>
  <c r="P487" i="23"/>
  <c r="M487" i="23"/>
  <c r="L487" i="23"/>
  <c r="O490" i="23" s="1"/>
  <c r="Z490" i="23" s="1"/>
  <c r="I487" i="23"/>
  <c r="E487" i="23"/>
  <c r="AD487" i="23" s="1"/>
  <c r="N488" i="23" s="1"/>
  <c r="R488" i="23" s="1"/>
  <c r="C487" i="23"/>
  <c r="O485" i="23"/>
  <c r="Z485" i="23" s="1"/>
  <c r="M485" i="23"/>
  <c r="M486" i="23" s="1"/>
  <c r="AE483" i="23"/>
  <c r="AC483" i="23"/>
  <c r="AA483" i="23"/>
  <c r="Z483" i="23"/>
  <c r="Y483" i="23"/>
  <c r="X483" i="23"/>
  <c r="W483" i="23"/>
  <c r="V483" i="23"/>
  <c r="T483" i="23"/>
  <c r="S484" i="23" s="1"/>
  <c r="S483" i="23"/>
  <c r="Q483" i="23"/>
  <c r="P483" i="23"/>
  <c r="M483" i="23"/>
  <c r="L483" i="23"/>
  <c r="O486" i="23" s="1"/>
  <c r="Z486" i="23" s="1"/>
  <c r="I483" i="23"/>
  <c r="E483" i="23"/>
  <c r="N483" i="23" s="1"/>
  <c r="D483" i="23" s="1"/>
  <c r="C483" i="23"/>
  <c r="O481" i="23"/>
  <c r="Z481" i="23" s="1"/>
  <c r="S480" i="23"/>
  <c r="AE479" i="23"/>
  <c r="AD479" i="23"/>
  <c r="N480" i="23" s="1"/>
  <c r="R480" i="23" s="1"/>
  <c r="AC479" i="23"/>
  <c r="AA479" i="23"/>
  <c r="Z479" i="23"/>
  <c r="Y479" i="23"/>
  <c r="X479" i="23"/>
  <c r="W479" i="23"/>
  <c r="V479" i="23"/>
  <c r="T479" i="23"/>
  <c r="S479" i="23"/>
  <c r="Q479" i="23"/>
  <c r="P479" i="23"/>
  <c r="M479" i="23"/>
  <c r="M481" i="23" s="1"/>
  <c r="M482" i="23" s="1"/>
  <c r="L479" i="23"/>
  <c r="O482" i="23" s="1"/>
  <c r="Z482" i="23" s="1"/>
  <c r="I479" i="23"/>
  <c r="E479" i="23"/>
  <c r="N479" i="23" s="1"/>
  <c r="C479" i="23"/>
  <c r="O477" i="23"/>
  <c r="Z477" i="23" s="1"/>
  <c r="AE475" i="23"/>
  <c r="AC475" i="23"/>
  <c r="AA475" i="23"/>
  <c r="Z475" i="23"/>
  <c r="Y475" i="23"/>
  <c r="X475" i="23"/>
  <c r="W475" i="23"/>
  <c r="V475" i="23"/>
  <c r="T475" i="23"/>
  <c r="S476" i="23" s="1"/>
  <c r="S475" i="23"/>
  <c r="Q475" i="23"/>
  <c r="P475" i="23"/>
  <c r="M475" i="23"/>
  <c r="M477" i="23" s="1"/>
  <c r="M478" i="23" s="1"/>
  <c r="L475" i="23"/>
  <c r="O478" i="23" s="1"/>
  <c r="Z478" i="23" s="1"/>
  <c r="I475" i="23"/>
  <c r="E475" i="23"/>
  <c r="AD475" i="23" s="1"/>
  <c r="N476" i="23" s="1"/>
  <c r="R476" i="23" s="1"/>
  <c r="C475" i="23"/>
  <c r="O473" i="23"/>
  <c r="Z473" i="23" s="1"/>
  <c r="AE471" i="23"/>
  <c r="AC471" i="23"/>
  <c r="AA471" i="23"/>
  <c r="Z471" i="23"/>
  <c r="Y471" i="23"/>
  <c r="X471" i="23"/>
  <c r="W471" i="23"/>
  <c r="V471" i="23"/>
  <c r="T471" i="23"/>
  <c r="S472" i="23" s="1"/>
  <c r="S471" i="23"/>
  <c r="Q471" i="23"/>
  <c r="P471" i="23"/>
  <c r="N471" i="23"/>
  <c r="M471" i="23"/>
  <c r="M473" i="23" s="1"/>
  <c r="M474" i="23" s="1"/>
  <c r="L471" i="23"/>
  <c r="O474" i="23" s="1"/>
  <c r="Z474" i="23" s="1"/>
  <c r="I471" i="23"/>
  <c r="E471" i="23"/>
  <c r="AD471" i="23" s="1"/>
  <c r="N472" i="23" s="1"/>
  <c r="C471" i="23"/>
  <c r="O469" i="23"/>
  <c r="Z469" i="23" s="1"/>
  <c r="AE467" i="23"/>
  <c r="AC467" i="23"/>
  <c r="AA467" i="23"/>
  <c r="Z467" i="23"/>
  <c r="Y467" i="23"/>
  <c r="X467" i="23"/>
  <c r="W467" i="23"/>
  <c r="V467" i="23"/>
  <c r="T467" i="23"/>
  <c r="S468" i="23" s="1"/>
  <c r="S467" i="23"/>
  <c r="Q467" i="23"/>
  <c r="P467" i="23"/>
  <c r="M467" i="23"/>
  <c r="M469" i="23" s="1"/>
  <c r="M470" i="23" s="1"/>
  <c r="L467" i="23"/>
  <c r="O470" i="23" s="1"/>
  <c r="Z470" i="23" s="1"/>
  <c r="I467" i="23"/>
  <c r="E467" i="23"/>
  <c r="C467" i="23"/>
  <c r="O465" i="23"/>
  <c r="Z465" i="23" s="1"/>
  <c r="AE463" i="23"/>
  <c r="AC463" i="23"/>
  <c r="AA463" i="23"/>
  <c r="Z463" i="23"/>
  <c r="Y463" i="23"/>
  <c r="X463" i="23"/>
  <c r="W463" i="23"/>
  <c r="V463" i="23"/>
  <c r="T463" i="23"/>
  <c r="S464" i="23" s="1"/>
  <c r="S463" i="23"/>
  <c r="Q463" i="23"/>
  <c r="P463" i="23"/>
  <c r="N463" i="23"/>
  <c r="D463" i="23" s="1"/>
  <c r="M463" i="23"/>
  <c r="M465" i="23" s="1"/>
  <c r="M466" i="23" s="1"/>
  <c r="L463" i="23"/>
  <c r="O466" i="23" s="1"/>
  <c r="Z466" i="23" s="1"/>
  <c r="I463" i="23"/>
  <c r="E463" i="23"/>
  <c r="AD463" i="23" s="1"/>
  <c r="N464" i="23" s="1"/>
  <c r="R464" i="23" s="1"/>
  <c r="C463" i="23"/>
  <c r="O461" i="23"/>
  <c r="Z461" i="23" s="1"/>
  <c r="AE459" i="23"/>
  <c r="AC459" i="23"/>
  <c r="AA459" i="23"/>
  <c r="Z459" i="23"/>
  <c r="Y459" i="23"/>
  <c r="X459" i="23"/>
  <c r="W459" i="23"/>
  <c r="V459" i="23"/>
  <c r="T459" i="23"/>
  <c r="S460" i="23" s="1"/>
  <c r="S459" i="23"/>
  <c r="Q459" i="23"/>
  <c r="P459" i="23"/>
  <c r="M459" i="23"/>
  <c r="M461" i="23" s="1"/>
  <c r="M462" i="23" s="1"/>
  <c r="L459" i="23"/>
  <c r="O462" i="23" s="1"/>
  <c r="Z462" i="23" s="1"/>
  <c r="I459" i="23"/>
  <c r="E459" i="23"/>
  <c r="AD459" i="23" s="1"/>
  <c r="N460" i="23" s="1"/>
  <c r="C459" i="23"/>
  <c r="O457" i="23"/>
  <c r="Z457" i="23" s="1"/>
  <c r="AE455" i="23"/>
  <c r="AC455" i="23"/>
  <c r="AA455" i="23"/>
  <c r="Z455" i="23"/>
  <c r="Y455" i="23"/>
  <c r="X455" i="23"/>
  <c r="W455" i="23"/>
  <c r="V455" i="23"/>
  <c r="T455" i="23"/>
  <c r="S456" i="23" s="1"/>
  <c r="S455" i="23"/>
  <c r="Q455" i="23"/>
  <c r="P455" i="23"/>
  <c r="M455" i="23"/>
  <c r="M457" i="23" s="1"/>
  <c r="M458" i="23" s="1"/>
  <c r="L455" i="23"/>
  <c r="O458" i="23" s="1"/>
  <c r="Z458" i="23" s="1"/>
  <c r="I455" i="23"/>
  <c r="E455" i="23"/>
  <c r="AD455" i="23" s="1"/>
  <c r="N456" i="23" s="1"/>
  <c r="R456" i="23" s="1"/>
  <c r="C455" i="23"/>
  <c r="O453" i="23"/>
  <c r="Z453" i="23" s="1"/>
  <c r="AE451" i="23"/>
  <c r="AC451" i="23"/>
  <c r="AA451" i="23"/>
  <c r="Z451" i="23"/>
  <c r="Y451" i="23"/>
  <c r="X451" i="23"/>
  <c r="W451" i="23"/>
  <c r="V451" i="23"/>
  <c r="T451" i="23"/>
  <c r="S452" i="23" s="1"/>
  <c r="S451" i="23"/>
  <c r="Q451" i="23"/>
  <c r="P451" i="23"/>
  <c r="M451" i="23"/>
  <c r="M453" i="23" s="1"/>
  <c r="M454" i="23" s="1"/>
  <c r="L451" i="23"/>
  <c r="O454" i="23" s="1"/>
  <c r="Z454" i="23" s="1"/>
  <c r="I451" i="23"/>
  <c r="E451" i="23"/>
  <c r="AD451" i="23" s="1"/>
  <c r="N452" i="23" s="1"/>
  <c r="R452" i="23" s="1"/>
  <c r="C451" i="23"/>
  <c r="O449" i="23"/>
  <c r="Z449" i="23" s="1"/>
  <c r="M449" i="23"/>
  <c r="M450" i="23" s="1"/>
  <c r="AE447" i="23"/>
  <c r="AD447" i="23"/>
  <c r="N448" i="23" s="1"/>
  <c r="AC447" i="23"/>
  <c r="AA447" i="23"/>
  <c r="Z447" i="23"/>
  <c r="Y447" i="23"/>
  <c r="X447" i="23"/>
  <c r="W447" i="23"/>
  <c r="V447" i="23"/>
  <c r="T447" i="23"/>
  <c r="S448" i="23" s="1"/>
  <c r="S447" i="23"/>
  <c r="Q447" i="23"/>
  <c r="P447" i="23"/>
  <c r="M447" i="23"/>
  <c r="L447" i="23"/>
  <c r="O450" i="23" s="1"/>
  <c r="Z450" i="23" s="1"/>
  <c r="I447" i="23"/>
  <c r="E447" i="23"/>
  <c r="N447" i="23" s="1"/>
  <c r="C447" i="23"/>
  <c r="O445" i="23"/>
  <c r="Z445" i="23" s="1"/>
  <c r="AE443" i="23"/>
  <c r="AC443" i="23"/>
  <c r="AA443" i="23"/>
  <c r="Z443" i="23"/>
  <c r="Y443" i="23"/>
  <c r="X443" i="23"/>
  <c r="W443" i="23"/>
  <c r="V443" i="23"/>
  <c r="T443" i="23"/>
  <c r="S444" i="23" s="1"/>
  <c r="S443" i="23"/>
  <c r="Q443" i="23"/>
  <c r="P443" i="23"/>
  <c r="M443" i="23"/>
  <c r="M445" i="23" s="1"/>
  <c r="M446" i="23" s="1"/>
  <c r="L443" i="23"/>
  <c r="O446" i="23" s="1"/>
  <c r="Z446" i="23" s="1"/>
  <c r="I443" i="23"/>
  <c r="E443" i="23"/>
  <c r="N443" i="23" s="1"/>
  <c r="D443" i="23" s="1"/>
  <c r="C443" i="23"/>
  <c r="O441" i="23"/>
  <c r="Z441" i="23" s="1"/>
  <c r="AE439" i="23"/>
  <c r="AC439" i="23"/>
  <c r="AA439" i="23"/>
  <c r="Z439" i="23"/>
  <c r="Y439" i="23"/>
  <c r="X439" i="23"/>
  <c r="W439" i="23"/>
  <c r="V439" i="23"/>
  <c r="T439" i="23"/>
  <c r="S440" i="23" s="1"/>
  <c r="S439" i="23"/>
  <c r="Q439" i="23"/>
  <c r="P439" i="23"/>
  <c r="M439" i="23"/>
  <c r="M441" i="23" s="1"/>
  <c r="M442" i="23" s="1"/>
  <c r="L439" i="23"/>
  <c r="O442" i="23" s="1"/>
  <c r="Z442" i="23" s="1"/>
  <c r="I439" i="23"/>
  <c r="E439" i="23"/>
  <c r="AD439" i="23" s="1"/>
  <c r="N440" i="23" s="1"/>
  <c r="R440" i="23" s="1"/>
  <c r="C439" i="23"/>
  <c r="O437" i="23"/>
  <c r="Z437" i="23" s="1"/>
  <c r="AE435" i="23"/>
  <c r="AD435" i="23"/>
  <c r="N436" i="23" s="1"/>
  <c r="R436" i="23" s="1"/>
  <c r="AC435" i="23"/>
  <c r="AA435" i="23"/>
  <c r="Z435" i="23"/>
  <c r="Y435" i="23"/>
  <c r="X435" i="23"/>
  <c r="W435" i="23"/>
  <c r="V435" i="23"/>
  <c r="T435" i="23"/>
  <c r="S436" i="23" s="1"/>
  <c r="S435" i="23"/>
  <c r="Q435" i="23"/>
  <c r="P435" i="23"/>
  <c r="M435" i="23"/>
  <c r="M437" i="23" s="1"/>
  <c r="M438" i="23" s="1"/>
  <c r="L435" i="23"/>
  <c r="O438" i="23" s="1"/>
  <c r="Z438" i="23" s="1"/>
  <c r="I435" i="23"/>
  <c r="E435" i="23"/>
  <c r="N435" i="23" s="1"/>
  <c r="C435" i="23"/>
  <c r="O434" i="23"/>
  <c r="Z434" i="23" s="1"/>
  <c r="O433" i="23"/>
  <c r="Z433" i="23" s="1"/>
  <c r="AE431" i="23"/>
  <c r="AD431" i="23"/>
  <c r="N432" i="23" s="1"/>
  <c r="AC431" i="23"/>
  <c r="AA431" i="23"/>
  <c r="Z431" i="23"/>
  <c r="Y431" i="23"/>
  <c r="X431" i="23"/>
  <c r="W431" i="23"/>
  <c r="V431" i="23"/>
  <c r="T431" i="23"/>
  <c r="S432" i="23" s="1"/>
  <c r="S431" i="23"/>
  <c r="Q431" i="23"/>
  <c r="P431" i="23"/>
  <c r="M431" i="23"/>
  <c r="M433" i="23" s="1"/>
  <c r="M434" i="23" s="1"/>
  <c r="L431" i="23"/>
  <c r="I431" i="23"/>
  <c r="E431" i="23"/>
  <c r="N431" i="23" s="1"/>
  <c r="C431" i="23"/>
  <c r="O429" i="23"/>
  <c r="Z429" i="23" s="1"/>
  <c r="AE427" i="23"/>
  <c r="AC427" i="23"/>
  <c r="AA427" i="23"/>
  <c r="Z427" i="23"/>
  <c r="Y427" i="23"/>
  <c r="X427" i="23"/>
  <c r="W427" i="23"/>
  <c r="V427" i="23"/>
  <c r="T427" i="23"/>
  <c r="S428" i="23" s="1"/>
  <c r="S427" i="23"/>
  <c r="Q427" i="23"/>
  <c r="P427" i="23"/>
  <c r="M427" i="23"/>
  <c r="M429" i="23" s="1"/>
  <c r="M430" i="23" s="1"/>
  <c r="L427" i="23"/>
  <c r="O430" i="23" s="1"/>
  <c r="Z430" i="23" s="1"/>
  <c r="I427" i="23"/>
  <c r="E427" i="23"/>
  <c r="AD427" i="23" s="1"/>
  <c r="N428" i="23" s="1"/>
  <c r="R428" i="23" s="1"/>
  <c r="C427" i="23"/>
  <c r="O425" i="23"/>
  <c r="Z425" i="23" s="1"/>
  <c r="AE423" i="23"/>
  <c r="AC423" i="23"/>
  <c r="AA423" i="23"/>
  <c r="Z423" i="23"/>
  <c r="Y423" i="23"/>
  <c r="X423" i="23"/>
  <c r="W423" i="23"/>
  <c r="V423" i="23"/>
  <c r="T423" i="23"/>
  <c r="S424" i="23" s="1"/>
  <c r="S423" i="23"/>
  <c r="Q423" i="23"/>
  <c r="P423" i="23"/>
  <c r="M423" i="23"/>
  <c r="M425" i="23" s="1"/>
  <c r="M426" i="23" s="1"/>
  <c r="L423" i="23"/>
  <c r="O426" i="23" s="1"/>
  <c r="Z426" i="23" s="1"/>
  <c r="I423" i="23"/>
  <c r="E423" i="23"/>
  <c r="AD423" i="23" s="1"/>
  <c r="N424" i="23" s="1"/>
  <c r="C423" i="23"/>
  <c r="O421" i="23"/>
  <c r="Z421" i="23" s="1"/>
  <c r="AE419" i="23"/>
  <c r="AC419" i="23"/>
  <c r="AA419" i="23"/>
  <c r="Z419" i="23"/>
  <c r="Y419" i="23"/>
  <c r="X419" i="23"/>
  <c r="W419" i="23"/>
  <c r="V419" i="23"/>
  <c r="T419" i="23"/>
  <c r="S420" i="23" s="1"/>
  <c r="S419" i="23"/>
  <c r="Q419" i="23"/>
  <c r="P419" i="23"/>
  <c r="M419" i="23"/>
  <c r="M421" i="23" s="1"/>
  <c r="M422" i="23" s="1"/>
  <c r="L419" i="23"/>
  <c r="O422" i="23" s="1"/>
  <c r="Z422" i="23" s="1"/>
  <c r="I419" i="23"/>
  <c r="E419" i="23"/>
  <c r="C419" i="23"/>
  <c r="O417" i="23"/>
  <c r="Z417" i="23" s="1"/>
  <c r="AE415" i="23"/>
  <c r="AC415" i="23"/>
  <c r="AA415" i="23"/>
  <c r="Z415" i="23"/>
  <c r="Y415" i="23"/>
  <c r="X415" i="23"/>
  <c r="W415" i="23"/>
  <c r="V415" i="23"/>
  <c r="T415" i="23"/>
  <c r="S416" i="23" s="1"/>
  <c r="S415" i="23"/>
  <c r="Q415" i="23"/>
  <c r="P415" i="23"/>
  <c r="N415" i="23"/>
  <c r="D415" i="23" s="1"/>
  <c r="M415" i="23"/>
  <c r="M417" i="23" s="1"/>
  <c r="M418" i="23" s="1"/>
  <c r="L415" i="23"/>
  <c r="O418" i="23" s="1"/>
  <c r="Z418" i="23" s="1"/>
  <c r="I415" i="23"/>
  <c r="E415" i="23"/>
  <c r="AD415" i="23" s="1"/>
  <c r="N416" i="23" s="1"/>
  <c r="R416" i="23" s="1"/>
  <c r="C415" i="23"/>
  <c r="M414" i="23"/>
  <c r="O413" i="23"/>
  <c r="Z413" i="23" s="1"/>
  <c r="AE411" i="23"/>
  <c r="AC411" i="23"/>
  <c r="AA411" i="23"/>
  <c r="Z411" i="23"/>
  <c r="Y411" i="23"/>
  <c r="X411" i="23"/>
  <c r="W411" i="23"/>
  <c r="V411" i="23"/>
  <c r="T411" i="23"/>
  <c r="S412" i="23" s="1"/>
  <c r="S411" i="23"/>
  <c r="Q411" i="23"/>
  <c r="P411" i="23"/>
  <c r="M411" i="23"/>
  <c r="M413" i="23" s="1"/>
  <c r="L411" i="23"/>
  <c r="O414" i="23" s="1"/>
  <c r="Z414" i="23" s="1"/>
  <c r="I411" i="23"/>
  <c r="E411" i="23"/>
  <c r="C411" i="23"/>
  <c r="O409" i="23"/>
  <c r="Z409" i="23" s="1"/>
  <c r="AE407" i="23"/>
  <c r="AC407" i="23"/>
  <c r="AA407" i="23"/>
  <c r="Z407" i="23"/>
  <c r="Y407" i="23"/>
  <c r="X407" i="23"/>
  <c r="W407" i="23"/>
  <c r="V407" i="23"/>
  <c r="T407" i="23"/>
  <c r="S408" i="23" s="1"/>
  <c r="S407" i="23"/>
  <c r="Q407" i="23"/>
  <c r="P407" i="23"/>
  <c r="M407" i="23"/>
  <c r="M409" i="23" s="1"/>
  <c r="M410" i="23" s="1"/>
  <c r="L407" i="23"/>
  <c r="O410" i="23" s="1"/>
  <c r="Z410" i="23" s="1"/>
  <c r="I407" i="23"/>
  <c r="E407" i="23"/>
  <c r="AD407" i="23" s="1"/>
  <c r="N408" i="23" s="1"/>
  <c r="C407" i="23"/>
  <c r="O405" i="23"/>
  <c r="Z405" i="23" s="1"/>
  <c r="AE403" i="23"/>
  <c r="AC403" i="23"/>
  <c r="AA403" i="23"/>
  <c r="Z403" i="23"/>
  <c r="Y403" i="23"/>
  <c r="X403" i="23"/>
  <c r="W403" i="23"/>
  <c r="V403" i="23"/>
  <c r="T403" i="23"/>
  <c r="S404" i="23" s="1"/>
  <c r="S403" i="23"/>
  <c r="Q403" i="23"/>
  <c r="P403" i="23"/>
  <c r="M403" i="23"/>
  <c r="M405" i="23" s="1"/>
  <c r="M406" i="23" s="1"/>
  <c r="L403" i="23"/>
  <c r="O406" i="23" s="1"/>
  <c r="Z406" i="23" s="1"/>
  <c r="I403" i="23"/>
  <c r="E403" i="23"/>
  <c r="AD403" i="23" s="1"/>
  <c r="N404" i="23" s="1"/>
  <c r="C403" i="23"/>
  <c r="O401" i="23"/>
  <c r="Z401" i="23" s="1"/>
  <c r="AE399" i="23"/>
  <c r="AC399" i="23"/>
  <c r="AA399" i="23"/>
  <c r="Z399" i="23"/>
  <c r="Y399" i="23"/>
  <c r="X399" i="23"/>
  <c r="W399" i="23"/>
  <c r="V399" i="23"/>
  <c r="T399" i="23"/>
  <c r="S400" i="23" s="1"/>
  <c r="S399" i="23"/>
  <c r="Q399" i="23"/>
  <c r="P399" i="23"/>
  <c r="M399" i="23"/>
  <c r="M401" i="23" s="1"/>
  <c r="M402" i="23" s="1"/>
  <c r="L399" i="23"/>
  <c r="O402" i="23" s="1"/>
  <c r="Z402" i="23" s="1"/>
  <c r="I399" i="23"/>
  <c r="E399" i="23"/>
  <c r="N399" i="23" s="1"/>
  <c r="D399" i="23" s="1"/>
  <c r="C399" i="23"/>
  <c r="O397" i="23"/>
  <c r="Z397" i="23" s="1"/>
  <c r="AE395" i="23"/>
  <c r="AD395" i="23"/>
  <c r="N396" i="23" s="1"/>
  <c r="R396" i="23" s="1"/>
  <c r="AC395" i="23"/>
  <c r="AA395" i="23"/>
  <c r="Z395" i="23"/>
  <c r="Y395" i="23"/>
  <c r="X395" i="23"/>
  <c r="W395" i="23"/>
  <c r="V395" i="23"/>
  <c r="T395" i="23"/>
  <c r="S396" i="23" s="1"/>
  <c r="S395" i="23"/>
  <c r="Q395" i="23"/>
  <c r="P395" i="23"/>
  <c r="M395" i="23"/>
  <c r="M397" i="23" s="1"/>
  <c r="M398" i="23" s="1"/>
  <c r="L395" i="23"/>
  <c r="O398" i="23" s="1"/>
  <c r="Z398" i="23" s="1"/>
  <c r="I395" i="23"/>
  <c r="E395" i="23"/>
  <c r="N395" i="23" s="1"/>
  <c r="C395" i="23"/>
  <c r="O393" i="23"/>
  <c r="Z393" i="23" s="1"/>
  <c r="AE391" i="23"/>
  <c r="AC391" i="23"/>
  <c r="AA391" i="23"/>
  <c r="Z391" i="23"/>
  <c r="Y391" i="23"/>
  <c r="X391" i="23"/>
  <c r="W391" i="23"/>
  <c r="V391" i="23"/>
  <c r="T391" i="23"/>
  <c r="S392" i="23" s="1"/>
  <c r="S391" i="23"/>
  <c r="Q391" i="23"/>
  <c r="P391" i="23"/>
  <c r="M391" i="23"/>
  <c r="M393" i="23" s="1"/>
  <c r="M394" i="23" s="1"/>
  <c r="L391" i="23"/>
  <c r="O394" i="23" s="1"/>
  <c r="Z394" i="23" s="1"/>
  <c r="I391" i="23"/>
  <c r="E391" i="23"/>
  <c r="AD391" i="23" s="1"/>
  <c r="N392" i="23" s="1"/>
  <c r="R392" i="23" s="1"/>
  <c r="C391" i="23"/>
  <c r="O390" i="23"/>
  <c r="Z390" i="23" s="1"/>
  <c r="O389" i="23"/>
  <c r="Z389" i="23" s="1"/>
  <c r="AE387" i="23"/>
  <c r="AC387" i="23"/>
  <c r="AA387" i="23"/>
  <c r="Z387" i="23"/>
  <c r="Y387" i="23"/>
  <c r="X387" i="23"/>
  <c r="W387" i="23"/>
  <c r="V387" i="23"/>
  <c r="T387" i="23"/>
  <c r="S388" i="23" s="1"/>
  <c r="S387" i="23"/>
  <c r="Q387" i="23"/>
  <c r="P387" i="23"/>
  <c r="M387" i="23"/>
  <c r="M389" i="23" s="1"/>
  <c r="M390" i="23" s="1"/>
  <c r="L387" i="23"/>
  <c r="I387" i="23"/>
  <c r="E387" i="23"/>
  <c r="N387" i="23" s="1"/>
  <c r="R387" i="23" s="1"/>
  <c r="C387" i="23"/>
  <c r="O385" i="23"/>
  <c r="Z385" i="23" s="1"/>
  <c r="AE383" i="23"/>
  <c r="AC383" i="23"/>
  <c r="AA383" i="23"/>
  <c r="Z383" i="23"/>
  <c r="Y383" i="23"/>
  <c r="X383" i="23"/>
  <c r="W383" i="23"/>
  <c r="V383" i="23"/>
  <c r="T383" i="23"/>
  <c r="S384" i="23" s="1"/>
  <c r="S383" i="23"/>
  <c r="Q383" i="23"/>
  <c r="P383" i="23"/>
  <c r="M383" i="23"/>
  <c r="M385" i="23" s="1"/>
  <c r="M386" i="23" s="1"/>
  <c r="L383" i="23"/>
  <c r="O386" i="23" s="1"/>
  <c r="Z386" i="23" s="1"/>
  <c r="I383" i="23"/>
  <c r="E383" i="23"/>
  <c r="N383" i="23" s="1"/>
  <c r="D383" i="23" s="1"/>
  <c r="C383" i="23"/>
  <c r="O381" i="23"/>
  <c r="Z381" i="23" s="1"/>
  <c r="S380" i="23"/>
  <c r="AE379" i="23"/>
  <c r="AD379" i="23"/>
  <c r="N380" i="23" s="1"/>
  <c r="AC379" i="23"/>
  <c r="AA379" i="23"/>
  <c r="Z379" i="23"/>
  <c r="Y379" i="23"/>
  <c r="X379" i="23"/>
  <c r="W379" i="23"/>
  <c r="V379" i="23"/>
  <c r="T379" i="23"/>
  <c r="S379" i="23"/>
  <c r="Q379" i="23"/>
  <c r="P379" i="23"/>
  <c r="N379" i="23"/>
  <c r="M379" i="23"/>
  <c r="M381" i="23" s="1"/>
  <c r="M382" i="23" s="1"/>
  <c r="L379" i="23"/>
  <c r="O382" i="23" s="1"/>
  <c r="Z382" i="23" s="1"/>
  <c r="I379" i="23"/>
  <c r="E379" i="23"/>
  <c r="C379" i="23"/>
  <c r="O377" i="23"/>
  <c r="Z377" i="23" s="1"/>
  <c r="AE375" i="23"/>
  <c r="AC375" i="23"/>
  <c r="AA375" i="23"/>
  <c r="Z375" i="23"/>
  <c r="Y375" i="23"/>
  <c r="X375" i="23"/>
  <c r="W375" i="23"/>
  <c r="V375" i="23"/>
  <c r="T375" i="23"/>
  <c r="S376" i="23" s="1"/>
  <c r="S375" i="23"/>
  <c r="Q375" i="23"/>
  <c r="P375" i="23"/>
  <c r="M375" i="23"/>
  <c r="M377" i="23" s="1"/>
  <c r="M378" i="23" s="1"/>
  <c r="L375" i="23"/>
  <c r="O378" i="23" s="1"/>
  <c r="Z378" i="23" s="1"/>
  <c r="I375" i="23"/>
  <c r="E375" i="23"/>
  <c r="AD375" i="23" s="1"/>
  <c r="N376" i="23" s="1"/>
  <c r="R376" i="23" s="1"/>
  <c r="C375" i="23"/>
  <c r="O373" i="23"/>
  <c r="Z373" i="23" s="1"/>
  <c r="AE371" i="23"/>
  <c r="AC371" i="23"/>
  <c r="AA371" i="23"/>
  <c r="Z371" i="23"/>
  <c r="Y371" i="23"/>
  <c r="X371" i="23"/>
  <c r="W371" i="23"/>
  <c r="V371" i="23"/>
  <c r="T371" i="23"/>
  <c r="S372" i="23" s="1"/>
  <c r="S371" i="23"/>
  <c r="Q371" i="23"/>
  <c r="P371" i="23"/>
  <c r="M371" i="23"/>
  <c r="M373" i="23" s="1"/>
  <c r="M374" i="23" s="1"/>
  <c r="L371" i="23"/>
  <c r="O374" i="23" s="1"/>
  <c r="Z374" i="23" s="1"/>
  <c r="I371" i="23"/>
  <c r="E371" i="23"/>
  <c r="C371" i="23"/>
  <c r="O369" i="23"/>
  <c r="Z369" i="23" s="1"/>
  <c r="AE367" i="23"/>
  <c r="AC367" i="23"/>
  <c r="AA367" i="23"/>
  <c r="Z367" i="23"/>
  <c r="Y367" i="23"/>
  <c r="X367" i="23"/>
  <c r="W367" i="23"/>
  <c r="V367" i="23"/>
  <c r="T367" i="23"/>
  <c r="S368" i="23" s="1"/>
  <c r="S367" i="23"/>
  <c r="Q367" i="23"/>
  <c r="P367" i="23"/>
  <c r="M367" i="23"/>
  <c r="M369" i="23" s="1"/>
  <c r="M370" i="23" s="1"/>
  <c r="L367" i="23"/>
  <c r="O370" i="23" s="1"/>
  <c r="Z370" i="23" s="1"/>
  <c r="I367" i="23"/>
  <c r="E367" i="23"/>
  <c r="AD367" i="23" s="1"/>
  <c r="N368" i="23" s="1"/>
  <c r="R368" i="23" s="1"/>
  <c r="C367" i="23"/>
  <c r="O365" i="23"/>
  <c r="Z365" i="23" s="1"/>
  <c r="AE363" i="23"/>
  <c r="AC363" i="23"/>
  <c r="AA363" i="23"/>
  <c r="Z363" i="23"/>
  <c r="Y363" i="23"/>
  <c r="X363" i="23"/>
  <c r="W363" i="23"/>
  <c r="V363" i="23"/>
  <c r="T363" i="23"/>
  <c r="S364" i="23" s="1"/>
  <c r="S363" i="23"/>
  <c r="Q363" i="23"/>
  <c r="P363" i="23"/>
  <c r="M363" i="23"/>
  <c r="M365" i="23" s="1"/>
  <c r="M366" i="23" s="1"/>
  <c r="L363" i="23"/>
  <c r="O366" i="23" s="1"/>
  <c r="Z366" i="23" s="1"/>
  <c r="I363" i="23"/>
  <c r="E363" i="23"/>
  <c r="N363" i="23" s="1"/>
  <c r="D363" i="23" s="1"/>
  <c r="C363" i="23"/>
  <c r="O361" i="23"/>
  <c r="Z361" i="23" s="1"/>
  <c r="M361" i="23"/>
  <c r="M362" i="23" s="1"/>
  <c r="AE359" i="23"/>
  <c r="AC359" i="23"/>
  <c r="AA359" i="23"/>
  <c r="Z359" i="23"/>
  <c r="Y359" i="23"/>
  <c r="X359" i="23"/>
  <c r="W359" i="23"/>
  <c r="V359" i="23"/>
  <c r="T359" i="23"/>
  <c r="S360" i="23" s="1"/>
  <c r="S359" i="23"/>
  <c r="Q359" i="23"/>
  <c r="P359" i="23"/>
  <c r="M359" i="23"/>
  <c r="L359" i="23"/>
  <c r="O362" i="23" s="1"/>
  <c r="Z362" i="23" s="1"/>
  <c r="I359" i="23"/>
  <c r="E359" i="23"/>
  <c r="AD359" i="23" s="1"/>
  <c r="N360" i="23" s="1"/>
  <c r="C359" i="23"/>
  <c r="O357" i="23"/>
  <c r="Z357" i="23" s="1"/>
  <c r="AE355" i="23"/>
  <c r="AD355" i="23"/>
  <c r="N356" i="23" s="1"/>
  <c r="R356" i="23" s="1"/>
  <c r="AC355" i="23"/>
  <c r="AA355" i="23"/>
  <c r="Z355" i="23"/>
  <c r="Y355" i="23"/>
  <c r="X355" i="23"/>
  <c r="W355" i="23"/>
  <c r="V355" i="23"/>
  <c r="T355" i="23"/>
  <c r="S356" i="23" s="1"/>
  <c r="S355" i="23"/>
  <c r="Q355" i="23"/>
  <c r="P355" i="23"/>
  <c r="M355" i="23"/>
  <c r="M357" i="23" s="1"/>
  <c r="M358" i="23" s="1"/>
  <c r="L355" i="23"/>
  <c r="O358" i="23" s="1"/>
  <c r="Z358" i="23" s="1"/>
  <c r="I355" i="23"/>
  <c r="E355" i="23"/>
  <c r="N355" i="23" s="1"/>
  <c r="C355" i="23"/>
  <c r="O353" i="23"/>
  <c r="Z353" i="23" s="1"/>
  <c r="AE351" i="23"/>
  <c r="AC351" i="23"/>
  <c r="AA351" i="23"/>
  <c r="Z351" i="23"/>
  <c r="Y351" i="23"/>
  <c r="X351" i="23"/>
  <c r="W351" i="23"/>
  <c r="V351" i="23"/>
  <c r="T351" i="23"/>
  <c r="S352" i="23" s="1"/>
  <c r="S351" i="23"/>
  <c r="Q351" i="23"/>
  <c r="P351" i="23"/>
  <c r="N351" i="23"/>
  <c r="M351" i="23"/>
  <c r="M353" i="23" s="1"/>
  <c r="M354" i="23" s="1"/>
  <c r="L351" i="23"/>
  <c r="O354" i="23" s="1"/>
  <c r="Z354" i="23" s="1"/>
  <c r="I351" i="23"/>
  <c r="E351" i="23"/>
  <c r="AD351" i="23" s="1"/>
  <c r="N352" i="23" s="1"/>
  <c r="C351" i="23"/>
  <c r="O349" i="23"/>
  <c r="Z349" i="23" s="1"/>
  <c r="M349" i="23"/>
  <c r="M350" i="23" s="1"/>
  <c r="AE347" i="23"/>
  <c r="AD347" i="23"/>
  <c r="N348" i="23" s="1"/>
  <c r="AC347" i="23"/>
  <c r="AA347" i="23"/>
  <c r="Z347" i="23"/>
  <c r="Y347" i="23"/>
  <c r="X347" i="23"/>
  <c r="W347" i="23"/>
  <c r="V347" i="23"/>
  <c r="T347" i="23"/>
  <c r="S348" i="23" s="1"/>
  <c r="S347" i="23"/>
  <c r="Q347" i="23"/>
  <c r="P347" i="23"/>
  <c r="N347" i="23"/>
  <c r="M347" i="23"/>
  <c r="L347" i="23"/>
  <c r="O350" i="23" s="1"/>
  <c r="Z350" i="23" s="1"/>
  <c r="I347" i="23"/>
  <c r="E347" i="23"/>
  <c r="C347" i="23"/>
  <c r="O345" i="23"/>
  <c r="Z345" i="23" s="1"/>
  <c r="M345" i="23"/>
  <c r="M346" i="23" s="1"/>
  <c r="AE343" i="23"/>
  <c r="AD343" i="23"/>
  <c r="N344" i="23" s="1"/>
  <c r="AC343" i="23"/>
  <c r="AA343" i="23"/>
  <c r="Z343" i="23"/>
  <c r="Y343" i="23"/>
  <c r="X343" i="23"/>
  <c r="W343" i="23"/>
  <c r="V343" i="23"/>
  <c r="T343" i="23"/>
  <c r="S344" i="23" s="1"/>
  <c r="S343" i="23"/>
  <c r="Q343" i="23"/>
  <c r="P343" i="23"/>
  <c r="N343" i="23"/>
  <c r="D343" i="23" s="1"/>
  <c r="M343" i="23"/>
  <c r="L343" i="23"/>
  <c r="O346" i="23" s="1"/>
  <c r="Z346" i="23" s="1"/>
  <c r="I343" i="23"/>
  <c r="E343" i="23"/>
  <c r="C343" i="23"/>
  <c r="O341" i="23"/>
  <c r="Z341" i="23" s="1"/>
  <c r="AE339" i="23"/>
  <c r="AC339" i="23"/>
  <c r="AA339" i="23"/>
  <c r="Z339" i="23"/>
  <c r="Y339" i="23"/>
  <c r="X339" i="23"/>
  <c r="W339" i="23"/>
  <c r="V339" i="23"/>
  <c r="T339" i="23"/>
  <c r="S340" i="23" s="1"/>
  <c r="S339" i="23"/>
  <c r="Q339" i="23"/>
  <c r="P339" i="23"/>
  <c r="M339" i="23"/>
  <c r="M341" i="23" s="1"/>
  <c r="M342" i="23" s="1"/>
  <c r="L339" i="23"/>
  <c r="O342" i="23" s="1"/>
  <c r="Z342" i="23" s="1"/>
  <c r="I339" i="23"/>
  <c r="E339" i="23"/>
  <c r="C339" i="23"/>
  <c r="O337" i="23"/>
  <c r="Z337" i="23" s="1"/>
  <c r="M337" i="23"/>
  <c r="M338" i="23" s="1"/>
  <c r="AE335" i="23"/>
  <c r="AC335" i="23"/>
  <c r="AA335" i="23"/>
  <c r="Z335" i="23"/>
  <c r="Y335" i="23"/>
  <c r="X335" i="23"/>
  <c r="W335" i="23"/>
  <c r="V335" i="23"/>
  <c r="T335" i="23"/>
  <c r="S336" i="23" s="1"/>
  <c r="S335" i="23"/>
  <c r="Q335" i="23"/>
  <c r="P335" i="23"/>
  <c r="N335" i="23"/>
  <c r="M335" i="23"/>
  <c r="L335" i="23"/>
  <c r="O338" i="23" s="1"/>
  <c r="Z338" i="23" s="1"/>
  <c r="I335" i="23"/>
  <c r="E335" i="23"/>
  <c r="AD335" i="23" s="1"/>
  <c r="N336" i="23" s="1"/>
  <c r="C335" i="23"/>
  <c r="O333" i="23"/>
  <c r="Z333" i="23" s="1"/>
  <c r="AE331" i="23"/>
  <c r="AC331" i="23"/>
  <c r="AA331" i="23"/>
  <c r="Z331" i="23"/>
  <c r="Y331" i="23"/>
  <c r="X331" i="23"/>
  <c r="W331" i="23"/>
  <c r="V331" i="23"/>
  <c r="T331" i="23"/>
  <c r="S332" i="23" s="1"/>
  <c r="S331" i="23"/>
  <c r="Q331" i="23"/>
  <c r="P331" i="23"/>
  <c r="M331" i="23"/>
  <c r="M333" i="23" s="1"/>
  <c r="M334" i="23" s="1"/>
  <c r="L331" i="23"/>
  <c r="O334" i="23" s="1"/>
  <c r="Z334" i="23" s="1"/>
  <c r="I331" i="23"/>
  <c r="E331" i="23"/>
  <c r="AD331" i="23" s="1"/>
  <c r="N332" i="23" s="1"/>
  <c r="C331" i="23"/>
  <c r="O329" i="23"/>
  <c r="Z329" i="23" s="1"/>
  <c r="AE327" i="23"/>
  <c r="AD327" i="23"/>
  <c r="N328" i="23" s="1"/>
  <c r="AC327" i="23"/>
  <c r="AA327" i="23"/>
  <c r="Z327" i="23"/>
  <c r="Y327" i="23"/>
  <c r="X327" i="23"/>
  <c r="W327" i="23"/>
  <c r="V327" i="23"/>
  <c r="T327" i="23"/>
  <c r="S328" i="23" s="1"/>
  <c r="S327" i="23"/>
  <c r="Q327" i="23"/>
  <c r="P327" i="23"/>
  <c r="N327" i="23"/>
  <c r="M327" i="23"/>
  <c r="M329" i="23" s="1"/>
  <c r="M330" i="23" s="1"/>
  <c r="L327" i="23"/>
  <c r="O330" i="23" s="1"/>
  <c r="Z330" i="23" s="1"/>
  <c r="I327" i="23"/>
  <c r="E327" i="23"/>
  <c r="C327" i="23"/>
  <c r="O325" i="23"/>
  <c r="Z325" i="23" s="1"/>
  <c r="AE323" i="23"/>
  <c r="AC323" i="23"/>
  <c r="AA323" i="23"/>
  <c r="Z323" i="23"/>
  <c r="Y323" i="23"/>
  <c r="X323" i="23"/>
  <c r="W323" i="23"/>
  <c r="V323" i="23"/>
  <c r="T323" i="23"/>
  <c r="S324" i="23" s="1"/>
  <c r="S323" i="23"/>
  <c r="Q323" i="23"/>
  <c r="P323" i="23"/>
  <c r="N323" i="23"/>
  <c r="D323" i="23" s="1"/>
  <c r="M323" i="23"/>
  <c r="M325" i="23" s="1"/>
  <c r="M326" i="23" s="1"/>
  <c r="L323" i="23"/>
  <c r="O326" i="23" s="1"/>
  <c r="Z326" i="23" s="1"/>
  <c r="I323" i="23"/>
  <c r="R323" i="23" s="1"/>
  <c r="E323" i="23"/>
  <c r="AD323" i="23" s="1"/>
  <c r="N324" i="23" s="1"/>
  <c r="C323" i="23"/>
  <c r="O321" i="23"/>
  <c r="Z321" i="23" s="1"/>
  <c r="AE319" i="23"/>
  <c r="AC319" i="23"/>
  <c r="AA319" i="23"/>
  <c r="Z319" i="23"/>
  <c r="Y319" i="23"/>
  <c r="X319" i="23"/>
  <c r="W319" i="23"/>
  <c r="V319" i="23"/>
  <c r="T319" i="23"/>
  <c r="S320" i="23" s="1"/>
  <c r="S319" i="23"/>
  <c r="Q319" i="23"/>
  <c r="P319" i="23"/>
  <c r="M319" i="23"/>
  <c r="M321" i="23" s="1"/>
  <c r="M322" i="23" s="1"/>
  <c r="L319" i="23"/>
  <c r="O322" i="23" s="1"/>
  <c r="Z322" i="23" s="1"/>
  <c r="I319" i="23"/>
  <c r="E319" i="23"/>
  <c r="C319" i="23"/>
  <c r="O317" i="23"/>
  <c r="Z317" i="23" s="1"/>
  <c r="AE315" i="23"/>
  <c r="AC315" i="23"/>
  <c r="AA315" i="23"/>
  <c r="Z315" i="23"/>
  <c r="Y315" i="23"/>
  <c r="X315" i="23"/>
  <c r="W315" i="23"/>
  <c r="V315" i="23"/>
  <c r="T315" i="23"/>
  <c r="S316" i="23" s="1"/>
  <c r="S315" i="23"/>
  <c r="Q315" i="23"/>
  <c r="P315" i="23"/>
  <c r="M315" i="23"/>
  <c r="M317" i="23" s="1"/>
  <c r="M318" i="23" s="1"/>
  <c r="L315" i="23"/>
  <c r="O318" i="23" s="1"/>
  <c r="Z318" i="23" s="1"/>
  <c r="I315" i="23"/>
  <c r="E315" i="23"/>
  <c r="N315" i="23" s="1"/>
  <c r="D315" i="23" s="1"/>
  <c r="C315" i="23"/>
  <c r="O313" i="23"/>
  <c r="Z313" i="23" s="1"/>
  <c r="AE311" i="23"/>
  <c r="AC311" i="23"/>
  <c r="AA311" i="23"/>
  <c r="Z311" i="23"/>
  <c r="Y311" i="23"/>
  <c r="X311" i="23"/>
  <c r="W311" i="23"/>
  <c r="V311" i="23"/>
  <c r="T311" i="23"/>
  <c r="S312" i="23" s="1"/>
  <c r="S311" i="23"/>
  <c r="Q311" i="23"/>
  <c r="P311" i="23"/>
  <c r="M311" i="23"/>
  <c r="M313" i="23" s="1"/>
  <c r="M314" i="23" s="1"/>
  <c r="L311" i="23"/>
  <c r="O314" i="23" s="1"/>
  <c r="Z314" i="23" s="1"/>
  <c r="I311" i="23"/>
  <c r="E311" i="23"/>
  <c r="AD311" i="23" s="1"/>
  <c r="N312" i="23" s="1"/>
  <c r="C311" i="23"/>
  <c r="O309" i="23"/>
  <c r="Z309" i="23" s="1"/>
  <c r="AE307" i="23"/>
  <c r="AC307" i="23"/>
  <c r="AA307" i="23"/>
  <c r="Z307" i="23"/>
  <c r="Y307" i="23"/>
  <c r="X307" i="23"/>
  <c r="W307" i="23"/>
  <c r="V307" i="23"/>
  <c r="T307" i="23"/>
  <c r="S308" i="23" s="1"/>
  <c r="S307" i="23"/>
  <c r="Q307" i="23"/>
  <c r="P307" i="23"/>
  <c r="M307" i="23"/>
  <c r="M309" i="23" s="1"/>
  <c r="M310" i="23" s="1"/>
  <c r="L307" i="23"/>
  <c r="O310" i="23" s="1"/>
  <c r="Z310" i="23" s="1"/>
  <c r="I307" i="23"/>
  <c r="E307" i="23"/>
  <c r="N307" i="23" s="1"/>
  <c r="D307" i="23" s="1"/>
  <c r="C307" i="23"/>
  <c r="O305" i="23"/>
  <c r="Z305" i="23" s="1"/>
  <c r="AE303" i="23"/>
  <c r="AC303" i="23"/>
  <c r="AA303" i="23"/>
  <c r="Z303" i="23"/>
  <c r="Y303" i="23"/>
  <c r="X303" i="23"/>
  <c r="W303" i="23"/>
  <c r="V303" i="23"/>
  <c r="T303" i="23"/>
  <c r="S304" i="23" s="1"/>
  <c r="S303" i="23"/>
  <c r="Q303" i="23"/>
  <c r="P303" i="23"/>
  <c r="M303" i="23"/>
  <c r="M305" i="23" s="1"/>
  <c r="M306" i="23" s="1"/>
  <c r="L303" i="23"/>
  <c r="O306" i="23" s="1"/>
  <c r="Z306" i="23" s="1"/>
  <c r="I303" i="23"/>
  <c r="E303" i="23"/>
  <c r="AD303" i="23" s="1"/>
  <c r="N304" i="23" s="1"/>
  <c r="R304" i="23" s="1"/>
  <c r="C303" i="23"/>
  <c r="O301" i="23"/>
  <c r="Z301" i="23" s="1"/>
  <c r="M301" i="23"/>
  <c r="M302" i="23" s="1"/>
  <c r="AE299" i="23"/>
  <c r="AD299" i="23"/>
  <c r="N300" i="23" s="1"/>
  <c r="R300" i="23" s="1"/>
  <c r="AC299" i="23"/>
  <c r="AA299" i="23"/>
  <c r="Z299" i="23"/>
  <c r="Y299" i="23"/>
  <c r="X299" i="23"/>
  <c r="W299" i="23"/>
  <c r="V299" i="23"/>
  <c r="T299" i="23"/>
  <c r="S300" i="23" s="1"/>
  <c r="S299" i="23"/>
  <c r="Q299" i="23"/>
  <c r="P299" i="23"/>
  <c r="N299" i="23"/>
  <c r="R299" i="23" s="1"/>
  <c r="M299" i="23"/>
  <c r="L299" i="23"/>
  <c r="O302" i="23" s="1"/>
  <c r="Z302" i="23" s="1"/>
  <c r="I299" i="23"/>
  <c r="E299" i="23"/>
  <c r="C299" i="23"/>
  <c r="O297" i="23"/>
  <c r="Z297" i="23" s="1"/>
  <c r="AE295" i="23"/>
  <c r="AD295" i="23"/>
  <c r="N296" i="23" s="1"/>
  <c r="AC295" i="23"/>
  <c r="AA295" i="23"/>
  <c r="Z295" i="23"/>
  <c r="Y295" i="23"/>
  <c r="X295" i="23"/>
  <c r="W295" i="23"/>
  <c r="V295" i="23"/>
  <c r="T295" i="23"/>
  <c r="S296" i="23" s="1"/>
  <c r="S295" i="23"/>
  <c r="Q295" i="23"/>
  <c r="P295" i="23"/>
  <c r="N295" i="23"/>
  <c r="D295" i="23" s="1"/>
  <c r="M295" i="23"/>
  <c r="M297" i="23" s="1"/>
  <c r="M298" i="23" s="1"/>
  <c r="L295" i="23"/>
  <c r="O298" i="23" s="1"/>
  <c r="Z298" i="23" s="1"/>
  <c r="I295" i="23"/>
  <c r="E295" i="23"/>
  <c r="C295" i="23"/>
  <c r="O293" i="23"/>
  <c r="Z293" i="23" s="1"/>
  <c r="AE291" i="23"/>
  <c r="AC291" i="23"/>
  <c r="AA291" i="23"/>
  <c r="Z291" i="23"/>
  <c r="Y291" i="23"/>
  <c r="X291" i="23"/>
  <c r="W291" i="23"/>
  <c r="V291" i="23"/>
  <c r="T291" i="23"/>
  <c r="S292" i="23" s="1"/>
  <c r="S291" i="23"/>
  <c r="Q291" i="23"/>
  <c r="P291" i="23"/>
  <c r="M291" i="23"/>
  <c r="M293" i="23" s="1"/>
  <c r="M294" i="23" s="1"/>
  <c r="L291" i="23"/>
  <c r="O294" i="23" s="1"/>
  <c r="Z294" i="23" s="1"/>
  <c r="I291" i="23"/>
  <c r="E291" i="23"/>
  <c r="C291" i="23"/>
  <c r="O289" i="23"/>
  <c r="Z289" i="23" s="1"/>
  <c r="AE287" i="23"/>
  <c r="AC287" i="23"/>
  <c r="AA287" i="23"/>
  <c r="Z287" i="23"/>
  <c r="Y287" i="23"/>
  <c r="X287" i="23"/>
  <c r="W287" i="23"/>
  <c r="V287" i="23"/>
  <c r="T287" i="23"/>
  <c r="S288" i="23" s="1"/>
  <c r="S287" i="23"/>
  <c r="Q287" i="23"/>
  <c r="P287" i="23"/>
  <c r="M287" i="23"/>
  <c r="M289" i="23" s="1"/>
  <c r="M290" i="23" s="1"/>
  <c r="L287" i="23"/>
  <c r="O290" i="23" s="1"/>
  <c r="Z290" i="23" s="1"/>
  <c r="I287" i="23"/>
  <c r="E287" i="23"/>
  <c r="AD287" i="23" s="1"/>
  <c r="N288" i="23" s="1"/>
  <c r="C287" i="23"/>
  <c r="O286" i="23"/>
  <c r="Z286" i="23" s="1"/>
  <c r="O285" i="23"/>
  <c r="Z285" i="23" s="1"/>
  <c r="AE283" i="23"/>
  <c r="AC283" i="23"/>
  <c r="AA283" i="23"/>
  <c r="Z283" i="23"/>
  <c r="Y283" i="23"/>
  <c r="X283" i="23"/>
  <c r="W283" i="23"/>
  <c r="V283" i="23"/>
  <c r="T283" i="23"/>
  <c r="S284" i="23" s="1"/>
  <c r="S283" i="23"/>
  <c r="Q283" i="23"/>
  <c r="P283" i="23"/>
  <c r="M283" i="23"/>
  <c r="M285" i="23" s="1"/>
  <c r="M286" i="23" s="1"/>
  <c r="L283" i="23"/>
  <c r="I283" i="23"/>
  <c r="E283" i="23"/>
  <c r="AD283" i="23" s="1"/>
  <c r="N284" i="23" s="1"/>
  <c r="R284" i="23" s="1"/>
  <c r="C283" i="23"/>
  <c r="O281" i="23"/>
  <c r="Z281" i="23" s="1"/>
  <c r="AE279" i="23"/>
  <c r="AC279" i="23"/>
  <c r="AA279" i="23"/>
  <c r="Z279" i="23"/>
  <c r="Y279" i="23"/>
  <c r="X279" i="23"/>
  <c r="W279" i="23"/>
  <c r="V279" i="23"/>
  <c r="T279" i="23"/>
  <c r="S280" i="23" s="1"/>
  <c r="S279" i="23"/>
  <c r="Q279" i="23"/>
  <c r="P279" i="23"/>
  <c r="M279" i="23"/>
  <c r="M281" i="23" s="1"/>
  <c r="M282" i="23" s="1"/>
  <c r="L279" i="23"/>
  <c r="O282" i="23" s="1"/>
  <c r="Z282" i="23" s="1"/>
  <c r="I279" i="23"/>
  <c r="E279" i="23"/>
  <c r="AD279" i="23" s="1"/>
  <c r="N280" i="23" s="1"/>
  <c r="R280" i="23" s="1"/>
  <c r="C279" i="23"/>
  <c r="O277" i="23"/>
  <c r="Z277" i="23" s="1"/>
  <c r="AE275" i="23"/>
  <c r="AC275" i="23"/>
  <c r="AA275" i="23"/>
  <c r="Z275" i="23"/>
  <c r="Y275" i="23"/>
  <c r="X275" i="23"/>
  <c r="W275" i="23"/>
  <c r="V275" i="23"/>
  <c r="T275" i="23"/>
  <c r="S276" i="23" s="1"/>
  <c r="S275" i="23"/>
  <c r="Q275" i="23"/>
  <c r="P275" i="23"/>
  <c r="M275" i="23"/>
  <c r="M277" i="23" s="1"/>
  <c r="M278" i="23" s="1"/>
  <c r="L275" i="23"/>
  <c r="O278" i="23" s="1"/>
  <c r="Z278" i="23" s="1"/>
  <c r="I275" i="23"/>
  <c r="E275" i="23"/>
  <c r="AD275" i="23" s="1"/>
  <c r="N276" i="23" s="1"/>
  <c r="R276" i="23" s="1"/>
  <c r="C275" i="23"/>
  <c r="O273" i="23"/>
  <c r="Z273" i="23" s="1"/>
  <c r="AE271" i="23"/>
  <c r="AC271" i="23"/>
  <c r="AA271" i="23"/>
  <c r="Z271" i="23"/>
  <c r="Y271" i="23"/>
  <c r="X271" i="23"/>
  <c r="W271" i="23"/>
  <c r="V271" i="23"/>
  <c r="T271" i="23"/>
  <c r="S272" i="23" s="1"/>
  <c r="S271" i="23"/>
  <c r="Q271" i="23"/>
  <c r="P271" i="23"/>
  <c r="M271" i="23"/>
  <c r="M273" i="23" s="1"/>
  <c r="M274" i="23" s="1"/>
  <c r="L271" i="23"/>
  <c r="O274" i="23" s="1"/>
  <c r="Z274" i="23" s="1"/>
  <c r="I271" i="23"/>
  <c r="E271" i="23"/>
  <c r="N271" i="23" s="1"/>
  <c r="R271" i="23" s="1"/>
  <c r="C271" i="23"/>
  <c r="O269" i="23"/>
  <c r="Z269" i="23" s="1"/>
  <c r="AE267" i="23"/>
  <c r="AD267" i="23"/>
  <c r="N268" i="23" s="1"/>
  <c r="AC267" i="23"/>
  <c r="AA267" i="23"/>
  <c r="Z267" i="23"/>
  <c r="Y267" i="23"/>
  <c r="X267" i="23"/>
  <c r="W267" i="23"/>
  <c r="V267" i="23"/>
  <c r="T267" i="23"/>
  <c r="S268" i="23" s="1"/>
  <c r="S267" i="23"/>
  <c r="Q267" i="23"/>
  <c r="P267" i="23"/>
  <c r="M267" i="23"/>
  <c r="M269" i="23" s="1"/>
  <c r="M270" i="23" s="1"/>
  <c r="L267" i="23"/>
  <c r="O270" i="23" s="1"/>
  <c r="Z270" i="23" s="1"/>
  <c r="I267" i="23"/>
  <c r="E267" i="23"/>
  <c r="N267" i="23" s="1"/>
  <c r="C267" i="23"/>
  <c r="O265" i="23"/>
  <c r="Z265" i="23" s="1"/>
  <c r="AE263" i="23"/>
  <c r="AD263" i="23"/>
  <c r="N264" i="23" s="1"/>
  <c r="AC263" i="23"/>
  <c r="AA263" i="23"/>
  <c r="Z263" i="23"/>
  <c r="Y263" i="23"/>
  <c r="X263" i="23"/>
  <c r="W263" i="23"/>
  <c r="V263" i="23"/>
  <c r="T263" i="23"/>
  <c r="S264" i="23" s="1"/>
  <c r="S263" i="23"/>
  <c r="Q263" i="23"/>
  <c r="P263" i="23"/>
  <c r="M263" i="23"/>
  <c r="M265" i="23" s="1"/>
  <c r="M266" i="23" s="1"/>
  <c r="L263" i="23"/>
  <c r="O266" i="23" s="1"/>
  <c r="Z266" i="23" s="1"/>
  <c r="I263" i="23"/>
  <c r="E263" i="23"/>
  <c r="N263" i="23" s="1"/>
  <c r="C263" i="23"/>
  <c r="O261" i="23"/>
  <c r="Z261" i="23" s="1"/>
  <c r="AE259" i="23"/>
  <c r="AD259" i="23"/>
  <c r="N260" i="23" s="1"/>
  <c r="AC259" i="23"/>
  <c r="AA259" i="23"/>
  <c r="Z259" i="23"/>
  <c r="Y259" i="23"/>
  <c r="X259" i="23"/>
  <c r="W259" i="23"/>
  <c r="V259" i="23"/>
  <c r="T259" i="23"/>
  <c r="S260" i="23" s="1"/>
  <c r="S259" i="23"/>
  <c r="Q259" i="23"/>
  <c r="P259" i="23"/>
  <c r="M259" i="23"/>
  <c r="M261" i="23" s="1"/>
  <c r="M262" i="23" s="1"/>
  <c r="L259" i="23"/>
  <c r="O262" i="23" s="1"/>
  <c r="Z262" i="23" s="1"/>
  <c r="I259" i="23"/>
  <c r="E259" i="23"/>
  <c r="N259" i="23" s="1"/>
  <c r="C259" i="23"/>
  <c r="O258" i="23"/>
  <c r="Z258" i="23" s="1"/>
  <c r="O257" i="23"/>
  <c r="Z257" i="23" s="1"/>
  <c r="S256" i="23"/>
  <c r="AE255" i="23"/>
  <c r="AC255" i="23"/>
  <c r="AA255" i="23"/>
  <c r="Z255" i="23"/>
  <c r="Y255" i="23"/>
  <c r="X255" i="23"/>
  <c r="W255" i="23"/>
  <c r="V255" i="23"/>
  <c r="T255" i="23"/>
  <c r="S255" i="23"/>
  <c r="Q255" i="23"/>
  <c r="P255" i="23"/>
  <c r="M255" i="23"/>
  <c r="M257" i="23" s="1"/>
  <c r="M258" i="23" s="1"/>
  <c r="L255" i="23"/>
  <c r="I255" i="23"/>
  <c r="E255" i="23"/>
  <c r="AD255" i="23" s="1"/>
  <c r="N256" i="23" s="1"/>
  <c r="C255" i="23"/>
  <c r="O253" i="23"/>
  <c r="Z253" i="23" s="1"/>
  <c r="AE251" i="23"/>
  <c r="AC251" i="23"/>
  <c r="AA251" i="23"/>
  <c r="Z251" i="23"/>
  <c r="Y251" i="23"/>
  <c r="X251" i="23"/>
  <c r="W251" i="23"/>
  <c r="V251" i="23"/>
  <c r="T251" i="23"/>
  <c r="S252" i="23" s="1"/>
  <c r="S251" i="23"/>
  <c r="Q251" i="23"/>
  <c r="P251" i="23"/>
  <c r="M251" i="23"/>
  <c r="M253" i="23" s="1"/>
  <c r="M254" i="23" s="1"/>
  <c r="L251" i="23"/>
  <c r="O254" i="23" s="1"/>
  <c r="Z254" i="23" s="1"/>
  <c r="I251" i="23"/>
  <c r="E251" i="23"/>
  <c r="AD251" i="23" s="1"/>
  <c r="N252" i="23" s="1"/>
  <c r="R252" i="23" s="1"/>
  <c r="C251" i="23"/>
  <c r="O249" i="23"/>
  <c r="Z249" i="23" s="1"/>
  <c r="AE247" i="23"/>
  <c r="AC247" i="23"/>
  <c r="AA247" i="23"/>
  <c r="Z247" i="23"/>
  <c r="Y247" i="23"/>
  <c r="X247" i="23"/>
  <c r="W247" i="23"/>
  <c r="V247" i="23"/>
  <c r="T247" i="23"/>
  <c r="S248" i="23" s="1"/>
  <c r="S247" i="23"/>
  <c r="Q247" i="23"/>
  <c r="P247" i="23"/>
  <c r="M247" i="23"/>
  <c r="M249" i="23" s="1"/>
  <c r="M250" i="23" s="1"/>
  <c r="L247" i="23"/>
  <c r="O250" i="23" s="1"/>
  <c r="Z250" i="23" s="1"/>
  <c r="I247" i="23"/>
  <c r="E247" i="23"/>
  <c r="AD247" i="23" s="1"/>
  <c r="N248" i="23" s="1"/>
  <c r="R248" i="23" s="1"/>
  <c r="C247" i="23"/>
  <c r="O245" i="23"/>
  <c r="Z245" i="23" s="1"/>
  <c r="AE243" i="23"/>
  <c r="AC243" i="23"/>
  <c r="AA243" i="23"/>
  <c r="Z243" i="23"/>
  <c r="Y243" i="23"/>
  <c r="X243" i="23"/>
  <c r="W243" i="23"/>
  <c r="V243" i="23"/>
  <c r="T243" i="23"/>
  <c r="S244" i="23" s="1"/>
  <c r="S243" i="23"/>
  <c r="Q243" i="23"/>
  <c r="P243" i="23"/>
  <c r="M243" i="23"/>
  <c r="M245" i="23" s="1"/>
  <c r="M246" i="23" s="1"/>
  <c r="L243" i="23"/>
  <c r="O246" i="23" s="1"/>
  <c r="Z246" i="23" s="1"/>
  <c r="I243" i="23"/>
  <c r="E243" i="23"/>
  <c r="C243" i="23"/>
  <c r="O241" i="23"/>
  <c r="Z241" i="23" s="1"/>
  <c r="AE239" i="23"/>
  <c r="AC239" i="23"/>
  <c r="AA239" i="23"/>
  <c r="Z239" i="23"/>
  <c r="Y239" i="23"/>
  <c r="X239" i="23"/>
  <c r="W239" i="23"/>
  <c r="V239" i="23"/>
  <c r="T239" i="23"/>
  <c r="S240" i="23" s="1"/>
  <c r="S239" i="23"/>
  <c r="Q239" i="23"/>
  <c r="P239" i="23"/>
  <c r="N239" i="23"/>
  <c r="M239" i="23"/>
  <c r="M241" i="23" s="1"/>
  <c r="M242" i="23" s="1"/>
  <c r="L239" i="23"/>
  <c r="O242" i="23" s="1"/>
  <c r="Z242" i="23" s="1"/>
  <c r="I239" i="23"/>
  <c r="R239" i="23" s="1"/>
  <c r="E239" i="23"/>
  <c r="AD239" i="23" s="1"/>
  <c r="N240" i="23" s="1"/>
  <c r="C239" i="23"/>
  <c r="O237" i="23"/>
  <c r="Z237" i="23" s="1"/>
  <c r="AE235" i="23"/>
  <c r="AC235" i="23"/>
  <c r="AA235" i="23"/>
  <c r="Z235" i="23"/>
  <c r="Y235" i="23"/>
  <c r="X235" i="23"/>
  <c r="W235" i="23"/>
  <c r="V235" i="23"/>
  <c r="T235" i="23"/>
  <c r="S236" i="23" s="1"/>
  <c r="S235" i="23"/>
  <c r="Q235" i="23"/>
  <c r="P235" i="23"/>
  <c r="M235" i="23"/>
  <c r="M237" i="23" s="1"/>
  <c r="M238" i="23" s="1"/>
  <c r="L235" i="23"/>
  <c r="O238" i="23" s="1"/>
  <c r="Z238" i="23" s="1"/>
  <c r="I235" i="23"/>
  <c r="E235" i="23"/>
  <c r="AD235" i="23" s="1"/>
  <c r="N236" i="23" s="1"/>
  <c r="R236" i="23" s="1"/>
  <c r="C235" i="23"/>
  <c r="O233" i="23"/>
  <c r="Z233" i="23" s="1"/>
  <c r="AE231" i="23"/>
  <c r="AC231" i="23"/>
  <c r="AA231" i="23"/>
  <c r="Z231" i="23"/>
  <c r="Y231" i="23"/>
  <c r="X231" i="23"/>
  <c r="W231" i="23"/>
  <c r="V231" i="23"/>
  <c r="T231" i="23"/>
  <c r="S232" i="23" s="1"/>
  <c r="S231" i="23"/>
  <c r="Q231" i="23"/>
  <c r="P231" i="23"/>
  <c r="M231" i="23"/>
  <c r="M233" i="23" s="1"/>
  <c r="M234" i="23" s="1"/>
  <c r="L231" i="23"/>
  <c r="O234" i="23" s="1"/>
  <c r="Z234" i="23" s="1"/>
  <c r="I231" i="23"/>
  <c r="E231" i="23"/>
  <c r="AD231" i="23" s="1"/>
  <c r="N232" i="23" s="1"/>
  <c r="R232" i="23" s="1"/>
  <c r="C231" i="23"/>
  <c r="O229" i="23"/>
  <c r="Z229" i="23" s="1"/>
  <c r="M229" i="23"/>
  <c r="M230" i="23" s="1"/>
  <c r="AE227" i="23"/>
  <c r="AC227" i="23"/>
  <c r="AA227" i="23"/>
  <c r="Z227" i="23"/>
  <c r="Y227" i="23"/>
  <c r="X227" i="23"/>
  <c r="W227" i="23"/>
  <c r="V227" i="23"/>
  <c r="T227" i="23"/>
  <c r="S228" i="23" s="1"/>
  <c r="S227" i="23"/>
  <c r="Q227" i="23"/>
  <c r="P227" i="23"/>
  <c r="N227" i="23"/>
  <c r="M227" i="23"/>
  <c r="L227" i="23"/>
  <c r="O230" i="23" s="1"/>
  <c r="Z230" i="23" s="1"/>
  <c r="I227" i="23"/>
  <c r="E227" i="23"/>
  <c r="AD227" i="23" s="1"/>
  <c r="N228" i="23" s="1"/>
  <c r="C227" i="23"/>
  <c r="O225" i="23"/>
  <c r="Z225" i="23" s="1"/>
  <c r="AE223" i="23"/>
  <c r="AC223" i="23"/>
  <c r="AA223" i="23"/>
  <c r="Z223" i="23"/>
  <c r="Y223" i="23"/>
  <c r="X223" i="23"/>
  <c r="W223" i="23"/>
  <c r="V223" i="23"/>
  <c r="T223" i="23"/>
  <c r="S224" i="23" s="1"/>
  <c r="S223" i="23"/>
  <c r="Q223" i="23"/>
  <c r="P223" i="23"/>
  <c r="M223" i="23"/>
  <c r="M225" i="23" s="1"/>
  <c r="M226" i="23" s="1"/>
  <c r="L223" i="23"/>
  <c r="O226" i="23" s="1"/>
  <c r="Z226" i="23" s="1"/>
  <c r="I223" i="23"/>
  <c r="E223" i="23"/>
  <c r="N223" i="23" s="1"/>
  <c r="R223" i="23" s="1"/>
  <c r="C223" i="23"/>
  <c r="O221" i="23"/>
  <c r="Z221" i="23" s="1"/>
  <c r="AE219" i="23"/>
  <c r="AC219" i="23"/>
  <c r="AA219" i="23"/>
  <c r="Z219" i="23"/>
  <c r="Y219" i="23"/>
  <c r="X219" i="23"/>
  <c r="W219" i="23"/>
  <c r="V219" i="23"/>
  <c r="T219" i="23"/>
  <c r="S220" i="23" s="1"/>
  <c r="S219" i="23"/>
  <c r="Q219" i="23"/>
  <c r="P219" i="23"/>
  <c r="M219" i="23"/>
  <c r="M221" i="23" s="1"/>
  <c r="M222" i="23" s="1"/>
  <c r="L219" i="23"/>
  <c r="O222" i="23" s="1"/>
  <c r="Z222" i="23" s="1"/>
  <c r="I219" i="23"/>
  <c r="E219" i="23"/>
  <c r="N219" i="23" s="1"/>
  <c r="C219" i="23"/>
  <c r="O217" i="23"/>
  <c r="Z217" i="23" s="1"/>
  <c r="AE215" i="23"/>
  <c r="AC215" i="23"/>
  <c r="AA215" i="23"/>
  <c r="Z215" i="23"/>
  <c r="Y215" i="23"/>
  <c r="X215" i="23"/>
  <c r="W215" i="23"/>
  <c r="V215" i="23"/>
  <c r="T215" i="23"/>
  <c r="S216" i="23" s="1"/>
  <c r="S215" i="23"/>
  <c r="Q215" i="23"/>
  <c r="P215" i="23"/>
  <c r="M215" i="23"/>
  <c r="M217" i="23" s="1"/>
  <c r="M218" i="23" s="1"/>
  <c r="L215" i="23"/>
  <c r="O218" i="23" s="1"/>
  <c r="Z218" i="23" s="1"/>
  <c r="I215" i="23"/>
  <c r="E215" i="23"/>
  <c r="N215" i="23" s="1"/>
  <c r="D215" i="23" s="1"/>
  <c r="C215" i="23"/>
  <c r="O213" i="23"/>
  <c r="Z213" i="23" s="1"/>
  <c r="AE211" i="23"/>
  <c r="AD211" i="23"/>
  <c r="N212" i="23" s="1"/>
  <c r="AC211" i="23"/>
  <c r="AA211" i="23"/>
  <c r="Z211" i="23"/>
  <c r="Y211" i="23"/>
  <c r="X211" i="23"/>
  <c r="W211" i="23"/>
  <c r="V211" i="23"/>
  <c r="T211" i="23"/>
  <c r="S212" i="23" s="1"/>
  <c r="S211" i="23"/>
  <c r="Q211" i="23"/>
  <c r="P211" i="23"/>
  <c r="M211" i="23"/>
  <c r="M213" i="23" s="1"/>
  <c r="M214" i="23" s="1"/>
  <c r="L211" i="23"/>
  <c r="O214" i="23" s="1"/>
  <c r="Z214" i="23" s="1"/>
  <c r="I211" i="23"/>
  <c r="E211" i="23"/>
  <c r="N211" i="23" s="1"/>
  <c r="D211" i="23" s="1"/>
  <c r="C211" i="23"/>
  <c r="O210" i="23"/>
  <c r="Z210" i="23" s="1"/>
  <c r="O209" i="23"/>
  <c r="Z209" i="23" s="1"/>
  <c r="AE207" i="23"/>
  <c r="AC207" i="23"/>
  <c r="AA207" i="23"/>
  <c r="Z207" i="23"/>
  <c r="Y207" i="23"/>
  <c r="X207" i="23"/>
  <c r="W207" i="23"/>
  <c r="V207" i="23"/>
  <c r="T207" i="23"/>
  <c r="S208" i="23" s="1"/>
  <c r="S207" i="23"/>
  <c r="Q207" i="23"/>
  <c r="P207" i="23"/>
  <c r="N207" i="23"/>
  <c r="M207" i="23"/>
  <c r="M209" i="23" s="1"/>
  <c r="M210" i="23" s="1"/>
  <c r="L207" i="23"/>
  <c r="I207" i="23"/>
  <c r="E207" i="23"/>
  <c r="AD207" i="23" s="1"/>
  <c r="N208" i="23" s="1"/>
  <c r="C207" i="23"/>
  <c r="O205" i="23"/>
  <c r="Z205" i="23" s="1"/>
  <c r="M205" i="23"/>
  <c r="M206" i="23" s="1"/>
  <c r="AE203" i="23"/>
  <c r="AD203" i="23"/>
  <c r="N204" i="23" s="1"/>
  <c r="AC203" i="23"/>
  <c r="AA203" i="23"/>
  <c r="Z203" i="23"/>
  <c r="Y203" i="23"/>
  <c r="X203" i="23"/>
  <c r="W203" i="23"/>
  <c r="V203" i="23"/>
  <c r="T203" i="23"/>
  <c r="S204" i="23" s="1"/>
  <c r="S203" i="23"/>
  <c r="Q203" i="23"/>
  <c r="P203" i="23"/>
  <c r="N203" i="23"/>
  <c r="M203" i="23"/>
  <c r="L203" i="23"/>
  <c r="O206" i="23" s="1"/>
  <c r="Z206" i="23" s="1"/>
  <c r="I203" i="23"/>
  <c r="E203" i="23"/>
  <c r="C203" i="23"/>
  <c r="O201" i="23"/>
  <c r="Z201" i="23" s="1"/>
  <c r="AE199" i="23"/>
  <c r="AC199" i="23"/>
  <c r="AA199" i="23"/>
  <c r="Z199" i="23"/>
  <c r="Y199" i="23"/>
  <c r="X199" i="23"/>
  <c r="W199" i="23"/>
  <c r="V199" i="23"/>
  <c r="T199" i="23"/>
  <c r="S200" i="23" s="1"/>
  <c r="S199" i="23"/>
  <c r="Q199" i="23"/>
  <c r="P199" i="23"/>
  <c r="M199" i="23"/>
  <c r="M201" i="23" s="1"/>
  <c r="M202" i="23" s="1"/>
  <c r="L199" i="23"/>
  <c r="O202" i="23" s="1"/>
  <c r="Z202" i="23" s="1"/>
  <c r="I199" i="23"/>
  <c r="E199" i="23"/>
  <c r="AD199" i="23" s="1"/>
  <c r="N200" i="23" s="1"/>
  <c r="R200" i="23" s="1"/>
  <c r="C199" i="23"/>
  <c r="O197" i="23"/>
  <c r="Z197" i="23" s="1"/>
  <c r="AE196" i="23"/>
  <c r="AC196" i="23"/>
  <c r="AA196" i="23"/>
  <c r="Z196" i="23"/>
  <c r="Y196" i="23"/>
  <c r="X196" i="23"/>
  <c r="W196" i="23"/>
  <c r="V196" i="23"/>
  <c r="T196" i="23"/>
  <c r="S196" i="23"/>
  <c r="Q196" i="23"/>
  <c r="P196" i="23"/>
  <c r="M196" i="23"/>
  <c r="M197" i="23" s="1"/>
  <c r="M198" i="23" s="1"/>
  <c r="L196" i="23"/>
  <c r="O198" i="23" s="1"/>
  <c r="Z198" i="23" s="1"/>
  <c r="I196" i="23"/>
  <c r="E196" i="23"/>
  <c r="N196" i="23" s="1"/>
  <c r="D196" i="23" s="1"/>
  <c r="C196" i="23"/>
  <c r="O194" i="23"/>
  <c r="Z194" i="23" s="1"/>
  <c r="M194" i="23"/>
  <c r="M195" i="23" s="1"/>
  <c r="AE193" i="23"/>
  <c r="AC193" i="23"/>
  <c r="AA193" i="23"/>
  <c r="Z193" i="23"/>
  <c r="Y193" i="23"/>
  <c r="X193" i="23"/>
  <c r="W193" i="23"/>
  <c r="V193" i="23"/>
  <c r="T193" i="23"/>
  <c r="S193" i="23"/>
  <c r="Q193" i="23"/>
  <c r="P193" i="23"/>
  <c r="M193" i="23"/>
  <c r="L193" i="23"/>
  <c r="O195" i="23" s="1"/>
  <c r="Z195" i="23" s="1"/>
  <c r="I193" i="23"/>
  <c r="E193" i="23"/>
  <c r="N193" i="23" s="1"/>
  <c r="R193" i="23" s="1"/>
  <c r="C193" i="23"/>
  <c r="O191" i="23"/>
  <c r="Z191" i="23" s="1"/>
  <c r="AE189" i="23"/>
  <c r="AC189" i="23"/>
  <c r="AA189" i="23"/>
  <c r="Z189" i="23"/>
  <c r="Y189" i="23"/>
  <c r="X189" i="23"/>
  <c r="W189" i="23"/>
  <c r="V189" i="23"/>
  <c r="T189" i="23"/>
  <c r="S190" i="23" s="1"/>
  <c r="S189" i="23"/>
  <c r="Q189" i="23"/>
  <c r="P189" i="23"/>
  <c r="M189" i="23"/>
  <c r="M191" i="23" s="1"/>
  <c r="M192" i="23" s="1"/>
  <c r="L189" i="23"/>
  <c r="O192" i="23" s="1"/>
  <c r="Z192" i="23" s="1"/>
  <c r="I189" i="23"/>
  <c r="E189" i="23"/>
  <c r="N189" i="23" s="1"/>
  <c r="D189" i="23" s="1"/>
  <c r="C189" i="23"/>
  <c r="O187" i="23"/>
  <c r="Z187" i="23" s="1"/>
  <c r="AE185" i="23"/>
  <c r="AD185" i="23"/>
  <c r="N186" i="23" s="1"/>
  <c r="AC185" i="23"/>
  <c r="AA185" i="23"/>
  <c r="Z185" i="23"/>
  <c r="Y185" i="23"/>
  <c r="X185" i="23"/>
  <c r="W185" i="23"/>
  <c r="V185" i="23"/>
  <c r="T185" i="23"/>
  <c r="S186" i="23" s="1"/>
  <c r="S185" i="23"/>
  <c r="Q185" i="23"/>
  <c r="P185" i="23"/>
  <c r="M185" i="23"/>
  <c r="M187" i="23" s="1"/>
  <c r="M188" i="23" s="1"/>
  <c r="L185" i="23"/>
  <c r="O188" i="23" s="1"/>
  <c r="Z188" i="23" s="1"/>
  <c r="I185" i="23"/>
  <c r="R185" i="23" s="1"/>
  <c r="E185" i="23"/>
  <c r="N185" i="23" s="1"/>
  <c r="C185" i="23"/>
  <c r="D185" i="23" s="1"/>
  <c r="O183" i="23"/>
  <c r="Z183" i="23" s="1"/>
  <c r="AE182" i="23"/>
  <c r="AC182" i="23"/>
  <c r="AA182" i="23"/>
  <c r="Z182" i="23"/>
  <c r="Y182" i="23"/>
  <c r="X182" i="23"/>
  <c r="W182" i="23"/>
  <c r="V182" i="23"/>
  <c r="T182" i="23"/>
  <c r="S182" i="23"/>
  <c r="Q182" i="23"/>
  <c r="P182" i="23"/>
  <c r="M182" i="23"/>
  <c r="M183" i="23" s="1"/>
  <c r="M184" i="23" s="1"/>
  <c r="L182" i="23"/>
  <c r="O184" i="23" s="1"/>
  <c r="Z184" i="23" s="1"/>
  <c r="I182" i="23"/>
  <c r="E182" i="23"/>
  <c r="N182" i="23" s="1"/>
  <c r="C182" i="23"/>
  <c r="O180" i="23"/>
  <c r="Z180" i="23" s="1"/>
  <c r="AE179" i="23"/>
  <c r="AC179" i="23"/>
  <c r="AA179" i="23"/>
  <c r="Y179" i="23"/>
  <c r="X179" i="23"/>
  <c r="W179" i="23"/>
  <c r="V179" i="23"/>
  <c r="T179" i="23"/>
  <c r="S179" i="23"/>
  <c r="Q179" i="23"/>
  <c r="P179" i="23"/>
  <c r="M179" i="23"/>
  <c r="M180" i="23" s="1"/>
  <c r="M181" i="23" s="1"/>
  <c r="L179" i="23"/>
  <c r="O181" i="23" s="1"/>
  <c r="Z181" i="23" s="1"/>
  <c r="I179" i="23"/>
  <c r="E179" i="23"/>
  <c r="N179" i="23" s="1"/>
  <c r="R179" i="23" s="1"/>
  <c r="C179" i="23"/>
  <c r="AE177" i="23"/>
  <c r="AC177" i="23"/>
  <c r="AA177" i="23"/>
  <c r="Y177" i="23"/>
  <c r="X177" i="23"/>
  <c r="W177" i="23"/>
  <c r="V177" i="23"/>
  <c r="T177" i="23"/>
  <c r="S178" i="23" s="1"/>
  <c r="S177" i="23"/>
  <c r="Q177" i="23"/>
  <c r="P177" i="23"/>
  <c r="L177" i="23"/>
  <c r="I177" i="23"/>
  <c r="E177" i="23"/>
  <c r="C177" i="23"/>
  <c r="AE175" i="23"/>
  <c r="AC175" i="23"/>
  <c r="AA175" i="23"/>
  <c r="Y175" i="23"/>
  <c r="X175" i="23"/>
  <c r="W175" i="23"/>
  <c r="V175" i="23"/>
  <c r="T175" i="23"/>
  <c r="S176" i="23" s="1"/>
  <c r="S175" i="23"/>
  <c r="Q175" i="23"/>
  <c r="P175" i="23"/>
  <c r="L175" i="23"/>
  <c r="I175" i="23"/>
  <c r="E175" i="23"/>
  <c r="N175" i="23" s="1"/>
  <c r="D175" i="23" s="1"/>
  <c r="C175" i="23"/>
  <c r="S174" i="23"/>
  <c r="AE173" i="23"/>
  <c r="AD173" i="23"/>
  <c r="N174" i="23" s="1"/>
  <c r="R174" i="23" s="1"/>
  <c r="AC173" i="23"/>
  <c r="AA173" i="23"/>
  <c r="Y173" i="23"/>
  <c r="X173" i="23"/>
  <c r="W173" i="23"/>
  <c r="V173" i="23"/>
  <c r="T173" i="23"/>
  <c r="S173" i="23"/>
  <c r="Q173" i="23"/>
  <c r="P173" i="23"/>
  <c r="N173" i="23"/>
  <c r="L173" i="23"/>
  <c r="I173" i="23"/>
  <c r="E173" i="23"/>
  <c r="C173" i="23"/>
  <c r="D173" i="23" s="1"/>
  <c r="AE171" i="23"/>
  <c r="AC171" i="23"/>
  <c r="AA171" i="23"/>
  <c r="Y171" i="23"/>
  <c r="X171" i="23"/>
  <c r="W171" i="23"/>
  <c r="V171" i="23"/>
  <c r="T171" i="23"/>
  <c r="S172" i="23" s="1"/>
  <c r="S171" i="23"/>
  <c r="Q171" i="23"/>
  <c r="P171" i="23"/>
  <c r="L171" i="23"/>
  <c r="I171" i="23"/>
  <c r="E171" i="23"/>
  <c r="N171" i="23" s="1"/>
  <c r="D171" i="23" s="1"/>
  <c r="C171" i="23"/>
  <c r="AE170" i="23"/>
  <c r="AC170" i="23"/>
  <c r="AA170" i="23"/>
  <c r="Y170" i="23"/>
  <c r="X170" i="23"/>
  <c r="W170" i="23"/>
  <c r="V170" i="23"/>
  <c r="T170" i="23"/>
  <c r="S170" i="23"/>
  <c r="Q170" i="23"/>
  <c r="P170" i="23"/>
  <c r="L170" i="23"/>
  <c r="I170" i="23"/>
  <c r="E170" i="23"/>
  <c r="N170" i="23" s="1"/>
  <c r="D170" i="23" s="1"/>
  <c r="C170" i="23"/>
  <c r="AE169" i="23"/>
  <c r="AC169" i="23"/>
  <c r="AA169" i="23"/>
  <c r="Y169" i="23"/>
  <c r="X169" i="23"/>
  <c r="W169" i="23"/>
  <c r="V169" i="23"/>
  <c r="T169" i="23"/>
  <c r="S169" i="23"/>
  <c r="Q169" i="23"/>
  <c r="P169" i="23"/>
  <c r="L169" i="23"/>
  <c r="I169" i="23"/>
  <c r="E169" i="23"/>
  <c r="N169" i="23" s="1"/>
  <c r="D169" i="23" s="1"/>
  <c r="C169" i="23"/>
  <c r="AE168" i="23"/>
  <c r="AC168" i="23"/>
  <c r="AA168" i="23"/>
  <c r="Y168" i="23"/>
  <c r="X168" i="23"/>
  <c r="W168" i="23"/>
  <c r="V168" i="23"/>
  <c r="T168" i="23"/>
  <c r="S168" i="23"/>
  <c r="Q168" i="23"/>
  <c r="P168" i="23"/>
  <c r="L168" i="23"/>
  <c r="I168" i="23"/>
  <c r="E168" i="23"/>
  <c r="N168" i="23" s="1"/>
  <c r="C168" i="23"/>
  <c r="AE167" i="23"/>
  <c r="AC167" i="23"/>
  <c r="AA167" i="23"/>
  <c r="Y167" i="23"/>
  <c r="X167" i="23"/>
  <c r="W167" i="23"/>
  <c r="V167" i="23"/>
  <c r="T167" i="23"/>
  <c r="S167" i="23"/>
  <c r="Q167" i="23"/>
  <c r="P167" i="23"/>
  <c r="L167" i="23"/>
  <c r="I167" i="23"/>
  <c r="E167" i="23"/>
  <c r="N167" i="23" s="1"/>
  <c r="C167" i="23"/>
  <c r="AE165" i="23"/>
  <c r="AC165" i="23"/>
  <c r="AA165" i="23"/>
  <c r="Y165" i="23"/>
  <c r="X165" i="23"/>
  <c r="W165" i="23"/>
  <c r="V165" i="23"/>
  <c r="T165" i="23"/>
  <c r="S166" i="23" s="1"/>
  <c r="S165" i="23"/>
  <c r="Q165" i="23"/>
  <c r="P165" i="23"/>
  <c r="L165" i="23"/>
  <c r="I165" i="23"/>
  <c r="E165" i="23"/>
  <c r="AD165" i="23" s="1"/>
  <c r="N166" i="23" s="1"/>
  <c r="R166" i="23" s="1"/>
  <c r="C165" i="23"/>
  <c r="AE163" i="23"/>
  <c r="AD163" i="23"/>
  <c r="N164" i="23" s="1"/>
  <c r="R164" i="23" s="1"/>
  <c r="AC163" i="23"/>
  <c r="AA163" i="23"/>
  <c r="Y163" i="23"/>
  <c r="X163" i="23"/>
  <c r="W163" i="23"/>
  <c r="V163" i="23"/>
  <c r="T163" i="23"/>
  <c r="S164" i="23" s="1"/>
  <c r="S163" i="23"/>
  <c r="Q163" i="23"/>
  <c r="P163" i="23"/>
  <c r="L163" i="23"/>
  <c r="I163" i="23"/>
  <c r="E163" i="23"/>
  <c r="N163" i="23" s="1"/>
  <c r="D163" i="23" s="1"/>
  <c r="C163" i="23"/>
  <c r="AE161" i="23"/>
  <c r="AC161" i="23"/>
  <c r="AA161" i="23"/>
  <c r="Y161" i="23"/>
  <c r="X161" i="23"/>
  <c r="W161" i="23"/>
  <c r="V161" i="23"/>
  <c r="T161" i="23"/>
  <c r="S162" i="23" s="1"/>
  <c r="S161" i="23"/>
  <c r="Q161" i="23"/>
  <c r="P161" i="23"/>
  <c r="L161" i="23"/>
  <c r="I161" i="23"/>
  <c r="E161" i="23"/>
  <c r="AD161" i="23" s="1"/>
  <c r="N162" i="23" s="1"/>
  <c r="C161" i="23"/>
  <c r="S160" i="23"/>
  <c r="AE159" i="23"/>
  <c r="AC159" i="23"/>
  <c r="AA159" i="23"/>
  <c r="Y159" i="23"/>
  <c r="X159" i="23"/>
  <c r="W159" i="23"/>
  <c r="V159" i="23"/>
  <c r="T159" i="23"/>
  <c r="S159" i="23"/>
  <c r="Q159" i="23"/>
  <c r="P159" i="23"/>
  <c r="L159" i="23"/>
  <c r="I159" i="23"/>
  <c r="E159" i="23"/>
  <c r="AD159" i="23" s="1"/>
  <c r="N160" i="23" s="1"/>
  <c r="C159" i="23"/>
  <c r="AE157" i="23"/>
  <c r="AC157" i="23"/>
  <c r="AA157" i="23"/>
  <c r="Y157" i="23"/>
  <c r="X157" i="23"/>
  <c r="W157" i="23"/>
  <c r="V157" i="23"/>
  <c r="T157" i="23"/>
  <c r="S158" i="23" s="1"/>
  <c r="S157" i="23"/>
  <c r="Q157" i="23"/>
  <c r="P157" i="23"/>
  <c r="L157" i="23"/>
  <c r="I157" i="23"/>
  <c r="E157" i="23"/>
  <c r="C157" i="23"/>
  <c r="S156" i="23"/>
  <c r="AE155" i="23"/>
  <c r="AC155" i="23"/>
  <c r="AA155" i="23"/>
  <c r="Y155" i="23"/>
  <c r="X155" i="23"/>
  <c r="W155" i="23"/>
  <c r="V155" i="23"/>
  <c r="T155" i="23"/>
  <c r="S155" i="23"/>
  <c r="Q155" i="23"/>
  <c r="P155" i="23"/>
  <c r="L155" i="23"/>
  <c r="I155" i="23"/>
  <c r="E155" i="23"/>
  <c r="AD155" i="23" s="1"/>
  <c r="N156" i="23" s="1"/>
  <c r="R156" i="23" s="1"/>
  <c r="C155" i="23"/>
  <c r="AE153" i="23"/>
  <c r="AC153" i="23"/>
  <c r="AA153" i="23"/>
  <c r="Y153" i="23"/>
  <c r="X153" i="23"/>
  <c r="W153" i="23"/>
  <c r="V153" i="23"/>
  <c r="T153" i="23"/>
  <c r="S154" i="23" s="1"/>
  <c r="S153" i="23"/>
  <c r="Q153" i="23"/>
  <c r="P153" i="23"/>
  <c r="L153" i="23"/>
  <c r="I153" i="23"/>
  <c r="E153" i="23"/>
  <c r="AD153" i="23" s="1"/>
  <c r="N154" i="23" s="1"/>
  <c r="R154" i="23" s="1"/>
  <c r="C153" i="23"/>
  <c r="AE151" i="23"/>
  <c r="AD151" i="23"/>
  <c r="N152" i="23" s="1"/>
  <c r="R152" i="23" s="1"/>
  <c r="AC151" i="23"/>
  <c r="AA151" i="23"/>
  <c r="Y151" i="23"/>
  <c r="X151" i="23"/>
  <c r="W151" i="23"/>
  <c r="V151" i="23"/>
  <c r="T151" i="23"/>
  <c r="S152" i="23" s="1"/>
  <c r="S151" i="23"/>
  <c r="Q151" i="23"/>
  <c r="P151" i="23"/>
  <c r="L151" i="23"/>
  <c r="I151" i="23"/>
  <c r="E151" i="23"/>
  <c r="N151" i="23" s="1"/>
  <c r="R151" i="23" s="1"/>
  <c r="C151" i="23"/>
  <c r="AE149" i="23"/>
  <c r="AD149" i="23"/>
  <c r="N150" i="23" s="1"/>
  <c r="R150" i="23" s="1"/>
  <c r="AC149" i="23"/>
  <c r="AA149" i="23"/>
  <c r="Y149" i="23"/>
  <c r="X149" i="23"/>
  <c r="W149" i="23"/>
  <c r="V149" i="23"/>
  <c r="T149" i="23"/>
  <c r="S150" i="23" s="1"/>
  <c r="S149" i="23"/>
  <c r="Q149" i="23"/>
  <c r="P149" i="23"/>
  <c r="L149" i="23"/>
  <c r="I149" i="23"/>
  <c r="E149" i="23"/>
  <c r="N149" i="23" s="1"/>
  <c r="C149" i="23"/>
  <c r="AE147" i="23"/>
  <c r="AC147" i="23"/>
  <c r="AA147" i="23"/>
  <c r="Y147" i="23"/>
  <c r="X147" i="23"/>
  <c r="W147" i="23"/>
  <c r="V147" i="23"/>
  <c r="T147" i="23"/>
  <c r="S148" i="23" s="1"/>
  <c r="S147" i="23"/>
  <c r="Q147" i="23"/>
  <c r="P147" i="23"/>
  <c r="L147" i="23"/>
  <c r="I147" i="23"/>
  <c r="E147" i="23"/>
  <c r="N147" i="23" s="1"/>
  <c r="D147" i="23" s="1"/>
  <c r="C147" i="23"/>
  <c r="S146" i="23"/>
  <c r="AE145" i="23"/>
  <c r="AC145" i="23"/>
  <c r="AA145" i="23"/>
  <c r="Y145" i="23"/>
  <c r="X145" i="23"/>
  <c r="W145" i="23"/>
  <c r="V145" i="23"/>
  <c r="T145" i="23"/>
  <c r="S145" i="23"/>
  <c r="Q145" i="23"/>
  <c r="P145" i="23"/>
  <c r="L145" i="23"/>
  <c r="I145" i="23"/>
  <c r="E145" i="23"/>
  <c r="AD145" i="23" s="1"/>
  <c r="N146" i="23" s="1"/>
  <c r="C145" i="23"/>
  <c r="AE143" i="23"/>
  <c r="AC143" i="23"/>
  <c r="AA143" i="23"/>
  <c r="Y143" i="23"/>
  <c r="X143" i="23"/>
  <c r="W143" i="23"/>
  <c r="V143" i="23"/>
  <c r="T143" i="23"/>
  <c r="S144" i="23" s="1"/>
  <c r="S143" i="23"/>
  <c r="Q143" i="23"/>
  <c r="P143" i="23"/>
  <c r="L143" i="23"/>
  <c r="I143" i="23"/>
  <c r="E143" i="23"/>
  <c r="AD143" i="23" s="1"/>
  <c r="N144" i="23" s="1"/>
  <c r="R144" i="23" s="1"/>
  <c r="C143" i="23"/>
  <c r="AE141" i="23"/>
  <c r="AD141" i="23"/>
  <c r="N142" i="23" s="1"/>
  <c r="AC141" i="23"/>
  <c r="AA141" i="23"/>
  <c r="Y141" i="23"/>
  <c r="X141" i="23"/>
  <c r="W141" i="23"/>
  <c r="V141" i="23"/>
  <c r="T141" i="23"/>
  <c r="S142" i="23" s="1"/>
  <c r="S141" i="23"/>
  <c r="Q141" i="23"/>
  <c r="P141" i="23"/>
  <c r="N141" i="23"/>
  <c r="L141" i="23"/>
  <c r="I141" i="23"/>
  <c r="E141" i="23"/>
  <c r="C141" i="23"/>
  <c r="S140" i="23"/>
  <c r="AE139" i="23"/>
  <c r="AC139" i="23"/>
  <c r="AA139" i="23"/>
  <c r="Y139" i="23"/>
  <c r="X139" i="23"/>
  <c r="W139" i="23"/>
  <c r="V139" i="23"/>
  <c r="T139" i="23"/>
  <c r="S139" i="23"/>
  <c r="Q139" i="23"/>
  <c r="P139" i="23"/>
  <c r="L139" i="23"/>
  <c r="I139" i="23"/>
  <c r="E139" i="23"/>
  <c r="AD139" i="23" s="1"/>
  <c r="N140" i="23" s="1"/>
  <c r="R140" i="23" s="1"/>
  <c r="C139" i="23"/>
  <c r="AE137" i="23"/>
  <c r="AC137" i="23"/>
  <c r="AA137" i="23"/>
  <c r="Y137" i="23"/>
  <c r="X137" i="23"/>
  <c r="W137" i="23"/>
  <c r="V137" i="23"/>
  <c r="T137" i="23"/>
  <c r="S138" i="23" s="1"/>
  <c r="S137" i="23"/>
  <c r="Q137" i="23"/>
  <c r="P137" i="23"/>
  <c r="L137" i="23"/>
  <c r="I137" i="23"/>
  <c r="E137" i="23"/>
  <c r="AD137" i="23" s="1"/>
  <c r="N138" i="23" s="1"/>
  <c r="R138" i="23" s="1"/>
  <c r="C137" i="23"/>
  <c r="AE135" i="23"/>
  <c r="AC135" i="23"/>
  <c r="AA135" i="23"/>
  <c r="Y135" i="23"/>
  <c r="X135" i="23"/>
  <c r="W135" i="23"/>
  <c r="V135" i="23"/>
  <c r="T135" i="23"/>
  <c r="S136" i="23" s="1"/>
  <c r="S135" i="23"/>
  <c r="Q135" i="23"/>
  <c r="P135" i="23"/>
  <c r="L135" i="23"/>
  <c r="I135" i="23"/>
  <c r="E135" i="23"/>
  <c r="AD135" i="23" s="1"/>
  <c r="N136" i="23" s="1"/>
  <c r="R136" i="23" s="1"/>
  <c r="C135" i="23"/>
  <c r="AE133" i="23"/>
  <c r="AD133" i="23"/>
  <c r="N134" i="23" s="1"/>
  <c r="AC133" i="23"/>
  <c r="AA133" i="23"/>
  <c r="Y133" i="23"/>
  <c r="X133" i="23"/>
  <c r="W133" i="23"/>
  <c r="V133" i="23"/>
  <c r="T133" i="23"/>
  <c r="S134" i="23" s="1"/>
  <c r="S133" i="23"/>
  <c r="Q133" i="23"/>
  <c r="P133" i="23"/>
  <c r="L133" i="23"/>
  <c r="I133" i="23"/>
  <c r="E133" i="23"/>
  <c r="N133" i="23" s="1"/>
  <c r="C133" i="23"/>
  <c r="AE131" i="23"/>
  <c r="AC131" i="23"/>
  <c r="AA131" i="23"/>
  <c r="Y131" i="23"/>
  <c r="X131" i="23"/>
  <c r="W131" i="23"/>
  <c r="V131" i="23"/>
  <c r="T131" i="23"/>
  <c r="S132" i="23" s="1"/>
  <c r="S131" i="23"/>
  <c r="Q131" i="23"/>
  <c r="P131" i="23"/>
  <c r="L131" i="23"/>
  <c r="I131" i="23"/>
  <c r="E131" i="23"/>
  <c r="AD131" i="23" s="1"/>
  <c r="N132" i="23" s="1"/>
  <c r="R132" i="23" s="1"/>
  <c r="C131" i="23"/>
  <c r="S130" i="23"/>
  <c r="AE129" i="23"/>
  <c r="AC129" i="23"/>
  <c r="AA129" i="23"/>
  <c r="Y129" i="23"/>
  <c r="X129" i="23"/>
  <c r="W129" i="23"/>
  <c r="V129" i="23"/>
  <c r="T129" i="23"/>
  <c r="S129" i="23"/>
  <c r="Q129" i="23"/>
  <c r="P129" i="23"/>
  <c r="L129" i="23"/>
  <c r="I129" i="23"/>
  <c r="E129" i="23"/>
  <c r="AD129" i="23" s="1"/>
  <c r="N130" i="23" s="1"/>
  <c r="C129" i="23"/>
  <c r="S128" i="23"/>
  <c r="AE127" i="23"/>
  <c r="AC127" i="23"/>
  <c r="AA127" i="23"/>
  <c r="Y127" i="23"/>
  <c r="X127" i="23"/>
  <c r="W127" i="23"/>
  <c r="V127" i="23"/>
  <c r="T127" i="23"/>
  <c r="S127" i="23"/>
  <c r="Q127" i="23"/>
  <c r="P127" i="23"/>
  <c r="L127" i="23"/>
  <c r="I127" i="23"/>
  <c r="E127" i="23"/>
  <c r="AD127" i="23" s="1"/>
  <c r="N128" i="23" s="1"/>
  <c r="R128" i="23" s="1"/>
  <c r="C127" i="23"/>
  <c r="AE125" i="23"/>
  <c r="AC125" i="23"/>
  <c r="AA125" i="23"/>
  <c r="Y125" i="23"/>
  <c r="X125" i="23"/>
  <c r="W125" i="23"/>
  <c r="V125" i="23"/>
  <c r="T125" i="23"/>
  <c r="S126" i="23" s="1"/>
  <c r="S125" i="23"/>
  <c r="Q125" i="23"/>
  <c r="P125" i="23"/>
  <c r="L125" i="23"/>
  <c r="I125" i="23"/>
  <c r="E125" i="23"/>
  <c r="AD125" i="23" s="1"/>
  <c r="N126" i="23" s="1"/>
  <c r="R126" i="23" s="1"/>
  <c r="C125" i="23"/>
  <c r="AE123" i="23"/>
  <c r="AC123" i="23"/>
  <c r="AA123" i="23"/>
  <c r="Y123" i="23"/>
  <c r="X123" i="23"/>
  <c r="W123" i="23"/>
  <c r="V123" i="23"/>
  <c r="T123" i="23"/>
  <c r="S124" i="23" s="1"/>
  <c r="S123" i="23"/>
  <c r="Q123" i="23"/>
  <c r="P123" i="23"/>
  <c r="L123" i="23"/>
  <c r="I123" i="23"/>
  <c r="E123" i="23"/>
  <c r="AD123" i="23" s="1"/>
  <c r="N124" i="23" s="1"/>
  <c r="R124" i="23" s="1"/>
  <c r="C123" i="23"/>
  <c r="AE121" i="23"/>
  <c r="AD121" i="23"/>
  <c r="N122" i="23" s="1"/>
  <c r="AC121" i="23"/>
  <c r="AA121" i="23"/>
  <c r="Y121" i="23"/>
  <c r="X121" i="23"/>
  <c r="W121" i="23"/>
  <c r="V121" i="23"/>
  <c r="T121" i="23"/>
  <c r="S122" i="23" s="1"/>
  <c r="S121" i="23"/>
  <c r="Q121" i="23"/>
  <c r="P121" i="23"/>
  <c r="N121" i="23"/>
  <c r="D121" i="23" s="1"/>
  <c r="L121" i="23"/>
  <c r="I121" i="23"/>
  <c r="E121" i="23"/>
  <c r="C121" i="23"/>
  <c r="AE119" i="23"/>
  <c r="AC119" i="23"/>
  <c r="AA119" i="23"/>
  <c r="Y119" i="23"/>
  <c r="X119" i="23"/>
  <c r="W119" i="23"/>
  <c r="V119" i="23"/>
  <c r="T119" i="23"/>
  <c r="S120" i="23" s="1"/>
  <c r="S119" i="23"/>
  <c r="Q119" i="23"/>
  <c r="P119" i="23"/>
  <c r="L119" i="23"/>
  <c r="I119" i="23"/>
  <c r="E119" i="23"/>
  <c r="N119" i="23" s="1"/>
  <c r="D119" i="23" s="1"/>
  <c r="C119" i="23"/>
  <c r="S118" i="23"/>
  <c r="AE117" i="23"/>
  <c r="AC117" i="23"/>
  <c r="AA117" i="23"/>
  <c r="Y117" i="23"/>
  <c r="X117" i="23"/>
  <c r="W117" i="23"/>
  <c r="V117" i="23"/>
  <c r="T117" i="23"/>
  <c r="S117" i="23"/>
  <c r="Q117" i="23"/>
  <c r="P117" i="23"/>
  <c r="L117" i="23"/>
  <c r="I117" i="23"/>
  <c r="E117" i="23"/>
  <c r="AD117" i="23" s="1"/>
  <c r="N118" i="23" s="1"/>
  <c r="C117" i="23"/>
  <c r="AE115" i="23"/>
  <c r="AC115" i="23"/>
  <c r="AA115" i="23"/>
  <c r="Y115" i="23"/>
  <c r="X115" i="23"/>
  <c r="W115" i="23"/>
  <c r="V115" i="23"/>
  <c r="T115" i="23"/>
  <c r="S116" i="23" s="1"/>
  <c r="S115" i="23"/>
  <c r="Q115" i="23"/>
  <c r="P115" i="23"/>
  <c r="L115" i="23"/>
  <c r="I115" i="23"/>
  <c r="E115" i="23"/>
  <c r="AD115" i="23" s="1"/>
  <c r="N116" i="23" s="1"/>
  <c r="R116" i="23" s="1"/>
  <c r="C115" i="23"/>
  <c r="AE113" i="23"/>
  <c r="AC113" i="23"/>
  <c r="AA113" i="23"/>
  <c r="Y113" i="23"/>
  <c r="X113" i="23"/>
  <c r="W113" i="23"/>
  <c r="V113" i="23"/>
  <c r="T113" i="23"/>
  <c r="S114" i="23" s="1"/>
  <c r="S113" i="23"/>
  <c r="Q113" i="23"/>
  <c r="P113" i="23"/>
  <c r="L113" i="23"/>
  <c r="I113" i="23"/>
  <c r="E113" i="23"/>
  <c r="AD113" i="23" s="1"/>
  <c r="N114" i="23" s="1"/>
  <c r="R114" i="23" s="1"/>
  <c r="C113" i="23"/>
  <c r="AE111" i="23"/>
  <c r="AC111" i="23"/>
  <c r="AA111" i="23"/>
  <c r="Y111" i="23"/>
  <c r="X111" i="23"/>
  <c r="W111" i="23"/>
  <c r="V111" i="23"/>
  <c r="T111" i="23"/>
  <c r="S112" i="23" s="1"/>
  <c r="S111" i="23"/>
  <c r="Q111" i="23"/>
  <c r="P111" i="23"/>
  <c r="L111" i="23"/>
  <c r="I111" i="23"/>
  <c r="E111" i="23"/>
  <c r="AD111" i="23" s="1"/>
  <c r="N112" i="23" s="1"/>
  <c r="R112" i="23" s="1"/>
  <c r="C111" i="23"/>
  <c r="AE109" i="23"/>
  <c r="AD109" i="23"/>
  <c r="N110" i="23" s="1"/>
  <c r="R110" i="23" s="1"/>
  <c r="AC109" i="23"/>
  <c r="AA109" i="23"/>
  <c r="Y109" i="23"/>
  <c r="X109" i="23"/>
  <c r="W109" i="23"/>
  <c r="V109" i="23"/>
  <c r="T109" i="23"/>
  <c r="S110" i="23" s="1"/>
  <c r="S109" i="23"/>
  <c r="Q109" i="23"/>
  <c r="P109" i="23"/>
  <c r="L109" i="23"/>
  <c r="I109" i="23"/>
  <c r="E109" i="23"/>
  <c r="N109" i="23" s="1"/>
  <c r="C109" i="23"/>
  <c r="AE107" i="23"/>
  <c r="AC107" i="23"/>
  <c r="AA107" i="23"/>
  <c r="Y107" i="23"/>
  <c r="X107" i="23"/>
  <c r="W107" i="23"/>
  <c r="V107" i="23"/>
  <c r="T107" i="23"/>
  <c r="S108" i="23" s="1"/>
  <c r="S107" i="23"/>
  <c r="Q107" i="23"/>
  <c r="P107" i="23"/>
  <c r="L107" i="23"/>
  <c r="I107" i="23"/>
  <c r="E107" i="23"/>
  <c r="N107" i="23" s="1"/>
  <c r="D107" i="23" s="1"/>
  <c r="C107" i="23"/>
  <c r="S106" i="23"/>
  <c r="AE105" i="23"/>
  <c r="AC105" i="23"/>
  <c r="AA105" i="23"/>
  <c r="Y105" i="23"/>
  <c r="X105" i="23"/>
  <c r="W105" i="23"/>
  <c r="V105" i="23"/>
  <c r="T105" i="23"/>
  <c r="S105" i="23"/>
  <c r="Q105" i="23"/>
  <c r="P105" i="23"/>
  <c r="L105" i="23"/>
  <c r="I105" i="23"/>
  <c r="E105" i="23"/>
  <c r="AD105" i="23" s="1"/>
  <c r="N106" i="23" s="1"/>
  <c r="C105" i="23"/>
  <c r="AE103" i="23"/>
  <c r="AC103" i="23"/>
  <c r="AA103" i="23"/>
  <c r="Y103" i="23"/>
  <c r="X103" i="23"/>
  <c r="W103" i="23"/>
  <c r="V103" i="23"/>
  <c r="T103" i="23"/>
  <c r="S104" i="23" s="1"/>
  <c r="S103" i="23"/>
  <c r="Q103" i="23"/>
  <c r="P103" i="23"/>
  <c r="L103" i="23"/>
  <c r="I103" i="23"/>
  <c r="E103" i="23"/>
  <c r="AD103" i="23" s="1"/>
  <c r="N104" i="23" s="1"/>
  <c r="R104" i="23" s="1"/>
  <c r="C103" i="23"/>
  <c r="S102" i="23"/>
  <c r="AE101" i="23"/>
  <c r="AC101" i="23"/>
  <c r="AA101" i="23"/>
  <c r="Y101" i="23"/>
  <c r="X101" i="23"/>
  <c r="W101" i="23"/>
  <c r="V101" i="23"/>
  <c r="T101" i="23"/>
  <c r="S101" i="23"/>
  <c r="Q101" i="23"/>
  <c r="P101" i="23"/>
  <c r="L101" i="23"/>
  <c r="I101" i="23"/>
  <c r="E101" i="23"/>
  <c r="AD101" i="23" s="1"/>
  <c r="N102" i="23" s="1"/>
  <c r="R102" i="23" s="1"/>
  <c r="C101" i="23"/>
  <c r="AE99" i="23"/>
  <c r="AC99" i="23"/>
  <c r="AA99" i="23"/>
  <c r="Y99" i="23"/>
  <c r="X99" i="23"/>
  <c r="W99" i="23"/>
  <c r="V99" i="23"/>
  <c r="T99" i="23"/>
  <c r="S100" i="23" s="1"/>
  <c r="S99" i="23"/>
  <c r="Q99" i="23"/>
  <c r="P99" i="23"/>
  <c r="L99" i="23"/>
  <c r="I99" i="23"/>
  <c r="E99" i="23"/>
  <c r="AD99" i="23" s="1"/>
  <c r="N100" i="23" s="1"/>
  <c r="R100" i="23" s="1"/>
  <c r="C99" i="23"/>
  <c r="S98" i="23"/>
  <c r="AE97" i="23"/>
  <c r="AC97" i="23"/>
  <c r="AA97" i="23"/>
  <c r="Y97" i="23"/>
  <c r="X97" i="23"/>
  <c r="W97" i="23"/>
  <c r="V97" i="23"/>
  <c r="T97" i="23"/>
  <c r="S97" i="23"/>
  <c r="Q97" i="23"/>
  <c r="P97" i="23"/>
  <c r="L97" i="23"/>
  <c r="I97" i="23"/>
  <c r="E97" i="23"/>
  <c r="AD97" i="23" s="1"/>
  <c r="N98" i="23" s="1"/>
  <c r="R98" i="23" s="1"/>
  <c r="C97" i="23"/>
  <c r="AE95" i="23"/>
  <c r="AC95" i="23"/>
  <c r="AA95" i="23"/>
  <c r="Y95" i="23"/>
  <c r="X95" i="23"/>
  <c r="W95" i="23"/>
  <c r="V95" i="23"/>
  <c r="T95" i="23"/>
  <c r="S96" i="23" s="1"/>
  <c r="S95" i="23"/>
  <c r="Q95" i="23"/>
  <c r="P95" i="23"/>
  <c r="L95" i="23"/>
  <c r="I95" i="23"/>
  <c r="E95" i="23"/>
  <c r="N95" i="23" s="1"/>
  <c r="D95" i="23" s="1"/>
  <c r="C95" i="23"/>
  <c r="S94" i="23"/>
  <c r="AE93" i="23"/>
  <c r="AC93" i="23"/>
  <c r="AA93" i="23"/>
  <c r="Y93" i="23"/>
  <c r="X93" i="23"/>
  <c r="W93" i="23"/>
  <c r="V93" i="23"/>
  <c r="T93" i="23"/>
  <c r="S93" i="23"/>
  <c r="Q93" i="23"/>
  <c r="P93" i="23"/>
  <c r="N93" i="23"/>
  <c r="D93" i="23" s="1"/>
  <c r="L93" i="23"/>
  <c r="I93" i="23"/>
  <c r="E93" i="23"/>
  <c r="AD93" i="23" s="1"/>
  <c r="N94" i="23" s="1"/>
  <c r="R94" i="23" s="1"/>
  <c r="C93" i="23"/>
  <c r="S92" i="23"/>
  <c r="AE91" i="23"/>
  <c r="AC91" i="23"/>
  <c r="AA91" i="23"/>
  <c r="Y91" i="23"/>
  <c r="X91" i="23"/>
  <c r="W91" i="23"/>
  <c r="V91" i="23"/>
  <c r="T91" i="23"/>
  <c r="S91" i="23"/>
  <c r="Q91" i="23"/>
  <c r="P91" i="23"/>
  <c r="L91" i="23"/>
  <c r="I91" i="23"/>
  <c r="E91" i="23"/>
  <c r="AD91" i="23" s="1"/>
  <c r="N92" i="23" s="1"/>
  <c r="R92" i="23" s="1"/>
  <c r="C91" i="23"/>
  <c r="AE89" i="23"/>
  <c r="AC89" i="23"/>
  <c r="AA89" i="23"/>
  <c r="Y89" i="23"/>
  <c r="X89" i="23"/>
  <c r="W89" i="23"/>
  <c r="V89" i="23"/>
  <c r="T89" i="23"/>
  <c r="S90" i="23" s="1"/>
  <c r="S89" i="23"/>
  <c r="Q89" i="23"/>
  <c r="P89" i="23"/>
  <c r="L89" i="23"/>
  <c r="I89" i="23"/>
  <c r="E89" i="23"/>
  <c r="AD89" i="23" s="1"/>
  <c r="N90" i="23" s="1"/>
  <c r="R90" i="23" s="1"/>
  <c r="C89" i="23"/>
  <c r="AE87" i="23"/>
  <c r="AC87" i="23"/>
  <c r="AA87" i="23"/>
  <c r="Y87" i="23"/>
  <c r="X87" i="23"/>
  <c r="W87" i="23"/>
  <c r="V87" i="23"/>
  <c r="T87" i="23"/>
  <c r="S88" i="23" s="1"/>
  <c r="S87" i="23"/>
  <c r="Q87" i="23"/>
  <c r="P87" i="23"/>
  <c r="L87" i="23"/>
  <c r="I87" i="23"/>
  <c r="E87" i="23"/>
  <c r="AD87" i="23" s="1"/>
  <c r="N88" i="23" s="1"/>
  <c r="C87" i="23"/>
  <c r="AE85" i="23"/>
  <c r="AD85" i="23"/>
  <c r="N86" i="23" s="1"/>
  <c r="R86" i="23" s="1"/>
  <c r="AC85" i="23"/>
  <c r="AA85" i="23"/>
  <c r="Y85" i="23"/>
  <c r="X85" i="23"/>
  <c r="W85" i="23"/>
  <c r="V85" i="23"/>
  <c r="T85" i="23"/>
  <c r="S86" i="23" s="1"/>
  <c r="S85" i="23"/>
  <c r="Q85" i="23"/>
  <c r="P85" i="23"/>
  <c r="N85" i="23"/>
  <c r="L85" i="23"/>
  <c r="I85" i="23"/>
  <c r="E85" i="23"/>
  <c r="C85" i="23"/>
  <c r="AE83" i="23"/>
  <c r="AD83" i="23"/>
  <c r="N84" i="23" s="1"/>
  <c r="AC83" i="23"/>
  <c r="AA83" i="23"/>
  <c r="Y83" i="23"/>
  <c r="X83" i="23"/>
  <c r="W83" i="23"/>
  <c r="V83" i="23"/>
  <c r="T83" i="23"/>
  <c r="S84" i="23" s="1"/>
  <c r="S83" i="23"/>
  <c r="Q83" i="23"/>
  <c r="P83" i="23"/>
  <c r="L83" i="23"/>
  <c r="I83" i="23"/>
  <c r="E83" i="23"/>
  <c r="N83" i="23" s="1"/>
  <c r="D83" i="23" s="1"/>
  <c r="C83" i="23"/>
  <c r="AE81" i="23"/>
  <c r="AC81" i="23"/>
  <c r="AA81" i="23"/>
  <c r="Y81" i="23"/>
  <c r="X81" i="23"/>
  <c r="W81" i="23"/>
  <c r="V81" i="23"/>
  <c r="T81" i="23"/>
  <c r="S82" i="23" s="1"/>
  <c r="S81" i="23"/>
  <c r="Q81" i="23"/>
  <c r="P81" i="23"/>
  <c r="L81" i="23"/>
  <c r="I81" i="23"/>
  <c r="E81" i="23"/>
  <c r="AD81" i="23" s="1"/>
  <c r="N82" i="23" s="1"/>
  <c r="R82" i="23" s="1"/>
  <c r="C81" i="23"/>
  <c r="S80" i="23"/>
  <c r="AE79" i="23"/>
  <c r="AC79" i="23"/>
  <c r="AA79" i="23"/>
  <c r="Y79" i="23"/>
  <c r="X79" i="23"/>
  <c r="W79" i="23"/>
  <c r="V79" i="23"/>
  <c r="T79" i="23"/>
  <c r="S79" i="23"/>
  <c r="Q79" i="23"/>
  <c r="P79" i="23"/>
  <c r="L79" i="23"/>
  <c r="I79" i="23"/>
  <c r="E79" i="23"/>
  <c r="AD79" i="23" s="1"/>
  <c r="N80" i="23" s="1"/>
  <c r="R80" i="23" s="1"/>
  <c r="C79" i="23"/>
  <c r="S78" i="23"/>
  <c r="AE77" i="23"/>
  <c r="AC77" i="23"/>
  <c r="AA77" i="23"/>
  <c r="Y77" i="23"/>
  <c r="X77" i="23"/>
  <c r="W77" i="23"/>
  <c r="V77" i="23"/>
  <c r="T77" i="23"/>
  <c r="S77" i="23"/>
  <c r="Q77" i="23"/>
  <c r="P77" i="23"/>
  <c r="L77" i="23"/>
  <c r="I77" i="23"/>
  <c r="E77" i="23"/>
  <c r="AD77" i="23" s="1"/>
  <c r="N78" i="23" s="1"/>
  <c r="C77" i="23"/>
  <c r="AE75" i="23"/>
  <c r="AC75" i="23"/>
  <c r="AA75" i="23"/>
  <c r="Y75" i="23"/>
  <c r="X75" i="23"/>
  <c r="W75" i="23"/>
  <c r="V75" i="23"/>
  <c r="T75" i="23"/>
  <c r="S76" i="23" s="1"/>
  <c r="S75" i="23"/>
  <c r="Q75" i="23"/>
  <c r="P75" i="23"/>
  <c r="L75" i="23"/>
  <c r="I75" i="23"/>
  <c r="E75" i="23"/>
  <c r="AD75" i="23" s="1"/>
  <c r="N76" i="23" s="1"/>
  <c r="R76" i="23" s="1"/>
  <c r="C75" i="23"/>
  <c r="S74" i="23"/>
  <c r="AE73" i="23"/>
  <c r="AD73" i="23"/>
  <c r="N74" i="23" s="1"/>
  <c r="AC73" i="23"/>
  <c r="AA73" i="23"/>
  <c r="Y73" i="23"/>
  <c r="X73" i="23"/>
  <c r="W73" i="23"/>
  <c r="V73" i="23"/>
  <c r="T73" i="23"/>
  <c r="S73" i="23"/>
  <c r="Q73" i="23"/>
  <c r="P73" i="23"/>
  <c r="N73" i="23"/>
  <c r="L73" i="23"/>
  <c r="I73" i="23"/>
  <c r="E73" i="23"/>
  <c r="C73" i="23"/>
  <c r="S72" i="23"/>
  <c r="AE71" i="23"/>
  <c r="AD71" i="23"/>
  <c r="N72" i="23" s="1"/>
  <c r="R72" i="23" s="1"/>
  <c r="AC71" i="23"/>
  <c r="AA71" i="23"/>
  <c r="Y71" i="23"/>
  <c r="X71" i="23"/>
  <c r="W71" i="23"/>
  <c r="V71" i="23"/>
  <c r="T71" i="23"/>
  <c r="S71" i="23"/>
  <c r="Q71" i="23"/>
  <c r="P71" i="23"/>
  <c r="N71" i="23"/>
  <c r="L71" i="23"/>
  <c r="I71" i="23"/>
  <c r="E71" i="23"/>
  <c r="C71" i="23"/>
  <c r="S70" i="23"/>
  <c r="AE69" i="23"/>
  <c r="AD69" i="23"/>
  <c r="N70" i="23" s="1"/>
  <c r="AC69" i="23"/>
  <c r="AA69" i="23"/>
  <c r="Y69" i="23"/>
  <c r="X69" i="23"/>
  <c r="W69" i="23"/>
  <c r="V69" i="23"/>
  <c r="T69" i="23"/>
  <c r="S69" i="23"/>
  <c r="Q69" i="23"/>
  <c r="P69" i="23"/>
  <c r="N69" i="23"/>
  <c r="L69" i="23"/>
  <c r="I69" i="23"/>
  <c r="E69" i="23"/>
  <c r="C69" i="23"/>
  <c r="S68" i="23"/>
  <c r="AE67" i="23"/>
  <c r="AC67" i="23"/>
  <c r="AA67" i="23"/>
  <c r="Y67" i="23"/>
  <c r="X67" i="23"/>
  <c r="W67" i="23"/>
  <c r="V67" i="23"/>
  <c r="T67" i="23"/>
  <c r="S67" i="23"/>
  <c r="Q67" i="23"/>
  <c r="P67" i="23"/>
  <c r="L67" i="23"/>
  <c r="I67" i="23"/>
  <c r="E67" i="23"/>
  <c r="AD67" i="23" s="1"/>
  <c r="N68" i="23" s="1"/>
  <c r="R68" i="23" s="1"/>
  <c r="C67" i="23"/>
  <c r="AE65" i="23"/>
  <c r="AC65" i="23"/>
  <c r="AA65" i="23"/>
  <c r="Y65" i="23"/>
  <c r="X65" i="23"/>
  <c r="W65" i="23"/>
  <c r="V65" i="23"/>
  <c r="T65" i="23"/>
  <c r="S66" i="23" s="1"/>
  <c r="S65" i="23"/>
  <c r="Q65" i="23"/>
  <c r="P65" i="23"/>
  <c r="L65" i="23"/>
  <c r="I65" i="23"/>
  <c r="E65" i="23"/>
  <c r="AD65" i="23" s="1"/>
  <c r="N66" i="23" s="1"/>
  <c r="R66" i="23" s="1"/>
  <c r="C65" i="23"/>
  <c r="AE63" i="23"/>
  <c r="AC63" i="23"/>
  <c r="AA63" i="23"/>
  <c r="Y63" i="23"/>
  <c r="X63" i="23"/>
  <c r="W63" i="23"/>
  <c r="V63" i="23"/>
  <c r="T63" i="23"/>
  <c r="S64" i="23" s="1"/>
  <c r="S63" i="23"/>
  <c r="Q63" i="23"/>
  <c r="P63" i="23"/>
  <c r="L63" i="23"/>
  <c r="I63" i="23"/>
  <c r="E63" i="23"/>
  <c r="AD63" i="23" s="1"/>
  <c r="N64" i="23" s="1"/>
  <c r="R64" i="23" s="1"/>
  <c r="C63" i="23"/>
  <c r="AE61" i="23"/>
  <c r="AD61" i="23"/>
  <c r="N62" i="23" s="1"/>
  <c r="AC61" i="23"/>
  <c r="AA61" i="23"/>
  <c r="Y61" i="23"/>
  <c r="X61" i="23"/>
  <c r="W61" i="23"/>
  <c r="V61" i="23"/>
  <c r="T61" i="23"/>
  <c r="S62" i="23" s="1"/>
  <c r="S61" i="23"/>
  <c r="Q61" i="23"/>
  <c r="P61" i="23"/>
  <c r="L61" i="23"/>
  <c r="I61" i="23"/>
  <c r="E61" i="23"/>
  <c r="N61" i="23" s="1"/>
  <c r="C61" i="23"/>
  <c r="AE59" i="23"/>
  <c r="AC59" i="23"/>
  <c r="AA59" i="23"/>
  <c r="Y59" i="23"/>
  <c r="X59" i="23"/>
  <c r="W59" i="23"/>
  <c r="V59" i="23"/>
  <c r="T59" i="23"/>
  <c r="S60" i="23" s="1"/>
  <c r="S59" i="23"/>
  <c r="Q59" i="23"/>
  <c r="P59" i="23"/>
  <c r="L59" i="23"/>
  <c r="I59" i="23"/>
  <c r="E59" i="23"/>
  <c r="AD59" i="23" s="1"/>
  <c r="N60" i="23" s="1"/>
  <c r="R60" i="23" s="1"/>
  <c r="C59" i="23"/>
  <c r="S58" i="23"/>
  <c r="AE57" i="23"/>
  <c r="AC57" i="23"/>
  <c r="AA57" i="23"/>
  <c r="Y57" i="23"/>
  <c r="X57" i="23"/>
  <c r="W57" i="23"/>
  <c r="V57" i="23"/>
  <c r="T57" i="23"/>
  <c r="S57" i="23"/>
  <c r="Q57" i="23"/>
  <c r="P57" i="23"/>
  <c r="L57" i="23"/>
  <c r="I57" i="23"/>
  <c r="E57" i="23"/>
  <c r="AD57" i="23" s="1"/>
  <c r="N58" i="23" s="1"/>
  <c r="C57" i="23"/>
  <c r="S56" i="23"/>
  <c r="AE55" i="23"/>
  <c r="AC55" i="23"/>
  <c r="AA55" i="23"/>
  <c r="Y55" i="23"/>
  <c r="X55" i="23"/>
  <c r="W55" i="23"/>
  <c r="V55" i="23"/>
  <c r="T55" i="23"/>
  <c r="S55" i="23"/>
  <c r="Q55" i="23"/>
  <c r="P55" i="23"/>
  <c r="L55" i="23"/>
  <c r="I55" i="23"/>
  <c r="E55" i="23"/>
  <c r="AD55" i="23" s="1"/>
  <c r="N56" i="23" s="1"/>
  <c r="R56" i="23" s="1"/>
  <c r="C55" i="23"/>
  <c r="AE53" i="23"/>
  <c r="AC53" i="23"/>
  <c r="AA53" i="23"/>
  <c r="Y53" i="23"/>
  <c r="X53" i="23"/>
  <c r="W53" i="23"/>
  <c r="V53" i="23"/>
  <c r="T53" i="23"/>
  <c r="S54" i="23" s="1"/>
  <c r="S53" i="23"/>
  <c r="Q53" i="23"/>
  <c r="P53" i="23"/>
  <c r="L53" i="23"/>
  <c r="I53" i="23"/>
  <c r="E53" i="23"/>
  <c r="AD53" i="23" s="1"/>
  <c r="N54" i="23" s="1"/>
  <c r="R54" i="23" s="1"/>
  <c r="C53" i="23"/>
  <c r="AE51" i="23"/>
  <c r="AC51" i="23"/>
  <c r="AA51" i="23"/>
  <c r="Y51" i="23"/>
  <c r="X51" i="23"/>
  <c r="W51" i="23"/>
  <c r="V51" i="23"/>
  <c r="T51" i="23"/>
  <c r="S52" i="23" s="1"/>
  <c r="S51" i="23"/>
  <c r="Q51" i="23"/>
  <c r="P51" i="23"/>
  <c r="L51" i="23"/>
  <c r="I51" i="23"/>
  <c r="E51" i="23"/>
  <c r="AD51" i="23" s="1"/>
  <c r="N52" i="23" s="1"/>
  <c r="R52" i="23" s="1"/>
  <c r="C51" i="23"/>
  <c r="AE49" i="23"/>
  <c r="AD49" i="23"/>
  <c r="N50" i="23" s="1"/>
  <c r="AC49" i="23"/>
  <c r="AA49" i="23"/>
  <c r="Y49" i="23"/>
  <c r="X49" i="23"/>
  <c r="W49" i="23"/>
  <c r="V49" i="23"/>
  <c r="T49" i="23"/>
  <c r="S50" i="23" s="1"/>
  <c r="S49" i="23"/>
  <c r="Q49" i="23"/>
  <c r="P49" i="23"/>
  <c r="N49" i="23"/>
  <c r="D49" i="23" s="1"/>
  <c r="L49" i="23"/>
  <c r="I49" i="23"/>
  <c r="R49" i="23" s="1"/>
  <c r="E49" i="23"/>
  <c r="C49" i="23"/>
  <c r="AE47" i="23"/>
  <c r="AC47" i="23"/>
  <c r="AA47" i="23"/>
  <c r="Y47" i="23"/>
  <c r="X47" i="23"/>
  <c r="W47" i="23"/>
  <c r="V47" i="23"/>
  <c r="T47" i="23"/>
  <c r="S48" i="23" s="1"/>
  <c r="S47" i="23"/>
  <c r="Q47" i="23"/>
  <c r="P47" i="23"/>
  <c r="L47" i="23"/>
  <c r="I47" i="23"/>
  <c r="E47" i="23"/>
  <c r="N47" i="23" s="1"/>
  <c r="D47" i="23" s="1"/>
  <c r="C47" i="23"/>
  <c r="AE45" i="23"/>
  <c r="AD45" i="23"/>
  <c r="N46" i="23" s="1"/>
  <c r="AC45" i="23"/>
  <c r="AA45" i="23"/>
  <c r="Y45" i="23"/>
  <c r="X45" i="23"/>
  <c r="W45" i="23"/>
  <c r="V45" i="23"/>
  <c r="T45" i="23"/>
  <c r="S46" i="23" s="1"/>
  <c r="S45" i="23"/>
  <c r="Q45" i="23"/>
  <c r="P45" i="23"/>
  <c r="N45" i="23"/>
  <c r="D45" i="23" s="1"/>
  <c r="L45" i="23"/>
  <c r="I45" i="23"/>
  <c r="E45" i="23"/>
  <c r="C45" i="23"/>
  <c r="S44" i="23"/>
  <c r="AE43" i="23"/>
  <c r="AC43" i="23"/>
  <c r="AA43" i="23"/>
  <c r="Y43" i="23"/>
  <c r="X43" i="23"/>
  <c r="W43" i="23"/>
  <c r="V43" i="23"/>
  <c r="T43" i="23"/>
  <c r="S43" i="23"/>
  <c r="Q43" i="23"/>
  <c r="P43" i="23"/>
  <c r="L43" i="23"/>
  <c r="I43" i="23"/>
  <c r="E43" i="23"/>
  <c r="AD43" i="23" s="1"/>
  <c r="N44" i="23" s="1"/>
  <c r="C43" i="23"/>
  <c r="AE41" i="23"/>
  <c r="AC41" i="23"/>
  <c r="AA41" i="23"/>
  <c r="Y41" i="23"/>
  <c r="X41" i="23"/>
  <c r="W41" i="23"/>
  <c r="V41" i="23"/>
  <c r="T41" i="23"/>
  <c r="S42" i="23" s="1"/>
  <c r="S41" i="23"/>
  <c r="Q41" i="23"/>
  <c r="P41" i="23"/>
  <c r="L41" i="23"/>
  <c r="I41" i="23"/>
  <c r="E41" i="23"/>
  <c r="AD41" i="23" s="1"/>
  <c r="N42" i="23" s="1"/>
  <c r="C41" i="23"/>
  <c r="AE39" i="23"/>
  <c r="AC39" i="23"/>
  <c r="AA39" i="23"/>
  <c r="Y39" i="23"/>
  <c r="X39" i="23"/>
  <c r="W39" i="23"/>
  <c r="V39" i="23"/>
  <c r="T39" i="23"/>
  <c r="S40" i="23" s="1"/>
  <c r="S39" i="23"/>
  <c r="Q39" i="23"/>
  <c r="P39" i="23"/>
  <c r="L39" i="23"/>
  <c r="I39" i="23"/>
  <c r="E39" i="23"/>
  <c r="AD39" i="23" s="1"/>
  <c r="N40" i="23" s="1"/>
  <c r="C39" i="23"/>
  <c r="AE37" i="23"/>
  <c r="AC37" i="23"/>
  <c r="AA37" i="23"/>
  <c r="Y37" i="23"/>
  <c r="X37" i="23"/>
  <c r="W37" i="23"/>
  <c r="V37" i="23"/>
  <c r="T37" i="23"/>
  <c r="S38" i="23" s="1"/>
  <c r="S37" i="23"/>
  <c r="Q37" i="23"/>
  <c r="P37" i="23"/>
  <c r="L37" i="23"/>
  <c r="I37" i="23"/>
  <c r="E37" i="23"/>
  <c r="AD37" i="23" s="1"/>
  <c r="N38" i="23" s="1"/>
  <c r="R38" i="23" s="1"/>
  <c r="C37" i="23"/>
  <c r="AE35" i="23"/>
  <c r="AD35" i="23"/>
  <c r="N36" i="23" s="1"/>
  <c r="R36" i="23" s="1"/>
  <c r="AC35" i="23"/>
  <c r="AA35" i="23"/>
  <c r="Y35" i="23"/>
  <c r="X35" i="23"/>
  <c r="W35" i="23"/>
  <c r="V35" i="23"/>
  <c r="T35" i="23"/>
  <c r="S36" i="23" s="1"/>
  <c r="S35" i="23"/>
  <c r="Q35" i="23"/>
  <c r="P35" i="23"/>
  <c r="N35" i="23"/>
  <c r="L35" i="23"/>
  <c r="I35" i="23"/>
  <c r="E35" i="23"/>
  <c r="C35" i="23"/>
  <c r="AE33" i="23"/>
  <c r="AC33" i="23"/>
  <c r="AA33" i="23"/>
  <c r="Y33" i="23"/>
  <c r="X33" i="23"/>
  <c r="W33" i="23"/>
  <c r="V33" i="23"/>
  <c r="T33" i="23"/>
  <c r="S34" i="23" s="1"/>
  <c r="S33" i="23"/>
  <c r="Q33" i="23"/>
  <c r="P33" i="23"/>
  <c r="L33" i="23"/>
  <c r="I33" i="23"/>
  <c r="E33" i="23"/>
  <c r="AD33" i="23" s="1"/>
  <c r="N34" i="23" s="1"/>
  <c r="C33" i="23"/>
  <c r="S32" i="23"/>
  <c r="AE31" i="23"/>
  <c r="AC31" i="23"/>
  <c r="AA31" i="23"/>
  <c r="Y31" i="23"/>
  <c r="X31" i="23"/>
  <c r="W31" i="23"/>
  <c r="V31" i="23"/>
  <c r="T31" i="23"/>
  <c r="S31" i="23"/>
  <c r="Q31" i="23"/>
  <c r="P31" i="23"/>
  <c r="L31" i="23"/>
  <c r="I31" i="23"/>
  <c r="E31" i="23"/>
  <c r="AD31" i="23" s="1"/>
  <c r="N32" i="23" s="1"/>
  <c r="C31" i="23"/>
  <c r="S30" i="23"/>
  <c r="AE29" i="23"/>
  <c r="AC29" i="23"/>
  <c r="AA29" i="23"/>
  <c r="Y29" i="23"/>
  <c r="X29" i="23"/>
  <c r="W29" i="23"/>
  <c r="V29" i="23"/>
  <c r="T29" i="23"/>
  <c r="S29" i="23"/>
  <c r="Q29" i="23"/>
  <c r="P29" i="23"/>
  <c r="L29" i="23"/>
  <c r="I29" i="23"/>
  <c r="E29" i="23"/>
  <c r="AD29" i="23" s="1"/>
  <c r="N30" i="23" s="1"/>
  <c r="R30" i="23" s="1"/>
  <c r="C29" i="23"/>
  <c r="AE27" i="23"/>
  <c r="AC27" i="23"/>
  <c r="AA27" i="23"/>
  <c r="Y27" i="23"/>
  <c r="X27" i="23"/>
  <c r="W27" i="23"/>
  <c r="V27" i="23"/>
  <c r="T27" i="23"/>
  <c r="S28" i="23" s="1"/>
  <c r="S27" i="23"/>
  <c r="Q27" i="23"/>
  <c r="P27" i="23"/>
  <c r="L27" i="23"/>
  <c r="I27" i="23"/>
  <c r="E27" i="23"/>
  <c r="AD27" i="23" s="1"/>
  <c r="N28" i="23" s="1"/>
  <c r="R28" i="23" s="1"/>
  <c r="C27" i="23"/>
  <c r="AE25" i="23"/>
  <c r="AD25" i="23"/>
  <c r="N26" i="23" s="1"/>
  <c r="R26" i="23" s="1"/>
  <c r="AC25" i="23"/>
  <c r="AA25" i="23"/>
  <c r="Y25" i="23"/>
  <c r="X25" i="23"/>
  <c r="W25" i="23"/>
  <c r="V25" i="23"/>
  <c r="T25" i="23"/>
  <c r="S26" i="23" s="1"/>
  <c r="S25" i="23"/>
  <c r="Q25" i="23"/>
  <c r="P25" i="23"/>
  <c r="N25" i="23"/>
  <c r="L25" i="23"/>
  <c r="I25" i="23"/>
  <c r="E25" i="23"/>
  <c r="C25" i="23"/>
  <c r="AE23" i="23"/>
  <c r="AC23" i="23"/>
  <c r="AA23" i="23"/>
  <c r="Y23" i="23"/>
  <c r="X23" i="23"/>
  <c r="W23" i="23"/>
  <c r="V23" i="23"/>
  <c r="T23" i="23"/>
  <c r="S24" i="23" s="1"/>
  <c r="S23" i="23"/>
  <c r="Q23" i="23"/>
  <c r="P23" i="23"/>
  <c r="L23" i="23"/>
  <c r="I23" i="23"/>
  <c r="E23" i="23"/>
  <c r="AD23" i="23" s="1"/>
  <c r="N24" i="23" s="1"/>
  <c r="R24" i="23" s="1"/>
  <c r="C23" i="23"/>
  <c r="AE21" i="23"/>
  <c r="AD21" i="23"/>
  <c r="N22" i="23" s="1"/>
  <c r="R22" i="23" s="1"/>
  <c r="AC21" i="23"/>
  <c r="AA21" i="23"/>
  <c r="Y21" i="23"/>
  <c r="X21" i="23"/>
  <c r="W21" i="23"/>
  <c r="V21" i="23"/>
  <c r="T21" i="23"/>
  <c r="S22" i="23" s="1"/>
  <c r="S21" i="23"/>
  <c r="Q21" i="23"/>
  <c r="P21" i="23"/>
  <c r="N21" i="23"/>
  <c r="L21" i="23"/>
  <c r="I21" i="23"/>
  <c r="E21" i="23"/>
  <c r="C21" i="23"/>
  <c r="AE19" i="23"/>
  <c r="AC19" i="23"/>
  <c r="AA19" i="23"/>
  <c r="Y19" i="23"/>
  <c r="X19" i="23"/>
  <c r="W19" i="23"/>
  <c r="V19" i="23"/>
  <c r="T19" i="23"/>
  <c r="S20" i="23" s="1"/>
  <c r="S19" i="23"/>
  <c r="Q19" i="23"/>
  <c r="P19" i="23"/>
  <c r="L19" i="23"/>
  <c r="I19" i="23"/>
  <c r="E19" i="23"/>
  <c r="AD19" i="23" s="1"/>
  <c r="N20" i="23" s="1"/>
  <c r="R20" i="23" s="1"/>
  <c r="C19" i="23"/>
  <c r="AE17" i="23"/>
  <c r="AC17" i="23"/>
  <c r="AA17" i="23"/>
  <c r="Y17" i="23"/>
  <c r="X17" i="23"/>
  <c r="W17" i="23"/>
  <c r="V17" i="23"/>
  <c r="T17" i="23"/>
  <c r="S18" i="23" s="1"/>
  <c r="S17" i="23"/>
  <c r="Q17" i="23"/>
  <c r="P17" i="23"/>
  <c r="L17" i="23"/>
  <c r="I17" i="23"/>
  <c r="E17" i="23"/>
  <c r="AD17" i="23" s="1"/>
  <c r="N18" i="23" s="1"/>
  <c r="C17" i="23"/>
  <c r="AE15" i="23"/>
  <c r="AC15" i="23"/>
  <c r="AA15" i="23"/>
  <c r="Y15" i="23"/>
  <c r="X15" i="23"/>
  <c r="W15" i="23"/>
  <c r="V15" i="23"/>
  <c r="T15" i="23"/>
  <c r="S16" i="23" s="1"/>
  <c r="S15" i="23"/>
  <c r="Q15" i="23"/>
  <c r="P15" i="23"/>
  <c r="L15" i="23"/>
  <c r="I15" i="23"/>
  <c r="E15" i="23"/>
  <c r="N15" i="23" s="1"/>
  <c r="C15" i="23"/>
  <c r="AE13" i="23"/>
  <c r="AD13" i="23"/>
  <c r="N14" i="23" s="1"/>
  <c r="R14" i="23" s="1"/>
  <c r="AC13" i="23"/>
  <c r="AA13" i="23"/>
  <c r="Y13" i="23"/>
  <c r="X13" i="23"/>
  <c r="W13" i="23"/>
  <c r="V13" i="23"/>
  <c r="T13" i="23"/>
  <c r="S14" i="23" s="1"/>
  <c r="S13" i="23"/>
  <c r="Q13" i="23"/>
  <c r="P13" i="23"/>
  <c r="N13" i="23"/>
  <c r="L13" i="23"/>
  <c r="I13" i="23"/>
  <c r="E13" i="23"/>
  <c r="C13" i="23"/>
  <c r="AE11" i="23"/>
  <c r="AD11" i="23"/>
  <c r="N12" i="23" s="1"/>
  <c r="R12" i="23" s="1"/>
  <c r="AC11" i="23"/>
  <c r="AA11" i="23"/>
  <c r="Y11" i="23"/>
  <c r="X11" i="23"/>
  <c r="W11" i="23"/>
  <c r="V11" i="23"/>
  <c r="T11" i="23"/>
  <c r="S12" i="23" s="1"/>
  <c r="S11" i="23"/>
  <c r="Q11" i="23"/>
  <c r="P11" i="23"/>
  <c r="N11" i="23"/>
  <c r="L11" i="23"/>
  <c r="I11" i="23"/>
  <c r="E11" i="23"/>
  <c r="C11" i="23"/>
  <c r="AE9" i="23"/>
  <c r="AC9" i="23"/>
  <c r="AA9" i="23"/>
  <c r="Y9" i="23"/>
  <c r="X9" i="23"/>
  <c r="W9" i="23"/>
  <c r="V9" i="23"/>
  <c r="T9" i="23"/>
  <c r="S10" i="23" s="1"/>
  <c r="S9" i="23"/>
  <c r="Q9" i="23"/>
  <c r="P9" i="23"/>
  <c r="L9" i="23"/>
  <c r="I9" i="23"/>
  <c r="E9" i="23"/>
  <c r="AD9" i="23" s="1"/>
  <c r="N10" i="23" s="1"/>
  <c r="R10" i="23" s="1"/>
  <c r="C9" i="23"/>
  <c r="AE7" i="23"/>
  <c r="AC7" i="23"/>
  <c r="AA7" i="23"/>
  <c r="Y7" i="23"/>
  <c r="X7" i="23"/>
  <c r="W7" i="23"/>
  <c r="V7" i="23"/>
  <c r="T7" i="23"/>
  <c r="S8" i="23" s="1"/>
  <c r="S7" i="23"/>
  <c r="Q7" i="23"/>
  <c r="P7" i="23"/>
  <c r="L7" i="23"/>
  <c r="I7" i="23"/>
  <c r="E7" i="23"/>
  <c r="AD7" i="23" s="1"/>
  <c r="N8" i="23" s="1"/>
  <c r="R8" i="23" s="1"/>
  <c r="C7" i="23"/>
  <c r="R18" i="23" l="1"/>
  <c r="R34" i="23"/>
  <c r="N37" i="23"/>
  <c r="N59" i="23"/>
  <c r="D59" i="23" s="1"/>
  <c r="R88" i="23"/>
  <c r="N97" i="23"/>
  <c r="D97" i="23" s="1"/>
  <c r="N131" i="23"/>
  <c r="D131" i="23" s="1"/>
  <c r="R162" i="23"/>
  <c r="D167" i="23"/>
  <c r="AD189" i="23"/>
  <c r="N190" i="23" s="1"/>
  <c r="R190" i="23" s="1"/>
  <c r="R208" i="23"/>
  <c r="N255" i="23"/>
  <c r="R255" i="23" s="1"/>
  <c r="D263" i="23"/>
  <c r="R352" i="23"/>
  <c r="AD363" i="23"/>
  <c r="N364" i="23" s="1"/>
  <c r="R364" i="23" s="1"/>
  <c r="AD383" i="23"/>
  <c r="N384" i="23" s="1"/>
  <c r="R384" i="23" s="1"/>
  <c r="D431" i="23"/>
  <c r="R472" i="23"/>
  <c r="R520" i="23"/>
  <c r="N609" i="23"/>
  <c r="D609" i="23" s="1"/>
  <c r="D11" i="23"/>
  <c r="R40" i="23"/>
  <c r="R46" i="23"/>
  <c r="R50" i="23"/>
  <c r="D71" i="23"/>
  <c r="R78" i="23"/>
  <c r="R106" i="23"/>
  <c r="R118" i="23"/>
  <c r="R122" i="23"/>
  <c r="R146" i="23"/>
  <c r="AD219" i="23"/>
  <c r="N220" i="23" s="1"/>
  <c r="R228" i="23"/>
  <c r="N231" i="23"/>
  <c r="N251" i="23"/>
  <c r="R251" i="23" s="1"/>
  <c r="N275" i="23"/>
  <c r="D275" i="23" s="1"/>
  <c r="N287" i="23"/>
  <c r="D287" i="23" s="1"/>
  <c r="R336" i="23"/>
  <c r="R360" i="23"/>
  <c r="R584" i="23"/>
  <c r="AD171" i="23"/>
  <c r="N172" i="23" s="1"/>
  <c r="R172" i="23" s="1"/>
  <c r="AD635" i="23"/>
  <c r="N636" i="23" s="1"/>
  <c r="R636" i="23" s="1"/>
  <c r="AD655" i="23"/>
  <c r="N656" i="23" s="1"/>
  <c r="R656" i="23" s="1"/>
  <c r="AD175" i="23"/>
  <c r="N176" i="23" s="1"/>
  <c r="R176" i="23" s="1"/>
  <c r="R264" i="23"/>
  <c r="N23" i="23"/>
  <c r="D23" i="23" s="1"/>
  <c r="R62" i="23"/>
  <c r="R84" i="23"/>
  <c r="R134" i="23"/>
  <c r="D182" i="23"/>
  <c r="R186" i="23"/>
  <c r="R207" i="23"/>
  <c r="D239" i="23"/>
  <c r="R296" i="23"/>
  <c r="AD307" i="23"/>
  <c r="N308" i="23" s="1"/>
  <c r="R308" i="23" s="1"/>
  <c r="D327" i="23"/>
  <c r="R328" i="23"/>
  <c r="R379" i="23"/>
  <c r="R380" i="23"/>
  <c r="AD443" i="23"/>
  <c r="N444" i="23" s="1"/>
  <c r="R444" i="23" s="1"/>
  <c r="AD483" i="23"/>
  <c r="N484" i="23" s="1"/>
  <c r="R484" i="23" s="1"/>
  <c r="AD527" i="23"/>
  <c r="N528" i="23" s="1"/>
  <c r="R528" i="23" s="1"/>
  <c r="R572" i="23"/>
  <c r="R612" i="23"/>
  <c r="AD625" i="23"/>
  <c r="N626" i="23" s="1"/>
  <c r="R626" i="23" s="1"/>
  <c r="R432" i="23"/>
  <c r="AD495" i="23"/>
  <c r="N496" i="23" s="1"/>
  <c r="R496" i="23" s="1"/>
  <c r="R42" i="23"/>
  <c r="R58" i="23"/>
  <c r="AD95" i="23"/>
  <c r="N96" i="23" s="1"/>
  <c r="R96" i="23" s="1"/>
  <c r="R130" i="23"/>
  <c r="D259" i="23"/>
  <c r="R324" i="23"/>
  <c r="R460" i="23"/>
  <c r="R536" i="23"/>
  <c r="AD591" i="23"/>
  <c r="N592" i="23" s="1"/>
  <c r="R592" i="23" s="1"/>
  <c r="AD631" i="23"/>
  <c r="N632" i="23" s="1"/>
  <c r="R632" i="23" s="1"/>
  <c r="D203" i="23"/>
  <c r="AD315" i="23"/>
  <c r="N316" i="23" s="1"/>
  <c r="R316" i="23" s="1"/>
  <c r="D335" i="23"/>
  <c r="R347" i="23"/>
  <c r="R348" i="23"/>
  <c r="AD599" i="23"/>
  <c r="N600" i="23" s="1"/>
  <c r="R600" i="23" s="1"/>
  <c r="D227" i="23"/>
  <c r="D35" i="23"/>
  <c r="R70" i="23"/>
  <c r="R74" i="23"/>
  <c r="R142" i="23"/>
  <c r="D607" i="23"/>
  <c r="H607" i="23" s="1"/>
  <c r="R204" i="23"/>
  <c r="AD215" i="23"/>
  <c r="N216" i="23" s="1"/>
  <c r="R216" i="23" s="1"/>
  <c r="R32" i="23"/>
  <c r="R44" i="23"/>
  <c r="AD47" i="23"/>
  <c r="N48" i="23" s="1"/>
  <c r="R48" i="23" s="1"/>
  <c r="D69" i="23"/>
  <c r="H71" i="23" s="1"/>
  <c r="H73" i="23" s="1"/>
  <c r="D73" i="23"/>
  <c r="AD107" i="23"/>
  <c r="N108" i="23" s="1"/>
  <c r="R108" i="23" s="1"/>
  <c r="AD119" i="23"/>
  <c r="N120" i="23" s="1"/>
  <c r="R120" i="23" s="1"/>
  <c r="D141" i="23"/>
  <c r="AD147" i="23"/>
  <c r="N148" i="23" s="1"/>
  <c r="R148" i="23" s="1"/>
  <c r="R160" i="23"/>
  <c r="R256" i="23"/>
  <c r="R260" i="23"/>
  <c r="D267" i="23"/>
  <c r="R312" i="23"/>
  <c r="R332" i="23"/>
  <c r="R408" i="23"/>
  <c r="N427" i="23"/>
  <c r="D447" i="23"/>
  <c r="R500" i="23"/>
  <c r="AD543" i="23"/>
  <c r="N544" i="23" s="1"/>
  <c r="R544" i="23" s="1"/>
  <c r="D587" i="23"/>
  <c r="R622" i="23"/>
  <c r="AD223" i="23"/>
  <c r="N224" i="23" s="1"/>
  <c r="R224" i="23" s="1"/>
  <c r="R344" i="23"/>
  <c r="AD387" i="23"/>
  <c r="N388" i="23" s="1"/>
  <c r="R388" i="23" s="1"/>
  <c r="AD399" i="23"/>
  <c r="N400" i="23" s="1"/>
  <c r="R400" i="23" s="1"/>
  <c r="AD491" i="23"/>
  <c r="N492" i="23" s="1"/>
  <c r="R492" i="23" s="1"/>
  <c r="R524" i="23"/>
  <c r="D25" i="23"/>
  <c r="R97" i="23"/>
  <c r="R131" i="23"/>
  <c r="N279" i="23"/>
  <c r="R279" i="23" s="1"/>
  <c r="N303" i="23"/>
  <c r="D395" i="23"/>
  <c r="R424" i="23"/>
  <c r="D435" i="23"/>
  <c r="N559" i="23"/>
  <c r="D559" i="23" s="1"/>
  <c r="R580" i="23"/>
  <c r="R588" i="23"/>
  <c r="R634" i="23"/>
  <c r="D21" i="23"/>
  <c r="R37" i="23"/>
  <c r="R212" i="23"/>
  <c r="D219" i="23"/>
  <c r="R268" i="23"/>
  <c r="R448" i="23"/>
  <c r="N475" i="23"/>
  <c r="AD531" i="23"/>
  <c r="N532" i="23" s="1"/>
  <c r="R532" i="23" s="1"/>
  <c r="D539" i="23"/>
  <c r="D37" i="23"/>
  <c r="R93" i="23"/>
  <c r="D133" i="23"/>
  <c r="D251" i="23"/>
  <c r="D13" i="23"/>
  <c r="R83" i="23"/>
  <c r="R175" i="23"/>
  <c r="R171" i="23"/>
  <c r="R295" i="23"/>
  <c r="R629" i="23"/>
  <c r="R527" i="23"/>
  <c r="R73" i="23"/>
  <c r="R399" i="23"/>
  <c r="R559" i="23"/>
  <c r="R657" i="23"/>
  <c r="R211" i="23"/>
  <c r="R121" i="23"/>
  <c r="R47" i="23"/>
  <c r="R95" i="23"/>
  <c r="D61" i="23"/>
  <c r="D109" i="23"/>
  <c r="H23" i="23"/>
  <c r="H25" i="23" s="1"/>
  <c r="R13" i="23"/>
  <c r="R119" i="23"/>
  <c r="R231" i="23"/>
  <c r="R335" i="23"/>
  <c r="R25" i="23"/>
  <c r="R69" i="23"/>
  <c r="R71" i="23"/>
  <c r="R167" i="23"/>
  <c r="R189" i="23"/>
  <c r="R579" i="23"/>
  <c r="D151" i="23"/>
  <c r="D351" i="23"/>
  <c r="R435" i="23"/>
  <c r="R11" i="23"/>
  <c r="R59" i="23"/>
  <c r="R85" i="23"/>
  <c r="R107" i="23"/>
  <c r="R163" i="23"/>
  <c r="D207" i="23"/>
  <c r="D223" i="23"/>
  <c r="D299" i="23"/>
  <c r="D347" i="23"/>
  <c r="R351" i="23"/>
  <c r="R196" i="23"/>
  <c r="R287" i="23"/>
  <c r="R303" i="23"/>
  <c r="R511" i="23"/>
  <c r="R599" i="23"/>
  <c r="R631" i="23"/>
  <c r="R649" i="23"/>
  <c r="D149" i="23"/>
  <c r="R327" i="23"/>
  <c r="R343" i="23"/>
  <c r="D387" i="23"/>
  <c r="R463" i="23"/>
  <c r="R35" i="23"/>
  <c r="R61" i="23"/>
  <c r="R109" i="23"/>
  <c r="R21" i="23"/>
  <c r="R23" i="23"/>
  <c r="R149" i="23"/>
  <c r="R170" i="23"/>
  <c r="D179" i="23"/>
  <c r="R203" i="23"/>
  <c r="R219" i="23"/>
  <c r="R655" i="23"/>
  <c r="R133" i="23"/>
  <c r="R531" i="23"/>
  <c r="R607" i="23"/>
  <c r="D85" i="23"/>
  <c r="D255" i="23"/>
  <c r="H495" i="23"/>
  <c r="R141" i="23"/>
  <c r="D303" i="23"/>
  <c r="R443" i="23"/>
  <c r="R495" i="23"/>
  <c r="R45" i="23"/>
  <c r="R147" i="23"/>
  <c r="D15" i="23"/>
  <c r="H15" i="23" s="1"/>
  <c r="R15" i="23"/>
  <c r="R168" i="23"/>
  <c r="D168" i="23"/>
  <c r="N19" i="23"/>
  <c r="D19" i="23" s="1"/>
  <c r="N43" i="23"/>
  <c r="D43" i="23" s="1"/>
  <c r="N67" i="23"/>
  <c r="D67" i="23" s="1"/>
  <c r="N91" i="23"/>
  <c r="D91" i="23" s="1"/>
  <c r="N115" i="23"/>
  <c r="D115" i="23" s="1"/>
  <c r="N139" i="23"/>
  <c r="D139" i="23" s="1"/>
  <c r="N153" i="23"/>
  <c r="R267" i="23"/>
  <c r="AD291" i="23"/>
  <c r="N292" i="23" s="1"/>
  <c r="R292" i="23" s="1"/>
  <c r="N291" i="23"/>
  <c r="R315" i="23"/>
  <c r="N17" i="23"/>
  <c r="N89" i="23"/>
  <c r="N113" i="23"/>
  <c r="N137" i="23"/>
  <c r="N165" i="23"/>
  <c r="AD15" i="23"/>
  <c r="N16" i="23" s="1"/>
  <c r="R16" i="23" s="1"/>
  <c r="N39" i="23"/>
  <c r="N63" i="23"/>
  <c r="N87" i="23"/>
  <c r="N111" i="23"/>
  <c r="N135" i="23"/>
  <c r="N65" i="23"/>
  <c r="R220" i="23"/>
  <c r="R259" i="23"/>
  <c r="R182" i="23"/>
  <c r="D193" i="23"/>
  <c r="R215" i="23"/>
  <c r="R263" i="23"/>
  <c r="AD339" i="23"/>
  <c r="N340" i="23" s="1"/>
  <c r="R340" i="23" s="1"/>
  <c r="N339" i="23"/>
  <c r="D355" i="23"/>
  <c r="R355" i="23"/>
  <c r="N9" i="23"/>
  <c r="D9" i="23" s="1"/>
  <c r="N33" i="23"/>
  <c r="D33" i="23" s="1"/>
  <c r="N57" i="23"/>
  <c r="D57" i="23" s="1"/>
  <c r="N81" i="23"/>
  <c r="D81" i="23" s="1"/>
  <c r="N105" i="23"/>
  <c r="D105" i="23" s="1"/>
  <c r="N129" i="23"/>
  <c r="D129" i="23" s="1"/>
  <c r="AD243" i="23"/>
  <c r="N244" i="23" s="1"/>
  <c r="R244" i="23" s="1"/>
  <c r="N243" i="23"/>
  <c r="N247" i="23"/>
  <c r="D247" i="23" s="1"/>
  <c r="N41" i="23"/>
  <c r="N7" i="23"/>
  <c r="N31" i="23"/>
  <c r="N55" i="23"/>
  <c r="N79" i="23"/>
  <c r="N103" i="23"/>
  <c r="N127" i="23"/>
  <c r="N145" i="23"/>
  <c r="AD157" i="23"/>
  <c r="N158" i="23" s="1"/>
  <c r="R158" i="23" s="1"/>
  <c r="N157" i="23"/>
  <c r="D157" i="23" s="1"/>
  <c r="N161" i="23"/>
  <c r="R173" i="23"/>
  <c r="N199" i="23"/>
  <c r="D199" i="23" s="1"/>
  <c r="D279" i="23"/>
  <c r="R288" i="23"/>
  <c r="N29" i="23"/>
  <c r="N53" i="23"/>
  <c r="N77" i="23"/>
  <c r="N101" i="23"/>
  <c r="N125" i="23"/>
  <c r="N143" i="23"/>
  <c r="N159" i="23"/>
  <c r="AD177" i="23"/>
  <c r="N178" i="23" s="1"/>
  <c r="R178" i="23" s="1"/>
  <c r="N177" i="23"/>
  <c r="D271" i="23"/>
  <c r="N27" i="23"/>
  <c r="N51" i="23"/>
  <c r="N75" i="23"/>
  <c r="N99" i="23"/>
  <c r="N123" i="23"/>
  <c r="R307" i="23"/>
  <c r="AD319" i="23"/>
  <c r="N320" i="23" s="1"/>
  <c r="R320" i="23" s="1"/>
  <c r="N319" i="23"/>
  <c r="R139" i="23"/>
  <c r="R169" i="23"/>
  <c r="R227" i="23"/>
  <c r="N117" i="23"/>
  <c r="D117" i="23" s="1"/>
  <c r="N155" i="23"/>
  <c r="D155" i="23" s="1"/>
  <c r="D231" i="23"/>
  <c r="R240" i="23"/>
  <c r="AD271" i="23"/>
  <c r="N272" i="23" s="1"/>
  <c r="R272" i="23" s="1"/>
  <c r="R363" i="23"/>
  <c r="R415" i="23"/>
  <c r="R543" i="23"/>
  <c r="N567" i="23"/>
  <c r="D427" i="23"/>
  <c r="R427" i="23"/>
  <c r="D475" i="23"/>
  <c r="R475" i="23"/>
  <c r="R483" i="23"/>
  <c r="AD563" i="23"/>
  <c r="N564" i="23" s="1"/>
  <c r="R564" i="23" s="1"/>
  <c r="N563" i="23"/>
  <c r="R383" i="23"/>
  <c r="R395" i="23"/>
  <c r="AD411" i="23"/>
  <c r="N412" i="23" s="1"/>
  <c r="R412" i="23" s="1"/>
  <c r="N411" i="23"/>
  <c r="D411" i="23" s="1"/>
  <c r="R625" i="23"/>
  <c r="N235" i="23"/>
  <c r="D235" i="23" s="1"/>
  <c r="N283" i="23"/>
  <c r="D283" i="23" s="1"/>
  <c r="N331" i="23"/>
  <c r="D331" i="23" s="1"/>
  <c r="R447" i="23"/>
  <c r="R539" i="23"/>
  <c r="D591" i="23"/>
  <c r="N311" i="23"/>
  <c r="D311" i="23" s="1"/>
  <c r="N359" i="23"/>
  <c r="D359" i="23" s="1"/>
  <c r="N375" i="23"/>
  <c r="D379" i="23"/>
  <c r="N519" i="23"/>
  <c r="R646" i="23"/>
  <c r="N423" i="23"/>
  <c r="R560" i="23"/>
  <c r="D571" i="23"/>
  <c r="R571" i="23"/>
  <c r="N367" i="23"/>
  <c r="AD419" i="23"/>
  <c r="N420" i="23" s="1"/>
  <c r="R420" i="23" s="1"/>
  <c r="N419" i="23"/>
  <c r="D471" i="23"/>
  <c r="R471" i="23"/>
  <c r="AD515" i="23"/>
  <c r="N516" i="23" s="1"/>
  <c r="R516" i="23" s="1"/>
  <c r="N515" i="23"/>
  <c r="H609" i="23"/>
  <c r="H611" i="23" s="1"/>
  <c r="H631" i="23"/>
  <c r="H633" i="23" s="1"/>
  <c r="H635" i="23" s="1"/>
  <c r="AD641" i="23"/>
  <c r="N642" i="23" s="1"/>
  <c r="R642" i="23" s="1"/>
  <c r="N641" i="23"/>
  <c r="AD371" i="23"/>
  <c r="N372" i="23" s="1"/>
  <c r="R372" i="23" s="1"/>
  <c r="N371" i="23"/>
  <c r="D371" i="23" s="1"/>
  <c r="R431" i="23"/>
  <c r="AD467" i="23"/>
  <c r="N468" i="23" s="1"/>
  <c r="R468" i="23" s="1"/>
  <c r="N467" i="23"/>
  <c r="D479" i="23"/>
  <c r="R491" i="23"/>
  <c r="R404" i="23"/>
  <c r="R479" i="23"/>
  <c r="R587" i="23"/>
  <c r="H657" i="23"/>
  <c r="H659" i="23" s="1"/>
  <c r="D523" i="23"/>
  <c r="H527" i="23" s="1"/>
  <c r="H531" i="23" s="1"/>
  <c r="R523" i="23"/>
  <c r="AD617" i="23"/>
  <c r="N618" i="23" s="1"/>
  <c r="R618" i="23" s="1"/>
  <c r="N617" i="23"/>
  <c r="R611" i="23"/>
  <c r="R635" i="23"/>
  <c r="N653" i="23"/>
  <c r="D653" i="23" s="1"/>
  <c r="R659" i="23"/>
  <c r="R609" i="23"/>
  <c r="N627" i="23"/>
  <c r="D627" i="23" s="1"/>
  <c r="R633" i="23"/>
  <c r="N651" i="23"/>
  <c r="D651" i="23" s="1"/>
  <c r="N403" i="23"/>
  <c r="D403" i="23" s="1"/>
  <c r="N451" i="23"/>
  <c r="D451" i="23" s="1"/>
  <c r="N499" i="23"/>
  <c r="D499" i="23" s="1"/>
  <c r="N547" i="23"/>
  <c r="D547" i="23" s="1"/>
  <c r="N595" i="23"/>
  <c r="D595" i="23" s="1"/>
  <c r="N623" i="23"/>
  <c r="D623" i="23" s="1"/>
  <c r="N647" i="23"/>
  <c r="D647" i="23" s="1"/>
  <c r="H649" i="23" s="1"/>
  <c r="N575" i="23"/>
  <c r="D575" i="23" s="1"/>
  <c r="N621" i="23"/>
  <c r="D621" i="23" s="1"/>
  <c r="N645" i="23"/>
  <c r="D645" i="23" s="1"/>
  <c r="N459" i="23"/>
  <c r="D459" i="23" s="1"/>
  <c r="N507" i="23"/>
  <c r="D507" i="23" s="1"/>
  <c r="N555" i="23"/>
  <c r="D555" i="23" s="1"/>
  <c r="N603" i="23"/>
  <c r="D603" i="23" s="1"/>
  <c r="N619" i="23"/>
  <c r="D619" i="23" s="1"/>
  <c r="N643" i="23"/>
  <c r="D643" i="23" s="1"/>
  <c r="N391" i="23"/>
  <c r="N439" i="23"/>
  <c r="N487" i="23"/>
  <c r="N535" i="23"/>
  <c r="N583" i="23"/>
  <c r="N615" i="23"/>
  <c r="N639" i="23"/>
  <c r="N663" i="23"/>
  <c r="N613" i="23"/>
  <c r="N637" i="23"/>
  <c r="N661" i="23"/>
  <c r="N407" i="23"/>
  <c r="D407" i="23" s="1"/>
  <c r="N455" i="23"/>
  <c r="D455" i="23" s="1"/>
  <c r="N503" i="23"/>
  <c r="D503" i="23" s="1"/>
  <c r="N551" i="23"/>
  <c r="D551" i="23" s="1"/>
  <c r="P6" i="18"/>
  <c r="P7" i="18"/>
  <c r="P8" i="18"/>
  <c r="P9" i="18"/>
  <c r="P10" i="18"/>
  <c r="P11" i="18"/>
  <c r="P12" i="18"/>
  <c r="P13" i="18"/>
  <c r="P14" i="18"/>
  <c r="P15" i="18"/>
  <c r="P16" i="18"/>
  <c r="P17" i="18"/>
  <c r="P18" i="18"/>
  <c r="P19" i="18"/>
  <c r="P20" i="18"/>
  <c r="P21" i="18"/>
  <c r="P22" i="18"/>
  <c r="P23" i="18"/>
  <c r="P24" i="18"/>
  <c r="P25" i="18"/>
  <c r="P26" i="18"/>
  <c r="P27" i="18"/>
  <c r="P28" i="18"/>
  <c r="P29" i="18"/>
  <c r="P30" i="18"/>
  <c r="P31" i="18"/>
  <c r="P32" i="18"/>
  <c r="P33" i="18"/>
  <c r="P34" i="18"/>
  <c r="P35" i="18"/>
  <c r="P36" i="18"/>
  <c r="P37" i="18"/>
  <c r="P38" i="18"/>
  <c r="P39" i="18"/>
  <c r="P40" i="18"/>
  <c r="P41" i="18"/>
  <c r="P42" i="18"/>
  <c r="P43" i="18"/>
  <c r="P44" i="18"/>
  <c r="P45" i="18"/>
  <c r="P46" i="18"/>
  <c r="P47" i="18"/>
  <c r="P48" i="18"/>
  <c r="P49" i="18"/>
  <c r="P50" i="18"/>
  <c r="P51" i="18"/>
  <c r="P52" i="18"/>
  <c r="P53" i="18"/>
  <c r="P54" i="18"/>
  <c r="P55" i="18"/>
  <c r="P56" i="18"/>
  <c r="P57" i="18"/>
  <c r="P58" i="18"/>
  <c r="P59" i="18"/>
  <c r="P60" i="18"/>
  <c r="P61" i="18"/>
  <c r="P62" i="18"/>
  <c r="P63" i="18"/>
  <c r="P64" i="18"/>
  <c r="P65" i="18"/>
  <c r="P66" i="18"/>
  <c r="P67" i="18"/>
  <c r="P68" i="18"/>
  <c r="P69" i="18"/>
  <c r="P70" i="18"/>
  <c r="P71" i="18"/>
  <c r="P72" i="18"/>
  <c r="P73" i="18"/>
  <c r="P74" i="18"/>
  <c r="P75" i="18"/>
  <c r="P76" i="18"/>
  <c r="P5" i="18"/>
  <c r="AD10" i="18"/>
  <c r="AD11" i="18"/>
  <c r="AD12" i="18"/>
  <c r="AD13" i="18"/>
  <c r="AD14" i="18"/>
  <c r="AD15" i="18"/>
  <c r="AD16" i="18"/>
  <c r="AD17" i="18"/>
  <c r="AD9" i="18"/>
  <c r="AA17" i="18"/>
  <c r="AB17" i="18" s="1"/>
  <c r="AA16" i="18"/>
  <c r="AB16" i="18" s="1"/>
  <c r="AB15" i="18"/>
  <c r="AA15" i="18"/>
  <c r="AB14" i="18"/>
  <c r="AA14" i="18"/>
  <c r="AA13" i="18"/>
  <c r="AB13" i="18" s="1"/>
  <c r="AA12" i="18"/>
  <c r="AB12" i="18" s="1"/>
  <c r="AB11" i="18"/>
  <c r="AA11" i="18"/>
  <c r="AB10" i="18"/>
  <c r="AA10" i="18"/>
  <c r="AA9" i="18"/>
  <c r="AB9" i="18" s="1"/>
  <c r="V5" i="18" s="1"/>
  <c r="V14" i="18" s="1"/>
  <c r="V23" i="18" s="1"/>
  <c r="V32" i="18" s="1"/>
  <c r="V41" i="18" s="1"/>
  <c r="V50" i="18" s="1"/>
  <c r="V59" i="18" s="1"/>
  <c r="V68" i="18" s="1"/>
  <c r="D515" i="19"/>
  <c r="E515" i="19"/>
  <c r="D516" i="19"/>
  <c r="E516" i="19"/>
  <c r="D517" i="19"/>
  <c r="E517" i="19"/>
  <c r="D518" i="19"/>
  <c r="E518" i="19"/>
  <c r="D519" i="19"/>
  <c r="E519" i="19"/>
  <c r="D520" i="19"/>
  <c r="E520" i="19"/>
  <c r="D521" i="19"/>
  <c r="E521" i="19"/>
  <c r="D522" i="19"/>
  <c r="E522" i="19"/>
  <c r="D523" i="19"/>
  <c r="E523" i="19"/>
  <c r="D524" i="19"/>
  <c r="E524" i="19"/>
  <c r="D525" i="19"/>
  <c r="E525" i="19"/>
  <c r="D526" i="19"/>
  <c r="E526" i="19"/>
  <c r="D527" i="19"/>
  <c r="E527" i="19"/>
  <c r="D528" i="19"/>
  <c r="E528" i="19"/>
  <c r="D529" i="19"/>
  <c r="E529" i="19"/>
  <c r="D530" i="19"/>
  <c r="E530" i="19"/>
  <c r="D531" i="19"/>
  <c r="E531" i="19"/>
  <c r="D532" i="19"/>
  <c r="E532" i="19"/>
  <c r="D533" i="19"/>
  <c r="E533" i="19"/>
  <c r="D534" i="19"/>
  <c r="E534" i="19"/>
  <c r="D535" i="19"/>
  <c r="E535" i="19"/>
  <c r="D536" i="19"/>
  <c r="E536" i="19"/>
  <c r="D537" i="19"/>
  <c r="E537" i="19"/>
  <c r="D538" i="19"/>
  <c r="E538" i="19"/>
  <c r="D539" i="19"/>
  <c r="E539" i="19"/>
  <c r="D540" i="19"/>
  <c r="E540" i="19"/>
  <c r="D541" i="19"/>
  <c r="E541" i="19"/>
  <c r="D542" i="19"/>
  <c r="E542" i="19"/>
  <c r="D543" i="19"/>
  <c r="E543" i="19"/>
  <c r="D544" i="19"/>
  <c r="E544" i="19"/>
  <c r="D545" i="19"/>
  <c r="E545" i="19"/>
  <c r="D546" i="19"/>
  <c r="E546" i="19"/>
  <c r="D547" i="19"/>
  <c r="E547" i="19"/>
  <c r="D548" i="19"/>
  <c r="E548" i="19"/>
  <c r="D549" i="19"/>
  <c r="E549" i="19"/>
  <c r="O76" i="18"/>
  <c r="M76" i="18"/>
  <c r="E76" i="18"/>
  <c r="C76" i="18"/>
  <c r="O75" i="18"/>
  <c r="M75" i="18"/>
  <c r="E75" i="18"/>
  <c r="J75" i="18" s="1"/>
  <c r="C548" i="19" s="1"/>
  <c r="C75" i="18"/>
  <c r="B75" i="18" s="1"/>
  <c r="O74" i="18"/>
  <c r="M74" i="18"/>
  <c r="E74" i="18"/>
  <c r="J74" i="18" s="1"/>
  <c r="C547" i="19" s="1"/>
  <c r="C74" i="18"/>
  <c r="B74" i="18" s="1"/>
  <c r="O73" i="18"/>
  <c r="M73" i="18"/>
  <c r="E73" i="18"/>
  <c r="C73" i="18"/>
  <c r="B73" i="18" s="1"/>
  <c r="O72" i="18"/>
  <c r="M72" i="18"/>
  <c r="E72" i="18"/>
  <c r="C72" i="18"/>
  <c r="B72" i="18" s="1"/>
  <c r="O71" i="18"/>
  <c r="M71" i="18"/>
  <c r="E71" i="18"/>
  <c r="C71" i="18"/>
  <c r="B71" i="18" s="1"/>
  <c r="O70" i="18"/>
  <c r="M70" i="18"/>
  <c r="E70" i="18"/>
  <c r="C70" i="18"/>
  <c r="O69" i="18"/>
  <c r="M69" i="18"/>
  <c r="F69" i="18"/>
  <c r="F70" i="18" s="1"/>
  <c r="F71" i="18" s="1"/>
  <c r="F72" i="18" s="1"/>
  <c r="F73" i="18" s="1"/>
  <c r="F74" i="18" s="1"/>
  <c r="F75" i="18" s="1"/>
  <c r="F76" i="18" s="1"/>
  <c r="E69" i="18"/>
  <c r="C69" i="18"/>
  <c r="B69" i="18" s="1"/>
  <c r="I69" i="18" s="1"/>
  <c r="B542" i="19" s="1"/>
  <c r="O68" i="18"/>
  <c r="E68" i="18"/>
  <c r="J68" i="18" s="1"/>
  <c r="C541" i="19" s="1"/>
  <c r="B68" i="18"/>
  <c r="O67" i="18"/>
  <c r="E67" i="18"/>
  <c r="M67" i="18"/>
  <c r="C67" i="18"/>
  <c r="B67" i="18" s="1"/>
  <c r="O66" i="18"/>
  <c r="M66" i="18"/>
  <c r="E66" i="18"/>
  <c r="C66" i="18"/>
  <c r="B66" i="18" s="1"/>
  <c r="O65" i="18"/>
  <c r="E65" i="18"/>
  <c r="M65" i="18"/>
  <c r="C65" i="18"/>
  <c r="B65" i="18" s="1"/>
  <c r="O64" i="18"/>
  <c r="E64" i="18"/>
  <c r="M64" i="18"/>
  <c r="C64" i="18"/>
  <c r="B64" i="18" s="1"/>
  <c r="O63" i="18"/>
  <c r="E63" i="18"/>
  <c r="M63" i="18"/>
  <c r="C63" i="18"/>
  <c r="B63" i="18" s="1"/>
  <c r="O62" i="18"/>
  <c r="E62" i="18"/>
  <c r="M62" i="18"/>
  <c r="C62" i="18"/>
  <c r="B62" i="18" s="1"/>
  <c r="O61" i="18"/>
  <c r="E61" i="18"/>
  <c r="M61" i="18"/>
  <c r="C61" i="18"/>
  <c r="B61" i="18" s="1"/>
  <c r="O60" i="18"/>
  <c r="E60" i="18"/>
  <c r="M60" i="18"/>
  <c r="F60" i="18"/>
  <c r="F61" i="18" s="1"/>
  <c r="F62" i="18" s="1"/>
  <c r="F63" i="18" s="1"/>
  <c r="F64" i="18" s="1"/>
  <c r="F65" i="18" s="1"/>
  <c r="F66" i="18" s="1"/>
  <c r="F67" i="18" s="1"/>
  <c r="C60" i="18"/>
  <c r="B60" i="18" s="1"/>
  <c r="O59" i="18"/>
  <c r="E59" i="18"/>
  <c r="J59" i="18" s="1"/>
  <c r="C532" i="19" s="1"/>
  <c r="B59" i="18"/>
  <c r="O58" i="18"/>
  <c r="E58" i="18"/>
  <c r="M58" i="18"/>
  <c r="C58" i="18"/>
  <c r="B58" i="18" s="1"/>
  <c r="O57" i="18"/>
  <c r="E57" i="18"/>
  <c r="M57" i="18"/>
  <c r="C57" i="18"/>
  <c r="B57" i="18" s="1"/>
  <c r="O56" i="18"/>
  <c r="E56" i="18"/>
  <c r="M56" i="18"/>
  <c r="C56" i="18"/>
  <c r="B56" i="18" s="1"/>
  <c r="O55" i="18"/>
  <c r="E55" i="18"/>
  <c r="M55" i="18"/>
  <c r="C55" i="18"/>
  <c r="B55" i="18" s="1"/>
  <c r="O54" i="18"/>
  <c r="M54" i="18"/>
  <c r="E54" i="18"/>
  <c r="C54" i="18"/>
  <c r="B54" i="18" s="1"/>
  <c r="O53" i="18"/>
  <c r="E53" i="18"/>
  <c r="M53" i="18"/>
  <c r="C53" i="18"/>
  <c r="B53" i="18" s="1"/>
  <c r="O52" i="18"/>
  <c r="E52" i="18"/>
  <c r="M52" i="18"/>
  <c r="C52" i="18"/>
  <c r="O51" i="18"/>
  <c r="E51" i="18"/>
  <c r="M51" i="18"/>
  <c r="F51" i="18"/>
  <c r="F52" i="18" s="1"/>
  <c r="F53" i="18" s="1"/>
  <c r="F54" i="18" s="1"/>
  <c r="F55" i="18" s="1"/>
  <c r="F56" i="18" s="1"/>
  <c r="F57" i="18" s="1"/>
  <c r="F58" i="18" s="1"/>
  <c r="C51" i="18"/>
  <c r="B51" i="18" s="1"/>
  <c r="O50" i="18"/>
  <c r="E50" i="18"/>
  <c r="J50" i="18" s="1"/>
  <c r="C523" i="19" s="1"/>
  <c r="B50" i="18"/>
  <c r="O49" i="18"/>
  <c r="E49" i="18"/>
  <c r="J49" i="18" s="1"/>
  <c r="C522" i="19" s="1"/>
  <c r="M49" i="18"/>
  <c r="C49" i="18"/>
  <c r="B49" i="18" s="1"/>
  <c r="O48" i="18"/>
  <c r="E48" i="18"/>
  <c r="M48" i="18"/>
  <c r="C48" i="18"/>
  <c r="B48" i="18" s="1"/>
  <c r="O47" i="18"/>
  <c r="E47" i="18"/>
  <c r="M47" i="18"/>
  <c r="C47" i="18"/>
  <c r="B47" i="18" s="1"/>
  <c r="O46" i="18"/>
  <c r="E46" i="18"/>
  <c r="M46" i="18"/>
  <c r="C46" i="18"/>
  <c r="B46" i="18" s="1"/>
  <c r="O45" i="18"/>
  <c r="M45" i="18"/>
  <c r="E45" i="18"/>
  <c r="C45" i="18"/>
  <c r="B45" i="18"/>
  <c r="O44" i="18"/>
  <c r="E44" i="18"/>
  <c r="M44" i="18"/>
  <c r="C44" i="18"/>
  <c r="B44" i="18" s="1"/>
  <c r="O43" i="18"/>
  <c r="E43" i="18"/>
  <c r="J43" i="18" s="1"/>
  <c r="C516" i="19" s="1"/>
  <c r="M43" i="18"/>
  <c r="C43" i="18"/>
  <c r="B43" i="18" s="1"/>
  <c r="O42" i="18"/>
  <c r="E42" i="18"/>
  <c r="M42" i="18"/>
  <c r="F42" i="18"/>
  <c r="F43" i="18" s="1"/>
  <c r="F44" i="18" s="1"/>
  <c r="F45" i="18" s="1"/>
  <c r="F46" i="18" s="1"/>
  <c r="F47" i="18" s="1"/>
  <c r="F48" i="18" s="1"/>
  <c r="F49" i="18" s="1"/>
  <c r="C42" i="18"/>
  <c r="B42" i="18" s="1"/>
  <c r="O41" i="18"/>
  <c r="E41" i="18"/>
  <c r="J41" i="18" s="1"/>
  <c r="B41" i="18"/>
  <c r="O40" i="18"/>
  <c r="E40" i="18"/>
  <c r="M40" i="18"/>
  <c r="C40" i="18"/>
  <c r="B40" i="18"/>
  <c r="O39" i="18"/>
  <c r="E39" i="18"/>
  <c r="M39" i="18"/>
  <c r="C39" i="18"/>
  <c r="B39" i="18" s="1"/>
  <c r="O38" i="18"/>
  <c r="E38" i="18"/>
  <c r="M38" i="18"/>
  <c r="C38" i="18"/>
  <c r="B38" i="18" s="1"/>
  <c r="O37" i="18"/>
  <c r="E37" i="18"/>
  <c r="M37" i="18"/>
  <c r="C37" i="18"/>
  <c r="B37" i="18" s="1"/>
  <c r="O36" i="18"/>
  <c r="M36" i="18"/>
  <c r="E36" i="18"/>
  <c r="C36" i="18"/>
  <c r="B36" i="18" s="1"/>
  <c r="O35" i="18"/>
  <c r="E35" i="18"/>
  <c r="J35" i="18" s="1"/>
  <c r="M35" i="18"/>
  <c r="C35" i="18"/>
  <c r="B35" i="18" s="1"/>
  <c r="O34" i="18"/>
  <c r="E34" i="18"/>
  <c r="M34" i="18"/>
  <c r="C34" i="18"/>
  <c r="B34" i="18" s="1"/>
  <c r="O33" i="18"/>
  <c r="E33" i="18"/>
  <c r="M33" i="18"/>
  <c r="F33" i="18"/>
  <c r="F34" i="18" s="1"/>
  <c r="F35" i="18" s="1"/>
  <c r="F36" i="18" s="1"/>
  <c r="F37" i="18" s="1"/>
  <c r="F38" i="18" s="1"/>
  <c r="F39" i="18" s="1"/>
  <c r="F40" i="18" s="1"/>
  <c r="C33" i="18"/>
  <c r="J33" i="18" s="1"/>
  <c r="O32" i="18"/>
  <c r="E32" i="18"/>
  <c r="J32" i="18" s="1"/>
  <c r="B32" i="18"/>
  <c r="O31" i="18"/>
  <c r="E31" i="18"/>
  <c r="J31" i="18" s="1"/>
  <c r="M31" i="18"/>
  <c r="C31" i="18"/>
  <c r="B31" i="18" s="1"/>
  <c r="O30" i="18"/>
  <c r="E30" i="18"/>
  <c r="M30" i="18"/>
  <c r="C30" i="18"/>
  <c r="B30" i="18" s="1"/>
  <c r="O29" i="18"/>
  <c r="E29" i="18"/>
  <c r="M29" i="18"/>
  <c r="C29" i="18"/>
  <c r="B29" i="18" s="1"/>
  <c r="O28" i="18"/>
  <c r="E28" i="18"/>
  <c r="M28" i="18"/>
  <c r="C28" i="18"/>
  <c r="B28" i="18" s="1"/>
  <c r="O27" i="18"/>
  <c r="M27" i="18"/>
  <c r="E27" i="18"/>
  <c r="C27" i="18"/>
  <c r="B27" i="18" s="1"/>
  <c r="O26" i="18"/>
  <c r="E26" i="18"/>
  <c r="M26" i="18"/>
  <c r="C26" i="18"/>
  <c r="B26" i="18" s="1"/>
  <c r="O25" i="18"/>
  <c r="E25" i="18"/>
  <c r="M25" i="18"/>
  <c r="F25" i="18"/>
  <c r="F26" i="18" s="1"/>
  <c r="F27" i="18" s="1"/>
  <c r="F28" i="18" s="1"/>
  <c r="F29" i="18" s="1"/>
  <c r="F30" i="18" s="1"/>
  <c r="F31" i="18" s="1"/>
  <c r="C25" i="18"/>
  <c r="B25" i="18" s="1"/>
  <c r="O24" i="18"/>
  <c r="E24" i="18"/>
  <c r="M24" i="18"/>
  <c r="F24" i="18"/>
  <c r="C24" i="18"/>
  <c r="B24" i="18" s="1"/>
  <c r="O23" i="18"/>
  <c r="E23" i="18"/>
  <c r="J23" i="18" s="1"/>
  <c r="B23" i="18"/>
  <c r="O22" i="18"/>
  <c r="E22" i="18"/>
  <c r="M22" i="18"/>
  <c r="C22" i="18"/>
  <c r="B22" i="18" s="1"/>
  <c r="O21" i="18"/>
  <c r="E21" i="18"/>
  <c r="M21" i="18"/>
  <c r="C21" i="18"/>
  <c r="B21" i="18" s="1"/>
  <c r="O20" i="18"/>
  <c r="E20" i="18"/>
  <c r="M20" i="18"/>
  <c r="C20" i="18"/>
  <c r="B20" i="18" s="1"/>
  <c r="O19" i="18"/>
  <c r="E19" i="18"/>
  <c r="M19" i="18"/>
  <c r="C19" i="18"/>
  <c r="B19" i="18" s="1"/>
  <c r="O18" i="18"/>
  <c r="M18" i="18"/>
  <c r="E18" i="18"/>
  <c r="C18" i="18"/>
  <c r="B18" i="18" s="1"/>
  <c r="O17" i="18"/>
  <c r="E17" i="18"/>
  <c r="M17" i="18"/>
  <c r="C17" i="18"/>
  <c r="B17" i="18" s="1"/>
  <c r="O16" i="18"/>
  <c r="E16" i="18"/>
  <c r="J16" i="18" s="1"/>
  <c r="M16" i="18"/>
  <c r="C16" i="18"/>
  <c r="B16" i="18" s="1"/>
  <c r="O15" i="18"/>
  <c r="M15" i="18"/>
  <c r="F15" i="18"/>
  <c r="F16" i="18" s="1"/>
  <c r="F17" i="18" s="1"/>
  <c r="F18" i="18" s="1"/>
  <c r="F19" i="18" s="1"/>
  <c r="F20" i="18" s="1"/>
  <c r="F21" i="18" s="1"/>
  <c r="F22" i="18" s="1"/>
  <c r="E15" i="18"/>
  <c r="C15" i="18"/>
  <c r="B15" i="18" s="1"/>
  <c r="O14" i="18"/>
  <c r="E14" i="18"/>
  <c r="J14" i="18" s="1"/>
  <c r="B14" i="18"/>
  <c r="M9" i="18"/>
  <c r="N9" i="18"/>
  <c r="E9" i="18" s="1"/>
  <c r="O9" i="18"/>
  <c r="M10" i="18"/>
  <c r="N10" i="18"/>
  <c r="O10" i="18"/>
  <c r="M11" i="18"/>
  <c r="N11" i="18"/>
  <c r="E11" i="18" s="1"/>
  <c r="O11" i="18"/>
  <c r="M12" i="18"/>
  <c r="N12" i="18"/>
  <c r="E12" i="18" s="1"/>
  <c r="O12" i="18"/>
  <c r="M13" i="18"/>
  <c r="N13" i="18"/>
  <c r="E13" i="18" s="1"/>
  <c r="O13" i="18"/>
  <c r="E10" i="18"/>
  <c r="J10" i="18" s="1"/>
  <c r="C9" i="18"/>
  <c r="B9" i="18" s="1"/>
  <c r="C10" i="18"/>
  <c r="B10" i="18" s="1"/>
  <c r="C11" i="18"/>
  <c r="B11" i="18" s="1"/>
  <c r="C12" i="18"/>
  <c r="B12" i="18" s="1"/>
  <c r="C13" i="18"/>
  <c r="B13" i="18" s="1"/>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29" i="17"/>
  <c r="Q107" i="17"/>
  <c r="Q108" i="17"/>
  <c r="Q109" i="17"/>
  <c r="Q110" i="17"/>
  <c r="Q111" i="17"/>
  <c r="Q112" i="17"/>
  <c r="Q113" i="17"/>
  <c r="Q114" i="17"/>
  <c r="Q115" i="17"/>
  <c r="Q116" i="17"/>
  <c r="Q117" i="17"/>
  <c r="Q118" i="17"/>
  <c r="Q119" i="17"/>
  <c r="Q120" i="17"/>
  <c r="Q121" i="17"/>
  <c r="Q106" i="17"/>
  <c r="Q100" i="17"/>
  <c r="Q99" i="17"/>
  <c r="Q98" i="17"/>
  <c r="Q97" i="17"/>
  <c r="Q96" i="17"/>
  <c r="Q95" i="17"/>
  <c r="Q94" i="17"/>
  <c r="Q93" i="17"/>
  <c r="Q92" i="17"/>
  <c r="Q91" i="17"/>
  <c r="Q90" i="17"/>
  <c r="Q89" i="17"/>
  <c r="Q88" i="17"/>
  <c r="Q87" i="17"/>
  <c r="Q86" i="17"/>
  <c r="Q85" i="17"/>
  <c r="Q84" i="17"/>
  <c r="Q83" i="17"/>
  <c r="Q82" i="17"/>
  <c r="Q81" i="17"/>
  <c r="Q80" i="17"/>
  <c r="Q79" i="17"/>
  <c r="Q78" i="17"/>
  <c r="Q77" i="17"/>
  <c r="Q76" i="17"/>
  <c r="Q75" i="17"/>
  <c r="Q74" i="17"/>
  <c r="Q73" i="17"/>
  <c r="Q72" i="17"/>
  <c r="Q71" i="17"/>
  <c r="Q70" i="17"/>
  <c r="Q69" i="17"/>
  <c r="Q68" i="17"/>
  <c r="Q67" i="17"/>
  <c r="Q66" i="17"/>
  <c r="Q65" i="17"/>
  <c r="Q64" i="17"/>
  <c r="Q63" i="17"/>
  <c r="Q62" i="17"/>
  <c r="Q61" i="17"/>
  <c r="Q60" i="17"/>
  <c r="Q59" i="17"/>
  <c r="Q58" i="17"/>
  <c r="Q57" i="17"/>
  <c r="Q56" i="17"/>
  <c r="Q55" i="17"/>
  <c r="Q54" i="17"/>
  <c r="Q53" i="17"/>
  <c r="Q52" i="17"/>
  <c r="Q51" i="17"/>
  <c r="Q50" i="17"/>
  <c r="Q49" i="17"/>
  <c r="Q48" i="17"/>
  <c r="Q47" i="17"/>
  <c r="Q46" i="17"/>
  <c r="Q45" i="17"/>
  <c r="Q44" i="17"/>
  <c r="Q43" i="17"/>
  <c r="Q42" i="17"/>
  <c r="Q41" i="17"/>
  <c r="Q40" i="17"/>
  <c r="Q39" i="17"/>
  <c r="Q38" i="17"/>
  <c r="Q37" i="17"/>
  <c r="Q36" i="17"/>
  <c r="Q35" i="17"/>
  <c r="Q34" i="17"/>
  <c r="Q33" i="17"/>
  <c r="Q32" i="17"/>
  <c r="Q31" i="17"/>
  <c r="Q30" i="17"/>
  <c r="Q29" i="17"/>
  <c r="Q28" i="17"/>
  <c r="Q27" i="17"/>
  <c r="Q26" i="17"/>
  <c r="Q25" i="17"/>
  <c r="Q24" i="17"/>
  <c r="Q23" i="17"/>
  <c r="Q22" i="17"/>
  <c r="Q21" i="17"/>
  <c r="Q20" i="17"/>
  <c r="Q19" i="17"/>
  <c r="Q18" i="17"/>
  <c r="Q17" i="17"/>
  <c r="Q16" i="17"/>
  <c r="Q15" i="17"/>
  <c r="Q14" i="17"/>
  <c r="Q13" i="17"/>
  <c r="Q12" i="17"/>
  <c r="Q11" i="17"/>
  <c r="Q10" i="17"/>
  <c r="Q9" i="17"/>
  <c r="Q8" i="17"/>
  <c r="Q7" i="17"/>
  <c r="Q6" i="17"/>
  <c r="Q5" i="17"/>
  <c r="B315" i="19"/>
  <c r="C315" i="19"/>
  <c r="D315" i="19"/>
  <c r="E315" i="19"/>
  <c r="B316" i="19"/>
  <c r="C316" i="19"/>
  <c r="D316" i="19"/>
  <c r="E316" i="19"/>
  <c r="B317" i="19"/>
  <c r="C317" i="19"/>
  <c r="D317" i="19"/>
  <c r="E317" i="19"/>
  <c r="B318" i="19"/>
  <c r="C318" i="19"/>
  <c r="D318" i="19"/>
  <c r="E318" i="19"/>
  <c r="B319" i="19"/>
  <c r="C319" i="19"/>
  <c r="D319" i="19"/>
  <c r="E319" i="19"/>
  <c r="B320" i="19"/>
  <c r="C320" i="19"/>
  <c r="D320" i="19"/>
  <c r="E320" i="19"/>
  <c r="B321" i="19"/>
  <c r="C321" i="19"/>
  <c r="D321" i="19"/>
  <c r="E321" i="19"/>
  <c r="B322" i="19"/>
  <c r="C322" i="19"/>
  <c r="D322" i="19"/>
  <c r="E322" i="19"/>
  <c r="B323" i="19"/>
  <c r="C323" i="19"/>
  <c r="D323" i="19"/>
  <c r="E323" i="19"/>
  <c r="B324" i="19"/>
  <c r="C324" i="19"/>
  <c r="D324" i="19"/>
  <c r="E324" i="19"/>
  <c r="B325" i="19"/>
  <c r="C325" i="19"/>
  <c r="D325" i="19"/>
  <c r="E325" i="19"/>
  <c r="B326" i="19"/>
  <c r="C326" i="19"/>
  <c r="D326" i="19"/>
  <c r="E326" i="19"/>
  <c r="B327" i="19"/>
  <c r="C327" i="19"/>
  <c r="D327" i="19"/>
  <c r="E327" i="19"/>
  <c r="B328" i="19"/>
  <c r="C328" i="19"/>
  <c r="D328" i="19"/>
  <c r="E328" i="19"/>
  <c r="B329" i="19"/>
  <c r="C329" i="19"/>
  <c r="D329" i="19"/>
  <c r="E329" i="19"/>
  <c r="B330" i="19"/>
  <c r="C330" i="19"/>
  <c r="D330" i="19"/>
  <c r="E330" i="19"/>
  <c r="B331" i="19"/>
  <c r="C331" i="19"/>
  <c r="D331" i="19"/>
  <c r="E331" i="19"/>
  <c r="B332" i="19"/>
  <c r="C332" i="19"/>
  <c r="D332" i="19"/>
  <c r="E332" i="19"/>
  <c r="B333" i="19"/>
  <c r="C333" i="19"/>
  <c r="D333" i="19"/>
  <c r="E333" i="19"/>
  <c r="B334" i="19"/>
  <c r="C334" i="19"/>
  <c r="D334" i="19"/>
  <c r="E334" i="19"/>
  <c r="B335" i="19"/>
  <c r="C335" i="19"/>
  <c r="D335" i="19"/>
  <c r="E335" i="19"/>
  <c r="B336" i="19"/>
  <c r="C336" i="19"/>
  <c r="D336" i="19"/>
  <c r="E336" i="19"/>
  <c r="B337" i="19"/>
  <c r="C337" i="19"/>
  <c r="D337" i="19"/>
  <c r="E337" i="19"/>
  <c r="B338" i="19"/>
  <c r="C338" i="19"/>
  <c r="D338" i="19"/>
  <c r="E338" i="19"/>
  <c r="B339" i="19"/>
  <c r="C339" i="19"/>
  <c r="D339" i="19"/>
  <c r="E339" i="19"/>
  <c r="B340" i="19"/>
  <c r="C340" i="19"/>
  <c r="D340" i="19"/>
  <c r="E340" i="19"/>
  <c r="B341" i="19"/>
  <c r="C341" i="19"/>
  <c r="D341" i="19"/>
  <c r="E341" i="19"/>
  <c r="B342" i="19"/>
  <c r="C342" i="19"/>
  <c r="D342" i="19"/>
  <c r="E342" i="19"/>
  <c r="B343" i="19"/>
  <c r="C343" i="19"/>
  <c r="D343" i="19"/>
  <c r="E343" i="19"/>
  <c r="B344" i="19"/>
  <c r="C344" i="19"/>
  <c r="D344" i="19"/>
  <c r="E344" i="19"/>
  <c r="B345" i="19"/>
  <c r="C345" i="19"/>
  <c r="D345" i="19"/>
  <c r="E345" i="19"/>
  <c r="B346" i="19"/>
  <c r="C346" i="19"/>
  <c r="D346" i="19"/>
  <c r="E346" i="19"/>
  <c r="B347" i="19"/>
  <c r="C347" i="19"/>
  <c r="D347" i="19"/>
  <c r="E347" i="19"/>
  <c r="B348" i="19"/>
  <c r="C348" i="19"/>
  <c r="D348" i="19"/>
  <c r="E348" i="19"/>
  <c r="B349" i="19"/>
  <c r="C349" i="19"/>
  <c r="D349" i="19"/>
  <c r="E349" i="19"/>
  <c r="B350" i="19"/>
  <c r="C350" i="19"/>
  <c r="D350" i="19"/>
  <c r="E350" i="19"/>
  <c r="B351" i="19"/>
  <c r="C351" i="19"/>
  <c r="D351" i="19"/>
  <c r="E351" i="19"/>
  <c r="B352" i="19"/>
  <c r="C352" i="19"/>
  <c r="D352" i="19"/>
  <c r="E352" i="19"/>
  <c r="B353" i="19"/>
  <c r="C353" i="19"/>
  <c r="D353" i="19"/>
  <c r="E353" i="19"/>
  <c r="B354" i="19"/>
  <c r="C354" i="19"/>
  <c r="D354" i="19"/>
  <c r="E354" i="19"/>
  <c r="B355" i="19"/>
  <c r="C355" i="19"/>
  <c r="D355" i="19"/>
  <c r="E355" i="19"/>
  <c r="B356" i="19"/>
  <c r="C356" i="19"/>
  <c r="D356" i="19"/>
  <c r="E356" i="19"/>
  <c r="B357" i="19"/>
  <c r="C357" i="19"/>
  <c r="D357" i="19"/>
  <c r="E357" i="19"/>
  <c r="B358" i="19"/>
  <c r="C358" i="19"/>
  <c r="D358" i="19"/>
  <c r="E358" i="19"/>
  <c r="B359" i="19"/>
  <c r="C359" i="19"/>
  <c r="D359" i="19"/>
  <c r="E359" i="19"/>
  <c r="B360" i="19"/>
  <c r="C360" i="19"/>
  <c r="D360" i="19"/>
  <c r="E360" i="19"/>
  <c r="B361" i="19"/>
  <c r="C361" i="19"/>
  <c r="D361" i="19"/>
  <c r="E361" i="19"/>
  <c r="B362" i="19"/>
  <c r="C362" i="19"/>
  <c r="D362" i="19"/>
  <c r="E362" i="19"/>
  <c r="B363" i="19"/>
  <c r="C363" i="19"/>
  <c r="D363" i="19"/>
  <c r="E363" i="19"/>
  <c r="B364" i="19"/>
  <c r="C364" i="19"/>
  <c r="D364" i="19"/>
  <c r="E364" i="19"/>
  <c r="B365" i="19"/>
  <c r="C365" i="19"/>
  <c r="D365" i="19"/>
  <c r="E365" i="19"/>
  <c r="B366" i="19"/>
  <c r="C366" i="19"/>
  <c r="D366" i="19"/>
  <c r="E366" i="19"/>
  <c r="B367" i="19"/>
  <c r="C367" i="19"/>
  <c r="D367" i="19"/>
  <c r="E367" i="19"/>
  <c r="B368" i="19"/>
  <c r="C368" i="19"/>
  <c r="D368" i="19"/>
  <c r="E368" i="19"/>
  <c r="B369" i="19"/>
  <c r="C369" i="19"/>
  <c r="D369" i="19"/>
  <c r="E369" i="19"/>
  <c r="B370" i="19"/>
  <c r="C370" i="19"/>
  <c r="D370" i="19"/>
  <c r="E370" i="19"/>
  <c r="B371" i="19"/>
  <c r="C371" i="19"/>
  <c r="D371" i="19"/>
  <c r="E371" i="19"/>
  <c r="B372" i="19"/>
  <c r="C372" i="19"/>
  <c r="D372" i="19"/>
  <c r="E372" i="19"/>
  <c r="B373" i="19"/>
  <c r="C373" i="19"/>
  <c r="D373" i="19"/>
  <c r="E373" i="19"/>
  <c r="B374" i="19"/>
  <c r="C374" i="19"/>
  <c r="D374" i="19"/>
  <c r="E374" i="19"/>
  <c r="B375" i="19"/>
  <c r="C375" i="19"/>
  <c r="D375" i="19"/>
  <c r="E375" i="19"/>
  <c r="B376" i="19"/>
  <c r="C376" i="19"/>
  <c r="D376" i="19"/>
  <c r="E376" i="19"/>
  <c r="B377" i="19"/>
  <c r="C377" i="19"/>
  <c r="D377" i="19"/>
  <c r="E377" i="19"/>
  <c r="B378" i="19"/>
  <c r="C378" i="19"/>
  <c r="D378" i="19"/>
  <c r="E378" i="19"/>
  <c r="B379" i="19"/>
  <c r="C379" i="19"/>
  <c r="D379" i="19"/>
  <c r="E379" i="19"/>
  <c r="B380" i="19"/>
  <c r="C380" i="19"/>
  <c r="D380" i="19"/>
  <c r="E380" i="19"/>
  <c r="B381" i="19"/>
  <c r="C381" i="19"/>
  <c r="D381" i="19"/>
  <c r="E381" i="19"/>
  <c r="B382" i="19"/>
  <c r="C382" i="19"/>
  <c r="D382" i="19"/>
  <c r="E382" i="19"/>
  <c r="B383" i="19"/>
  <c r="C383" i="19"/>
  <c r="D383" i="19"/>
  <c r="E383" i="19"/>
  <c r="B384" i="19"/>
  <c r="C384" i="19"/>
  <c r="D384" i="19"/>
  <c r="E384" i="19"/>
  <c r="B385" i="19"/>
  <c r="C385" i="19"/>
  <c r="D385" i="19"/>
  <c r="E385" i="19"/>
  <c r="B386" i="19"/>
  <c r="C386" i="19"/>
  <c r="D386" i="19"/>
  <c r="E386" i="19"/>
  <c r="B387" i="19"/>
  <c r="C387" i="19"/>
  <c r="D387" i="19"/>
  <c r="E387" i="19"/>
  <c r="B388" i="19"/>
  <c r="C388" i="19"/>
  <c r="D388" i="19"/>
  <c r="E388" i="19"/>
  <c r="B389" i="19"/>
  <c r="C389" i="19"/>
  <c r="D389" i="19"/>
  <c r="E389" i="19"/>
  <c r="B390" i="19"/>
  <c r="C390" i="19"/>
  <c r="D390" i="19"/>
  <c r="E390" i="19"/>
  <c r="B391" i="19"/>
  <c r="C391" i="19"/>
  <c r="D391" i="19"/>
  <c r="E391" i="19"/>
  <c r="B392" i="19"/>
  <c r="C392" i="19"/>
  <c r="D392" i="19"/>
  <c r="E392" i="19"/>
  <c r="B393" i="19"/>
  <c r="C393" i="19"/>
  <c r="D393" i="19"/>
  <c r="E393" i="19"/>
  <c r="B394" i="19"/>
  <c r="C394" i="19"/>
  <c r="D394" i="19"/>
  <c r="E394" i="19"/>
  <c r="B395" i="19"/>
  <c r="C395" i="19"/>
  <c r="D395" i="19"/>
  <c r="E395" i="19"/>
  <c r="B396" i="19"/>
  <c r="C396" i="19"/>
  <c r="D396" i="19"/>
  <c r="E396" i="19"/>
  <c r="B397" i="19"/>
  <c r="C397" i="19"/>
  <c r="D397" i="19"/>
  <c r="E397" i="19"/>
  <c r="B398" i="19"/>
  <c r="C398" i="19"/>
  <c r="D398" i="19"/>
  <c r="E398" i="19"/>
  <c r="B399" i="19"/>
  <c r="C399" i="19"/>
  <c r="D399" i="19"/>
  <c r="E399" i="19"/>
  <c r="B400" i="19"/>
  <c r="C400" i="19"/>
  <c r="D400" i="19"/>
  <c r="E400" i="19"/>
  <c r="B401" i="19"/>
  <c r="C401" i="19"/>
  <c r="D401" i="19"/>
  <c r="E401" i="19"/>
  <c r="B402" i="19"/>
  <c r="C402" i="19"/>
  <c r="D402" i="19"/>
  <c r="E402" i="19"/>
  <c r="B403" i="19"/>
  <c r="C403" i="19"/>
  <c r="D403" i="19"/>
  <c r="E403" i="19"/>
  <c r="B404" i="19"/>
  <c r="C404" i="19"/>
  <c r="D404" i="19"/>
  <c r="E404" i="19"/>
  <c r="B405" i="19"/>
  <c r="C405" i="19"/>
  <c r="D405" i="19"/>
  <c r="E405" i="19"/>
  <c r="B406" i="19"/>
  <c r="C406" i="19"/>
  <c r="D406" i="19"/>
  <c r="E406" i="19"/>
  <c r="B407" i="19"/>
  <c r="C407" i="19"/>
  <c r="D407" i="19"/>
  <c r="E407" i="19"/>
  <c r="B408" i="19"/>
  <c r="C408" i="19"/>
  <c r="D408" i="19"/>
  <c r="E408" i="19"/>
  <c r="B409" i="19"/>
  <c r="C409" i="19"/>
  <c r="D409" i="19"/>
  <c r="E409" i="19"/>
  <c r="B410" i="19"/>
  <c r="C410" i="19"/>
  <c r="D410" i="19"/>
  <c r="E410" i="19"/>
  <c r="B411" i="19"/>
  <c r="C411" i="19"/>
  <c r="D411" i="19"/>
  <c r="E411" i="19"/>
  <c r="B412" i="19"/>
  <c r="C412" i="19"/>
  <c r="D412" i="19"/>
  <c r="E412" i="19"/>
  <c r="B413" i="19"/>
  <c r="C413" i="19"/>
  <c r="D413" i="19"/>
  <c r="E413" i="19"/>
  <c r="B414" i="19"/>
  <c r="C414" i="19"/>
  <c r="D414" i="19"/>
  <c r="E414" i="19"/>
  <c r="B415" i="19"/>
  <c r="C415" i="19"/>
  <c r="D415" i="19"/>
  <c r="E415" i="19"/>
  <c r="B416" i="19"/>
  <c r="C416" i="19"/>
  <c r="D416" i="19"/>
  <c r="E416" i="19"/>
  <c r="B417" i="19"/>
  <c r="C417" i="19"/>
  <c r="D417" i="19"/>
  <c r="E417" i="19"/>
  <c r="B418" i="19"/>
  <c r="C418" i="19"/>
  <c r="D418" i="19"/>
  <c r="E418" i="19"/>
  <c r="B419" i="19"/>
  <c r="C419" i="19"/>
  <c r="D419" i="19"/>
  <c r="E419" i="19"/>
  <c r="B420" i="19"/>
  <c r="C420" i="19"/>
  <c r="D420" i="19"/>
  <c r="E420" i="19"/>
  <c r="B421" i="19"/>
  <c r="C421" i="19"/>
  <c r="D421" i="19"/>
  <c r="E421" i="19"/>
  <c r="B422" i="19"/>
  <c r="C422" i="19"/>
  <c r="D422" i="19"/>
  <c r="E422" i="19"/>
  <c r="B423" i="19"/>
  <c r="C423" i="19"/>
  <c r="D423" i="19"/>
  <c r="E423" i="19"/>
  <c r="B424" i="19"/>
  <c r="C424" i="19"/>
  <c r="D424" i="19"/>
  <c r="E424" i="19"/>
  <c r="B425" i="19"/>
  <c r="C425" i="19"/>
  <c r="D425" i="19"/>
  <c r="E425" i="19"/>
  <c r="B426" i="19"/>
  <c r="C426" i="19"/>
  <c r="D426" i="19"/>
  <c r="E426" i="19"/>
  <c r="B427" i="19"/>
  <c r="C427" i="19"/>
  <c r="D427" i="19"/>
  <c r="E427" i="19"/>
  <c r="B428" i="19"/>
  <c r="C428" i="19"/>
  <c r="D428" i="19"/>
  <c r="E428" i="19"/>
  <c r="B429" i="19"/>
  <c r="C429" i="19"/>
  <c r="D429" i="19"/>
  <c r="E429" i="19"/>
  <c r="B430" i="19"/>
  <c r="C430" i="19"/>
  <c r="D430" i="19"/>
  <c r="E430" i="19"/>
  <c r="B431" i="19"/>
  <c r="C431" i="19"/>
  <c r="D431" i="19"/>
  <c r="E431" i="19"/>
  <c r="B432" i="19"/>
  <c r="C432" i="19"/>
  <c r="D432" i="19"/>
  <c r="E432" i="19"/>
  <c r="B433" i="19"/>
  <c r="C433" i="19"/>
  <c r="D433" i="19"/>
  <c r="E433" i="19"/>
  <c r="B434" i="19"/>
  <c r="C434" i="19"/>
  <c r="D434" i="19"/>
  <c r="E434" i="19"/>
  <c r="B435" i="19"/>
  <c r="C435" i="19"/>
  <c r="D435" i="19"/>
  <c r="E435" i="19"/>
  <c r="B436" i="19"/>
  <c r="C436" i="19"/>
  <c r="D436" i="19"/>
  <c r="E436" i="19"/>
  <c r="B437" i="19"/>
  <c r="C437" i="19"/>
  <c r="D437" i="19"/>
  <c r="E437" i="19"/>
  <c r="B438" i="19"/>
  <c r="C438" i="19"/>
  <c r="D438" i="19"/>
  <c r="E438" i="19"/>
  <c r="B439" i="19"/>
  <c r="C439" i="19"/>
  <c r="D439" i="19"/>
  <c r="E439" i="19"/>
  <c r="B440" i="19"/>
  <c r="C440" i="19"/>
  <c r="D440" i="19"/>
  <c r="E440" i="19"/>
  <c r="B441" i="19"/>
  <c r="C441" i="19"/>
  <c r="D441" i="19"/>
  <c r="E441" i="19"/>
  <c r="B442" i="19"/>
  <c r="C442" i="19"/>
  <c r="D442" i="19"/>
  <c r="E442" i="19"/>
  <c r="B443" i="19"/>
  <c r="C443" i="19"/>
  <c r="D443" i="19"/>
  <c r="E443" i="19"/>
  <c r="B444" i="19"/>
  <c r="C444" i="19"/>
  <c r="D444" i="19"/>
  <c r="E444" i="19"/>
  <c r="B445" i="19"/>
  <c r="C445" i="19"/>
  <c r="D445" i="19"/>
  <c r="E445" i="19"/>
  <c r="B446" i="19"/>
  <c r="C446" i="19"/>
  <c r="D446" i="19"/>
  <c r="E446" i="19"/>
  <c r="B447" i="19"/>
  <c r="C447" i="19"/>
  <c r="D447" i="19"/>
  <c r="E447" i="19"/>
  <c r="B448" i="19"/>
  <c r="C448" i="19"/>
  <c r="D448" i="19"/>
  <c r="E448" i="19"/>
  <c r="B449" i="19"/>
  <c r="C449" i="19"/>
  <c r="D449" i="19"/>
  <c r="E449" i="19"/>
  <c r="B450" i="19"/>
  <c r="C450" i="19"/>
  <c r="D450" i="19"/>
  <c r="E450" i="19"/>
  <c r="B451" i="19"/>
  <c r="C451" i="19"/>
  <c r="D451" i="19"/>
  <c r="E451" i="19"/>
  <c r="B452" i="19"/>
  <c r="C452" i="19"/>
  <c r="D452" i="19"/>
  <c r="E452" i="19"/>
  <c r="B453" i="19"/>
  <c r="C453" i="19"/>
  <c r="D453" i="19"/>
  <c r="E453" i="19"/>
  <c r="B454" i="19"/>
  <c r="C454" i="19"/>
  <c r="D454" i="19"/>
  <c r="E454" i="19"/>
  <c r="B455" i="19"/>
  <c r="C455" i="19"/>
  <c r="D455" i="19"/>
  <c r="E455" i="19"/>
  <c r="B456" i="19"/>
  <c r="C456" i="19"/>
  <c r="D456" i="19"/>
  <c r="E456" i="19"/>
  <c r="B457" i="19"/>
  <c r="C457" i="19"/>
  <c r="D457" i="19"/>
  <c r="E457" i="19"/>
  <c r="B458" i="19"/>
  <c r="C458" i="19"/>
  <c r="D458" i="19"/>
  <c r="E458" i="19"/>
  <c r="B459" i="19"/>
  <c r="C459" i="19"/>
  <c r="D459" i="19"/>
  <c r="E459" i="19"/>
  <c r="B460" i="19"/>
  <c r="C460" i="19"/>
  <c r="D460" i="19"/>
  <c r="E460" i="19"/>
  <c r="B461" i="19"/>
  <c r="C461" i="19"/>
  <c r="D461" i="19"/>
  <c r="E461" i="19"/>
  <c r="B462" i="19"/>
  <c r="C462" i="19"/>
  <c r="D462" i="19"/>
  <c r="E462" i="19"/>
  <c r="B463" i="19"/>
  <c r="C463" i="19"/>
  <c r="D463" i="19"/>
  <c r="E463" i="19"/>
  <c r="B464" i="19"/>
  <c r="C464" i="19"/>
  <c r="D464" i="19"/>
  <c r="E464" i="19"/>
  <c r="B465" i="19"/>
  <c r="C465" i="19"/>
  <c r="D465" i="19"/>
  <c r="E465" i="19"/>
  <c r="B466" i="19"/>
  <c r="C466" i="19"/>
  <c r="D466" i="19"/>
  <c r="E466" i="19"/>
  <c r="B467" i="19"/>
  <c r="C467" i="19"/>
  <c r="D467" i="19"/>
  <c r="E467" i="19"/>
  <c r="B468" i="19"/>
  <c r="C468" i="19"/>
  <c r="D468" i="19"/>
  <c r="E468" i="19"/>
  <c r="B469" i="19"/>
  <c r="C469" i="19"/>
  <c r="D469" i="19"/>
  <c r="E469" i="19"/>
  <c r="B470" i="19"/>
  <c r="C470" i="19"/>
  <c r="D470" i="19"/>
  <c r="E470" i="19"/>
  <c r="B471" i="19"/>
  <c r="C471" i="19"/>
  <c r="D471" i="19"/>
  <c r="E471" i="19"/>
  <c r="B472" i="19"/>
  <c r="C472" i="19"/>
  <c r="D472" i="19"/>
  <c r="E472" i="19"/>
  <c r="B473" i="19"/>
  <c r="C473" i="19"/>
  <c r="D473" i="19"/>
  <c r="E473" i="19"/>
  <c r="B474" i="19"/>
  <c r="C474" i="19"/>
  <c r="D474" i="19"/>
  <c r="E474" i="19"/>
  <c r="B475" i="19"/>
  <c r="C475" i="19"/>
  <c r="D475" i="19"/>
  <c r="E475" i="19"/>
  <c r="B476" i="19"/>
  <c r="C476" i="19"/>
  <c r="D476" i="19"/>
  <c r="E476" i="19"/>
  <c r="B477" i="19"/>
  <c r="C477" i="19"/>
  <c r="D477" i="19"/>
  <c r="E477" i="19"/>
  <c r="B478" i="19"/>
  <c r="C478" i="19"/>
  <c r="D478" i="19"/>
  <c r="E478" i="19"/>
  <c r="B479" i="19"/>
  <c r="C479" i="19"/>
  <c r="D479" i="19"/>
  <c r="E479" i="19"/>
  <c r="B480" i="19"/>
  <c r="C480" i="19"/>
  <c r="D480" i="19"/>
  <c r="E480" i="19"/>
  <c r="B481" i="19"/>
  <c r="C481" i="19"/>
  <c r="D481" i="19"/>
  <c r="E481" i="19"/>
  <c r="B482" i="19"/>
  <c r="C482" i="19"/>
  <c r="D482" i="19"/>
  <c r="E482" i="19"/>
  <c r="D483" i="19"/>
  <c r="E483" i="19"/>
  <c r="D484" i="19"/>
  <c r="E484" i="19"/>
  <c r="D485" i="19"/>
  <c r="E485" i="19"/>
  <c r="D486" i="19"/>
  <c r="E486" i="19"/>
  <c r="D487" i="19"/>
  <c r="E487" i="19"/>
  <c r="D488" i="19"/>
  <c r="E488" i="19"/>
  <c r="D489" i="19"/>
  <c r="E489" i="19"/>
  <c r="D490" i="19"/>
  <c r="E490" i="19"/>
  <c r="D491" i="19"/>
  <c r="E491" i="19"/>
  <c r="D492" i="19"/>
  <c r="E492" i="19"/>
  <c r="D493" i="19"/>
  <c r="E493" i="19"/>
  <c r="D494" i="19"/>
  <c r="E494" i="19"/>
  <c r="D495" i="19"/>
  <c r="E495" i="19"/>
  <c r="D496" i="19"/>
  <c r="E496" i="19"/>
  <c r="D497" i="19"/>
  <c r="E497" i="19"/>
  <c r="D498" i="19"/>
  <c r="E498" i="19"/>
  <c r="D499" i="19"/>
  <c r="E499" i="19"/>
  <c r="D500" i="19"/>
  <c r="E500" i="19"/>
  <c r="D501" i="19"/>
  <c r="E501" i="19"/>
  <c r="D502" i="19"/>
  <c r="E502" i="19"/>
  <c r="D503" i="19"/>
  <c r="E503" i="19"/>
  <c r="D504" i="19"/>
  <c r="E504" i="19"/>
  <c r="D505" i="19"/>
  <c r="E505" i="19"/>
  <c r="D506" i="19"/>
  <c r="E506" i="19"/>
  <c r="D507" i="19"/>
  <c r="E507" i="19"/>
  <c r="D508" i="19"/>
  <c r="E508" i="19"/>
  <c r="D509" i="19"/>
  <c r="E509" i="19"/>
  <c r="D510" i="19"/>
  <c r="E510" i="19"/>
  <c r="D511" i="19"/>
  <c r="E511" i="19"/>
  <c r="D512" i="19"/>
  <c r="E512" i="19"/>
  <c r="D513" i="19"/>
  <c r="E513" i="19"/>
  <c r="D514" i="19"/>
  <c r="E514" i="19"/>
  <c r="H499" i="23" l="1"/>
  <c r="R275" i="23"/>
  <c r="R551" i="23"/>
  <c r="H651" i="23"/>
  <c r="H653" i="23" s="1"/>
  <c r="H655" i="23" s="1"/>
  <c r="R411" i="23"/>
  <c r="R157" i="23"/>
  <c r="R653" i="23"/>
  <c r="R371" i="23"/>
  <c r="R647" i="23"/>
  <c r="R619" i="23"/>
  <c r="H503" i="23"/>
  <c r="H507" i="23" s="1"/>
  <c r="H511" i="23" s="1"/>
  <c r="R499" i="23"/>
  <c r="R283" i="23"/>
  <c r="R155" i="23"/>
  <c r="R57" i="23"/>
  <c r="D487" i="23"/>
  <c r="R487" i="23"/>
  <c r="H647" i="23"/>
  <c r="R123" i="23"/>
  <c r="D123" i="23"/>
  <c r="R101" i="23"/>
  <c r="D101" i="23"/>
  <c r="R339" i="23"/>
  <c r="D339" i="23"/>
  <c r="R311" i="23"/>
  <c r="D87" i="23"/>
  <c r="H87" i="23" s="1"/>
  <c r="R87" i="23"/>
  <c r="R117" i="23"/>
  <c r="D439" i="23"/>
  <c r="R439" i="23"/>
  <c r="R467" i="23"/>
  <c r="D467" i="23"/>
  <c r="R99" i="23"/>
  <c r="D99" i="23"/>
  <c r="R77" i="23"/>
  <c r="D77" i="23"/>
  <c r="D63" i="23"/>
  <c r="R63" i="23"/>
  <c r="R291" i="23"/>
  <c r="D291" i="23"/>
  <c r="R105" i="23"/>
  <c r="R391" i="23"/>
  <c r="D391" i="23"/>
  <c r="R503" i="23"/>
  <c r="R515" i="23"/>
  <c r="D515" i="23"/>
  <c r="D375" i="23"/>
  <c r="R375" i="23"/>
  <c r="R595" i="23"/>
  <c r="R75" i="23"/>
  <c r="D75" i="23"/>
  <c r="H75" i="23" s="1"/>
  <c r="R53" i="23"/>
  <c r="D53" i="23"/>
  <c r="R145" i="23"/>
  <c r="D145" i="23"/>
  <c r="R39" i="23"/>
  <c r="D39" i="23"/>
  <c r="H39" i="23" s="1"/>
  <c r="R617" i="23"/>
  <c r="D617" i="23"/>
  <c r="R51" i="23"/>
  <c r="D51" i="23"/>
  <c r="D29" i="23"/>
  <c r="R29" i="23"/>
  <c r="R127" i="23"/>
  <c r="D127" i="23"/>
  <c r="R81" i="23"/>
  <c r="R661" i="23"/>
  <c r="D661" i="23"/>
  <c r="H661" i="23" s="1"/>
  <c r="R455" i="23"/>
  <c r="R459" i="23"/>
  <c r="R643" i="23"/>
  <c r="H239" i="23"/>
  <c r="R27" i="23"/>
  <c r="D27" i="23"/>
  <c r="H27" i="23" s="1"/>
  <c r="R103" i="23"/>
  <c r="D103" i="23"/>
  <c r="R199" i="23"/>
  <c r="D153" i="23"/>
  <c r="R153" i="23"/>
  <c r="R637" i="23"/>
  <c r="D637" i="23"/>
  <c r="H637" i="23" s="1"/>
  <c r="R555" i="23"/>
  <c r="D423" i="23"/>
  <c r="R423" i="23"/>
  <c r="R563" i="23"/>
  <c r="D563" i="23"/>
  <c r="R235" i="23"/>
  <c r="R79" i="23"/>
  <c r="D79" i="23"/>
  <c r="D65" i="23"/>
  <c r="R65" i="23"/>
  <c r="R613" i="23"/>
  <c r="D613" i="23"/>
  <c r="H613" i="23" s="1"/>
  <c r="R641" i="23"/>
  <c r="D641" i="23"/>
  <c r="R603" i="23"/>
  <c r="R623" i="23"/>
  <c r="R55" i="23"/>
  <c r="D55" i="23"/>
  <c r="H55" i="23" s="1"/>
  <c r="D165" i="23"/>
  <c r="R165" i="23"/>
  <c r="R129" i="23"/>
  <c r="R663" i="23"/>
  <c r="D663" i="23"/>
  <c r="H663" i="23" s="1"/>
  <c r="R419" i="23"/>
  <c r="D419" i="23"/>
  <c r="R575" i="23"/>
  <c r="D567" i="23"/>
  <c r="R567" i="23"/>
  <c r="D177" i="23"/>
  <c r="R177" i="23"/>
  <c r="R31" i="23"/>
  <c r="D31" i="23"/>
  <c r="R359" i="23"/>
  <c r="D137" i="23"/>
  <c r="R137" i="23"/>
  <c r="R639" i="23"/>
  <c r="D639" i="23"/>
  <c r="R403" i="23"/>
  <c r="R627" i="23"/>
  <c r="D7" i="23"/>
  <c r="H7" i="23" s="1"/>
  <c r="R7" i="23"/>
  <c r="D113" i="23"/>
  <c r="R113" i="23"/>
  <c r="R615" i="23"/>
  <c r="D615" i="23"/>
  <c r="R621" i="23"/>
  <c r="R367" i="23"/>
  <c r="D367" i="23"/>
  <c r="R319" i="23"/>
  <c r="D319" i="23"/>
  <c r="R159" i="23"/>
  <c r="D159" i="23"/>
  <c r="D41" i="23"/>
  <c r="H41" i="23" s="1"/>
  <c r="R41" i="23"/>
  <c r="R247" i="23"/>
  <c r="D89" i="23"/>
  <c r="R89" i="23"/>
  <c r="D583" i="23"/>
  <c r="R583" i="23"/>
  <c r="R547" i="23"/>
  <c r="R651" i="23"/>
  <c r="D519" i="23"/>
  <c r="R519" i="23"/>
  <c r="R451" i="23"/>
  <c r="R143" i="23"/>
  <c r="D143" i="23"/>
  <c r="H143" i="23" s="1"/>
  <c r="D135" i="23"/>
  <c r="R135" i="23"/>
  <c r="D17" i="23"/>
  <c r="H17" i="23" s="1"/>
  <c r="R17" i="23"/>
  <c r="R43" i="23"/>
  <c r="R115" i="23"/>
  <c r="R19" i="23"/>
  <c r="D535" i="23"/>
  <c r="R535" i="23"/>
  <c r="R407" i="23"/>
  <c r="R645" i="23"/>
  <c r="R507" i="23"/>
  <c r="R331" i="23"/>
  <c r="R125" i="23"/>
  <c r="D125" i="23"/>
  <c r="R161" i="23"/>
  <c r="D161" i="23"/>
  <c r="R243" i="23"/>
  <c r="D243" i="23"/>
  <c r="H243" i="23" s="1"/>
  <c r="D111" i="23"/>
  <c r="R111" i="23"/>
  <c r="R91" i="23"/>
  <c r="R9" i="23"/>
  <c r="R67" i="23"/>
  <c r="R33" i="23"/>
  <c r="V6" i="18"/>
  <c r="V15" i="18" s="1"/>
  <c r="V24" i="18" s="1"/>
  <c r="V33" i="18" s="1"/>
  <c r="V42" i="18" s="1"/>
  <c r="V51" i="18" s="1"/>
  <c r="V60" i="18" s="1"/>
  <c r="V69" i="18" s="1"/>
  <c r="J48" i="18"/>
  <c r="C521" i="19" s="1"/>
  <c r="J62" i="18"/>
  <c r="C535" i="19" s="1"/>
  <c r="J22" i="18"/>
  <c r="J38" i="18"/>
  <c r="J46" i="18"/>
  <c r="C519" i="19" s="1"/>
  <c r="J57" i="18"/>
  <c r="C530" i="19" s="1"/>
  <c r="J30" i="18"/>
  <c r="J17" i="18"/>
  <c r="J44" i="18"/>
  <c r="C517" i="19" s="1"/>
  <c r="J55" i="18"/>
  <c r="C528" i="19" s="1"/>
  <c r="J69" i="18"/>
  <c r="C542" i="19" s="1"/>
  <c r="J39" i="18"/>
  <c r="I50" i="18"/>
  <c r="B523" i="19" s="1"/>
  <c r="J58" i="18"/>
  <c r="C531" i="19" s="1"/>
  <c r="J34" i="18"/>
  <c r="J70" i="18"/>
  <c r="C543" i="19" s="1"/>
  <c r="J12" i="18"/>
  <c r="J29" i="18"/>
  <c r="J60" i="18"/>
  <c r="C533" i="19" s="1"/>
  <c r="J19" i="18"/>
  <c r="J24" i="18"/>
  <c r="J27" i="18"/>
  <c r="J40" i="18"/>
  <c r="C513" i="19" s="1"/>
  <c r="J42" i="18"/>
  <c r="C515" i="19" s="1"/>
  <c r="J45" i="18"/>
  <c r="C518" i="19" s="1"/>
  <c r="J47" i="18"/>
  <c r="C520" i="19" s="1"/>
  <c r="J66" i="18"/>
  <c r="C539" i="19" s="1"/>
  <c r="J71" i="18"/>
  <c r="C544" i="19" s="1"/>
  <c r="J37" i="18"/>
  <c r="J61" i="18"/>
  <c r="C534" i="19" s="1"/>
  <c r="J53" i="18"/>
  <c r="C526" i="19" s="1"/>
  <c r="J64" i="18"/>
  <c r="C537" i="19" s="1"/>
  <c r="J20" i="18"/>
  <c r="J25" i="18"/>
  <c r="J56" i="18"/>
  <c r="C529" i="19" s="1"/>
  <c r="J67" i="18"/>
  <c r="C540" i="19" s="1"/>
  <c r="J72" i="18"/>
  <c r="C545" i="19" s="1"/>
  <c r="J18" i="18"/>
  <c r="J28" i="18"/>
  <c r="J51" i="18"/>
  <c r="C524" i="19" s="1"/>
  <c r="J54" i="18"/>
  <c r="C527" i="19" s="1"/>
  <c r="J13" i="18"/>
  <c r="J9" i="18"/>
  <c r="J36" i="18"/>
  <c r="J52" i="18"/>
  <c r="C525" i="19" s="1"/>
  <c r="J21" i="18"/>
  <c r="J65" i="18"/>
  <c r="C538" i="19" s="1"/>
  <c r="J76" i="18"/>
  <c r="C549" i="19" s="1"/>
  <c r="I11" i="18"/>
  <c r="J11" i="18"/>
  <c r="B33" i="18"/>
  <c r="B52" i="18"/>
  <c r="I52" i="18" s="1"/>
  <c r="B525" i="19" s="1"/>
  <c r="I73" i="18"/>
  <c r="B546" i="19" s="1"/>
  <c r="I15" i="18"/>
  <c r="J63" i="18"/>
  <c r="C536" i="19" s="1"/>
  <c r="J15" i="18"/>
  <c r="J26" i="18"/>
  <c r="I18" i="18"/>
  <c r="J73" i="18"/>
  <c r="C546" i="19" s="1"/>
  <c r="I68" i="18"/>
  <c r="B541" i="19" s="1"/>
  <c r="I75" i="18"/>
  <c r="B548" i="19" s="1"/>
  <c r="V7" i="18"/>
  <c r="V16" i="18" s="1"/>
  <c r="V25" i="18" s="1"/>
  <c r="V34" i="18" s="1"/>
  <c r="V43" i="18" s="1"/>
  <c r="V52" i="18" s="1"/>
  <c r="V61" i="18" s="1"/>
  <c r="V70" i="18" s="1"/>
  <c r="V9" i="18"/>
  <c r="V18" i="18" s="1"/>
  <c r="V27" i="18" s="1"/>
  <c r="V36" i="18" s="1"/>
  <c r="V45" i="18" s="1"/>
  <c r="V54" i="18" s="1"/>
  <c r="V63" i="18" s="1"/>
  <c r="V72" i="18" s="1"/>
  <c r="V8" i="18"/>
  <c r="V17" i="18" s="1"/>
  <c r="V26" i="18" s="1"/>
  <c r="V35" i="18" s="1"/>
  <c r="V44" i="18" s="1"/>
  <c r="V53" i="18" s="1"/>
  <c r="V62" i="18" s="1"/>
  <c r="V71" i="18" s="1"/>
  <c r="I72" i="18"/>
  <c r="B545" i="19" s="1"/>
  <c r="B70" i="18"/>
  <c r="I70" i="18" s="1"/>
  <c r="B543" i="19" s="1"/>
  <c r="B76" i="18"/>
  <c r="I76" i="18" s="1"/>
  <c r="B549" i="19" s="1"/>
  <c r="I71" i="18"/>
  <c r="B544" i="19" s="1"/>
  <c r="I74" i="18"/>
  <c r="B547" i="19" s="1"/>
  <c r="I59" i="18"/>
  <c r="B532" i="19" s="1"/>
  <c r="I41" i="18"/>
  <c r="I32" i="18"/>
  <c r="I60" i="18"/>
  <c r="B533" i="19" s="1"/>
  <c r="I62" i="18"/>
  <c r="B535" i="19" s="1"/>
  <c r="I64" i="18"/>
  <c r="B537" i="19" s="1"/>
  <c r="I61" i="18"/>
  <c r="B534" i="19" s="1"/>
  <c r="I63" i="18"/>
  <c r="B536" i="19" s="1"/>
  <c r="I65" i="18"/>
  <c r="B538" i="19" s="1"/>
  <c r="I67" i="18"/>
  <c r="B540" i="19" s="1"/>
  <c r="I66" i="18"/>
  <c r="B539" i="19" s="1"/>
  <c r="I55" i="18"/>
  <c r="B528" i="19" s="1"/>
  <c r="I57" i="18"/>
  <c r="B530" i="19" s="1"/>
  <c r="I51" i="18"/>
  <c r="B524" i="19" s="1"/>
  <c r="I53" i="18"/>
  <c r="B526" i="19" s="1"/>
  <c r="I58" i="18"/>
  <c r="B531" i="19" s="1"/>
  <c r="I56" i="18"/>
  <c r="B529" i="19" s="1"/>
  <c r="I54" i="18"/>
  <c r="B527" i="19" s="1"/>
  <c r="I42" i="18"/>
  <c r="B515" i="19" s="1"/>
  <c r="I46" i="18"/>
  <c r="B519" i="19" s="1"/>
  <c r="I48" i="18"/>
  <c r="B521" i="19" s="1"/>
  <c r="I44" i="18"/>
  <c r="B517" i="19" s="1"/>
  <c r="I43" i="18"/>
  <c r="B516" i="19" s="1"/>
  <c r="I49" i="18"/>
  <c r="B522" i="19" s="1"/>
  <c r="I47" i="18"/>
  <c r="B520" i="19" s="1"/>
  <c r="I45" i="18"/>
  <c r="B518" i="19" s="1"/>
  <c r="I33" i="18"/>
  <c r="I37" i="18"/>
  <c r="I39" i="18"/>
  <c r="I35" i="18"/>
  <c r="I34" i="18"/>
  <c r="I40" i="18"/>
  <c r="I38" i="18"/>
  <c r="I36" i="18"/>
  <c r="I30" i="18"/>
  <c r="I24" i="18"/>
  <c r="I26" i="18"/>
  <c r="I28" i="18"/>
  <c r="I25" i="18"/>
  <c r="I29" i="18"/>
  <c r="I31" i="18"/>
  <c r="I23" i="18"/>
  <c r="I27" i="18"/>
  <c r="I17" i="18"/>
  <c r="I19" i="18"/>
  <c r="C494" i="19"/>
  <c r="I21" i="18"/>
  <c r="I16" i="18"/>
  <c r="I20" i="18"/>
  <c r="I22" i="18"/>
  <c r="B495" i="19" s="1"/>
  <c r="I14" i="18"/>
  <c r="I12" i="18"/>
  <c r="I13" i="18"/>
  <c r="I10" i="18"/>
  <c r="I9" i="18"/>
  <c r="N6" i="15"/>
  <c r="O6" i="15" s="1"/>
  <c r="N7" i="15"/>
  <c r="O7" i="15" s="1"/>
  <c r="N8" i="15"/>
  <c r="O8" i="15" s="1"/>
  <c r="N9" i="15"/>
  <c r="O9" i="15" s="1"/>
  <c r="N10" i="15"/>
  <c r="O10" i="15" s="1"/>
  <c r="N11" i="15"/>
  <c r="O11" i="15" s="1"/>
  <c r="N12" i="15"/>
  <c r="O12" i="15" s="1"/>
  <c r="N13" i="15"/>
  <c r="O13" i="15" s="1"/>
  <c r="N14" i="15"/>
  <c r="O14" i="15" s="1"/>
  <c r="N15" i="15"/>
  <c r="O15" i="15" s="1"/>
  <c r="N16" i="15"/>
  <c r="O16" i="15" s="1"/>
  <c r="N17" i="15"/>
  <c r="O17" i="15" s="1"/>
  <c r="N18" i="15"/>
  <c r="O18" i="15" s="1"/>
  <c r="N19" i="15"/>
  <c r="O19" i="15" s="1"/>
  <c r="N20" i="15"/>
  <c r="O20" i="15" s="1"/>
  <c r="N21" i="15"/>
  <c r="O21" i="15" s="1"/>
  <c r="N22" i="15"/>
  <c r="O22" i="15" s="1"/>
  <c r="N23" i="15"/>
  <c r="O23" i="15" s="1"/>
  <c r="N24" i="15"/>
  <c r="O24" i="15" s="1"/>
  <c r="N25" i="15"/>
  <c r="O25" i="15" s="1"/>
  <c r="N26" i="15"/>
  <c r="O26" i="15" s="1"/>
  <c r="N27" i="15"/>
  <c r="O27" i="15" s="1"/>
  <c r="N28" i="15"/>
  <c r="O28" i="15" s="1"/>
  <c r="N29" i="15"/>
  <c r="O29" i="15" s="1"/>
  <c r="N30" i="15"/>
  <c r="O30" i="15" s="1"/>
  <c r="N31" i="15"/>
  <c r="O31" i="15" s="1"/>
  <c r="N32" i="15"/>
  <c r="O32" i="15" s="1"/>
  <c r="N33" i="15"/>
  <c r="O33" i="15" s="1"/>
  <c r="N34" i="15"/>
  <c r="O34" i="15" s="1"/>
  <c r="N35" i="15"/>
  <c r="O35" i="15" s="1"/>
  <c r="N36" i="15"/>
  <c r="O36" i="15" s="1"/>
  <c r="N37" i="15"/>
  <c r="O37" i="15" s="1"/>
  <c r="N38" i="15"/>
  <c r="O38" i="15" s="1"/>
  <c r="N39" i="15"/>
  <c r="O39" i="15" s="1"/>
  <c r="N40" i="15"/>
  <c r="O40" i="15" s="1"/>
  <c r="N41" i="15"/>
  <c r="O41" i="15" s="1"/>
  <c r="N42" i="15"/>
  <c r="O42" i="15" s="1"/>
  <c r="N43" i="15"/>
  <c r="O43" i="15" s="1"/>
  <c r="N44" i="15"/>
  <c r="O44" i="15" s="1"/>
  <c r="N45" i="15"/>
  <c r="O45" i="15" s="1"/>
  <c r="N46" i="15"/>
  <c r="O46" i="15" s="1"/>
  <c r="N47" i="15"/>
  <c r="O47" i="15" s="1"/>
  <c r="N48" i="15"/>
  <c r="O48" i="15" s="1"/>
  <c r="N49" i="15"/>
  <c r="O49" i="15" s="1"/>
  <c r="N50" i="15"/>
  <c r="O50" i="15" s="1"/>
  <c r="N51" i="15"/>
  <c r="O51" i="15" s="1"/>
  <c r="N52" i="15"/>
  <c r="O52" i="15" s="1"/>
  <c r="N53" i="15"/>
  <c r="O53" i="15" s="1"/>
  <c r="N54" i="15"/>
  <c r="O54" i="15" s="1"/>
  <c r="N55" i="15"/>
  <c r="O55" i="15" s="1"/>
  <c r="N56" i="15"/>
  <c r="O56" i="15" s="1"/>
  <c r="N57" i="15"/>
  <c r="O57" i="15" s="1"/>
  <c r="N58" i="15"/>
  <c r="O58" i="15" s="1"/>
  <c r="N59" i="15"/>
  <c r="O59" i="15" s="1"/>
  <c r="N60" i="15"/>
  <c r="O60" i="15" s="1"/>
  <c r="N61" i="15"/>
  <c r="O61" i="15" s="1"/>
  <c r="N62" i="15"/>
  <c r="O62" i="15" s="1"/>
  <c r="N63" i="15"/>
  <c r="O63" i="15" s="1"/>
  <c r="N64" i="15"/>
  <c r="O64" i="15" s="1"/>
  <c r="N65" i="15"/>
  <c r="O65" i="15" s="1"/>
  <c r="N66" i="15"/>
  <c r="O66" i="15" s="1"/>
  <c r="N67" i="15"/>
  <c r="O67" i="15" s="1"/>
  <c r="N68" i="15"/>
  <c r="O68" i="15" s="1"/>
  <c r="N69" i="15"/>
  <c r="O69" i="15" s="1"/>
  <c r="N70" i="15"/>
  <c r="O70" i="15" s="1"/>
  <c r="N71" i="15"/>
  <c r="O71" i="15" s="1"/>
  <c r="N72" i="15"/>
  <c r="O72" i="15" s="1"/>
  <c r="N73" i="15"/>
  <c r="O73" i="15" s="1"/>
  <c r="N74" i="15"/>
  <c r="O74" i="15" s="1"/>
  <c r="N75" i="15"/>
  <c r="O75" i="15" s="1"/>
  <c r="N76" i="15"/>
  <c r="O76" i="15" s="1"/>
  <c r="N77" i="15"/>
  <c r="O77" i="15" s="1"/>
  <c r="N78" i="15"/>
  <c r="O78" i="15" s="1"/>
  <c r="N79" i="15"/>
  <c r="O79" i="15" s="1"/>
  <c r="N80" i="15"/>
  <c r="O80" i="15" s="1"/>
  <c r="N81" i="15"/>
  <c r="O81" i="15" s="1"/>
  <c r="N82" i="15"/>
  <c r="O82" i="15" s="1"/>
  <c r="N83" i="15"/>
  <c r="O83" i="15" s="1"/>
  <c r="N84" i="15"/>
  <c r="O84" i="15" s="1"/>
  <c r="N85" i="15"/>
  <c r="O85" i="15" s="1"/>
  <c r="N86" i="15"/>
  <c r="O86" i="15" s="1"/>
  <c r="N87" i="15"/>
  <c r="O87" i="15" s="1"/>
  <c r="N88" i="15"/>
  <c r="O88" i="15" s="1"/>
  <c r="N89" i="15"/>
  <c r="O89" i="15" s="1"/>
  <c r="N90" i="15"/>
  <c r="O90" i="15" s="1"/>
  <c r="N91" i="15"/>
  <c r="O91" i="15" s="1"/>
  <c r="N92" i="15"/>
  <c r="O92" i="15" s="1"/>
  <c r="N93" i="15"/>
  <c r="O93" i="15" s="1"/>
  <c r="N94" i="15"/>
  <c r="O94" i="15" s="1"/>
  <c r="N97" i="15"/>
  <c r="O97" i="15" s="1"/>
  <c r="N100" i="15"/>
  <c r="O100" i="15" s="1"/>
  <c r="N103" i="15"/>
  <c r="O103" i="15" s="1"/>
  <c r="N106" i="15"/>
  <c r="O106" i="15" s="1"/>
  <c r="N109" i="15"/>
  <c r="O109" i="15" s="1"/>
  <c r="N112" i="15"/>
  <c r="O112" i="15" s="1"/>
  <c r="N115" i="15"/>
  <c r="O115" i="15" s="1"/>
  <c r="N118" i="15"/>
  <c r="O118" i="15" s="1"/>
  <c r="N121" i="15"/>
  <c r="O121" i="15" s="1"/>
  <c r="N124" i="15"/>
  <c r="O124" i="15" s="1"/>
  <c r="N127" i="15"/>
  <c r="O127" i="15" s="1"/>
  <c r="N130" i="15"/>
  <c r="O130" i="15" s="1"/>
  <c r="N133" i="15"/>
  <c r="O133" i="15" s="1"/>
  <c r="N136" i="15"/>
  <c r="O136" i="15" s="1"/>
  <c r="N139" i="15"/>
  <c r="O139" i="15" s="1"/>
  <c r="N142" i="15"/>
  <c r="O142" i="15" s="1"/>
  <c r="N145" i="15"/>
  <c r="O145" i="15" s="1"/>
  <c r="N148" i="15"/>
  <c r="O148" i="15" s="1"/>
  <c r="N151" i="15"/>
  <c r="O151" i="15" s="1"/>
  <c r="N154" i="15"/>
  <c r="O154" i="15" s="1"/>
  <c r="N157" i="15"/>
  <c r="O157" i="15" s="1"/>
  <c r="N160" i="15"/>
  <c r="O160" i="15" s="1"/>
  <c r="N163" i="15"/>
  <c r="O163" i="15" s="1"/>
  <c r="N166" i="15"/>
  <c r="O166" i="15" s="1"/>
  <c r="N169" i="15"/>
  <c r="O169" i="15" s="1"/>
  <c r="N172" i="15"/>
  <c r="O172" i="15" s="1"/>
  <c r="N175" i="15"/>
  <c r="O175" i="15" s="1"/>
  <c r="N178" i="15"/>
  <c r="O178" i="15" s="1"/>
  <c r="N181" i="15"/>
  <c r="O181" i="15" s="1"/>
  <c r="N184" i="15"/>
  <c r="O184" i="15" s="1"/>
  <c r="N187" i="15"/>
  <c r="O187" i="15" s="1"/>
  <c r="N190" i="15"/>
  <c r="O190" i="15" s="1"/>
  <c r="N193" i="15"/>
  <c r="O193" i="15" s="1"/>
  <c r="N196" i="15"/>
  <c r="O196" i="15" s="1"/>
  <c r="N199" i="15"/>
  <c r="O199" i="15" s="1"/>
  <c r="N202" i="15"/>
  <c r="O202" i="15" s="1"/>
  <c r="N205" i="15"/>
  <c r="O205" i="15" s="1"/>
  <c r="N208" i="15"/>
  <c r="O208" i="15" s="1"/>
  <c r="N211" i="15"/>
  <c r="O211" i="15" s="1"/>
  <c r="N214" i="15"/>
  <c r="O214" i="15" s="1"/>
  <c r="N217" i="15"/>
  <c r="O217" i="15" s="1"/>
  <c r="N220" i="15"/>
  <c r="O220" i="15" s="1"/>
  <c r="N223" i="15"/>
  <c r="O223" i="15" s="1"/>
  <c r="N226" i="15"/>
  <c r="O226" i="15" s="1"/>
  <c r="N229" i="15"/>
  <c r="O229" i="15" s="1"/>
  <c r="N232" i="15"/>
  <c r="O232" i="15" s="1"/>
  <c r="N235" i="15"/>
  <c r="O235" i="15" s="1"/>
  <c r="N238" i="15"/>
  <c r="O238" i="15" s="1"/>
  <c r="N241" i="15"/>
  <c r="O241" i="15" s="1"/>
  <c r="N244" i="15"/>
  <c r="O244" i="15" s="1"/>
  <c r="N247" i="15"/>
  <c r="O247" i="15" s="1"/>
  <c r="N250" i="15"/>
  <c r="O250" i="15" s="1"/>
  <c r="N253" i="15"/>
  <c r="O253" i="15" s="1"/>
  <c r="N256" i="15"/>
  <c r="O256" i="15" s="1"/>
  <c r="N259" i="15"/>
  <c r="O259" i="15" s="1"/>
  <c r="N262" i="15"/>
  <c r="O262" i="15" s="1"/>
  <c r="N265" i="15"/>
  <c r="O265" i="15" s="1"/>
  <c r="N268" i="15"/>
  <c r="O268" i="15" s="1"/>
  <c r="N271" i="15"/>
  <c r="O271" i="15" s="1"/>
  <c r="N274" i="15"/>
  <c r="O274" i="15" s="1"/>
  <c r="N277" i="15"/>
  <c r="O277" i="15" s="1"/>
  <c r="N280" i="15"/>
  <c r="O280" i="15" s="1"/>
  <c r="N283" i="15"/>
  <c r="O283" i="15" s="1"/>
  <c r="N286" i="15"/>
  <c r="O286" i="15" s="1"/>
  <c r="N289" i="15"/>
  <c r="O289" i="15" s="1"/>
  <c r="N292" i="15"/>
  <c r="O292" i="15" s="1"/>
  <c r="N295" i="15"/>
  <c r="O295" i="15" s="1"/>
  <c r="N298" i="15"/>
  <c r="O298" i="15" s="1"/>
  <c r="N301" i="15"/>
  <c r="O301" i="15" s="1"/>
  <c r="N304" i="15"/>
  <c r="O304" i="15" s="1"/>
  <c r="N307" i="15"/>
  <c r="O307" i="15" s="1"/>
  <c r="N310" i="15"/>
  <c r="O310" i="15" s="1"/>
  <c r="N313" i="15"/>
  <c r="O313" i="15" s="1"/>
  <c r="N316" i="15"/>
  <c r="O316" i="15" s="1"/>
  <c r="N319" i="15"/>
  <c r="O319" i="15" s="1"/>
  <c r="N322" i="15"/>
  <c r="O322" i="15" s="1"/>
  <c r="N325" i="15"/>
  <c r="O325" i="15" s="1"/>
  <c r="N328" i="15"/>
  <c r="O328" i="15" s="1"/>
  <c r="N331" i="15"/>
  <c r="O331" i="15" s="1"/>
  <c r="N334" i="15"/>
  <c r="O334" i="15" s="1"/>
  <c r="N337" i="15"/>
  <c r="O337" i="15" s="1"/>
  <c r="N340" i="15"/>
  <c r="O340" i="15" s="1"/>
  <c r="N343" i="15"/>
  <c r="O343" i="15" s="1"/>
  <c r="N346" i="15"/>
  <c r="O346" i="15" s="1"/>
  <c r="N349" i="15"/>
  <c r="O349" i="15" s="1"/>
  <c r="N352" i="15"/>
  <c r="O352" i="15" s="1"/>
  <c r="N355" i="15"/>
  <c r="O355" i="15" s="1"/>
  <c r="N358" i="15"/>
  <c r="O358" i="15" s="1"/>
  <c r="N361" i="15"/>
  <c r="O361" i="15" s="1"/>
  <c r="N364" i="15"/>
  <c r="O364" i="15" s="1"/>
  <c r="N367" i="15"/>
  <c r="O367" i="15" s="1"/>
  <c r="N370" i="15"/>
  <c r="O370" i="15" s="1"/>
  <c r="N373" i="15"/>
  <c r="O373" i="15" s="1"/>
  <c r="N376" i="15"/>
  <c r="O376" i="15" s="1"/>
  <c r="N379" i="15"/>
  <c r="O379" i="15" s="1"/>
  <c r="N382" i="15"/>
  <c r="O382" i="15" s="1"/>
  <c r="N385" i="15"/>
  <c r="O385" i="15" s="1"/>
  <c r="N388" i="15"/>
  <c r="O388" i="15" s="1"/>
  <c r="N391" i="15"/>
  <c r="O391" i="15" s="1"/>
  <c r="N394" i="15"/>
  <c r="O394" i="15" s="1"/>
  <c r="N397" i="15"/>
  <c r="O397" i="15" s="1"/>
  <c r="N400" i="15"/>
  <c r="O400" i="15" s="1"/>
  <c r="N403" i="15"/>
  <c r="O403" i="15" s="1"/>
  <c r="N406" i="15"/>
  <c r="O406" i="15" s="1"/>
  <c r="N409" i="15"/>
  <c r="O409" i="15" s="1"/>
  <c r="N412" i="15"/>
  <c r="O412" i="15" s="1"/>
  <c r="N415" i="15"/>
  <c r="O415" i="15" s="1"/>
  <c r="N418" i="15"/>
  <c r="O418" i="15" s="1"/>
  <c r="N419" i="15"/>
  <c r="O419" i="15" s="1"/>
  <c r="N420" i="15"/>
  <c r="O420" i="15" s="1"/>
  <c r="N421" i="15"/>
  <c r="O421" i="15" s="1"/>
  <c r="N422" i="15"/>
  <c r="O422" i="15" s="1"/>
  <c r="N423" i="15"/>
  <c r="O423" i="15" s="1"/>
  <c r="N424" i="15"/>
  <c r="O424" i="15" s="1"/>
  <c r="N425" i="15"/>
  <c r="O425" i="15" s="1"/>
  <c r="N426" i="15"/>
  <c r="O426" i="15" s="1"/>
  <c r="N427" i="15"/>
  <c r="O427" i="15" s="1"/>
  <c r="N428" i="15"/>
  <c r="O428" i="15" s="1"/>
  <c r="N429" i="15"/>
  <c r="O429" i="15" s="1"/>
  <c r="N430" i="15"/>
  <c r="O430" i="15" s="1"/>
  <c r="N431" i="15"/>
  <c r="O431" i="15" s="1"/>
  <c r="N432" i="15"/>
  <c r="O432" i="15" s="1"/>
  <c r="N433" i="15"/>
  <c r="O433" i="15" s="1"/>
  <c r="N434" i="15"/>
  <c r="O434" i="15" s="1"/>
  <c r="N435" i="15"/>
  <c r="O435" i="15" s="1"/>
  <c r="N436" i="15"/>
  <c r="O436" i="15" s="1"/>
  <c r="N437" i="15"/>
  <c r="O437" i="15" s="1"/>
  <c r="N438" i="15"/>
  <c r="O438" i="15" s="1"/>
  <c r="N439" i="15"/>
  <c r="O439" i="15" s="1"/>
  <c r="N440" i="15"/>
  <c r="O440" i="15" s="1"/>
  <c r="N441" i="15"/>
  <c r="O441" i="15" s="1"/>
  <c r="N442" i="15"/>
  <c r="O442" i="15" s="1"/>
  <c r="N443" i="15"/>
  <c r="O443" i="15" s="1"/>
  <c r="N444" i="15"/>
  <c r="O444" i="15" s="1"/>
  <c r="N445" i="15"/>
  <c r="O445" i="15" s="1"/>
  <c r="N446" i="15"/>
  <c r="O446" i="15" s="1"/>
  <c r="N447" i="15"/>
  <c r="O447" i="15" s="1"/>
  <c r="N448" i="15"/>
  <c r="O448" i="15" s="1"/>
  <c r="N449" i="15"/>
  <c r="O449" i="15" s="1"/>
  <c r="N450" i="15"/>
  <c r="O450" i="15" s="1"/>
  <c r="N451" i="15"/>
  <c r="O451" i="15" s="1"/>
  <c r="N452" i="15"/>
  <c r="O452" i="15" s="1"/>
  <c r="N453" i="15"/>
  <c r="O453" i="15" s="1"/>
  <c r="N454" i="15"/>
  <c r="O454" i="15" s="1"/>
  <c r="N455" i="15"/>
  <c r="O455" i="15" s="1"/>
  <c r="N456" i="15"/>
  <c r="O456" i="15" s="1"/>
  <c r="N457" i="15"/>
  <c r="O457" i="15" s="1"/>
  <c r="N458" i="15"/>
  <c r="O458" i="15" s="1"/>
  <c r="N459" i="15"/>
  <c r="O459" i="15" s="1"/>
  <c r="N460" i="15"/>
  <c r="O460" i="15" s="1"/>
  <c r="N461" i="15"/>
  <c r="O461" i="15" s="1"/>
  <c r="N462" i="15"/>
  <c r="O462" i="15" s="1"/>
  <c r="N463" i="15"/>
  <c r="O463" i="15" s="1"/>
  <c r="N464" i="15"/>
  <c r="O464" i="15" s="1"/>
  <c r="N465" i="15"/>
  <c r="O465" i="15" s="1"/>
  <c r="N466" i="15"/>
  <c r="O466" i="15" s="1"/>
  <c r="N467" i="15"/>
  <c r="O467" i="15" s="1"/>
  <c r="N468" i="15"/>
  <c r="O468" i="15" s="1"/>
  <c r="N469" i="15"/>
  <c r="O469" i="15" s="1"/>
  <c r="N470" i="15"/>
  <c r="O470" i="15" s="1"/>
  <c r="N471" i="15"/>
  <c r="O471" i="15" s="1"/>
  <c r="N472" i="15"/>
  <c r="O472" i="15" s="1"/>
  <c r="N473" i="15"/>
  <c r="O473" i="15" s="1"/>
  <c r="N474" i="15"/>
  <c r="O474" i="15" s="1"/>
  <c r="N475" i="15"/>
  <c r="O475" i="15" s="1"/>
  <c r="N476" i="15"/>
  <c r="O476" i="15" s="1"/>
  <c r="N477" i="15"/>
  <c r="O477" i="15" s="1"/>
  <c r="N478" i="15"/>
  <c r="O478" i="15" s="1"/>
  <c r="N479" i="15"/>
  <c r="O479" i="15" s="1"/>
  <c r="N480" i="15"/>
  <c r="O480" i="15" s="1"/>
  <c r="N481" i="15"/>
  <c r="O481" i="15" s="1"/>
  <c r="N482" i="15"/>
  <c r="O482" i="15" s="1"/>
  <c r="N483" i="15"/>
  <c r="O483" i="15" s="1"/>
  <c r="N484" i="15"/>
  <c r="O484" i="15" s="1"/>
  <c r="N485" i="15"/>
  <c r="O485" i="15" s="1"/>
  <c r="N486" i="15"/>
  <c r="O486" i="15" s="1"/>
  <c r="N487" i="15"/>
  <c r="O487" i="15" s="1"/>
  <c r="N488" i="15"/>
  <c r="O488" i="15" s="1"/>
  <c r="N489" i="15"/>
  <c r="O489" i="15" s="1"/>
  <c r="N490" i="15"/>
  <c r="O490" i="15" s="1"/>
  <c r="N491" i="15"/>
  <c r="O491" i="15" s="1"/>
  <c r="N492" i="15"/>
  <c r="O492" i="15" s="1"/>
  <c r="N493" i="15"/>
  <c r="O493" i="15" s="1"/>
  <c r="N494" i="15"/>
  <c r="O494" i="15" s="1"/>
  <c r="N495" i="15"/>
  <c r="O495" i="15" s="1"/>
  <c r="N496" i="15"/>
  <c r="O496" i="15" s="1"/>
  <c r="N497" i="15"/>
  <c r="O497" i="15" s="1"/>
  <c r="N498" i="15"/>
  <c r="O498" i="15" s="1"/>
  <c r="N499" i="15"/>
  <c r="O499" i="15" s="1"/>
  <c r="N500" i="15"/>
  <c r="O500" i="15" s="1"/>
  <c r="N501" i="15"/>
  <c r="O501" i="15" s="1"/>
  <c r="N502" i="15"/>
  <c r="O502" i="15" s="1"/>
  <c r="N503" i="15"/>
  <c r="O503" i="15" s="1"/>
  <c r="N504" i="15"/>
  <c r="O504" i="15" s="1"/>
  <c r="N505" i="15"/>
  <c r="O505" i="15" s="1"/>
  <c r="N506" i="15"/>
  <c r="O506" i="15" s="1"/>
  <c r="N507" i="15"/>
  <c r="O507" i="15" s="1"/>
  <c r="N508" i="15"/>
  <c r="O508" i="15" s="1"/>
  <c r="N509" i="15"/>
  <c r="O509" i="15" s="1"/>
  <c r="N510" i="15"/>
  <c r="O510" i="15" s="1"/>
  <c r="N511" i="15"/>
  <c r="O511" i="15" s="1"/>
  <c r="N512" i="15"/>
  <c r="O512" i="15" s="1"/>
  <c r="N513" i="15"/>
  <c r="O513" i="15" s="1"/>
  <c r="N514" i="15"/>
  <c r="O514" i="15" s="1"/>
  <c r="N515" i="15"/>
  <c r="O515" i="15" s="1"/>
  <c r="N516" i="15"/>
  <c r="O516" i="15" s="1"/>
  <c r="N517" i="15"/>
  <c r="O517" i="15" s="1"/>
  <c r="N518" i="15"/>
  <c r="O518" i="15" s="1"/>
  <c r="N519" i="15"/>
  <c r="O519" i="15" s="1"/>
  <c r="N520" i="15"/>
  <c r="O520" i="15" s="1"/>
  <c r="N521" i="15"/>
  <c r="O521" i="15" s="1"/>
  <c r="N522" i="15"/>
  <c r="O522" i="15" s="1"/>
  <c r="N523" i="15"/>
  <c r="O523" i="15" s="1"/>
  <c r="N524" i="15"/>
  <c r="O524" i="15" s="1"/>
  <c r="N525" i="15"/>
  <c r="O525" i="15" s="1"/>
  <c r="N526" i="15"/>
  <c r="O526" i="15" s="1"/>
  <c r="N527" i="15"/>
  <c r="O527" i="15" s="1"/>
  <c r="N528" i="15"/>
  <c r="O528" i="15" s="1"/>
  <c r="N529" i="15"/>
  <c r="O529" i="15" s="1"/>
  <c r="N530" i="15"/>
  <c r="O530" i="15" s="1"/>
  <c r="N531" i="15"/>
  <c r="O531" i="15" s="1"/>
  <c r="N534" i="15"/>
  <c r="O534" i="15" s="1"/>
  <c r="N537" i="15"/>
  <c r="O537" i="15" s="1"/>
  <c r="N540" i="15"/>
  <c r="O540" i="15" s="1"/>
  <c r="N543" i="15"/>
  <c r="O543" i="15" s="1"/>
  <c r="N546" i="15"/>
  <c r="O546" i="15" s="1"/>
  <c r="N549" i="15"/>
  <c r="O549" i="15" s="1"/>
  <c r="N552" i="15"/>
  <c r="O552" i="15" s="1"/>
  <c r="N555" i="15"/>
  <c r="O555" i="15" s="1"/>
  <c r="N558" i="15"/>
  <c r="O558" i="15" s="1"/>
  <c r="N561" i="15"/>
  <c r="O561" i="15" s="1"/>
  <c r="N564" i="15"/>
  <c r="O564" i="15" s="1"/>
  <c r="N567" i="15"/>
  <c r="O567" i="15" s="1"/>
  <c r="N570" i="15"/>
  <c r="O570" i="15" s="1"/>
  <c r="N573" i="15"/>
  <c r="O573" i="15" s="1"/>
  <c r="N576" i="15"/>
  <c r="O576" i="15" s="1"/>
  <c r="N579" i="15"/>
  <c r="O579" i="15" s="1"/>
  <c r="N582" i="15"/>
  <c r="O582" i="15" s="1"/>
  <c r="N585" i="15"/>
  <c r="O585" i="15" s="1"/>
  <c r="N588" i="15"/>
  <c r="O588" i="15" s="1"/>
  <c r="N591" i="15"/>
  <c r="O591" i="15" s="1"/>
  <c r="N594" i="15"/>
  <c r="O594" i="15" s="1"/>
  <c r="N597" i="15"/>
  <c r="O597" i="15" s="1"/>
  <c r="N600" i="15"/>
  <c r="O600" i="15" s="1"/>
  <c r="N603" i="15"/>
  <c r="O603" i="15" s="1"/>
  <c r="N606" i="15"/>
  <c r="O606" i="15" s="1"/>
  <c r="N609" i="15"/>
  <c r="O609" i="15" s="1"/>
  <c r="N612" i="15"/>
  <c r="O612" i="15" s="1"/>
  <c r="N615" i="15"/>
  <c r="O615" i="15" s="1"/>
  <c r="N618" i="15"/>
  <c r="O618" i="15" s="1"/>
  <c r="N621" i="15"/>
  <c r="O621" i="15" s="1"/>
  <c r="N624" i="15"/>
  <c r="O624" i="15" s="1"/>
  <c r="N627" i="15"/>
  <c r="O627" i="15" s="1"/>
  <c r="N630" i="15"/>
  <c r="O630" i="15" s="1"/>
  <c r="N633" i="15"/>
  <c r="O633" i="15" s="1"/>
  <c r="N636" i="15"/>
  <c r="O636" i="15" s="1"/>
  <c r="N639" i="15"/>
  <c r="O639" i="15" s="1"/>
  <c r="N642" i="15"/>
  <c r="O642" i="15" s="1"/>
  <c r="N645" i="15"/>
  <c r="O645" i="15" s="1"/>
  <c r="N648" i="15"/>
  <c r="O648" i="15" s="1"/>
  <c r="N651" i="15"/>
  <c r="O651" i="15" s="1"/>
  <c r="N654" i="15"/>
  <c r="O654" i="15" s="1"/>
  <c r="N657" i="15"/>
  <c r="O657" i="15" s="1"/>
  <c r="N660" i="15"/>
  <c r="O660" i="15" s="1"/>
  <c r="N663" i="15"/>
  <c r="O663" i="15" s="1"/>
  <c r="N666" i="15"/>
  <c r="O666" i="15" s="1"/>
  <c r="N669" i="15"/>
  <c r="O669" i="15" s="1"/>
  <c r="N672" i="15"/>
  <c r="O672" i="15" s="1"/>
  <c r="N675" i="15"/>
  <c r="O675" i="15" s="1"/>
  <c r="N678" i="15"/>
  <c r="O678" i="15" s="1"/>
  <c r="N681" i="15"/>
  <c r="O681" i="15" s="1"/>
  <c r="N684" i="15"/>
  <c r="O684" i="15" s="1"/>
  <c r="N687" i="15"/>
  <c r="O687" i="15" s="1"/>
  <c r="N690" i="15"/>
  <c r="O690" i="15" s="1"/>
  <c r="N693" i="15"/>
  <c r="O693" i="15" s="1"/>
  <c r="N696" i="15"/>
  <c r="O696" i="15" s="1"/>
  <c r="N699" i="15"/>
  <c r="O699" i="15" s="1"/>
  <c r="N702" i="15"/>
  <c r="O702" i="15" s="1"/>
  <c r="N705" i="15"/>
  <c r="O705" i="15" s="1"/>
  <c r="N708" i="15"/>
  <c r="O708" i="15" s="1"/>
  <c r="N711" i="15"/>
  <c r="O711" i="15" s="1"/>
  <c r="N714" i="15"/>
  <c r="O714" i="15" s="1"/>
  <c r="N717" i="15"/>
  <c r="O717" i="15" s="1"/>
  <c r="N720" i="15"/>
  <c r="O720" i="15" s="1"/>
  <c r="N723" i="15"/>
  <c r="O723" i="15" s="1"/>
  <c r="N726" i="15"/>
  <c r="O726" i="15" s="1"/>
  <c r="N729" i="15"/>
  <c r="O729" i="15" s="1"/>
  <c r="N732" i="15"/>
  <c r="O732" i="15" s="1"/>
  <c r="N735" i="15"/>
  <c r="O735" i="15" s="1"/>
  <c r="N738" i="15"/>
  <c r="O738" i="15" s="1"/>
  <c r="N741" i="15"/>
  <c r="O741" i="15" s="1"/>
  <c r="N744" i="15"/>
  <c r="O744" i="15" s="1"/>
  <c r="N747" i="15"/>
  <c r="O747" i="15" s="1"/>
  <c r="N750" i="15"/>
  <c r="O750" i="15" s="1"/>
  <c r="N753" i="15"/>
  <c r="O753" i="15" s="1"/>
  <c r="N756" i="15"/>
  <c r="O756" i="15" s="1"/>
  <c r="N759" i="15"/>
  <c r="O759" i="15" s="1"/>
  <c r="N762" i="15"/>
  <c r="O762" i="15" s="1"/>
  <c r="N765" i="15"/>
  <c r="O765" i="15" s="1"/>
  <c r="N768" i="15"/>
  <c r="O768" i="15" s="1"/>
  <c r="N771" i="15"/>
  <c r="O771" i="15" s="1"/>
  <c r="N774" i="15"/>
  <c r="O774" i="15" s="1"/>
  <c r="N777" i="15"/>
  <c r="O777" i="15" s="1"/>
  <c r="N780" i="15"/>
  <c r="O780" i="15" s="1"/>
  <c r="N783" i="15"/>
  <c r="O783" i="15" s="1"/>
  <c r="N786" i="15"/>
  <c r="O786" i="15" s="1"/>
  <c r="N789" i="15"/>
  <c r="O789" i="15" s="1"/>
  <c r="N792" i="15"/>
  <c r="O792" i="15" s="1"/>
  <c r="N795" i="15"/>
  <c r="O795" i="15" s="1"/>
  <c r="N798" i="15"/>
  <c r="O798" i="15" s="1"/>
  <c r="N801" i="15"/>
  <c r="O801" i="15" s="1"/>
  <c r="N804" i="15"/>
  <c r="O804" i="15" s="1"/>
  <c r="N807" i="15"/>
  <c r="O807" i="15" s="1"/>
  <c r="N810" i="15"/>
  <c r="O810" i="15" s="1"/>
  <c r="N813" i="15"/>
  <c r="O813" i="15" s="1"/>
  <c r="N816" i="15"/>
  <c r="O816" i="15" s="1"/>
  <c r="N819" i="15"/>
  <c r="O819" i="15" s="1"/>
  <c r="N822" i="15"/>
  <c r="O822" i="15" s="1"/>
  <c r="N825" i="15"/>
  <c r="O825" i="15" s="1"/>
  <c r="N828" i="15"/>
  <c r="O828" i="15" s="1"/>
  <c r="N831" i="15"/>
  <c r="O831" i="15" s="1"/>
  <c r="N834" i="15"/>
  <c r="O834" i="15" s="1"/>
  <c r="N837" i="15"/>
  <c r="O837" i="15" s="1"/>
  <c r="N840" i="15"/>
  <c r="O840" i="15" s="1"/>
  <c r="N843" i="15"/>
  <c r="O843" i="15" s="1"/>
  <c r="N844" i="15"/>
  <c r="O844" i="15" s="1"/>
  <c r="N845" i="15"/>
  <c r="O845" i="15" s="1"/>
  <c r="N846" i="15"/>
  <c r="O846" i="15" s="1"/>
  <c r="N847" i="15"/>
  <c r="O847" i="15" s="1"/>
  <c r="N848" i="15"/>
  <c r="O848" i="15" s="1"/>
  <c r="N849" i="15"/>
  <c r="O849" i="15" s="1"/>
  <c r="N850" i="15"/>
  <c r="O850" i="15" s="1"/>
  <c r="N851" i="15"/>
  <c r="O851" i="15" s="1"/>
  <c r="N852" i="15"/>
  <c r="O852" i="15" s="1"/>
  <c r="N853" i="15"/>
  <c r="O853" i="15" s="1"/>
  <c r="N854" i="15"/>
  <c r="O854" i="15" s="1"/>
  <c r="N855" i="15"/>
  <c r="O855" i="15" s="1"/>
  <c r="N856" i="15"/>
  <c r="O856" i="15" s="1"/>
  <c r="N857" i="15"/>
  <c r="O857" i="15" s="1"/>
  <c r="N858" i="15"/>
  <c r="O858" i="15" s="1"/>
  <c r="N859" i="15"/>
  <c r="O859" i="15" s="1"/>
  <c r="N860" i="15"/>
  <c r="O860" i="15" s="1"/>
  <c r="N861" i="15"/>
  <c r="O861" i="15" s="1"/>
  <c r="N862" i="15"/>
  <c r="O862" i="15" s="1"/>
  <c r="N863" i="15"/>
  <c r="O863" i="15" s="1"/>
  <c r="N864" i="15"/>
  <c r="O864" i="15" s="1"/>
  <c r="N865" i="15"/>
  <c r="O865" i="15" s="1"/>
  <c r="N866" i="15"/>
  <c r="O866" i="15" s="1"/>
  <c r="N867" i="15"/>
  <c r="O867" i="15" s="1"/>
  <c r="N868" i="15"/>
  <c r="O868" i="15" s="1"/>
  <c r="N869" i="15"/>
  <c r="O869" i="15" s="1"/>
  <c r="N870" i="15"/>
  <c r="O870" i="15" s="1"/>
  <c r="N871" i="15"/>
  <c r="O871" i="15" s="1"/>
  <c r="H129" i="17"/>
  <c r="I129" i="17"/>
  <c r="H130" i="17"/>
  <c r="I130" i="17"/>
  <c r="H131" i="17"/>
  <c r="I131" i="17"/>
  <c r="H132" i="17"/>
  <c r="I132" i="17"/>
  <c r="H133" i="17"/>
  <c r="I133" i="17"/>
  <c r="H134" i="17"/>
  <c r="I134" i="17"/>
  <c r="H135" i="17"/>
  <c r="I135" i="17"/>
  <c r="H136" i="17"/>
  <c r="I136" i="17"/>
  <c r="H137" i="17"/>
  <c r="I137" i="17"/>
  <c r="H138" i="17"/>
  <c r="I138" i="17"/>
  <c r="H139" i="17"/>
  <c r="I139" i="17"/>
  <c r="H140" i="17"/>
  <c r="I140" i="17"/>
  <c r="H141" i="17"/>
  <c r="I141" i="17"/>
  <c r="H142" i="17"/>
  <c r="I142" i="17"/>
  <c r="H143" i="17"/>
  <c r="I143" i="17"/>
  <c r="H144" i="17"/>
  <c r="I144" i="17"/>
  <c r="H145" i="17"/>
  <c r="I145" i="17"/>
  <c r="H146" i="17"/>
  <c r="I146" i="17"/>
  <c r="H147" i="17"/>
  <c r="I147" i="17"/>
  <c r="H148" i="17"/>
  <c r="I148" i="17"/>
  <c r="H149" i="17"/>
  <c r="I149" i="17"/>
  <c r="H150" i="17"/>
  <c r="I150" i="17"/>
  <c r="H151" i="17"/>
  <c r="I151" i="17"/>
  <c r="H152" i="17"/>
  <c r="I152" i="17"/>
  <c r="H153" i="17"/>
  <c r="I153" i="17"/>
  <c r="H154" i="17"/>
  <c r="I154" i="17"/>
  <c r="H155" i="17"/>
  <c r="I155" i="17"/>
  <c r="H156" i="17"/>
  <c r="I156" i="17"/>
  <c r="H157" i="17"/>
  <c r="I157" i="17"/>
  <c r="H158" i="17"/>
  <c r="I158" i="17"/>
  <c r="H159" i="17"/>
  <c r="I159" i="17"/>
  <c r="H160" i="17"/>
  <c r="I160" i="17"/>
  <c r="H161" i="17"/>
  <c r="I161" i="17"/>
  <c r="H162" i="17"/>
  <c r="I162" i="17"/>
  <c r="H163" i="17"/>
  <c r="I163" i="17"/>
  <c r="H164" i="17"/>
  <c r="I164" i="17"/>
  <c r="H165" i="17"/>
  <c r="I165" i="17"/>
  <c r="H166" i="17"/>
  <c r="I166" i="17"/>
  <c r="H167" i="17"/>
  <c r="I167" i="17"/>
  <c r="H168" i="17"/>
  <c r="I168" i="17"/>
  <c r="H169" i="17"/>
  <c r="I169" i="17"/>
  <c r="H170" i="17"/>
  <c r="I170" i="17"/>
  <c r="H171" i="17"/>
  <c r="I171" i="17"/>
  <c r="H172" i="17"/>
  <c r="I172" i="17"/>
  <c r="H173" i="17"/>
  <c r="I173" i="17"/>
  <c r="H174" i="17"/>
  <c r="I174" i="17"/>
  <c r="H175" i="17"/>
  <c r="I175" i="17"/>
  <c r="H176" i="17"/>
  <c r="I176" i="17"/>
  <c r="H177" i="17"/>
  <c r="I177" i="17"/>
  <c r="H178" i="17"/>
  <c r="I178" i="17"/>
  <c r="H179" i="17"/>
  <c r="I179" i="17"/>
  <c r="H180" i="17"/>
  <c r="I180" i="17"/>
  <c r="H181" i="17"/>
  <c r="I181" i="17"/>
  <c r="H182" i="17"/>
  <c r="I182" i="17"/>
  <c r="H183" i="17"/>
  <c r="I183" i="17"/>
  <c r="H184" i="17"/>
  <c r="I184" i="17"/>
  <c r="O130" i="17"/>
  <c r="O131" i="17"/>
  <c r="O132" i="17"/>
  <c r="O133" i="17"/>
  <c r="O134" i="17"/>
  <c r="O135" i="17"/>
  <c r="O136" i="17"/>
  <c r="O137" i="17"/>
  <c r="O138" i="17"/>
  <c r="O139" i="17"/>
  <c r="O140" i="17"/>
  <c r="O141" i="17"/>
  <c r="O142" i="17"/>
  <c r="O143" i="17"/>
  <c r="O144" i="17"/>
  <c r="O145" i="17"/>
  <c r="O146" i="17"/>
  <c r="O147" i="17"/>
  <c r="O148" i="17"/>
  <c r="O149" i="17"/>
  <c r="O150" i="17"/>
  <c r="O151" i="17"/>
  <c r="O152" i="17"/>
  <c r="O153" i="17"/>
  <c r="O154" i="17"/>
  <c r="O155" i="17"/>
  <c r="O156" i="17"/>
  <c r="O157" i="17"/>
  <c r="O158" i="17"/>
  <c r="O159" i="17"/>
  <c r="O160" i="17"/>
  <c r="O161" i="17"/>
  <c r="O162" i="17"/>
  <c r="O163" i="17"/>
  <c r="O164" i="17"/>
  <c r="O165" i="17"/>
  <c r="O166" i="17"/>
  <c r="O167" i="17"/>
  <c r="O168" i="17"/>
  <c r="O169" i="17"/>
  <c r="O170" i="17"/>
  <c r="O171" i="17"/>
  <c r="O172" i="17"/>
  <c r="O173" i="17"/>
  <c r="O174" i="17"/>
  <c r="O175" i="17"/>
  <c r="O176" i="17"/>
  <c r="O177" i="17"/>
  <c r="O178" i="17"/>
  <c r="O179" i="17"/>
  <c r="O180" i="17"/>
  <c r="O181" i="17"/>
  <c r="O182" i="17"/>
  <c r="O183" i="17"/>
  <c r="O184" i="17"/>
  <c r="O129" i="17"/>
  <c r="N130" i="17"/>
  <c r="N131" i="17"/>
  <c r="N132" i="17"/>
  <c r="N133" i="17"/>
  <c r="N134" i="17"/>
  <c r="N135" i="17"/>
  <c r="N136" i="17"/>
  <c r="N137" i="17"/>
  <c r="N138" i="17"/>
  <c r="N139" i="17"/>
  <c r="N140" i="17"/>
  <c r="N141" i="17"/>
  <c r="N142" i="17"/>
  <c r="N143" i="17"/>
  <c r="N144" i="17"/>
  <c r="N145" i="17"/>
  <c r="N146" i="17"/>
  <c r="N147" i="17"/>
  <c r="N148" i="17"/>
  <c r="N149" i="17"/>
  <c r="N150" i="17"/>
  <c r="N151" i="17"/>
  <c r="N152" i="17"/>
  <c r="N153" i="17"/>
  <c r="N154" i="17"/>
  <c r="N155" i="17"/>
  <c r="N156" i="17"/>
  <c r="N157" i="17"/>
  <c r="N158" i="17"/>
  <c r="N159" i="17"/>
  <c r="N160" i="17"/>
  <c r="N161" i="17"/>
  <c r="N162" i="17"/>
  <c r="N163" i="17"/>
  <c r="N164" i="17"/>
  <c r="N165" i="17"/>
  <c r="N166" i="17"/>
  <c r="N167" i="17"/>
  <c r="N168" i="17"/>
  <c r="N169" i="17"/>
  <c r="N170" i="17"/>
  <c r="N171" i="17"/>
  <c r="N172" i="17"/>
  <c r="N173" i="17"/>
  <c r="N174" i="17"/>
  <c r="N175" i="17"/>
  <c r="N176" i="17"/>
  <c r="N177" i="17"/>
  <c r="N178" i="17"/>
  <c r="N179" i="17"/>
  <c r="N180" i="17"/>
  <c r="N181" i="17"/>
  <c r="N182" i="17"/>
  <c r="N183" i="17"/>
  <c r="N184" i="17"/>
  <c r="N129" i="17"/>
  <c r="O107" i="17"/>
  <c r="O108" i="17"/>
  <c r="O109" i="17"/>
  <c r="O110" i="17"/>
  <c r="O111" i="17"/>
  <c r="O112" i="17"/>
  <c r="O113" i="17"/>
  <c r="O114" i="17"/>
  <c r="O115" i="17"/>
  <c r="O116" i="17"/>
  <c r="O117" i="17"/>
  <c r="O118" i="17"/>
  <c r="O119" i="17"/>
  <c r="O120" i="17"/>
  <c r="O121" i="17"/>
  <c r="O106" i="17"/>
  <c r="N107" i="17"/>
  <c r="N108" i="17"/>
  <c r="N109" i="17"/>
  <c r="N110" i="17"/>
  <c r="N111" i="17"/>
  <c r="N112" i="17"/>
  <c r="N113" i="17"/>
  <c r="N114" i="17"/>
  <c r="N115" i="17"/>
  <c r="N116" i="17"/>
  <c r="N117" i="17"/>
  <c r="N118" i="17"/>
  <c r="N119" i="17"/>
  <c r="N120" i="17"/>
  <c r="N121" i="17"/>
  <c r="N106" i="17"/>
  <c r="O6" i="18"/>
  <c r="O7" i="18"/>
  <c r="O8" i="18"/>
  <c r="O5" i="18"/>
  <c r="N6" i="17"/>
  <c r="O6" i="17"/>
  <c r="N7" i="17"/>
  <c r="O7" i="17"/>
  <c r="N8" i="17"/>
  <c r="O8" i="17"/>
  <c r="N9" i="17"/>
  <c r="O9" i="17"/>
  <c r="N10" i="17"/>
  <c r="O10" i="17"/>
  <c r="N11" i="17"/>
  <c r="O11" i="17"/>
  <c r="N12" i="17"/>
  <c r="O12" i="17"/>
  <c r="N13" i="17"/>
  <c r="O13" i="17"/>
  <c r="N14" i="17"/>
  <c r="O14" i="17"/>
  <c r="N15" i="17"/>
  <c r="O15" i="17"/>
  <c r="N16" i="17"/>
  <c r="O16" i="17"/>
  <c r="N17" i="17"/>
  <c r="O17" i="17"/>
  <c r="N18" i="17"/>
  <c r="O18" i="17"/>
  <c r="N19" i="17"/>
  <c r="O19" i="17"/>
  <c r="N20" i="17"/>
  <c r="O20" i="17"/>
  <c r="N21" i="17"/>
  <c r="O21" i="17"/>
  <c r="N22" i="17"/>
  <c r="O22" i="17"/>
  <c r="N23" i="17"/>
  <c r="O23" i="17"/>
  <c r="N24" i="17"/>
  <c r="O24" i="17"/>
  <c r="N25" i="17"/>
  <c r="O25" i="17"/>
  <c r="N26" i="17"/>
  <c r="O26" i="17"/>
  <c r="N27" i="17"/>
  <c r="O27" i="17"/>
  <c r="N28" i="17"/>
  <c r="O28" i="17"/>
  <c r="N29" i="17"/>
  <c r="O29" i="17"/>
  <c r="N30" i="17"/>
  <c r="O30" i="17"/>
  <c r="N31" i="17"/>
  <c r="O31" i="17"/>
  <c r="N32" i="17"/>
  <c r="O32" i="17"/>
  <c r="N33" i="17"/>
  <c r="O33" i="17"/>
  <c r="N34" i="17"/>
  <c r="O34" i="17"/>
  <c r="N35" i="17"/>
  <c r="O35" i="17"/>
  <c r="N36" i="17"/>
  <c r="O36" i="17"/>
  <c r="N37" i="17"/>
  <c r="O37" i="17"/>
  <c r="N38" i="17"/>
  <c r="O38" i="17"/>
  <c r="N39" i="17"/>
  <c r="O39" i="17"/>
  <c r="N40" i="17"/>
  <c r="O40" i="17"/>
  <c r="N41" i="17"/>
  <c r="O41" i="17"/>
  <c r="N42" i="17"/>
  <c r="O42" i="17"/>
  <c r="N43" i="17"/>
  <c r="O43" i="17"/>
  <c r="N44" i="17"/>
  <c r="O44" i="17"/>
  <c r="N45" i="17"/>
  <c r="O45" i="17"/>
  <c r="N46" i="17"/>
  <c r="O46" i="17"/>
  <c r="N47" i="17"/>
  <c r="O47" i="17"/>
  <c r="N48" i="17"/>
  <c r="O48" i="17"/>
  <c r="N49" i="17"/>
  <c r="O49" i="17"/>
  <c r="N50" i="17"/>
  <c r="O50" i="17"/>
  <c r="N51" i="17"/>
  <c r="O51" i="17"/>
  <c r="N52" i="17"/>
  <c r="O52" i="17"/>
  <c r="N53" i="17"/>
  <c r="O53" i="17"/>
  <c r="N54" i="17"/>
  <c r="O54" i="17"/>
  <c r="N55" i="17"/>
  <c r="O55" i="17"/>
  <c r="N56" i="17"/>
  <c r="O56" i="17"/>
  <c r="N57" i="17"/>
  <c r="O57" i="17"/>
  <c r="N58" i="17"/>
  <c r="O58" i="17"/>
  <c r="N59" i="17"/>
  <c r="O59" i="17"/>
  <c r="N60" i="17"/>
  <c r="O60" i="17"/>
  <c r="N61" i="17"/>
  <c r="O61" i="17"/>
  <c r="N62" i="17"/>
  <c r="O62" i="17"/>
  <c r="N63" i="17"/>
  <c r="O63" i="17"/>
  <c r="N64" i="17"/>
  <c r="O64" i="17"/>
  <c r="N65" i="17"/>
  <c r="O65" i="17"/>
  <c r="N66" i="17"/>
  <c r="O66" i="17"/>
  <c r="N67" i="17"/>
  <c r="O67" i="17"/>
  <c r="N68" i="17"/>
  <c r="O68" i="17"/>
  <c r="N69" i="17"/>
  <c r="O69" i="17"/>
  <c r="N70" i="17"/>
  <c r="O70" i="17"/>
  <c r="N71" i="17"/>
  <c r="O71" i="17"/>
  <c r="N72" i="17"/>
  <c r="O72" i="17"/>
  <c r="N73" i="17"/>
  <c r="O73" i="17"/>
  <c r="N74" i="17"/>
  <c r="O74" i="17"/>
  <c r="N75" i="17"/>
  <c r="O75" i="17"/>
  <c r="N76" i="17"/>
  <c r="O76" i="17"/>
  <c r="N77" i="17"/>
  <c r="O77" i="17"/>
  <c r="N78" i="17"/>
  <c r="O78" i="17"/>
  <c r="N79" i="17"/>
  <c r="O79" i="17"/>
  <c r="N80" i="17"/>
  <c r="O80" i="17"/>
  <c r="N81" i="17"/>
  <c r="O81" i="17"/>
  <c r="N82" i="17"/>
  <c r="O82" i="17"/>
  <c r="N83" i="17"/>
  <c r="O83" i="17"/>
  <c r="N84" i="17"/>
  <c r="O84" i="17"/>
  <c r="N85" i="17"/>
  <c r="O85" i="17"/>
  <c r="N86" i="17"/>
  <c r="O86" i="17"/>
  <c r="N87" i="17"/>
  <c r="O87" i="17"/>
  <c r="N88" i="17"/>
  <c r="O88" i="17"/>
  <c r="N89" i="17"/>
  <c r="O89" i="17"/>
  <c r="N90" i="17"/>
  <c r="O90" i="17"/>
  <c r="N91" i="17"/>
  <c r="O91" i="17"/>
  <c r="N92" i="17"/>
  <c r="O92" i="17"/>
  <c r="N93" i="17"/>
  <c r="O93" i="17"/>
  <c r="N94" i="17"/>
  <c r="O94" i="17"/>
  <c r="N95" i="17"/>
  <c r="O95" i="17"/>
  <c r="N96" i="17"/>
  <c r="O96" i="17"/>
  <c r="N97" i="17"/>
  <c r="O97" i="17"/>
  <c r="N98" i="17"/>
  <c r="O98" i="17"/>
  <c r="N99" i="17"/>
  <c r="O99" i="17"/>
  <c r="N100" i="17"/>
  <c r="O100" i="17"/>
  <c r="O5" i="17"/>
  <c r="N5" i="17"/>
  <c r="P844" i="15"/>
  <c r="Q844" i="15"/>
  <c r="P845" i="15"/>
  <c r="Q845" i="15"/>
  <c r="P846" i="15"/>
  <c r="Q846" i="15"/>
  <c r="P847" i="15"/>
  <c r="Q847" i="15"/>
  <c r="P848" i="15"/>
  <c r="Q848" i="15"/>
  <c r="P849" i="15"/>
  <c r="Q849" i="15"/>
  <c r="P850" i="15"/>
  <c r="Q850" i="15"/>
  <c r="P851" i="15"/>
  <c r="Q851" i="15"/>
  <c r="P852" i="15"/>
  <c r="Q852" i="15"/>
  <c r="P853" i="15"/>
  <c r="Q853" i="15"/>
  <c r="P854" i="15"/>
  <c r="Q854" i="15"/>
  <c r="P855" i="15"/>
  <c r="Q855" i="15"/>
  <c r="P856" i="15"/>
  <c r="Q856" i="15"/>
  <c r="P857" i="15"/>
  <c r="Q857" i="15"/>
  <c r="P858" i="15"/>
  <c r="Q858" i="15"/>
  <c r="P859" i="15"/>
  <c r="Q859" i="15"/>
  <c r="P860" i="15"/>
  <c r="Q860" i="15"/>
  <c r="P861" i="15"/>
  <c r="Q861" i="15"/>
  <c r="P862" i="15"/>
  <c r="Q862" i="15"/>
  <c r="Q843" i="15"/>
  <c r="P843" i="15"/>
  <c r="Q418" i="15"/>
  <c r="Q419" i="15"/>
  <c r="Q420" i="15"/>
  <c r="Q421" i="15"/>
  <c r="Q422" i="15"/>
  <c r="Q423" i="15"/>
  <c r="Q424" i="15"/>
  <c r="Q425" i="15"/>
  <c r="Q426" i="15"/>
  <c r="Q427" i="15"/>
  <c r="Q428" i="15"/>
  <c r="Q429" i="15"/>
  <c r="Q430" i="15"/>
  <c r="Q431" i="15"/>
  <c r="Q432" i="15"/>
  <c r="Q433" i="15"/>
  <c r="Q434" i="15"/>
  <c r="Q435" i="15"/>
  <c r="Q436" i="15"/>
  <c r="Q437" i="15"/>
  <c r="P419" i="15"/>
  <c r="P420" i="15"/>
  <c r="P421" i="15"/>
  <c r="P422" i="15"/>
  <c r="P423" i="15"/>
  <c r="P424" i="15"/>
  <c r="P425" i="15"/>
  <c r="P426" i="15"/>
  <c r="P427" i="15"/>
  <c r="P428" i="15"/>
  <c r="P429" i="15"/>
  <c r="P430" i="15"/>
  <c r="P431" i="15"/>
  <c r="P432" i="15"/>
  <c r="P433" i="15"/>
  <c r="P434" i="15"/>
  <c r="P435" i="15"/>
  <c r="P436" i="15"/>
  <c r="P437" i="15"/>
  <c r="P418" i="15"/>
  <c r="M318" i="15"/>
  <c r="M320" i="15"/>
  <c r="M321" i="15"/>
  <c r="M323" i="15"/>
  <c r="M324" i="15"/>
  <c r="M326" i="15"/>
  <c r="M327" i="15"/>
  <c r="M329" i="15"/>
  <c r="M330" i="15"/>
  <c r="M332" i="15"/>
  <c r="M333" i="15"/>
  <c r="M335" i="15"/>
  <c r="M336" i="15"/>
  <c r="M338" i="15"/>
  <c r="M339" i="15"/>
  <c r="M341" i="15"/>
  <c r="M342" i="15"/>
  <c r="M344" i="15"/>
  <c r="M345" i="15"/>
  <c r="M347" i="15"/>
  <c r="M348" i="15"/>
  <c r="M350" i="15"/>
  <c r="M351" i="15"/>
  <c r="M353" i="15"/>
  <c r="M354" i="15"/>
  <c r="M356" i="15"/>
  <c r="M357" i="15"/>
  <c r="M359" i="15"/>
  <c r="M360" i="15"/>
  <c r="M362" i="15"/>
  <c r="M363" i="15"/>
  <c r="M365" i="15"/>
  <c r="M366" i="15"/>
  <c r="M368" i="15"/>
  <c r="M369" i="15"/>
  <c r="M371" i="15"/>
  <c r="M372" i="15"/>
  <c r="M374" i="15"/>
  <c r="M375" i="15"/>
  <c r="M377" i="15"/>
  <c r="M378" i="15"/>
  <c r="M380" i="15"/>
  <c r="M381" i="15"/>
  <c r="M383" i="15"/>
  <c r="M384" i="15"/>
  <c r="M386" i="15"/>
  <c r="M387" i="15"/>
  <c r="M389" i="15"/>
  <c r="M390" i="15"/>
  <c r="M392" i="15"/>
  <c r="M393" i="15"/>
  <c r="M395" i="15"/>
  <c r="M396" i="15"/>
  <c r="M398" i="15"/>
  <c r="M399" i="15"/>
  <c r="M401" i="15"/>
  <c r="M402" i="15"/>
  <c r="M404" i="15"/>
  <c r="M405" i="15"/>
  <c r="M407" i="15"/>
  <c r="M408" i="15"/>
  <c r="M410" i="15"/>
  <c r="M411" i="15"/>
  <c r="M413" i="15"/>
  <c r="M414" i="15"/>
  <c r="M416" i="15"/>
  <c r="M417" i="15"/>
  <c r="M532" i="15"/>
  <c r="M533" i="15"/>
  <c r="M535" i="15"/>
  <c r="M536" i="15"/>
  <c r="M538" i="15"/>
  <c r="M539" i="15"/>
  <c r="M541" i="15"/>
  <c r="M542" i="15"/>
  <c r="M544" i="15"/>
  <c r="M545" i="15"/>
  <c r="M547" i="15"/>
  <c r="M548" i="15"/>
  <c r="M550" i="15"/>
  <c r="M551" i="15"/>
  <c r="M553" i="15"/>
  <c r="M554" i="15"/>
  <c r="M556" i="15"/>
  <c r="M557" i="15"/>
  <c r="M559" i="15"/>
  <c r="M560" i="15"/>
  <c r="M562" i="15"/>
  <c r="M563" i="15"/>
  <c r="M565" i="15"/>
  <c r="M566" i="15"/>
  <c r="M568" i="15"/>
  <c r="M569" i="15"/>
  <c r="M571" i="15"/>
  <c r="M572" i="15"/>
  <c r="M574" i="15"/>
  <c r="M575" i="15"/>
  <c r="M577" i="15"/>
  <c r="M578" i="15"/>
  <c r="M580" i="15"/>
  <c r="M581" i="15"/>
  <c r="M583" i="15"/>
  <c r="M584" i="15"/>
  <c r="M586" i="15"/>
  <c r="M587" i="15"/>
  <c r="M589" i="15"/>
  <c r="M590" i="15"/>
  <c r="M592" i="15"/>
  <c r="M593" i="15"/>
  <c r="M595" i="15"/>
  <c r="M596" i="15"/>
  <c r="M598" i="15"/>
  <c r="M599" i="15"/>
  <c r="M601" i="15"/>
  <c r="M602" i="15"/>
  <c r="M604" i="15"/>
  <c r="M605" i="15"/>
  <c r="M607" i="15"/>
  <c r="M608" i="15"/>
  <c r="M610" i="15"/>
  <c r="M611" i="15"/>
  <c r="M613" i="15"/>
  <c r="M614" i="15"/>
  <c r="M616" i="15"/>
  <c r="M617" i="15"/>
  <c r="M619" i="15"/>
  <c r="M620" i="15"/>
  <c r="M622" i="15"/>
  <c r="M623" i="15"/>
  <c r="M625" i="15"/>
  <c r="M626" i="15"/>
  <c r="M628" i="15"/>
  <c r="M629" i="15"/>
  <c r="M631" i="15"/>
  <c r="M632" i="15"/>
  <c r="M634" i="15"/>
  <c r="M635" i="15"/>
  <c r="M637" i="15"/>
  <c r="M638" i="15"/>
  <c r="M640" i="15"/>
  <c r="M641" i="15"/>
  <c r="M643" i="15"/>
  <c r="M644" i="15"/>
  <c r="M646" i="15"/>
  <c r="M647" i="15"/>
  <c r="M649" i="15"/>
  <c r="M650" i="15"/>
  <c r="M652" i="15"/>
  <c r="M653" i="15"/>
  <c r="M655" i="15"/>
  <c r="M656" i="15"/>
  <c r="M658" i="15"/>
  <c r="M659" i="15"/>
  <c r="M661" i="15"/>
  <c r="M662" i="15"/>
  <c r="M664" i="15"/>
  <c r="M665" i="15"/>
  <c r="M667" i="15"/>
  <c r="M668" i="15"/>
  <c r="M670" i="15"/>
  <c r="M671" i="15"/>
  <c r="M673" i="15"/>
  <c r="M674" i="15"/>
  <c r="M676" i="15"/>
  <c r="M677" i="15"/>
  <c r="M679" i="15"/>
  <c r="M680" i="15"/>
  <c r="M682" i="15"/>
  <c r="M683" i="15"/>
  <c r="M685" i="15"/>
  <c r="M686" i="15"/>
  <c r="M688" i="15"/>
  <c r="M689" i="15"/>
  <c r="M691" i="15"/>
  <c r="M692" i="15"/>
  <c r="M694" i="15"/>
  <c r="M695" i="15"/>
  <c r="M697" i="15"/>
  <c r="M698" i="15"/>
  <c r="M700" i="15"/>
  <c r="M701" i="15"/>
  <c r="M703" i="15"/>
  <c r="M704" i="15"/>
  <c r="M706" i="15"/>
  <c r="M707" i="15"/>
  <c r="M709" i="15"/>
  <c r="M710" i="15"/>
  <c r="M712" i="15"/>
  <c r="M713" i="15"/>
  <c r="M715" i="15"/>
  <c r="M716" i="15"/>
  <c r="M718" i="15"/>
  <c r="M719" i="15"/>
  <c r="M721" i="15"/>
  <c r="M722" i="15"/>
  <c r="M724" i="15"/>
  <c r="M725" i="15"/>
  <c r="M727" i="15"/>
  <c r="M728" i="15"/>
  <c r="M730" i="15"/>
  <c r="M731" i="15"/>
  <c r="M733" i="15"/>
  <c r="M734" i="15"/>
  <c r="M736" i="15"/>
  <c r="M737" i="15"/>
  <c r="M739" i="15"/>
  <c r="M740" i="15"/>
  <c r="M742" i="15"/>
  <c r="M743" i="15"/>
  <c r="M745" i="15"/>
  <c r="M746" i="15"/>
  <c r="M748" i="15"/>
  <c r="M749" i="15"/>
  <c r="M751" i="15"/>
  <c r="M752" i="15"/>
  <c r="M754" i="15"/>
  <c r="M755" i="15"/>
  <c r="M757" i="15"/>
  <c r="M758" i="15"/>
  <c r="M760" i="15"/>
  <c r="M761" i="15"/>
  <c r="M763" i="15"/>
  <c r="M764" i="15"/>
  <c r="M766" i="15"/>
  <c r="M767" i="15"/>
  <c r="M769" i="15"/>
  <c r="M770" i="15"/>
  <c r="M772" i="15"/>
  <c r="M773" i="15"/>
  <c r="M775" i="15"/>
  <c r="M776" i="15"/>
  <c r="M778" i="15"/>
  <c r="M779" i="15"/>
  <c r="M781" i="15"/>
  <c r="M782" i="15"/>
  <c r="M784" i="15"/>
  <c r="M785" i="15"/>
  <c r="M787" i="15"/>
  <c r="M788" i="15"/>
  <c r="M790" i="15"/>
  <c r="M791" i="15"/>
  <c r="M793" i="15"/>
  <c r="M794" i="15"/>
  <c r="M796" i="15"/>
  <c r="M797" i="15"/>
  <c r="M799" i="15"/>
  <c r="M800" i="15"/>
  <c r="M802" i="15"/>
  <c r="M803" i="15"/>
  <c r="M805" i="15"/>
  <c r="M806" i="15"/>
  <c r="M808" i="15"/>
  <c r="M809" i="15"/>
  <c r="M811" i="15"/>
  <c r="M812" i="15"/>
  <c r="M814" i="15"/>
  <c r="M815" i="15"/>
  <c r="M817" i="15"/>
  <c r="M818" i="15"/>
  <c r="M820" i="15"/>
  <c r="M821" i="15"/>
  <c r="M823" i="15"/>
  <c r="M824" i="15"/>
  <c r="M826" i="15"/>
  <c r="M827" i="15"/>
  <c r="M829" i="15"/>
  <c r="M830" i="15"/>
  <c r="M832" i="15"/>
  <c r="M833" i="15"/>
  <c r="M835" i="15"/>
  <c r="M836" i="15"/>
  <c r="M838" i="15"/>
  <c r="M839" i="15"/>
  <c r="M841" i="15"/>
  <c r="M842" i="15"/>
  <c r="M95" i="15"/>
  <c r="M96" i="15"/>
  <c r="M98" i="15"/>
  <c r="M99" i="15"/>
  <c r="M101" i="15"/>
  <c r="M102" i="15"/>
  <c r="M104" i="15"/>
  <c r="M105" i="15"/>
  <c r="M107" i="15"/>
  <c r="M108" i="15"/>
  <c r="M110" i="15"/>
  <c r="M111" i="15"/>
  <c r="M113" i="15"/>
  <c r="M114" i="15"/>
  <c r="M116" i="15"/>
  <c r="M117" i="15"/>
  <c r="M119" i="15"/>
  <c r="M120" i="15"/>
  <c r="M122" i="15"/>
  <c r="M123" i="15"/>
  <c r="M125" i="15"/>
  <c r="M126" i="15"/>
  <c r="M128" i="15"/>
  <c r="M129" i="15"/>
  <c r="M131" i="15"/>
  <c r="M132" i="15"/>
  <c r="M134" i="15"/>
  <c r="M135" i="15"/>
  <c r="M137" i="15"/>
  <c r="M138" i="15"/>
  <c r="M140" i="15"/>
  <c r="M141" i="15"/>
  <c r="M143" i="15"/>
  <c r="M144" i="15"/>
  <c r="M146" i="15"/>
  <c r="M147" i="15"/>
  <c r="M149" i="15"/>
  <c r="M150" i="15"/>
  <c r="M152" i="15"/>
  <c r="M153" i="15"/>
  <c r="M155" i="15"/>
  <c r="M156" i="15"/>
  <c r="M158" i="15"/>
  <c r="M159" i="15"/>
  <c r="M161" i="15"/>
  <c r="M162" i="15"/>
  <c r="M164" i="15"/>
  <c r="M165" i="15"/>
  <c r="M167" i="15"/>
  <c r="M168" i="15"/>
  <c r="M170" i="15"/>
  <c r="M171" i="15"/>
  <c r="M173" i="15"/>
  <c r="M174" i="15"/>
  <c r="M176" i="15"/>
  <c r="M177" i="15"/>
  <c r="M179" i="15"/>
  <c r="M180" i="15"/>
  <c r="M182" i="15"/>
  <c r="M183" i="15"/>
  <c r="M185" i="15"/>
  <c r="M186" i="15"/>
  <c r="M188" i="15"/>
  <c r="M189" i="15"/>
  <c r="M191" i="15"/>
  <c r="M192" i="15"/>
  <c r="M194" i="15"/>
  <c r="M195" i="15"/>
  <c r="M197" i="15"/>
  <c r="M198" i="15"/>
  <c r="M200" i="15"/>
  <c r="M201" i="15"/>
  <c r="M203" i="15"/>
  <c r="M204" i="15"/>
  <c r="M206" i="15"/>
  <c r="M207" i="15"/>
  <c r="M209" i="15"/>
  <c r="M210" i="15"/>
  <c r="M212" i="15"/>
  <c r="M213" i="15"/>
  <c r="M215" i="15"/>
  <c r="M216" i="15"/>
  <c r="M218" i="15"/>
  <c r="M219" i="15"/>
  <c r="M221" i="15"/>
  <c r="M222" i="15"/>
  <c r="M224" i="15"/>
  <c r="M225" i="15"/>
  <c r="M227" i="15"/>
  <c r="M228" i="15"/>
  <c r="M230" i="15"/>
  <c r="M231" i="15"/>
  <c r="M233" i="15"/>
  <c r="M234" i="15"/>
  <c r="M236" i="15"/>
  <c r="M237" i="15"/>
  <c r="M239" i="15"/>
  <c r="M240" i="15"/>
  <c r="M242" i="15"/>
  <c r="M243" i="15"/>
  <c r="M245" i="15"/>
  <c r="M246" i="15"/>
  <c r="M248" i="15"/>
  <c r="M249" i="15"/>
  <c r="M251" i="15"/>
  <c r="M252" i="15"/>
  <c r="M254" i="15"/>
  <c r="M255" i="15"/>
  <c r="M257" i="15"/>
  <c r="M258" i="15"/>
  <c r="M260" i="15"/>
  <c r="M261" i="15"/>
  <c r="M263" i="15"/>
  <c r="M264" i="15"/>
  <c r="M266" i="15"/>
  <c r="M267" i="15"/>
  <c r="M269" i="15"/>
  <c r="M270" i="15"/>
  <c r="M272" i="15"/>
  <c r="M273" i="15"/>
  <c r="M275" i="15"/>
  <c r="M276" i="15"/>
  <c r="M278" i="15"/>
  <c r="M279" i="15"/>
  <c r="M281" i="15"/>
  <c r="M282" i="15"/>
  <c r="M284" i="15"/>
  <c r="M285" i="15"/>
  <c r="M287" i="15"/>
  <c r="M288" i="15"/>
  <c r="M290" i="15"/>
  <c r="M291" i="15"/>
  <c r="M293" i="15"/>
  <c r="M294" i="15"/>
  <c r="M296" i="15"/>
  <c r="M297" i="15"/>
  <c r="M299" i="15"/>
  <c r="M300" i="15"/>
  <c r="M302" i="15"/>
  <c r="M303" i="15"/>
  <c r="M305" i="15"/>
  <c r="M306" i="15"/>
  <c r="M308" i="15"/>
  <c r="M309" i="15"/>
  <c r="M311" i="15"/>
  <c r="M312" i="15"/>
  <c r="M314" i="15"/>
  <c r="M315" i="15"/>
  <c r="M317" i="15"/>
  <c r="C507" i="19"/>
  <c r="B505" i="19"/>
  <c r="B502" i="19"/>
  <c r="B501" i="19"/>
  <c r="C495" i="19"/>
  <c r="C491" i="19"/>
  <c r="C487" i="19"/>
  <c r="N8" i="18"/>
  <c r="E8" i="18" s="1"/>
  <c r="M8" i="18"/>
  <c r="C8" i="18"/>
  <c r="B8" i="18" s="1"/>
  <c r="N7" i="18"/>
  <c r="E7" i="18" s="1"/>
  <c r="M7" i="18"/>
  <c r="C7" i="18"/>
  <c r="B7" i="18" s="1"/>
  <c r="N6" i="18"/>
  <c r="E6" i="18" s="1"/>
  <c r="M6" i="18"/>
  <c r="F6" i="18"/>
  <c r="F7" i="18" s="1"/>
  <c r="F8" i="18" s="1"/>
  <c r="F9" i="18" s="1"/>
  <c r="F10" i="18" s="1"/>
  <c r="F11" i="18" s="1"/>
  <c r="F12" i="18" s="1"/>
  <c r="F13" i="18" s="1"/>
  <c r="C6" i="18"/>
  <c r="B6" i="18" s="1"/>
  <c r="E5" i="18"/>
  <c r="B5" i="18"/>
  <c r="U184" i="17"/>
  <c r="U183" i="17"/>
  <c r="U182" i="17"/>
  <c r="U181" i="17"/>
  <c r="U180" i="17"/>
  <c r="U178" i="17"/>
  <c r="U177" i="17"/>
  <c r="U176" i="17"/>
  <c r="U175" i="17"/>
  <c r="U174" i="17"/>
  <c r="U173" i="17"/>
  <c r="U171" i="17"/>
  <c r="U170" i="17"/>
  <c r="U169" i="17"/>
  <c r="U168" i="17"/>
  <c r="U167" i="17"/>
  <c r="U166" i="17"/>
  <c r="U164" i="17"/>
  <c r="U163" i="17"/>
  <c r="U162" i="17"/>
  <c r="U161" i="17"/>
  <c r="U160" i="17"/>
  <c r="U159" i="17"/>
  <c r="U157" i="17"/>
  <c r="U156" i="17"/>
  <c r="U155" i="17"/>
  <c r="U154" i="17"/>
  <c r="U153" i="17"/>
  <c r="U152" i="17"/>
  <c r="U150" i="17"/>
  <c r="U149" i="17"/>
  <c r="U148" i="17"/>
  <c r="U147" i="17"/>
  <c r="U146" i="17"/>
  <c r="U145" i="17"/>
  <c r="U143" i="17"/>
  <c r="U142" i="17"/>
  <c r="U141" i="17"/>
  <c r="U140" i="17"/>
  <c r="U139" i="17"/>
  <c r="U138" i="17"/>
  <c r="U136" i="17"/>
  <c r="U135" i="17"/>
  <c r="U134" i="17"/>
  <c r="U133" i="17"/>
  <c r="U132" i="17"/>
  <c r="U131" i="17"/>
  <c r="U129" i="17"/>
  <c r="S121" i="17"/>
  <c r="I121" i="17"/>
  <c r="H121" i="17"/>
  <c r="S120" i="17"/>
  <c r="I120" i="17"/>
  <c r="H120" i="17"/>
  <c r="S119" i="17"/>
  <c r="I119" i="17"/>
  <c r="H119" i="17"/>
  <c r="S118" i="17"/>
  <c r="I118" i="17"/>
  <c r="H118" i="17"/>
  <c r="S117" i="17"/>
  <c r="I117" i="17"/>
  <c r="H117" i="17"/>
  <c r="S116" i="17"/>
  <c r="I116" i="17"/>
  <c r="H116" i="17"/>
  <c r="S115" i="17"/>
  <c r="I115" i="17"/>
  <c r="H115" i="17"/>
  <c r="S114" i="17"/>
  <c r="I114" i="17"/>
  <c r="H114" i="17"/>
  <c r="S113" i="17"/>
  <c r="I113" i="17"/>
  <c r="H113" i="17"/>
  <c r="S112" i="17"/>
  <c r="I112" i="17"/>
  <c r="H112" i="17"/>
  <c r="S111" i="17"/>
  <c r="I111" i="17"/>
  <c r="H111" i="17"/>
  <c r="S110" i="17"/>
  <c r="I110" i="17"/>
  <c r="H110" i="17"/>
  <c r="S109" i="17"/>
  <c r="I109" i="17"/>
  <c r="H109" i="17"/>
  <c r="S108" i="17"/>
  <c r="I108" i="17"/>
  <c r="H108" i="17"/>
  <c r="S107" i="17"/>
  <c r="I107" i="17"/>
  <c r="H107" i="17"/>
  <c r="S106" i="17"/>
  <c r="I106" i="17"/>
  <c r="H106" i="17"/>
  <c r="U100" i="17"/>
  <c r="S100" i="17"/>
  <c r="I100" i="17"/>
  <c r="H100" i="17"/>
  <c r="U99" i="17"/>
  <c r="S99" i="17"/>
  <c r="I99" i="17"/>
  <c r="H99" i="17"/>
  <c r="I98" i="17"/>
  <c r="H98" i="17"/>
  <c r="U97" i="17"/>
  <c r="U98" i="17" s="1"/>
  <c r="S98" i="17" s="1"/>
  <c r="S97" i="17"/>
  <c r="I97" i="17"/>
  <c r="H97" i="17"/>
  <c r="U96" i="17"/>
  <c r="I96" i="17"/>
  <c r="H96" i="17"/>
  <c r="U95" i="17"/>
  <c r="U89" i="17" s="1"/>
  <c r="I95" i="17"/>
  <c r="H95" i="17"/>
  <c r="U94" i="17"/>
  <c r="S94" i="17" s="1"/>
  <c r="I94" i="17"/>
  <c r="H94" i="17"/>
  <c r="U93" i="17"/>
  <c r="I93" i="17"/>
  <c r="H93" i="17"/>
  <c r="J92" i="17"/>
  <c r="I92" i="17"/>
  <c r="H92" i="17"/>
  <c r="U91" i="17"/>
  <c r="U92" i="17" s="1"/>
  <c r="S92" i="17" s="1"/>
  <c r="J91" i="17"/>
  <c r="I91" i="17"/>
  <c r="H91" i="17"/>
  <c r="J90" i="17"/>
  <c r="I90" i="17"/>
  <c r="H90" i="17"/>
  <c r="I89" i="17"/>
  <c r="H89" i="17"/>
  <c r="I88" i="17"/>
  <c r="H88" i="17"/>
  <c r="U87" i="17"/>
  <c r="S87" i="17" s="1"/>
  <c r="I87" i="17"/>
  <c r="H87" i="17"/>
  <c r="I86" i="17"/>
  <c r="H86" i="17"/>
  <c r="U85" i="17"/>
  <c r="S85" i="17"/>
  <c r="I85" i="17"/>
  <c r="H85" i="17"/>
  <c r="U84" i="17"/>
  <c r="I84" i="17"/>
  <c r="H84" i="17"/>
  <c r="U83" i="17"/>
  <c r="S83" i="17"/>
  <c r="S84" i="17" s="1"/>
  <c r="I83" i="17"/>
  <c r="H83" i="17"/>
  <c r="U82" i="17"/>
  <c r="U79" i="17" s="1"/>
  <c r="S82" i="17"/>
  <c r="I82" i="17"/>
  <c r="H82" i="17"/>
  <c r="U81" i="17"/>
  <c r="I81" i="17"/>
  <c r="H81" i="17"/>
  <c r="J80" i="17"/>
  <c r="I80" i="17"/>
  <c r="H80" i="17"/>
  <c r="J79" i="17"/>
  <c r="I79" i="17"/>
  <c r="H79" i="17"/>
  <c r="J78" i="17"/>
  <c r="I78" i="17"/>
  <c r="H78" i="17"/>
  <c r="U77" i="17"/>
  <c r="S77" i="17" s="1"/>
  <c r="S81" i="17" s="1"/>
  <c r="I77" i="17"/>
  <c r="H77" i="17"/>
  <c r="I76" i="17"/>
  <c r="H76" i="17"/>
  <c r="U75" i="17"/>
  <c r="S75" i="17" s="1"/>
  <c r="I75" i="17"/>
  <c r="H75" i="17"/>
  <c r="I74" i="17"/>
  <c r="H74" i="17"/>
  <c r="U73" i="17"/>
  <c r="U74" i="17" s="1"/>
  <c r="S74" i="17" s="1"/>
  <c r="S73" i="17"/>
  <c r="I73" i="17"/>
  <c r="H73" i="17"/>
  <c r="U72" i="17"/>
  <c r="U69" i="17" s="1"/>
  <c r="I72" i="17"/>
  <c r="H72" i="17"/>
  <c r="U71" i="17"/>
  <c r="U65" i="17" s="1"/>
  <c r="I71" i="17"/>
  <c r="H71" i="17"/>
  <c r="U70" i="17"/>
  <c r="S70" i="17"/>
  <c r="I70" i="17"/>
  <c r="H70" i="17"/>
  <c r="I69" i="17"/>
  <c r="H69" i="17"/>
  <c r="J68" i="17"/>
  <c r="I68" i="17"/>
  <c r="H68" i="17"/>
  <c r="U67" i="17"/>
  <c r="S67" i="17" s="1"/>
  <c r="J67" i="17"/>
  <c r="I67" i="17"/>
  <c r="H67" i="17"/>
  <c r="J66" i="17"/>
  <c r="I66" i="17"/>
  <c r="H66" i="17"/>
  <c r="I65" i="17"/>
  <c r="H65" i="17"/>
  <c r="I64" i="17"/>
  <c r="H64" i="17"/>
  <c r="U63" i="17"/>
  <c r="U64" i="17" s="1"/>
  <c r="S64" i="17" s="1"/>
  <c r="I63" i="17"/>
  <c r="H63" i="17"/>
  <c r="U62" i="17"/>
  <c r="S62" i="17" s="1"/>
  <c r="I62" i="17"/>
  <c r="H62" i="17"/>
  <c r="U61" i="17"/>
  <c r="S61" i="17" s="1"/>
  <c r="I61" i="17"/>
  <c r="H61" i="17"/>
  <c r="U60" i="17"/>
  <c r="U57" i="17" s="1"/>
  <c r="I60" i="17"/>
  <c r="H60" i="17"/>
  <c r="U59" i="17"/>
  <c r="S59" i="17"/>
  <c r="S60" i="17" s="1"/>
  <c r="I59" i="17"/>
  <c r="H59" i="17"/>
  <c r="U58" i="17"/>
  <c r="S58" i="17"/>
  <c r="I58" i="17"/>
  <c r="H58" i="17"/>
  <c r="I57" i="17"/>
  <c r="H57" i="17"/>
  <c r="J56" i="17"/>
  <c r="I56" i="17"/>
  <c r="H56" i="17"/>
  <c r="U55" i="17"/>
  <c r="S55" i="17" s="1"/>
  <c r="J55" i="17"/>
  <c r="I55" i="17"/>
  <c r="H55" i="17"/>
  <c r="U54" i="17"/>
  <c r="S54" i="17"/>
  <c r="J54" i="17"/>
  <c r="I54" i="17"/>
  <c r="H54" i="17"/>
  <c r="U53" i="17"/>
  <c r="S53" i="17" s="1"/>
  <c r="S57" i="17" s="1"/>
  <c r="I53" i="17"/>
  <c r="H53" i="17"/>
  <c r="U52" i="17"/>
  <c r="S52" i="17"/>
  <c r="I52" i="17"/>
  <c r="H52" i="17"/>
  <c r="U51" i="17"/>
  <c r="S51" i="17"/>
  <c r="I51" i="17"/>
  <c r="H51" i="17"/>
  <c r="I50" i="17"/>
  <c r="H50" i="17"/>
  <c r="U49" i="17"/>
  <c r="U50" i="17" s="1"/>
  <c r="S50" i="17" s="1"/>
  <c r="S49" i="17"/>
  <c r="I49" i="17"/>
  <c r="H49" i="17"/>
  <c r="U48" i="17"/>
  <c r="I48" i="17"/>
  <c r="H48" i="17"/>
  <c r="U47" i="17"/>
  <c r="U41" i="17" s="1"/>
  <c r="I47" i="17"/>
  <c r="H47" i="17"/>
  <c r="U46" i="17"/>
  <c r="S46" i="17" s="1"/>
  <c r="I46" i="17"/>
  <c r="H46" i="17"/>
  <c r="U45" i="17"/>
  <c r="I45" i="17"/>
  <c r="H45" i="17"/>
  <c r="J44" i="17"/>
  <c r="I44" i="17"/>
  <c r="H44" i="17"/>
  <c r="U43" i="17"/>
  <c r="U44" i="17" s="1"/>
  <c r="S44" i="17" s="1"/>
  <c r="J43" i="17"/>
  <c r="I43" i="17"/>
  <c r="H43" i="17"/>
  <c r="J42" i="17"/>
  <c r="I42" i="17"/>
  <c r="H42" i="17"/>
  <c r="I41" i="17"/>
  <c r="H41" i="17"/>
  <c r="I40" i="17"/>
  <c r="H40" i="17"/>
  <c r="U39" i="17"/>
  <c r="S39" i="17" s="1"/>
  <c r="I39" i="17"/>
  <c r="H39" i="17"/>
  <c r="I38" i="17"/>
  <c r="H38" i="17"/>
  <c r="U37" i="17"/>
  <c r="U38" i="17" s="1"/>
  <c r="S38" i="17" s="1"/>
  <c r="S37" i="17"/>
  <c r="I37" i="17"/>
  <c r="H37" i="17"/>
  <c r="U36" i="17"/>
  <c r="I36" i="17"/>
  <c r="H36" i="17"/>
  <c r="U35" i="17"/>
  <c r="S35" i="17"/>
  <c r="S36" i="17" s="1"/>
  <c r="I35" i="17"/>
  <c r="H35" i="17"/>
  <c r="U34" i="17"/>
  <c r="U31" i="17" s="1"/>
  <c r="S34" i="17"/>
  <c r="I34" i="17"/>
  <c r="H34" i="17"/>
  <c r="U33" i="17"/>
  <c r="I33" i="17"/>
  <c r="H33" i="17"/>
  <c r="J32" i="17"/>
  <c r="I32" i="17"/>
  <c r="H32" i="17"/>
  <c r="J31" i="17"/>
  <c r="I31" i="17"/>
  <c r="H31" i="17"/>
  <c r="J30" i="17"/>
  <c r="I30" i="17"/>
  <c r="H30" i="17"/>
  <c r="U29" i="17"/>
  <c r="S29" i="17" s="1"/>
  <c r="S33" i="17" s="1"/>
  <c r="I29" i="17"/>
  <c r="H29" i="17"/>
  <c r="I28" i="17"/>
  <c r="H28" i="17"/>
  <c r="U27" i="17"/>
  <c r="S27" i="17" s="1"/>
  <c r="I27" i="17"/>
  <c r="H27" i="17"/>
  <c r="I26" i="17"/>
  <c r="H26" i="17"/>
  <c r="U25" i="17"/>
  <c r="U26" i="17" s="1"/>
  <c r="S26" i="17" s="1"/>
  <c r="S25" i="17"/>
  <c r="I25" i="17"/>
  <c r="H25" i="17"/>
  <c r="U24" i="17"/>
  <c r="U21" i="17" s="1"/>
  <c r="I24" i="17"/>
  <c r="H24" i="17"/>
  <c r="U23" i="17"/>
  <c r="S23" i="17" s="1"/>
  <c r="S24" i="17" s="1"/>
  <c r="I23" i="17"/>
  <c r="H23" i="17"/>
  <c r="U22" i="17"/>
  <c r="S22" i="17"/>
  <c r="I22" i="17"/>
  <c r="H22" i="17"/>
  <c r="I21" i="17"/>
  <c r="H21" i="17"/>
  <c r="J20" i="17"/>
  <c r="I20" i="17"/>
  <c r="H20" i="17"/>
  <c r="U19" i="17"/>
  <c r="S19" i="17" s="1"/>
  <c r="J19" i="17"/>
  <c r="I19" i="17"/>
  <c r="H19" i="17"/>
  <c r="J18" i="17"/>
  <c r="I18" i="17"/>
  <c r="H18" i="17"/>
  <c r="U17" i="17"/>
  <c r="U18" i="17" s="1"/>
  <c r="S18" i="17" s="1"/>
  <c r="S17" i="17"/>
  <c r="S21" i="17" s="1"/>
  <c r="I17" i="17"/>
  <c r="H17" i="17"/>
  <c r="I16" i="17"/>
  <c r="H16" i="17"/>
  <c r="U15" i="17"/>
  <c r="U16" i="17" s="1"/>
  <c r="S16" i="17" s="1"/>
  <c r="I15" i="17"/>
  <c r="H15" i="17"/>
  <c r="U14" i="17"/>
  <c r="S14" i="17" s="1"/>
  <c r="I14" i="17"/>
  <c r="H14" i="17"/>
  <c r="U13" i="17"/>
  <c r="S13" i="17" s="1"/>
  <c r="I13" i="17"/>
  <c r="H13" i="17"/>
  <c r="U12" i="17"/>
  <c r="U9" i="17" s="1"/>
  <c r="I12" i="17"/>
  <c r="H12" i="17"/>
  <c r="U11" i="17"/>
  <c r="S11" i="17"/>
  <c r="S12" i="17" s="1"/>
  <c r="I11" i="17"/>
  <c r="H11" i="17"/>
  <c r="U10" i="17"/>
  <c r="S10" i="17"/>
  <c r="I10" i="17"/>
  <c r="H10" i="17"/>
  <c r="S9" i="17"/>
  <c r="I9" i="17"/>
  <c r="H9" i="17"/>
  <c r="J8" i="17"/>
  <c r="I8" i="17"/>
  <c r="H8" i="17"/>
  <c r="U7" i="17"/>
  <c r="S7" i="17" s="1"/>
  <c r="J7" i="17"/>
  <c r="I7" i="17"/>
  <c r="H7" i="17"/>
  <c r="U6" i="17"/>
  <c r="S6" i="17"/>
  <c r="J6" i="17"/>
  <c r="I6" i="17"/>
  <c r="H6" i="17"/>
  <c r="W171" i="17"/>
  <c r="U5" i="17"/>
  <c r="S5" i="17"/>
  <c r="I5" i="17"/>
  <c r="H5" i="17"/>
  <c r="V534" i="15"/>
  <c r="V537" i="15"/>
  <c r="V540" i="15"/>
  <c r="V543" i="15"/>
  <c r="V546" i="15"/>
  <c r="V549" i="15"/>
  <c r="V552" i="15"/>
  <c r="V555" i="15"/>
  <c r="V558" i="15"/>
  <c r="V561" i="15"/>
  <c r="V564" i="15"/>
  <c r="V567" i="15"/>
  <c r="V570" i="15"/>
  <c r="V573" i="15"/>
  <c r="V576" i="15"/>
  <c r="V579" i="15"/>
  <c r="V582" i="15"/>
  <c r="V585" i="15"/>
  <c r="V588" i="15"/>
  <c r="V591" i="15"/>
  <c r="V594" i="15"/>
  <c r="V597" i="15"/>
  <c r="V600" i="15"/>
  <c r="V603" i="15"/>
  <c r="V606" i="15"/>
  <c r="V609" i="15"/>
  <c r="V612" i="15"/>
  <c r="V615" i="15"/>
  <c r="V618" i="15"/>
  <c r="V621" i="15"/>
  <c r="V624" i="15"/>
  <c r="V627" i="15"/>
  <c r="V630" i="15"/>
  <c r="V633" i="15"/>
  <c r="V636" i="15"/>
  <c r="V639" i="15"/>
  <c r="V642" i="15"/>
  <c r="V645" i="15"/>
  <c r="V648" i="15"/>
  <c r="V651" i="15"/>
  <c r="V654" i="15"/>
  <c r="V657" i="15"/>
  <c r="V660" i="15"/>
  <c r="V663" i="15"/>
  <c r="V666" i="15"/>
  <c r="V669" i="15"/>
  <c r="V672" i="15"/>
  <c r="V675" i="15"/>
  <c r="V678" i="15"/>
  <c r="V681" i="15"/>
  <c r="V684" i="15"/>
  <c r="V687" i="15"/>
  <c r="V690" i="15"/>
  <c r="V693" i="15"/>
  <c r="V696" i="15"/>
  <c r="V699" i="15"/>
  <c r="V702" i="15"/>
  <c r="V705" i="15"/>
  <c r="V708" i="15"/>
  <c r="V711" i="15"/>
  <c r="V714" i="15"/>
  <c r="V717" i="15"/>
  <c r="V720" i="15"/>
  <c r="V723" i="15"/>
  <c r="V726" i="15"/>
  <c r="V729" i="15"/>
  <c r="V732" i="15"/>
  <c r="V735" i="15"/>
  <c r="V738" i="15"/>
  <c r="V741" i="15"/>
  <c r="V744" i="15"/>
  <c r="V747" i="15"/>
  <c r="V750" i="15"/>
  <c r="V753" i="15"/>
  <c r="V756" i="15"/>
  <c r="V759" i="15"/>
  <c r="V762" i="15"/>
  <c r="V765" i="15"/>
  <c r="V768" i="15"/>
  <c r="V771" i="15"/>
  <c r="V774" i="15"/>
  <c r="V777" i="15"/>
  <c r="V780" i="15"/>
  <c r="V783" i="15"/>
  <c r="V786" i="15"/>
  <c r="V789" i="15"/>
  <c r="V792" i="15"/>
  <c r="V795" i="15"/>
  <c r="V798" i="15"/>
  <c r="V801" i="15"/>
  <c r="V804" i="15"/>
  <c r="V807" i="15"/>
  <c r="V810" i="15"/>
  <c r="V813" i="15"/>
  <c r="V816" i="15"/>
  <c r="V819" i="15"/>
  <c r="V822" i="15"/>
  <c r="V825" i="15"/>
  <c r="V828" i="15"/>
  <c r="V831" i="15"/>
  <c r="V834" i="15"/>
  <c r="V837" i="15"/>
  <c r="V840" i="15"/>
  <c r="L565" i="15"/>
  <c r="V565" i="15" s="1"/>
  <c r="L568" i="15"/>
  <c r="V568" i="15" s="1"/>
  <c r="L571" i="15"/>
  <c r="V571" i="15" s="1"/>
  <c r="L574" i="15"/>
  <c r="V574" i="15" s="1"/>
  <c r="L577" i="15"/>
  <c r="V577" i="15" s="1"/>
  <c r="L580" i="15"/>
  <c r="V580" i="15" s="1"/>
  <c r="L583" i="15"/>
  <c r="V583" i="15" s="1"/>
  <c r="L586" i="15"/>
  <c r="V586" i="15" s="1"/>
  <c r="L589" i="15"/>
  <c r="V589" i="15" s="1"/>
  <c r="L592" i="15"/>
  <c r="V592" i="15" s="1"/>
  <c r="L595" i="15"/>
  <c r="V595" i="15" s="1"/>
  <c r="L598" i="15"/>
  <c r="V598" i="15" s="1"/>
  <c r="L601" i="15"/>
  <c r="V601" i="15" s="1"/>
  <c r="L604" i="15"/>
  <c r="V604" i="15" s="1"/>
  <c r="L607" i="15"/>
  <c r="V607" i="15" s="1"/>
  <c r="L610" i="15"/>
  <c r="V610" i="15" s="1"/>
  <c r="L613" i="15"/>
  <c r="V613" i="15" s="1"/>
  <c r="L616" i="15"/>
  <c r="V616" i="15" s="1"/>
  <c r="L619" i="15"/>
  <c r="V619" i="15" s="1"/>
  <c r="L622" i="15"/>
  <c r="V622" i="15" s="1"/>
  <c r="L625" i="15"/>
  <c r="V625" i="15" s="1"/>
  <c r="L628" i="15"/>
  <c r="V628" i="15" s="1"/>
  <c r="L631" i="15"/>
  <c r="V631" i="15" s="1"/>
  <c r="L634" i="15"/>
  <c r="V634" i="15" s="1"/>
  <c r="L637" i="15"/>
  <c r="V637" i="15" s="1"/>
  <c r="L640" i="15"/>
  <c r="V640" i="15" s="1"/>
  <c r="L643" i="15"/>
  <c r="V643" i="15" s="1"/>
  <c r="L646" i="15"/>
  <c r="V646" i="15" s="1"/>
  <c r="L649" i="15"/>
  <c r="V649" i="15" s="1"/>
  <c r="L652" i="15"/>
  <c r="V652" i="15" s="1"/>
  <c r="L655" i="15"/>
  <c r="V655" i="15" s="1"/>
  <c r="L658" i="15"/>
  <c r="V658" i="15" s="1"/>
  <c r="L661" i="15"/>
  <c r="V661" i="15" s="1"/>
  <c r="L664" i="15"/>
  <c r="V664" i="15" s="1"/>
  <c r="L667" i="15"/>
  <c r="V667" i="15" s="1"/>
  <c r="L670" i="15"/>
  <c r="V670" i="15" s="1"/>
  <c r="L673" i="15"/>
  <c r="V673" i="15" s="1"/>
  <c r="L676" i="15"/>
  <c r="V676" i="15" s="1"/>
  <c r="L679" i="15"/>
  <c r="V679" i="15" s="1"/>
  <c r="L682" i="15"/>
  <c r="V682" i="15" s="1"/>
  <c r="L685" i="15"/>
  <c r="V685" i="15" s="1"/>
  <c r="L688" i="15"/>
  <c r="V688" i="15" s="1"/>
  <c r="L691" i="15"/>
  <c r="V691" i="15" s="1"/>
  <c r="L694" i="15"/>
  <c r="V694" i="15" s="1"/>
  <c r="L697" i="15"/>
  <c r="V697" i="15" s="1"/>
  <c r="L700" i="15"/>
  <c r="V700" i="15" s="1"/>
  <c r="L703" i="15"/>
  <c r="V703" i="15" s="1"/>
  <c r="L706" i="15"/>
  <c r="V706" i="15" s="1"/>
  <c r="L709" i="15"/>
  <c r="V709" i="15" s="1"/>
  <c r="L712" i="15"/>
  <c r="V712" i="15" s="1"/>
  <c r="L715" i="15"/>
  <c r="V715" i="15" s="1"/>
  <c r="L718" i="15"/>
  <c r="V718" i="15" s="1"/>
  <c r="L721" i="15"/>
  <c r="V721" i="15" s="1"/>
  <c r="L724" i="15"/>
  <c r="V724" i="15" s="1"/>
  <c r="L727" i="15"/>
  <c r="V727" i="15" s="1"/>
  <c r="L730" i="15"/>
  <c r="V730" i="15" s="1"/>
  <c r="L733" i="15"/>
  <c r="V733" i="15" s="1"/>
  <c r="L736" i="15"/>
  <c r="V736" i="15" s="1"/>
  <c r="L739" i="15"/>
  <c r="V739" i="15" s="1"/>
  <c r="L742" i="15"/>
  <c r="V742" i="15" s="1"/>
  <c r="L745" i="15"/>
  <c r="V745" i="15" s="1"/>
  <c r="L748" i="15"/>
  <c r="V748" i="15" s="1"/>
  <c r="L751" i="15"/>
  <c r="V751" i="15" s="1"/>
  <c r="L754" i="15"/>
  <c r="V754" i="15" s="1"/>
  <c r="L757" i="15"/>
  <c r="V757" i="15" s="1"/>
  <c r="L760" i="15"/>
  <c r="V760" i="15" s="1"/>
  <c r="L763" i="15"/>
  <c r="V763" i="15" s="1"/>
  <c r="L766" i="15"/>
  <c r="V766" i="15" s="1"/>
  <c r="L769" i="15"/>
  <c r="V769" i="15" s="1"/>
  <c r="L772" i="15"/>
  <c r="V772" i="15" s="1"/>
  <c r="L775" i="15"/>
  <c r="V775" i="15" s="1"/>
  <c r="L778" i="15"/>
  <c r="V778" i="15" s="1"/>
  <c r="L781" i="15"/>
  <c r="V781" i="15" s="1"/>
  <c r="L784" i="15"/>
  <c r="V784" i="15" s="1"/>
  <c r="L787" i="15"/>
  <c r="V787" i="15" s="1"/>
  <c r="L790" i="15"/>
  <c r="V790" i="15" s="1"/>
  <c r="L793" i="15"/>
  <c r="V793" i="15" s="1"/>
  <c r="L796" i="15"/>
  <c r="V796" i="15" s="1"/>
  <c r="L799" i="15"/>
  <c r="V799" i="15" s="1"/>
  <c r="L802" i="15"/>
  <c r="V802" i="15" s="1"/>
  <c r="L805" i="15"/>
  <c r="V805" i="15" s="1"/>
  <c r="L808" i="15"/>
  <c r="V808" i="15" s="1"/>
  <c r="L811" i="15"/>
  <c r="V811" i="15" s="1"/>
  <c r="L814" i="15"/>
  <c r="V814" i="15" s="1"/>
  <c r="L817" i="15"/>
  <c r="V817" i="15" s="1"/>
  <c r="L820" i="15"/>
  <c r="V820" i="15" s="1"/>
  <c r="L823" i="15"/>
  <c r="V823" i="15" s="1"/>
  <c r="L826" i="15"/>
  <c r="V826" i="15" s="1"/>
  <c r="L829" i="15"/>
  <c r="V829" i="15" s="1"/>
  <c r="L832" i="15"/>
  <c r="V832" i="15" s="1"/>
  <c r="L835" i="15"/>
  <c r="V835" i="15" s="1"/>
  <c r="L838" i="15"/>
  <c r="V838" i="15" s="1"/>
  <c r="L841" i="15"/>
  <c r="V841" i="15" s="1"/>
  <c r="L538" i="15"/>
  <c r="V538" i="15" s="1"/>
  <c r="L541" i="15"/>
  <c r="V541" i="15" s="1"/>
  <c r="L544" i="15"/>
  <c r="V544" i="15" s="1"/>
  <c r="L547" i="15"/>
  <c r="V547" i="15" s="1"/>
  <c r="L550" i="15"/>
  <c r="V550" i="15" s="1"/>
  <c r="L553" i="15"/>
  <c r="V553" i="15" s="1"/>
  <c r="L556" i="15"/>
  <c r="V556" i="15" s="1"/>
  <c r="L559" i="15"/>
  <c r="V559" i="15" s="1"/>
  <c r="L562" i="15"/>
  <c r="V562" i="15" s="1"/>
  <c r="L535" i="15"/>
  <c r="V535" i="15" s="1"/>
  <c r="L532" i="15"/>
  <c r="V532" i="15" s="1"/>
  <c r="V97" i="15"/>
  <c r="V100" i="15"/>
  <c r="V103" i="15"/>
  <c r="V106" i="15"/>
  <c r="V109" i="15"/>
  <c r="V112" i="15"/>
  <c r="V115" i="15"/>
  <c r="V118" i="15"/>
  <c r="V121" i="15"/>
  <c r="V124" i="15"/>
  <c r="V127" i="15"/>
  <c r="V130" i="15"/>
  <c r="V133" i="15"/>
  <c r="V136" i="15"/>
  <c r="V139" i="15"/>
  <c r="V142" i="15"/>
  <c r="V145" i="15"/>
  <c r="V148" i="15"/>
  <c r="V151" i="15"/>
  <c r="V154" i="15"/>
  <c r="V157" i="15"/>
  <c r="V160" i="15"/>
  <c r="V163" i="15"/>
  <c r="V166" i="15"/>
  <c r="V169" i="15"/>
  <c r="V172" i="15"/>
  <c r="V175" i="15"/>
  <c r="V178" i="15"/>
  <c r="V181" i="15"/>
  <c r="V184" i="15"/>
  <c r="V187" i="15"/>
  <c r="V190" i="15"/>
  <c r="V193" i="15"/>
  <c r="V196" i="15"/>
  <c r="V199" i="15"/>
  <c r="V202" i="15"/>
  <c r="V205" i="15"/>
  <c r="V208" i="15"/>
  <c r="V211" i="15"/>
  <c r="V214" i="15"/>
  <c r="V217" i="15"/>
  <c r="V220" i="15"/>
  <c r="V223" i="15"/>
  <c r="V226" i="15"/>
  <c r="V229" i="15"/>
  <c r="V232" i="15"/>
  <c r="V235" i="15"/>
  <c r="V238" i="15"/>
  <c r="V241" i="15"/>
  <c r="V244" i="15"/>
  <c r="V247" i="15"/>
  <c r="V250" i="15"/>
  <c r="V253" i="15"/>
  <c r="V256" i="15"/>
  <c r="V259" i="15"/>
  <c r="V262" i="15"/>
  <c r="V265" i="15"/>
  <c r="V268" i="15"/>
  <c r="V271" i="15"/>
  <c r="V274" i="15"/>
  <c r="V277" i="15"/>
  <c r="V280" i="15"/>
  <c r="V283" i="15"/>
  <c r="V286" i="15"/>
  <c r="V289" i="15"/>
  <c r="V292" i="15"/>
  <c r="V295" i="15"/>
  <c r="V298" i="15"/>
  <c r="V301" i="15"/>
  <c r="V304" i="15"/>
  <c r="V307" i="15"/>
  <c r="V310" i="15"/>
  <c r="V313" i="15"/>
  <c r="V316" i="15"/>
  <c r="V319" i="15"/>
  <c r="V322" i="15"/>
  <c r="V325" i="15"/>
  <c r="V328" i="15"/>
  <c r="V331" i="15"/>
  <c r="V334" i="15"/>
  <c r="V337" i="15"/>
  <c r="V340" i="15"/>
  <c r="V343" i="15"/>
  <c r="V346" i="15"/>
  <c r="V349" i="15"/>
  <c r="V352" i="15"/>
  <c r="V355" i="15"/>
  <c r="V358" i="15"/>
  <c r="V361" i="15"/>
  <c r="V364" i="15"/>
  <c r="V367" i="15"/>
  <c r="V370" i="15"/>
  <c r="V373" i="15"/>
  <c r="V376" i="15"/>
  <c r="V379" i="15"/>
  <c r="V382" i="15"/>
  <c r="V385" i="15"/>
  <c r="V388" i="15"/>
  <c r="V391" i="15"/>
  <c r="V394" i="15"/>
  <c r="V397" i="15"/>
  <c r="V400" i="15"/>
  <c r="V403" i="15"/>
  <c r="V406" i="15"/>
  <c r="V409" i="15"/>
  <c r="V412" i="15"/>
  <c r="V415" i="15"/>
  <c r="L104" i="15"/>
  <c r="V104" i="15" s="1"/>
  <c r="L107" i="15"/>
  <c r="V107" i="15" s="1"/>
  <c r="L110" i="15"/>
  <c r="V110" i="15" s="1"/>
  <c r="L113" i="15"/>
  <c r="V113" i="15" s="1"/>
  <c r="L116" i="15"/>
  <c r="V116" i="15" s="1"/>
  <c r="L119" i="15"/>
  <c r="V119" i="15" s="1"/>
  <c r="L122" i="15"/>
  <c r="V122" i="15" s="1"/>
  <c r="L125" i="15"/>
  <c r="V125" i="15" s="1"/>
  <c r="L128" i="15"/>
  <c r="V128" i="15" s="1"/>
  <c r="L131" i="15"/>
  <c r="V131" i="15" s="1"/>
  <c r="L134" i="15"/>
  <c r="V134" i="15" s="1"/>
  <c r="L137" i="15"/>
  <c r="V137" i="15" s="1"/>
  <c r="L140" i="15"/>
  <c r="V140" i="15" s="1"/>
  <c r="L143" i="15"/>
  <c r="V143" i="15" s="1"/>
  <c r="L146" i="15"/>
  <c r="V146" i="15" s="1"/>
  <c r="L149" i="15"/>
  <c r="V149" i="15" s="1"/>
  <c r="L152" i="15"/>
  <c r="V152" i="15" s="1"/>
  <c r="L155" i="15"/>
  <c r="V155" i="15" s="1"/>
  <c r="L158" i="15"/>
  <c r="V158" i="15" s="1"/>
  <c r="L161" i="15"/>
  <c r="V161" i="15" s="1"/>
  <c r="L164" i="15"/>
  <c r="V164" i="15" s="1"/>
  <c r="L167" i="15"/>
  <c r="V167" i="15" s="1"/>
  <c r="L170" i="15"/>
  <c r="V170" i="15" s="1"/>
  <c r="L173" i="15"/>
  <c r="V173" i="15" s="1"/>
  <c r="L176" i="15"/>
  <c r="V176" i="15" s="1"/>
  <c r="L179" i="15"/>
  <c r="V179" i="15" s="1"/>
  <c r="L182" i="15"/>
  <c r="V182" i="15" s="1"/>
  <c r="L185" i="15"/>
  <c r="V185" i="15" s="1"/>
  <c r="L188" i="15"/>
  <c r="V188" i="15" s="1"/>
  <c r="L191" i="15"/>
  <c r="V191" i="15" s="1"/>
  <c r="L194" i="15"/>
  <c r="V194" i="15" s="1"/>
  <c r="L197" i="15"/>
  <c r="V197" i="15" s="1"/>
  <c r="L200" i="15"/>
  <c r="V200" i="15" s="1"/>
  <c r="L203" i="15"/>
  <c r="V203" i="15" s="1"/>
  <c r="L206" i="15"/>
  <c r="V206" i="15" s="1"/>
  <c r="L209" i="15"/>
  <c r="V209" i="15" s="1"/>
  <c r="L212" i="15"/>
  <c r="V212" i="15" s="1"/>
  <c r="L215" i="15"/>
  <c r="V215" i="15" s="1"/>
  <c r="L218" i="15"/>
  <c r="V218" i="15" s="1"/>
  <c r="L221" i="15"/>
  <c r="V221" i="15" s="1"/>
  <c r="L224" i="15"/>
  <c r="V224" i="15" s="1"/>
  <c r="L227" i="15"/>
  <c r="V227" i="15" s="1"/>
  <c r="L230" i="15"/>
  <c r="V230" i="15" s="1"/>
  <c r="L233" i="15"/>
  <c r="V233" i="15" s="1"/>
  <c r="L236" i="15"/>
  <c r="V236" i="15" s="1"/>
  <c r="L239" i="15"/>
  <c r="V239" i="15" s="1"/>
  <c r="L242" i="15"/>
  <c r="V242" i="15" s="1"/>
  <c r="L245" i="15"/>
  <c r="V245" i="15" s="1"/>
  <c r="L248" i="15"/>
  <c r="V248" i="15" s="1"/>
  <c r="L251" i="15"/>
  <c r="V251" i="15" s="1"/>
  <c r="L254" i="15"/>
  <c r="V254" i="15" s="1"/>
  <c r="L257" i="15"/>
  <c r="V257" i="15" s="1"/>
  <c r="L260" i="15"/>
  <c r="V260" i="15" s="1"/>
  <c r="L263" i="15"/>
  <c r="V263" i="15" s="1"/>
  <c r="L266" i="15"/>
  <c r="V266" i="15" s="1"/>
  <c r="L269" i="15"/>
  <c r="V269" i="15" s="1"/>
  <c r="L272" i="15"/>
  <c r="V272" i="15" s="1"/>
  <c r="L275" i="15"/>
  <c r="V275" i="15" s="1"/>
  <c r="L278" i="15"/>
  <c r="V278" i="15" s="1"/>
  <c r="L281" i="15"/>
  <c r="V281" i="15" s="1"/>
  <c r="L284" i="15"/>
  <c r="V284" i="15" s="1"/>
  <c r="L287" i="15"/>
  <c r="V287" i="15" s="1"/>
  <c r="L290" i="15"/>
  <c r="V290" i="15" s="1"/>
  <c r="L293" i="15"/>
  <c r="V293" i="15" s="1"/>
  <c r="L296" i="15"/>
  <c r="V296" i="15" s="1"/>
  <c r="L299" i="15"/>
  <c r="V299" i="15" s="1"/>
  <c r="L302" i="15"/>
  <c r="V302" i="15" s="1"/>
  <c r="L305" i="15"/>
  <c r="V305" i="15" s="1"/>
  <c r="L308" i="15"/>
  <c r="V308" i="15" s="1"/>
  <c r="L311" i="15"/>
  <c r="V311" i="15" s="1"/>
  <c r="L314" i="15"/>
  <c r="V314" i="15" s="1"/>
  <c r="L317" i="15"/>
  <c r="V317" i="15" s="1"/>
  <c r="L320" i="15"/>
  <c r="V320" i="15" s="1"/>
  <c r="L323" i="15"/>
  <c r="V323" i="15" s="1"/>
  <c r="L326" i="15"/>
  <c r="V326" i="15" s="1"/>
  <c r="L329" i="15"/>
  <c r="V329" i="15" s="1"/>
  <c r="L332" i="15"/>
  <c r="V332" i="15" s="1"/>
  <c r="L335" i="15"/>
  <c r="V335" i="15" s="1"/>
  <c r="L338" i="15"/>
  <c r="V338" i="15" s="1"/>
  <c r="L341" i="15"/>
  <c r="V341" i="15" s="1"/>
  <c r="L344" i="15"/>
  <c r="V344" i="15" s="1"/>
  <c r="L347" i="15"/>
  <c r="V347" i="15" s="1"/>
  <c r="L350" i="15"/>
  <c r="V350" i="15" s="1"/>
  <c r="L353" i="15"/>
  <c r="V353" i="15" s="1"/>
  <c r="L356" i="15"/>
  <c r="V356" i="15" s="1"/>
  <c r="L359" i="15"/>
  <c r="V359" i="15" s="1"/>
  <c r="L362" i="15"/>
  <c r="V362" i="15" s="1"/>
  <c r="L365" i="15"/>
  <c r="V365" i="15" s="1"/>
  <c r="L368" i="15"/>
  <c r="V368" i="15" s="1"/>
  <c r="L371" i="15"/>
  <c r="V371" i="15" s="1"/>
  <c r="L374" i="15"/>
  <c r="V374" i="15" s="1"/>
  <c r="L377" i="15"/>
  <c r="V377" i="15" s="1"/>
  <c r="L380" i="15"/>
  <c r="V380" i="15" s="1"/>
  <c r="L383" i="15"/>
  <c r="V383" i="15" s="1"/>
  <c r="L386" i="15"/>
  <c r="V386" i="15" s="1"/>
  <c r="L389" i="15"/>
  <c r="V389" i="15" s="1"/>
  <c r="L392" i="15"/>
  <c r="V392" i="15" s="1"/>
  <c r="L395" i="15"/>
  <c r="V395" i="15" s="1"/>
  <c r="L398" i="15"/>
  <c r="V398" i="15" s="1"/>
  <c r="L401" i="15"/>
  <c r="V401" i="15" s="1"/>
  <c r="L404" i="15"/>
  <c r="V404" i="15" s="1"/>
  <c r="L407" i="15"/>
  <c r="V407" i="15" s="1"/>
  <c r="L410" i="15"/>
  <c r="V410" i="15" s="1"/>
  <c r="L413" i="15"/>
  <c r="V413" i="15" s="1"/>
  <c r="L416" i="15"/>
  <c r="V416" i="15" s="1"/>
  <c r="L101" i="15"/>
  <c r="V101" i="15" s="1"/>
  <c r="L98" i="15"/>
  <c r="V98" i="15" s="1"/>
  <c r="L95" i="15"/>
  <c r="V95" i="15" s="1"/>
  <c r="T448" i="15"/>
  <c r="T449" i="15"/>
  <c r="T450" i="15"/>
  <c r="T451" i="15"/>
  <c r="T452" i="15"/>
  <c r="T453" i="15"/>
  <c r="T454" i="15"/>
  <c r="T455" i="15"/>
  <c r="T456" i="15"/>
  <c r="T457" i="15"/>
  <c r="T458" i="15"/>
  <c r="T459" i="15"/>
  <c r="T460" i="15"/>
  <c r="T461" i="15"/>
  <c r="T462" i="15"/>
  <c r="T463" i="15"/>
  <c r="T464" i="15"/>
  <c r="T465" i="15"/>
  <c r="T466" i="15"/>
  <c r="T467" i="15"/>
  <c r="T468" i="15"/>
  <c r="T469" i="15"/>
  <c r="T470" i="15"/>
  <c r="T471" i="15"/>
  <c r="T472" i="15"/>
  <c r="T473" i="15"/>
  <c r="T474" i="15"/>
  <c r="T475" i="15"/>
  <c r="T476" i="15"/>
  <c r="T477" i="15"/>
  <c r="T478" i="15"/>
  <c r="T479" i="15"/>
  <c r="T480" i="15"/>
  <c r="T481" i="15"/>
  <c r="T482" i="15"/>
  <c r="T483" i="15"/>
  <c r="T484" i="15"/>
  <c r="T485" i="15"/>
  <c r="T486" i="15"/>
  <c r="T487" i="15"/>
  <c r="T488" i="15"/>
  <c r="T489" i="15"/>
  <c r="T490" i="15"/>
  <c r="T491" i="15"/>
  <c r="T492" i="15"/>
  <c r="T493" i="15"/>
  <c r="T494" i="15"/>
  <c r="T495" i="15"/>
  <c r="T496" i="15"/>
  <c r="T497" i="15"/>
  <c r="T498" i="15"/>
  <c r="T499" i="15"/>
  <c r="T500" i="15"/>
  <c r="T501" i="15"/>
  <c r="T502" i="15"/>
  <c r="T503" i="15"/>
  <c r="T504" i="15"/>
  <c r="T505" i="15"/>
  <c r="T506" i="15"/>
  <c r="T507" i="15"/>
  <c r="T508" i="15"/>
  <c r="T509" i="15"/>
  <c r="T510" i="15"/>
  <c r="T511" i="15"/>
  <c r="T512" i="15"/>
  <c r="T513" i="15"/>
  <c r="T514" i="15"/>
  <c r="T515" i="15"/>
  <c r="T516" i="15"/>
  <c r="T517" i="15"/>
  <c r="T518" i="15"/>
  <c r="T519" i="15"/>
  <c r="T520" i="15"/>
  <c r="T521" i="15"/>
  <c r="T522" i="15"/>
  <c r="T523" i="15"/>
  <c r="T524" i="15"/>
  <c r="T525" i="15"/>
  <c r="T526" i="15"/>
  <c r="T527" i="15"/>
  <c r="T528" i="15"/>
  <c r="T529" i="15"/>
  <c r="T530" i="15"/>
  <c r="T531" i="15"/>
  <c r="T534" i="15"/>
  <c r="T537" i="15"/>
  <c r="T540" i="15"/>
  <c r="T543" i="15"/>
  <c r="T546" i="15"/>
  <c r="T549" i="15"/>
  <c r="T552" i="15"/>
  <c r="T555" i="15"/>
  <c r="T558" i="15"/>
  <c r="T561" i="15"/>
  <c r="T564" i="15"/>
  <c r="T567" i="15"/>
  <c r="T570" i="15"/>
  <c r="T573" i="15"/>
  <c r="T576" i="15"/>
  <c r="T579" i="15"/>
  <c r="T582" i="15"/>
  <c r="T585" i="15"/>
  <c r="T588" i="15"/>
  <c r="T591" i="15"/>
  <c r="T594" i="15"/>
  <c r="T597" i="15"/>
  <c r="T600" i="15"/>
  <c r="T603" i="15"/>
  <c r="T606" i="15"/>
  <c r="T609" i="15"/>
  <c r="T612" i="15"/>
  <c r="T615" i="15"/>
  <c r="T618" i="15"/>
  <c r="T621" i="15"/>
  <c r="T624" i="15"/>
  <c r="T627" i="15"/>
  <c r="T630" i="15"/>
  <c r="T633" i="15"/>
  <c r="T636" i="15"/>
  <c r="T639" i="15"/>
  <c r="T642" i="15"/>
  <c r="T645" i="15"/>
  <c r="T648" i="15"/>
  <c r="T651" i="15"/>
  <c r="T654" i="15"/>
  <c r="T657" i="15"/>
  <c r="T660" i="15"/>
  <c r="T663" i="15"/>
  <c r="T666" i="15"/>
  <c r="T669" i="15"/>
  <c r="T672" i="15"/>
  <c r="T675" i="15"/>
  <c r="T678" i="15"/>
  <c r="T681" i="15"/>
  <c r="T684" i="15"/>
  <c r="T687" i="15"/>
  <c r="T690" i="15"/>
  <c r="T693" i="15"/>
  <c r="T696" i="15"/>
  <c r="T699" i="15"/>
  <c r="T702" i="15"/>
  <c r="T705" i="15"/>
  <c r="T708" i="15"/>
  <c r="T711" i="15"/>
  <c r="T714" i="15"/>
  <c r="T717" i="15"/>
  <c r="T720" i="15"/>
  <c r="T723" i="15"/>
  <c r="T726" i="15"/>
  <c r="T729" i="15"/>
  <c r="T732" i="15"/>
  <c r="T735" i="15"/>
  <c r="T738" i="15"/>
  <c r="T741" i="15"/>
  <c r="T744" i="15"/>
  <c r="T747" i="15"/>
  <c r="T750" i="15"/>
  <c r="T753" i="15"/>
  <c r="T756" i="15"/>
  <c r="T759" i="15"/>
  <c r="T762" i="15"/>
  <c r="T765" i="15"/>
  <c r="T768" i="15"/>
  <c r="T771" i="15"/>
  <c r="T774" i="15"/>
  <c r="T777" i="15"/>
  <c r="T780" i="15"/>
  <c r="T783" i="15"/>
  <c r="T786" i="15"/>
  <c r="T789" i="15"/>
  <c r="T792" i="15"/>
  <c r="T795" i="15"/>
  <c r="T798" i="15"/>
  <c r="T801" i="15"/>
  <c r="T804" i="15"/>
  <c r="T807" i="15"/>
  <c r="T810" i="15"/>
  <c r="T813" i="15"/>
  <c r="T816" i="15"/>
  <c r="T819" i="15"/>
  <c r="T822" i="15"/>
  <c r="T825" i="15"/>
  <c r="T828" i="15"/>
  <c r="T831" i="15"/>
  <c r="T834" i="15"/>
  <c r="T837" i="15"/>
  <c r="T840" i="15"/>
  <c r="T843" i="15"/>
  <c r="T844" i="15"/>
  <c r="T845" i="15"/>
  <c r="T846" i="15"/>
  <c r="T847" i="15"/>
  <c r="T848" i="15"/>
  <c r="T849" i="15"/>
  <c r="T850" i="15"/>
  <c r="T851" i="15"/>
  <c r="T852" i="15"/>
  <c r="T853" i="15"/>
  <c r="T854" i="15"/>
  <c r="T855" i="15"/>
  <c r="T856" i="15"/>
  <c r="T857" i="15"/>
  <c r="T858" i="15"/>
  <c r="T859" i="15"/>
  <c r="T860" i="15"/>
  <c r="T861" i="15"/>
  <c r="T862" i="15"/>
  <c r="T863" i="15"/>
  <c r="T864" i="15"/>
  <c r="T865" i="15"/>
  <c r="T866" i="15"/>
  <c r="T867" i="15"/>
  <c r="T868" i="15"/>
  <c r="T869" i="15"/>
  <c r="T870" i="15"/>
  <c r="T871" i="15"/>
  <c r="T447" i="15"/>
  <c r="T7" i="15"/>
  <c r="T8" i="15"/>
  <c r="T9" i="15"/>
  <c r="T10" i="15"/>
  <c r="T11" i="15"/>
  <c r="T12" i="15"/>
  <c r="T13" i="15"/>
  <c r="T14" i="15"/>
  <c r="T15" i="15"/>
  <c r="T16" i="15"/>
  <c r="T17" i="15"/>
  <c r="T18" i="15"/>
  <c r="T19" i="15"/>
  <c r="T20" i="15"/>
  <c r="T21" i="15"/>
  <c r="T22" i="15"/>
  <c r="T23" i="15"/>
  <c r="T24" i="15"/>
  <c r="T25" i="15"/>
  <c r="T26" i="15"/>
  <c r="T27" i="15"/>
  <c r="T28" i="15"/>
  <c r="T29" i="15"/>
  <c r="T30" i="15"/>
  <c r="T31" i="15"/>
  <c r="T32" i="15"/>
  <c r="T33" i="15"/>
  <c r="T34" i="15"/>
  <c r="T35" i="15"/>
  <c r="T36" i="15"/>
  <c r="T37" i="15"/>
  <c r="T38" i="15"/>
  <c r="T39" i="15"/>
  <c r="T40" i="15"/>
  <c r="T41" i="15"/>
  <c r="T42" i="15"/>
  <c r="T43" i="15"/>
  <c r="T44" i="15"/>
  <c r="T45" i="15"/>
  <c r="T46" i="15"/>
  <c r="T47" i="15"/>
  <c r="T48" i="15"/>
  <c r="T49" i="15"/>
  <c r="T50" i="15"/>
  <c r="T51" i="15"/>
  <c r="T52" i="15"/>
  <c r="T53" i="15"/>
  <c r="T54" i="15"/>
  <c r="T55" i="15"/>
  <c r="T56" i="15"/>
  <c r="T57" i="15"/>
  <c r="T58" i="15"/>
  <c r="T59" i="15"/>
  <c r="T60" i="15"/>
  <c r="T61" i="15"/>
  <c r="T62" i="15"/>
  <c r="T63" i="15"/>
  <c r="T64" i="15"/>
  <c r="T65" i="15"/>
  <c r="T66" i="15"/>
  <c r="T67" i="15"/>
  <c r="T68" i="15"/>
  <c r="T69" i="15"/>
  <c r="T70" i="15"/>
  <c r="T71" i="15"/>
  <c r="T72" i="15"/>
  <c r="T73" i="15"/>
  <c r="T74" i="15"/>
  <c r="T75" i="15"/>
  <c r="T76" i="15"/>
  <c r="T77" i="15"/>
  <c r="T78" i="15"/>
  <c r="T79" i="15"/>
  <c r="T80" i="15"/>
  <c r="T81" i="15"/>
  <c r="T82" i="15"/>
  <c r="T83" i="15"/>
  <c r="T84" i="15"/>
  <c r="T85" i="15"/>
  <c r="T86" i="15"/>
  <c r="T87" i="15"/>
  <c r="T88" i="15"/>
  <c r="T89" i="15"/>
  <c r="T90" i="15"/>
  <c r="T91" i="15"/>
  <c r="T92" i="15"/>
  <c r="T93" i="15"/>
  <c r="T94" i="15"/>
  <c r="T97" i="15"/>
  <c r="T100" i="15"/>
  <c r="T103" i="15"/>
  <c r="T106" i="15"/>
  <c r="T109" i="15"/>
  <c r="T112" i="15"/>
  <c r="T115" i="15"/>
  <c r="T118" i="15"/>
  <c r="T121" i="15"/>
  <c r="T124" i="15"/>
  <c r="T127" i="15"/>
  <c r="T130" i="15"/>
  <c r="T133" i="15"/>
  <c r="T136" i="15"/>
  <c r="T139" i="15"/>
  <c r="T142" i="15"/>
  <c r="T145" i="15"/>
  <c r="T148" i="15"/>
  <c r="T151" i="15"/>
  <c r="T154" i="15"/>
  <c r="T157" i="15"/>
  <c r="T160" i="15"/>
  <c r="T163" i="15"/>
  <c r="T166" i="15"/>
  <c r="T169" i="15"/>
  <c r="T172" i="15"/>
  <c r="T175" i="15"/>
  <c r="T178" i="15"/>
  <c r="T181" i="15"/>
  <c r="T184" i="15"/>
  <c r="T187" i="15"/>
  <c r="T190" i="15"/>
  <c r="T193" i="15"/>
  <c r="T196" i="15"/>
  <c r="T199" i="15"/>
  <c r="T202" i="15"/>
  <c r="T205" i="15"/>
  <c r="T208" i="15"/>
  <c r="T211" i="15"/>
  <c r="T214" i="15"/>
  <c r="T217" i="15"/>
  <c r="T220" i="15"/>
  <c r="T223" i="15"/>
  <c r="T226" i="15"/>
  <c r="T229" i="15"/>
  <c r="T232" i="15"/>
  <c r="T235" i="15"/>
  <c r="T238" i="15"/>
  <c r="T241" i="15"/>
  <c r="T244" i="15"/>
  <c r="T247" i="15"/>
  <c r="T250" i="15"/>
  <c r="T253" i="15"/>
  <c r="T256" i="15"/>
  <c r="T259" i="15"/>
  <c r="T262" i="15"/>
  <c r="T265" i="15"/>
  <c r="T268" i="15"/>
  <c r="T271" i="15"/>
  <c r="T274" i="15"/>
  <c r="T277" i="15"/>
  <c r="T280" i="15"/>
  <c r="T283" i="15"/>
  <c r="T286" i="15"/>
  <c r="T289" i="15"/>
  <c r="T292" i="15"/>
  <c r="T295" i="15"/>
  <c r="T298" i="15"/>
  <c r="T301" i="15"/>
  <c r="T304" i="15"/>
  <c r="T307" i="15"/>
  <c r="T310" i="15"/>
  <c r="T313" i="15"/>
  <c r="T316" i="15"/>
  <c r="T319" i="15"/>
  <c r="T322" i="15"/>
  <c r="T325" i="15"/>
  <c r="T328" i="15"/>
  <c r="T331" i="15"/>
  <c r="T334" i="15"/>
  <c r="T337" i="15"/>
  <c r="T340" i="15"/>
  <c r="T343" i="15"/>
  <c r="T346" i="15"/>
  <c r="T349" i="15"/>
  <c r="T352" i="15"/>
  <c r="T355" i="15"/>
  <c r="T358" i="15"/>
  <c r="T361" i="15"/>
  <c r="T364" i="15"/>
  <c r="T367" i="15"/>
  <c r="T370" i="15"/>
  <c r="T373" i="15"/>
  <c r="T376" i="15"/>
  <c r="T379" i="15"/>
  <c r="T382" i="15"/>
  <c r="T385" i="15"/>
  <c r="T388" i="15"/>
  <c r="T391" i="15"/>
  <c r="T394" i="15"/>
  <c r="T397" i="15"/>
  <c r="T400" i="15"/>
  <c r="T403" i="15"/>
  <c r="T406" i="15"/>
  <c r="T409" i="15"/>
  <c r="T412" i="15"/>
  <c r="T415" i="15"/>
  <c r="T418" i="15"/>
  <c r="T419" i="15"/>
  <c r="T420" i="15"/>
  <c r="T421" i="15"/>
  <c r="T422" i="15"/>
  <c r="T423" i="15"/>
  <c r="T424" i="15"/>
  <c r="T425" i="15"/>
  <c r="T426" i="15"/>
  <c r="T427" i="15"/>
  <c r="T428" i="15"/>
  <c r="T429" i="15"/>
  <c r="T430" i="15"/>
  <c r="T431" i="15"/>
  <c r="T432" i="15"/>
  <c r="T433" i="15"/>
  <c r="T434" i="15"/>
  <c r="T435" i="15"/>
  <c r="T436" i="15"/>
  <c r="T437" i="15"/>
  <c r="T438" i="15"/>
  <c r="T439" i="15"/>
  <c r="T440" i="15"/>
  <c r="T441" i="15"/>
  <c r="T442" i="15"/>
  <c r="T443" i="15"/>
  <c r="T444" i="15"/>
  <c r="T445" i="15"/>
  <c r="T446" i="15"/>
  <c r="T6" i="15"/>
  <c r="E448" i="15"/>
  <c r="H448" i="15"/>
  <c r="P448" i="15"/>
  <c r="Q448" i="15"/>
  <c r="R448" i="15"/>
  <c r="S448" i="15"/>
  <c r="U448" i="15"/>
  <c r="W448" i="15"/>
  <c r="E449" i="15"/>
  <c r="H449" i="15"/>
  <c r="P449" i="15"/>
  <c r="Q449" i="15"/>
  <c r="R449" i="15"/>
  <c r="S449" i="15"/>
  <c r="U449" i="15"/>
  <c r="W449" i="15"/>
  <c r="E450" i="15"/>
  <c r="H450" i="15"/>
  <c r="P450" i="15"/>
  <c r="Q450" i="15"/>
  <c r="R450" i="15"/>
  <c r="S450" i="15"/>
  <c r="U450" i="15"/>
  <c r="W450" i="15"/>
  <c r="E451" i="15"/>
  <c r="H451" i="15"/>
  <c r="P451" i="15"/>
  <c r="Q451" i="15"/>
  <c r="R451" i="15"/>
  <c r="S451" i="15"/>
  <c r="U451" i="15"/>
  <c r="W451" i="15"/>
  <c r="E452" i="15"/>
  <c r="H452" i="15"/>
  <c r="P452" i="15"/>
  <c r="Q452" i="15"/>
  <c r="R452" i="15"/>
  <c r="S452" i="15"/>
  <c r="U452" i="15"/>
  <c r="W452" i="15"/>
  <c r="E453" i="15"/>
  <c r="H453" i="15"/>
  <c r="P453" i="15"/>
  <c r="Q453" i="15"/>
  <c r="R453" i="15"/>
  <c r="S453" i="15"/>
  <c r="U453" i="15"/>
  <c r="W453" i="15"/>
  <c r="E454" i="15"/>
  <c r="H454" i="15"/>
  <c r="P454" i="15"/>
  <c r="Q454" i="15"/>
  <c r="R454" i="15"/>
  <c r="S454" i="15"/>
  <c r="U454" i="15"/>
  <c r="W454" i="15"/>
  <c r="E455" i="15"/>
  <c r="H455" i="15"/>
  <c r="P455" i="15"/>
  <c r="Q455" i="15"/>
  <c r="R455" i="15"/>
  <c r="S455" i="15"/>
  <c r="U455" i="15"/>
  <c r="W455" i="15"/>
  <c r="E456" i="15"/>
  <c r="H456" i="15"/>
  <c r="P456" i="15"/>
  <c r="Q456" i="15"/>
  <c r="R456" i="15"/>
  <c r="S456" i="15"/>
  <c r="U456" i="15"/>
  <c r="W456" i="15"/>
  <c r="E457" i="15"/>
  <c r="H457" i="15"/>
  <c r="P457" i="15"/>
  <c r="Q457" i="15"/>
  <c r="R457" i="15"/>
  <c r="S457" i="15"/>
  <c r="U457" i="15"/>
  <c r="W457" i="15"/>
  <c r="E458" i="15"/>
  <c r="H458" i="15"/>
  <c r="P458" i="15"/>
  <c r="Q458" i="15"/>
  <c r="R458" i="15"/>
  <c r="S458" i="15"/>
  <c r="U458" i="15"/>
  <c r="W458" i="15"/>
  <c r="E459" i="15"/>
  <c r="H459" i="15"/>
  <c r="P459" i="15"/>
  <c r="Q459" i="15"/>
  <c r="R459" i="15"/>
  <c r="S459" i="15"/>
  <c r="U459" i="15"/>
  <c r="W459" i="15"/>
  <c r="E460" i="15"/>
  <c r="H460" i="15"/>
  <c r="P460" i="15"/>
  <c r="Q460" i="15"/>
  <c r="R460" i="15"/>
  <c r="S460" i="15"/>
  <c r="U460" i="15"/>
  <c r="W460" i="15"/>
  <c r="E461" i="15"/>
  <c r="H461" i="15"/>
  <c r="P461" i="15"/>
  <c r="Q461" i="15"/>
  <c r="R461" i="15"/>
  <c r="S461" i="15"/>
  <c r="U461" i="15"/>
  <c r="W461" i="15"/>
  <c r="E462" i="15"/>
  <c r="H462" i="15"/>
  <c r="P462" i="15"/>
  <c r="Q462" i="15"/>
  <c r="R462" i="15"/>
  <c r="S462" i="15"/>
  <c r="U462" i="15"/>
  <c r="W462" i="15"/>
  <c r="E463" i="15"/>
  <c r="H463" i="15"/>
  <c r="P463" i="15"/>
  <c r="Q463" i="15"/>
  <c r="R463" i="15"/>
  <c r="S463" i="15"/>
  <c r="U463" i="15"/>
  <c r="W463" i="15"/>
  <c r="E464" i="15"/>
  <c r="H464" i="15"/>
  <c r="P464" i="15"/>
  <c r="Q464" i="15"/>
  <c r="R464" i="15"/>
  <c r="S464" i="15"/>
  <c r="U464" i="15"/>
  <c r="W464" i="15"/>
  <c r="E465" i="15"/>
  <c r="H465" i="15"/>
  <c r="P465" i="15"/>
  <c r="Q465" i="15"/>
  <c r="R465" i="15"/>
  <c r="S465" i="15"/>
  <c r="U465" i="15"/>
  <c r="W465" i="15"/>
  <c r="E466" i="15"/>
  <c r="H466" i="15"/>
  <c r="P466" i="15"/>
  <c r="Q466" i="15"/>
  <c r="R466" i="15"/>
  <c r="S466" i="15"/>
  <c r="U466" i="15"/>
  <c r="W466" i="15"/>
  <c r="E467" i="15"/>
  <c r="H467" i="15"/>
  <c r="P467" i="15"/>
  <c r="Q467" i="15"/>
  <c r="R467" i="15"/>
  <c r="S467" i="15"/>
  <c r="U467" i="15"/>
  <c r="W467" i="15"/>
  <c r="E468" i="15"/>
  <c r="H468" i="15"/>
  <c r="P468" i="15"/>
  <c r="Q468" i="15"/>
  <c r="R468" i="15"/>
  <c r="S468" i="15"/>
  <c r="U468" i="15"/>
  <c r="W468" i="15"/>
  <c r="E469" i="15"/>
  <c r="H469" i="15"/>
  <c r="P469" i="15"/>
  <c r="Q469" i="15"/>
  <c r="R469" i="15"/>
  <c r="S469" i="15"/>
  <c r="U469" i="15"/>
  <c r="W469" i="15"/>
  <c r="E470" i="15"/>
  <c r="H470" i="15"/>
  <c r="P470" i="15"/>
  <c r="Q470" i="15"/>
  <c r="R470" i="15"/>
  <c r="S470" i="15"/>
  <c r="U470" i="15"/>
  <c r="W470" i="15"/>
  <c r="E471" i="15"/>
  <c r="H471" i="15"/>
  <c r="P471" i="15"/>
  <c r="Q471" i="15"/>
  <c r="R471" i="15"/>
  <c r="S471" i="15"/>
  <c r="U471" i="15"/>
  <c r="W471" i="15"/>
  <c r="E472" i="15"/>
  <c r="H472" i="15"/>
  <c r="P472" i="15"/>
  <c r="Q472" i="15"/>
  <c r="R472" i="15"/>
  <c r="S472" i="15"/>
  <c r="U472" i="15"/>
  <c r="W472" i="15"/>
  <c r="E473" i="15"/>
  <c r="H473" i="15"/>
  <c r="P473" i="15"/>
  <c r="Q473" i="15"/>
  <c r="R473" i="15"/>
  <c r="S473" i="15"/>
  <c r="U473" i="15"/>
  <c r="W473" i="15"/>
  <c r="E474" i="15"/>
  <c r="H474" i="15"/>
  <c r="P474" i="15"/>
  <c r="Q474" i="15"/>
  <c r="R474" i="15"/>
  <c r="S474" i="15"/>
  <c r="U474" i="15"/>
  <c r="W474" i="15"/>
  <c r="E475" i="15"/>
  <c r="H475" i="15"/>
  <c r="P475" i="15"/>
  <c r="Q475" i="15"/>
  <c r="R475" i="15"/>
  <c r="S475" i="15"/>
  <c r="U475" i="15"/>
  <c r="W475" i="15"/>
  <c r="E476" i="15"/>
  <c r="H476" i="15"/>
  <c r="P476" i="15"/>
  <c r="Q476" i="15"/>
  <c r="R476" i="15"/>
  <c r="S476" i="15"/>
  <c r="U476" i="15"/>
  <c r="W476" i="15"/>
  <c r="E477" i="15"/>
  <c r="H477" i="15"/>
  <c r="P477" i="15"/>
  <c r="Q477" i="15"/>
  <c r="R477" i="15"/>
  <c r="S477" i="15"/>
  <c r="U477" i="15"/>
  <c r="W477" i="15"/>
  <c r="E478" i="15"/>
  <c r="H478" i="15"/>
  <c r="P478" i="15"/>
  <c r="Q478" i="15"/>
  <c r="R478" i="15"/>
  <c r="S478" i="15"/>
  <c r="U478" i="15"/>
  <c r="W478" i="15"/>
  <c r="E479" i="15"/>
  <c r="H479" i="15"/>
  <c r="P479" i="15"/>
  <c r="Q479" i="15"/>
  <c r="R479" i="15"/>
  <c r="S479" i="15"/>
  <c r="U479" i="15"/>
  <c r="W479" i="15"/>
  <c r="E480" i="15"/>
  <c r="H480" i="15"/>
  <c r="P480" i="15"/>
  <c r="Q480" i="15"/>
  <c r="R480" i="15"/>
  <c r="S480" i="15"/>
  <c r="U480" i="15"/>
  <c r="W480" i="15"/>
  <c r="E481" i="15"/>
  <c r="H481" i="15"/>
  <c r="P481" i="15"/>
  <c r="Q481" i="15"/>
  <c r="R481" i="15"/>
  <c r="S481" i="15"/>
  <c r="U481" i="15"/>
  <c r="W481" i="15"/>
  <c r="E482" i="15"/>
  <c r="H482" i="15"/>
  <c r="P482" i="15"/>
  <c r="Q482" i="15"/>
  <c r="R482" i="15"/>
  <c r="S482" i="15"/>
  <c r="U482" i="15"/>
  <c r="W482" i="15"/>
  <c r="E483" i="15"/>
  <c r="H483" i="15"/>
  <c r="P483" i="15"/>
  <c r="Q483" i="15"/>
  <c r="R483" i="15"/>
  <c r="S483" i="15"/>
  <c r="U483" i="15"/>
  <c r="W483" i="15"/>
  <c r="E484" i="15"/>
  <c r="H484" i="15"/>
  <c r="P484" i="15"/>
  <c r="Q484" i="15"/>
  <c r="R484" i="15"/>
  <c r="S484" i="15"/>
  <c r="U484" i="15"/>
  <c r="W484" i="15"/>
  <c r="E485" i="15"/>
  <c r="H485" i="15"/>
  <c r="P485" i="15"/>
  <c r="Q485" i="15"/>
  <c r="R485" i="15"/>
  <c r="S485" i="15"/>
  <c r="U485" i="15"/>
  <c r="W485" i="15"/>
  <c r="E486" i="15"/>
  <c r="H486" i="15"/>
  <c r="P486" i="15"/>
  <c r="Q486" i="15"/>
  <c r="R486" i="15"/>
  <c r="S486" i="15"/>
  <c r="U486" i="15"/>
  <c r="W486" i="15"/>
  <c r="E487" i="15"/>
  <c r="H487" i="15"/>
  <c r="P487" i="15"/>
  <c r="Q487" i="15"/>
  <c r="R487" i="15"/>
  <c r="S487" i="15"/>
  <c r="U487" i="15"/>
  <c r="W487" i="15"/>
  <c r="E488" i="15"/>
  <c r="H488" i="15"/>
  <c r="P488" i="15"/>
  <c r="Q488" i="15"/>
  <c r="R488" i="15"/>
  <c r="S488" i="15"/>
  <c r="U488" i="15"/>
  <c r="W488" i="15"/>
  <c r="E489" i="15"/>
  <c r="H489" i="15"/>
  <c r="P489" i="15"/>
  <c r="Q489" i="15"/>
  <c r="R489" i="15"/>
  <c r="S489" i="15"/>
  <c r="U489" i="15"/>
  <c r="W489" i="15"/>
  <c r="E490" i="15"/>
  <c r="H490" i="15"/>
  <c r="P490" i="15"/>
  <c r="Q490" i="15"/>
  <c r="R490" i="15"/>
  <c r="S490" i="15"/>
  <c r="U490" i="15"/>
  <c r="W490" i="15"/>
  <c r="E491" i="15"/>
  <c r="H491" i="15"/>
  <c r="P491" i="15"/>
  <c r="Q491" i="15"/>
  <c r="R491" i="15"/>
  <c r="S491" i="15"/>
  <c r="U491" i="15"/>
  <c r="W491" i="15"/>
  <c r="E492" i="15"/>
  <c r="H492" i="15"/>
  <c r="P492" i="15"/>
  <c r="Q492" i="15"/>
  <c r="R492" i="15"/>
  <c r="S492" i="15"/>
  <c r="U492" i="15"/>
  <c r="W492" i="15"/>
  <c r="E493" i="15"/>
  <c r="H493" i="15"/>
  <c r="P493" i="15"/>
  <c r="Q493" i="15"/>
  <c r="R493" i="15"/>
  <c r="S493" i="15"/>
  <c r="U493" i="15"/>
  <c r="W493" i="15"/>
  <c r="E494" i="15"/>
  <c r="H494" i="15"/>
  <c r="P494" i="15"/>
  <c r="Q494" i="15"/>
  <c r="R494" i="15"/>
  <c r="S494" i="15"/>
  <c r="U494" i="15"/>
  <c r="W494" i="15"/>
  <c r="E495" i="15"/>
  <c r="H495" i="15"/>
  <c r="P495" i="15"/>
  <c r="Q495" i="15"/>
  <c r="R495" i="15"/>
  <c r="S495" i="15"/>
  <c r="U495" i="15"/>
  <c r="W495" i="15"/>
  <c r="E496" i="15"/>
  <c r="H496" i="15"/>
  <c r="P496" i="15"/>
  <c r="Q496" i="15"/>
  <c r="R496" i="15"/>
  <c r="S496" i="15"/>
  <c r="U496" i="15"/>
  <c r="W496" i="15"/>
  <c r="E497" i="15"/>
  <c r="H497" i="15"/>
  <c r="P497" i="15"/>
  <c r="Q497" i="15"/>
  <c r="R497" i="15"/>
  <c r="S497" i="15"/>
  <c r="U497" i="15"/>
  <c r="W497" i="15"/>
  <c r="E498" i="15"/>
  <c r="H498" i="15"/>
  <c r="P498" i="15"/>
  <c r="Q498" i="15"/>
  <c r="R498" i="15"/>
  <c r="S498" i="15"/>
  <c r="U498" i="15"/>
  <c r="W498" i="15"/>
  <c r="E499" i="15"/>
  <c r="H499" i="15"/>
  <c r="P499" i="15"/>
  <c r="Q499" i="15"/>
  <c r="R499" i="15"/>
  <c r="S499" i="15"/>
  <c r="U499" i="15"/>
  <c r="W499" i="15"/>
  <c r="E500" i="15"/>
  <c r="H500" i="15"/>
  <c r="P500" i="15"/>
  <c r="Q500" i="15"/>
  <c r="R500" i="15"/>
  <c r="S500" i="15"/>
  <c r="U500" i="15"/>
  <c r="W500" i="15"/>
  <c r="E501" i="15"/>
  <c r="H501" i="15"/>
  <c r="P501" i="15"/>
  <c r="Q501" i="15"/>
  <c r="R501" i="15"/>
  <c r="S501" i="15"/>
  <c r="U501" i="15"/>
  <c r="W501" i="15"/>
  <c r="E502" i="15"/>
  <c r="H502" i="15"/>
  <c r="P502" i="15"/>
  <c r="Q502" i="15"/>
  <c r="R502" i="15"/>
  <c r="S502" i="15"/>
  <c r="U502" i="15"/>
  <c r="W502" i="15"/>
  <c r="E503" i="15"/>
  <c r="H503" i="15"/>
  <c r="P503" i="15"/>
  <c r="Q503" i="15"/>
  <c r="R503" i="15"/>
  <c r="S503" i="15"/>
  <c r="U503" i="15"/>
  <c r="W503" i="15"/>
  <c r="E504" i="15"/>
  <c r="H504" i="15"/>
  <c r="P504" i="15"/>
  <c r="Q504" i="15"/>
  <c r="R504" i="15"/>
  <c r="S504" i="15"/>
  <c r="U504" i="15"/>
  <c r="W504" i="15"/>
  <c r="E505" i="15"/>
  <c r="H505" i="15"/>
  <c r="P505" i="15"/>
  <c r="Q505" i="15"/>
  <c r="R505" i="15"/>
  <c r="S505" i="15"/>
  <c r="U505" i="15"/>
  <c r="W505" i="15"/>
  <c r="E506" i="15"/>
  <c r="H506" i="15"/>
  <c r="P506" i="15"/>
  <c r="Q506" i="15"/>
  <c r="R506" i="15"/>
  <c r="S506" i="15"/>
  <c r="U506" i="15"/>
  <c r="W506" i="15"/>
  <c r="E507" i="15"/>
  <c r="H507" i="15"/>
  <c r="P507" i="15"/>
  <c r="Q507" i="15"/>
  <c r="R507" i="15"/>
  <c r="S507" i="15"/>
  <c r="U507" i="15"/>
  <c r="W507" i="15"/>
  <c r="E508" i="15"/>
  <c r="H508" i="15"/>
  <c r="P508" i="15"/>
  <c r="Q508" i="15"/>
  <c r="R508" i="15"/>
  <c r="S508" i="15"/>
  <c r="U508" i="15"/>
  <c r="W508" i="15"/>
  <c r="E509" i="15"/>
  <c r="H509" i="15"/>
  <c r="P509" i="15"/>
  <c r="Q509" i="15"/>
  <c r="R509" i="15"/>
  <c r="S509" i="15"/>
  <c r="U509" i="15"/>
  <c r="W509" i="15"/>
  <c r="E510" i="15"/>
  <c r="H510" i="15"/>
  <c r="P510" i="15"/>
  <c r="Q510" i="15"/>
  <c r="R510" i="15"/>
  <c r="S510" i="15"/>
  <c r="U510" i="15"/>
  <c r="W510" i="15"/>
  <c r="E511" i="15"/>
  <c r="H511" i="15"/>
  <c r="P511" i="15"/>
  <c r="Q511" i="15"/>
  <c r="R511" i="15"/>
  <c r="S511" i="15"/>
  <c r="U511" i="15"/>
  <c r="W511" i="15"/>
  <c r="E512" i="15"/>
  <c r="H512" i="15"/>
  <c r="P512" i="15"/>
  <c r="Q512" i="15"/>
  <c r="R512" i="15"/>
  <c r="S512" i="15"/>
  <c r="U512" i="15"/>
  <c r="W512" i="15"/>
  <c r="E513" i="15"/>
  <c r="H513" i="15"/>
  <c r="P513" i="15"/>
  <c r="Q513" i="15"/>
  <c r="R513" i="15"/>
  <c r="S513" i="15"/>
  <c r="U513" i="15"/>
  <c r="W513" i="15"/>
  <c r="E514" i="15"/>
  <c r="H514" i="15"/>
  <c r="P514" i="15"/>
  <c r="Q514" i="15"/>
  <c r="R514" i="15"/>
  <c r="S514" i="15"/>
  <c r="U514" i="15"/>
  <c r="W514" i="15"/>
  <c r="E515" i="15"/>
  <c r="H515" i="15"/>
  <c r="P515" i="15"/>
  <c r="Q515" i="15"/>
  <c r="R515" i="15"/>
  <c r="S515" i="15"/>
  <c r="U515" i="15"/>
  <c r="W515" i="15"/>
  <c r="E516" i="15"/>
  <c r="H516" i="15"/>
  <c r="P516" i="15"/>
  <c r="Q516" i="15"/>
  <c r="R516" i="15"/>
  <c r="S516" i="15"/>
  <c r="U516" i="15"/>
  <c r="W516" i="15"/>
  <c r="E517" i="15"/>
  <c r="H517" i="15"/>
  <c r="P517" i="15"/>
  <c r="Q517" i="15"/>
  <c r="R517" i="15"/>
  <c r="S517" i="15"/>
  <c r="U517" i="15"/>
  <c r="W517" i="15"/>
  <c r="E518" i="15"/>
  <c r="H518" i="15"/>
  <c r="P518" i="15"/>
  <c r="Q518" i="15"/>
  <c r="R518" i="15"/>
  <c r="S518" i="15"/>
  <c r="U518" i="15"/>
  <c r="W518" i="15"/>
  <c r="E519" i="15"/>
  <c r="H519" i="15"/>
  <c r="P519" i="15"/>
  <c r="Q519" i="15"/>
  <c r="R519" i="15"/>
  <c r="S519" i="15"/>
  <c r="U519" i="15"/>
  <c r="W519" i="15"/>
  <c r="E520" i="15"/>
  <c r="H520" i="15"/>
  <c r="P520" i="15"/>
  <c r="Q520" i="15"/>
  <c r="R520" i="15"/>
  <c r="S520" i="15"/>
  <c r="U520" i="15"/>
  <c r="W520" i="15"/>
  <c r="E521" i="15"/>
  <c r="H521" i="15"/>
  <c r="P521" i="15"/>
  <c r="Q521" i="15"/>
  <c r="R521" i="15"/>
  <c r="S521" i="15"/>
  <c r="U521" i="15"/>
  <c r="W521" i="15"/>
  <c r="E522" i="15"/>
  <c r="H522" i="15"/>
  <c r="P522" i="15"/>
  <c r="Q522" i="15"/>
  <c r="R522" i="15"/>
  <c r="S522" i="15"/>
  <c r="U522" i="15"/>
  <c r="W522" i="15"/>
  <c r="E523" i="15"/>
  <c r="H523" i="15"/>
  <c r="P523" i="15"/>
  <c r="Q523" i="15"/>
  <c r="R523" i="15"/>
  <c r="S523" i="15"/>
  <c r="U523" i="15"/>
  <c r="W523" i="15"/>
  <c r="E524" i="15"/>
  <c r="H524" i="15"/>
  <c r="P524" i="15"/>
  <c r="Q524" i="15"/>
  <c r="R524" i="15"/>
  <c r="S524" i="15"/>
  <c r="U524" i="15"/>
  <c r="W524" i="15"/>
  <c r="E525" i="15"/>
  <c r="H525" i="15"/>
  <c r="P525" i="15"/>
  <c r="Q525" i="15"/>
  <c r="R525" i="15"/>
  <c r="S525" i="15"/>
  <c r="U525" i="15"/>
  <c r="W525" i="15"/>
  <c r="E526" i="15"/>
  <c r="H526" i="15"/>
  <c r="P526" i="15"/>
  <c r="Q526" i="15"/>
  <c r="R526" i="15"/>
  <c r="S526" i="15"/>
  <c r="U526" i="15"/>
  <c r="W526" i="15"/>
  <c r="E527" i="15"/>
  <c r="H527" i="15"/>
  <c r="P527" i="15"/>
  <c r="Q527" i="15"/>
  <c r="R527" i="15"/>
  <c r="S527" i="15"/>
  <c r="U527" i="15"/>
  <c r="W527" i="15"/>
  <c r="E528" i="15"/>
  <c r="H528" i="15"/>
  <c r="P528" i="15"/>
  <c r="Q528" i="15"/>
  <c r="R528" i="15"/>
  <c r="S528" i="15"/>
  <c r="U528" i="15"/>
  <c r="W528" i="15"/>
  <c r="E529" i="15"/>
  <c r="H529" i="15"/>
  <c r="P529" i="15"/>
  <c r="Q529" i="15"/>
  <c r="R529" i="15"/>
  <c r="S529" i="15"/>
  <c r="U529" i="15"/>
  <c r="W529" i="15"/>
  <c r="E530" i="15"/>
  <c r="H530" i="15"/>
  <c r="P530" i="15"/>
  <c r="Q530" i="15"/>
  <c r="R530" i="15"/>
  <c r="S530" i="15"/>
  <c r="U530" i="15"/>
  <c r="W530" i="15"/>
  <c r="E531" i="15"/>
  <c r="H531" i="15"/>
  <c r="P531" i="15"/>
  <c r="Q531" i="15"/>
  <c r="R531" i="15"/>
  <c r="S531" i="15"/>
  <c r="U531" i="15"/>
  <c r="W531" i="15"/>
  <c r="E534" i="15"/>
  <c r="H534" i="15"/>
  <c r="P534" i="15"/>
  <c r="Q534" i="15"/>
  <c r="R534" i="15"/>
  <c r="S534" i="15"/>
  <c r="U534" i="15"/>
  <c r="W534" i="15"/>
  <c r="E537" i="15"/>
  <c r="H537" i="15"/>
  <c r="P537" i="15"/>
  <c r="Q537" i="15"/>
  <c r="R537" i="15"/>
  <c r="S537" i="15"/>
  <c r="U537" i="15"/>
  <c r="W537" i="15"/>
  <c r="E540" i="15"/>
  <c r="H540" i="15"/>
  <c r="P540" i="15"/>
  <c r="Q540" i="15"/>
  <c r="R540" i="15"/>
  <c r="S540" i="15"/>
  <c r="U540" i="15"/>
  <c r="W540" i="15"/>
  <c r="E543" i="15"/>
  <c r="H543" i="15"/>
  <c r="P543" i="15"/>
  <c r="Q543" i="15"/>
  <c r="R543" i="15"/>
  <c r="S543" i="15"/>
  <c r="U543" i="15"/>
  <c r="W543" i="15"/>
  <c r="E546" i="15"/>
  <c r="H546" i="15"/>
  <c r="P546" i="15"/>
  <c r="Q546" i="15"/>
  <c r="R546" i="15"/>
  <c r="S546" i="15"/>
  <c r="U546" i="15"/>
  <c r="W546" i="15"/>
  <c r="E549" i="15"/>
  <c r="H549" i="15"/>
  <c r="P549" i="15"/>
  <c r="Q549" i="15"/>
  <c r="R549" i="15"/>
  <c r="S549" i="15"/>
  <c r="U549" i="15"/>
  <c r="W549" i="15"/>
  <c r="E552" i="15"/>
  <c r="H552" i="15"/>
  <c r="P552" i="15"/>
  <c r="Q552" i="15"/>
  <c r="R552" i="15"/>
  <c r="S552" i="15"/>
  <c r="U552" i="15"/>
  <c r="W552" i="15"/>
  <c r="E555" i="15"/>
  <c r="H555" i="15"/>
  <c r="P555" i="15"/>
  <c r="Q555" i="15"/>
  <c r="R555" i="15"/>
  <c r="S555" i="15"/>
  <c r="U555" i="15"/>
  <c r="W555" i="15"/>
  <c r="E558" i="15"/>
  <c r="H558" i="15"/>
  <c r="P558" i="15"/>
  <c r="Q558" i="15"/>
  <c r="R558" i="15"/>
  <c r="S558" i="15"/>
  <c r="U558" i="15"/>
  <c r="W558" i="15"/>
  <c r="E561" i="15"/>
  <c r="H561" i="15"/>
  <c r="P561" i="15"/>
  <c r="Q561" i="15"/>
  <c r="R561" i="15"/>
  <c r="S561" i="15"/>
  <c r="U561" i="15"/>
  <c r="W561" i="15"/>
  <c r="E564" i="15"/>
  <c r="H564" i="15"/>
  <c r="P564" i="15"/>
  <c r="Q564" i="15"/>
  <c r="R564" i="15"/>
  <c r="S564" i="15"/>
  <c r="U564" i="15"/>
  <c r="W564" i="15"/>
  <c r="E567" i="15"/>
  <c r="H567" i="15"/>
  <c r="P567" i="15"/>
  <c r="Q567" i="15"/>
  <c r="R567" i="15"/>
  <c r="S567" i="15"/>
  <c r="U567" i="15"/>
  <c r="W567" i="15"/>
  <c r="E570" i="15"/>
  <c r="H570" i="15"/>
  <c r="P570" i="15"/>
  <c r="Q570" i="15"/>
  <c r="R570" i="15"/>
  <c r="S570" i="15"/>
  <c r="U570" i="15"/>
  <c r="W570" i="15"/>
  <c r="E573" i="15"/>
  <c r="H573" i="15"/>
  <c r="P573" i="15"/>
  <c r="Q573" i="15"/>
  <c r="R573" i="15"/>
  <c r="S573" i="15"/>
  <c r="U573" i="15"/>
  <c r="W573" i="15"/>
  <c r="E576" i="15"/>
  <c r="H576" i="15"/>
  <c r="P576" i="15"/>
  <c r="Q576" i="15"/>
  <c r="R576" i="15"/>
  <c r="S576" i="15"/>
  <c r="U576" i="15"/>
  <c r="W576" i="15"/>
  <c r="E579" i="15"/>
  <c r="H579" i="15"/>
  <c r="P579" i="15"/>
  <c r="Q579" i="15"/>
  <c r="R579" i="15"/>
  <c r="S579" i="15"/>
  <c r="U579" i="15"/>
  <c r="W579" i="15"/>
  <c r="E582" i="15"/>
  <c r="H582" i="15"/>
  <c r="P582" i="15"/>
  <c r="Q582" i="15"/>
  <c r="R582" i="15"/>
  <c r="S582" i="15"/>
  <c r="U582" i="15"/>
  <c r="W582" i="15"/>
  <c r="E585" i="15"/>
  <c r="H585" i="15"/>
  <c r="P585" i="15"/>
  <c r="Q585" i="15"/>
  <c r="R585" i="15"/>
  <c r="S585" i="15"/>
  <c r="U585" i="15"/>
  <c r="W585" i="15"/>
  <c r="E588" i="15"/>
  <c r="H588" i="15"/>
  <c r="P588" i="15"/>
  <c r="Q588" i="15"/>
  <c r="R588" i="15"/>
  <c r="S588" i="15"/>
  <c r="U588" i="15"/>
  <c r="W588" i="15"/>
  <c r="E591" i="15"/>
  <c r="H591" i="15"/>
  <c r="P591" i="15"/>
  <c r="Q591" i="15"/>
  <c r="R591" i="15"/>
  <c r="S591" i="15"/>
  <c r="U591" i="15"/>
  <c r="W591" i="15"/>
  <c r="E594" i="15"/>
  <c r="H594" i="15"/>
  <c r="P594" i="15"/>
  <c r="Q594" i="15"/>
  <c r="R594" i="15"/>
  <c r="S594" i="15"/>
  <c r="U594" i="15"/>
  <c r="W594" i="15"/>
  <c r="E597" i="15"/>
  <c r="H597" i="15"/>
  <c r="P597" i="15"/>
  <c r="Q597" i="15"/>
  <c r="R597" i="15"/>
  <c r="S597" i="15"/>
  <c r="U597" i="15"/>
  <c r="W597" i="15"/>
  <c r="E600" i="15"/>
  <c r="H600" i="15"/>
  <c r="P600" i="15"/>
  <c r="Q600" i="15"/>
  <c r="R600" i="15"/>
  <c r="S600" i="15"/>
  <c r="U600" i="15"/>
  <c r="W600" i="15"/>
  <c r="E603" i="15"/>
  <c r="H603" i="15"/>
  <c r="P603" i="15"/>
  <c r="Q603" i="15"/>
  <c r="R603" i="15"/>
  <c r="S603" i="15"/>
  <c r="U603" i="15"/>
  <c r="W603" i="15"/>
  <c r="E606" i="15"/>
  <c r="H606" i="15"/>
  <c r="P606" i="15"/>
  <c r="Q606" i="15"/>
  <c r="R606" i="15"/>
  <c r="S606" i="15"/>
  <c r="U606" i="15"/>
  <c r="W606" i="15"/>
  <c r="E609" i="15"/>
  <c r="H609" i="15"/>
  <c r="P609" i="15"/>
  <c r="Q609" i="15"/>
  <c r="R609" i="15"/>
  <c r="S609" i="15"/>
  <c r="U609" i="15"/>
  <c r="W609" i="15"/>
  <c r="E612" i="15"/>
  <c r="H612" i="15"/>
  <c r="P612" i="15"/>
  <c r="Q612" i="15"/>
  <c r="R612" i="15"/>
  <c r="S612" i="15"/>
  <c r="U612" i="15"/>
  <c r="W612" i="15"/>
  <c r="E615" i="15"/>
  <c r="H615" i="15"/>
  <c r="P615" i="15"/>
  <c r="Q615" i="15"/>
  <c r="R615" i="15"/>
  <c r="S615" i="15"/>
  <c r="U615" i="15"/>
  <c r="W615" i="15"/>
  <c r="E618" i="15"/>
  <c r="H618" i="15"/>
  <c r="P618" i="15"/>
  <c r="Q618" i="15"/>
  <c r="R618" i="15"/>
  <c r="S618" i="15"/>
  <c r="U618" i="15"/>
  <c r="W618" i="15"/>
  <c r="E621" i="15"/>
  <c r="H621" i="15"/>
  <c r="P621" i="15"/>
  <c r="Q621" i="15"/>
  <c r="R621" i="15"/>
  <c r="S621" i="15"/>
  <c r="U621" i="15"/>
  <c r="W621" i="15"/>
  <c r="E624" i="15"/>
  <c r="H624" i="15"/>
  <c r="P624" i="15"/>
  <c r="Q624" i="15"/>
  <c r="R624" i="15"/>
  <c r="S624" i="15"/>
  <c r="U624" i="15"/>
  <c r="W624" i="15"/>
  <c r="E627" i="15"/>
  <c r="H627" i="15"/>
  <c r="P627" i="15"/>
  <c r="Q627" i="15"/>
  <c r="R627" i="15"/>
  <c r="S627" i="15"/>
  <c r="U627" i="15"/>
  <c r="W627" i="15"/>
  <c r="E630" i="15"/>
  <c r="H630" i="15"/>
  <c r="P630" i="15"/>
  <c r="Q630" i="15"/>
  <c r="R630" i="15"/>
  <c r="S630" i="15"/>
  <c r="U630" i="15"/>
  <c r="W630" i="15"/>
  <c r="E633" i="15"/>
  <c r="H633" i="15"/>
  <c r="P633" i="15"/>
  <c r="Q633" i="15"/>
  <c r="R633" i="15"/>
  <c r="S633" i="15"/>
  <c r="U633" i="15"/>
  <c r="W633" i="15"/>
  <c r="E636" i="15"/>
  <c r="H636" i="15"/>
  <c r="P636" i="15"/>
  <c r="Q636" i="15"/>
  <c r="R636" i="15"/>
  <c r="S636" i="15"/>
  <c r="U636" i="15"/>
  <c r="W636" i="15"/>
  <c r="E639" i="15"/>
  <c r="H639" i="15"/>
  <c r="P639" i="15"/>
  <c r="Q639" i="15"/>
  <c r="R639" i="15"/>
  <c r="S639" i="15"/>
  <c r="U639" i="15"/>
  <c r="W639" i="15"/>
  <c r="E642" i="15"/>
  <c r="H642" i="15"/>
  <c r="P642" i="15"/>
  <c r="Q642" i="15"/>
  <c r="R642" i="15"/>
  <c r="S642" i="15"/>
  <c r="U642" i="15"/>
  <c r="W642" i="15"/>
  <c r="E645" i="15"/>
  <c r="H645" i="15"/>
  <c r="P645" i="15"/>
  <c r="Q645" i="15"/>
  <c r="R645" i="15"/>
  <c r="S645" i="15"/>
  <c r="U645" i="15"/>
  <c r="W645" i="15"/>
  <c r="E648" i="15"/>
  <c r="H648" i="15"/>
  <c r="P648" i="15"/>
  <c r="Q648" i="15"/>
  <c r="R648" i="15"/>
  <c r="S648" i="15"/>
  <c r="U648" i="15"/>
  <c r="W648" i="15"/>
  <c r="E651" i="15"/>
  <c r="H651" i="15"/>
  <c r="P651" i="15"/>
  <c r="Q651" i="15"/>
  <c r="R651" i="15"/>
  <c r="S651" i="15"/>
  <c r="U651" i="15"/>
  <c r="W651" i="15"/>
  <c r="E654" i="15"/>
  <c r="H654" i="15"/>
  <c r="P654" i="15"/>
  <c r="Q654" i="15"/>
  <c r="R654" i="15"/>
  <c r="S654" i="15"/>
  <c r="U654" i="15"/>
  <c r="W654" i="15"/>
  <c r="E657" i="15"/>
  <c r="H657" i="15"/>
  <c r="P657" i="15"/>
  <c r="Q657" i="15"/>
  <c r="R657" i="15"/>
  <c r="S657" i="15"/>
  <c r="U657" i="15"/>
  <c r="W657" i="15"/>
  <c r="E660" i="15"/>
  <c r="H660" i="15"/>
  <c r="P660" i="15"/>
  <c r="Q660" i="15"/>
  <c r="R660" i="15"/>
  <c r="S660" i="15"/>
  <c r="U660" i="15"/>
  <c r="W660" i="15"/>
  <c r="E663" i="15"/>
  <c r="H663" i="15"/>
  <c r="P663" i="15"/>
  <c r="Q663" i="15"/>
  <c r="R663" i="15"/>
  <c r="S663" i="15"/>
  <c r="U663" i="15"/>
  <c r="W663" i="15"/>
  <c r="E666" i="15"/>
  <c r="H666" i="15"/>
  <c r="P666" i="15"/>
  <c r="Q666" i="15"/>
  <c r="R666" i="15"/>
  <c r="S666" i="15"/>
  <c r="U666" i="15"/>
  <c r="W666" i="15"/>
  <c r="E669" i="15"/>
  <c r="H669" i="15"/>
  <c r="P669" i="15"/>
  <c r="Q669" i="15"/>
  <c r="R669" i="15"/>
  <c r="S669" i="15"/>
  <c r="U669" i="15"/>
  <c r="W669" i="15"/>
  <c r="E672" i="15"/>
  <c r="H672" i="15"/>
  <c r="P672" i="15"/>
  <c r="Q672" i="15"/>
  <c r="R672" i="15"/>
  <c r="S672" i="15"/>
  <c r="U672" i="15"/>
  <c r="W672" i="15"/>
  <c r="E675" i="15"/>
  <c r="H675" i="15"/>
  <c r="P675" i="15"/>
  <c r="Q675" i="15"/>
  <c r="R675" i="15"/>
  <c r="S675" i="15"/>
  <c r="U675" i="15"/>
  <c r="W675" i="15"/>
  <c r="E678" i="15"/>
  <c r="H678" i="15"/>
  <c r="P678" i="15"/>
  <c r="Q678" i="15"/>
  <c r="R678" i="15"/>
  <c r="S678" i="15"/>
  <c r="U678" i="15"/>
  <c r="W678" i="15"/>
  <c r="E681" i="15"/>
  <c r="H681" i="15"/>
  <c r="P681" i="15"/>
  <c r="Q681" i="15"/>
  <c r="R681" i="15"/>
  <c r="S681" i="15"/>
  <c r="U681" i="15"/>
  <c r="W681" i="15"/>
  <c r="E684" i="15"/>
  <c r="H684" i="15"/>
  <c r="P684" i="15"/>
  <c r="Q684" i="15"/>
  <c r="R684" i="15"/>
  <c r="S684" i="15"/>
  <c r="U684" i="15"/>
  <c r="W684" i="15"/>
  <c r="E687" i="15"/>
  <c r="H687" i="15"/>
  <c r="P687" i="15"/>
  <c r="Q687" i="15"/>
  <c r="R687" i="15"/>
  <c r="S687" i="15"/>
  <c r="U687" i="15"/>
  <c r="W687" i="15"/>
  <c r="E690" i="15"/>
  <c r="H690" i="15"/>
  <c r="P690" i="15"/>
  <c r="Q690" i="15"/>
  <c r="R690" i="15"/>
  <c r="S690" i="15"/>
  <c r="U690" i="15"/>
  <c r="W690" i="15"/>
  <c r="E693" i="15"/>
  <c r="H693" i="15"/>
  <c r="P693" i="15"/>
  <c r="Q693" i="15"/>
  <c r="R693" i="15"/>
  <c r="S693" i="15"/>
  <c r="U693" i="15"/>
  <c r="W693" i="15"/>
  <c r="E696" i="15"/>
  <c r="H696" i="15"/>
  <c r="P696" i="15"/>
  <c r="Q696" i="15"/>
  <c r="R696" i="15"/>
  <c r="S696" i="15"/>
  <c r="U696" i="15"/>
  <c r="W696" i="15"/>
  <c r="E699" i="15"/>
  <c r="H699" i="15"/>
  <c r="P699" i="15"/>
  <c r="Q699" i="15"/>
  <c r="R699" i="15"/>
  <c r="S699" i="15"/>
  <c r="U699" i="15"/>
  <c r="W699" i="15"/>
  <c r="E702" i="15"/>
  <c r="H702" i="15"/>
  <c r="P702" i="15"/>
  <c r="Q702" i="15"/>
  <c r="R702" i="15"/>
  <c r="S702" i="15"/>
  <c r="U702" i="15"/>
  <c r="W702" i="15"/>
  <c r="E705" i="15"/>
  <c r="H705" i="15"/>
  <c r="P705" i="15"/>
  <c r="Q705" i="15"/>
  <c r="R705" i="15"/>
  <c r="S705" i="15"/>
  <c r="U705" i="15"/>
  <c r="W705" i="15"/>
  <c r="E708" i="15"/>
  <c r="H708" i="15"/>
  <c r="P708" i="15"/>
  <c r="Q708" i="15"/>
  <c r="R708" i="15"/>
  <c r="S708" i="15"/>
  <c r="U708" i="15"/>
  <c r="W708" i="15"/>
  <c r="E711" i="15"/>
  <c r="H711" i="15"/>
  <c r="P711" i="15"/>
  <c r="Q711" i="15"/>
  <c r="R711" i="15"/>
  <c r="S711" i="15"/>
  <c r="U711" i="15"/>
  <c r="W711" i="15"/>
  <c r="E714" i="15"/>
  <c r="H714" i="15"/>
  <c r="P714" i="15"/>
  <c r="Q714" i="15"/>
  <c r="R714" i="15"/>
  <c r="S714" i="15"/>
  <c r="U714" i="15"/>
  <c r="W714" i="15"/>
  <c r="E717" i="15"/>
  <c r="H717" i="15"/>
  <c r="P717" i="15"/>
  <c r="Q717" i="15"/>
  <c r="R717" i="15"/>
  <c r="S717" i="15"/>
  <c r="U717" i="15"/>
  <c r="W717" i="15"/>
  <c r="E720" i="15"/>
  <c r="H720" i="15"/>
  <c r="P720" i="15"/>
  <c r="Q720" i="15"/>
  <c r="R720" i="15"/>
  <c r="S720" i="15"/>
  <c r="U720" i="15"/>
  <c r="W720" i="15"/>
  <c r="E723" i="15"/>
  <c r="H723" i="15"/>
  <c r="P723" i="15"/>
  <c r="Q723" i="15"/>
  <c r="R723" i="15"/>
  <c r="S723" i="15"/>
  <c r="U723" i="15"/>
  <c r="W723" i="15"/>
  <c r="E726" i="15"/>
  <c r="H726" i="15"/>
  <c r="P726" i="15"/>
  <c r="Q726" i="15"/>
  <c r="R726" i="15"/>
  <c r="S726" i="15"/>
  <c r="U726" i="15"/>
  <c r="W726" i="15"/>
  <c r="E729" i="15"/>
  <c r="H729" i="15"/>
  <c r="P729" i="15"/>
  <c r="Q729" i="15"/>
  <c r="R729" i="15"/>
  <c r="S729" i="15"/>
  <c r="U729" i="15"/>
  <c r="W729" i="15"/>
  <c r="E732" i="15"/>
  <c r="H732" i="15"/>
  <c r="P732" i="15"/>
  <c r="Q732" i="15"/>
  <c r="R732" i="15"/>
  <c r="S732" i="15"/>
  <c r="U732" i="15"/>
  <c r="W732" i="15"/>
  <c r="E735" i="15"/>
  <c r="H735" i="15"/>
  <c r="P735" i="15"/>
  <c r="Q735" i="15"/>
  <c r="R735" i="15"/>
  <c r="S735" i="15"/>
  <c r="U735" i="15"/>
  <c r="W735" i="15"/>
  <c r="E738" i="15"/>
  <c r="H738" i="15"/>
  <c r="P738" i="15"/>
  <c r="Q738" i="15"/>
  <c r="R738" i="15"/>
  <c r="S738" i="15"/>
  <c r="U738" i="15"/>
  <c r="W738" i="15"/>
  <c r="E741" i="15"/>
  <c r="H741" i="15"/>
  <c r="P741" i="15"/>
  <c r="Q741" i="15"/>
  <c r="R741" i="15"/>
  <c r="S741" i="15"/>
  <c r="U741" i="15"/>
  <c r="W741" i="15"/>
  <c r="E744" i="15"/>
  <c r="H744" i="15"/>
  <c r="P744" i="15"/>
  <c r="Q744" i="15"/>
  <c r="R744" i="15"/>
  <c r="S744" i="15"/>
  <c r="U744" i="15"/>
  <c r="W744" i="15"/>
  <c r="E747" i="15"/>
  <c r="H747" i="15"/>
  <c r="P747" i="15"/>
  <c r="Q747" i="15"/>
  <c r="R747" i="15"/>
  <c r="S747" i="15"/>
  <c r="U747" i="15"/>
  <c r="W747" i="15"/>
  <c r="E750" i="15"/>
  <c r="H750" i="15"/>
  <c r="P750" i="15"/>
  <c r="Q750" i="15"/>
  <c r="R750" i="15"/>
  <c r="S750" i="15"/>
  <c r="U750" i="15"/>
  <c r="W750" i="15"/>
  <c r="E753" i="15"/>
  <c r="H753" i="15"/>
  <c r="P753" i="15"/>
  <c r="Q753" i="15"/>
  <c r="R753" i="15"/>
  <c r="S753" i="15"/>
  <c r="U753" i="15"/>
  <c r="W753" i="15"/>
  <c r="E756" i="15"/>
  <c r="H756" i="15"/>
  <c r="P756" i="15"/>
  <c r="Q756" i="15"/>
  <c r="R756" i="15"/>
  <c r="S756" i="15"/>
  <c r="U756" i="15"/>
  <c r="W756" i="15"/>
  <c r="E759" i="15"/>
  <c r="H759" i="15"/>
  <c r="P759" i="15"/>
  <c r="Q759" i="15"/>
  <c r="R759" i="15"/>
  <c r="S759" i="15"/>
  <c r="U759" i="15"/>
  <c r="W759" i="15"/>
  <c r="E762" i="15"/>
  <c r="H762" i="15"/>
  <c r="P762" i="15"/>
  <c r="Q762" i="15"/>
  <c r="R762" i="15"/>
  <c r="S762" i="15"/>
  <c r="U762" i="15"/>
  <c r="W762" i="15"/>
  <c r="E765" i="15"/>
  <c r="H765" i="15"/>
  <c r="P765" i="15"/>
  <c r="Q765" i="15"/>
  <c r="R765" i="15"/>
  <c r="S765" i="15"/>
  <c r="U765" i="15"/>
  <c r="W765" i="15"/>
  <c r="E768" i="15"/>
  <c r="H768" i="15"/>
  <c r="P768" i="15"/>
  <c r="Q768" i="15"/>
  <c r="R768" i="15"/>
  <c r="S768" i="15"/>
  <c r="U768" i="15"/>
  <c r="W768" i="15"/>
  <c r="E771" i="15"/>
  <c r="H771" i="15"/>
  <c r="P771" i="15"/>
  <c r="Q771" i="15"/>
  <c r="R771" i="15"/>
  <c r="S771" i="15"/>
  <c r="U771" i="15"/>
  <c r="W771" i="15"/>
  <c r="E774" i="15"/>
  <c r="H774" i="15"/>
  <c r="P774" i="15"/>
  <c r="Q774" i="15"/>
  <c r="R774" i="15"/>
  <c r="S774" i="15"/>
  <c r="U774" i="15"/>
  <c r="W774" i="15"/>
  <c r="E777" i="15"/>
  <c r="H777" i="15"/>
  <c r="P777" i="15"/>
  <c r="Q777" i="15"/>
  <c r="R777" i="15"/>
  <c r="S777" i="15"/>
  <c r="U777" i="15"/>
  <c r="W777" i="15"/>
  <c r="E780" i="15"/>
  <c r="H780" i="15"/>
  <c r="P780" i="15"/>
  <c r="Q780" i="15"/>
  <c r="R780" i="15"/>
  <c r="S780" i="15"/>
  <c r="U780" i="15"/>
  <c r="W780" i="15"/>
  <c r="E783" i="15"/>
  <c r="H783" i="15"/>
  <c r="P783" i="15"/>
  <c r="Q783" i="15"/>
  <c r="R783" i="15"/>
  <c r="S783" i="15"/>
  <c r="U783" i="15"/>
  <c r="W783" i="15"/>
  <c r="E786" i="15"/>
  <c r="H786" i="15"/>
  <c r="P786" i="15"/>
  <c r="Q786" i="15"/>
  <c r="R786" i="15"/>
  <c r="S786" i="15"/>
  <c r="U786" i="15"/>
  <c r="W786" i="15"/>
  <c r="E789" i="15"/>
  <c r="H789" i="15"/>
  <c r="P789" i="15"/>
  <c r="Q789" i="15"/>
  <c r="R789" i="15"/>
  <c r="S789" i="15"/>
  <c r="U789" i="15"/>
  <c r="W789" i="15"/>
  <c r="E792" i="15"/>
  <c r="H792" i="15"/>
  <c r="P792" i="15"/>
  <c r="Q792" i="15"/>
  <c r="R792" i="15"/>
  <c r="S792" i="15"/>
  <c r="U792" i="15"/>
  <c r="W792" i="15"/>
  <c r="E795" i="15"/>
  <c r="H795" i="15"/>
  <c r="P795" i="15"/>
  <c r="Q795" i="15"/>
  <c r="R795" i="15"/>
  <c r="S795" i="15"/>
  <c r="U795" i="15"/>
  <c r="W795" i="15"/>
  <c r="E798" i="15"/>
  <c r="H798" i="15"/>
  <c r="P798" i="15"/>
  <c r="Q798" i="15"/>
  <c r="R798" i="15"/>
  <c r="S798" i="15"/>
  <c r="U798" i="15"/>
  <c r="W798" i="15"/>
  <c r="E801" i="15"/>
  <c r="H801" i="15"/>
  <c r="P801" i="15"/>
  <c r="Q801" i="15"/>
  <c r="R801" i="15"/>
  <c r="S801" i="15"/>
  <c r="U801" i="15"/>
  <c r="W801" i="15"/>
  <c r="E804" i="15"/>
  <c r="H804" i="15"/>
  <c r="P804" i="15"/>
  <c r="Q804" i="15"/>
  <c r="R804" i="15"/>
  <c r="S804" i="15"/>
  <c r="U804" i="15"/>
  <c r="W804" i="15"/>
  <c r="E807" i="15"/>
  <c r="H807" i="15"/>
  <c r="P807" i="15"/>
  <c r="Q807" i="15"/>
  <c r="R807" i="15"/>
  <c r="S807" i="15"/>
  <c r="U807" i="15"/>
  <c r="W807" i="15"/>
  <c r="E810" i="15"/>
  <c r="H810" i="15"/>
  <c r="P810" i="15"/>
  <c r="Q810" i="15"/>
  <c r="R810" i="15"/>
  <c r="S810" i="15"/>
  <c r="U810" i="15"/>
  <c r="W810" i="15"/>
  <c r="E813" i="15"/>
  <c r="H813" i="15"/>
  <c r="P813" i="15"/>
  <c r="Q813" i="15"/>
  <c r="R813" i="15"/>
  <c r="S813" i="15"/>
  <c r="U813" i="15"/>
  <c r="W813" i="15"/>
  <c r="E816" i="15"/>
  <c r="H816" i="15"/>
  <c r="P816" i="15"/>
  <c r="Q816" i="15"/>
  <c r="R816" i="15"/>
  <c r="S816" i="15"/>
  <c r="U816" i="15"/>
  <c r="W816" i="15"/>
  <c r="E819" i="15"/>
  <c r="H819" i="15"/>
  <c r="P819" i="15"/>
  <c r="Q819" i="15"/>
  <c r="R819" i="15"/>
  <c r="S819" i="15"/>
  <c r="U819" i="15"/>
  <c r="W819" i="15"/>
  <c r="E822" i="15"/>
  <c r="H822" i="15"/>
  <c r="P822" i="15"/>
  <c r="Q822" i="15"/>
  <c r="R822" i="15"/>
  <c r="S822" i="15"/>
  <c r="U822" i="15"/>
  <c r="W822" i="15"/>
  <c r="E825" i="15"/>
  <c r="H825" i="15"/>
  <c r="P825" i="15"/>
  <c r="Q825" i="15"/>
  <c r="R825" i="15"/>
  <c r="S825" i="15"/>
  <c r="U825" i="15"/>
  <c r="W825" i="15"/>
  <c r="E828" i="15"/>
  <c r="H828" i="15"/>
  <c r="P828" i="15"/>
  <c r="Q828" i="15"/>
  <c r="R828" i="15"/>
  <c r="S828" i="15"/>
  <c r="U828" i="15"/>
  <c r="W828" i="15"/>
  <c r="E831" i="15"/>
  <c r="H831" i="15"/>
  <c r="P831" i="15"/>
  <c r="Q831" i="15"/>
  <c r="R831" i="15"/>
  <c r="S831" i="15"/>
  <c r="U831" i="15"/>
  <c r="W831" i="15"/>
  <c r="E834" i="15"/>
  <c r="H834" i="15"/>
  <c r="P834" i="15"/>
  <c r="Q834" i="15"/>
  <c r="R834" i="15"/>
  <c r="S834" i="15"/>
  <c r="U834" i="15"/>
  <c r="W834" i="15"/>
  <c r="E837" i="15"/>
  <c r="H837" i="15"/>
  <c r="P837" i="15"/>
  <c r="Q837" i="15"/>
  <c r="R837" i="15"/>
  <c r="S837" i="15"/>
  <c r="U837" i="15"/>
  <c r="W837" i="15"/>
  <c r="E840" i="15"/>
  <c r="H840" i="15"/>
  <c r="P840" i="15"/>
  <c r="Q840" i="15"/>
  <c r="R840" i="15"/>
  <c r="S840" i="15"/>
  <c r="U840" i="15"/>
  <c r="W840" i="15"/>
  <c r="E843" i="15"/>
  <c r="H843" i="15"/>
  <c r="R843" i="15"/>
  <c r="S843" i="15"/>
  <c r="U843" i="15"/>
  <c r="W843" i="15"/>
  <c r="E844" i="15"/>
  <c r="H844" i="15"/>
  <c r="R844" i="15"/>
  <c r="S844" i="15"/>
  <c r="U844" i="15"/>
  <c r="W844" i="15"/>
  <c r="E845" i="15"/>
  <c r="H845" i="15"/>
  <c r="R845" i="15"/>
  <c r="S845" i="15"/>
  <c r="U845" i="15"/>
  <c r="W845" i="15"/>
  <c r="E846" i="15"/>
  <c r="H846" i="15"/>
  <c r="R846" i="15"/>
  <c r="S846" i="15"/>
  <c r="U846" i="15"/>
  <c r="W846" i="15"/>
  <c r="E847" i="15"/>
  <c r="H847" i="15"/>
  <c r="R847" i="15"/>
  <c r="S847" i="15"/>
  <c r="U847" i="15"/>
  <c r="W847" i="15"/>
  <c r="E848" i="15"/>
  <c r="H848" i="15"/>
  <c r="R848" i="15"/>
  <c r="S848" i="15"/>
  <c r="U848" i="15"/>
  <c r="W848" i="15"/>
  <c r="E849" i="15"/>
  <c r="H849" i="15"/>
  <c r="R849" i="15"/>
  <c r="S849" i="15"/>
  <c r="U849" i="15"/>
  <c r="W849" i="15"/>
  <c r="E850" i="15"/>
  <c r="H850" i="15"/>
  <c r="R850" i="15"/>
  <c r="S850" i="15"/>
  <c r="U850" i="15"/>
  <c r="W850" i="15"/>
  <c r="E851" i="15"/>
  <c r="H851" i="15"/>
  <c r="R851" i="15"/>
  <c r="S851" i="15"/>
  <c r="U851" i="15"/>
  <c r="W851" i="15"/>
  <c r="E852" i="15"/>
  <c r="H852" i="15"/>
  <c r="R852" i="15"/>
  <c r="S852" i="15"/>
  <c r="U852" i="15"/>
  <c r="W852" i="15"/>
  <c r="E853" i="15"/>
  <c r="H853" i="15"/>
  <c r="R853" i="15"/>
  <c r="S853" i="15"/>
  <c r="U853" i="15"/>
  <c r="W853" i="15"/>
  <c r="E854" i="15"/>
  <c r="H854" i="15"/>
  <c r="R854" i="15"/>
  <c r="S854" i="15"/>
  <c r="U854" i="15"/>
  <c r="W854" i="15"/>
  <c r="E855" i="15"/>
  <c r="H855" i="15"/>
  <c r="R855" i="15"/>
  <c r="S855" i="15"/>
  <c r="U855" i="15"/>
  <c r="W855" i="15"/>
  <c r="E856" i="15"/>
  <c r="H856" i="15"/>
  <c r="R856" i="15"/>
  <c r="S856" i="15"/>
  <c r="U856" i="15"/>
  <c r="W856" i="15"/>
  <c r="E857" i="15"/>
  <c r="H857" i="15"/>
  <c r="R857" i="15"/>
  <c r="S857" i="15"/>
  <c r="U857" i="15"/>
  <c r="W857" i="15"/>
  <c r="E858" i="15"/>
  <c r="H858" i="15"/>
  <c r="R858" i="15"/>
  <c r="S858" i="15"/>
  <c r="U858" i="15"/>
  <c r="W858" i="15"/>
  <c r="E859" i="15"/>
  <c r="H859" i="15"/>
  <c r="R859" i="15"/>
  <c r="S859" i="15"/>
  <c r="U859" i="15"/>
  <c r="W859" i="15"/>
  <c r="E860" i="15"/>
  <c r="H860" i="15"/>
  <c r="R860" i="15"/>
  <c r="S860" i="15"/>
  <c r="U860" i="15"/>
  <c r="W860" i="15"/>
  <c r="E861" i="15"/>
  <c r="H861" i="15"/>
  <c r="R861" i="15"/>
  <c r="S861" i="15"/>
  <c r="U861" i="15"/>
  <c r="W861" i="15"/>
  <c r="E862" i="15"/>
  <c r="H862" i="15"/>
  <c r="R862" i="15"/>
  <c r="S862" i="15"/>
  <c r="U862" i="15"/>
  <c r="W862" i="15"/>
  <c r="E863" i="15"/>
  <c r="H863" i="15"/>
  <c r="P863" i="15"/>
  <c r="Q863" i="15"/>
  <c r="R863" i="15"/>
  <c r="S863" i="15"/>
  <c r="U863" i="15"/>
  <c r="W863" i="15"/>
  <c r="E864" i="15"/>
  <c r="H864" i="15"/>
  <c r="P864" i="15"/>
  <c r="Q864" i="15"/>
  <c r="R864" i="15"/>
  <c r="S864" i="15"/>
  <c r="U864" i="15"/>
  <c r="W864" i="15"/>
  <c r="E865" i="15"/>
  <c r="H865" i="15"/>
  <c r="P865" i="15"/>
  <c r="Q865" i="15"/>
  <c r="R865" i="15"/>
  <c r="S865" i="15"/>
  <c r="U865" i="15"/>
  <c r="W865" i="15"/>
  <c r="E866" i="15"/>
  <c r="H866" i="15"/>
  <c r="P866" i="15"/>
  <c r="Q866" i="15"/>
  <c r="R866" i="15"/>
  <c r="S866" i="15"/>
  <c r="U866" i="15"/>
  <c r="W866" i="15"/>
  <c r="E867" i="15"/>
  <c r="H867" i="15"/>
  <c r="P867" i="15"/>
  <c r="Q867" i="15"/>
  <c r="R867" i="15"/>
  <c r="S867" i="15"/>
  <c r="U867" i="15"/>
  <c r="W867" i="15"/>
  <c r="E868" i="15"/>
  <c r="H868" i="15"/>
  <c r="P868" i="15"/>
  <c r="Q868" i="15"/>
  <c r="R868" i="15"/>
  <c r="S868" i="15"/>
  <c r="U868" i="15"/>
  <c r="W868" i="15"/>
  <c r="E869" i="15"/>
  <c r="H869" i="15"/>
  <c r="P869" i="15"/>
  <c r="Q869" i="15"/>
  <c r="R869" i="15"/>
  <c r="S869" i="15"/>
  <c r="U869" i="15"/>
  <c r="W869" i="15"/>
  <c r="E870" i="15"/>
  <c r="H870" i="15"/>
  <c r="P870" i="15"/>
  <c r="Q870" i="15"/>
  <c r="R870" i="15"/>
  <c r="S870" i="15"/>
  <c r="U870" i="15"/>
  <c r="W870" i="15"/>
  <c r="E871" i="15"/>
  <c r="H871" i="15"/>
  <c r="P871" i="15"/>
  <c r="Q871" i="15"/>
  <c r="R871" i="15"/>
  <c r="S871" i="15"/>
  <c r="U871" i="15"/>
  <c r="W871" i="15"/>
  <c r="W447" i="15"/>
  <c r="U447" i="15"/>
  <c r="S447" i="15"/>
  <c r="R447" i="15"/>
  <c r="Q447" i="15"/>
  <c r="P447" i="15"/>
  <c r="H447" i="15"/>
  <c r="E447" i="15"/>
  <c r="W7" i="15"/>
  <c r="W8" i="15"/>
  <c r="W9" i="15"/>
  <c r="W10" i="15"/>
  <c r="W11" i="15"/>
  <c r="W12" i="15"/>
  <c r="W13" i="15"/>
  <c r="W14" i="15"/>
  <c r="W15" i="15"/>
  <c r="W16" i="15"/>
  <c r="W17" i="15"/>
  <c r="W18" i="15"/>
  <c r="W19" i="15"/>
  <c r="W20" i="15"/>
  <c r="W21" i="15"/>
  <c r="W22" i="15"/>
  <c r="W23" i="15"/>
  <c r="W24" i="15"/>
  <c r="W25" i="15"/>
  <c r="W26" i="15"/>
  <c r="W27" i="15"/>
  <c r="W28" i="15"/>
  <c r="W29" i="15"/>
  <c r="W30" i="15"/>
  <c r="W31" i="15"/>
  <c r="W32" i="15"/>
  <c r="W33" i="15"/>
  <c r="W34" i="15"/>
  <c r="W35" i="15"/>
  <c r="W36" i="15"/>
  <c r="W37" i="15"/>
  <c r="W38" i="15"/>
  <c r="W39" i="15"/>
  <c r="W40" i="15"/>
  <c r="W41" i="15"/>
  <c r="W42" i="15"/>
  <c r="W43" i="15"/>
  <c r="W44" i="15"/>
  <c r="W45" i="15"/>
  <c r="W46" i="15"/>
  <c r="W47" i="15"/>
  <c r="W48" i="15"/>
  <c r="W49" i="15"/>
  <c r="W50" i="15"/>
  <c r="W51" i="15"/>
  <c r="W52" i="15"/>
  <c r="W53" i="15"/>
  <c r="W54" i="15"/>
  <c r="W55" i="15"/>
  <c r="W56" i="15"/>
  <c r="W57" i="15"/>
  <c r="W58" i="15"/>
  <c r="W59" i="15"/>
  <c r="W60" i="15"/>
  <c r="W61" i="15"/>
  <c r="W62" i="15"/>
  <c r="W63" i="15"/>
  <c r="W64" i="15"/>
  <c r="W65" i="15"/>
  <c r="W66" i="15"/>
  <c r="W67" i="15"/>
  <c r="W68" i="15"/>
  <c r="W69" i="15"/>
  <c r="W70" i="15"/>
  <c r="W71" i="15"/>
  <c r="W72" i="15"/>
  <c r="W73" i="15"/>
  <c r="W74" i="15"/>
  <c r="W75" i="15"/>
  <c r="W76" i="15"/>
  <c r="W77" i="15"/>
  <c r="W78" i="15"/>
  <c r="W79" i="15"/>
  <c r="W80" i="15"/>
  <c r="W81" i="15"/>
  <c r="W82" i="15"/>
  <c r="W83" i="15"/>
  <c r="W84" i="15"/>
  <c r="W85" i="15"/>
  <c r="W86" i="15"/>
  <c r="W87" i="15"/>
  <c r="W88" i="15"/>
  <c r="W89" i="15"/>
  <c r="W90" i="15"/>
  <c r="W91" i="15"/>
  <c r="W92" i="15"/>
  <c r="W93" i="15"/>
  <c r="W94" i="15"/>
  <c r="W97" i="15"/>
  <c r="W100" i="15"/>
  <c r="W103" i="15"/>
  <c r="W106" i="15"/>
  <c r="W109" i="15"/>
  <c r="W112" i="15"/>
  <c r="W115" i="15"/>
  <c r="W118" i="15"/>
  <c r="W121" i="15"/>
  <c r="W124" i="15"/>
  <c r="W127" i="15"/>
  <c r="W130" i="15"/>
  <c r="W133" i="15"/>
  <c r="W136" i="15"/>
  <c r="W139" i="15"/>
  <c r="W142" i="15"/>
  <c r="W145" i="15"/>
  <c r="W148" i="15"/>
  <c r="W151" i="15"/>
  <c r="W154" i="15"/>
  <c r="W157" i="15"/>
  <c r="W160" i="15"/>
  <c r="W163" i="15"/>
  <c r="W166" i="15"/>
  <c r="W169" i="15"/>
  <c r="W172" i="15"/>
  <c r="W175" i="15"/>
  <c r="W178" i="15"/>
  <c r="W181" i="15"/>
  <c r="W184" i="15"/>
  <c r="W187" i="15"/>
  <c r="W190" i="15"/>
  <c r="W193" i="15"/>
  <c r="W196" i="15"/>
  <c r="W199" i="15"/>
  <c r="W202" i="15"/>
  <c r="W205" i="15"/>
  <c r="W208" i="15"/>
  <c r="W211" i="15"/>
  <c r="W214" i="15"/>
  <c r="W217" i="15"/>
  <c r="W220" i="15"/>
  <c r="W223" i="15"/>
  <c r="W226" i="15"/>
  <c r="W229" i="15"/>
  <c r="W232" i="15"/>
  <c r="W235" i="15"/>
  <c r="W238" i="15"/>
  <c r="W241" i="15"/>
  <c r="W244" i="15"/>
  <c r="W247" i="15"/>
  <c r="W250" i="15"/>
  <c r="W253" i="15"/>
  <c r="W256" i="15"/>
  <c r="W259" i="15"/>
  <c r="W262" i="15"/>
  <c r="W265" i="15"/>
  <c r="W268" i="15"/>
  <c r="W271" i="15"/>
  <c r="W274" i="15"/>
  <c r="W277" i="15"/>
  <c r="W280" i="15"/>
  <c r="W283" i="15"/>
  <c r="W286" i="15"/>
  <c r="W289" i="15"/>
  <c r="W292" i="15"/>
  <c r="W295" i="15"/>
  <c r="W298" i="15"/>
  <c r="W301" i="15"/>
  <c r="W304" i="15"/>
  <c r="W307" i="15"/>
  <c r="W310" i="15"/>
  <c r="W313" i="15"/>
  <c r="W316" i="15"/>
  <c r="W319" i="15"/>
  <c r="W322" i="15"/>
  <c r="W325" i="15"/>
  <c r="W328" i="15"/>
  <c r="W331" i="15"/>
  <c r="W334" i="15"/>
  <c r="W337" i="15"/>
  <c r="W340" i="15"/>
  <c r="W343" i="15"/>
  <c r="W346" i="15"/>
  <c r="W349" i="15"/>
  <c r="W352" i="15"/>
  <c r="W355" i="15"/>
  <c r="W358" i="15"/>
  <c r="W361" i="15"/>
  <c r="W364" i="15"/>
  <c r="W367" i="15"/>
  <c r="W370" i="15"/>
  <c r="W373" i="15"/>
  <c r="W376" i="15"/>
  <c r="W379" i="15"/>
  <c r="W382" i="15"/>
  <c r="W385" i="15"/>
  <c r="W388" i="15"/>
  <c r="W391" i="15"/>
  <c r="W394" i="15"/>
  <c r="W397" i="15"/>
  <c r="W400" i="15"/>
  <c r="W403" i="15"/>
  <c r="W406" i="15"/>
  <c r="W409" i="15"/>
  <c r="W412" i="15"/>
  <c r="W415" i="15"/>
  <c r="W418" i="15"/>
  <c r="W419" i="15"/>
  <c r="W420" i="15"/>
  <c r="W421" i="15"/>
  <c r="W422" i="15"/>
  <c r="W423" i="15"/>
  <c r="W424" i="15"/>
  <c r="W425" i="15"/>
  <c r="W426" i="15"/>
  <c r="W427" i="15"/>
  <c r="W428" i="15"/>
  <c r="W429" i="15"/>
  <c r="W430" i="15"/>
  <c r="W431" i="15"/>
  <c r="W432" i="15"/>
  <c r="W433" i="15"/>
  <c r="W434" i="15"/>
  <c r="W435" i="15"/>
  <c r="W436" i="15"/>
  <c r="W437" i="15"/>
  <c r="W438" i="15"/>
  <c r="W439" i="15"/>
  <c r="W440" i="15"/>
  <c r="W441" i="15"/>
  <c r="W442" i="15"/>
  <c r="W443" i="15"/>
  <c r="W444" i="15"/>
  <c r="W445" i="15"/>
  <c r="W446" i="15"/>
  <c r="W6" i="15"/>
  <c r="U7" i="15"/>
  <c r="U8" i="15"/>
  <c r="U9" i="15"/>
  <c r="U10" i="15"/>
  <c r="U11" i="15"/>
  <c r="U12" i="15"/>
  <c r="U13" i="15"/>
  <c r="U14" i="15"/>
  <c r="U15" i="15"/>
  <c r="U16" i="15"/>
  <c r="U17" i="15"/>
  <c r="U18" i="15"/>
  <c r="U19" i="15"/>
  <c r="U20" i="15"/>
  <c r="U21" i="15"/>
  <c r="U22" i="15"/>
  <c r="U23" i="15"/>
  <c r="U24" i="15"/>
  <c r="U25" i="15"/>
  <c r="U26" i="15"/>
  <c r="U27" i="15"/>
  <c r="U28" i="15"/>
  <c r="U29" i="15"/>
  <c r="U30" i="15"/>
  <c r="U31" i="15"/>
  <c r="U32" i="15"/>
  <c r="U33" i="15"/>
  <c r="U34" i="15"/>
  <c r="U35" i="15"/>
  <c r="U36" i="15"/>
  <c r="U37"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U73" i="15"/>
  <c r="U74" i="15"/>
  <c r="U75" i="15"/>
  <c r="U76" i="15"/>
  <c r="U77" i="15"/>
  <c r="U78" i="15"/>
  <c r="U79" i="15"/>
  <c r="U80" i="15"/>
  <c r="U81" i="15"/>
  <c r="U82" i="15"/>
  <c r="U83" i="15"/>
  <c r="U84" i="15"/>
  <c r="U85" i="15"/>
  <c r="U86" i="15"/>
  <c r="U87" i="15"/>
  <c r="U88" i="15"/>
  <c r="U89" i="15"/>
  <c r="U90" i="15"/>
  <c r="U91" i="15"/>
  <c r="U92" i="15"/>
  <c r="U93" i="15"/>
  <c r="U94" i="15"/>
  <c r="U97" i="15"/>
  <c r="U100" i="15"/>
  <c r="U103" i="15"/>
  <c r="U106" i="15"/>
  <c r="U109" i="15"/>
  <c r="U112" i="15"/>
  <c r="U115" i="15"/>
  <c r="U118" i="15"/>
  <c r="U121" i="15"/>
  <c r="U124" i="15"/>
  <c r="U127" i="15"/>
  <c r="U130" i="15"/>
  <c r="U133" i="15"/>
  <c r="U136" i="15"/>
  <c r="U139" i="15"/>
  <c r="U142" i="15"/>
  <c r="U145" i="15"/>
  <c r="U148" i="15"/>
  <c r="U151" i="15"/>
  <c r="U154" i="15"/>
  <c r="U157" i="15"/>
  <c r="U160" i="15"/>
  <c r="U163" i="15"/>
  <c r="U166" i="15"/>
  <c r="U169" i="15"/>
  <c r="U172" i="15"/>
  <c r="U175" i="15"/>
  <c r="U178" i="15"/>
  <c r="U181" i="15"/>
  <c r="U184" i="15"/>
  <c r="U187" i="15"/>
  <c r="U190" i="15"/>
  <c r="U193" i="15"/>
  <c r="U196" i="15"/>
  <c r="U199" i="15"/>
  <c r="U202" i="15"/>
  <c r="U205" i="15"/>
  <c r="U208" i="15"/>
  <c r="U211" i="15"/>
  <c r="U214" i="15"/>
  <c r="U217" i="15"/>
  <c r="U220" i="15"/>
  <c r="U223" i="15"/>
  <c r="U226" i="15"/>
  <c r="U229" i="15"/>
  <c r="U232" i="15"/>
  <c r="U235" i="15"/>
  <c r="U238" i="15"/>
  <c r="U241" i="15"/>
  <c r="U244" i="15"/>
  <c r="U247" i="15"/>
  <c r="U250" i="15"/>
  <c r="U253" i="15"/>
  <c r="U256" i="15"/>
  <c r="U259" i="15"/>
  <c r="U262" i="15"/>
  <c r="U265" i="15"/>
  <c r="U268" i="15"/>
  <c r="U271" i="15"/>
  <c r="U274" i="15"/>
  <c r="U277" i="15"/>
  <c r="U280" i="15"/>
  <c r="U283" i="15"/>
  <c r="U286" i="15"/>
  <c r="U289" i="15"/>
  <c r="U292" i="15"/>
  <c r="U295" i="15"/>
  <c r="U298" i="15"/>
  <c r="U301" i="15"/>
  <c r="U304" i="15"/>
  <c r="U307" i="15"/>
  <c r="U310" i="15"/>
  <c r="U313" i="15"/>
  <c r="U316" i="15"/>
  <c r="U319" i="15"/>
  <c r="U322" i="15"/>
  <c r="U325" i="15"/>
  <c r="U328" i="15"/>
  <c r="U331" i="15"/>
  <c r="U334" i="15"/>
  <c r="U337" i="15"/>
  <c r="U340" i="15"/>
  <c r="U343" i="15"/>
  <c r="U346" i="15"/>
  <c r="U349" i="15"/>
  <c r="U352" i="15"/>
  <c r="U355" i="15"/>
  <c r="U358" i="15"/>
  <c r="U361" i="15"/>
  <c r="U364" i="15"/>
  <c r="U367" i="15"/>
  <c r="U370" i="15"/>
  <c r="U373" i="15"/>
  <c r="U376" i="15"/>
  <c r="U379" i="15"/>
  <c r="U382" i="15"/>
  <c r="U385" i="15"/>
  <c r="U388" i="15"/>
  <c r="U391" i="15"/>
  <c r="U394" i="15"/>
  <c r="U397" i="15"/>
  <c r="U400" i="15"/>
  <c r="U403" i="15"/>
  <c r="U406" i="15"/>
  <c r="U409" i="15"/>
  <c r="U412" i="15"/>
  <c r="U415" i="15"/>
  <c r="U418" i="15"/>
  <c r="U419" i="15"/>
  <c r="U420" i="15"/>
  <c r="U421" i="15"/>
  <c r="U422" i="15"/>
  <c r="U423" i="15"/>
  <c r="U424" i="15"/>
  <c r="U425" i="15"/>
  <c r="U426" i="15"/>
  <c r="U427" i="15"/>
  <c r="U428" i="15"/>
  <c r="U429" i="15"/>
  <c r="U430" i="15"/>
  <c r="U431" i="15"/>
  <c r="U432" i="15"/>
  <c r="U433" i="15"/>
  <c r="U434" i="15"/>
  <c r="U435" i="15"/>
  <c r="U436" i="15"/>
  <c r="U437" i="15"/>
  <c r="U438" i="15"/>
  <c r="U439" i="15"/>
  <c r="U440" i="15"/>
  <c r="U441" i="15"/>
  <c r="U442" i="15"/>
  <c r="U443" i="15"/>
  <c r="U444" i="15"/>
  <c r="U445" i="15"/>
  <c r="U446" i="15"/>
  <c r="U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65" i="15"/>
  <c r="S66" i="15"/>
  <c r="S67" i="15"/>
  <c r="S68" i="15"/>
  <c r="S69" i="15"/>
  <c r="S70" i="15"/>
  <c r="S71" i="15"/>
  <c r="S72" i="15"/>
  <c r="S73" i="15"/>
  <c r="S74" i="15"/>
  <c r="S75" i="15"/>
  <c r="S76" i="15"/>
  <c r="S77" i="15"/>
  <c r="S78" i="15"/>
  <c r="S79" i="15"/>
  <c r="S80" i="15"/>
  <c r="S81" i="15"/>
  <c r="S82" i="15"/>
  <c r="S83" i="15"/>
  <c r="S84" i="15"/>
  <c r="S85" i="15"/>
  <c r="S86" i="15"/>
  <c r="S87" i="15"/>
  <c r="S88" i="15"/>
  <c r="S89" i="15"/>
  <c r="S90" i="15"/>
  <c r="S91" i="15"/>
  <c r="S92" i="15"/>
  <c r="S93" i="15"/>
  <c r="S94" i="15"/>
  <c r="S97" i="15"/>
  <c r="S100" i="15"/>
  <c r="S103" i="15"/>
  <c r="S106" i="15"/>
  <c r="S109" i="15"/>
  <c r="S112" i="15"/>
  <c r="S115" i="15"/>
  <c r="S118" i="15"/>
  <c r="S121" i="15"/>
  <c r="S124" i="15"/>
  <c r="S127" i="15"/>
  <c r="S130" i="15"/>
  <c r="S133" i="15"/>
  <c r="S136" i="15"/>
  <c r="S139" i="15"/>
  <c r="S142" i="15"/>
  <c r="S145" i="15"/>
  <c r="S148" i="15"/>
  <c r="S151" i="15"/>
  <c r="S154" i="15"/>
  <c r="S157" i="15"/>
  <c r="S160" i="15"/>
  <c r="S163" i="15"/>
  <c r="S166" i="15"/>
  <c r="S169" i="15"/>
  <c r="S172" i="15"/>
  <c r="S175" i="15"/>
  <c r="S178" i="15"/>
  <c r="S181" i="15"/>
  <c r="S184" i="15"/>
  <c r="S187" i="15"/>
  <c r="S190" i="15"/>
  <c r="S193" i="15"/>
  <c r="S196" i="15"/>
  <c r="S199" i="15"/>
  <c r="S202" i="15"/>
  <c r="S205" i="15"/>
  <c r="S208" i="15"/>
  <c r="S211" i="15"/>
  <c r="S214" i="15"/>
  <c r="S217" i="15"/>
  <c r="S220" i="15"/>
  <c r="S223" i="15"/>
  <c r="S226" i="15"/>
  <c r="S229" i="15"/>
  <c r="S232" i="15"/>
  <c r="S235" i="15"/>
  <c r="S238" i="15"/>
  <c r="S241" i="15"/>
  <c r="S244" i="15"/>
  <c r="S247" i="15"/>
  <c r="S250" i="15"/>
  <c r="S253" i="15"/>
  <c r="S256" i="15"/>
  <c r="S259" i="15"/>
  <c r="S262" i="15"/>
  <c r="S265" i="15"/>
  <c r="S268" i="15"/>
  <c r="S271" i="15"/>
  <c r="S274" i="15"/>
  <c r="S277" i="15"/>
  <c r="S280" i="15"/>
  <c r="S283" i="15"/>
  <c r="S286" i="15"/>
  <c r="S289" i="15"/>
  <c r="S292" i="15"/>
  <c r="S295" i="15"/>
  <c r="S298" i="15"/>
  <c r="S301" i="15"/>
  <c r="S304" i="15"/>
  <c r="S307" i="15"/>
  <c r="S310" i="15"/>
  <c r="S313" i="15"/>
  <c r="S316" i="15"/>
  <c r="S319" i="15"/>
  <c r="S322" i="15"/>
  <c r="S325" i="15"/>
  <c r="S328" i="15"/>
  <c r="S331" i="15"/>
  <c r="S334" i="15"/>
  <c r="S337" i="15"/>
  <c r="S340" i="15"/>
  <c r="S343" i="15"/>
  <c r="S346" i="15"/>
  <c r="S349" i="15"/>
  <c r="S352" i="15"/>
  <c r="S355" i="15"/>
  <c r="S358" i="15"/>
  <c r="S361" i="15"/>
  <c r="S364" i="15"/>
  <c r="S367" i="15"/>
  <c r="S370" i="15"/>
  <c r="S373" i="15"/>
  <c r="S376" i="15"/>
  <c r="S379" i="15"/>
  <c r="S382" i="15"/>
  <c r="S385" i="15"/>
  <c r="S388" i="15"/>
  <c r="S391" i="15"/>
  <c r="S394" i="15"/>
  <c r="S397" i="15"/>
  <c r="S400" i="15"/>
  <c r="S403" i="15"/>
  <c r="S406" i="15"/>
  <c r="S409" i="15"/>
  <c r="S412" i="15"/>
  <c r="S415" i="15"/>
  <c r="S418" i="15"/>
  <c r="S419" i="15"/>
  <c r="S420" i="15"/>
  <c r="S421" i="15"/>
  <c r="S422" i="15"/>
  <c r="S423" i="15"/>
  <c r="S424" i="15"/>
  <c r="S425" i="15"/>
  <c r="S426" i="15"/>
  <c r="S427" i="15"/>
  <c r="S428" i="15"/>
  <c r="S429" i="15"/>
  <c r="S430" i="15"/>
  <c r="S431" i="15"/>
  <c r="S432" i="15"/>
  <c r="S433" i="15"/>
  <c r="S434" i="15"/>
  <c r="S435" i="15"/>
  <c r="S436" i="15"/>
  <c r="S437" i="15"/>
  <c r="S438" i="15"/>
  <c r="S439" i="15"/>
  <c r="S440" i="15"/>
  <c r="S441" i="15"/>
  <c r="S442" i="15"/>
  <c r="S443" i="15"/>
  <c r="S444" i="15"/>
  <c r="S445" i="15"/>
  <c r="S446" i="15"/>
  <c r="S6" i="15"/>
  <c r="R7" i="15"/>
  <c r="R8" i="15"/>
  <c r="R9" i="15"/>
  <c r="R10" i="15"/>
  <c r="R11" i="15"/>
  <c r="R12" i="15"/>
  <c r="R13" i="15"/>
  <c r="R14"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93" i="15"/>
  <c r="R94" i="15"/>
  <c r="R97" i="15"/>
  <c r="R100" i="15"/>
  <c r="R103" i="15"/>
  <c r="R106" i="15"/>
  <c r="R109" i="15"/>
  <c r="R112" i="15"/>
  <c r="R115" i="15"/>
  <c r="R118" i="15"/>
  <c r="R121" i="15"/>
  <c r="R124" i="15"/>
  <c r="R127" i="15"/>
  <c r="R130" i="15"/>
  <c r="R133" i="15"/>
  <c r="R136" i="15"/>
  <c r="R139" i="15"/>
  <c r="R142" i="15"/>
  <c r="R145" i="15"/>
  <c r="R148" i="15"/>
  <c r="R151" i="15"/>
  <c r="R154" i="15"/>
  <c r="R157" i="15"/>
  <c r="R160" i="15"/>
  <c r="R163" i="15"/>
  <c r="R166" i="15"/>
  <c r="R169" i="15"/>
  <c r="R172" i="15"/>
  <c r="R175" i="15"/>
  <c r="R178" i="15"/>
  <c r="R181" i="15"/>
  <c r="R184" i="15"/>
  <c r="R187" i="15"/>
  <c r="R190" i="15"/>
  <c r="R193" i="15"/>
  <c r="R196" i="15"/>
  <c r="R199" i="15"/>
  <c r="R202" i="15"/>
  <c r="R205" i="15"/>
  <c r="R208" i="15"/>
  <c r="R211" i="15"/>
  <c r="R214" i="15"/>
  <c r="R217" i="15"/>
  <c r="R220" i="15"/>
  <c r="R223" i="15"/>
  <c r="R226" i="15"/>
  <c r="R229" i="15"/>
  <c r="R232" i="15"/>
  <c r="R235" i="15"/>
  <c r="R238" i="15"/>
  <c r="R241" i="15"/>
  <c r="R244" i="15"/>
  <c r="R247" i="15"/>
  <c r="R250" i="15"/>
  <c r="R253" i="15"/>
  <c r="R256" i="15"/>
  <c r="R259" i="15"/>
  <c r="R262" i="15"/>
  <c r="R265" i="15"/>
  <c r="R268" i="15"/>
  <c r="R271" i="15"/>
  <c r="R274" i="15"/>
  <c r="R277" i="15"/>
  <c r="R280" i="15"/>
  <c r="R283" i="15"/>
  <c r="R286" i="15"/>
  <c r="R289" i="15"/>
  <c r="R292" i="15"/>
  <c r="R295" i="15"/>
  <c r="R298" i="15"/>
  <c r="R301" i="15"/>
  <c r="R304" i="15"/>
  <c r="R307" i="15"/>
  <c r="R310" i="15"/>
  <c r="R313" i="15"/>
  <c r="R316" i="15"/>
  <c r="R319" i="15"/>
  <c r="R322" i="15"/>
  <c r="R325" i="15"/>
  <c r="R328" i="15"/>
  <c r="R331" i="15"/>
  <c r="R334" i="15"/>
  <c r="R337" i="15"/>
  <c r="R340" i="15"/>
  <c r="R343" i="15"/>
  <c r="R346" i="15"/>
  <c r="R349" i="15"/>
  <c r="R352" i="15"/>
  <c r="R355" i="15"/>
  <c r="R358" i="15"/>
  <c r="R361" i="15"/>
  <c r="R364" i="15"/>
  <c r="R367" i="15"/>
  <c r="R370" i="15"/>
  <c r="R373" i="15"/>
  <c r="R376" i="15"/>
  <c r="R379" i="15"/>
  <c r="R382" i="15"/>
  <c r="R385" i="15"/>
  <c r="R388" i="15"/>
  <c r="R391" i="15"/>
  <c r="R394" i="15"/>
  <c r="R397" i="15"/>
  <c r="R400" i="15"/>
  <c r="R403" i="15"/>
  <c r="R406" i="15"/>
  <c r="R409" i="15"/>
  <c r="R412" i="15"/>
  <c r="R415" i="15"/>
  <c r="R418" i="15"/>
  <c r="R419" i="15"/>
  <c r="R420" i="15"/>
  <c r="R421" i="15"/>
  <c r="R422" i="15"/>
  <c r="R423" i="15"/>
  <c r="R424" i="15"/>
  <c r="R425" i="15"/>
  <c r="R426" i="15"/>
  <c r="R427" i="15"/>
  <c r="R428" i="15"/>
  <c r="R429" i="15"/>
  <c r="R430" i="15"/>
  <c r="R431" i="15"/>
  <c r="R432" i="15"/>
  <c r="R433" i="15"/>
  <c r="R434" i="15"/>
  <c r="R435" i="15"/>
  <c r="R436" i="15"/>
  <c r="R437" i="15"/>
  <c r="R438" i="15"/>
  <c r="R439" i="15"/>
  <c r="R440" i="15"/>
  <c r="R441" i="15"/>
  <c r="R442" i="15"/>
  <c r="R443" i="15"/>
  <c r="R444" i="15"/>
  <c r="R445" i="15"/>
  <c r="R446" i="15"/>
  <c r="R6" i="15"/>
  <c r="Q7" i="15"/>
  <c r="Q8" i="15"/>
  <c r="Q9" i="15"/>
  <c r="Q10" i="15"/>
  <c r="Q11" i="15"/>
  <c r="Q12" i="15"/>
  <c r="Q13" i="15"/>
  <c r="Q14" i="15"/>
  <c r="Q15" i="15"/>
  <c r="Q16" i="15"/>
  <c r="Q17" i="15"/>
  <c r="Q18" i="15"/>
  <c r="Q19" i="15"/>
  <c r="Q20" i="15"/>
  <c r="Q21" i="15"/>
  <c r="Q22" i="15"/>
  <c r="Q23" i="15"/>
  <c r="Q24" i="15"/>
  <c r="Q25" i="15"/>
  <c r="Q26" i="15"/>
  <c r="Q27" i="15"/>
  <c r="Q28" i="15"/>
  <c r="Q29" i="15"/>
  <c r="Q30" i="15"/>
  <c r="Q31" i="15"/>
  <c r="Q32" i="15"/>
  <c r="Q33" i="15"/>
  <c r="Q34" i="15"/>
  <c r="Q35" i="15"/>
  <c r="Q36" i="15"/>
  <c r="Q37" i="15"/>
  <c r="Q38" i="15"/>
  <c r="Q39" i="15"/>
  <c r="Q40" i="15"/>
  <c r="Q41" i="15"/>
  <c r="Q42" i="15"/>
  <c r="Q43" i="15"/>
  <c r="Q44" i="15"/>
  <c r="Q45" i="15"/>
  <c r="Q46" i="15"/>
  <c r="Q47" i="15"/>
  <c r="Q48" i="15"/>
  <c r="Q49" i="15"/>
  <c r="Q50" i="15"/>
  <c r="Q51" i="15"/>
  <c r="Q52" i="15"/>
  <c r="Q53" i="15"/>
  <c r="Q54" i="15"/>
  <c r="Q55" i="15"/>
  <c r="Q56" i="15"/>
  <c r="Q57" i="15"/>
  <c r="Q58" i="15"/>
  <c r="Q59" i="15"/>
  <c r="Q60" i="15"/>
  <c r="Q61" i="15"/>
  <c r="Q62" i="15"/>
  <c r="Q63" i="15"/>
  <c r="Q64" i="15"/>
  <c r="Q65" i="15"/>
  <c r="Q66" i="15"/>
  <c r="Q67" i="15"/>
  <c r="Q68" i="15"/>
  <c r="Q69" i="15"/>
  <c r="Q70" i="15"/>
  <c r="Q71" i="15"/>
  <c r="Q72" i="15"/>
  <c r="Q73" i="15"/>
  <c r="Q74" i="15"/>
  <c r="Q75" i="15"/>
  <c r="Q76" i="15"/>
  <c r="Q77" i="15"/>
  <c r="Q78" i="15"/>
  <c r="Q79" i="15"/>
  <c r="Q80" i="15"/>
  <c r="Q81" i="15"/>
  <c r="Q82" i="15"/>
  <c r="Q83" i="15"/>
  <c r="Q84" i="15"/>
  <c r="Q85" i="15"/>
  <c r="Q86" i="15"/>
  <c r="Q87" i="15"/>
  <c r="Q88" i="15"/>
  <c r="Q89" i="15"/>
  <c r="Q90" i="15"/>
  <c r="Q91" i="15"/>
  <c r="Q92" i="15"/>
  <c r="Q93" i="15"/>
  <c r="Q94" i="15"/>
  <c r="Q97" i="15"/>
  <c r="Q100" i="15"/>
  <c r="Q103" i="15"/>
  <c r="Q106" i="15"/>
  <c r="Q109" i="15"/>
  <c r="Q112" i="15"/>
  <c r="Q115" i="15"/>
  <c r="Q118" i="15"/>
  <c r="Q121" i="15"/>
  <c r="Q124" i="15"/>
  <c r="Q127" i="15"/>
  <c r="Q130" i="15"/>
  <c r="Q133" i="15"/>
  <c r="Q136" i="15"/>
  <c r="Q139" i="15"/>
  <c r="Q142" i="15"/>
  <c r="Q145" i="15"/>
  <c r="Q148" i="15"/>
  <c r="Q151" i="15"/>
  <c r="Q154" i="15"/>
  <c r="Q157" i="15"/>
  <c r="Q160" i="15"/>
  <c r="Q163" i="15"/>
  <c r="Q166" i="15"/>
  <c r="Q169" i="15"/>
  <c r="Q172" i="15"/>
  <c r="Q175" i="15"/>
  <c r="Q178" i="15"/>
  <c r="Q181" i="15"/>
  <c r="Q184" i="15"/>
  <c r="Q187" i="15"/>
  <c r="Q190" i="15"/>
  <c r="Q193" i="15"/>
  <c r="Q196" i="15"/>
  <c r="Q199" i="15"/>
  <c r="Q202" i="15"/>
  <c r="Q205" i="15"/>
  <c r="Q208" i="15"/>
  <c r="Q211" i="15"/>
  <c r="Q214" i="15"/>
  <c r="Q217" i="15"/>
  <c r="Q220" i="15"/>
  <c r="Q223" i="15"/>
  <c r="Q226" i="15"/>
  <c r="Q229" i="15"/>
  <c r="Q232" i="15"/>
  <c r="Q235" i="15"/>
  <c r="Q238" i="15"/>
  <c r="Q241" i="15"/>
  <c r="Q244" i="15"/>
  <c r="Q247" i="15"/>
  <c r="Q250" i="15"/>
  <c r="Q253" i="15"/>
  <c r="Q256" i="15"/>
  <c r="Q259" i="15"/>
  <c r="Q262" i="15"/>
  <c r="Q265" i="15"/>
  <c r="Q268" i="15"/>
  <c r="Q271" i="15"/>
  <c r="Q274" i="15"/>
  <c r="Q277" i="15"/>
  <c r="Q280" i="15"/>
  <c r="Q283" i="15"/>
  <c r="Q286" i="15"/>
  <c r="Q289" i="15"/>
  <c r="Q292" i="15"/>
  <c r="Q295" i="15"/>
  <c r="Q298" i="15"/>
  <c r="Q301" i="15"/>
  <c r="Q304" i="15"/>
  <c r="Q307" i="15"/>
  <c r="Q310" i="15"/>
  <c r="Q313" i="15"/>
  <c r="Q316" i="15"/>
  <c r="Q319" i="15"/>
  <c r="Q322" i="15"/>
  <c r="Q325" i="15"/>
  <c r="Q328" i="15"/>
  <c r="Q331" i="15"/>
  <c r="Q334" i="15"/>
  <c r="Q337" i="15"/>
  <c r="Q340" i="15"/>
  <c r="Q343" i="15"/>
  <c r="Q346" i="15"/>
  <c r="Q349" i="15"/>
  <c r="Q352" i="15"/>
  <c r="Q355" i="15"/>
  <c r="Q358" i="15"/>
  <c r="Q361" i="15"/>
  <c r="Q364" i="15"/>
  <c r="Q367" i="15"/>
  <c r="Q370" i="15"/>
  <c r="Q373" i="15"/>
  <c r="Q376" i="15"/>
  <c r="Q379" i="15"/>
  <c r="Q382" i="15"/>
  <c r="Q385" i="15"/>
  <c r="Q388" i="15"/>
  <c r="Q391" i="15"/>
  <c r="Q394" i="15"/>
  <c r="Q397" i="15"/>
  <c r="Q400" i="15"/>
  <c r="Q403" i="15"/>
  <c r="Q406" i="15"/>
  <c r="Q409" i="15"/>
  <c r="Q412" i="15"/>
  <c r="Q415" i="15"/>
  <c r="Q438" i="15"/>
  <c r="Q439" i="15"/>
  <c r="Q440" i="15"/>
  <c r="Q441" i="15"/>
  <c r="Q442" i="15"/>
  <c r="Q443" i="15"/>
  <c r="Q444" i="15"/>
  <c r="Q445" i="15"/>
  <c r="Q446" i="15"/>
  <c r="Q6" i="15"/>
  <c r="P7" i="15"/>
  <c r="P8" i="15"/>
  <c r="P9" i="15"/>
  <c r="P10" i="15"/>
  <c r="P11" i="15"/>
  <c r="P12" i="15"/>
  <c r="P13" i="15"/>
  <c r="P14" i="15"/>
  <c r="P15" i="15"/>
  <c r="P16" i="15"/>
  <c r="P17" i="15"/>
  <c r="P18"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P93" i="15"/>
  <c r="P94" i="15"/>
  <c r="P97" i="15"/>
  <c r="P100" i="15"/>
  <c r="P103" i="15"/>
  <c r="P106" i="15"/>
  <c r="P109" i="15"/>
  <c r="P112" i="15"/>
  <c r="P115" i="15"/>
  <c r="P118" i="15"/>
  <c r="P121" i="15"/>
  <c r="P124" i="15"/>
  <c r="P127" i="15"/>
  <c r="P130" i="15"/>
  <c r="P133" i="15"/>
  <c r="P136" i="15"/>
  <c r="P139" i="15"/>
  <c r="P142" i="15"/>
  <c r="P145" i="15"/>
  <c r="P148" i="15"/>
  <c r="P151" i="15"/>
  <c r="P154" i="15"/>
  <c r="P157" i="15"/>
  <c r="P160" i="15"/>
  <c r="P163" i="15"/>
  <c r="P166" i="15"/>
  <c r="P169" i="15"/>
  <c r="P172" i="15"/>
  <c r="P175" i="15"/>
  <c r="P178" i="15"/>
  <c r="P181" i="15"/>
  <c r="P184" i="15"/>
  <c r="P187" i="15"/>
  <c r="P190" i="15"/>
  <c r="P193" i="15"/>
  <c r="P196" i="15"/>
  <c r="P199" i="15"/>
  <c r="P202" i="15"/>
  <c r="P205" i="15"/>
  <c r="P208" i="15"/>
  <c r="P211" i="15"/>
  <c r="P214" i="15"/>
  <c r="P217" i="15"/>
  <c r="P220" i="15"/>
  <c r="P223" i="15"/>
  <c r="P226" i="15"/>
  <c r="P229" i="15"/>
  <c r="P232" i="15"/>
  <c r="P235" i="15"/>
  <c r="P238" i="15"/>
  <c r="P241" i="15"/>
  <c r="P244" i="15"/>
  <c r="P247" i="15"/>
  <c r="P250" i="15"/>
  <c r="P253" i="15"/>
  <c r="P256" i="15"/>
  <c r="P259" i="15"/>
  <c r="P262" i="15"/>
  <c r="P265" i="15"/>
  <c r="P268" i="15"/>
  <c r="P271" i="15"/>
  <c r="P274" i="15"/>
  <c r="P277" i="15"/>
  <c r="P280" i="15"/>
  <c r="P283" i="15"/>
  <c r="P286" i="15"/>
  <c r="P289" i="15"/>
  <c r="P292" i="15"/>
  <c r="P295" i="15"/>
  <c r="P298" i="15"/>
  <c r="P301" i="15"/>
  <c r="P304" i="15"/>
  <c r="P307" i="15"/>
  <c r="P310" i="15"/>
  <c r="P313" i="15"/>
  <c r="P316" i="15"/>
  <c r="P319" i="15"/>
  <c r="P322" i="15"/>
  <c r="P325" i="15"/>
  <c r="P328" i="15"/>
  <c r="P331" i="15"/>
  <c r="P334" i="15"/>
  <c r="P337" i="15"/>
  <c r="P340" i="15"/>
  <c r="P343" i="15"/>
  <c r="P346" i="15"/>
  <c r="P349" i="15"/>
  <c r="P352" i="15"/>
  <c r="P355" i="15"/>
  <c r="P358" i="15"/>
  <c r="P361" i="15"/>
  <c r="P364" i="15"/>
  <c r="P367" i="15"/>
  <c r="P370" i="15"/>
  <c r="P373" i="15"/>
  <c r="P376" i="15"/>
  <c r="P379" i="15"/>
  <c r="P382" i="15"/>
  <c r="P385" i="15"/>
  <c r="P388" i="15"/>
  <c r="P391" i="15"/>
  <c r="P394" i="15"/>
  <c r="P397" i="15"/>
  <c r="P400" i="15"/>
  <c r="P403" i="15"/>
  <c r="P406" i="15"/>
  <c r="P409" i="15"/>
  <c r="P412" i="15"/>
  <c r="P415" i="15"/>
  <c r="P438" i="15"/>
  <c r="P439" i="15"/>
  <c r="P440" i="15"/>
  <c r="P441" i="15"/>
  <c r="P442" i="15"/>
  <c r="P443" i="15"/>
  <c r="P444" i="15"/>
  <c r="P445" i="15"/>
  <c r="P446" i="15"/>
  <c r="P6" i="15"/>
  <c r="H7" i="15"/>
  <c r="H8" i="15"/>
  <c r="H9" i="15"/>
  <c r="H10" i="15"/>
  <c r="H11" i="15"/>
  <c r="H12" i="15"/>
  <c r="H13" i="15"/>
  <c r="H14" i="15"/>
  <c r="H15" i="15"/>
  <c r="H16" i="15"/>
  <c r="H17" i="15"/>
  <c r="H18" i="15"/>
  <c r="H19" i="15"/>
  <c r="H20" i="15"/>
  <c r="H21" i="15"/>
  <c r="H22" i="15"/>
  <c r="H23" i="15"/>
  <c r="H24" i="15"/>
  <c r="H25" i="15"/>
  <c r="H26" i="15"/>
  <c r="H27" i="15"/>
  <c r="H28" i="15"/>
  <c r="H29" i="15"/>
  <c r="H30" i="15"/>
  <c r="H31" i="15"/>
  <c r="H32" i="15"/>
  <c r="H33" i="15"/>
  <c r="H34" i="15"/>
  <c r="H35" i="15"/>
  <c r="H36" i="15"/>
  <c r="H37" i="15"/>
  <c r="H38" i="15"/>
  <c r="H39" i="15"/>
  <c r="H40" i="15"/>
  <c r="H41" i="15"/>
  <c r="H42" i="15"/>
  <c r="H43" i="15"/>
  <c r="H44" i="15"/>
  <c r="H45" i="15"/>
  <c r="H46" i="15"/>
  <c r="H47" i="15"/>
  <c r="H48" i="15"/>
  <c r="H49" i="15"/>
  <c r="H50" i="15"/>
  <c r="H51" i="15"/>
  <c r="H52" i="15"/>
  <c r="H53" i="15"/>
  <c r="H54" i="15"/>
  <c r="H55" i="15"/>
  <c r="H56" i="15"/>
  <c r="H57" i="15"/>
  <c r="H58" i="15"/>
  <c r="H59" i="15"/>
  <c r="H60" i="15"/>
  <c r="H61" i="15"/>
  <c r="H62" i="15"/>
  <c r="H63" i="15"/>
  <c r="H64" i="15"/>
  <c r="H65" i="15"/>
  <c r="H66" i="15"/>
  <c r="H67" i="15"/>
  <c r="H68" i="15"/>
  <c r="H69" i="15"/>
  <c r="H70" i="15"/>
  <c r="H71" i="15"/>
  <c r="H72" i="15"/>
  <c r="H73" i="15"/>
  <c r="H74" i="15"/>
  <c r="H75" i="15"/>
  <c r="H76" i="15"/>
  <c r="H77" i="15"/>
  <c r="H78" i="15"/>
  <c r="H79" i="15"/>
  <c r="H80" i="15"/>
  <c r="H81" i="15"/>
  <c r="H82" i="15"/>
  <c r="H83" i="15"/>
  <c r="H84" i="15"/>
  <c r="H85" i="15"/>
  <c r="H86" i="15"/>
  <c r="H87" i="15"/>
  <c r="H88" i="15"/>
  <c r="H89" i="15"/>
  <c r="H90" i="15"/>
  <c r="H91" i="15"/>
  <c r="H92" i="15"/>
  <c r="H93" i="15"/>
  <c r="H94" i="15"/>
  <c r="H97" i="15"/>
  <c r="H100" i="15"/>
  <c r="H103" i="15"/>
  <c r="H106" i="15"/>
  <c r="H109" i="15"/>
  <c r="H112" i="15"/>
  <c r="H115" i="15"/>
  <c r="H118" i="15"/>
  <c r="H121" i="15"/>
  <c r="H124" i="15"/>
  <c r="H127" i="15"/>
  <c r="H130" i="15"/>
  <c r="H133" i="15"/>
  <c r="H136" i="15"/>
  <c r="H139" i="15"/>
  <c r="H142" i="15"/>
  <c r="H145" i="15"/>
  <c r="H148" i="15"/>
  <c r="H151" i="15"/>
  <c r="H154" i="15"/>
  <c r="H157" i="15"/>
  <c r="H160" i="15"/>
  <c r="H163" i="15"/>
  <c r="H166" i="15"/>
  <c r="H169" i="15"/>
  <c r="H172" i="15"/>
  <c r="H175" i="15"/>
  <c r="H178" i="15"/>
  <c r="H181" i="15"/>
  <c r="H184" i="15"/>
  <c r="H187" i="15"/>
  <c r="H190" i="15"/>
  <c r="H193" i="15"/>
  <c r="H196" i="15"/>
  <c r="H199" i="15"/>
  <c r="H202" i="15"/>
  <c r="H205" i="15"/>
  <c r="H208" i="15"/>
  <c r="H211" i="15"/>
  <c r="H214" i="15"/>
  <c r="H217" i="15"/>
  <c r="H220" i="15"/>
  <c r="H223" i="15"/>
  <c r="H226" i="15"/>
  <c r="H229" i="15"/>
  <c r="H232" i="15"/>
  <c r="H235" i="15"/>
  <c r="H238" i="15"/>
  <c r="H241" i="15"/>
  <c r="H244" i="15"/>
  <c r="H247" i="15"/>
  <c r="H250" i="15"/>
  <c r="H253" i="15"/>
  <c r="H256" i="15"/>
  <c r="H259" i="15"/>
  <c r="H262" i="15"/>
  <c r="H265" i="15"/>
  <c r="H268" i="15"/>
  <c r="H271" i="15"/>
  <c r="H274" i="15"/>
  <c r="H277" i="15"/>
  <c r="H280" i="15"/>
  <c r="H283" i="15"/>
  <c r="H286" i="15"/>
  <c r="H289" i="15"/>
  <c r="H292" i="15"/>
  <c r="H295" i="15"/>
  <c r="H298" i="15"/>
  <c r="H301" i="15"/>
  <c r="H304" i="15"/>
  <c r="H307" i="15"/>
  <c r="H310" i="15"/>
  <c r="H313" i="15"/>
  <c r="H316" i="15"/>
  <c r="H319" i="15"/>
  <c r="H322" i="15"/>
  <c r="H325" i="15"/>
  <c r="H328" i="15"/>
  <c r="H331" i="15"/>
  <c r="H334" i="15"/>
  <c r="H337" i="15"/>
  <c r="H340" i="15"/>
  <c r="H343" i="15"/>
  <c r="H346" i="15"/>
  <c r="H349" i="15"/>
  <c r="H352" i="15"/>
  <c r="H355" i="15"/>
  <c r="H358" i="15"/>
  <c r="H361" i="15"/>
  <c r="H364" i="15"/>
  <c r="H367" i="15"/>
  <c r="H370" i="15"/>
  <c r="H373" i="15"/>
  <c r="H376" i="15"/>
  <c r="H379" i="15"/>
  <c r="H382" i="15"/>
  <c r="H385" i="15"/>
  <c r="H388" i="15"/>
  <c r="H391" i="15"/>
  <c r="H394" i="15"/>
  <c r="H397" i="15"/>
  <c r="H400" i="15"/>
  <c r="H403" i="15"/>
  <c r="H406" i="15"/>
  <c r="H409" i="15"/>
  <c r="H412" i="15"/>
  <c r="H415" i="15"/>
  <c r="H418" i="15"/>
  <c r="H419" i="15"/>
  <c r="H420" i="15"/>
  <c r="H421" i="15"/>
  <c r="H422" i="15"/>
  <c r="H423" i="15"/>
  <c r="H424" i="15"/>
  <c r="H425" i="15"/>
  <c r="H426" i="15"/>
  <c r="H427" i="15"/>
  <c r="H428" i="15"/>
  <c r="H429" i="15"/>
  <c r="H430" i="15"/>
  <c r="H431" i="15"/>
  <c r="H432" i="15"/>
  <c r="H433" i="15"/>
  <c r="H434" i="15"/>
  <c r="H435" i="15"/>
  <c r="H436" i="15"/>
  <c r="H437" i="15"/>
  <c r="H438" i="15"/>
  <c r="H439" i="15"/>
  <c r="H440" i="15"/>
  <c r="H441" i="15"/>
  <c r="H442" i="15"/>
  <c r="H443" i="15"/>
  <c r="H444" i="15"/>
  <c r="H445" i="15"/>
  <c r="H446" i="15"/>
  <c r="H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7" i="15"/>
  <c r="E100" i="15"/>
  <c r="E103" i="15"/>
  <c r="E106" i="15"/>
  <c r="E109" i="15"/>
  <c r="E112" i="15"/>
  <c r="E115" i="15"/>
  <c r="E118" i="15"/>
  <c r="E121" i="15"/>
  <c r="E124" i="15"/>
  <c r="E127" i="15"/>
  <c r="E130" i="15"/>
  <c r="E133" i="15"/>
  <c r="E136" i="15"/>
  <c r="E139" i="15"/>
  <c r="E142" i="15"/>
  <c r="E145" i="15"/>
  <c r="E148" i="15"/>
  <c r="E151" i="15"/>
  <c r="E154" i="15"/>
  <c r="E157" i="15"/>
  <c r="E160" i="15"/>
  <c r="E163" i="15"/>
  <c r="E166" i="15"/>
  <c r="E169" i="15"/>
  <c r="E172" i="15"/>
  <c r="E175" i="15"/>
  <c r="E178" i="15"/>
  <c r="E181" i="15"/>
  <c r="E184" i="15"/>
  <c r="E187" i="15"/>
  <c r="E190" i="15"/>
  <c r="E193" i="15"/>
  <c r="E196" i="15"/>
  <c r="E199" i="15"/>
  <c r="E202" i="15"/>
  <c r="E205" i="15"/>
  <c r="E208" i="15"/>
  <c r="E211" i="15"/>
  <c r="E214" i="15"/>
  <c r="E217" i="15"/>
  <c r="E220" i="15"/>
  <c r="E223" i="15"/>
  <c r="E226" i="15"/>
  <c r="E229" i="15"/>
  <c r="E232" i="15"/>
  <c r="E235" i="15"/>
  <c r="E238" i="15"/>
  <c r="E241" i="15"/>
  <c r="E244" i="15"/>
  <c r="E247" i="15"/>
  <c r="E250" i="15"/>
  <c r="E253" i="15"/>
  <c r="E256" i="15"/>
  <c r="E259" i="15"/>
  <c r="E262" i="15"/>
  <c r="E265" i="15"/>
  <c r="E268" i="15"/>
  <c r="E271" i="15"/>
  <c r="E274" i="15"/>
  <c r="E277" i="15"/>
  <c r="E280" i="15"/>
  <c r="E283" i="15"/>
  <c r="E286" i="15"/>
  <c r="E289" i="15"/>
  <c r="E292" i="15"/>
  <c r="E295" i="15"/>
  <c r="E298" i="15"/>
  <c r="E301" i="15"/>
  <c r="E304" i="15"/>
  <c r="E307" i="15"/>
  <c r="E310" i="15"/>
  <c r="E313" i="15"/>
  <c r="E316" i="15"/>
  <c r="E319" i="15"/>
  <c r="E322" i="15"/>
  <c r="E325" i="15"/>
  <c r="E328" i="15"/>
  <c r="E331" i="15"/>
  <c r="E334" i="15"/>
  <c r="E337" i="15"/>
  <c r="E340" i="15"/>
  <c r="E343" i="15"/>
  <c r="E346" i="15"/>
  <c r="E349" i="15"/>
  <c r="E352" i="15"/>
  <c r="E355" i="15"/>
  <c r="E358" i="15"/>
  <c r="E361" i="15"/>
  <c r="E364" i="15"/>
  <c r="E367" i="15"/>
  <c r="E370" i="15"/>
  <c r="E373" i="15"/>
  <c r="E376" i="15"/>
  <c r="E379" i="15"/>
  <c r="E382" i="15"/>
  <c r="E385" i="15"/>
  <c r="E388" i="15"/>
  <c r="E391" i="15"/>
  <c r="E394" i="15"/>
  <c r="E397" i="15"/>
  <c r="E400" i="15"/>
  <c r="E403" i="15"/>
  <c r="E406" i="15"/>
  <c r="E409" i="15"/>
  <c r="E412" i="15"/>
  <c r="E415"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6" i="15"/>
  <c r="H615" i="23" l="1"/>
  <c r="H617" i="23" s="1"/>
  <c r="H619" i="23" s="1"/>
  <c r="H621" i="23" s="1"/>
  <c r="H623" i="23" s="1"/>
  <c r="H625" i="23" s="1"/>
  <c r="H627" i="23" s="1"/>
  <c r="H629" i="23" s="1"/>
  <c r="H639" i="23"/>
  <c r="H89" i="23"/>
  <c r="H91" i="23" s="1"/>
  <c r="H93" i="23" s="1"/>
  <c r="H95" i="23" s="1"/>
  <c r="H97" i="23" s="1"/>
  <c r="H99" i="23" s="1"/>
  <c r="H101" i="23" s="1"/>
  <c r="H111" i="23" s="1"/>
  <c r="H113" i="23" s="1"/>
  <c r="H115" i="23" s="1"/>
  <c r="H117" i="23" s="1"/>
  <c r="H119" i="23" s="1"/>
  <c r="H121" i="23" s="1"/>
  <c r="H123" i="23" s="1"/>
  <c r="H125" i="23" s="1"/>
  <c r="H31" i="23"/>
  <c r="H33" i="23" s="1"/>
  <c r="H35" i="23" s="1"/>
  <c r="H37" i="23" s="1"/>
  <c r="H57" i="23"/>
  <c r="H59" i="23" s="1"/>
  <c r="H61" i="23" s="1"/>
  <c r="H63" i="23" s="1"/>
  <c r="H65" i="23" s="1"/>
  <c r="H67" i="23" s="1"/>
  <c r="H69" i="23" s="1"/>
  <c r="H535" i="23"/>
  <c r="H539" i="23" s="1"/>
  <c r="H543" i="23" s="1"/>
  <c r="H547" i="23" s="1"/>
  <c r="H551" i="23" s="1"/>
  <c r="H555" i="23" s="1"/>
  <c r="H559" i="23" s="1"/>
  <c r="H563" i="23" s="1"/>
  <c r="H567" i="23" s="1"/>
  <c r="H571" i="23" s="1"/>
  <c r="H575" i="23" s="1"/>
  <c r="H579" i="23" s="1"/>
  <c r="H583" i="23" s="1"/>
  <c r="H587" i="23" s="1"/>
  <c r="H19" i="23"/>
  <c r="H21" i="23" s="1"/>
  <c r="H127" i="23"/>
  <c r="H129" i="23" s="1"/>
  <c r="H131" i="23" s="1"/>
  <c r="H133" i="23" s="1"/>
  <c r="H135" i="23" s="1"/>
  <c r="H137" i="23" s="1"/>
  <c r="H139" i="23" s="1"/>
  <c r="H141" i="23" s="1"/>
  <c r="H159" i="23" s="1"/>
  <c r="H161" i="23" s="1"/>
  <c r="H163" i="23" s="1"/>
  <c r="H165" i="23" s="1"/>
  <c r="H179" i="23"/>
  <c r="H182" i="23" s="1"/>
  <c r="H185" i="23" s="1"/>
  <c r="H189" i="23" s="1"/>
  <c r="H193" i="23" s="1"/>
  <c r="H196" i="23" s="1"/>
  <c r="H199" i="23" s="1"/>
  <c r="H203" i="23" s="1"/>
  <c r="H207" i="23" s="1"/>
  <c r="H211" i="23" s="1"/>
  <c r="H215" i="23" s="1"/>
  <c r="H219" i="23" s="1"/>
  <c r="H223" i="23" s="1"/>
  <c r="H227" i="23" s="1"/>
  <c r="H231" i="23" s="1"/>
  <c r="H235" i="23" s="1"/>
  <c r="H271" i="23" s="1"/>
  <c r="H275" i="23" s="1"/>
  <c r="H279" i="23" s="1"/>
  <c r="H283" i="23" s="1"/>
  <c r="H287" i="23" s="1"/>
  <c r="H291" i="23" s="1"/>
  <c r="H295" i="23" s="1"/>
  <c r="H299" i="23" s="1"/>
  <c r="H335" i="23" s="1"/>
  <c r="H339" i="23" s="1"/>
  <c r="H343" i="23" s="1"/>
  <c r="H347" i="23" s="1"/>
  <c r="H351" i="23" s="1"/>
  <c r="H355" i="23" s="1"/>
  <c r="H359" i="23" s="1"/>
  <c r="H363" i="23" s="1"/>
  <c r="H399" i="23" s="1"/>
  <c r="H403" i="23" s="1"/>
  <c r="H407" i="23" s="1"/>
  <c r="H411" i="23" s="1"/>
  <c r="H415" i="23" s="1"/>
  <c r="H419" i="23" s="1"/>
  <c r="H423" i="23" s="1"/>
  <c r="H427" i="23" s="1"/>
  <c r="H463" i="23" s="1"/>
  <c r="H467" i="23" s="1"/>
  <c r="H471" i="23" s="1"/>
  <c r="H475" i="23" s="1"/>
  <c r="H641" i="23"/>
  <c r="H643" i="23" s="1"/>
  <c r="H645" i="23" s="1"/>
  <c r="H515" i="23"/>
  <c r="H519" i="23" s="1"/>
  <c r="H523" i="23" s="1"/>
  <c r="H591" i="23" s="1"/>
  <c r="H595" i="23" s="1"/>
  <c r="H599" i="23" s="1"/>
  <c r="H603" i="23" s="1"/>
  <c r="H77" i="23"/>
  <c r="H79" i="23" s="1"/>
  <c r="H81" i="23" s="1"/>
  <c r="H83" i="23" s="1"/>
  <c r="H85" i="23" s="1"/>
  <c r="H103" i="23" s="1"/>
  <c r="H105" i="23" s="1"/>
  <c r="H107" i="23" s="1"/>
  <c r="H109" i="23" s="1"/>
  <c r="H29" i="23"/>
  <c r="H167" i="23"/>
  <c r="H168" i="23" s="1"/>
  <c r="H169" i="23" s="1"/>
  <c r="H170" i="23" s="1"/>
  <c r="H171" i="23" s="1"/>
  <c r="H173" i="23" s="1"/>
  <c r="H175" i="23" s="1"/>
  <c r="H177" i="23" s="1"/>
  <c r="H145" i="23"/>
  <c r="H147" i="23"/>
  <c r="H149" i="23" s="1"/>
  <c r="H151" i="23" s="1"/>
  <c r="H153" i="23" s="1"/>
  <c r="H155" i="23" s="1"/>
  <c r="H157" i="23" s="1"/>
  <c r="H247" i="23"/>
  <c r="H251" i="23" s="1"/>
  <c r="H255" i="23" s="1"/>
  <c r="H259" i="23" s="1"/>
  <c r="H263" i="23" s="1"/>
  <c r="H267" i="23" s="1"/>
  <c r="H303" i="23" s="1"/>
  <c r="H307" i="23" s="1"/>
  <c r="H311" i="23" s="1"/>
  <c r="H315" i="23" s="1"/>
  <c r="H319" i="23" s="1"/>
  <c r="H323" i="23" s="1"/>
  <c r="H327" i="23" s="1"/>
  <c r="H331" i="23" s="1"/>
  <c r="H367" i="23" s="1"/>
  <c r="H371" i="23" s="1"/>
  <c r="H375" i="23" s="1"/>
  <c r="H379" i="23" s="1"/>
  <c r="H383" i="23" s="1"/>
  <c r="H387" i="23" s="1"/>
  <c r="H391" i="23" s="1"/>
  <c r="H395" i="23" s="1"/>
  <c r="H431" i="23" s="1"/>
  <c r="H435" i="23" s="1"/>
  <c r="H439" i="23" s="1"/>
  <c r="H443" i="23" s="1"/>
  <c r="H447" i="23" s="1"/>
  <c r="H451" i="23" s="1"/>
  <c r="H455" i="23" s="1"/>
  <c r="H459" i="23" s="1"/>
  <c r="H479" i="23" s="1"/>
  <c r="H483" i="23" s="1"/>
  <c r="H487" i="23" s="1"/>
  <c r="H491" i="23" s="1"/>
  <c r="H43" i="23"/>
  <c r="H45" i="23" s="1"/>
  <c r="H47" i="23" s="1"/>
  <c r="H49" i="23" s="1"/>
  <c r="H51" i="23" s="1"/>
  <c r="H53" i="23" s="1"/>
  <c r="H9" i="23"/>
  <c r="H11" i="23" s="1"/>
  <c r="H13" i="23" s="1"/>
  <c r="J8" i="18"/>
  <c r="J5" i="18"/>
  <c r="C483" i="19" s="1"/>
  <c r="J6" i="18"/>
  <c r="C484" i="19" s="1"/>
  <c r="J7" i="18"/>
  <c r="C485" i="19" s="1"/>
  <c r="V10" i="18"/>
  <c r="V19" i="18" s="1"/>
  <c r="V28" i="18" s="1"/>
  <c r="V37" i="18" s="1"/>
  <c r="V46" i="18" s="1"/>
  <c r="V55" i="18" s="1"/>
  <c r="V64" i="18" s="1"/>
  <c r="V73" i="18" s="1"/>
  <c r="C511" i="19"/>
  <c r="B514" i="19"/>
  <c r="B487" i="19"/>
  <c r="B504" i="19"/>
  <c r="I8" i="18"/>
  <c r="B486" i="19" s="1"/>
  <c r="C503" i="19"/>
  <c r="C509" i="19"/>
  <c r="B512" i="19"/>
  <c r="B491" i="19"/>
  <c r="I5" i="18"/>
  <c r="B483" i="19" s="1"/>
  <c r="B511" i="19"/>
  <c r="C502" i="19"/>
  <c r="C508" i="19"/>
  <c r="C514" i="19"/>
  <c r="W166" i="17"/>
  <c r="W150" i="17"/>
  <c r="W148" i="17"/>
  <c r="W146" i="17"/>
  <c r="W144" i="17"/>
  <c r="W159" i="17"/>
  <c r="W138" i="17"/>
  <c r="W140" i="17"/>
  <c r="W142" i="17"/>
  <c r="W106" i="17"/>
  <c r="W108" i="17"/>
  <c r="W110" i="17"/>
  <c r="W112" i="17"/>
  <c r="W114" i="17"/>
  <c r="W116" i="17"/>
  <c r="W118" i="17"/>
  <c r="W120" i="17"/>
  <c r="W129" i="17"/>
  <c r="W179" i="17"/>
  <c r="W181" i="17"/>
  <c r="W145" i="17"/>
  <c r="W147" i="17"/>
  <c r="W149" i="17"/>
  <c r="W137" i="17"/>
  <c r="W139" i="17"/>
  <c r="W141" i="17"/>
  <c r="W143" i="17"/>
  <c r="W156" i="17"/>
  <c r="W154" i="17"/>
  <c r="W163" i="17"/>
  <c r="W184" i="17"/>
  <c r="W107" i="17"/>
  <c r="W109" i="17"/>
  <c r="W111" i="17"/>
  <c r="W113" i="17"/>
  <c r="W115" i="17"/>
  <c r="W117" i="17"/>
  <c r="W119" i="17"/>
  <c r="W121" i="17"/>
  <c r="W152" i="17"/>
  <c r="W161" i="17"/>
  <c r="W180" i="17"/>
  <c r="W182" i="17"/>
  <c r="W151" i="17"/>
  <c r="W153" i="17"/>
  <c r="W155" i="17"/>
  <c r="W157" i="17"/>
  <c r="W131" i="17"/>
  <c r="W133" i="17"/>
  <c r="W135" i="17"/>
  <c r="W172" i="17"/>
  <c r="W174" i="17"/>
  <c r="W176" i="17"/>
  <c r="W178" i="17"/>
  <c r="W168" i="17"/>
  <c r="W170" i="17"/>
  <c r="W158" i="17"/>
  <c r="W160" i="17"/>
  <c r="W162" i="17"/>
  <c r="W164" i="17"/>
  <c r="W183" i="17"/>
  <c r="W130" i="17"/>
  <c r="W132" i="17"/>
  <c r="W134" i="17"/>
  <c r="W136" i="17"/>
  <c r="W173" i="17"/>
  <c r="W175" i="17"/>
  <c r="W177" i="17"/>
  <c r="W165" i="17"/>
  <c r="W167" i="17"/>
  <c r="W169" i="17"/>
  <c r="C490" i="19"/>
  <c r="C492" i="19"/>
  <c r="B494" i="19"/>
  <c r="C496" i="19"/>
  <c r="C500" i="19"/>
  <c r="C505" i="19"/>
  <c r="C501" i="19"/>
  <c r="C489" i="19"/>
  <c r="C493" i="19"/>
  <c r="B497" i="19"/>
  <c r="C499" i="19"/>
  <c r="C497" i="19"/>
  <c r="C504" i="19"/>
  <c r="C510" i="19"/>
  <c r="B506" i="19"/>
  <c r="B510" i="19"/>
  <c r="C512" i="19"/>
  <c r="C498" i="19"/>
  <c r="B507" i="19"/>
  <c r="C488" i="19"/>
  <c r="B500" i="19"/>
  <c r="B489" i="19"/>
  <c r="I7" i="18"/>
  <c r="B485" i="19" s="1"/>
  <c r="B509" i="19"/>
  <c r="B492" i="19"/>
  <c r="C486" i="19"/>
  <c r="C506" i="19"/>
  <c r="I6" i="18"/>
  <c r="B484" i="19" s="1"/>
  <c r="B488" i="19"/>
  <c r="B498" i="19"/>
  <c r="B508" i="19"/>
  <c r="B513" i="19"/>
  <c r="B503" i="19"/>
  <c r="B490" i="19"/>
  <c r="B493" i="19"/>
  <c r="B496" i="19"/>
  <c r="B499" i="19"/>
  <c r="S79" i="17"/>
  <c r="U80" i="17"/>
  <c r="S80" i="17" s="1"/>
  <c r="S41" i="17"/>
  <c r="S45" i="17" s="1"/>
  <c r="U42" i="17"/>
  <c r="S42" i="17" s="1"/>
  <c r="S65" i="17"/>
  <c r="S69" i="17" s="1"/>
  <c r="U66" i="17"/>
  <c r="S66" i="17" s="1"/>
  <c r="S89" i="17"/>
  <c r="S93" i="17" s="1"/>
  <c r="U90" i="17"/>
  <c r="S90" i="17" s="1"/>
  <c r="S31" i="17"/>
  <c r="U32" i="17"/>
  <c r="S32" i="17" s="1"/>
  <c r="U28" i="17"/>
  <c r="S28" i="17" s="1"/>
  <c r="S71" i="17"/>
  <c r="S72" i="17" s="1"/>
  <c r="U76" i="17"/>
  <c r="S76" i="17" s="1"/>
  <c r="U8" i="17"/>
  <c r="S8" i="17" s="1"/>
  <c r="S15" i="17"/>
  <c r="S43" i="17"/>
  <c r="U56" i="17"/>
  <c r="S56" i="17" s="1"/>
  <c r="S63" i="17"/>
  <c r="U86" i="17"/>
  <c r="S86" i="17" s="1"/>
  <c r="S91" i="17"/>
  <c r="U30" i="17"/>
  <c r="S30" i="17" s="1"/>
  <c r="U40" i="17"/>
  <c r="S40" i="17" s="1"/>
  <c r="U78" i="17"/>
  <c r="S78" i="17" s="1"/>
  <c r="U88" i="17"/>
  <c r="S88" i="17" s="1"/>
  <c r="U20" i="17"/>
  <c r="S20" i="17" s="1"/>
  <c r="U68" i="17"/>
  <c r="S68" i="17" s="1"/>
  <c r="S47" i="17"/>
  <c r="S48" i="17" s="1"/>
  <c r="S95" i="17"/>
  <c r="S96" i="17" s="1"/>
  <c r="V11" i="18" l="1"/>
  <c r="V20" i="18" s="1"/>
  <c r="V29" i="18" s="1"/>
  <c r="V38" i="18" s="1"/>
  <c r="V47" i="18" s="1"/>
  <c r="V56" i="18" s="1"/>
  <c r="V65" i="18" s="1"/>
  <c r="V74" i="18" s="1"/>
  <c r="AA11" i="14"/>
  <c r="AA12" i="14"/>
  <c r="AA13" i="14"/>
  <c r="AA14" i="14"/>
  <c r="AA15" i="14"/>
  <c r="AA16" i="14"/>
  <c r="AA17" i="14"/>
  <c r="AA18" i="14"/>
  <c r="AA19" i="14"/>
  <c r="AA20" i="14"/>
  <c r="AA21" i="14"/>
  <c r="AA22" i="14"/>
  <c r="AA23" i="14"/>
  <c r="AA24" i="14"/>
  <c r="AA25" i="14"/>
  <c r="AA26" i="14"/>
  <c r="AA27" i="14"/>
  <c r="AA28" i="14"/>
  <c r="AA29" i="14"/>
  <c r="AA30" i="14"/>
  <c r="AA31" i="14"/>
  <c r="AA32" i="14"/>
  <c r="AA33" i="14"/>
  <c r="AA34" i="14"/>
  <c r="AA35" i="14"/>
  <c r="AA36" i="14"/>
  <c r="AA37" i="14"/>
  <c r="AA38" i="14"/>
  <c r="AA39" i="14"/>
  <c r="AA40" i="14"/>
  <c r="AA41" i="14"/>
  <c r="AA42" i="14"/>
  <c r="AA43" i="14"/>
  <c r="AA44" i="14"/>
  <c r="AA45" i="14"/>
  <c r="AA46" i="14"/>
  <c r="AA47" i="14"/>
  <c r="AA48" i="14"/>
  <c r="AA49" i="14"/>
  <c r="AA50" i="14"/>
  <c r="AA51" i="14"/>
  <c r="AA52" i="14"/>
  <c r="AA53" i="14"/>
  <c r="AA54" i="14"/>
  <c r="AA55" i="14"/>
  <c r="AA56" i="14"/>
  <c r="AA57" i="14"/>
  <c r="AA58" i="14"/>
  <c r="AA59" i="14"/>
  <c r="AA60" i="14"/>
  <c r="AA61" i="14"/>
  <c r="AA62" i="14"/>
  <c r="AA63" i="14"/>
  <c r="AA64" i="14"/>
  <c r="AA65" i="14"/>
  <c r="AA66" i="14"/>
  <c r="AA67" i="14"/>
  <c r="AA68" i="14"/>
  <c r="AA69" i="14"/>
  <c r="AA70" i="14"/>
  <c r="AA71" i="14"/>
  <c r="AA72" i="14"/>
  <c r="AA73" i="14"/>
  <c r="AA74" i="14"/>
  <c r="AA75" i="14"/>
  <c r="AA76" i="14"/>
  <c r="AA77" i="14"/>
  <c r="AA78" i="14"/>
  <c r="AA79" i="14"/>
  <c r="AA80" i="14"/>
  <c r="AA81" i="14"/>
  <c r="AA82" i="14"/>
  <c r="AA83" i="14"/>
  <c r="AA84" i="14"/>
  <c r="AA85" i="14"/>
  <c r="AA86" i="14"/>
  <c r="AA87" i="14"/>
  <c r="AA88" i="14"/>
  <c r="AA89" i="14"/>
  <c r="AA90" i="14"/>
  <c r="AA91" i="14"/>
  <c r="AA92" i="14"/>
  <c r="AA93" i="14"/>
  <c r="AA94" i="14"/>
  <c r="AA95" i="14"/>
  <c r="AA96" i="14"/>
  <c r="AA97" i="14"/>
  <c r="AA98" i="14"/>
  <c r="AA99" i="14"/>
  <c r="AA100" i="14"/>
  <c r="AA101" i="14"/>
  <c r="AA102" i="14"/>
  <c r="AA103" i="14"/>
  <c r="AA104" i="14"/>
  <c r="AA105" i="14"/>
  <c r="AA106" i="14"/>
  <c r="AA107" i="14"/>
  <c r="AA108" i="14"/>
  <c r="AA109" i="14"/>
  <c r="AA110" i="14"/>
  <c r="AA111" i="14"/>
  <c r="AA112" i="14"/>
  <c r="AA113" i="14"/>
  <c r="AA114" i="14"/>
  <c r="AA115" i="14"/>
  <c r="AA116" i="14"/>
  <c r="AA117" i="14"/>
  <c r="AA118" i="14"/>
  <c r="AA119" i="14"/>
  <c r="AA120" i="14"/>
  <c r="AA121" i="14"/>
  <c r="AA122" i="14"/>
  <c r="AA123" i="14"/>
  <c r="AA124" i="14"/>
  <c r="AA125" i="14"/>
  <c r="AA126" i="14"/>
  <c r="AA127" i="14"/>
  <c r="AA128" i="14"/>
  <c r="AA129" i="14"/>
  <c r="AA130" i="14"/>
  <c r="AA131" i="14"/>
  <c r="AA132" i="14"/>
  <c r="AA133" i="14"/>
  <c r="AA134" i="14"/>
  <c r="AA135" i="14"/>
  <c r="AA136" i="14"/>
  <c r="AA137" i="14"/>
  <c r="AA138" i="14"/>
  <c r="AA139" i="14"/>
  <c r="AA140" i="14"/>
  <c r="AA141" i="14"/>
  <c r="AA142" i="14"/>
  <c r="AA143" i="14"/>
  <c r="AA144" i="14"/>
  <c r="AA145" i="14"/>
  <c r="AA146" i="14"/>
  <c r="AA147" i="14"/>
  <c r="AA148" i="14"/>
  <c r="AA149" i="14"/>
  <c r="AA150" i="14"/>
  <c r="AA151" i="14"/>
  <c r="AA152" i="14"/>
  <c r="AA153" i="14"/>
  <c r="AA154" i="14"/>
  <c r="AA155" i="14"/>
  <c r="AA156" i="14"/>
  <c r="AA157" i="14"/>
  <c r="AA158" i="14"/>
  <c r="AA159" i="14"/>
  <c r="AA160" i="14"/>
  <c r="AA161" i="14"/>
  <c r="AA162" i="14"/>
  <c r="AA163" i="14"/>
  <c r="AA164" i="14"/>
  <c r="AA165" i="14"/>
  <c r="AA166" i="14"/>
  <c r="AA167" i="14"/>
  <c r="AA168" i="14"/>
  <c r="AA169" i="14"/>
  <c r="AA170" i="14"/>
  <c r="AA171" i="14"/>
  <c r="AA172" i="14"/>
  <c r="AA173" i="14"/>
  <c r="AA174" i="14"/>
  <c r="AA175" i="14"/>
  <c r="AA176" i="14"/>
  <c r="AA177" i="14"/>
  <c r="AA178" i="14"/>
  <c r="AA179" i="14"/>
  <c r="AA180" i="14"/>
  <c r="AA181" i="14"/>
  <c r="AA182" i="14"/>
  <c r="AA183" i="14"/>
  <c r="AA184" i="14"/>
  <c r="AA185" i="14"/>
  <c r="AA186" i="14"/>
  <c r="AA187" i="14"/>
  <c r="AA188" i="14"/>
  <c r="AA189" i="14"/>
  <c r="AA190" i="14"/>
  <c r="AA191" i="14"/>
  <c r="AA192" i="14"/>
  <c r="AA193" i="14"/>
  <c r="AA194" i="14"/>
  <c r="AA195" i="14"/>
  <c r="AA196" i="14"/>
  <c r="AA197" i="14"/>
  <c r="AA198" i="14"/>
  <c r="AA199" i="14"/>
  <c r="AA200" i="14"/>
  <c r="AA201" i="14"/>
  <c r="AA202" i="14"/>
  <c r="AA203" i="14"/>
  <c r="AA204" i="14"/>
  <c r="AA205" i="14"/>
  <c r="AA206" i="14"/>
  <c r="AA207" i="14"/>
  <c r="AA208" i="14"/>
  <c r="AA209" i="14"/>
  <c r="AA210" i="14"/>
  <c r="AA211" i="14"/>
  <c r="AA212" i="14"/>
  <c r="AA213" i="14"/>
  <c r="AA214" i="14"/>
  <c r="AA215" i="14"/>
  <c r="AA216" i="14"/>
  <c r="AA217" i="14"/>
  <c r="AA218" i="14"/>
  <c r="AA219" i="14"/>
  <c r="AA220" i="14"/>
  <c r="AA221" i="14"/>
  <c r="AA222" i="14"/>
  <c r="AA223" i="14"/>
  <c r="AA224" i="14"/>
  <c r="AA225" i="14"/>
  <c r="AA226" i="14"/>
  <c r="AA227" i="14"/>
  <c r="AA228" i="14"/>
  <c r="AA229" i="14"/>
  <c r="AA230" i="14"/>
  <c r="AA231" i="14"/>
  <c r="AA232" i="14"/>
  <c r="AA233" i="14"/>
  <c r="AA234" i="14"/>
  <c r="AA235" i="14"/>
  <c r="AA236" i="14"/>
  <c r="AA237" i="14"/>
  <c r="AA238" i="14"/>
  <c r="AA239" i="14"/>
  <c r="AA240" i="14"/>
  <c r="AA241" i="14"/>
  <c r="AA242" i="14"/>
  <c r="AA10" i="14"/>
  <c r="V13" i="18" l="1"/>
  <c r="V22" i="18" s="1"/>
  <c r="V31" i="18" s="1"/>
  <c r="V40" i="18" s="1"/>
  <c r="V49" i="18" s="1"/>
  <c r="V58" i="18" s="1"/>
  <c r="V67" i="18" s="1"/>
  <c r="V76" i="18" s="1"/>
  <c r="V12" i="18"/>
  <c r="V21" i="18" s="1"/>
  <c r="V30" i="18" s="1"/>
  <c r="V39" i="18" s="1"/>
  <c r="V48" i="18" s="1"/>
  <c r="V57" i="18" s="1"/>
  <c r="V66" i="18" s="1"/>
  <c r="V75" i="18" s="1"/>
  <c r="AY520" i="14"/>
  <c r="AY519" i="14"/>
  <c r="AY497" i="14"/>
  <c r="AY496" i="14"/>
  <c r="AY495" i="14"/>
  <c r="AY494" i="14"/>
  <c r="AY493" i="14"/>
  <c r="AY492" i="14"/>
  <c r="AY491" i="14"/>
  <c r="AY490" i="14"/>
  <c r="AY489" i="14"/>
  <c r="AY488" i="14"/>
  <c r="AY487" i="14"/>
  <c r="AY486" i="14"/>
  <c r="AY485" i="14"/>
  <c r="AY484" i="14"/>
  <c r="AY483" i="14"/>
  <c r="AY482" i="14"/>
  <c r="AY481" i="14"/>
  <c r="AY480" i="14"/>
  <c r="AY477" i="14"/>
  <c r="AY476" i="14"/>
  <c r="AY473" i="14"/>
  <c r="AY472" i="14"/>
  <c r="AY471" i="14"/>
  <c r="AY470" i="14"/>
  <c r="AY469" i="14"/>
  <c r="AY468" i="14"/>
  <c r="AY467" i="14"/>
  <c r="AY466" i="14"/>
  <c r="AY465" i="14"/>
  <c r="AY464" i="14"/>
  <c r="AY439" i="14"/>
  <c r="AY438" i="14"/>
  <c r="AY437" i="14"/>
  <c r="AN529" i="14"/>
  <c r="AI529" i="14"/>
  <c r="AH529" i="14"/>
  <c r="AF529" i="14"/>
  <c r="AB529" i="14"/>
  <c r="AA529" i="14"/>
  <c r="Z529" i="14"/>
  <c r="AJ529" i="14" s="1"/>
  <c r="AN528" i="14"/>
  <c r="AI528" i="14"/>
  <c r="AH528" i="14"/>
  <c r="AF528" i="14"/>
  <c r="AB528" i="14"/>
  <c r="AA528" i="14"/>
  <c r="Z528" i="14"/>
  <c r="AL528" i="14" s="1"/>
  <c r="AN527" i="14"/>
  <c r="AI527" i="14"/>
  <c r="AH527" i="14"/>
  <c r="AF527" i="14"/>
  <c r="AB527" i="14"/>
  <c r="AA527" i="14"/>
  <c r="Z527" i="14"/>
  <c r="AK527" i="14" s="1"/>
  <c r="AN526" i="14"/>
  <c r="AI526" i="14"/>
  <c r="AH526" i="14"/>
  <c r="AF526" i="14"/>
  <c r="AB526" i="14"/>
  <c r="AA526" i="14"/>
  <c r="Z526" i="14"/>
  <c r="AJ526" i="14" s="1"/>
  <c r="AN525" i="14"/>
  <c r="AI525" i="14"/>
  <c r="AH525" i="14"/>
  <c r="AF525" i="14"/>
  <c r="AB525" i="14"/>
  <c r="AA525" i="14"/>
  <c r="Z525" i="14"/>
  <c r="AL525" i="14" s="1"/>
  <c r="AN524" i="14"/>
  <c r="AI524" i="14"/>
  <c r="AH524" i="14"/>
  <c r="AF524" i="14"/>
  <c r="AB524" i="14"/>
  <c r="AA524" i="14"/>
  <c r="Z524" i="14"/>
  <c r="AL524" i="14" s="1"/>
  <c r="AN523" i="14"/>
  <c r="AI523" i="14"/>
  <c r="AH523" i="14"/>
  <c r="AF523" i="14"/>
  <c r="AB523" i="14"/>
  <c r="AA523" i="14"/>
  <c r="Z523" i="14"/>
  <c r="AJ523" i="14" s="1"/>
  <c r="AN522" i="14"/>
  <c r="AI522" i="14"/>
  <c r="AH522" i="14"/>
  <c r="AF522" i="14"/>
  <c r="AB522" i="14"/>
  <c r="AA522" i="14"/>
  <c r="Z522" i="14"/>
  <c r="AL522" i="14" s="1"/>
  <c r="AN521" i="14"/>
  <c r="AI521" i="14"/>
  <c r="AH521" i="14"/>
  <c r="AF521" i="14"/>
  <c r="AB521" i="14"/>
  <c r="AA521" i="14"/>
  <c r="Z521" i="14"/>
  <c r="AK521" i="14" s="1"/>
  <c r="AN520" i="14"/>
  <c r="AI520" i="14"/>
  <c r="AH520" i="14"/>
  <c r="AF520" i="14"/>
  <c r="AB520" i="14"/>
  <c r="AA520" i="14"/>
  <c r="Z520" i="14"/>
  <c r="AL520" i="14" s="1"/>
  <c r="AN519" i="14"/>
  <c r="AI519" i="14"/>
  <c r="AH519" i="14"/>
  <c r="AF519" i="14"/>
  <c r="AB519" i="14"/>
  <c r="AA519" i="14"/>
  <c r="Z519" i="14"/>
  <c r="AL519" i="14" s="1"/>
  <c r="AN518" i="14"/>
  <c r="AI518" i="14"/>
  <c r="AH518" i="14"/>
  <c r="AF518" i="14"/>
  <c r="AB518" i="14"/>
  <c r="AA518" i="14"/>
  <c r="Z518" i="14"/>
  <c r="AK518" i="14" s="1"/>
  <c r="AN517" i="14"/>
  <c r="AI517" i="14"/>
  <c r="AH517" i="14"/>
  <c r="AF517" i="14"/>
  <c r="AB517" i="14"/>
  <c r="AA517" i="14"/>
  <c r="Z517" i="14"/>
  <c r="AJ517" i="14" s="1"/>
  <c r="AN516" i="14"/>
  <c r="AI516" i="14"/>
  <c r="AH516" i="14"/>
  <c r="AF516" i="14"/>
  <c r="AB516" i="14"/>
  <c r="AA516" i="14"/>
  <c r="Z516" i="14"/>
  <c r="AL516" i="14" s="1"/>
  <c r="AN515" i="14"/>
  <c r="AI515" i="14"/>
  <c r="AH515" i="14"/>
  <c r="AF515" i="14"/>
  <c r="AB515" i="14"/>
  <c r="AA515" i="14"/>
  <c r="Z515" i="14"/>
  <c r="AK515" i="14" s="1"/>
  <c r="AN514" i="14"/>
  <c r="AI514" i="14"/>
  <c r="AH514" i="14"/>
  <c r="AF514" i="14"/>
  <c r="AB514" i="14"/>
  <c r="AA514" i="14"/>
  <c r="Z514" i="14"/>
  <c r="AJ514" i="14" s="1"/>
  <c r="AN513" i="14"/>
  <c r="AI513" i="14"/>
  <c r="AH513" i="14"/>
  <c r="AF513" i="14"/>
  <c r="AB513" i="14"/>
  <c r="AA513" i="14"/>
  <c r="Z513" i="14"/>
  <c r="AL513" i="14" s="1"/>
  <c r="AN512" i="14"/>
  <c r="AI512" i="14"/>
  <c r="AH512" i="14"/>
  <c r="AF512" i="14"/>
  <c r="AB512" i="14"/>
  <c r="AA512" i="14"/>
  <c r="Z512" i="14"/>
  <c r="AL512" i="14" s="1"/>
  <c r="AN511" i="14"/>
  <c r="AI511" i="14"/>
  <c r="AH511" i="14"/>
  <c r="AF511" i="14"/>
  <c r="AB511" i="14"/>
  <c r="AA511" i="14"/>
  <c r="Z511" i="14"/>
  <c r="AK511" i="14" s="1"/>
  <c r="AN510" i="14"/>
  <c r="AI510" i="14"/>
  <c r="AH510" i="14"/>
  <c r="AF510" i="14"/>
  <c r="AB510" i="14"/>
  <c r="AA510" i="14"/>
  <c r="Z510" i="14"/>
  <c r="AL510" i="14" s="1"/>
  <c r="AN509" i="14"/>
  <c r="AI509" i="14"/>
  <c r="AH509" i="14"/>
  <c r="AF509" i="14"/>
  <c r="AB509" i="14"/>
  <c r="AA509" i="14"/>
  <c r="Z509" i="14"/>
  <c r="AK509" i="14" s="1"/>
  <c r="AN508" i="14"/>
  <c r="AI508" i="14"/>
  <c r="AH508" i="14"/>
  <c r="AF508" i="14"/>
  <c r="AB508" i="14"/>
  <c r="AA508" i="14"/>
  <c r="Z508" i="14"/>
  <c r="AL508" i="14" s="1"/>
  <c r="AN507" i="14"/>
  <c r="AI507" i="14"/>
  <c r="AH507" i="14"/>
  <c r="AF507" i="14"/>
  <c r="AB507" i="14"/>
  <c r="AA507" i="14"/>
  <c r="Z507" i="14"/>
  <c r="AK507" i="14" s="1"/>
  <c r="AN506" i="14"/>
  <c r="AI506" i="14"/>
  <c r="AH506" i="14"/>
  <c r="AF506" i="14"/>
  <c r="AB506" i="14"/>
  <c r="AA506" i="14"/>
  <c r="Z506" i="14"/>
  <c r="AL506" i="14" s="1"/>
  <c r="AN505" i="14"/>
  <c r="AI505" i="14"/>
  <c r="AH505" i="14"/>
  <c r="AF505" i="14"/>
  <c r="AB505" i="14"/>
  <c r="AA505" i="14"/>
  <c r="Z505" i="14"/>
  <c r="AJ505" i="14" s="1"/>
  <c r="AN504" i="14"/>
  <c r="AI504" i="14"/>
  <c r="AH504" i="14"/>
  <c r="AF504" i="14"/>
  <c r="AB504" i="14"/>
  <c r="AA504" i="14"/>
  <c r="Z504" i="14"/>
  <c r="AL504" i="14" s="1"/>
  <c r="AN503" i="14"/>
  <c r="AI503" i="14"/>
  <c r="AH503" i="14"/>
  <c r="AF503" i="14"/>
  <c r="AB503" i="14"/>
  <c r="AA503" i="14"/>
  <c r="Z503" i="14"/>
  <c r="AK503" i="14" s="1"/>
  <c r="AN502" i="14"/>
  <c r="AI502" i="14"/>
  <c r="AH502" i="14"/>
  <c r="AF502" i="14"/>
  <c r="AB502" i="14"/>
  <c r="AA502" i="14"/>
  <c r="Z502" i="14"/>
  <c r="AJ502" i="14" s="1"/>
  <c r="AN501" i="14"/>
  <c r="AI501" i="14"/>
  <c r="AH501" i="14"/>
  <c r="AF501" i="14"/>
  <c r="AB501" i="14"/>
  <c r="AA501" i="14"/>
  <c r="Z501" i="14"/>
  <c r="AL501" i="14" s="1"/>
  <c r="AN500" i="14"/>
  <c r="AI500" i="14"/>
  <c r="AH500" i="14"/>
  <c r="AF500" i="14"/>
  <c r="AB500" i="14"/>
  <c r="AA500" i="14"/>
  <c r="Z500" i="14"/>
  <c r="AL500" i="14" s="1"/>
  <c r="AN499" i="14"/>
  <c r="AI499" i="14"/>
  <c r="AH499" i="14"/>
  <c r="AF499" i="14"/>
  <c r="AB499" i="14"/>
  <c r="AA499" i="14"/>
  <c r="Z499" i="14"/>
  <c r="AK499" i="14" s="1"/>
  <c r="AN498" i="14"/>
  <c r="AI498" i="14"/>
  <c r="AH498" i="14"/>
  <c r="AF498" i="14"/>
  <c r="AB498" i="14"/>
  <c r="AA498" i="14"/>
  <c r="Z498" i="14"/>
  <c r="AL498" i="14" s="1"/>
  <c r="AO497" i="14"/>
  <c r="AN497" i="14"/>
  <c r="AI497" i="14"/>
  <c r="AH497" i="14"/>
  <c r="AF497" i="14"/>
  <c r="AB497" i="14"/>
  <c r="AA497" i="14"/>
  <c r="Z497" i="14"/>
  <c r="AL497" i="14" s="1"/>
  <c r="AO496" i="14"/>
  <c r="AN496" i="14"/>
  <c r="AI496" i="14"/>
  <c r="AH496" i="14"/>
  <c r="AF496" i="14"/>
  <c r="AB496" i="14"/>
  <c r="AA496" i="14"/>
  <c r="Z496" i="14"/>
  <c r="AL496" i="14" s="1"/>
  <c r="AO495" i="14"/>
  <c r="AN495" i="14"/>
  <c r="AI495" i="14"/>
  <c r="AH495" i="14"/>
  <c r="AF495" i="14"/>
  <c r="AB495" i="14"/>
  <c r="AA495" i="14"/>
  <c r="Z495" i="14"/>
  <c r="AL495" i="14" s="1"/>
  <c r="AO494" i="14"/>
  <c r="AN494" i="14"/>
  <c r="AI494" i="14"/>
  <c r="AH494" i="14"/>
  <c r="AF494" i="14"/>
  <c r="AB494" i="14"/>
  <c r="AA494" i="14"/>
  <c r="Z494" i="14"/>
  <c r="AL494" i="14" s="1"/>
  <c r="AO493" i="14"/>
  <c r="AN493" i="14"/>
  <c r="AI493" i="14"/>
  <c r="AH493" i="14"/>
  <c r="AF493" i="14"/>
  <c r="AB493" i="14"/>
  <c r="AA493" i="14"/>
  <c r="Z493" i="14"/>
  <c r="AL493" i="14" s="1"/>
  <c r="AO492" i="14"/>
  <c r="AN492" i="14"/>
  <c r="AI492" i="14"/>
  <c r="AH492" i="14"/>
  <c r="AF492" i="14"/>
  <c r="AB492" i="14"/>
  <c r="AA492" i="14"/>
  <c r="Z492" i="14"/>
  <c r="AL492" i="14" s="1"/>
  <c r="AO491" i="14"/>
  <c r="AN491" i="14"/>
  <c r="AI491" i="14"/>
  <c r="AH491" i="14"/>
  <c r="AF491" i="14"/>
  <c r="AB491" i="14"/>
  <c r="AA491" i="14"/>
  <c r="Z491" i="14"/>
  <c r="AL491" i="14" s="1"/>
  <c r="AO490" i="14"/>
  <c r="AN490" i="14"/>
  <c r="AI490" i="14"/>
  <c r="AH490" i="14"/>
  <c r="AF490" i="14"/>
  <c r="AB490" i="14"/>
  <c r="AA490" i="14"/>
  <c r="Z490" i="14"/>
  <c r="AL490" i="14" s="1"/>
  <c r="AO489" i="14"/>
  <c r="AN489" i="14"/>
  <c r="AI489" i="14"/>
  <c r="AH489" i="14"/>
  <c r="AF489" i="14"/>
  <c r="AB489" i="14"/>
  <c r="AA489" i="14"/>
  <c r="Z489" i="14"/>
  <c r="AL489" i="14" s="1"/>
  <c r="AO488" i="14"/>
  <c r="AN488" i="14"/>
  <c r="AI488" i="14"/>
  <c r="AH488" i="14"/>
  <c r="AF488" i="14"/>
  <c r="AB488" i="14"/>
  <c r="AA488" i="14"/>
  <c r="Z488" i="14"/>
  <c r="AL488" i="14" s="1"/>
  <c r="AO487" i="14"/>
  <c r="AN487" i="14"/>
  <c r="AI487" i="14"/>
  <c r="AH487" i="14"/>
  <c r="AF487" i="14"/>
  <c r="AB487" i="14"/>
  <c r="AA487" i="14"/>
  <c r="Z487" i="14"/>
  <c r="AL487" i="14" s="1"/>
  <c r="AO486" i="14"/>
  <c r="AN486" i="14"/>
  <c r="AI486" i="14"/>
  <c r="AH486" i="14"/>
  <c r="AF486" i="14"/>
  <c r="AB486" i="14"/>
  <c r="AA486" i="14"/>
  <c r="Z486" i="14"/>
  <c r="AL486" i="14" s="1"/>
  <c r="AO485" i="14"/>
  <c r="AN485" i="14"/>
  <c r="AI485" i="14"/>
  <c r="AH485" i="14"/>
  <c r="AF485" i="14"/>
  <c r="AB485" i="14"/>
  <c r="AA485" i="14"/>
  <c r="Z485" i="14"/>
  <c r="AL485" i="14" s="1"/>
  <c r="AO484" i="14"/>
  <c r="AN484" i="14"/>
  <c r="AI484" i="14"/>
  <c r="AH484" i="14"/>
  <c r="AF484" i="14"/>
  <c r="AB484" i="14"/>
  <c r="AA484" i="14"/>
  <c r="Z484" i="14"/>
  <c r="AL484" i="14" s="1"/>
  <c r="AP483" i="14"/>
  <c r="AN483" i="14"/>
  <c r="AI483" i="14"/>
  <c r="AH483" i="14"/>
  <c r="AF483" i="14"/>
  <c r="AB483" i="14"/>
  <c r="AA483" i="14"/>
  <c r="Z483" i="14"/>
  <c r="AL483" i="14" s="1"/>
  <c r="AP482" i="14"/>
  <c r="AN482" i="14"/>
  <c r="AI482" i="14"/>
  <c r="AH482" i="14"/>
  <c r="AF482" i="14"/>
  <c r="AB482" i="14"/>
  <c r="AA482" i="14"/>
  <c r="Z482" i="14"/>
  <c r="AL482" i="14" s="1"/>
  <c r="AP481" i="14"/>
  <c r="AN481" i="14"/>
  <c r="AI481" i="14"/>
  <c r="AH481" i="14"/>
  <c r="AF481" i="14"/>
  <c r="AB481" i="14"/>
  <c r="AA481" i="14"/>
  <c r="Z481" i="14"/>
  <c r="AL481" i="14" s="1"/>
  <c r="AP480" i="14"/>
  <c r="AN480" i="14"/>
  <c r="AI480" i="14"/>
  <c r="AH480" i="14"/>
  <c r="AF480" i="14"/>
  <c r="AB480" i="14"/>
  <c r="AA480" i="14"/>
  <c r="Z480" i="14"/>
  <c r="AL480" i="14" s="1"/>
  <c r="AN479" i="14"/>
  <c r="AI479" i="14"/>
  <c r="AH479" i="14"/>
  <c r="AF479" i="14"/>
  <c r="AB479" i="14"/>
  <c r="AA479" i="14"/>
  <c r="Z479" i="14"/>
  <c r="AK479" i="14" s="1"/>
  <c r="AN478" i="14"/>
  <c r="AI478" i="14"/>
  <c r="AH478" i="14"/>
  <c r="AF478" i="14"/>
  <c r="AB478" i="14"/>
  <c r="AA478" i="14"/>
  <c r="Z478" i="14"/>
  <c r="AL478" i="14" s="1"/>
  <c r="AN477" i="14"/>
  <c r="AI477" i="14"/>
  <c r="AH477" i="14"/>
  <c r="AF477" i="14"/>
  <c r="AB477" i="14"/>
  <c r="AA477" i="14"/>
  <c r="Z477" i="14"/>
  <c r="AL477" i="14" s="1"/>
  <c r="AN476" i="14"/>
  <c r="AI476" i="14"/>
  <c r="AH476" i="14"/>
  <c r="AF476" i="14"/>
  <c r="AB476" i="14"/>
  <c r="AA476" i="14"/>
  <c r="Z476" i="14"/>
  <c r="AK476" i="14" s="1"/>
  <c r="AN475" i="14"/>
  <c r="AI475" i="14"/>
  <c r="AH475" i="14"/>
  <c r="AF475" i="14"/>
  <c r="AB475" i="14"/>
  <c r="AA475" i="14"/>
  <c r="Z475" i="14"/>
  <c r="AJ475" i="14" s="1"/>
  <c r="AN474" i="14"/>
  <c r="AI474" i="14"/>
  <c r="AH474" i="14"/>
  <c r="AF474" i="14"/>
  <c r="AB474" i="14"/>
  <c r="AA474" i="14"/>
  <c r="Z474" i="14"/>
  <c r="AL474" i="14" s="1"/>
  <c r="AN473" i="14"/>
  <c r="AI473" i="14"/>
  <c r="AH473" i="14"/>
  <c r="AF473" i="14"/>
  <c r="AB473" i="14"/>
  <c r="AA473" i="14"/>
  <c r="Z473" i="14"/>
  <c r="AJ473" i="14" s="1"/>
  <c r="AN472" i="14"/>
  <c r="AI472" i="14"/>
  <c r="AH472" i="14"/>
  <c r="AF472" i="14"/>
  <c r="AB472" i="14"/>
  <c r="AA472" i="14"/>
  <c r="Z472" i="14"/>
  <c r="AJ472" i="14" s="1"/>
  <c r="AN471" i="14"/>
  <c r="AI471" i="14"/>
  <c r="AH471" i="14"/>
  <c r="AF471" i="14"/>
  <c r="AB471" i="14"/>
  <c r="AA471" i="14"/>
  <c r="Z471" i="14"/>
  <c r="AL471" i="14" s="1"/>
  <c r="AN470" i="14"/>
  <c r="AI470" i="14"/>
  <c r="AH470" i="14"/>
  <c r="AF470" i="14"/>
  <c r="AB470" i="14"/>
  <c r="AA470" i="14"/>
  <c r="Z470" i="14"/>
  <c r="AL470" i="14" s="1"/>
  <c r="AN469" i="14"/>
  <c r="AI469" i="14"/>
  <c r="AH469" i="14"/>
  <c r="AF469" i="14"/>
  <c r="AB469" i="14"/>
  <c r="AA469" i="14"/>
  <c r="Z469" i="14"/>
  <c r="AL469" i="14" s="1"/>
  <c r="AN468" i="14"/>
  <c r="AI468" i="14"/>
  <c r="AH468" i="14"/>
  <c r="AF468" i="14"/>
  <c r="AB468" i="14"/>
  <c r="AA468" i="14"/>
  <c r="Z468" i="14"/>
  <c r="AL468" i="14" s="1"/>
  <c r="AN467" i="14"/>
  <c r="AI467" i="14"/>
  <c r="AH467" i="14"/>
  <c r="AF467" i="14"/>
  <c r="AB467" i="14"/>
  <c r="AA467" i="14"/>
  <c r="Z467" i="14"/>
  <c r="AK467" i="14" s="1"/>
  <c r="AN466" i="14"/>
  <c r="AI466" i="14"/>
  <c r="AH466" i="14"/>
  <c r="AF466" i="14"/>
  <c r="AB466" i="14"/>
  <c r="AA466" i="14"/>
  <c r="Z466" i="14"/>
  <c r="AL466" i="14" s="1"/>
  <c r="AN465" i="14"/>
  <c r="AI465" i="14"/>
  <c r="AH465" i="14"/>
  <c r="AF465" i="14"/>
  <c r="AB465" i="14"/>
  <c r="AA465" i="14"/>
  <c r="Z465" i="14"/>
  <c r="AL465" i="14" s="1"/>
  <c r="AN464" i="14"/>
  <c r="AI464" i="14"/>
  <c r="AH464" i="14"/>
  <c r="AF464" i="14"/>
  <c r="AB464" i="14"/>
  <c r="AA464" i="14"/>
  <c r="Z464" i="14"/>
  <c r="AL464" i="14" s="1"/>
  <c r="AN463" i="14"/>
  <c r="AI463" i="14"/>
  <c r="AH463" i="14"/>
  <c r="AF463" i="14"/>
  <c r="AB463" i="14"/>
  <c r="AA463" i="14"/>
  <c r="Z463" i="14"/>
  <c r="AJ463" i="14" s="1"/>
  <c r="AN462" i="14"/>
  <c r="AI462" i="14"/>
  <c r="AH462" i="14"/>
  <c r="AF462" i="14"/>
  <c r="AB462" i="14"/>
  <c r="AA462" i="14"/>
  <c r="Z462" i="14"/>
  <c r="AK462" i="14" s="1"/>
  <c r="AN461" i="14"/>
  <c r="AI461" i="14"/>
  <c r="AH461" i="14"/>
  <c r="AF461" i="14"/>
  <c r="AB461" i="14"/>
  <c r="AA461" i="14"/>
  <c r="Z461" i="14"/>
  <c r="AK461" i="14" s="1"/>
  <c r="AN460" i="14"/>
  <c r="AI460" i="14"/>
  <c r="AH460" i="14"/>
  <c r="AF460" i="14"/>
  <c r="AB460" i="14"/>
  <c r="AA460" i="14"/>
  <c r="Z460" i="14"/>
  <c r="AK460" i="14" s="1"/>
  <c r="AN459" i="14"/>
  <c r="AI459" i="14"/>
  <c r="AH459" i="14"/>
  <c r="AF459" i="14"/>
  <c r="AB459" i="14"/>
  <c r="AA459" i="14"/>
  <c r="Z459" i="14"/>
  <c r="AL459" i="14" s="1"/>
  <c r="AN458" i="14"/>
  <c r="AI458" i="14"/>
  <c r="AH458" i="14"/>
  <c r="AF458" i="14"/>
  <c r="AB458" i="14"/>
  <c r="AA458" i="14"/>
  <c r="Z458" i="14"/>
  <c r="AL458" i="14" s="1"/>
  <c r="AN457" i="14"/>
  <c r="AI457" i="14"/>
  <c r="AH457" i="14"/>
  <c r="AF457" i="14"/>
  <c r="AB457" i="14"/>
  <c r="AA457" i="14"/>
  <c r="Z457" i="14"/>
  <c r="AL457" i="14" s="1"/>
  <c r="AN456" i="14"/>
  <c r="AI456" i="14"/>
  <c r="AH456" i="14"/>
  <c r="AF456" i="14"/>
  <c r="AB456" i="14"/>
  <c r="AA456" i="14"/>
  <c r="Z456" i="14"/>
  <c r="AL456" i="14" s="1"/>
  <c r="AN455" i="14"/>
  <c r="AI455" i="14"/>
  <c r="AH455" i="14"/>
  <c r="AF455" i="14"/>
  <c r="AB455" i="14"/>
  <c r="AA455" i="14"/>
  <c r="Z455" i="14"/>
  <c r="AK455" i="14" s="1"/>
  <c r="AN454" i="14"/>
  <c r="AI454" i="14"/>
  <c r="AH454" i="14"/>
  <c r="AF454" i="14"/>
  <c r="AB454" i="14"/>
  <c r="AA454" i="14"/>
  <c r="Z454" i="14"/>
  <c r="AL454" i="14" s="1"/>
  <c r="AN453" i="14"/>
  <c r="AI453" i="14"/>
  <c r="AH453" i="14"/>
  <c r="AF453" i="14"/>
  <c r="AB453" i="14"/>
  <c r="AA453" i="14"/>
  <c r="Z453" i="14"/>
  <c r="AL453" i="14" s="1"/>
  <c r="AN452" i="14"/>
  <c r="AI452" i="14"/>
  <c r="AH452" i="14"/>
  <c r="AF452" i="14"/>
  <c r="AB452" i="14"/>
  <c r="AA452" i="14"/>
  <c r="Z452" i="14"/>
  <c r="AL452" i="14" s="1"/>
  <c r="AN451" i="14"/>
  <c r="AI451" i="14"/>
  <c r="AH451" i="14"/>
  <c r="AF451" i="14"/>
  <c r="AB451" i="14"/>
  <c r="AA451" i="14"/>
  <c r="Z451" i="14"/>
  <c r="AJ451" i="14" s="1"/>
  <c r="AN450" i="14"/>
  <c r="AI450" i="14"/>
  <c r="AH450" i="14"/>
  <c r="AF450" i="14"/>
  <c r="AB450" i="14"/>
  <c r="AA450" i="14"/>
  <c r="Z450" i="14"/>
  <c r="AL450" i="14" s="1"/>
  <c r="AN449" i="14"/>
  <c r="AI449" i="14"/>
  <c r="AH449" i="14"/>
  <c r="AF449" i="14"/>
  <c r="AB449" i="14"/>
  <c r="AA449" i="14"/>
  <c r="Z449" i="14"/>
  <c r="AL449" i="14" s="1"/>
  <c r="AN448" i="14"/>
  <c r="AI448" i="14"/>
  <c r="AH448" i="14"/>
  <c r="AF448" i="14"/>
  <c r="AB448" i="14"/>
  <c r="AA448" i="14"/>
  <c r="Z448" i="14"/>
  <c r="AL448" i="14" s="1"/>
  <c r="AN447" i="14"/>
  <c r="AI447" i="14"/>
  <c r="AH447" i="14"/>
  <c r="AF447" i="14"/>
  <c r="AB447" i="14"/>
  <c r="AA447" i="14"/>
  <c r="Z447" i="14"/>
  <c r="AK447" i="14" s="1"/>
  <c r="AN446" i="14"/>
  <c r="AI446" i="14"/>
  <c r="AH446" i="14"/>
  <c r="AF446" i="14"/>
  <c r="AB446" i="14"/>
  <c r="AA446" i="14"/>
  <c r="Z446" i="14"/>
  <c r="AL446" i="14" s="1"/>
  <c r="AN445" i="14"/>
  <c r="AI445" i="14"/>
  <c r="AH445" i="14"/>
  <c r="AF445" i="14"/>
  <c r="AB445" i="14"/>
  <c r="AA445" i="14"/>
  <c r="Z445" i="14"/>
  <c r="AL445" i="14" s="1"/>
  <c r="AN444" i="14"/>
  <c r="AI444" i="14"/>
  <c r="AH444" i="14"/>
  <c r="AF444" i="14"/>
  <c r="AB444" i="14"/>
  <c r="AA444" i="14"/>
  <c r="Z444" i="14"/>
  <c r="AL444" i="14" s="1"/>
  <c r="AN443" i="14"/>
  <c r="AI443" i="14"/>
  <c r="AH443" i="14"/>
  <c r="AF443" i="14"/>
  <c r="AB443" i="14"/>
  <c r="AA443" i="14"/>
  <c r="Z443" i="14"/>
  <c r="AK443" i="14" s="1"/>
  <c r="AN442" i="14"/>
  <c r="AI442" i="14"/>
  <c r="AH442" i="14"/>
  <c r="AF442" i="14"/>
  <c r="AB442" i="14"/>
  <c r="AA442" i="14"/>
  <c r="Z442" i="14"/>
  <c r="AL442" i="14" s="1"/>
  <c r="AN441" i="14"/>
  <c r="AI441" i="14"/>
  <c r="AH441" i="14"/>
  <c r="AF441" i="14"/>
  <c r="AB441" i="14"/>
  <c r="AA441" i="14"/>
  <c r="Z441" i="14"/>
  <c r="AL441" i="14" s="1"/>
  <c r="AN440" i="14"/>
  <c r="AI440" i="14"/>
  <c r="AH440" i="14"/>
  <c r="AF440" i="14"/>
  <c r="AB440" i="14"/>
  <c r="AA440" i="14"/>
  <c r="Z440" i="14"/>
  <c r="AK440" i="14" s="1"/>
  <c r="AN439" i="14"/>
  <c r="AI439" i="14"/>
  <c r="AH439" i="14"/>
  <c r="AF439" i="14"/>
  <c r="AB439" i="14"/>
  <c r="AA439" i="14"/>
  <c r="Z439" i="14"/>
  <c r="AJ439" i="14" s="1"/>
  <c r="AN438" i="14"/>
  <c r="AI438" i="14"/>
  <c r="AH438" i="14"/>
  <c r="AF438" i="14"/>
  <c r="AB438" i="14"/>
  <c r="AA438" i="14"/>
  <c r="Z438" i="14"/>
  <c r="AL438" i="14" s="1"/>
  <c r="AN437" i="14"/>
  <c r="AI437" i="14"/>
  <c r="AH437" i="14"/>
  <c r="AF437" i="14"/>
  <c r="AB437" i="14"/>
  <c r="AA437" i="14"/>
  <c r="Z437" i="14"/>
  <c r="AJ437" i="14" s="1"/>
  <c r="AN436" i="14"/>
  <c r="AI436" i="14"/>
  <c r="AH436" i="14"/>
  <c r="AF436" i="14"/>
  <c r="AB436" i="14"/>
  <c r="AA436" i="14"/>
  <c r="Z436" i="14"/>
  <c r="AL436" i="14" s="1"/>
  <c r="AN435" i="14"/>
  <c r="AI435" i="14"/>
  <c r="AH435" i="14"/>
  <c r="AF435" i="14"/>
  <c r="AB435" i="14"/>
  <c r="AA435" i="14"/>
  <c r="Z435" i="14"/>
  <c r="AL435" i="14" s="1"/>
  <c r="AN434" i="14"/>
  <c r="AI434" i="14"/>
  <c r="AH434" i="14"/>
  <c r="AF434" i="14"/>
  <c r="AB434" i="14"/>
  <c r="AA434" i="14"/>
  <c r="Z434" i="14"/>
  <c r="AL434" i="14" s="1"/>
  <c r="AN433" i="14"/>
  <c r="AI433" i="14"/>
  <c r="AH433" i="14"/>
  <c r="AF433" i="14"/>
  <c r="AB433" i="14"/>
  <c r="AA433" i="14"/>
  <c r="Z433" i="14"/>
  <c r="AL433" i="14" s="1"/>
  <c r="AN432" i="14"/>
  <c r="AI432" i="14"/>
  <c r="AH432" i="14"/>
  <c r="AF432" i="14"/>
  <c r="AB432" i="14"/>
  <c r="AA432" i="14"/>
  <c r="Z432" i="14"/>
  <c r="AL432" i="14" s="1"/>
  <c r="AN431" i="14"/>
  <c r="AI431" i="14"/>
  <c r="AH431" i="14"/>
  <c r="AF431" i="14"/>
  <c r="AB431" i="14"/>
  <c r="AA431" i="14"/>
  <c r="Z431" i="14"/>
  <c r="AK431" i="14" s="1"/>
  <c r="AL472" i="14" l="1"/>
  <c r="AK436" i="14"/>
  <c r="AJ506" i="14"/>
  <c r="AK517" i="14"/>
  <c r="AL440" i="14"/>
  <c r="AL462" i="14"/>
  <c r="AJ461" i="14"/>
  <c r="AL461" i="14"/>
  <c r="AL451" i="14"/>
  <c r="AJ460" i="14"/>
  <c r="AL460" i="14"/>
  <c r="AK437" i="14"/>
  <c r="AL437" i="14"/>
  <c r="AJ465" i="14"/>
  <c r="AJ470" i="14"/>
  <c r="AK473" i="14"/>
  <c r="AJ436" i="14"/>
  <c r="AK478" i="14"/>
  <c r="AK472" i="14"/>
  <c r="AL475" i="14"/>
  <c r="AL443" i="14"/>
  <c r="AK448" i="14"/>
  <c r="AJ462" i="14"/>
  <c r="AK442" i="14"/>
  <c r="AJ450" i="14"/>
  <c r="AL439" i="14"/>
  <c r="AK450" i="14"/>
  <c r="AK505" i="14"/>
  <c r="AL505" i="14"/>
  <c r="AJ438" i="14"/>
  <c r="AK474" i="14"/>
  <c r="AJ508" i="14"/>
  <c r="AK438" i="14"/>
  <c r="AK449" i="14"/>
  <c r="AK508" i="14"/>
  <c r="AK523" i="14"/>
  <c r="AJ507" i="14"/>
  <c r="AL507" i="14"/>
  <c r="AJ434" i="14"/>
  <c r="AL467" i="14"/>
  <c r="AJ477" i="14"/>
  <c r="AK451" i="14"/>
  <c r="AK454" i="14"/>
  <c r="AL473" i="14"/>
  <c r="AK506" i="14"/>
  <c r="AK529" i="14"/>
  <c r="AL431" i="14"/>
  <c r="AJ441" i="14"/>
  <c r="AL518" i="14"/>
  <c r="AL521" i="14"/>
  <c r="AL529" i="14"/>
  <c r="AJ446" i="14"/>
  <c r="AK463" i="14"/>
  <c r="AK466" i="14"/>
  <c r="AL476" i="14"/>
  <c r="AL479" i="14"/>
  <c r="AJ449" i="14"/>
  <c r="AJ453" i="14"/>
  <c r="AL463" i="14"/>
  <c r="AL509" i="14"/>
  <c r="AL517" i="14"/>
  <c r="AK520" i="14"/>
  <c r="AL523" i="14"/>
  <c r="AJ448" i="14"/>
  <c r="AJ458" i="14"/>
  <c r="AK475" i="14"/>
  <c r="AL499" i="14"/>
  <c r="AK504" i="14"/>
  <c r="AK439" i="14"/>
  <c r="AL455" i="14"/>
  <c r="AJ474" i="14"/>
  <c r="AL511" i="14"/>
  <c r="AK516" i="14"/>
  <c r="AJ519" i="14"/>
  <c r="AJ471" i="14"/>
  <c r="AJ501" i="14"/>
  <c r="AK502" i="14"/>
  <c r="AL503" i="14"/>
  <c r="AJ513" i="14"/>
  <c r="AK514" i="14"/>
  <c r="AL515" i="14"/>
  <c r="AJ525" i="14"/>
  <c r="AK526" i="14"/>
  <c r="AL527" i="14"/>
  <c r="AJ435" i="14"/>
  <c r="AK459" i="14"/>
  <c r="AK471" i="14"/>
  <c r="AJ500" i="14"/>
  <c r="AK501" i="14"/>
  <c r="AL502" i="14"/>
  <c r="AJ512" i="14"/>
  <c r="AK513" i="14"/>
  <c r="AL514" i="14"/>
  <c r="AJ524" i="14"/>
  <c r="AK525" i="14"/>
  <c r="AL526" i="14"/>
  <c r="AJ447" i="14"/>
  <c r="AJ459" i="14"/>
  <c r="AK435" i="14"/>
  <c r="AJ433" i="14"/>
  <c r="AK434" i="14"/>
  <c r="AJ445" i="14"/>
  <c r="AK446" i="14"/>
  <c r="AL447" i="14"/>
  <c r="AJ457" i="14"/>
  <c r="AK458" i="14"/>
  <c r="AJ469" i="14"/>
  <c r="AK470" i="14"/>
  <c r="AJ499" i="14"/>
  <c r="AK500" i="14"/>
  <c r="AJ511" i="14"/>
  <c r="AK512" i="14"/>
  <c r="AK524" i="14"/>
  <c r="AJ432" i="14"/>
  <c r="AK433" i="14"/>
  <c r="AJ444" i="14"/>
  <c r="AK445" i="14"/>
  <c r="AJ456" i="14"/>
  <c r="AK457" i="14"/>
  <c r="AJ468" i="14"/>
  <c r="AK469" i="14"/>
  <c r="AJ480" i="14"/>
  <c r="AJ481" i="14"/>
  <c r="AJ482" i="14"/>
  <c r="AJ483" i="14"/>
  <c r="AJ484" i="14"/>
  <c r="AJ485" i="14"/>
  <c r="AJ486" i="14"/>
  <c r="AJ487" i="14"/>
  <c r="AJ488" i="14"/>
  <c r="AJ489" i="14"/>
  <c r="AJ490" i="14"/>
  <c r="AJ491" i="14"/>
  <c r="AJ492" i="14"/>
  <c r="AJ493" i="14"/>
  <c r="AJ494" i="14"/>
  <c r="AJ495" i="14"/>
  <c r="AJ496" i="14"/>
  <c r="AJ497" i="14"/>
  <c r="AJ498" i="14"/>
  <c r="AJ510" i="14"/>
  <c r="AJ522" i="14"/>
  <c r="AJ431" i="14"/>
  <c r="AK432" i="14"/>
  <c r="AJ443" i="14"/>
  <c r="AK444" i="14"/>
  <c r="AJ455" i="14"/>
  <c r="AK456" i="14"/>
  <c r="AJ467" i="14"/>
  <c r="AK468" i="14"/>
  <c r="AJ479" i="14"/>
  <c r="AK480" i="14"/>
  <c r="AK481" i="14"/>
  <c r="AK482" i="14"/>
  <c r="AK483" i="14"/>
  <c r="AK484" i="14"/>
  <c r="AK485" i="14"/>
  <c r="AK486" i="14"/>
  <c r="AK487" i="14"/>
  <c r="AK488" i="14"/>
  <c r="AK489" i="14"/>
  <c r="AK490" i="14"/>
  <c r="AK491" i="14"/>
  <c r="AK492" i="14"/>
  <c r="AK493" i="14"/>
  <c r="AK494" i="14"/>
  <c r="AK495" i="14"/>
  <c r="AK496" i="14"/>
  <c r="AK497" i="14"/>
  <c r="AK498" i="14"/>
  <c r="AJ509" i="14"/>
  <c r="AK510" i="14"/>
  <c r="AJ521" i="14"/>
  <c r="AK522" i="14"/>
  <c r="AJ442" i="14"/>
  <c r="AJ454" i="14"/>
  <c r="AJ466" i="14"/>
  <c r="AJ478" i="14"/>
  <c r="AJ520" i="14"/>
  <c r="AJ440" i="14"/>
  <c r="AK441" i="14"/>
  <c r="AJ452" i="14"/>
  <c r="AK453" i="14"/>
  <c r="AJ464" i="14"/>
  <c r="AK465" i="14"/>
  <c r="AJ476" i="14"/>
  <c r="AK477" i="14"/>
  <c r="AJ518" i="14"/>
  <c r="AK519" i="14"/>
  <c r="AK452" i="14"/>
  <c r="AK464" i="14"/>
  <c r="AJ504" i="14"/>
  <c r="AJ516" i="14"/>
  <c r="AJ528" i="14"/>
  <c r="AJ503" i="14"/>
  <c r="AJ515" i="14"/>
  <c r="AJ527" i="14"/>
  <c r="AK528" i="14"/>
  <c r="AI243" i="14" l="1"/>
  <c r="AI244" i="14"/>
  <c r="AI245" i="14"/>
  <c r="AI246" i="14"/>
  <c r="AI247" i="14"/>
  <c r="AI248" i="14"/>
  <c r="AI249" i="14"/>
  <c r="AI250" i="14"/>
  <c r="AI251" i="14"/>
  <c r="AI252" i="14"/>
  <c r="AI253" i="14"/>
  <c r="AI254" i="14"/>
  <c r="AI255" i="14"/>
  <c r="AI256" i="14"/>
  <c r="AI257" i="14"/>
  <c r="AI258" i="14"/>
  <c r="AI259" i="14"/>
  <c r="AI260" i="14"/>
  <c r="AI261" i="14"/>
  <c r="AI262" i="14"/>
  <c r="AI263" i="14"/>
  <c r="AI264" i="14"/>
  <c r="AI265" i="14"/>
  <c r="AI266" i="14"/>
  <c r="AI267" i="14"/>
  <c r="AI268" i="14"/>
  <c r="AI269" i="14"/>
  <c r="AI270" i="14"/>
  <c r="AI271" i="14"/>
  <c r="AI272" i="14"/>
  <c r="AI273" i="14"/>
  <c r="AI274" i="14"/>
  <c r="AI275" i="14"/>
  <c r="AI276" i="14"/>
  <c r="AI277" i="14"/>
  <c r="AI278" i="14"/>
  <c r="AI279" i="14"/>
  <c r="AI280" i="14"/>
  <c r="AI281" i="14"/>
  <c r="AI282" i="14"/>
  <c r="AI283" i="14"/>
  <c r="AI284" i="14"/>
  <c r="AI285" i="14"/>
  <c r="AI286" i="14"/>
  <c r="AI287" i="14"/>
  <c r="AI288" i="14"/>
  <c r="AI289" i="14"/>
  <c r="AI290" i="14"/>
  <c r="AI291" i="14"/>
  <c r="AI292" i="14"/>
  <c r="AI293" i="14"/>
  <c r="AI294" i="14"/>
  <c r="AI295" i="14"/>
  <c r="AI296" i="14"/>
  <c r="AI297" i="14"/>
  <c r="AI298" i="14"/>
  <c r="AI299" i="14"/>
  <c r="AI300" i="14"/>
  <c r="AI301" i="14"/>
  <c r="AI302" i="14"/>
  <c r="AI303" i="14"/>
  <c r="AI304" i="14"/>
  <c r="AI305" i="14"/>
  <c r="AI306" i="14"/>
  <c r="AI307" i="14"/>
  <c r="AI308" i="14"/>
  <c r="AI309" i="14"/>
  <c r="AI310" i="14"/>
  <c r="AI311" i="14"/>
  <c r="AI312" i="14"/>
  <c r="AI313" i="14"/>
  <c r="AI314" i="14"/>
  <c r="AI315" i="14"/>
  <c r="AI316" i="14"/>
  <c r="AI317" i="14"/>
  <c r="AI318" i="14"/>
  <c r="AI319" i="14"/>
  <c r="AI320" i="14"/>
  <c r="AI321" i="14"/>
  <c r="AI322" i="14"/>
  <c r="AI323" i="14"/>
  <c r="AI324" i="14"/>
  <c r="AI325" i="14"/>
  <c r="AI326" i="14"/>
  <c r="AI327" i="14"/>
  <c r="AI328" i="14"/>
  <c r="AI329" i="14"/>
  <c r="AI330" i="14"/>
  <c r="AI331" i="14"/>
  <c r="AI332" i="14"/>
  <c r="AI333" i="14"/>
  <c r="AI334" i="14"/>
  <c r="AI335" i="14"/>
  <c r="AI336" i="14"/>
  <c r="AI337" i="14"/>
  <c r="AI338" i="14"/>
  <c r="AI339" i="14"/>
  <c r="AI340" i="14"/>
  <c r="AI341" i="14"/>
  <c r="AI342" i="14"/>
  <c r="AI343" i="14"/>
  <c r="AI344" i="14"/>
  <c r="AI345" i="14"/>
  <c r="AI346" i="14"/>
  <c r="AI347" i="14"/>
  <c r="AI348" i="14"/>
  <c r="AI349" i="14"/>
  <c r="AI350" i="14"/>
  <c r="AI351" i="14"/>
  <c r="AI352" i="14"/>
  <c r="AI353" i="14"/>
  <c r="AI354" i="14"/>
  <c r="AI355" i="14"/>
  <c r="AI356" i="14"/>
  <c r="AI357" i="14"/>
  <c r="AI358" i="14"/>
  <c r="AI359" i="14"/>
  <c r="AI360" i="14"/>
  <c r="AI361" i="14"/>
  <c r="AI362" i="14"/>
  <c r="AI363" i="14"/>
  <c r="AI364" i="14"/>
  <c r="AI365" i="14"/>
  <c r="AI366" i="14"/>
  <c r="AI367" i="14"/>
  <c r="AI368" i="14"/>
  <c r="AI369" i="14"/>
  <c r="AI370" i="14"/>
  <c r="AI371" i="14"/>
  <c r="AI372" i="14"/>
  <c r="AI373" i="14"/>
  <c r="AI374" i="14"/>
  <c r="AI375" i="14"/>
  <c r="AI376" i="14"/>
  <c r="AI377" i="14"/>
  <c r="AI378" i="14"/>
  <c r="AI379" i="14"/>
  <c r="AI380" i="14"/>
  <c r="AI381" i="14"/>
  <c r="AI382" i="14"/>
  <c r="AI383" i="14"/>
  <c r="AI384" i="14"/>
  <c r="AI385" i="14"/>
  <c r="AI386" i="14"/>
  <c r="AI387" i="14"/>
  <c r="AI388" i="14"/>
  <c r="AI389" i="14"/>
  <c r="AI390" i="14"/>
  <c r="AI391" i="14"/>
  <c r="AI392" i="14"/>
  <c r="AI393" i="14"/>
  <c r="AI394" i="14"/>
  <c r="AI395" i="14"/>
  <c r="AI396" i="14"/>
  <c r="AI397" i="14"/>
  <c r="AI398" i="14"/>
  <c r="AI399" i="14"/>
  <c r="AI400" i="14"/>
  <c r="AI401" i="14"/>
  <c r="AI402" i="14"/>
  <c r="AI403" i="14"/>
  <c r="AI404" i="14"/>
  <c r="AI405" i="14"/>
  <c r="AI406" i="14"/>
  <c r="AI407" i="14"/>
  <c r="AI408" i="14"/>
  <c r="AI409" i="14"/>
  <c r="AI410" i="14"/>
  <c r="AI411" i="14"/>
  <c r="AI412" i="14"/>
  <c r="AI413" i="14"/>
  <c r="AI414" i="14"/>
  <c r="AI415" i="14"/>
  <c r="AI416" i="14"/>
  <c r="AI417" i="14"/>
  <c r="AI418" i="14"/>
  <c r="AI419" i="14"/>
  <c r="AI420" i="14"/>
  <c r="AI421" i="14"/>
  <c r="AI422" i="14"/>
  <c r="AI423" i="14"/>
  <c r="AI424" i="14"/>
  <c r="AI425" i="14"/>
  <c r="AI426" i="14"/>
  <c r="AI427" i="14"/>
  <c r="AI428" i="14"/>
  <c r="AI429" i="14"/>
  <c r="AI430" i="14"/>
  <c r="AI11" i="14"/>
  <c r="AI12" i="14"/>
  <c r="AI13" i="14"/>
  <c r="AI14" i="14"/>
  <c r="AI15" i="14"/>
  <c r="AI16" i="14"/>
  <c r="AI17" i="14"/>
  <c r="AI18" i="14"/>
  <c r="AI19" i="14"/>
  <c r="AI20" i="14"/>
  <c r="AI21" i="14"/>
  <c r="AI22" i="14"/>
  <c r="AI23" i="14"/>
  <c r="AI24" i="14"/>
  <c r="AI25" i="14"/>
  <c r="AI26" i="14"/>
  <c r="AI27" i="14"/>
  <c r="AI28" i="14"/>
  <c r="AI29" i="14"/>
  <c r="AI30" i="14"/>
  <c r="AI31" i="14"/>
  <c r="AI32" i="14"/>
  <c r="AI33" i="14"/>
  <c r="AI34" i="14"/>
  <c r="AI35" i="14"/>
  <c r="AI36" i="14"/>
  <c r="AI37" i="14"/>
  <c r="AI38" i="14"/>
  <c r="AI39" i="14"/>
  <c r="AI40" i="14"/>
  <c r="AI41" i="14"/>
  <c r="AI42" i="14"/>
  <c r="AI43" i="14"/>
  <c r="AI44" i="14"/>
  <c r="AI45" i="14"/>
  <c r="AI46" i="14"/>
  <c r="AI47" i="14"/>
  <c r="AI48" i="14"/>
  <c r="AI49" i="14"/>
  <c r="AI50" i="14"/>
  <c r="AI51" i="14"/>
  <c r="AI52" i="14"/>
  <c r="AI53" i="14"/>
  <c r="AI54" i="14"/>
  <c r="AI55" i="14"/>
  <c r="AI56" i="14"/>
  <c r="AI57" i="14"/>
  <c r="AI58" i="14"/>
  <c r="AI59" i="14"/>
  <c r="AI60" i="14"/>
  <c r="AI61" i="14"/>
  <c r="AI62" i="14"/>
  <c r="AI63" i="14"/>
  <c r="AI64" i="14"/>
  <c r="AI65" i="14"/>
  <c r="AI66" i="14"/>
  <c r="AI67" i="14"/>
  <c r="AI68" i="14"/>
  <c r="AI69" i="14"/>
  <c r="AI70" i="14"/>
  <c r="AI71" i="14"/>
  <c r="AI72" i="14"/>
  <c r="AI73" i="14"/>
  <c r="AI74" i="14"/>
  <c r="AI75" i="14"/>
  <c r="AI76" i="14"/>
  <c r="AI77" i="14"/>
  <c r="AI78" i="14"/>
  <c r="AI79" i="14"/>
  <c r="AI80" i="14"/>
  <c r="AI81" i="14"/>
  <c r="AI82" i="14"/>
  <c r="AI83" i="14"/>
  <c r="AI84" i="14"/>
  <c r="AI85" i="14"/>
  <c r="AI86" i="14"/>
  <c r="AI87" i="14"/>
  <c r="AI88" i="14"/>
  <c r="AI89" i="14"/>
  <c r="AI90" i="14"/>
  <c r="AI91" i="14"/>
  <c r="AI92" i="14"/>
  <c r="AI93" i="14"/>
  <c r="AI94" i="14"/>
  <c r="AI95" i="14"/>
  <c r="AI96" i="14"/>
  <c r="AI97" i="14"/>
  <c r="AI98" i="14"/>
  <c r="AI99" i="14"/>
  <c r="AI100" i="14"/>
  <c r="AI101" i="14"/>
  <c r="AI102" i="14"/>
  <c r="AI103" i="14"/>
  <c r="AI104" i="14"/>
  <c r="AI105" i="14"/>
  <c r="AI106" i="14"/>
  <c r="AI107" i="14"/>
  <c r="AI108" i="14"/>
  <c r="AI109" i="14"/>
  <c r="AI110" i="14"/>
  <c r="AI111" i="14"/>
  <c r="AI112" i="14"/>
  <c r="AI113" i="14"/>
  <c r="AI114" i="14"/>
  <c r="AI115" i="14"/>
  <c r="AI116" i="14"/>
  <c r="AI117" i="14"/>
  <c r="AI118" i="14"/>
  <c r="AI119" i="14"/>
  <c r="AI120" i="14"/>
  <c r="AI121" i="14"/>
  <c r="AI122" i="14"/>
  <c r="AI123" i="14"/>
  <c r="AI124" i="14"/>
  <c r="AI125" i="14"/>
  <c r="AI126" i="14"/>
  <c r="AI127" i="14"/>
  <c r="AI128" i="14"/>
  <c r="AI129" i="14"/>
  <c r="AI130" i="14"/>
  <c r="AI131" i="14"/>
  <c r="AI132" i="14"/>
  <c r="AI133" i="14"/>
  <c r="AI134" i="14"/>
  <c r="AI135" i="14"/>
  <c r="AI136" i="14"/>
  <c r="AI137" i="14"/>
  <c r="AI138" i="14"/>
  <c r="AI139" i="14"/>
  <c r="AI140" i="14"/>
  <c r="AI141" i="14"/>
  <c r="AI142" i="14"/>
  <c r="AI143" i="14"/>
  <c r="AI144" i="14"/>
  <c r="AI145" i="14"/>
  <c r="AI146" i="14"/>
  <c r="AI147" i="14"/>
  <c r="AI148" i="14"/>
  <c r="AI149" i="14"/>
  <c r="AI150" i="14"/>
  <c r="AI151" i="14"/>
  <c r="AI152" i="14"/>
  <c r="AI153" i="14"/>
  <c r="AI154" i="14"/>
  <c r="AI155" i="14"/>
  <c r="AI156" i="14"/>
  <c r="AI157" i="14"/>
  <c r="AI158" i="14"/>
  <c r="AI159" i="14"/>
  <c r="AI160" i="14"/>
  <c r="AI161" i="14"/>
  <c r="AI162" i="14"/>
  <c r="AI163" i="14"/>
  <c r="AI164" i="14"/>
  <c r="AI165" i="14"/>
  <c r="AI166" i="14"/>
  <c r="AI167" i="14"/>
  <c r="AI168" i="14"/>
  <c r="AI169" i="14"/>
  <c r="AI170" i="14"/>
  <c r="AI171" i="14"/>
  <c r="AI172" i="14"/>
  <c r="AI173" i="14"/>
  <c r="AI174" i="14"/>
  <c r="AI175" i="14"/>
  <c r="AI176" i="14"/>
  <c r="AI177" i="14"/>
  <c r="AI178" i="14"/>
  <c r="AI179" i="14"/>
  <c r="AI180" i="14"/>
  <c r="AI181" i="14"/>
  <c r="AI182" i="14"/>
  <c r="AI183" i="14"/>
  <c r="AI184" i="14"/>
  <c r="AI185" i="14"/>
  <c r="AI186" i="14"/>
  <c r="AI187" i="14"/>
  <c r="AI188" i="14"/>
  <c r="AI189" i="14"/>
  <c r="AI190" i="14"/>
  <c r="AI191" i="14"/>
  <c r="AI192" i="14"/>
  <c r="AI193" i="14"/>
  <c r="AI194" i="14"/>
  <c r="AI195" i="14"/>
  <c r="AI196" i="14"/>
  <c r="AI197" i="14"/>
  <c r="AI198" i="14"/>
  <c r="AI199" i="14"/>
  <c r="AI200" i="14"/>
  <c r="AI201" i="14"/>
  <c r="AI202" i="14"/>
  <c r="AI203" i="14"/>
  <c r="AI204" i="14"/>
  <c r="AI205" i="14"/>
  <c r="AI206" i="14"/>
  <c r="AI207" i="14"/>
  <c r="AI208" i="14"/>
  <c r="AI209" i="14"/>
  <c r="AI210" i="14"/>
  <c r="AI211" i="14"/>
  <c r="AI212" i="14"/>
  <c r="AI213" i="14"/>
  <c r="AI214" i="14"/>
  <c r="AI215" i="14"/>
  <c r="AI216" i="14"/>
  <c r="AI217" i="14"/>
  <c r="AI218" i="14"/>
  <c r="AI219" i="14"/>
  <c r="AI220" i="14"/>
  <c r="AI221" i="14"/>
  <c r="AI222" i="14"/>
  <c r="AI223" i="14"/>
  <c r="AI224" i="14"/>
  <c r="AI225" i="14"/>
  <c r="AI226" i="14"/>
  <c r="AI227" i="14"/>
  <c r="AI228" i="14"/>
  <c r="AI229" i="14"/>
  <c r="AI230" i="14"/>
  <c r="AI231" i="14"/>
  <c r="AI232" i="14"/>
  <c r="AI233" i="14"/>
  <c r="AI234" i="14"/>
  <c r="AI235" i="14"/>
  <c r="AI236" i="14"/>
  <c r="AI237" i="14"/>
  <c r="AI238" i="14"/>
  <c r="AI239" i="14"/>
  <c r="AI240" i="14"/>
  <c r="AI241" i="14"/>
  <c r="AI242" i="14"/>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AI10" i="14"/>
  <c r="AH400" i="14"/>
  <c r="AF400" i="14"/>
  <c r="AB400" i="14"/>
  <c r="AA400" i="14"/>
  <c r="AJ400" i="14" s="1"/>
  <c r="Z400" i="14"/>
  <c r="AH399" i="14"/>
  <c r="AF399" i="14"/>
  <c r="AB399" i="14"/>
  <c r="AA399" i="14"/>
  <c r="AJ399" i="14" s="1"/>
  <c r="Z399" i="14"/>
  <c r="AH398" i="14"/>
  <c r="AF398" i="14"/>
  <c r="AB398" i="14"/>
  <c r="AA398" i="14"/>
  <c r="AJ398" i="14" s="1"/>
  <c r="Z398" i="14"/>
  <c r="AH391" i="14"/>
  <c r="AF391" i="14"/>
  <c r="AB391" i="14"/>
  <c r="AA391" i="14"/>
  <c r="AJ391" i="14" s="1"/>
  <c r="Z391" i="14"/>
  <c r="AH390" i="14"/>
  <c r="AF390" i="14"/>
  <c r="AB390" i="14"/>
  <c r="AA390" i="14"/>
  <c r="AJ390" i="14" s="1"/>
  <c r="Z390" i="14"/>
  <c r="AH389" i="14"/>
  <c r="AF389" i="14"/>
  <c r="AB389" i="14"/>
  <c r="AA389" i="14"/>
  <c r="AJ389" i="14" s="1"/>
  <c r="Z389" i="14"/>
  <c r="AH377" i="14"/>
  <c r="AF377" i="14"/>
  <c r="AB377" i="14"/>
  <c r="AA377" i="14"/>
  <c r="AJ377" i="14" s="1"/>
  <c r="Z377" i="14"/>
  <c r="AH376" i="14"/>
  <c r="AF376" i="14"/>
  <c r="AB376" i="14"/>
  <c r="AA376" i="14"/>
  <c r="AJ376" i="14" s="1"/>
  <c r="Z376" i="14"/>
  <c r="AH375" i="14"/>
  <c r="AF375" i="14"/>
  <c r="AB375" i="14"/>
  <c r="AA375" i="14"/>
  <c r="AJ375" i="14" s="1"/>
  <c r="Z375" i="14"/>
  <c r="AH370" i="14"/>
  <c r="AF370" i="14"/>
  <c r="AB370" i="14"/>
  <c r="AA370" i="14"/>
  <c r="AJ370" i="14" s="1"/>
  <c r="Z370" i="14"/>
  <c r="AH369" i="14"/>
  <c r="AF369" i="14"/>
  <c r="AB369" i="14"/>
  <c r="AA369" i="14"/>
  <c r="AJ369" i="14" s="1"/>
  <c r="Z369" i="14"/>
  <c r="AH368" i="14"/>
  <c r="AF368" i="14"/>
  <c r="AB368" i="14"/>
  <c r="AA368" i="14"/>
  <c r="AJ368" i="14" s="1"/>
  <c r="Z368" i="14"/>
  <c r="AH349" i="14"/>
  <c r="AF349" i="14"/>
  <c r="AB349" i="14"/>
  <c r="AA349" i="14"/>
  <c r="AJ349" i="14" s="1"/>
  <c r="Z349" i="14"/>
  <c r="AH348" i="14"/>
  <c r="AF348" i="14"/>
  <c r="AB348" i="14"/>
  <c r="AA348" i="14"/>
  <c r="AJ348" i="14" s="1"/>
  <c r="Z348" i="14"/>
  <c r="AH347" i="14"/>
  <c r="AF347" i="14"/>
  <c r="AB347" i="14"/>
  <c r="AA347" i="14"/>
  <c r="AJ347" i="14" s="1"/>
  <c r="Z347" i="14"/>
  <c r="AH344" i="14"/>
  <c r="AF344" i="14"/>
  <c r="AB344" i="14"/>
  <c r="AA344" i="14"/>
  <c r="AJ344" i="14" s="1"/>
  <c r="Z344" i="14"/>
  <c r="AH343" i="14"/>
  <c r="AF343" i="14"/>
  <c r="AB343" i="14"/>
  <c r="AA343" i="14"/>
  <c r="AJ343" i="14" s="1"/>
  <c r="Z343" i="14"/>
  <c r="AH342" i="14"/>
  <c r="AF342" i="14"/>
  <c r="AB342" i="14"/>
  <c r="AA342" i="14"/>
  <c r="AJ342" i="14" s="1"/>
  <c r="Z342" i="14"/>
  <c r="AH329" i="14"/>
  <c r="AF329" i="14"/>
  <c r="AB329" i="14"/>
  <c r="AA329" i="14"/>
  <c r="AJ329" i="14" s="1"/>
  <c r="Z329" i="14"/>
  <c r="AH328" i="14"/>
  <c r="AF328" i="14"/>
  <c r="AB328" i="14"/>
  <c r="AA328" i="14"/>
  <c r="AJ328" i="14" s="1"/>
  <c r="Z328" i="14"/>
  <c r="AH327" i="14"/>
  <c r="AF327" i="14"/>
  <c r="AB327" i="14"/>
  <c r="AA327" i="14"/>
  <c r="AJ327" i="14" s="1"/>
  <c r="Z327" i="14"/>
  <c r="AH320" i="14"/>
  <c r="AF320" i="14"/>
  <c r="AB320" i="14"/>
  <c r="AA320" i="14"/>
  <c r="AJ320" i="14" s="1"/>
  <c r="Z320" i="14"/>
  <c r="AH319" i="14"/>
  <c r="AF319" i="14"/>
  <c r="AB319" i="14"/>
  <c r="AA319" i="14"/>
  <c r="AJ319" i="14" s="1"/>
  <c r="Z319" i="14"/>
  <c r="AH318" i="14"/>
  <c r="AF318" i="14"/>
  <c r="AB318" i="14"/>
  <c r="AA318" i="14"/>
  <c r="AJ318" i="14" s="1"/>
  <c r="Z318" i="14"/>
  <c r="AH315" i="14"/>
  <c r="AF315" i="14"/>
  <c r="AB315" i="14"/>
  <c r="AA315" i="14"/>
  <c r="AJ315" i="14" s="1"/>
  <c r="Z315" i="14"/>
  <c r="AH314" i="14"/>
  <c r="AF314" i="14"/>
  <c r="AB314" i="14"/>
  <c r="AA314" i="14"/>
  <c r="AJ314" i="14" s="1"/>
  <c r="Z314" i="14"/>
  <c r="AH313" i="14"/>
  <c r="AF313" i="14"/>
  <c r="AB313" i="14"/>
  <c r="AA313" i="14"/>
  <c r="AJ313" i="14" s="1"/>
  <c r="Z313" i="14"/>
  <c r="AH308" i="14"/>
  <c r="AF308" i="14"/>
  <c r="AB308" i="14"/>
  <c r="AA308" i="14"/>
  <c r="AJ308" i="14" s="1"/>
  <c r="Z308" i="14"/>
  <c r="AH307" i="14"/>
  <c r="AF307" i="14"/>
  <c r="AB307" i="14"/>
  <c r="AA307" i="14"/>
  <c r="AJ307" i="14" s="1"/>
  <c r="Z307" i="14"/>
  <c r="AH306" i="14"/>
  <c r="AF306" i="14"/>
  <c r="AB306" i="14"/>
  <c r="AA306" i="14"/>
  <c r="AJ306" i="14" s="1"/>
  <c r="Z306" i="14"/>
  <c r="AH298" i="14"/>
  <c r="AF298" i="14"/>
  <c r="AB298" i="14"/>
  <c r="AA298" i="14"/>
  <c r="AJ298" i="14" s="1"/>
  <c r="Z298" i="14"/>
  <c r="AH299" i="14"/>
  <c r="AF299" i="14"/>
  <c r="AB299" i="14"/>
  <c r="AA299" i="14"/>
  <c r="AJ299" i="14" s="1"/>
  <c r="Z299" i="14"/>
  <c r="AH297" i="14"/>
  <c r="AF297" i="14"/>
  <c r="AB297" i="14"/>
  <c r="AA297" i="14"/>
  <c r="AJ297" i="14" s="1"/>
  <c r="Z297" i="14"/>
  <c r="AH290" i="14"/>
  <c r="AF290" i="14"/>
  <c r="AB290" i="14"/>
  <c r="AA290" i="14"/>
  <c r="AJ290" i="14" s="1"/>
  <c r="Z290" i="14"/>
  <c r="AH289" i="14"/>
  <c r="AF289" i="14"/>
  <c r="AB289" i="14"/>
  <c r="AA289" i="14"/>
  <c r="AJ289" i="14" s="1"/>
  <c r="Z289" i="14"/>
  <c r="AH288" i="14"/>
  <c r="AF288" i="14"/>
  <c r="AB288" i="14"/>
  <c r="AA288" i="14"/>
  <c r="AJ288" i="14" s="1"/>
  <c r="Z288" i="14"/>
  <c r="AH277" i="14"/>
  <c r="AF277" i="14"/>
  <c r="AB277" i="14"/>
  <c r="AA277" i="14"/>
  <c r="AJ277" i="14" s="1"/>
  <c r="Z277" i="14"/>
  <c r="AH278" i="14"/>
  <c r="AF278" i="14"/>
  <c r="AB278" i="14"/>
  <c r="AA278" i="14"/>
  <c r="AJ278" i="14" s="1"/>
  <c r="Z278" i="14"/>
  <c r="AH279" i="14"/>
  <c r="AF279" i="14"/>
  <c r="AB279" i="14"/>
  <c r="AA279" i="14"/>
  <c r="AJ279" i="14" s="1"/>
  <c r="Z279" i="14"/>
  <c r="AH268" i="14"/>
  <c r="AF268" i="14"/>
  <c r="AB268" i="14"/>
  <c r="AA268" i="14"/>
  <c r="AJ268" i="14" s="1"/>
  <c r="Z268" i="14"/>
  <c r="AH269" i="14"/>
  <c r="AF269" i="14"/>
  <c r="AB269" i="14"/>
  <c r="AA269" i="14"/>
  <c r="AJ269" i="14" s="1"/>
  <c r="Z269" i="14"/>
  <c r="AH270" i="14"/>
  <c r="AF270" i="14"/>
  <c r="AB270" i="14"/>
  <c r="AA270" i="14"/>
  <c r="AJ270" i="14" s="1"/>
  <c r="Z270" i="14"/>
  <c r="AH264" i="14"/>
  <c r="AF264" i="14"/>
  <c r="AB264" i="14"/>
  <c r="AA264" i="14"/>
  <c r="AJ264" i="14" s="1"/>
  <c r="Z264" i="14"/>
  <c r="AH263" i="14"/>
  <c r="AF263" i="14"/>
  <c r="AB263" i="14"/>
  <c r="AA263" i="14"/>
  <c r="AJ263" i="14" s="1"/>
  <c r="Z263" i="14"/>
  <c r="AH262" i="14"/>
  <c r="AF262" i="14"/>
  <c r="AB262" i="14"/>
  <c r="AA262" i="14"/>
  <c r="AJ262" i="14" s="1"/>
  <c r="Z262" i="14"/>
  <c r="AH258" i="14"/>
  <c r="AF258" i="14"/>
  <c r="AB258" i="14"/>
  <c r="AA258" i="14"/>
  <c r="AJ258" i="14" s="1"/>
  <c r="Z258" i="14"/>
  <c r="AH259" i="14"/>
  <c r="AF259" i="14"/>
  <c r="AB259" i="14"/>
  <c r="AA259" i="14"/>
  <c r="AJ259" i="14" s="1"/>
  <c r="Z259" i="14"/>
  <c r="Z260" i="14"/>
  <c r="AA260" i="14"/>
  <c r="AJ260" i="14" s="1"/>
  <c r="AB260" i="14"/>
  <c r="AF260" i="14"/>
  <c r="AH260" i="14"/>
  <c r="AH253" i="14"/>
  <c r="AF253" i="14"/>
  <c r="AB253" i="14"/>
  <c r="AA253" i="14"/>
  <c r="AJ253" i="14" s="1"/>
  <c r="Z253" i="14"/>
  <c r="AH254" i="14"/>
  <c r="AF254" i="14"/>
  <c r="AB254" i="14"/>
  <c r="AA254" i="14"/>
  <c r="AJ254" i="14" s="1"/>
  <c r="Z254" i="14"/>
  <c r="AH255" i="14"/>
  <c r="AF255" i="14"/>
  <c r="AB255" i="14"/>
  <c r="AA255" i="14"/>
  <c r="AJ255" i="14" s="1"/>
  <c r="Z255" i="14"/>
  <c r="AH248" i="14"/>
  <c r="AF248" i="14"/>
  <c r="AB248" i="14"/>
  <c r="AA248" i="14"/>
  <c r="AJ248" i="14" s="1"/>
  <c r="Z248" i="14"/>
  <c r="AH249" i="14"/>
  <c r="AF249" i="14"/>
  <c r="AB249" i="14"/>
  <c r="AA249" i="14"/>
  <c r="AJ249" i="14" s="1"/>
  <c r="Z249" i="14"/>
  <c r="AH250" i="14"/>
  <c r="AF250" i="14"/>
  <c r="AB250" i="14"/>
  <c r="AA250" i="14"/>
  <c r="AJ250" i="14" s="1"/>
  <c r="Z250" i="14"/>
  <c r="AH244" i="14"/>
  <c r="AH245" i="14"/>
  <c r="AH246" i="14"/>
  <c r="AH247" i="14"/>
  <c r="AH251" i="14"/>
  <c r="AH252" i="14"/>
  <c r="AH256" i="14"/>
  <c r="AH257" i="14"/>
  <c r="AH261" i="14"/>
  <c r="AH265" i="14"/>
  <c r="AH266" i="14"/>
  <c r="AH267" i="14"/>
  <c r="AH271" i="14"/>
  <c r="AH272" i="14"/>
  <c r="AH273" i="14"/>
  <c r="AH274" i="14"/>
  <c r="AH275" i="14"/>
  <c r="AH276" i="14"/>
  <c r="AH280" i="14"/>
  <c r="AH281" i="14"/>
  <c r="AH282" i="14"/>
  <c r="AH283" i="14"/>
  <c r="AH284" i="14"/>
  <c r="AH285" i="14"/>
  <c r="AH286" i="14"/>
  <c r="AH287" i="14"/>
  <c r="AH291" i="14"/>
  <c r="AH292" i="14"/>
  <c r="AH293" i="14"/>
  <c r="AH294" i="14"/>
  <c r="AH295" i="14"/>
  <c r="AH296" i="14"/>
  <c r="AH300" i="14"/>
  <c r="AH301" i="14"/>
  <c r="AH302" i="14"/>
  <c r="AH303" i="14"/>
  <c r="AH304" i="14"/>
  <c r="AH305" i="14"/>
  <c r="AH309" i="14"/>
  <c r="AH310" i="14"/>
  <c r="AH311" i="14"/>
  <c r="AH312" i="14"/>
  <c r="AH316" i="14"/>
  <c r="AH317" i="14"/>
  <c r="AH321" i="14"/>
  <c r="AH322" i="14"/>
  <c r="AH323" i="14"/>
  <c r="AH324" i="14"/>
  <c r="AH325" i="14"/>
  <c r="AH326" i="14"/>
  <c r="AH330" i="14"/>
  <c r="AH331" i="14"/>
  <c r="AH332" i="14"/>
  <c r="AH333" i="14"/>
  <c r="AH334" i="14"/>
  <c r="AH335" i="14"/>
  <c r="AH336" i="14"/>
  <c r="AH337" i="14"/>
  <c r="AH338" i="14"/>
  <c r="AH339" i="14"/>
  <c r="AH340" i="14"/>
  <c r="AH341" i="14"/>
  <c r="AH345" i="14"/>
  <c r="AH346" i="14"/>
  <c r="AH350" i="14"/>
  <c r="AH351" i="14"/>
  <c r="AH352" i="14"/>
  <c r="AH353" i="14"/>
  <c r="AH354" i="14"/>
  <c r="AH355" i="14"/>
  <c r="AH356" i="14"/>
  <c r="AH357" i="14"/>
  <c r="AH358" i="14"/>
  <c r="AH359" i="14"/>
  <c r="AH360" i="14"/>
  <c r="AH361" i="14"/>
  <c r="AH362" i="14"/>
  <c r="AH363" i="14"/>
  <c r="AH364" i="14"/>
  <c r="AH365" i="14"/>
  <c r="AH366" i="14"/>
  <c r="AH367" i="14"/>
  <c r="AH371" i="14"/>
  <c r="AH372" i="14"/>
  <c r="AH373" i="14"/>
  <c r="AH374" i="14"/>
  <c r="AH378" i="14"/>
  <c r="AH379" i="14"/>
  <c r="AH380" i="14"/>
  <c r="AH381" i="14"/>
  <c r="AH382" i="14"/>
  <c r="AH383" i="14"/>
  <c r="AH384" i="14"/>
  <c r="AH385" i="14"/>
  <c r="AH386" i="14"/>
  <c r="AH387" i="14"/>
  <c r="AH388" i="14"/>
  <c r="AH392" i="14"/>
  <c r="AH393" i="14"/>
  <c r="AH394" i="14"/>
  <c r="AH395" i="14"/>
  <c r="AH396" i="14"/>
  <c r="AH397" i="14"/>
  <c r="AH401" i="14"/>
  <c r="AH402" i="14"/>
  <c r="AH403" i="14"/>
  <c r="AH404" i="14"/>
  <c r="AH405" i="14"/>
  <c r="AH406" i="14"/>
  <c r="AH407" i="14"/>
  <c r="AH408" i="14"/>
  <c r="AH409" i="14"/>
  <c r="AH410" i="14"/>
  <c r="AH411" i="14"/>
  <c r="AH412" i="14"/>
  <c r="AH413" i="14"/>
  <c r="AH414" i="14"/>
  <c r="AH415" i="14"/>
  <c r="AH416" i="14"/>
  <c r="AH417" i="14"/>
  <c r="AH418" i="14"/>
  <c r="AH419" i="14"/>
  <c r="AH420" i="14"/>
  <c r="AH421" i="14"/>
  <c r="AH422" i="14"/>
  <c r="AH423" i="14"/>
  <c r="AH424" i="14"/>
  <c r="AH425" i="14"/>
  <c r="AH426" i="14"/>
  <c r="AH427" i="14"/>
  <c r="AH428" i="14"/>
  <c r="AH429" i="14"/>
  <c r="AH430" i="14"/>
  <c r="AH243" i="14"/>
  <c r="AF244" i="14"/>
  <c r="AF245" i="14"/>
  <c r="AF246" i="14"/>
  <c r="AF247" i="14"/>
  <c r="AF251" i="14"/>
  <c r="AF252" i="14"/>
  <c r="AF256" i="14"/>
  <c r="AF257" i="14"/>
  <c r="AF261" i="14"/>
  <c r="AF265" i="14"/>
  <c r="AF266" i="14"/>
  <c r="AF267" i="14"/>
  <c r="AF271" i="14"/>
  <c r="AF272" i="14"/>
  <c r="AF273" i="14"/>
  <c r="AF274" i="14"/>
  <c r="AF275" i="14"/>
  <c r="AF276" i="14"/>
  <c r="AF280" i="14"/>
  <c r="AF281" i="14"/>
  <c r="AF282" i="14"/>
  <c r="AF283" i="14"/>
  <c r="AF284" i="14"/>
  <c r="AF285" i="14"/>
  <c r="AF286" i="14"/>
  <c r="AF287" i="14"/>
  <c r="AF291" i="14"/>
  <c r="AF292" i="14"/>
  <c r="AF293" i="14"/>
  <c r="AF294" i="14"/>
  <c r="AF295" i="14"/>
  <c r="AF296" i="14"/>
  <c r="AF300" i="14"/>
  <c r="AF301" i="14"/>
  <c r="AF302" i="14"/>
  <c r="AF303" i="14"/>
  <c r="AF304" i="14"/>
  <c r="AF305" i="14"/>
  <c r="AF309" i="14"/>
  <c r="AF310" i="14"/>
  <c r="AF311" i="14"/>
  <c r="AF312" i="14"/>
  <c r="AF316" i="14"/>
  <c r="AF317" i="14"/>
  <c r="AF321" i="14"/>
  <c r="AF322" i="14"/>
  <c r="AF323" i="14"/>
  <c r="AF324" i="14"/>
  <c r="AF325" i="14"/>
  <c r="AF326" i="14"/>
  <c r="AF330" i="14"/>
  <c r="AF331" i="14"/>
  <c r="AF332" i="14"/>
  <c r="AF333" i="14"/>
  <c r="AF334" i="14"/>
  <c r="AF335" i="14"/>
  <c r="AF336" i="14"/>
  <c r="AF337" i="14"/>
  <c r="AF338" i="14"/>
  <c r="AF339" i="14"/>
  <c r="AF340" i="14"/>
  <c r="AF341" i="14"/>
  <c r="AF345" i="14"/>
  <c r="AF346" i="14"/>
  <c r="AF350" i="14"/>
  <c r="AF351" i="14"/>
  <c r="AF352" i="14"/>
  <c r="AF353" i="14"/>
  <c r="AF354" i="14"/>
  <c r="AF355" i="14"/>
  <c r="AF356" i="14"/>
  <c r="AF357" i="14"/>
  <c r="AF358" i="14"/>
  <c r="AF359" i="14"/>
  <c r="AF360" i="14"/>
  <c r="AF361" i="14"/>
  <c r="AF362" i="14"/>
  <c r="AF363" i="14"/>
  <c r="AF364" i="14"/>
  <c r="AF365" i="14"/>
  <c r="AF366" i="14"/>
  <c r="AF367" i="14"/>
  <c r="AF371" i="14"/>
  <c r="AF372" i="14"/>
  <c r="AF373" i="14"/>
  <c r="AF374" i="14"/>
  <c r="AF378" i="14"/>
  <c r="AF379" i="14"/>
  <c r="AF380" i="14"/>
  <c r="AF381" i="14"/>
  <c r="AF382" i="14"/>
  <c r="AF383" i="14"/>
  <c r="AF384" i="14"/>
  <c r="AF385" i="14"/>
  <c r="AF386" i="14"/>
  <c r="AF387" i="14"/>
  <c r="AF388" i="14"/>
  <c r="AF392" i="14"/>
  <c r="AF393" i="14"/>
  <c r="AF394" i="14"/>
  <c r="AF395" i="14"/>
  <c r="AF396" i="14"/>
  <c r="AF397" i="14"/>
  <c r="AF401" i="14"/>
  <c r="AF402" i="14"/>
  <c r="AF403" i="14"/>
  <c r="AF404" i="14"/>
  <c r="AF405" i="14"/>
  <c r="AF406" i="14"/>
  <c r="AF407" i="14"/>
  <c r="AF408" i="14"/>
  <c r="AF409" i="14"/>
  <c r="AF410" i="14"/>
  <c r="AF411" i="14"/>
  <c r="AF412" i="14"/>
  <c r="AF413" i="14"/>
  <c r="AF414" i="14"/>
  <c r="AF415" i="14"/>
  <c r="AF416" i="14"/>
  <c r="AF417" i="14"/>
  <c r="AF418" i="14"/>
  <c r="AF419" i="14"/>
  <c r="AF420" i="14"/>
  <c r="AF421" i="14"/>
  <c r="AF422" i="14"/>
  <c r="AF423" i="14"/>
  <c r="AF424" i="14"/>
  <c r="AF425" i="14"/>
  <c r="AF426" i="14"/>
  <c r="AF427" i="14"/>
  <c r="AF428" i="14"/>
  <c r="AF429" i="14"/>
  <c r="AF430" i="14"/>
  <c r="AF243" i="14"/>
  <c r="AB243" i="14"/>
  <c r="AB244" i="14"/>
  <c r="AB245" i="14"/>
  <c r="AB246" i="14"/>
  <c r="AB247" i="14"/>
  <c r="AB251" i="14"/>
  <c r="AB252" i="14"/>
  <c r="AB256" i="14"/>
  <c r="AB257" i="14"/>
  <c r="AB261" i="14"/>
  <c r="AB265" i="14"/>
  <c r="AB266" i="14"/>
  <c r="AB267" i="14"/>
  <c r="AB271" i="14"/>
  <c r="AB272" i="14"/>
  <c r="AB273" i="14"/>
  <c r="AB274" i="14"/>
  <c r="AB275" i="14"/>
  <c r="AB276" i="14"/>
  <c r="AB280" i="14"/>
  <c r="AB281" i="14"/>
  <c r="AB282" i="14"/>
  <c r="AB283" i="14"/>
  <c r="AB284" i="14"/>
  <c r="AB285" i="14"/>
  <c r="AB286" i="14"/>
  <c r="AB287" i="14"/>
  <c r="AB291" i="14"/>
  <c r="AB292" i="14"/>
  <c r="AB293" i="14"/>
  <c r="AB294" i="14"/>
  <c r="AB295" i="14"/>
  <c r="AB296" i="14"/>
  <c r="AB300" i="14"/>
  <c r="AB301" i="14"/>
  <c r="AB302" i="14"/>
  <c r="AB303" i="14"/>
  <c r="AB304" i="14"/>
  <c r="AB305" i="14"/>
  <c r="AB309" i="14"/>
  <c r="AB310" i="14"/>
  <c r="AB311" i="14"/>
  <c r="AB312" i="14"/>
  <c r="AB316" i="14"/>
  <c r="AB317" i="14"/>
  <c r="AB321" i="14"/>
  <c r="AB322" i="14"/>
  <c r="AB323" i="14"/>
  <c r="AB324" i="14"/>
  <c r="AB325" i="14"/>
  <c r="AB326" i="14"/>
  <c r="AB330" i="14"/>
  <c r="AB331" i="14"/>
  <c r="AB332" i="14"/>
  <c r="AB333" i="14"/>
  <c r="AB334" i="14"/>
  <c r="AB335" i="14"/>
  <c r="AB336" i="14"/>
  <c r="AB337" i="14"/>
  <c r="AB338" i="14"/>
  <c r="AB339" i="14"/>
  <c r="AB340" i="14"/>
  <c r="AB341" i="14"/>
  <c r="AB345" i="14"/>
  <c r="AB346" i="14"/>
  <c r="AB350" i="14"/>
  <c r="AB351" i="14"/>
  <c r="AB352" i="14"/>
  <c r="AB353" i="14"/>
  <c r="AB354" i="14"/>
  <c r="AB355" i="14"/>
  <c r="AB356" i="14"/>
  <c r="AB357" i="14"/>
  <c r="AB358" i="14"/>
  <c r="AB359" i="14"/>
  <c r="AB360" i="14"/>
  <c r="AB361" i="14"/>
  <c r="AB362" i="14"/>
  <c r="AB363" i="14"/>
  <c r="AB364" i="14"/>
  <c r="AB365" i="14"/>
  <c r="AB366" i="14"/>
  <c r="AB367" i="14"/>
  <c r="AB371" i="14"/>
  <c r="AB372" i="14"/>
  <c r="AB373" i="14"/>
  <c r="AB374" i="14"/>
  <c r="AB378" i="14"/>
  <c r="AB379" i="14"/>
  <c r="AB380" i="14"/>
  <c r="AB381" i="14"/>
  <c r="AB382" i="14"/>
  <c r="AB383" i="14"/>
  <c r="AB384" i="14"/>
  <c r="AB385" i="14"/>
  <c r="AB386" i="14"/>
  <c r="AB387" i="14"/>
  <c r="AB388" i="14"/>
  <c r="AB392" i="14"/>
  <c r="AB393" i="14"/>
  <c r="AB394" i="14"/>
  <c r="AB395" i="14"/>
  <c r="AB396" i="14"/>
  <c r="AB397" i="14"/>
  <c r="AB401" i="14"/>
  <c r="AB402" i="14"/>
  <c r="AB403" i="14"/>
  <c r="AB404" i="14"/>
  <c r="AB405" i="14"/>
  <c r="AB406" i="14"/>
  <c r="AB407" i="14"/>
  <c r="AB408" i="14"/>
  <c r="AB409" i="14"/>
  <c r="AB410" i="14"/>
  <c r="AB411" i="14"/>
  <c r="AB412" i="14"/>
  <c r="AB413" i="14"/>
  <c r="AB414" i="14"/>
  <c r="AB415" i="14"/>
  <c r="AB416" i="14"/>
  <c r="AB417" i="14"/>
  <c r="AB418" i="14"/>
  <c r="AB419" i="14"/>
  <c r="AB420" i="14"/>
  <c r="AB421" i="14"/>
  <c r="AB422" i="14"/>
  <c r="AB423" i="14"/>
  <c r="AB424" i="14"/>
  <c r="AB425" i="14"/>
  <c r="AB426" i="14"/>
  <c r="AB427" i="14"/>
  <c r="AB428" i="14"/>
  <c r="AB429" i="14"/>
  <c r="AB430" i="14"/>
  <c r="AA244" i="14"/>
  <c r="AJ244" i="14" s="1"/>
  <c r="AA245" i="14"/>
  <c r="AJ245" i="14" s="1"/>
  <c r="AA246" i="14"/>
  <c r="AJ246" i="14" s="1"/>
  <c r="AA247" i="14"/>
  <c r="AJ247" i="14" s="1"/>
  <c r="AA251" i="14"/>
  <c r="AJ251" i="14" s="1"/>
  <c r="AA252" i="14"/>
  <c r="AJ252" i="14" s="1"/>
  <c r="AA256" i="14"/>
  <c r="AJ256" i="14" s="1"/>
  <c r="AA257" i="14"/>
  <c r="AJ257" i="14" s="1"/>
  <c r="AA261" i="14"/>
  <c r="AJ261" i="14" s="1"/>
  <c r="AA265" i="14"/>
  <c r="AJ265" i="14" s="1"/>
  <c r="AA266" i="14"/>
  <c r="AJ266" i="14" s="1"/>
  <c r="AA267" i="14"/>
  <c r="AJ267" i="14" s="1"/>
  <c r="AA271" i="14"/>
  <c r="AJ271" i="14" s="1"/>
  <c r="AA272" i="14"/>
  <c r="AJ272" i="14" s="1"/>
  <c r="AA273" i="14"/>
  <c r="AJ273" i="14" s="1"/>
  <c r="AA274" i="14"/>
  <c r="AJ274" i="14" s="1"/>
  <c r="AA275" i="14"/>
  <c r="AJ275" i="14" s="1"/>
  <c r="AA276" i="14"/>
  <c r="AJ276" i="14" s="1"/>
  <c r="AA280" i="14"/>
  <c r="AJ280" i="14" s="1"/>
  <c r="AA281" i="14"/>
  <c r="AJ281" i="14" s="1"/>
  <c r="AA282" i="14"/>
  <c r="AJ282" i="14" s="1"/>
  <c r="AA283" i="14"/>
  <c r="AJ283" i="14" s="1"/>
  <c r="AA284" i="14"/>
  <c r="AJ284" i="14" s="1"/>
  <c r="AA285" i="14"/>
  <c r="AJ285" i="14" s="1"/>
  <c r="AA286" i="14"/>
  <c r="AJ286" i="14" s="1"/>
  <c r="AA287" i="14"/>
  <c r="AJ287" i="14" s="1"/>
  <c r="AA291" i="14"/>
  <c r="AJ291" i="14" s="1"/>
  <c r="AA292" i="14"/>
  <c r="AJ292" i="14" s="1"/>
  <c r="AA293" i="14"/>
  <c r="AJ293" i="14" s="1"/>
  <c r="AA294" i="14"/>
  <c r="AJ294" i="14" s="1"/>
  <c r="AA295" i="14"/>
  <c r="AJ295" i="14" s="1"/>
  <c r="AA296" i="14"/>
  <c r="AJ296" i="14" s="1"/>
  <c r="AA300" i="14"/>
  <c r="AJ300" i="14" s="1"/>
  <c r="AA301" i="14"/>
  <c r="AJ301" i="14" s="1"/>
  <c r="AA302" i="14"/>
  <c r="AJ302" i="14" s="1"/>
  <c r="AA303" i="14"/>
  <c r="AJ303" i="14" s="1"/>
  <c r="AA304" i="14"/>
  <c r="AJ304" i="14" s="1"/>
  <c r="AA305" i="14"/>
  <c r="AJ305" i="14" s="1"/>
  <c r="AA309" i="14"/>
  <c r="AJ309" i="14" s="1"/>
  <c r="AA310" i="14"/>
  <c r="AJ310" i="14" s="1"/>
  <c r="AA311" i="14"/>
  <c r="AJ311" i="14" s="1"/>
  <c r="AA312" i="14"/>
  <c r="AJ312" i="14" s="1"/>
  <c r="AA316" i="14"/>
  <c r="AJ316" i="14" s="1"/>
  <c r="AA317" i="14"/>
  <c r="AJ317" i="14" s="1"/>
  <c r="AA321" i="14"/>
  <c r="AJ321" i="14" s="1"/>
  <c r="AA322" i="14"/>
  <c r="AJ322" i="14" s="1"/>
  <c r="AA323" i="14"/>
  <c r="AJ323" i="14" s="1"/>
  <c r="AA324" i="14"/>
  <c r="AJ324" i="14" s="1"/>
  <c r="AA325" i="14"/>
  <c r="AJ325" i="14" s="1"/>
  <c r="AA326" i="14"/>
  <c r="AJ326" i="14" s="1"/>
  <c r="AA330" i="14"/>
  <c r="AJ330" i="14" s="1"/>
  <c r="AA331" i="14"/>
  <c r="AJ331" i="14" s="1"/>
  <c r="AA332" i="14"/>
  <c r="AJ332" i="14" s="1"/>
  <c r="AA333" i="14"/>
  <c r="AJ333" i="14" s="1"/>
  <c r="AA334" i="14"/>
  <c r="AJ334" i="14" s="1"/>
  <c r="AA335" i="14"/>
  <c r="AJ335" i="14" s="1"/>
  <c r="AA336" i="14"/>
  <c r="AJ336" i="14" s="1"/>
  <c r="AA337" i="14"/>
  <c r="AJ337" i="14" s="1"/>
  <c r="AA338" i="14"/>
  <c r="AJ338" i="14" s="1"/>
  <c r="AA339" i="14"/>
  <c r="AJ339" i="14" s="1"/>
  <c r="AA340" i="14"/>
  <c r="AJ340" i="14" s="1"/>
  <c r="AA341" i="14"/>
  <c r="AJ341" i="14" s="1"/>
  <c r="AA345" i="14"/>
  <c r="AJ345" i="14" s="1"/>
  <c r="AA346" i="14"/>
  <c r="AJ346" i="14" s="1"/>
  <c r="AA350" i="14"/>
  <c r="AJ350" i="14" s="1"/>
  <c r="AA351" i="14"/>
  <c r="AJ351" i="14" s="1"/>
  <c r="AA352" i="14"/>
  <c r="AJ352" i="14" s="1"/>
  <c r="AA353" i="14"/>
  <c r="AJ353" i="14" s="1"/>
  <c r="AA354" i="14"/>
  <c r="AJ354" i="14" s="1"/>
  <c r="AA355" i="14"/>
  <c r="AJ355" i="14" s="1"/>
  <c r="AA356" i="14"/>
  <c r="AJ356" i="14" s="1"/>
  <c r="AA357" i="14"/>
  <c r="AJ357" i="14" s="1"/>
  <c r="AA358" i="14"/>
  <c r="AJ358" i="14" s="1"/>
  <c r="AA359" i="14"/>
  <c r="AJ359" i="14" s="1"/>
  <c r="AA360" i="14"/>
  <c r="AJ360" i="14" s="1"/>
  <c r="AA361" i="14"/>
  <c r="AJ361" i="14" s="1"/>
  <c r="AA362" i="14"/>
  <c r="AJ362" i="14" s="1"/>
  <c r="AA363" i="14"/>
  <c r="AJ363" i="14" s="1"/>
  <c r="AA364" i="14"/>
  <c r="AJ364" i="14" s="1"/>
  <c r="AA365" i="14"/>
  <c r="AJ365" i="14" s="1"/>
  <c r="AA366" i="14"/>
  <c r="AJ366" i="14" s="1"/>
  <c r="AA367" i="14"/>
  <c r="AJ367" i="14" s="1"/>
  <c r="AA371" i="14"/>
  <c r="AJ371" i="14" s="1"/>
  <c r="AA372" i="14"/>
  <c r="AJ372" i="14" s="1"/>
  <c r="AA373" i="14"/>
  <c r="AJ373" i="14" s="1"/>
  <c r="AA374" i="14"/>
  <c r="AJ374" i="14" s="1"/>
  <c r="AA378" i="14"/>
  <c r="AJ378" i="14" s="1"/>
  <c r="AA379" i="14"/>
  <c r="AJ379" i="14" s="1"/>
  <c r="AA380" i="14"/>
  <c r="AJ380" i="14" s="1"/>
  <c r="AA381" i="14"/>
  <c r="AJ381" i="14" s="1"/>
  <c r="AA382" i="14"/>
  <c r="AJ382" i="14" s="1"/>
  <c r="AA383" i="14"/>
  <c r="AJ383" i="14" s="1"/>
  <c r="AA384" i="14"/>
  <c r="AJ384" i="14" s="1"/>
  <c r="AA385" i="14"/>
  <c r="AJ385" i="14" s="1"/>
  <c r="AA386" i="14"/>
  <c r="AJ386" i="14" s="1"/>
  <c r="AA387" i="14"/>
  <c r="AJ387" i="14" s="1"/>
  <c r="AA388" i="14"/>
  <c r="AJ388" i="14" s="1"/>
  <c r="AA392" i="14"/>
  <c r="AJ392" i="14" s="1"/>
  <c r="AA393" i="14"/>
  <c r="AJ393" i="14" s="1"/>
  <c r="AA394" i="14"/>
  <c r="AJ394" i="14" s="1"/>
  <c r="AA395" i="14"/>
  <c r="AJ395" i="14" s="1"/>
  <c r="AA396" i="14"/>
  <c r="AJ396" i="14" s="1"/>
  <c r="AA397" i="14"/>
  <c r="AJ397" i="14" s="1"/>
  <c r="AA401" i="14"/>
  <c r="AJ401" i="14" s="1"/>
  <c r="AA402" i="14"/>
  <c r="AJ402" i="14" s="1"/>
  <c r="AA403" i="14"/>
  <c r="AJ403" i="14" s="1"/>
  <c r="AA404" i="14"/>
  <c r="AJ404" i="14" s="1"/>
  <c r="AA405" i="14"/>
  <c r="AJ405" i="14" s="1"/>
  <c r="AA406" i="14"/>
  <c r="AJ406" i="14" s="1"/>
  <c r="AA407" i="14"/>
  <c r="AJ407" i="14" s="1"/>
  <c r="AA408" i="14"/>
  <c r="AJ408" i="14" s="1"/>
  <c r="AA409" i="14"/>
  <c r="AJ409" i="14" s="1"/>
  <c r="AA410" i="14"/>
  <c r="AJ410" i="14" s="1"/>
  <c r="AA411" i="14"/>
  <c r="AJ411" i="14" s="1"/>
  <c r="AA412" i="14"/>
  <c r="AJ412" i="14" s="1"/>
  <c r="AA413" i="14"/>
  <c r="AJ413" i="14" s="1"/>
  <c r="AA414" i="14"/>
  <c r="AJ414" i="14" s="1"/>
  <c r="AA415" i="14"/>
  <c r="AJ415" i="14" s="1"/>
  <c r="AA416" i="14"/>
  <c r="AJ416" i="14" s="1"/>
  <c r="AA417" i="14"/>
  <c r="AJ417" i="14" s="1"/>
  <c r="AA418" i="14"/>
  <c r="AJ418" i="14" s="1"/>
  <c r="AA419" i="14"/>
  <c r="AJ419" i="14" s="1"/>
  <c r="AA420" i="14"/>
  <c r="AJ420" i="14" s="1"/>
  <c r="AA421" i="14"/>
  <c r="AJ421" i="14" s="1"/>
  <c r="AA422" i="14"/>
  <c r="AJ422" i="14" s="1"/>
  <c r="AA423" i="14"/>
  <c r="AJ423" i="14" s="1"/>
  <c r="AA424" i="14"/>
  <c r="AJ424" i="14" s="1"/>
  <c r="AA425" i="14"/>
  <c r="AJ425" i="14" s="1"/>
  <c r="AA426" i="14"/>
  <c r="AJ426" i="14" s="1"/>
  <c r="AA427" i="14"/>
  <c r="AJ427" i="14" s="1"/>
  <c r="AA428" i="14"/>
  <c r="AJ428" i="14" s="1"/>
  <c r="AA429" i="14"/>
  <c r="AJ429" i="14" s="1"/>
  <c r="AA430" i="14"/>
  <c r="AJ430" i="14" s="1"/>
  <c r="AA243" i="14"/>
  <c r="AJ243" i="14" s="1"/>
  <c r="Z244" i="14"/>
  <c r="Z245" i="14"/>
  <c r="Z246" i="14"/>
  <c r="Z247" i="14"/>
  <c r="Z251" i="14"/>
  <c r="Z252" i="14"/>
  <c r="Z256" i="14"/>
  <c r="Z257" i="14"/>
  <c r="Z261" i="14"/>
  <c r="Z265" i="14"/>
  <c r="Z266" i="14"/>
  <c r="Z267" i="14"/>
  <c r="Z271" i="14"/>
  <c r="Z272" i="14"/>
  <c r="Z273" i="14"/>
  <c r="Z274" i="14"/>
  <c r="Z275" i="14"/>
  <c r="Z276" i="14"/>
  <c r="Z280" i="14"/>
  <c r="Z281" i="14"/>
  <c r="Z282" i="14"/>
  <c r="Z283" i="14"/>
  <c r="Z284" i="14"/>
  <c r="Z285" i="14"/>
  <c r="Z286" i="14"/>
  <c r="Z287" i="14"/>
  <c r="Z291" i="14"/>
  <c r="Z292" i="14"/>
  <c r="Z293" i="14"/>
  <c r="Z294" i="14"/>
  <c r="Z295" i="14"/>
  <c r="Z296" i="14"/>
  <c r="Z300" i="14"/>
  <c r="Z301" i="14"/>
  <c r="Z302" i="14"/>
  <c r="Z303" i="14"/>
  <c r="Z304" i="14"/>
  <c r="Z305" i="14"/>
  <c r="Z309" i="14"/>
  <c r="Z310" i="14"/>
  <c r="Z311" i="14"/>
  <c r="Z312" i="14"/>
  <c r="Z316" i="14"/>
  <c r="Z317" i="14"/>
  <c r="Z321" i="14"/>
  <c r="Z322" i="14"/>
  <c r="Z323" i="14"/>
  <c r="Z324" i="14"/>
  <c r="Z325" i="14"/>
  <c r="Z326" i="14"/>
  <c r="Z330" i="14"/>
  <c r="Z331" i="14"/>
  <c r="Z332" i="14"/>
  <c r="Z333" i="14"/>
  <c r="Z334" i="14"/>
  <c r="Z335" i="14"/>
  <c r="Z336" i="14"/>
  <c r="Z337" i="14"/>
  <c r="Z338" i="14"/>
  <c r="Z339" i="14"/>
  <c r="Z340" i="14"/>
  <c r="Z341" i="14"/>
  <c r="Z345" i="14"/>
  <c r="Z346" i="14"/>
  <c r="Z350" i="14"/>
  <c r="Z351" i="14"/>
  <c r="Z352" i="14"/>
  <c r="Z353" i="14"/>
  <c r="Z354" i="14"/>
  <c r="Z355" i="14"/>
  <c r="Z356" i="14"/>
  <c r="Z357" i="14"/>
  <c r="Z358" i="14"/>
  <c r="Z359" i="14"/>
  <c r="Z360" i="14"/>
  <c r="Z361" i="14"/>
  <c r="Z362" i="14"/>
  <c r="Z363" i="14"/>
  <c r="Z364" i="14"/>
  <c r="Z365" i="14"/>
  <c r="Z366" i="14"/>
  <c r="Z367" i="14"/>
  <c r="Z371" i="14"/>
  <c r="Z372" i="14"/>
  <c r="Z373" i="14"/>
  <c r="Z374" i="14"/>
  <c r="Z378" i="14"/>
  <c r="Z379" i="14"/>
  <c r="Z380" i="14"/>
  <c r="Z381" i="14"/>
  <c r="Z382" i="14"/>
  <c r="Z383" i="14"/>
  <c r="Z384" i="14"/>
  <c r="Z385" i="14"/>
  <c r="Z386" i="14"/>
  <c r="Z387" i="14"/>
  <c r="Z388" i="14"/>
  <c r="Z392" i="14"/>
  <c r="Z393" i="14"/>
  <c r="Z394" i="14"/>
  <c r="Z395" i="14"/>
  <c r="Z396" i="14"/>
  <c r="Z397" i="14"/>
  <c r="Z401" i="14"/>
  <c r="Z402" i="14"/>
  <c r="Z403" i="14"/>
  <c r="Z404" i="14"/>
  <c r="Z405" i="14"/>
  <c r="Z406" i="14"/>
  <c r="Z407" i="14"/>
  <c r="Z408" i="14"/>
  <c r="Z409" i="14"/>
  <c r="Z410" i="14"/>
  <c r="Z411" i="14"/>
  <c r="Z412" i="14"/>
  <c r="Z413" i="14"/>
  <c r="Z414" i="14"/>
  <c r="Z415" i="14"/>
  <c r="Z416" i="14"/>
  <c r="Z417" i="14"/>
  <c r="Z418" i="14"/>
  <c r="Z419" i="14"/>
  <c r="Z420" i="14"/>
  <c r="Z421" i="14"/>
  <c r="Z422" i="14"/>
  <c r="Z423" i="14"/>
  <c r="Z424" i="14"/>
  <c r="Z425" i="14"/>
  <c r="Z426" i="14"/>
  <c r="Z427" i="14"/>
  <c r="Z428" i="14"/>
  <c r="Z429" i="14"/>
  <c r="Z430" i="14"/>
  <c r="Z243" i="14"/>
  <c r="J94" i="15" l="1"/>
  <c r="J96" i="15" s="1"/>
  <c r="J89" i="15"/>
  <c r="J88" i="15"/>
  <c r="J109" i="15"/>
  <c r="J110" i="15" s="1"/>
  <c r="J111" i="15" s="1"/>
  <c r="J87" i="15"/>
  <c r="J106" i="15"/>
  <c r="J107" i="15" s="1"/>
  <c r="J108" i="15" s="1"/>
  <c r="J86" i="15"/>
  <c r="J669" i="15"/>
  <c r="J670" i="15" s="1"/>
  <c r="J671" i="15" s="1"/>
  <c r="J97" i="15"/>
  <c r="J98" i="15" s="1"/>
  <c r="J99" i="15" s="1"/>
  <c r="J867" i="15"/>
  <c r="J442" i="15"/>
  <c r="J855" i="15"/>
  <c r="J430" i="15"/>
  <c r="J843" i="15"/>
  <c r="J418" i="15"/>
  <c r="J807" i="15"/>
  <c r="J808" i="15" s="1"/>
  <c r="J809" i="15" s="1"/>
  <c r="J382" i="15"/>
  <c r="J383" i="15" s="1"/>
  <c r="J384" i="15" s="1"/>
  <c r="J771" i="15"/>
  <c r="J772" i="15" s="1"/>
  <c r="J773" i="15" s="1"/>
  <c r="J346" i="15"/>
  <c r="J347" i="15" s="1"/>
  <c r="J348" i="15" s="1"/>
  <c r="J735" i="15"/>
  <c r="J736" i="15" s="1"/>
  <c r="J737" i="15" s="1"/>
  <c r="J310" i="15"/>
  <c r="J311" i="15" s="1"/>
  <c r="J312" i="15" s="1"/>
  <c r="J699" i="15"/>
  <c r="J700" i="15" s="1"/>
  <c r="J701" i="15" s="1"/>
  <c r="J274" i="15"/>
  <c r="J275" i="15" s="1"/>
  <c r="J276" i="15" s="1"/>
  <c r="J663" i="15"/>
  <c r="J664" i="15" s="1"/>
  <c r="J665" i="15" s="1"/>
  <c r="J238" i="15"/>
  <c r="J239" i="15" s="1"/>
  <c r="J240" i="15" s="1"/>
  <c r="J627" i="15"/>
  <c r="J628" i="15" s="1"/>
  <c r="J629" i="15" s="1"/>
  <c r="J202" i="15"/>
  <c r="J203" i="15" s="1"/>
  <c r="J204" i="15" s="1"/>
  <c r="J591" i="15"/>
  <c r="J592" i="15" s="1"/>
  <c r="J593" i="15" s="1"/>
  <c r="J166" i="15"/>
  <c r="J167" i="15" s="1"/>
  <c r="J168" i="15" s="1"/>
  <c r="J555" i="15"/>
  <c r="J556" i="15" s="1"/>
  <c r="J557" i="15" s="1"/>
  <c r="J130" i="15"/>
  <c r="J131" i="15" s="1"/>
  <c r="J132" i="15" s="1"/>
  <c r="J523" i="15"/>
  <c r="J82" i="15"/>
  <c r="J511" i="15"/>
  <c r="J70" i="15"/>
  <c r="J499" i="15"/>
  <c r="J58" i="15"/>
  <c r="J487" i="15"/>
  <c r="J46" i="15"/>
  <c r="J475" i="15"/>
  <c r="J34" i="15"/>
  <c r="J463" i="15"/>
  <c r="J22" i="15"/>
  <c r="J451" i="15"/>
  <c r="J10" i="15"/>
  <c r="J804" i="15"/>
  <c r="J805" i="15" s="1"/>
  <c r="J806" i="15" s="1"/>
  <c r="J379" i="15"/>
  <c r="J380" i="15" s="1"/>
  <c r="J381" i="15" s="1"/>
  <c r="J588" i="15"/>
  <c r="J589" i="15" s="1"/>
  <c r="J590" i="15" s="1"/>
  <c r="J163" i="15"/>
  <c r="J164" i="15" s="1"/>
  <c r="J165" i="15" s="1"/>
  <c r="J498" i="15"/>
  <c r="J57" i="15"/>
  <c r="J450" i="15"/>
  <c r="J9" i="15"/>
  <c r="J865" i="15"/>
  <c r="J440" i="15"/>
  <c r="J853" i="15"/>
  <c r="J428" i="15"/>
  <c r="J412" i="15"/>
  <c r="J413" i="15" s="1"/>
  <c r="J414" i="15" s="1"/>
  <c r="J837" i="15"/>
  <c r="J838" i="15" s="1"/>
  <c r="J839" i="15" s="1"/>
  <c r="J801" i="15"/>
  <c r="J802" i="15" s="1"/>
  <c r="J803" i="15" s="1"/>
  <c r="J376" i="15"/>
  <c r="J377" i="15" s="1"/>
  <c r="J378" i="15" s="1"/>
  <c r="J765" i="15"/>
  <c r="J766" i="15" s="1"/>
  <c r="J767" i="15" s="1"/>
  <c r="J340" i="15"/>
  <c r="J341" i="15" s="1"/>
  <c r="J342" i="15" s="1"/>
  <c r="J729" i="15"/>
  <c r="J730" i="15" s="1"/>
  <c r="J731" i="15" s="1"/>
  <c r="J304" i="15"/>
  <c r="J305" i="15" s="1"/>
  <c r="J306" i="15" s="1"/>
  <c r="J693" i="15"/>
  <c r="J694" i="15" s="1"/>
  <c r="J695" i="15" s="1"/>
  <c r="J268" i="15"/>
  <c r="J269" i="15" s="1"/>
  <c r="J270" i="15" s="1"/>
  <c r="J657" i="15"/>
  <c r="J658" i="15" s="1"/>
  <c r="J659" i="15" s="1"/>
  <c r="J232" i="15"/>
  <c r="J233" i="15" s="1"/>
  <c r="J234" i="15" s="1"/>
  <c r="J621" i="15"/>
  <c r="J622" i="15" s="1"/>
  <c r="J623" i="15" s="1"/>
  <c r="J196" i="15"/>
  <c r="J197" i="15" s="1"/>
  <c r="J198" i="15" s="1"/>
  <c r="J585" i="15"/>
  <c r="J586" i="15" s="1"/>
  <c r="J587" i="15" s="1"/>
  <c r="J160" i="15"/>
  <c r="J161" i="15" s="1"/>
  <c r="J162" i="15" s="1"/>
  <c r="J549" i="15"/>
  <c r="J550" i="15" s="1"/>
  <c r="J551" i="15" s="1"/>
  <c r="J124" i="15"/>
  <c r="J125" i="15" s="1"/>
  <c r="J126" i="15" s="1"/>
  <c r="J529" i="15"/>
  <c r="J92" i="15"/>
  <c r="J521" i="15"/>
  <c r="J80" i="15"/>
  <c r="J509" i="15"/>
  <c r="J68" i="15"/>
  <c r="J497" i="15"/>
  <c r="J56" i="15"/>
  <c r="J485" i="15"/>
  <c r="J44" i="15"/>
  <c r="J473" i="15"/>
  <c r="J32" i="15"/>
  <c r="J461" i="15"/>
  <c r="J20" i="15"/>
  <c r="J449" i="15"/>
  <c r="J8" i="15"/>
  <c r="J854" i="15"/>
  <c r="J429" i="15"/>
  <c r="J660" i="15"/>
  <c r="J661" i="15" s="1"/>
  <c r="J662" i="15" s="1"/>
  <c r="J235" i="15"/>
  <c r="J236" i="15" s="1"/>
  <c r="J237" i="15" s="1"/>
  <c r="J510" i="15"/>
  <c r="J69" i="15"/>
  <c r="J864" i="15"/>
  <c r="J439" i="15"/>
  <c r="J427" i="15"/>
  <c r="J852" i="15"/>
  <c r="J834" i="15"/>
  <c r="J835" i="15" s="1"/>
  <c r="J836" i="15" s="1"/>
  <c r="J409" i="15"/>
  <c r="J410" i="15" s="1"/>
  <c r="J411" i="15" s="1"/>
  <c r="J798" i="15"/>
  <c r="J799" i="15" s="1"/>
  <c r="J800" i="15" s="1"/>
  <c r="J373" i="15"/>
  <c r="J374" i="15" s="1"/>
  <c r="J375" i="15" s="1"/>
  <c r="J762" i="15"/>
  <c r="J763" i="15" s="1"/>
  <c r="J764" i="15" s="1"/>
  <c r="J337" i="15"/>
  <c r="J338" i="15" s="1"/>
  <c r="J339" i="15" s="1"/>
  <c r="J726" i="15"/>
  <c r="J727" i="15" s="1"/>
  <c r="J728" i="15" s="1"/>
  <c r="J301" i="15"/>
  <c r="J302" i="15" s="1"/>
  <c r="J303" i="15" s="1"/>
  <c r="J690" i="15"/>
  <c r="J691" i="15" s="1"/>
  <c r="J692" i="15" s="1"/>
  <c r="J265" i="15"/>
  <c r="J266" i="15" s="1"/>
  <c r="J267" i="15" s="1"/>
  <c r="J654" i="15"/>
  <c r="J655" i="15" s="1"/>
  <c r="J656" i="15" s="1"/>
  <c r="J229" i="15"/>
  <c r="J230" i="15" s="1"/>
  <c r="J231" i="15" s="1"/>
  <c r="J618" i="15"/>
  <c r="J619" i="15" s="1"/>
  <c r="J620" i="15" s="1"/>
  <c r="J193" i="15"/>
  <c r="J194" i="15" s="1"/>
  <c r="J195" i="15" s="1"/>
  <c r="J582" i="15"/>
  <c r="J583" i="15" s="1"/>
  <c r="J584" i="15" s="1"/>
  <c r="J157" i="15"/>
  <c r="J158" i="15" s="1"/>
  <c r="J159" i="15" s="1"/>
  <c r="J546" i="15"/>
  <c r="J547" i="15" s="1"/>
  <c r="J548" i="15" s="1"/>
  <c r="J121" i="15"/>
  <c r="J122" i="15" s="1"/>
  <c r="J123" i="15" s="1"/>
  <c r="J528" i="15"/>
  <c r="J91" i="15"/>
  <c r="J520" i="15"/>
  <c r="J79" i="15"/>
  <c r="J508" i="15"/>
  <c r="J67" i="15"/>
  <c r="J496" i="15"/>
  <c r="J55" i="15"/>
  <c r="J484" i="15"/>
  <c r="J43" i="15"/>
  <c r="J472" i="15"/>
  <c r="J31" i="15"/>
  <c r="J460" i="15"/>
  <c r="J19" i="15"/>
  <c r="J448" i="15"/>
  <c r="J7" i="15"/>
  <c r="J840" i="15"/>
  <c r="J841" i="15" s="1"/>
  <c r="J842" i="15" s="1"/>
  <c r="J415" i="15"/>
  <c r="J416" i="15" s="1"/>
  <c r="J417" i="15" s="1"/>
  <c r="J522" i="15"/>
  <c r="J81" i="15"/>
  <c r="J474" i="15"/>
  <c r="J33" i="15"/>
  <c r="J863" i="15"/>
  <c r="J438" i="15"/>
  <c r="J851" i="15"/>
  <c r="J426" i="15"/>
  <c r="J831" i="15"/>
  <c r="J832" i="15" s="1"/>
  <c r="J833" i="15" s="1"/>
  <c r="J406" i="15"/>
  <c r="J407" i="15" s="1"/>
  <c r="J408" i="15" s="1"/>
  <c r="J795" i="15"/>
  <c r="J796" i="15" s="1"/>
  <c r="J797" i="15" s="1"/>
  <c r="J370" i="15"/>
  <c r="J371" i="15" s="1"/>
  <c r="J372" i="15" s="1"/>
  <c r="J759" i="15"/>
  <c r="J760" i="15" s="1"/>
  <c r="J761" i="15" s="1"/>
  <c r="J334" i="15"/>
  <c r="J335" i="15" s="1"/>
  <c r="J336" i="15" s="1"/>
  <c r="J723" i="15"/>
  <c r="J724" i="15" s="1"/>
  <c r="J725" i="15" s="1"/>
  <c r="J298" i="15"/>
  <c r="J299" i="15" s="1"/>
  <c r="J300" i="15" s="1"/>
  <c r="J687" i="15"/>
  <c r="J688" i="15" s="1"/>
  <c r="J689" i="15" s="1"/>
  <c r="J262" i="15"/>
  <c r="J263" i="15" s="1"/>
  <c r="J264" i="15" s="1"/>
  <c r="J651" i="15"/>
  <c r="J652" i="15" s="1"/>
  <c r="J653" i="15" s="1"/>
  <c r="J226" i="15"/>
  <c r="J227" i="15" s="1"/>
  <c r="J228" i="15" s="1"/>
  <c r="J615" i="15"/>
  <c r="J616" i="15" s="1"/>
  <c r="J617" i="15" s="1"/>
  <c r="J190" i="15"/>
  <c r="J191" i="15" s="1"/>
  <c r="J192" i="15" s="1"/>
  <c r="J579" i="15"/>
  <c r="J580" i="15" s="1"/>
  <c r="J581" i="15" s="1"/>
  <c r="J154" i="15"/>
  <c r="J155" i="15" s="1"/>
  <c r="J156" i="15" s="1"/>
  <c r="J543" i="15"/>
  <c r="J544" i="15" s="1"/>
  <c r="J545" i="15" s="1"/>
  <c r="J118" i="15"/>
  <c r="J119" i="15" s="1"/>
  <c r="J120" i="15" s="1"/>
  <c r="J527" i="15"/>
  <c r="J90" i="15"/>
  <c r="J519" i="15"/>
  <c r="J78" i="15"/>
  <c r="J507" i="15"/>
  <c r="J66" i="15"/>
  <c r="J495" i="15"/>
  <c r="J54" i="15"/>
  <c r="J483" i="15"/>
  <c r="J42" i="15"/>
  <c r="J471" i="15"/>
  <c r="J30" i="15"/>
  <c r="J459" i="15"/>
  <c r="J18" i="15"/>
  <c r="J862" i="15"/>
  <c r="J437" i="15"/>
  <c r="J850" i="15"/>
  <c r="J425" i="15"/>
  <c r="J828" i="15"/>
  <c r="J829" i="15" s="1"/>
  <c r="J830" i="15" s="1"/>
  <c r="J403" i="15"/>
  <c r="J404" i="15" s="1"/>
  <c r="J405" i="15" s="1"/>
  <c r="J792" i="15"/>
  <c r="J793" i="15" s="1"/>
  <c r="J794" i="15" s="1"/>
  <c r="J367" i="15"/>
  <c r="J368" i="15" s="1"/>
  <c r="J369" i="15" s="1"/>
  <c r="J756" i="15"/>
  <c r="J757" i="15" s="1"/>
  <c r="J758" i="15" s="1"/>
  <c r="J331" i="15"/>
  <c r="J332" i="15" s="1"/>
  <c r="J333" i="15" s="1"/>
  <c r="J720" i="15"/>
  <c r="J721" i="15" s="1"/>
  <c r="J722" i="15" s="1"/>
  <c r="J295" i="15"/>
  <c r="J296" i="15" s="1"/>
  <c r="J297" i="15" s="1"/>
  <c r="J684" i="15"/>
  <c r="J685" i="15" s="1"/>
  <c r="J686" i="15" s="1"/>
  <c r="J259" i="15"/>
  <c r="J260" i="15" s="1"/>
  <c r="J261" i="15" s="1"/>
  <c r="J648" i="15"/>
  <c r="J649" i="15" s="1"/>
  <c r="J650" i="15" s="1"/>
  <c r="J223" i="15"/>
  <c r="J224" i="15" s="1"/>
  <c r="J225" i="15" s="1"/>
  <c r="J612" i="15"/>
  <c r="J613" i="15" s="1"/>
  <c r="J614" i="15" s="1"/>
  <c r="J187" i="15"/>
  <c r="J188" i="15" s="1"/>
  <c r="J189" i="15" s="1"/>
  <c r="J576" i="15"/>
  <c r="J577" i="15" s="1"/>
  <c r="J578" i="15" s="1"/>
  <c r="J151" i="15"/>
  <c r="J152" i="15" s="1"/>
  <c r="J153" i="15" s="1"/>
  <c r="J540" i="15"/>
  <c r="J541" i="15" s="1"/>
  <c r="J542" i="15" s="1"/>
  <c r="J115" i="15"/>
  <c r="J116" i="15" s="1"/>
  <c r="J117" i="15" s="1"/>
  <c r="J518" i="15"/>
  <c r="J77" i="15"/>
  <c r="J506" i="15"/>
  <c r="J65" i="15"/>
  <c r="J494" i="15"/>
  <c r="J53" i="15"/>
  <c r="J482" i="15"/>
  <c r="J41" i="15"/>
  <c r="J470" i="15"/>
  <c r="J29" i="15"/>
  <c r="J458" i="15"/>
  <c r="J17" i="15"/>
  <c r="J696" i="15"/>
  <c r="J697" i="15" s="1"/>
  <c r="J698" i="15" s="1"/>
  <c r="J271" i="15"/>
  <c r="J272" i="15" s="1"/>
  <c r="J273" i="15" s="1"/>
  <c r="J530" i="15"/>
  <c r="J93" i="15"/>
  <c r="J462" i="15"/>
  <c r="J21" i="15"/>
  <c r="J861" i="15"/>
  <c r="J436" i="15"/>
  <c r="J424" i="15"/>
  <c r="J849" i="15"/>
  <c r="J400" i="15"/>
  <c r="J401" i="15" s="1"/>
  <c r="J402" i="15" s="1"/>
  <c r="J825" i="15"/>
  <c r="J826" i="15" s="1"/>
  <c r="J827" i="15" s="1"/>
  <c r="J789" i="15"/>
  <c r="J790" i="15" s="1"/>
  <c r="J791" i="15" s="1"/>
  <c r="J364" i="15"/>
  <c r="J365" i="15" s="1"/>
  <c r="J366" i="15" s="1"/>
  <c r="J753" i="15"/>
  <c r="J754" i="15" s="1"/>
  <c r="J755" i="15" s="1"/>
  <c r="J328" i="15"/>
  <c r="J329" i="15" s="1"/>
  <c r="J330" i="15" s="1"/>
  <c r="J717" i="15"/>
  <c r="J718" i="15" s="1"/>
  <c r="J719" i="15" s="1"/>
  <c r="J292" i="15"/>
  <c r="J293" i="15" s="1"/>
  <c r="J294" i="15" s="1"/>
  <c r="J681" i="15"/>
  <c r="J682" i="15" s="1"/>
  <c r="J683" i="15" s="1"/>
  <c r="J256" i="15"/>
  <c r="J257" i="15" s="1"/>
  <c r="J258" i="15" s="1"/>
  <c r="J645" i="15"/>
  <c r="J646" i="15" s="1"/>
  <c r="J647" i="15" s="1"/>
  <c r="J220" i="15"/>
  <c r="J221" i="15" s="1"/>
  <c r="J222" i="15" s="1"/>
  <c r="J609" i="15"/>
  <c r="J610" i="15" s="1"/>
  <c r="J611" i="15" s="1"/>
  <c r="J184" i="15"/>
  <c r="J185" i="15" s="1"/>
  <c r="J186" i="15" s="1"/>
  <c r="J573" i="15"/>
  <c r="J574" i="15" s="1"/>
  <c r="J575" i="15" s="1"/>
  <c r="J148" i="15"/>
  <c r="J149" i="15" s="1"/>
  <c r="J150" i="15" s="1"/>
  <c r="J537" i="15"/>
  <c r="J538" i="15" s="1"/>
  <c r="J539" i="15" s="1"/>
  <c r="J112" i="15"/>
  <c r="J113" i="15" s="1"/>
  <c r="J114" i="15" s="1"/>
  <c r="J517" i="15"/>
  <c r="J76" i="15"/>
  <c r="J505" i="15"/>
  <c r="J64" i="15"/>
  <c r="J493" i="15"/>
  <c r="J52" i="15"/>
  <c r="J481" i="15"/>
  <c r="J40" i="15"/>
  <c r="J469" i="15"/>
  <c r="J28" i="15"/>
  <c r="J457" i="15"/>
  <c r="J16" i="15"/>
  <c r="J866" i="15"/>
  <c r="J441" i="15"/>
  <c r="J768" i="15"/>
  <c r="J769" i="15" s="1"/>
  <c r="J770" i="15" s="1"/>
  <c r="J343" i="15"/>
  <c r="J344" i="15" s="1"/>
  <c r="J345" i="15" s="1"/>
  <c r="J552" i="15"/>
  <c r="J553" i="15" s="1"/>
  <c r="J554" i="15" s="1"/>
  <c r="J127" i="15"/>
  <c r="J128" i="15" s="1"/>
  <c r="J129" i="15" s="1"/>
  <c r="J486" i="15"/>
  <c r="J45" i="15"/>
  <c r="J860" i="15"/>
  <c r="J435" i="15"/>
  <c r="J848" i="15"/>
  <c r="J423" i="15"/>
  <c r="J397" i="15"/>
  <c r="J398" i="15" s="1"/>
  <c r="J399" i="15" s="1"/>
  <c r="J822" i="15"/>
  <c r="J823" i="15" s="1"/>
  <c r="J824" i="15" s="1"/>
  <c r="J786" i="15"/>
  <c r="J787" i="15" s="1"/>
  <c r="J788" i="15" s="1"/>
  <c r="J361" i="15"/>
  <c r="J362" i="15" s="1"/>
  <c r="J363" i="15" s="1"/>
  <c r="J750" i="15"/>
  <c r="J751" i="15" s="1"/>
  <c r="J752" i="15" s="1"/>
  <c r="J325" i="15"/>
  <c r="J326" i="15" s="1"/>
  <c r="J327" i="15" s="1"/>
  <c r="J714" i="15"/>
  <c r="J715" i="15" s="1"/>
  <c r="J716" i="15" s="1"/>
  <c r="J289" i="15"/>
  <c r="J290" i="15" s="1"/>
  <c r="J291" i="15" s="1"/>
  <c r="J678" i="15"/>
  <c r="J679" i="15" s="1"/>
  <c r="J680" i="15" s="1"/>
  <c r="J253" i="15"/>
  <c r="J254" i="15" s="1"/>
  <c r="J255" i="15" s="1"/>
  <c r="J642" i="15"/>
  <c r="J643" i="15" s="1"/>
  <c r="J644" i="15" s="1"/>
  <c r="J217" i="15"/>
  <c r="J218" i="15" s="1"/>
  <c r="J219" i="15" s="1"/>
  <c r="J606" i="15"/>
  <c r="J607" i="15" s="1"/>
  <c r="J608" i="15" s="1"/>
  <c r="J181" i="15"/>
  <c r="J182" i="15" s="1"/>
  <c r="J183" i="15" s="1"/>
  <c r="J570" i="15"/>
  <c r="J571" i="15" s="1"/>
  <c r="J572" i="15" s="1"/>
  <c r="J145" i="15"/>
  <c r="J146" i="15" s="1"/>
  <c r="J147" i="15" s="1"/>
  <c r="J516" i="15"/>
  <c r="J75" i="15"/>
  <c r="J504" i="15"/>
  <c r="J63" i="15"/>
  <c r="J492" i="15"/>
  <c r="J51" i="15"/>
  <c r="J480" i="15"/>
  <c r="J39" i="15"/>
  <c r="J468" i="15"/>
  <c r="J27" i="15"/>
  <c r="J456" i="15"/>
  <c r="J15" i="15"/>
  <c r="J871" i="15"/>
  <c r="J446" i="15"/>
  <c r="J434" i="15"/>
  <c r="J859" i="15"/>
  <c r="J847" i="15"/>
  <c r="J422" i="15"/>
  <c r="J819" i="15"/>
  <c r="J820" i="15" s="1"/>
  <c r="J821" i="15" s="1"/>
  <c r="J394" i="15"/>
  <c r="J395" i="15" s="1"/>
  <c r="J396" i="15" s="1"/>
  <c r="J783" i="15"/>
  <c r="J784" i="15" s="1"/>
  <c r="J785" i="15" s="1"/>
  <c r="J358" i="15"/>
  <c r="J359" i="15" s="1"/>
  <c r="J360" i="15" s="1"/>
  <c r="J747" i="15"/>
  <c r="J748" i="15" s="1"/>
  <c r="J749" i="15" s="1"/>
  <c r="J322" i="15"/>
  <c r="J323" i="15" s="1"/>
  <c r="J324" i="15" s="1"/>
  <c r="J711" i="15"/>
  <c r="J712" i="15" s="1"/>
  <c r="J713" i="15" s="1"/>
  <c r="J286" i="15"/>
  <c r="J287" i="15" s="1"/>
  <c r="J288" i="15" s="1"/>
  <c r="J675" i="15"/>
  <c r="J676" i="15" s="1"/>
  <c r="J677" i="15" s="1"/>
  <c r="J250" i="15"/>
  <c r="J251" i="15" s="1"/>
  <c r="J252" i="15" s="1"/>
  <c r="J639" i="15"/>
  <c r="J640" i="15" s="1"/>
  <c r="J641" i="15" s="1"/>
  <c r="J214" i="15"/>
  <c r="J215" i="15" s="1"/>
  <c r="J216" i="15" s="1"/>
  <c r="J603" i="15"/>
  <c r="J604" i="15" s="1"/>
  <c r="J605" i="15" s="1"/>
  <c r="J178" i="15"/>
  <c r="J179" i="15" s="1"/>
  <c r="J180" i="15" s="1"/>
  <c r="J567" i="15"/>
  <c r="J568" i="15" s="1"/>
  <c r="J569" i="15" s="1"/>
  <c r="J142" i="15"/>
  <c r="J143" i="15" s="1"/>
  <c r="J144" i="15" s="1"/>
  <c r="J515" i="15"/>
  <c r="J74" i="15"/>
  <c r="J503" i="15"/>
  <c r="J62" i="15"/>
  <c r="J491" i="15"/>
  <c r="J50" i="15"/>
  <c r="J479" i="15"/>
  <c r="J38" i="15"/>
  <c r="J467" i="15"/>
  <c r="J26" i="15"/>
  <c r="J455" i="15"/>
  <c r="J14" i="15"/>
  <c r="J732" i="15"/>
  <c r="J733" i="15" s="1"/>
  <c r="J734" i="15" s="1"/>
  <c r="J307" i="15"/>
  <c r="J308" i="15" s="1"/>
  <c r="J309" i="15" s="1"/>
  <c r="J870" i="15"/>
  <c r="J445" i="15"/>
  <c r="J858" i="15"/>
  <c r="J433" i="15"/>
  <c r="J421" i="15"/>
  <c r="J846" i="15"/>
  <c r="J816" i="15"/>
  <c r="J817" i="15" s="1"/>
  <c r="J818" i="15" s="1"/>
  <c r="J391" i="15"/>
  <c r="J392" i="15" s="1"/>
  <c r="J393" i="15" s="1"/>
  <c r="J780" i="15"/>
  <c r="J781" i="15" s="1"/>
  <c r="J782" i="15" s="1"/>
  <c r="J355" i="15"/>
  <c r="J356" i="15" s="1"/>
  <c r="J357" i="15" s="1"/>
  <c r="J744" i="15"/>
  <c r="J745" i="15" s="1"/>
  <c r="J746" i="15" s="1"/>
  <c r="J319" i="15"/>
  <c r="J320" i="15" s="1"/>
  <c r="J321" i="15" s="1"/>
  <c r="J708" i="15"/>
  <c r="J709" i="15" s="1"/>
  <c r="J710" i="15" s="1"/>
  <c r="J283" i="15"/>
  <c r="J284" i="15" s="1"/>
  <c r="J285" i="15" s="1"/>
  <c r="J672" i="15"/>
  <c r="J673" i="15" s="1"/>
  <c r="J674" i="15" s="1"/>
  <c r="J247" i="15"/>
  <c r="J248" i="15" s="1"/>
  <c r="J249" i="15" s="1"/>
  <c r="J636" i="15"/>
  <c r="J637" i="15" s="1"/>
  <c r="J638" i="15" s="1"/>
  <c r="J211" i="15"/>
  <c r="J212" i="15" s="1"/>
  <c r="J213" i="15" s="1"/>
  <c r="J600" i="15"/>
  <c r="J601" i="15" s="1"/>
  <c r="J602" i="15" s="1"/>
  <c r="J175" i="15"/>
  <c r="J176" i="15" s="1"/>
  <c r="J177" i="15" s="1"/>
  <c r="J564" i="15"/>
  <c r="J565" i="15" s="1"/>
  <c r="J566" i="15" s="1"/>
  <c r="J139" i="15"/>
  <c r="J140" i="15" s="1"/>
  <c r="J141" i="15" s="1"/>
  <c r="J534" i="15"/>
  <c r="J535" i="15" s="1"/>
  <c r="J536" i="15" s="1"/>
  <c r="J103" i="15"/>
  <c r="J104" i="15" s="1"/>
  <c r="J105" i="15" s="1"/>
  <c r="J526" i="15"/>
  <c r="J85" i="15"/>
  <c r="J514" i="15"/>
  <c r="J73" i="15"/>
  <c r="J502" i="15"/>
  <c r="J61" i="15"/>
  <c r="J490" i="15"/>
  <c r="J49" i="15"/>
  <c r="J478" i="15"/>
  <c r="J37" i="15"/>
  <c r="J466" i="15"/>
  <c r="J25" i="15"/>
  <c r="J454" i="15"/>
  <c r="J13" i="15"/>
  <c r="J447" i="15"/>
  <c r="J6" i="15"/>
  <c r="J869" i="15"/>
  <c r="J444" i="15"/>
  <c r="J857" i="15"/>
  <c r="J432" i="15"/>
  <c r="J845" i="15"/>
  <c r="J420" i="15"/>
  <c r="J813" i="15"/>
  <c r="J814" i="15" s="1"/>
  <c r="J815" i="15" s="1"/>
  <c r="J388" i="15"/>
  <c r="J389" i="15" s="1"/>
  <c r="J390" i="15" s="1"/>
  <c r="J777" i="15"/>
  <c r="J778" i="15" s="1"/>
  <c r="J779" i="15" s="1"/>
  <c r="J352" i="15"/>
  <c r="J353" i="15" s="1"/>
  <c r="J354" i="15" s="1"/>
  <c r="J741" i="15"/>
  <c r="J742" i="15" s="1"/>
  <c r="J743" i="15" s="1"/>
  <c r="J316" i="15"/>
  <c r="J317" i="15" s="1"/>
  <c r="J318" i="15" s="1"/>
  <c r="J705" i="15"/>
  <c r="J706" i="15" s="1"/>
  <c r="J707" i="15" s="1"/>
  <c r="J280" i="15"/>
  <c r="J281" i="15" s="1"/>
  <c r="J282" i="15" s="1"/>
  <c r="J633" i="15"/>
  <c r="J634" i="15" s="1"/>
  <c r="J635" i="15" s="1"/>
  <c r="J208" i="15"/>
  <c r="J209" i="15" s="1"/>
  <c r="J210" i="15" s="1"/>
  <c r="J597" i="15"/>
  <c r="J598" i="15" s="1"/>
  <c r="J599" i="15" s="1"/>
  <c r="J172" i="15"/>
  <c r="J173" i="15" s="1"/>
  <c r="J174" i="15" s="1"/>
  <c r="J561" i="15"/>
  <c r="J562" i="15" s="1"/>
  <c r="J563" i="15" s="1"/>
  <c r="J136" i="15"/>
  <c r="J137" i="15" s="1"/>
  <c r="J138" i="15" s="1"/>
  <c r="J531" i="15"/>
  <c r="J532" i="15" s="1"/>
  <c r="J533" i="15" s="1"/>
  <c r="J100" i="15"/>
  <c r="J101" i="15" s="1"/>
  <c r="J102" i="15" s="1"/>
  <c r="J525" i="15"/>
  <c r="J84" i="15"/>
  <c r="J513" i="15"/>
  <c r="J72" i="15"/>
  <c r="J501" i="15"/>
  <c r="J60" i="15"/>
  <c r="J489" i="15"/>
  <c r="J48" i="15"/>
  <c r="J477" i="15"/>
  <c r="J36" i="15"/>
  <c r="J465" i="15"/>
  <c r="J24" i="15"/>
  <c r="J453" i="15"/>
  <c r="J12" i="15"/>
  <c r="J624" i="15"/>
  <c r="J625" i="15" s="1"/>
  <c r="J626" i="15" s="1"/>
  <c r="J199" i="15"/>
  <c r="J200" i="15" s="1"/>
  <c r="J201" i="15" s="1"/>
  <c r="J868" i="15"/>
  <c r="J443" i="15"/>
  <c r="J856" i="15"/>
  <c r="J431" i="15"/>
  <c r="J844" i="15"/>
  <c r="J419" i="15"/>
  <c r="J810" i="15"/>
  <c r="J811" i="15" s="1"/>
  <c r="J812" i="15" s="1"/>
  <c r="J385" i="15"/>
  <c r="J386" i="15" s="1"/>
  <c r="J387" i="15" s="1"/>
  <c r="J774" i="15"/>
  <c r="J775" i="15" s="1"/>
  <c r="J776" i="15" s="1"/>
  <c r="J349" i="15"/>
  <c r="J350" i="15" s="1"/>
  <c r="J351" i="15" s="1"/>
  <c r="J738" i="15"/>
  <c r="J739" i="15" s="1"/>
  <c r="J740" i="15" s="1"/>
  <c r="J313" i="15"/>
  <c r="J314" i="15" s="1"/>
  <c r="J315" i="15" s="1"/>
  <c r="J702" i="15"/>
  <c r="J703" i="15" s="1"/>
  <c r="J704" i="15" s="1"/>
  <c r="J277" i="15"/>
  <c r="J278" i="15" s="1"/>
  <c r="J279" i="15" s="1"/>
  <c r="J666" i="15"/>
  <c r="J667" i="15" s="1"/>
  <c r="J668" i="15" s="1"/>
  <c r="J241" i="15"/>
  <c r="J242" i="15" s="1"/>
  <c r="J243" i="15" s="1"/>
  <c r="J244" i="15" s="1"/>
  <c r="J245" i="15" s="1"/>
  <c r="J246" i="15" s="1"/>
  <c r="J630" i="15"/>
  <c r="J631" i="15" s="1"/>
  <c r="J632" i="15" s="1"/>
  <c r="J205" i="15"/>
  <c r="J206" i="15" s="1"/>
  <c r="J207" i="15" s="1"/>
  <c r="J594" i="15"/>
  <c r="J595" i="15" s="1"/>
  <c r="J596" i="15" s="1"/>
  <c r="J169" i="15"/>
  <c r="J170" i="15" s="1"/>
  <c r="J171" i="15" s="1"/>
  <c r="J558" i="15"/>
  <c r="J559" i="15" s="1"/>
  <c r="J560" i="15" s="1"/>
  <c r="J133" i="15"/>
  <c r="J134" i="15" s="1"/>
  <c r="J135" i="15" s="1"/>
  <c r="J524" i="15"/>
  <c r="J83" i="15"/>
  <c r="J512" i="15"/>
  <c r="J71" i="15"/>
  <c r="J500" i="15"/>
  <c r="J59" i="15"/>
  <c r="J488" i="15"/>
  <c r="J47" i="15"/>
  <c r="J476" i="15"/>
  <c r="J35" i="15"/>
  <c r="J464" i="15"/>
  <c r="J23" i="15"/>
  <c r="J452" i="15"/>
  <c r="J11" i="15"/>
  <c r="AL375" i="14"/>
  <c r="AK375" i="14"/>
  <c r="AK414" i="14"/>
  <c r="AL414" i="14"/>
  <c r="AL384" i="14"/>
  <c r="AK384" i="14"/>
  <c r="AK425" i="14"/>
  <c r="AL425" i="14"/>
  <c r="AK413" i="14"/>
  <c r="AL413" i="14"/>
  <c r="AK401" i="14"/>
  <c r="AL401" i="14"/>
  <c r="AK383" i="14"/>
  <c r="AL383" i="14"/>
  <c r="AK365" i="14"/>
  <c r="AL365" i="14"/>
  <c r="AK353" i="14"/>
  <c r="AL353" i="14"/>
  <c r="AK335" i="14"/>
  <c r="AL335" i="14"/>
  <c r="AK317" i="14"/>
  <c r="AL317" i="14"/>
  <c r="AK296" i="14"/>
  <c r="AL296" i="14"/>
  <c r="AK281" i="14"/>
  <c r="AL281" i="14"/>
  <c r="AK257" i="14"/>
  <c r="AL257" i="14"/>
  <c r="AL254" i="14"/>
  <c r="AK254" i="14"/>
  <c r="AL278" i="14"/>
  <c r="AK278" i="14"/>
  <c r="AL314" i="14"/>
  <c r="AK314" i="14"/>
  <c r="AL348" i="14"/>
  <c r="AK348" i="14"/>
  <c r="AL399" i="14"/>
  <c r="AK399" i="14"/>
  <c r="AL334" i="14"/>
  <c r="AK334" i="14"/>
  <c r="AL423" i="14"/>
  <c r="AK423" i="14"/>
  <c r="AL411" i="14"/>
  <c r="AK411" i="14"/>
  <c r="AL396" i="14"/>
  <c r="AK396" i="14"/>
  <c r="AK381" i="14"/>
  <c r="AL381" i="14"/>
  <c r="AL363" i="14"/>
  <c r="AK363" i="14"/>
  <c r="AL351" i="14"/>
  <c r="AK351" i="14"/>
  <c r="AK333" i="14"/>
  <c r="AL333" i="14"/>
  <c r="AL312" i="14"/>
  <c r="AK312" i="14"/>
  <c r="AK294" i="14"/>
  <c r="AL294" i="14"/>
  <c r="AL276" i="14"/>
  <c r="AK276" i="14"/>
  <c r="AL252" i="14"/>
  <c r="AK252" i="14"/>
  <c r="AK248" i="14"/>
  <c r="AL248" i="14"/>
  <c r="AK260" i="14"/>
  <c r="AL260" i="14"/>
  <c r="AK268" i="14"/>
  <c r="AL268" i="14"/>
  <c r="AK308" i="14"/>
  <c r="AL308" i="14"/>
  <c r="AK344" i="14"/>
  <c r="AL344" i="14"/>
  <c r="AK391" i="14"/>
  <c r="AL391" i="14"/>
  <c r="AK352" i="14"/>
  <c r="AL352" i="14"/>
  <c r="AL422" i="14"/>
  <c r="AK422" i="14"/>
  <c r="AK410" i="14"/>
  <c r="AL410" i="14"/>
  <c r="AK395" i="14"/>
  <c r="AL395" i="14"/>
  <c r="AK380" i="14"/>
  <c r="AL380" i="14"/>
  <c r="AL362" i="14"/>
  <c r="AK362" i="14"/>
  <c r="AL350" i="14"/>
  <c r="AK350" i="14"/>
  <c r="AK332" i="14"/>
  <c r="AL332" i="14"/>
  <c r="AK311" i="14"/>
  <c r="AL311" i="14"/>
  <c r="AK293" i="14"/>
  <c r="AL293" i="14"/>
  <c r="AK275" i="14"/>
  <c r="AL275" i="14"/>
  <c r="AK251" i="14"/>
  <c r="AL251" i="14"/>
  <c r="AK259" i="14"/>
  <c r="AL259" i="14"/>
  <c r="AL289" i="14"/>
  <c r="AK289" i="14"/>
  <c r="AK319" i="14"/>
  <c r="AL319" i="14"/>
  <c r="AK369" i="14"/>
  <c r="AL369" i="14"/>
  <c r="AL327" i="14"/>
  <c r="AK327" i="14"/>
  <c r="AL421" i="14"/>
  <c r="AK421" i="14"/>
  <c r="AL409" i="14"/>
  <c r="AK409" i="14"/>
  <c r="AL394" i="14"/>
  <c r="AK394" i="14"/>
  <c r="AK379" i="14"/>
  <c r="AL379" i="14"/>
  <c r="AL361" i="14"/>
  <c r="AK361" i="14"/>
  <c r="AK346" i="14"/>
  <c r="AL346" i="14"/>
  <c r="AK331" i="14"/>
  <c r="AL331" i="14"/>
  <c r="AL310" i="14"/>
  <c r="AK310" i="14"/>
  <c r="AK292" i="14"/>
  <c r="AL292" i="14"/>
  <c r="AL274" i="14"/>
  <c r="AK274" i="14"/>
  <c r="AK247" i="14"/>
  <c r="AL247" i="14"/>
  <c r="AL250" i="14"/>
  <c r="AK250" i="14"/>
  <c r="AK270" i="14"/>
  <c r="AL270" i="14"/>
  <c r="AK306" i="14"/>
  <c r="AL306" i="14"/>
  <c r="AK342" i="14"/>
  <c r="AL342" i="14"/>
  <c r="AK389" i="14"/>
  <c r="AL389" i="14"/>
  <c r="AK364" i="14"/>
  <c r="AL364" i="14"/>
  <c r="AK280" i="14"/>
  <c r="AL280" i="14"/>
  <c r="AL420" i="14"/>
  <c r="AK420" i="14"/>
  <c r="AL408" i="14"/>
  <c r="AK408" i="14"/>
  <c r="AK393" i="14"/>
  <c r="AL393" i="14"/>
  <c r="AK378" i="14"/>
  <c r="AL378" i="14"/>
  <c r="AL360" i="14"/>
  <c r="AK360" i="14"/>
  <c r="AK345" i="14"/>
  <c r="AL345" i="14"/>
  <c r="AK330" i="14"/>
  <c r="AL330" i="14"/>
  <c r="AK309" i="14"/>
  <c r="AL309" i="14"/>
  <c r="AL291" i="14"/>
  <c r="AK291" i="14"/>
  <c r="AL273" i="14"/>
  <c r="AK273" i="14"/>
  <c r="AK246" i="14"/>
  <c r="AL246" i="14"/>
  <c r="AL253" i="14"/>
  <c r="AK253" i="14"/>
  <c r="AL277" i="14"/>
  <c r="AK277" i="14"/>
  <c r="AL315" i="14"/>
  <c r="AK315" i="14"/>
  <c r="AL349" i="14"/>
  <c r="AK349" i="14"/>
  <c r="AK400" i="14"/>
  <c r="AL400" i="14"/>
  <c r="AK424" i="14"/>
  <c r="AL424" i="14"/>
  <c r="AK295" i="14"/>
  <c r="AL295" i="14"/>
  <c r="AK243" i="14"/>
  <c r="AL243" i="14"/>
  <c r="AK419" i="14"/>
  <c r="AL419" i="14"/>
  <c r="AK407" i="14"/>
  <c r="AL407" i="14"/>
  <c r="AK392" i="14"/>
  <c r="AL392" i="14"/>
  <c r="AK374" i="14"/>
  <c r="AL374" i="14"/>
  <c r="AK359" i="14"/>
  <c r="AL359" i="14"/>
  <c r="AK341" i="14"/>
  <c r="AL341" i="14"/>
  <c r="AL326" i="14"/>
  <c r="AK326" i="14"/>
  <c r="AK305" i="14"/>
  <c r="AL305" i="14"/>
  <c r="AK287" i="14"/>
  <c r="AL287" i="14"/>
  <c r="AK272" i="14"/>
  <c r="AL272" i="14"/>
  <c r="AK245" i="14"/>
  <c r="AL245" i="14"/>
  <c r="AK263" i="14"/>
  <c r="AL263" i="14"/>
  <c r="AK299" i="14"/>
  <c r="AL299" i="14"/>
  <c r="AK328" i="14"/>
  <c r="AL328" i="14"/>
  <c r="AK376" i="14"/>
  <c r="AL376" i="14"/>
  <c r="AL262" i="14"/>
  <c r="AK262" i="14"/>
  <c r="AL430" i="14"/>
  <c r="AK430" i="14"/>
  <c r="AL418" i="14"/>
  <c r="AK418" i="14"/>
  <c r="AL406" i="14"/>
  <c r="AK406" i="14"/>
  <c r="AK388" i="14"/>
  <c r="AL388" i="14"/>
  <c r="AL373" i="14"/>
  <c r="AK373" i="14"/>
  <c r="AK358" i="14"/>
  <c r="AL358" i="14"/>
  <c r="AK340" i="14"/>
  <c r="AL340" i="14"/>
  <c r="AK325" i="14"/>
  <c r="AL325" i="14"/>
  <c r="AK304" i="14"/>
  <c r="AL304" i="14"/>
  <c r="AK286" i="14"/>
  <c r="AL286" i="14"/>
  <c r="AK271" i="14"/>
  <c r="AL271" i="14"/>
  <c r="AK244" i="14"/>
  <c r="AL244" i="14"/>
  <c r="AL255" i="14"/>
  <c r="AK255" i="14"/>
  <c r="AL279" i="14"/>
  <c r="AK279" i="14"/>
  <c r="AL313" i="14"/>
  <c r="AK313" i="14"/>
  <c r="AK347" i="14"/>
  <c r="AL347" i="14"/>
  <c r="AL398" i="14"/>
  <c r="AK398" i="14"/>
  <c r="AL382" i="14"/>
  <c r="AK382" i="14"/>
  <c r="AL429" i="14"/>
  <c r="AK429" i="14"/>
  <c r="AK417" i="14"/>
  <c r="AL417" i="14"/>
  <c r="AL405" i="14"/>
  <c r="AK405" i="14"/>
  <c r="AL387" i="14"/>
  <c r="AK387" i="14"/>
  <c r="AL372" i="14"/>
  <c r="AK372" i="14"/>
  <c r="AK357" i="14"/>
  <c r="AL357" i="14"/>
  <c r="AL339" i="14"/>
  <c r="AK339" i="14"/>
  <c r="AL324" i="14"/>
  <c r="AK324" i="14"/>
  <c r="AL303" i="14"/>
  <c r="AK303" i="14"/>
  <c r="AL285" i="14"/>
  <c r="AK285" i="14"/>
  <c r="AL267" i="14"/>
  <c r="AK267" i="14"/>
  <c r="AK258" i="14"/>
  <c r="AL258" i="14"/>
  <c r="AK290" i="14"/>
  <c r="AL290" i="14"/>
  <c r="AK320" i="14"/>
  <c r="AL320" i="14"/>
  <c r="AL370" i="14"/>
  <c r="AK370" i="14"/>
  <c r="AL397" i="14"/>
  <c r="AK397" i="14"/>
  <c r="AK316" i="14"/>
  <c r="AL316" i="14"/>
  <c r="AK256" i="14"/>
  <c r="AL256" i="14"/>
  <c r="AL297" i="14"/>
  <c r="AK297" i="14"/>
  <c r="AK428" i="14"/>
  <c r="AL428" i="14"/>
  <c r="AK416" i="14"/>
  <c r="AL416" i="14"/>
  <c r="AK404" i="14"/>
  <c r="AL404" i="14"/>
  <c r="AL386" i="14"/>
  <c r="AK386" i="14"/>
  <c r="AK371" i="14"/>
  <c r="AL371" i="14"/>
  <c r="AK356" i="14"/>
  <c r="AL356" i="14"/>
  <c r="AL338" i="14"/>
  <c r="AK338" i="14"/>
  <c r="AK323" i="14"/>
  <c r="AL323" i="14"/>
  <c r="AL302" i="14"/>
  <c r="AK302" i="14"/>
  <c r="AK284" i="14"/>
  <c r="AL284" i="14"/>
  <c r="AK266" i="14"/>
  <c r="AL266" i="14"/>
  <c r="AL249" i="14"/>
  <c r="AK249" i="14"/>
  <c r="AK269" i="14"/>
  <c r="AL269" i="14"/>
  <c r="AK307" i="14"/>
  <c r="AL307" i="14"/>
  <c r="AK343" i="14"/>
  <c r="AL343" i="14"/>
  <c r="AK390" i="14"/>
  <c r="AL390" i="14"/>
  <c r="AK427" i="14"/>
  <c r="AL427" i="14"/>
  <c r="AK415" i="14"/>
  <c r="AL415" i="14"/>
  <c r="AK403" i="14"/>
  <c r="AL403" i="14"/>
  <c r="AL385" i="14"/>
  <c r="AK385" i="14"/>
  <c r="AK367" i="14"/>
  <c r="AL367" i="14"/>
  <c r="AK355" i="14"/>
  <c r="AL355" i="14"/>
  <c r="AL337" i="14"/>
  <c r="AK337" i="14"/>
  <c r="AL322" i="14"/>
  <c r="AK322" i="14"/>
  <c r="AL301" i="14"/>
  <c r="AK301" i="14"/>
  <c r="AK283" i="14"/>
  <c r="AL283" i="14"/>
  <c r="AL265" i="14"/>
  <c r="AK265" i="14"/>
  <c r="AL288" i="14"/>
  <c r="AK288" i="14"/>
  <c r="AK318" i="14"/>
  <c r="AL318" i="14"/>
  <c r="AK368" i="14"/>
  <c r="AL368" i="14"/>
  <c r="AK412" i="14"/>
  <c r="AL412" i="14"/>
  <c r="AK426" i="14"/>
  <c r="AL426" i="14"/>
  <c r="AK402" i="14"/>
  <c r="AL402" i="14"/>
  <c r="AK366" i="14"/>
  <c r="AL366" i="14"/>
  <c r="AK354" i="14"/>
  <c r="AL354" i="14"/>
  <c r="AL336" i="14"/>
  <c r="AK336" i="14"/>
  <c r="AK321" i="14"/>
  <c r="AL321" i="14"/>
  <c r="AL300" i="14"/>
  <c r="AK300" i="14"/>
  <c r="AK282" i="14"/>
  <c r="AL282" i="14"/>
  <c r="AK261" i="14"/>
  <c r="AL261" i="14"/>
  <c r="AL264" i="14"/>
  <c r="AK264" i="14"/>
  <c r="AK298" i="14"/>
  <c r="AL298" i="14"/>
  <c r="AK329" i="14"/>
  <c r="AL329" i="14"/>
  <c r="AK377" i="14"/>
  <c r="AL377" i="14"/>
  <c r="J95" i="15" l="1"/>
  <c r="BB234" i="14"/>
  <c r="BB233" i="14"/>
  <c r="BB232" i="14"/>
  <c r="BB231" i="14"/>
  <c r="AN11" i="14" l="1"/>
  <c r="AN12" i="14"/>
  <c r="AN13" i="14"/>
  <c r="AN14" i="14"/>
  <c r="AN15" i="14"/>
  <c r="AN16" i="14"/>
  <c r="AN17" i="14"/>
  <c r="AN18" i="14"/>
  <c r="AN19" i="14"/>
  <c r="AN20" i="14"/>
  <c r="AN21" i="14"/>
  <c r="AN22" i="14"/>
  <c r="AN23" i="14"/>
  <c r="AN24" i="14"/>
  <c r="AN25" i="14"/>
  <c r="AN26" i="14"/>
  <c r="AN27" i="14"/>
  <c r="AN28" i="14"/>
  <c r="AN29" i="14"/>
  <c r="AN30" i="14"/>
  <c r="AN31" i="14"/>
  <c r="AN32" i="14"/>
  <c r="AN33" i="14"/>
  <c r="AN34" i="14"/>
  <c r="AN35" i="14"/>
  <c r="AN36" i="14"/>
  <c r="AN37" i="14"/>
  <c r="AN38" i="14"/>
  <c r="AN39" i="14"/>
  <c r="AN40" i="14"/>
  <c r="AN41" i="14"/>
  <c r="AN42" i="14"/>
  <c r="AN43" i="14"/>
  <c r="AN44" i="14"/>
  <c r="AN45" i="14"/>
  <c r="AN46" i="14"/>
  <c r="AN47" i="14"/>
  <c r="AN48" i="14"/>
  <c r="AN49" i="14"/>
  <c r="AN50" i="14"/>
  <c r="AN51" i="14"/>
  <c r="AN52" i="14"/>
  <c r="AN53" i="14"/>
  <c r="AN54" i="14"/>
  <c r="AN55" i="14"/>
  <c r="AN56" i="14"/>
  <c r="AN57" i="14"/>
  <c r="AN58" i="14"/>
  <c r="AN59" i="14"/>
  <c r="AN60" i="14"/>
  <c r="AN61" i="14"/>
  <c r="AN62" i="14"/>
  <c r="AN63" i="14"/>
  <c r="AN64" i="14"/>
  <c r="AN65" i="14"/>
  <c r="AN66" i="14"/>
  <c r="AN67" i="14"/>
  <c r="AN68" i="14"/>
  <c r="AN69" i="14"/>
  <c r="AN70" i="14"/>
  <c r="AN71" i="14"/>
  <c r="AN72" i="14"/>
  <c r="AN73" i="14"/>
  <c r="AN74" i="14"/>
  <c r="AN75" i="14"/>
  <c r="AN76" i="14"/>
  <c r="AN77" i="14"/>
  <c r="AN78" i="14"/>
  <c r="AN79" i="14"/>
  <c r="AN80" i="14"/>
  <c r="AN81" i="14"/>
  <c r="AN82" i="14"/>
  <c r="AN83" i="14"/>
  <c r="AN84" i="14"/>
  <c r="AN85" i="14"/>
  <c r="AN86" i="14"/>
  <c r="AN87" i="14"/>
  <c r="AN88" i="14"/>
  <c r="AN89" i="14"/>
  <c r="AN90" i="14"/>
  <c r="AN91" i="14"/>
  <c r="AN92" i="14"/>
  <c r="AN93" i="14"/>
  <c r="AN94" i="14"/>
  <c r="AN95" i="14"/>
  <c r="AN96" i="14"/>
  <c r="AN97" i="14"/>
  <c r="AN98" i="14"/>
  <c r="AN99" i="14"/>
  <c r="AN100" i="14"/>
  <c r="AN101" i="14"/>
  <c r="AN102" i="14"/>
  <c r="AN103" i="14"/>
  <c r="AN104" i="14"/>
  <c r="AN105" i="14"/>
  <c r="AN106" i="14"/>
  <c r="AN107" i="14"/>
  <c r="AN108" i="14"/>
  <c r="AN109" i="14"/>
  <c r="AN110" i="14"/>
  <c r="AN111" i="14"/>
  <c r="AN112" i="14"/>
  <c r="AN113" i="14"/>
  <c r="AN114" i="14"/>
  <c r="AN115" i="14"/>
  <c r="AN116" i="14"/>
  <c r="AN117" i="14"/>
  <c r="AN118" i="14"/>
  <c r="AN119" i="14"/>
  <c r="AN120" i="14"/>
  <c r="AN121" i="14"/>
  <c r="AN122" i="14"/>
  <c r="AN123" i="14"/>
  <c r="AN124" i="14"/>
  <c r="AN125" i="14"/>
  <c r="AN126" i="14"/>
  <c r="AN127" i="14"/>
  <c r="AN128" i="14"/>
  <c r="AN129" i="14"/>
  <c r="AN130" i="14"/>
  <c r="AN131" i="14"/>
  <c r="AN132" i="14"/>
  <c r="AN133" i="14"/>
  <c r="AN134" i="14"/>
  <c r="AN135" i="14"/>
  <c r="AN136" i="14"/>
  <c r="AN137" i="14"/>
  <c r="AN138" i="14"/>
  <c r="AN139" i="14"/>
  <c r="AN140" i="14"/>
  <c r="AN141" i="14"/>
  <c r="AN142" i="14"/>
  <c r="AN143" i="14"/>
  <c r="AN144" i="14"/>
  <c r="AN145" i="14"/>
  <c r="AN146" i="14"/>
  <c r="AN147" i="14"/>
  <c r="AN148" i="14"/>
  <c r="AN149" i="14"/>
  <c r="AN150" i="14"/>
  <c r="AN151" i="14"/>
  <c r="AN152" i="14"/>
  <c r="AN153" i="14"/>
  <c r="AN154" i="14"/>
  <c r="AN155" i="14"/>
  <c r="AN156" i="14"/>
  <c r="AN157" i="14"/>
  <c r="AN158" i="14"/>
  <c r="AN159" i="14"/>
  <c r="AN160" i="14"/>
  <c r="AN161" i="14"/>
  <c r="AN162" i="14"/>
  <c r="AN163" i="14"/>
  <c r="AN164" i="14"/>
  <c r="AN165" i="14"/>
  <c r="AN166" i="14"/>
  <c r="AN167" i="14"/>
  <c r="AN168" i="14"/>
  <c r="AN169" i="14"/>
  <c r="AN170" i="14"/>
  <c r="AN171" i="14"/>
  <c r="AN172" i="14"/>
  <c r="AN173" i="14"/>
  <c r="AN174" i="14"/>
  <c r="AN175" i="14"/>
  <c r="AN176" i="14"/>
  <c r="AN177" i="14"/>
  <c r="AN178" i="14"/>
  <c r="AN179" i="14"/>
  <c r="AN180" i="14"/>
  <c r="AN181" i="14"/>
  <c r="AN182" i="14"/>
  <c r="AN183" i="14"/>
  <c r="AN184" i="14"/>
  <c r="AN185" i="14"/>
  <c r="AN186" i="14"/>
  <c r="AN187" i="14"/>
  <c r="AN188" i="14"/>
  <c r="AN189" i="14"/>
  <c r="AN190" i="14"/>
  <c r="AN191" i="14"/>
  <c r="AN192" i="14"/>
  <c r="AN193" i="14"/>
  <c r="AN194" i="14"/>
  <c r="AN195" i="14"/>
  <c r="AN196" i="14"/>
  <c r="AN197" i="14"/>
  <c r="AN198" i="14"/>
  <c r="AN199" i="14"/>
  <c r="AN200" i="14"/>
  <c r="AN201" i="14"/>
  <c r="AN202" i="14"/>
  <c r="AN203" i="14"/>
  <c r="AN204" i="14"/>
  <c r="AN205" i="14"/>
  <c r="AN206" i="14"/>
  <c r="AN207" i="14"/>
  <c r="AN208" i="14"/>
  <c r="AN209" i="14"/>
  <c r="AN210" i="14"/>
  <c r="AN211" i="14"/>
  <c r="AN212" i="14"/>
  <c r="AN213" i="14"/>
  <c r="AN214" i="14"/>
  <c r="AN215" i="14"/>
  <c r="AN216" i="14"/>
  <c r="AN217" i="14"/>
  <c r="AN218" i="14"/>
  <c r="AN219" i="14"/>
  <c r="AN220" i="14"/>
  <c r="AN221" i="14"/>
  <c r="AN222" i="14"/>
  <c r="AN223" i="14"/>
  <c r="AN224" i="14"/>
  <c r="AN225" i="14"/>
  <c r="AN226" i="14"/>
  <c r="AN227" i="14"/>
  <c r="AN228" i="14"/>
  <c r="AN229" i="14"/>
  <c r="AN230" i="14"/>
  <c r="AN231" i="14"/>
  <c r="AN232" i="14"/>
  <c r="AN233" i="14"/>
  <c r="AN234" i="14"/>
  <c r="AN235" i="14"/>
  <c r="AN236" i="14"/>
  <c r="AN237" i="14"/>
  <c r="AN238" i="14"/>
  <c r="AN239" i="14"/>
  <c r="AN240" i="14"/>
  <c r="AN241" i="14"/>
  <c r="AN242" i="14"/>
  <c r="AN10" i="14"/>
  <c r="AL228" i="14"/>
  <c r="AK228" i="14"/>
  <c r="AJ228" i="14"/>
  <c r="AH228" i="14"/>
  <c r="AF228" i="14"/>
  <c r="AB228" i="14"/>
  <c r="Z228" i="14"/>
  <c r="AL229" i="14"/>
  <c r="AK229" i="14"/>
  <c r="AJ229" i="14"/>
  <c r="AH229" i="14"/>
  <c r="AF229" i="14"/>
  <c r="AB229" i="14"/>
  <c r="Z229" i="14"/>
  <c r="AL230" i="14"/>
  <c r="AK230" i="14"/>
  <c r="AJ230" i="14"/>
  <c r="AH230" i="14"/>
  <c r="AF230" i="14"/>
  <c r="AB230" i="14"/>
  <c r="Z230" i="14"/>
  <c r="AL203" i="14"/>
  <c r="AK203" i="14"/>
  <c r="AJ203" i="14"/>
  <c r="AH203" i="14"/>
  <c r="AF203" i="14"/>
  <c r="AB203" i="14"/>
  <c r="Z203" i="14"/>
  <c r="AL204" i="14"/>
  <c r="AK204" i="14"/>
  <c r="AJ204" i="14"/>
  <c r="AH204" i="14"/>
  <c r="AF204" i="14"/>
  <c r="AB204" i="14"/>
  <c r="Z204" i="14"/>
  <c r="AL205" i="14"/>
  <c r="AK205" i="14"/>
  <c r="AJ205" i="14"/>
  <c r="AH205" i="14"/>
  <c r="AF205" i="14"/>
  <c r="AB205" i="14"/>
  <c r="Z205" i="14"/>
  <c r="AL67" i="14"/>
  <c r="AK67" i="14"/>
  <c r="AJ67" i="14"/>
  <c r="AH67" i="14"/>
  <c r="AF67" i="14"/>
  <c r="AB67" i="14"/>
  <c r="Z67" i="14"/>
  <c r="AL68" i="14"/>
  <c r="AK68" i="14"/>
  <c r="AJ68" i="14"/>
  <c r="AH68" i="14"/>
  <c r="AF68" i="14"/>
  <c r="AB68" i="14"/>
  <c r="Z68" i="14"/>
  <c r="AL69" i="14"/>
  <c r="AK69" i="14"/>
  <c r="AJ69" i="14"/>
  <c r="AH69" i="14"/>
  <c r="AF69" i="14"/>
  <c r="AB69" i="14"/>
  <c r="Z69" i="14"/>
  <c r="AL63" i="14"/>
  <c r="AK63" i="14"/>
  <c r="AJ63" i="14"/>
  <c r="AH63" i="14"/>
  <c r="AF63" i="14"/>
  <c r="AB63" i="14"/>
  <c r="Z63" i="14"/>
  <c r="AL64" i="14"/>
  <c r="AK64" i="14"/>
  <c r="AJ64" i="14"/>
  <c r="AH64" i="14"/>
  <c r="AF64" i="14"/>
  <c r="AB64" i="14"/>
  <c r="Z64" i="14"/>
  <c r="AL65" i="14"/>
  <c r="AK65" i="14"/>
  <c r="AJ65" i="14"/>
  <c r="AH65" i="14"/>
  <c r="AF65" i="14"/>
  <c r="AB65" i="14"/>
  <c r="Z65" i="14"/>
  <c r="AL59" i="14"/>
  <c r="AK59" i="14"/>
  <c r="AJ59" i="14"/>
  <c r="AH59" i="14"/>
  <c r="AF59" i="14"/>
  <c r="AB59" i="14"/>
  <c r="Z59" i="14"/>
  <c r="AL60" i="14"/>
  <c r="AK60" i="14"/>
  <c r="AJ60" i="14"/>
  <c r="AH60" i="14"/>
  <c r="AF60" i="14"/>
  <c r="AB60" i="14"/>
  <c r="Z60" i="14"/>
  <c r="AL61" i="14"/>
  <c r="AK61" i="14"/>
  <c r="AJ61" i="14"/>
  <c r="AH61" i="14"/>
  <c r="AF61" i="14"/>
  <c r="AB61" i="14"/>
  <c r="Z61" i="14"/>
  <c r="AL55" i="14"/>
  <c r="AK55" i="14"/>
  <c r="AJ55" i="14"/>
  <c r="AH55" i="14"/>
  <c r="AF55" i="14"/>
  <c r="AB55" i="14"/>
  <c r="Z55" i="14"/>
  <c r="AL56" i="14"/>
  <c r="AK56" i="14"/>
  <c r="AJ56" i="14"/>
  <c r="AH56" i="14"/>
  <c r="AF56" i="14"/>
  <c r="AB56" i="14"/>
  <c r="Z56" i="14"/>
  <c r="AL57" i="14"/>
  <c r="AK57" i="14"/>
  <c r="AJ57" i="14"/>
  <c r="AH57" i="14"/>
  <c r="AF57" i="14"/>
  <c r="AB57" i="14"/>
  <c r="Z57" i="14"/>
  <c r="AL51" i="14"/>
  <c r="AK51" i="14"/>
  <c r="AJ51" i="14"/>
  <c r="AH51" i="14"/>
  <c r="AF51" i="14"/>
  <c r="AB51" i="14"/>
  <c r="Z51" i="14"/>
  <c r="AL52" i="14"/>
  <c r="AK52" i="14"/>
  <c r="AJ52" i="14"/>
  <c r="AH52" i="14"/>
  <c r="AF52" i="14"/>
  <c r="AB52" i="14"/>
  <c r="Z52" i="14"/>
  <c r="AL53" i="14"/>
  <c r="AK53" i="14"/>
  <c r="AJ53" i="14"/>
  <c r="AH53" i="14"/>
  <c r="AF53" i="14"/>
  <c r="AB53" i="14"/>
  <c r="Z53" i="14"/>
  <c r="AL166" i="14"/>
  <c r="AK166" i="14"/>
  <c r="AJ166" i="14"/>
  <c r="AH166" i="14"/>
  <c r="AF166" i="14"/>
  <c r="AB166" i="14"/>
  <c r="Z166" i="14"/>
  <c r="AL167" i="14"/>
  <c r="AK167" i="14"/>
  <c r="AJ167" i="14"/>
  <c r="AH167" i="14"/>
  <c r="AF167" i="14"/>
  <c r="AB167" i="14"/>
  <c r="Z167" i="14"/>
  <c r="AL168" i="14"/>
  <c r="AK168" i="14"/>
  <c r="AJ168" i="14"/>
  <c r="AH168" i="14"/>
  <c r="AF168" i="14"/>
  <c r="AB168" i="14"/>
  <c r="Z168" i="14"/>
  <c r="AL162" i="14"/>
  <c r="AK162" i="14"/>
  <c r="AJ162" i="14"/>
  <c r="AH162" i="14"/>
  <c r="AF162" i="14"/>
  <c r="AB162" i="14"/>
  <c r="Z162" i="14"/>
  <c r="AL163" i="14"/>
  <c r="AK163" i="14"/>
  <c r="AJ163" i="14"/>
  <c r="AH163" i="14"/>
  <c r="AF163" i="14"/>
  <c r="AB163" i="14"/>
  <c r="Z163" i="14"/>
  <c r="AL165" i="14"/>
  <c r="AK165" i="14"/>
  <c r="AJ165" i="14"/>
  <c r="AH165" i="14"/>
  <c r="AF165" i="14"/>
  <c r="AB165" i="14"/>
  <c r="Z165" i="14"/>
  <c r="AL158" i="14"/>
  <c r="AK158" i="14"/>
  <c r="AJ158" i="14"/>
  <c r="AH158" i="14"/>
  <c r="AF158" i="14"/>
  <c r="AB158" i="14"/>
  <c r="Z158" i="14"/>
  <c r="AL159" i="14"/>
  <c r="AK159" i="14"/>
  <c r="AJ159" i="14"/>
  <c r="AH159" i="14"/>
  <c r="AF159" i="14"/>
  <c r="AB159" i="14"/>
  <c r="Z159" i="14"/>
  <c r="AL160" i="14"/>
  <c r="AK160" i="14"/>
  <c r="AJ160" i="14"/>
  <c r="AH160" i="14"/>
  <c r="AF160" i="14"/>
  <c r="AB160" i="14"/>
  <c r="Z160" i="14"/>
  <c r="AL154" i="14"/>
  <c r="AK154" i="14"/>
  <c r="AJ154" i="14"/>
  <c r="AH154" i="14"/>
  <c r="AF154" i="14"/>
  <c r="AB154" i="14"/>
  <c r="Z154" i="14"/>
  <c r="AL155" i="14"/>
  <c r="AK155" i="14"/>
  <c r="AJ155" i="14"/>
  <c r="AH155" i="14"/>
  <c r="AF155" i="14"/>
  <c r="AB155" i="14"/>
  <c r="Z155" i="14"/>
  <c r="AL156" i="14"/>
  <c r="AK156" i="14"/>
  <c r="AJ156" i="14"/>
  <c r="AH156" i="14"/>
  <c r="AF156" i="14"/>
  <c r="AB156" i="14"/>
  <c r="Z156" i="14"/>
  <c r="AL150" i="14"/>
  <c r="AK150" i="14"/>
  <c r="AJ150" i="14"/>
  <c r="AH150" i="14"/>
  <c r="AF150" i="14"/>
  <c r="AB150" i="14"/>
  <c r="Z150" i="14"/>
  <c r="AL151" i="14"/>
  <c r="AK151" i="14"/>
  <c r="AJ151" i="14"/>
  <c r="AH151" i="14"/>
  <c r="AF151" i="14"/>
  <c r="AB151" i="14"/>
  <c r="Z151" i="14"/>
  <c r="AL152" i="14"/>
  <c r="AK152" i="14"/>
  <c r="AJ152" i="14"/>
  <c r="AH152" i="14"/>
  <c r="AF152" i="14"/>
  <c r="AB152" i="14"/>
  <c r="Z152" i="14"/>
  <c r="AL147" i="14"/>
  <c r="AK147" i="14"/>
  <c r="AJ147" i="14"/>
  <c r="AH147" i="14"/>
  <c r="AF147" i="14"/>
  <c r="AB147" i="14"/>
  <c r="Z147" i="14"/>
  <c r="AL148" i="14"/>
  <c r="AK148" i="14"/>
  <c r="AJ148" i="14"/>
  <c r="AH148" i="14"/>
  <c r="AF148" i="14"/>
  <c r="AB148" i="14"/>
  <c r="Z148" i="14"/>
  <c r="AL149" i="14"/>
  <c r="AK149" i="14"/>
  <c r="AJ149" i="14"/>
  <c r="AH149" i="14"/>
  <c r="AF149" i="14"/>
  <c r="AB149" i="14"/>
  <c r="Z149" i="14"/>
  <c r="AL175" i="14"/>
  <c r="AK175" i="14"/>
  <c r="AJ175" i="14"/>
  <c r="AH175" i="14"/>
  <c r="AF175" i="14"/>
  <c r="AB175" i="14"/>
  <c r="Z175" i="14"/>
  <c r="AL176" i="14"/>
  <c r="AK176" i="14"/>
  <c r="AJ176" i="14"/>
  <c r="AH176" i="14"/>
  <c r="AF176" i="14"/>
  <c r="AB176" i="14"/>
  <c r="Z176" i="14"/>
  <c r="AL177" i="14"/>
  <c r="AK177" i="14"/>
  <c r="AJ177" i="14"/>
  <c r="AH177" i="14"/>
  <c r="AF177" i="14"/>
  <c r="AB177" i="14"/>
  <c r="Z177" i="14"/>
  <c r="AL143" i="14"/>
  <c r="AK143" i="14"/>
  <c r="AJ143" i="14"/>
  <c r="AH143" i="14"/>
  <c r="AF143" i="14"/>
  <c r="AB143" i="14"/>
  <c r="Z143" i="14"/>
  <c r="AL144" i="14"/>
  <c r="AK144" i="14"/>
  <c r="AJ144" i="14"/>
  <c r="AH144" i="14"/>
  <c r="AF144" i="14"/>
  <c r="AB144" i="14"/>
  <c r="Z144" i="14"/>
  <c r="AL145" i="14"/>
  <c r="AK145" i="14"/>
  <c r="AJ145" i="14"/>
  <c r="AH145" i="14"/>
  <c r="AF145" i="14"/>
  <c r="AB145" i="14"/>
  <c r="Z145" i="14"/>
  <c r="AL139" i="14"/>
  <c r="AK139" i="14"/>
  <c r="AJ139" i="14"/>
  <c r="AH139" i="14"/>
  <c r="AF139" i="14"/>
  <c r="AB139" i="14"/>
  <c r="Z139" i="14"/>
  <c r="AL140" i="14"/>
  <c r="AK140" i="14"/>
  <c r="AJ140" i="14"/>
  <c r="AH140" i="14"/>
  <c r="AF140" i="14"/>
  <c r="AB140" i="14"/>
  <c r="Z140" i="14"/>
  <c r="AL141" i="14"/>
  <c r="AK141" i="14"/>
  <c r="AJ141" i="14"/>
  <c r="AH141" i="14"/>
  <c r="AF141" i="14"/>
  <c r="AB141" i="14"/>
  <c r="Z141" i="14"/>
  <c r="AL135" i="14"/>
  <c r="AK135" i="14"/>
  <c r="AJ135" i="14"/>
  <c r="AH135" i="14"/>
  <c r="AF135" i="14"/>
  <c r="AB135" i="14"/>
  <c r="Z135" i="14"/>
  <c r="AL136" i="14"/>
  <c r="AK136" i="14"/>
  <c r="AJ136" i="14"/>
  <c r="AH136" i="14"/>
  <c r="AF136" i="14"/>
  <c r="AB136" i="14"/>
  <c r="Z136" i="14"/>
  <c r="AL137" i="14"/>
  <c r="AK137" i="14"/>
  <c r="AJ137" i="14"/>
  <c r="AH137" i="14"/>
  <c r="AF137" i="14"/>
  <c r="AB137" i="14"/>
  <c r="Z137" i="14"/>
  <c r="AL131" i="14"/>
  <c r="AK131" i="14"/>
  <c r="AJ131" i="14"/>
  <c r="AH131" i="14"/>
  <c r="AF131" i="14"/>
  <c r="AB131" i="14"/>
  <c r="Z131" i="14"/>
  <c r="AL132" i="14"/>
  <c r="AK132" i="14"/>
  <c r="AJ132" i="14"/>
  <c r="AH132" i="14"/>
  <c r="AF132" i="14"/>
  <c r="AB132" i="14"/>
  <c r="Z132" i="14"/>
  <c r="AL133" i="14"/>
  <c r="AK133" i="14"/>
  <c r="AJ133" i="14"/>
  <c r="AH133" i="14"/>
  <c r="AF133" i="14"/>
  <c r="AB133" i="14"/>
  <c r="Z133" i="14"/>
  <c r="AL127" i="14"/>
  <c r="AK127" i="14"/>
  <c r="AJ127" i="14"/>
  <c r="AH127" i="14"/>
  <c r="AF127" i="14"/>
  <c r="AB127" i="14"/>
  <c r="Z127" i="14"/>
  <c r="AL128" i="14"/>
  <c r="AK128" i="14"/>
  <c r="AJ128" i="14"/>
  <c r="AH128" i="14"/>
  <c r="AF128" i="14"/>
  <c r="AB128" i="14"/>
  <c r="Z128" i="14"/>
  <c r="AL129" i="14"/>
  <c r="AK129" i="14"/>
  <c r="AJ129" i="14"/>
  <c r="AH129" i="14"/>
  <c r="AF129" i="14"/>
  <c r="AB129" i="14"/>
  <c r="Z129" i="14"/>
  <c r="AL123" i="14"/>
  <c r="AK123" i="14"/>
  <c r="AJ123" i="14"/>
  <c r="AH123" i="14"/>
  <c r="AF123" i="14"/>
  <c r="AB123" i="14"/>
  <c r="Z123" i="14"/>
  <c r="AL124" i="14"/>
  <c r="AK124" i="14"/>
  <c r="AJ124" i="14"/>
  <c r="AH124" i="14"/>
  <c r="AF124" i="14"/>
  <c r="AB124" i="14"/>
  <c r="Z124" i="14"/>
  <c r="AL125" i="14"/>
  <c r="AK125" i="14"/>
  <c r="AJ125" i="14"/>
  <c r="AH125" i="14"/>
  <c r="AF125" i="14"/>
  <c r="AB125" i="14"/>
  <c r="Z125" i="14"/>
  <c r="AL119" i="14"/>
  <c r="AK119" i="14"/>
  <c r="AJ119" i="14"/>
  <c r="AH119" i="14"/>
  <c r="AF119" i="14"/>
  <c r="AB119" i="14"/>
  <c r="Z119" i="14"/>
  <c r="AL120" i="14"/>
  <c r="AK120" i="14"/>
  <c r="AJ120" i="14"/>
  <c r="AH120" i="14"/>
  <c r="AF120" i="14"/>
  <c r="AB120" i="14"/>
  <c r="Z120" i="14"/>
  <c r="AL121" i="14"/>
  <c r="AK121" i="14"/>
  <c r="AJ121" i="14"/>
  <c r="AH121" i="14"/>
  <c r="AF121" i="14"/>
  <c r="AB121" i="14"/>
  <c r="Z121" i="14"/>
  <c r="AL115" i="14"/>
  <c r="AK115" i="14"/>
  <c r="AJ115" i="14"/>
  <c r="AH115" i="14"/>
  <c r="AF115" i="14"/>
  <c r="AB115" i="14"/>
  <c r="Z115" i="14"/>
  <c r="AL116" i="14"/>
  <c r="AK116" i="14"/>
  <c r="AJ116" i="14"/>
  <c r="AH116" i="14"/>
  <c r="AF116" i="14"/>
  <c r="AB116" i="14"/>
  <c r="Z116" i="14"/>
  <c r="AL117" i="14"/>
  <c r="AK117" i="14"/>
  <c r="AJ117" i="14"/>
  <c r="AH117" i="14"/>
  <c r="AF117" i="14"/>
  <c r="AB117" i="14"/>
  <c r="Z117" i="14"/>
  <c r="AL110" i="14"/>
  <c r="AK110" i="14"/>
  <c r="AJ110" i="14"/>
  <c r="AH110" i="14"/>
  <c r="AF110" i="14"/>
  <c r="AB110" i="14"/>
  <c r="Z110" i="14"/>
  <c r="AL111" i="14"/>
  <c r="AK111" i="14"/>
  <c r="AJ111" i="14"/>
  <c r="AH111" i="14"/>
  <c r="AF111" i="14"/>
  <c r="AB111" i="14"/>
  <c r="Z111" i="14"/>
  <c r="AL112" i="14"/>
  <c r="AK112" i="14"/>
  <c r="AJ112" i="14"/>
  <c r="AH112" i="14"/>
  <c r="AF112" i="14"/>
  <c r="AB112" i="14"/>
  <c r="Z112" i="14"/>
  <c r="AL107" i="14"/>
  <c r="AK107" i="14"/>
  <c r="AJ107" i="14"/>
  <c r="AH107" i="14"/>
  <c r="AF107" i="14"/>
  <c r="AB107" i="14"/>
  <c r="Z107" i="14"/>
  <c r="AL108" i="14"/>
  <c r="AK108" i="14"/>
  <c r="AJ108" i="14"/>
  <c r="AH108" i="14"/>
  <c r="AF108" i="14"/>
  <c r="AB108" i="14"/>
  <c r="Z108" i="14"/>
  <c r="AL109" i="14"/>
  <c r="AK109" i="14"/>
  <c r="AJ109" i="14"/>
  <c r="AH109" i="14"/>
  <c r="AF109" i="14"/>
  <c r="AB109" i="14"/>
  <c r="Z109" i="14"/>
  <c r="AL48" i="14"/>
  <c r="AK48" i="14"/>
  <c r="AJ48" i="14"/>
  <c r="AH48" i="14"/>
  <c r="AF48" i="14"/>
  <c r="AB48" i="14"/>
  <c r="Z48" i="14"/>
  <c r="AL47" i="14"/>
  <c r="AK47" i="14"/>
  <c r="AJ47" i="14"/>
  <c r="AH47" i="14"/>
  <c r="AF47" i="14"/>
  <c r="AB47" i="14"/>
  <c r="Z47" i="14"/>
  <c r="AL49" i="14"/>
  <c r="AK49" i="14"/>
  <c r="AJ49" i="14"/>
  <c r="AH49" i="14"/>
  <c r="AF49" i="14"/>
  <c r="AB49" i="14"/>
  <c r="Z49" i="14"/>
  <c r="AL43" i="14"/>
  <c r="AK43" i="14"/>
  <c r="AJ43" i="14"/>
  <c r="AH43" i="14"/>
  <c r="AF43" i="14"/>
  <c r="AB43" i="14"/>
  <c r="Z43" i="14"/>
  <c r="AL44" i="14"/>
  <c r="AK44" i="14"/>
  <c r="AJ44" i="14"/>
  <c r="AH44" i="14"/>
  <c r="AF44" i="14"/>
  <c r="AB44" i="14"/>
  <c r="Z44" i="14"/>
  <c r="AL45" i="14"/>
  <c r="AK45" i="14"/>
  <c r="AJ45" i="14"/>
  <c r="AH45" i="14"/>
  <c r="AF45" i="14"/>
  <c r="AB45" i="14"/>
  <c r="Z45" i="14"/>
  <c r="AL38" i="14"/>
  <c r="AK38" i="14"/>
  <c r="AJ38" i="14"/>
  <c r="AH38" i="14"/>
  <c r="AF38" i="14"/>
  <c r="AB38" i="14"/>
  <c r="Z38" i="14"/>
  <c r="AL39" i="14"/>
  <c r="AK39" i="14"/>
  <c r="AJ39" i="14"/>
  <c r="AH39" i="14"/>
  <c r="AF39" i="14"/>
  <c r="AB39" i="14"/>
  <c r="Z39" i="14"/>
  <c r="AL40" i="14"/>
  <c r="AK40" i="14"/>
  <c r="AJ40" i="14"/>
  <c r="AH40" i="14"/>
  <c r="AF40" i="14"/>
  <c r="AB40" i="14"/>
  <c r="Z40" i="14"/>
  <c r="AL34" i="14"/>
  <c r="AK34" i="14"/>
  <c r="AJ34" i="14"/>
  <c r="AH34" i="14"/>
  <c r="AF34" i="14"/>
  <c r="AB34" i="14"/>
  <c r="Z34" i="14"/>
  <c r="AL35" i="14"/>
  <c r="AK35" i="14"/>
  <c r="AJ35" i="14"/>
  <c r="AH35" i="14"/>
  <c r="AF35" i="14"/>
  <c r="AB35" i="14"/>
  <c r="Z35" i="14"/>
  <c r="AL36" i="14"/>
  <c r="AK36" i="14"/>
  <c r="AJ36" i="14"/>
  <c r="AH36" i="14"/>
  <c r="AF36" i="14"/>
  <c r="AB36" i="14"/>
  <c r="Z36" i="14"/>
  <c r="AL30" i="14"/>
  <c r="AK30" i="14"/>
  <c r="AJ30" i="14"/>
  <c r="AH30" i="14"/>
  <c r="AF30" i="14"/>
  <c r="AB30" i="14"/>
  <c r="Z30" i="14"/>
  <c r="AL31" i="14"/>
  <c r="AK31" i="14"/>
  <c r="AJ31" i="14"/>
  <c r="AH31" i="14"/>
  <c r="AF31" i="14"/>
  <c r="AB31" i="14"/>
  <c r="Z31" i="14"/>
  <c r="AL32" i="14"/>
  <c r="AK32" i="14"/>
  <c r="AJ32" i="14"/>
  <c r="AH32" i="14"/>
  <c r="AF32" i="14"/>
  <c r="AB32" i="14"/>
  <c r="Z32" i="14"/>
  <c r="AL27" i="14"/>
  <c r="AK27" i="14"/>
  <c r="AJ27" i="14"/>
  <c r="AH27" i="14"/>
  <c r="AF27" i="14"/>
  <c r="AB27" i="14"/>
  <c r="Z27" i="14"/>
  <c r="AL28" i="14"/>
  <c r="AK28" i="14"/>
  <c r="AJ28" i="14"/>
  <c r="AH28" i="14"/>
  <c r="AF28" i="14"/>
  <c r="AB28" i="14"/>
  <c r="Z28" i="14"/>
  <c r="AL29" i="14"/>
  <c r="AK29" i="14"/>
  <c r="AJ29" i="14"/>
  <c r="AH29" i="14"/>
  <c r="AF29" i="14"/>
  <c r="AB29" i="14"/>
  <c r="Z29" i="14"/>
  <c r="AL23" i="14"/>
  <c r="AK23" i="14"/>
  <c r="AJ23" i="14"/>
  <c r="AH23" i="14"/>
  <c r="AF23" i="14"/>
  <c r="AB23" i="14"/>
  <c r="Z23" i="14"/>
  <c r="AL24" i="14"/>
  <c r="AK24" i="14"/>
  <c r="AJ24" i="14"/>
  <c r="AH24" i="14"/>
  <c r="AF24" i="14"/>
  <c r="AB24" i="14"/>
  <c r="Z24" i="14"/>
  <c r="AL25" i="14"/>
  <c r="AK25" i="14"/>
  <c r="AJ25" i="14"/>
  <c r="AH25" i="14"/>
  <c r="AF25" i="14"/>
  <c r="AB25" i="14"/>
  <c r="Z25" i="14"/>
  <c r="AL19" i="14"/>
  <c r="AK19" i="14"/>
  <c r="AJ19" i="14"/>
  <c r="AH19" i="14"/>
  <c r="AF19" i="14"/>
  <c r="AB19" i="14"/>
  <c r="Z19" i="14"/>
  <c r="AL20" i="14"/>
  <c r="AK20" i="14"/>
  <c r="AJ20" i="14"/>
  <c r="AH20" i="14"/>
  <c r="AF20" i="14"/>
  <c r="AB20" i="14"/>
  <c r="Z20" i="14"/>
  <c r="AL21" i="14"/>
  <c r="AK21" i="14"/>
  <c r="AJ21" i="14"/>
  <c r="AH21" i="14"/>
  <c r="AF21" i="14"/>
  <c r="AB21" i="14"/>
  <c r="Z21" i="14"/>
  <c r="AL15" i="14"/>
  <c r="AK15" i="14"/>
  <c r="AJ15" i="14"/>
  <c r="AH15" i="14"/>
  <c r="AF15" i="14"/>
  <c r="AB15" i="14"/>
  <c r="Z15" i="14"/>
  <c r="AL16" i="14"/>
  <c r="AK16" i="14"/>
  <c r="AJ16" i="14"/>
  <c r="AH16" i="14"/>
  <c r="AF16" i="14"/>
  <c r="AB16" i="14"/>
  <c r="Z16" i="14"/>
  <c r="AL17" i="14"/>
  <c r="AK17" i="14"/>
  <c r="AJ17" i="14"/>
  <c r="AH17" i="14"/>
  <c r="AF17" i="14"/>
  <c r="AB17" i="14"/>
  <c r="Z17" i="14"/>
  <c r="AL11" i="14"/>
  <c r="AK11" i="14"/>
  <c r="AJ11" i="14"/>
  <c r="AH11" i="14"/>
  <c r="AF11" i="14"/>
  <c r="AB11" i="14"/>
  <c r="Z11" i="14"/>
  <c r="AL12" i="14"/>
  <c r="AK12" i="14"/>
  <c r="AJ12" i="14"/>
  <c r="AH12" i="14"/>
  <c r="AF12" i="14"/>
  <c r="AB12" i="14"/>
  <c r="Z12" i="14"/>
  <c r="AL13" i="14"/>
  <c r="AK13" i="14"/>
  <c r="AJ13" i="14"/>
  <c r="AH13" i="14"/>
  <c r="AF13" i="14"/>
  <c r="AB13" i="14"/>
  <c r="Z13" i="14"/>
  <c r="K449" i="15" l="1"/>
  <c r="K573" i="15"/>
  <c r="K493" i="15"/>
  <c r="K458" i="15"/>
  <c r="K473" i="15"/>
  <c r="K552" i="15"/>
  <c r="K600" i="15"/>
  <c r="K648" i="15"/>
  <c r="K681" i="15"/>
  <c r="K729" i="15"/>
  <c r="K502" i="15"/>
  <c r="K454" i="15"/>
  <c r="K469" i="15"/>
  <c r="K486" i="15"/>
  <c r="K588" i="15"/>
  <c r="K636" i="15"/>
  <c r="K672" i="15"/>
  <c r="K720" i="15"/>
  <c r="K498" i="15"/>
  <c r="K867" i="15"/>
  <c r="K837" i="15"/>
  <c r="K546" i="15"/>
  <c r="K461" i="15"/>
  <c r="K476" i="15"/>
  <c r="K558" i="15"/>
  <c r="K609" i="15"/>
  <c r="K657" i="15"/>
  <c r="K690" i="15"/>
  <c r="K489" i="15"/>
  <c r="K505" i="15"/>
  <c r="K481" i="15"/>
  <c r="K467" i="15"/>
  <c r="K485" i="15"/>
  <c r="K582" i="15"/>
  <c r="K630" i="15"/>
  <c r="K666" i="15"/>
  <c r="K711" i="15"/>
  <c r="K496" i="15"/>
  <c r="K865" i="15"/>
  <c r="K466" i="15"/>
  <c r="K482" i="15"/>
  <c r="K576" i="15"/>
  <c r="K624" i="15"/>
  <c r="K756" i="15"/>
  <c r="K705" i="15"/>
  <c r="K494" i="15"/>
  <c r="K840" i="15"/>
  <c r="K753" i="15"/>
  <c r="K702" i="15"/>
  <c r="K452" i="15"/>
  <c r="K450" i="15"/>
  <c r="K457" i="15"/>
  <c r="K472" i="15"/>
  <c r="K549" i="15"/>
  <c r="K597" i="15"/>
  <c r="K645" i="15"/>
  <c r="K678" i="15"/>
  <c r="K726" i="15"/>
  <c r="K501" i="15"/>
  <c r="K480" i="15"/>
  <c r="K570" i="15"/>
  <c r="K618" i="15"/>
  <c r="K750" i="15"/>
  <c r="K699" i="15"/>
  <c r="K492" i="15"/>
  <c r="K834" i="15"/>
  <c r="K500" i="15"/>
  <c r="K448" i="15"/>
  <c r="K464" i="15"/>
  <c r="K462" i="15"/>
  <c r="K477" i="15"/>
  <c r="K561" i="15"/>
  <c r="K612" i="15"/>
  <c r="K660" i="15"/>
  <c r="K693" i="15"/>
  <c r="K490" i="15"/>
  <c r="K506" i="15"/>
  <c r="K471" i="15"/>
  <c r="K642" i="15"/>
  <c r="K675" i="15"/>
  <c r="K468" i="15"/>
  <c r="K484" i="15"/>
  <c r="K585" i="15"/>
  <c r="K633" i="15"/>
  <c r="K669" i="15"/>
  <c r="K714" i="15"/>
  <c r="K497" i="15"/>
  <c r="K866" i="15"/>
  <c r="K465" i="15"/>
  <c r="K621" i="15"/>
  <c r="K456" i="15"/>
  <c r="K594" i="15"/>
  <c r="K723" i="15"/>
  <c r="K453" i="15"/>
  <c r="K460" i="15"/>
  <c r="K475" i="15"/>
  <c r="K555" i="15"/>
  <c r="K606" i="15"/>
  <c r="K654" i="15"/>
  <c r="K687" i="15"/>
  <c r="K488" i="15"/>
  <c r="K504" i="15"/>
  <c r="B723" i="15"/>
  <c r="B298" i="15"/>
  <c r="K298" i="15"/>
  <c r="B8" i="15"/>
  <c r="B449" i="15"/>
  <c r="K8" i="15"/>
  <c r="I456" i="15"/>
  <c r="I15" i="15"/>
  <c r="B465" i="15"/>
  <c r="K24" i="15"/>
  <c r="B24" i="15"/>
  <c r="I471" i="15"/>
  <c r="I30" i="15"/>
  <c r="B481" i="15"/>
  <c r="B40" i="15"/>
  <c r="K40" i="15"/>
  <c r="I546" i="15"/>
  <c r="L548" i="15" s="1"/>
  <c r="V548" i="15" s="1"/>
  <c r="I121" i="15"/>
  <c r="L123" i="15" s="1"/>
  <c r="V123" i="15" s="1"/>
  <c r="B573" i="15"/>
  <c r="K148" i="15"/>
  <c r="B148" i="15"/>
  <c r="I594" i="15"/>
  <c r="L596" i="15" s="1"/>
  <c r="V596" i="15" s="1"/>
  <c r="I169" i="15"/>
  <c r="L171" i="15" s="1"/>
  <c r="V171" i="15" s="1"/>
  <c r="B621" i="15"/>
  <c r="K196" i="15"/>
  <c r="B196" i="15"/>
  <c r="I642" i="15"/>
  <c r="L644" i="15" s="1"/>
  <c r="V644" i="15" s="1"/>
  <c r="I217" i="15"/>
  <c r="L219" i="15" s="1"/>
  <c r="V219" i="15" s="1"/>
  <c r="B753" i="15"/>
  <c r="B328" i="15"/>
  <c r="K328" i="15"/>
  <c r="I675" i="15"/>
  <c r="L677" i="15" s="1"/>
  <c r="V677" i="15" s="1"/>
  <c r="I250" i="15"/>
  <c r="L252" i="15" s="1"/>
  <c r="V252" i="15" s="1"/>
  <c r="B702" i="15"/>
  <c r="B277" i="15"/>
  <c r="K277" i="15"/>
  <c r="I723" i="15"/>
  <c r="L725" i="15" s="1"/>
  <c r="V725" i="15" s="1"/>
  <c r="I298" i="15"/>
  <c r="L300" i="15" s="1"/>
  <c r="V300" i="15" s="1"/>
  <c r="B493" i="15"/>
  <c r="B52" i="15"/>
  <c r="K52" i="15"/>
  <c r="I500" i="15"/>
  <c r="I59" i="15"/>
  <c r="B837" i="15"/>
  <c r="K412" i="15"/>
  <c r="B412" i="15"/>
  <c r="I720" i="15"/>
  <c r="L722" i="15" s="1"/>
  <c r="V722" i="15" s="1"/>
  <c r="I295" i="15"/>
  <c r="L297" i="15" s="1"/>
  <c r="V297" i="15" s="1"/>
  <c r="I867" i="15"/>
  <c r="I442" i="15"/>
  <c r="B454" i="15"/>
  <c r="B13" i="15"/>
  <c r="K13" i="15"/>
  <c r="I461" i="15"/>
  <c r="I20" i="15"/>
  <c r="B469" i="15"/>
  <c r="B28" i="15"/>
  <c r="K28" i="15"/>
  <c r="I476" i="15"/>
  <c r="I35" i="15"/>
  <c r="B486" i="15"/>
  <c r="B45" i="15"/>
  <c r="K45" i="15"/>
  <c r="I558" i="15"/>
  <c r="L560" i="15" s="1"/>
  <c r="V560" i="15" s="1"/>
  <c r="I133" i="15"/>
  <c r="L135" i="15" s="1"/>
  <c r="V135" i="15" s="1"/>
  <c r="B588" i="15"/>
  <c r="B163" i="15"/>
  <c r="K163" i="15"/>
  <c r="I184" i="15"/>
  <c r="L186" i="15" s="1"/>
  <c r="V186" i="15" s="1"/>
  <c r="I609" i="15"/>
  <c r="L611" i="15" s="1"/>
  <c r="V611" i="15" s="1"/>
  <c r="B211" i="15"/>
  <c r="B636" i="15"/>
  <c r="K211" i="15"/>
  <c r="I657" i="15"/>
  <c r="L659" i="15" s="1"/>
  <c r="V659" i="15" s="1"/>
  <c r="I232" i="15"/>
  <c r="L234" i="15" s="1"/>
  <c r="V234" i="15" s="1"/>
  <c r="B247" i="15"/>
  <c r="B672" i="15"/>
  <c r="K247" i="15"/>
  <c r="I690" i="15"/>
  <c r="L692" i="15" s="1"/>
  <c r="V692" i="15" s="1"/>
  <c r="I265" i="15"/>
  <c r="L267" i="15" s="1"/>
  <c r="V267" i="15" s="1"/>
  <c r="B720" i="15"/>
  <c r="B295" i="15"/>
  <c r="K295" i="15"/>
  <c r="I489" i="15"/>
  <c r="I48" i="15"/>
  <c r="B498" i="15"/>
  <c r="B57" i="15"/>
  <c r="K57" i="15"/>
  <c r="I505" i="15"/>
  <c r="I64" i="15"/>
  <c r="B867" i="15"/>
  <c r="K442" i="15"/>
  <c r="B442" i="15"/>
  <c r="I636" i="15"/>
  <c r="L638" i="15" s="1"/>
  <c r="V638" i="15" s="1"/>
  <c r="I211" i="15"/>
  <c r="L213" i="15" s="1"/>
  <c r="V213" i="15" s="1"/>
  <c r="B642" i="15"/>
  <c r="B217" i="15"/>
  <c r="K217" i="15"/>
  <c r="I452" i="15"/>
  <c r="I11" i="15"/>
  <c r="B461" i="15"/>
  <c r="K20" i="15"/>
  <c r="B20" i="15"/>
  <c r="I467" i="15"/>
  <c r="I26" i="15"/>
  <c r="B476" i="15"/>
  <c r="B35" i="15"/>
  <c r="K35" i="15"/>
  <c r="I485" i="15"/>
  <c r="I44" i="15"/>
  <c r="B558" i="15"/>
  <c r="B133" i="15"/>
  <c r="K133" i="15"/>
  <c r="I582" i="15"/>
  <c r="L584" i="15" s="1"/>
  <c r="V584" i="15" s="1"/>
  <c r="I157" i="15"/>
  <c r="L159" i="15" s="1"/>
  <c r="V159" i="15" s="1"/>
  <c r="B609" i="15"/>
  <c r="B184" i="15"/>
  <c r="K184" i="15"/>
  <c r="I630" i="15"/>
  <c r="L632" i="15" s="1"/>
  <c r="V632" i="15" s="1"/>
  <c r="I205" i="15"/>
  <c r="L207" i="15" s="1"/>
  <c r="V207" i="15" s="1"/>
  <c r="B657" i="15"/>
  <c r="K232" i="15"/>
  <c r="B232" i="15"/>
  <c r="I666" i="15"/>
  <c r="L668" i="15" s="1"/>
  <c r="V668" i="15" s="1"/>
  <c r="I241" i="15"/>
  <c r="L243" i="15" s="1"/>
  <c r="V243" i="15" s="1"/>
  <c r="B690" i="15"/>
  <c r="B265" i="15"/>
  <c r="K265" i="15"/>
  <c r="I711" i="15"/>
  <c r="L713" i="15" s="1"/>
  <c r="V713" i="15" s="1"/>
  <c r="I286" i="15"/>
  <c r="L288" i="15" s="1"/>
  <c r="V288" i="15" s="1"/>
  <c r="B489" i="15"/>
  <c r="K48" i="15"/>
  <c r="B48" i="15"/>
  <c r="I496" i="15"/>
  <c r="I55" i="15"/>
  <c r="B505" i="15"/>
  <c r="K64" i="15"/>
  <c r="B64" i="15"/>
  <c r="I865" i="15"/>
  <c r="I440" i="15"/>
  <c r="B456" i="15"/>
  <c r="K15" i="15"/>
  <c r="B15" i="15"/>
  <c r="I486" i="15"/>
  <c r="I45" i="15"/>
  <c r="B546" i="15"/>
  <c r="B121" i="15"/>
  <c r="K121" i="15"/>
  <c r="B594" i="15"/>
  <c r="B169" i="15"/>
  <c r="K169" i="15"/>
  <c r="I450" i="15"/>
  <c r="I9" i="15"/>
  <c r="B452" i="15"/>
  <c r="B11" i="15"/>
  <c r="K11" i="15"/>
  <c r="I466" i="15"/>
  <c r="I25" i="15"/>
  <c r="B467" i="15"/>
  <c r="B26" i="15"/>
  <c r="K26" i="15"/>
  <c r="I482" i="15"/>
  <c r="I41" i="15"/>
  <c r="B485" i="15"/>
  <c r="K44" i="15"/>
  <c r="B44" i="15"/>
  <c r="I576" i="15"/>
  <c r="L578" i="15" s="1"/>
  <c r="V578" i="15" s="1"/>
  <c r="I151" i="15"/>
  <c r="L153" i="15" s="1"/>
  <c r="V153" i="15" s="1"/>
  <c r="B582" i="15"/>
  <c r="B157" i="15"/>
  <c r="K157" i="15"/>
  <c r="I624" i="15"/>
  <c r="L626" i="15" s="1"/>
  <c r="V626" i="15" s="1"/>
  <c r="I199" i="15"/>
  <c r="L201" i="15" s="1"/>
  <c r="V201" i="15" s="1"/>
  <c r="B630" i="15"/>
  <c r="B205" i="15"/>
  <c r="K205" i="15"/>
  <c r="I756" i="15"/>
  <c r="L758" i="15" s="1"/>
  <c r="V758" i="15" s="1"/>
  <c r="I331" i="15"/>
  <c r="L333" i="15" s="1"/>
  <c r="V333" i="15" s="1"/>
  <c r="B666" i="15"/>
  <c r="K241" i="15"/>
  <c r="B241" i="15"/>
  <c r="I705" i="15"/>
  <c r="L707" i="15" s="1"/>
  <c r="V707" i="15" s="1"/>
  <c r="I280" i="15"/>
  <c r="L282" i="15" s="1"/>
  <c r="V282" i="15" s="1"/>
  <c r="B286" i="15"/>
  <c r="B711" i="15"/>
  <c r="K286" i="15"/>
  <c r="I494" i="15"/>
  <c r="I53" i="15"/>
  <c r="B496" i="15"/>
  <c r="B55" i="15"/>
  <c r="K55" i="15"/>
  <c r="I840" i="15"/>
  <c r="L842" i="15" s="1"/>
  <c r="V842" i="15" s="1"/>
  <c r="I415" i="15"/>
  <c r="L417" i="15" s="1"/>
  <c r="V417" i="15" s="1"/>
  <c r="B440" i="15"/>
  <c r="B865" i="15"/>
  <c r="K440" i="15"/>
  <c r="B471" i="15"/>
  <c r="B30" i="15"/>
  <c r="K30" i="15"/>
  <c r="B9" i="15"/>
  <c r="B450" i="15"/>
  <c r="K9" i="15"/>
  <c r="I457" i="15"/>
  <c r="I16" i="15"/>
  <c r="B466" i="15"/>
  <c r="B25" i="15"/>
  <c r="K25" i="15"/>
  <c r="I472" i="15"/>
  <c r="I31" i="15"/>
  <c r="B482" i="15"/>
  <c r="B41" i="15"/>
  <c r="K41" i="15"/>
  <c r="I549" i="15"/>
  <c r="L551" i="15" s="1"/>
  <c r="V551" i="15" s="1"/>
  <c r="I124" i="15"/>
  <c r="L126" i="15" s="1"/>
  <c r="V126" i="15" s="1"/>
  <c r="B576" i="15"/>
  <c r="B151" i="15"/>
  <c r="K151" i="15"/>
  <c r="I597" i="15"/>
  <c r="L599" i="15" s="1"/>
  <c r="V599" i="15" s="1"/>
  <c r="I172" i="15"/>
  <c r="L174" i="15" s="1"/>
  <c r="V174" i="15" s="1"/>
  <c r="B624" i="15"/>
  <c r="B199" i="15"/>
  <c r="K199" i="15"/>
  <c r="I220" i="15"/>
  <c r="L222" i="15" s="1"/>
  <c r="V222" i="15" s="1"/>
  <c r="I645" i="15"/>
  <c r="L647" i="15" s="1"/>
  <c r="V647" i="15" s="1"/>
  <c r="B756" i="15"/>
  <c r="B331" i="15"/>
  <c r="K331" i="15"/>
  <c r="I678" i="15"/>
  <c r="L680" i="15" s="1"/>
  <c r="V680" i="15" s="1"/>
  <c r="I253" i="15"/>
  <c r="L255" i="15" s="1"/>
  <c r="V255" i="15" s="1"/>
  <c r="B705" i="15"/>
  <c r="K280" i="15"/>
  <c r="B280" i="15"/>
  <c r="I726" i="15"/>
  <c r="L728" i="15" s="1"/>
  <c r="V728" i="15" s="1"/>
  <c r="I301" i="15"/>
  <c r="L303" i="15" s="1"/>
  <c r="V303" i="15" s="1"/>
  <c r="B494" i="15"/>
  <c r="B53" i="15"/>
  <c r="K53" i="15"/>
  <c r="I501" i="15"/>
  <c r="I60" i="15"/>
  <c r="B840" i="15"/>
  <c r="K415" i="15"/>
  <c r="B415" i="15"/>
  <c r="I448" i="15"/>
  <c r="I7" i="15"/>
  <c r="B457" i="15"/>
  <c r="K16" i="15"/>
  <c r="B16" i="15"/>
  <c r="I464" i="15"/>
  <c r="I23" i="15"/>
  <c r="B472" i="15"/>
  <c r="B31" i="15"/>
  <c r="K31" i="15"/>
  <c r="I480" i="15"/>
  <c r="I39" i="15"/>
  <c r="B549" i="15"/>
  <c r="K124" i="15"/>
  <c r="B124" i="15"/>
  <c r="I570" i="15"/>
  <c r="L572" i="15" s="1"/>
  <c r="V572" i="15" s="1"/>
  <c r="I145" i="15"/>
  <c r="L147" i="15" s="1"/>
  <c r="V147" i="15" s="1"/>
  <c r="B597" i="15"/>
  <c r="K172" i="15"/>
  <c r="B172" i="15"/>
  <c r="I618" i="15"/>
  <c r="L620" i="15" s="1"/>
  <c r="V620" i="15" s="1"/>
  <c r="I193" i="15"/>
  <c r="L195" i="15" s="1"/>
  <c r="V195" i="15" s="1"/>
  <c r="B645" i="15"/>
  <c r="B220" i="15"/>
  <c r="K220" i="15"/>
  <c r="I750" i="15"/>
  <c r="L752" i="15" s="1"/>
  <c r="V752" i="15" s="1"/>
  <c r="I325" i="15"/>
  <c r="L327" i="15" s="1"/>
  <c r="V327" i="15" s="1"/>
  <c r="B678" i="15"/>
  <c r="B253" i="15"/>
  <c r="K253" i="15"/>
  <c r="I699" i="15"/>
  <c r="L701" i="15" s="1"/>
  <c r="V701" i="15" s="1"/>
  <c r="I274" i="15"/>
  <c r="L276" i="15" s="1"/>
  <c r="V276" i="15" s="1"/>
  <c r="B726" i="15"/>
  <c r="B301" i="15"/>
  <c r="K301" i="15"/>
  <c r="I492" i="15"/>
  <c r="I51" i="15"/>
  <c r="B501" i="15"/>
  <c r="K60" i="15"/>
  <c r="B60" i="15"/>
  <c r="I834" i="15"/>
  <c r="L836" i="15" s="1"/>
  <c r="V836" i="15" s="1"/>
  <c r="I409" i="15"/>
  <c r="L411" i="15" s="1"/>
  <c r="V411" i="15" s="1"/>
  <c r="B7" i="15"/>
  <c r="B448" i="15"/>
  <c r="K7" i="15"/>
  <c r="I462" i="15"/>
  <c r="I21" i="15"/>
  <c r="B464" i="15"/>
  <c r="B23" i="15"/>
  <c r="K23" i="15"/>
  <c r="I477" i="15"/>
  <c r="I36" i="15"/>
  <c r="B480" i="15"/>
  <c r="B39" i="15"/>
  <c r="K39" i="15"/>
  <c r="I561" i="15"/>
  <c r="L563" i="15" s="1"/>
  <c r="V563" i="15" s="1"/>
  <c r="I136" i="15"/>
  <c r="L138" i="15" s="1"/>
  <c r="V138" i="15" s="1"/>
  <c r="B570" i="15"/>
  <c r="K145" i="15"/>
  <c r="B145" i="15"/>
  <c r="I612" i="15"/>
  <c r="L614" i="15" s="1"/>
  <c r="V614" i="15" s="1"/>
  <c r="I187" i="15"/>
  <c r="L189" i="15" s="1"/>
  <c r="V189" i="15" s="1"/>
  <c r="B618" i="15"/>
  <c r="B193" i="15"/>
  <c r="K193" i="15"/>
  <c r="I660" i="15"/>
  <c r="L662" i="15" s="1"/>
  <c r="V662" i="15" s="1"/>
  <c r="I235" i="15"/>
  <c r="L237" i="15" s="1"/>
  <c r="V237" i="15" s="1"/>
  <c r="B750" i="15"/>
  <c r="K325" i="15"/>
  <c r="B325" i="15"/>
  <c r="I693" i="15"/>
  <c r="L695" i="15" s="1"/>
  <c r="V695" i="15" s="1"/>
  <c r="I268" i="15"/>
  <c r="L270" i="15" s="1"/>
  <c r="V270" i="15" s="1"/>
  <c r="B699" i="15"/>
  <c r="K274" i="15"/>
  <c r="B274" i="15"/>
  <c r="I490" i="15"/>
  <c r="I49" i="15"/>
  <c r="B492" i="15"/>
  <c r="B51" i="15"/>
  <c r="K51" i="15"/>
  <c r="I506" i="15"/>
  <c r="I65" i="15"/>
  <c r="B834" i="15"/>
  <c r="B409" i="15"/>
  <c r="K409" i="15"/>
  <c r="I469" i="15"/>
  <c r="I28" i="15"/>
  <c r="I468" i="15"/>
  <c r="I27" i="15"/>
  <c r="B477" i="15"/>
  <c r="B36" i="15"/>
  <c r="K36" i="15"/>
  <c r="I484" i="15"/>
  <c r="I43" i="15"/>
  <c r="B561" i="15"/>
  <c r="K136" i="15"/>
  <c r="B136" i="15"/>
  <c r="I585" i="15"/>
  <c r="L587" i="15" s="1"/>
  <c r="V587" i="15" s="1"/>
  <c r="I160" i="15"/>
  <c r="L162" i="15" s="1"/>
  <c r="V162" i="15" s="1"/>
  <c r="B612" i="15"/>
  <c r="B187" i="15"/>
  <c r="K187" i="15"/>
  <c r="I633" i="15"/>
  <c r="L635" i="15" s="1"/>
  <c r="V635" i="15" s="1"/>
  <c r="I208" i="15"/>
  <c r="L210" i="15" s="1"/>
  <c r="V210" i="15" s="1"/>
  <c r="B660" i="15"/>
  <c r="K235" i="15"/>
  <c r="B235" i="15"/>
  <c r="I669" i="15"/>
  <c r="L671" i="15" s="1"/>
  <c r="V671" i="15" s="1"/>
  <c r="I244" i="15"/>
  <c r="L246" i="15" s="1"/>
  <c r="V246" i="15" s="1"/>
  <c r="B693" i="15"/>
  <c r="K268" i="15"/>
  <c r="B268" i="15"/>
  <c r="I714" i="15"/>
  <c r="L716" i="15" s="1"/>
  <c r="V716" i="15" s="1"/>
  <c r="I289" i="15"/>
  <c r="L291" i="15" s="1"/>
  <c r="V291" i="15" s="1"/>
  <c r="B490" i="15"/>
  <c r="B49" i="15"/>
  <c r="K49" i="15"/>
  <c r="I497" i="15"/>
  <c r="I56" i="15"/>
  <c r="B65" i="15"/>
  <c r="B506" i="15"/>
  <c r="K65" i="15"/>
  <c r="I866" i="15"/>
  <c r="I441" i="15"/>
  <c r="I498" i="15"/>
  <c r="I57" i="15"/>
  <c r="B453" i="15"/>
  <c r="K12" i="15"/>
  <c r="B12" i="15"/>
  <c r="I460" i="15"/>
  <c r="I19" i="15"/>
  <c r="B27" i="15"/>
  <c r="K27" i="15"/>
  <c r="B468" i="15"/>
  <c r="I475" i="15"/>
  <c r="I34" i="15"/>
  <c r="B484" i="15"/>
  <c r="B43" i="15"/>
  <c r="K43" i="15"/>
  <c r="I555" i="15"/>
  <c r="L557" i="15" s="1"/>
  <c r="V557" i="15" s="1"/>
  <c r="I130" i="15"/>
  <c r="L132" i="15" s="1"/>
  <c r="V132" i="15" s="1"/>
  <c r="B585" i="15"/>
  <c r="K160" i="15"/>
  <c r="B160" i="15"/>
  <c r="I606" i="15"/>
  <c r="L608" i="15" s="1"/>
  <c r="V608" i="15" s="1"/>
  <c r="I181" i="15"/>
  <c r="L183" i="15" s="1"/>
  <c r="V183" i="15" s="1"/>
  <c r="B633" i="15"/>
  <c r="B208" i="15"/>
  <c r="K208" i="15"/>
  <c r="I654" i="15"/>
  <c r="L656" i="15" s="1"/>
  <c r="V656" i="15" s="1"/>
  <c r="I229" i="15"/>
  <c r="L231" i="15" s="1"/>
  <c r="V231" i="15" s="1"/>
  <c r="B669" i="15"/>
  <c r="B244" i="15"/>
  <c r="K244" i="15"/>
  <c r="I687" i="15"/>
  <c r="L689" i="15" s="1"/>
  <c r="V689" i="15" s="1"/>
  <c r="I262" i="15"/>
  <c r="L264" i="15" s="1"/>
  <c r="V264" i="15" s="1"/>
  <c r="B714" i="15"/>
  <c r="B289" i="15"/>
  <c r="K289" i="15"/>
  <c r="I488" i="15"/>
  <c r="I47" i="15"/>
  <c r="B497" i="15"/>
  <c r="K56" i="15"/>
  <c r="B56" i="15"/>
  <c r="I504" i="15"/>
  <c r="I63" i="15"/>
  <c r="K441" i="15"/>
  <c r="B866" i="15"/>
  <c r="B441" i="15"/>
  <c r="I453" i="15"/>
  <c r="I12" i="15"/>
  <c r="B462" i="15"/>
  <c r="B21" i="15"/>
  <c r="K21" i="15"/>
  <c r="I458" i="15"/>
  <c r="I17" i="15"/>
  <c r="B460" i="15"/>
  <c r="B19" i="15"/>
  <c r="K19" i="15"/>
  <c r="I473" i="15"/>
  <c r="I32" i="15"/>
  <c r="B475" i="15"/>
  <c r="B34" i="15"/>
  <c r="K34" i="15"/>
  <c r="I552" i="15"/>
  <c r="L554" i="15" s="1"/>
  <c r="V554" i="15" s="1"/>
  <c r="I127" i="15"/>
  <c r="L129" i="15" s="1"/>
  <c r="V129" i="15" s="1"/>
  <c r="B555" i="15"/>
  <c r="K130" i="15"/>
  <c r="B130" i="15"/>
  <c r="I600" i="15"/>
  <c r="L602" i="15" s="1"/>
  <c r="V602" i="15" s="1"/>
  <c r="I175" i="15"/>
  <c r="L177" i="15" s="1"/>
  <c r="V177" i="15" s="1"/>
  <c r="B606" i="15"/>
  <c r="B181" i="15"/>
  <c r="K181" i="15"/>
  <c r="I648" i="15"/>
  <c r="L650" i="15" s="1"/>
  <c r="V650" i="15" s="1"/>
  <c r="I223" i="15"/>
  <c r="L225" i="15" s="1"/>
  <c r="V225" i="15" s="1"/>
  <c r="B654" i="15"/>
  <c r="B229" i="15"/>
  <c r="K229" i="15"/>
  <c r="I681" i="15"/>
  <c r="L683" i="15" s="1"/>
  <c r="V683" i="15" s="1"/>
  <c r="I256" i="15"/>
  <c r="L258" i="15" s="1"/>
  <c r="V258" i="15" s="1"/>
  <c r="B687" i="15"/>
  <c r="B262" i="15"/>
  <c r="K262" i="15"/>
  <c r="I729" i="15"/>
  <c r="L731" i="15" s="1"/>
  <c r="V731" i="15" s="1"/>
  <c r="I304" i="15"/>
  <c r="L306" i="15" s="1"/>
  <c r="V306" i="15" s="1"/>
  <c r="B488" i="15"/>
  <c r="B47" i="15"/>
  <c r="K47" i="15"/>
  <c r="I502" i="15"/>
  <c r="I61" i="15"/>
  <c r="B504" i="15"/>
  <c r="K63" i="15"/>
  <c r="B63" i="15"/>
  <c r="I454" i="15"/>
  <c r="I13" i="15"/>
  <c r="I588" i="15"/>
  <c r="L590" i="15" s="1"/>
  <c r="V590" i="15" s="1"/>
  <c r="I163" i="15"/>
  <c r="L165" i="15" s="1"/>
  <c r="V165" i="15" s="1"/>
  <c r="I672" i="15"/>
  <c r="L674" i="15" s="1"/>
  <c r="V674" i="15" s="1"/>
  <c r="I247" i="15"/>
  <c r="L249" i="15" s="1"/>
  <c r="V249" i="15" s="1"/>
  <c r="B250" i="15"/>
  <c r="B675" i="15"/>
  <c r="K250" i="15"/>
  <c r="B500" i="15"/>
  <c r="B59" i="15"/>
  <c r="K59" i="15"/>
  <c r="I449" i="15"/>
  <c r="I8" i="15"/>
  <c r="B458" i="15"/>
  <c r="B17" i="15"/>
  <c r="K17" i="15"/>
  <c r="I465" i="15"/>
  <c r="I24" i="15"/>
  <c r="B473" i="15"/>
  <c r="K32" i="15"/>
  <c r="B32" i="15"/>
  <c r="I481" i="15"/>
  <c r="I40" i="15"/>
  <c r="B552" i="15"/>
  <c r="B127" i="15"/>
  <c r="K127" i="15"/>
  <c r="I148" i="15"/>
  <c r="L150" i="15" s="1"/>
  <c r="V150" i="15" s="1"/>
  <c r="I573" i="15"/>
  <c r="L575" i="15" s="1"/>
  <c r="V575" i="15" s="1"/>
  <c r="B600" i="15"/>
  <c r="B175" i="15"/>
  <c r="K175" i="15"/>
  <c r="I621" i="15"/>
  <c r="L623" i="15" s="1"/>
  <c r="V623" i="15" s="1"/>
  <c r="I196" i="15"/>
  <c r="L198" i="15" s="1"/>
  <c r="V198" i="15" s="1"/>
  <c r="B648" i="15"/>
  <c r="B223" i="15"/>
  <c r="K223" i="15"/>
  <c r="I753" i="15"/>
  <c r="L755" i="15" s="1"/>
  <c r="V755" i="15" s="1"/>
  <c r="I328" i="15"/>
  <c r="L330" i="15" s="1"/>
  <c r="V330" i="15" s="1"/>
  <c r="B681" i="15"/>
  <c r="B256" i="15"/>
  <c r="K256" i="15"/>
  <c r="I702" i="15"/>
  <c r="L704" i="15" s="1"/>
  <c r="V704" i="15" s="1"/>
  <c r="I277" i="15"/>
  <c r="L279" i="15" s="1"/>
  <c r="V279" i="15" s="1"/>
  <c r="B729" i="15"/>
  <c r="K304" i="15"/>
  <c r="B304" i="15"/>
  <c r="I493" i="15"/>
  <c r="I52" i="15"/>
  <c r="B502" i="15"/>
  <c r="B61" i="15"/>
  <c r="K61" i="15"/>
  <c r="I837" i="15"/>
  <c r="L839" i="15" s="1"/>
  <c r="V839" i="15" s="1"/>
  <c r="I412" i="15"/>
  <c r="L414" i="15" s="1"/>
  <c r="V414" i="15" s="1"/>
  <c r="AL14" i="14"/>
  <c r="AL18" i="14"/>
  <c r="AL22" i="14"/>
  <c r="AL26" i="14"/>
  <c r="AL33" i="14"/>
  <c r="AL37" i="14"/>
  <c r="AL41" i="14"/>
  <c r="AL42" i="14"/>
  <c r="AL46" i="14"/>
  <c r="AL50" i="14"/>
  <c r="AL54" i="14"/>
  <c r="AL58" i="14"/>
  <c r="AL62" i="14"/>
  <c r="AL66" i="14"/>
  <c r="AL70" i="14"/>
  <c r="AL71" i="14"/>
  <c r="AL72" i="14"/>
  <c r="AL73" i="14"/>
  <c r="AL74" i="14"/>
  <c r="AL75" i="14"/>
  <c r="AL76" i="14"/>
  <c r="AL77" i="14"/>
  <c r="AL78" i="14"/>
  <c r="AL79" i="14"/>
  <c r="AL80" i="14"/>
  <c r="AL81" i="14"/>
  <c r="AL82" i="14"/>
  <c r="AL83" i="14"/>
  <c r="AL84" i="14"/>
  <c r="AL85" i="14"/>
  <c r="AL86" i="14"/>
  <c r="AL87" i="14"/>
  <c r="AL88" i="14"/>
  <c r="AL89" i="14"/>
  <c r="AL90" i="14"/>
  <c r="AL91" i="14"/>
  <c r="AL92" i="14"/>
  <c r="AL93" i="14"/>
  <c r="AL94" i="14"/>
  <c r="AL95" i="14"/>
  <c r="AL96" i="14"/>
  <c r="AL97" i="14"/>
  <c r="AL98" i="14"/>
  <c r="AL99" i="14"/>
  <c r="AL100" i="14"/>
  <c r="AL101" i="14"/>
  <c r="AL102" i="14"/>
  <c r="AL103" i="14"/>
  <c r="AL104" i="14"/>
  <c r="AL105" i="14"/>
  <c r="AL106" i="14"/>
  <c r="AL113" i="14"/>
  <c r="AL114" i="14"/>
  <c r="AL118" i="14"/>
  <c r="AL122" i="14"/>
  <c r="AL126" i="14"/>
  <c r="AL130" i="14"/>
  <c r="AL134" i="14"/>
  <c r="AL138" i="14"/>
  <c r="AL142" i="14"/>
  <c r="AL146" i="14"/>
  <c r="AL153" i="14"/>
  <c r="AL157" i="14"/>
  <c r="AL161" i="14"/>
  <c r="AL164" i="14"/>
  <c r="AL169" i="14"/>
  <c r="AL170" i="14"/>
  <c r="AL171" i="14"/>
  <c r="AL172" i="14"/>
  <c r="AL173" i="14"/>
  <c r="AL174" i="14"/>
  <c r="AL178" i="14"/>
  <c r="AL179" i="14"/>
  <c r="AL180" i="14"/>
  <c r="AL181" i="14"/>
  <c r="AL182" i="14"/>
  <c r="AL183" i="14"/>
  <c r="AL184" i="14"/>
  <c r="AL185" i="14"/>
  <c r="AL186" i="14"/>
  <c r="AL187" i="14"/>
  <c r="AL188" i="14"/>
  <c r="AL189" i="14"/>
  <c r="AL190" i="14"/>
  <c r="AL191" i="14"/>
  <c r="AL192" i="14"/>
  <c r="AL193" i="14"/>
  <c r="AL194" i="14"/>
  <c r="AL195" i="14"/>
  <c r="AL196" i="14"/>
  <c r="AL197" i="14"/>
  <c r="AL198" i="14"/>
  <c r="AL199" i="14"/>
  <c r="AL200" i="14"/>
  <c r="AL201" i="14"/>
  <c r="AL202" i="14"/>
  <c r="AL206" i="14"/>
  <c r="AL207" i="14"/>
  <c r="AL208" i="14"/>
  <c r="AL209" i="14"/>
  <c r="AL210" i="14"/>
  <c r="AL211" i="14"/>
  <c r="AL212" i="14"/>
  <c r="AL213" i="14"/>
  <c r="AL214" i="14"/>
  <c r="AL215" i="14"/>
  <c r="AL216" i="14"/>
  <c r="AL217" i="14"/>
  <c r="AL218" i="14"/>
  <c r="AL219" i="14"/>
  <c r="AL220" i="14"/>
  <c r="AL221" i="14"/>
  <c r="AL222" i="14"/>
  <c r="AL223" i="14"/>
  <c r="AL224" i="14"/>
  <c r="AL225" i="14"/>
  <c r="AL226" i="14"/>
  <c r="AL227" i="14"/>
  <c r="AL231" i="14"/>
  <c r="AL232" i="14"/>
  <c r="AL233" i="14"/>
  <c r="AL234" i="14"/>
  <c r="AL235" i="14"/>
  <c r="AL236" i="14"/>
  <c r="AL237" i="14"/>
  <c r="AL238" i="14"/>
  <c r="AL239" i="14"/>
  <c r="AL240" i="14"/>
  <c r="AL241" i="14"/>
  <c r="AL242" i="14"/>
  <c r="AL10" i="14"/>
  <c r="AK14" i="14"/>
  <c r="AK18" i="14"/>
  <c r="AK22" i="14"/>
  <c r="AK26" i="14"/>
  <c r="AK33" i="14"/>
  <c r="AK37" i="14"/>
  <c r="AK41" i="14"/>
  <c r="AK42" i="14"/>
  <c r="AK46" i="14"/>
  <c r="AK50" i="14"/>
  <c r="AK54" i="14"/>
  <c r="AK58" i="14"/>
  <c r="AK62" i="14"/>
  <c r="AK66" i="14"/>
  <c r="AK70" i="14"/>
  <c r="AK71" i="14"/>
  <c r="AK72" i="14"/>
  <c r="AK73" i="14"/>
  <c r="AK74" i="14"/>
  <c r="AK75" i="14"/>
  <c r="AK76" i="14"/>
  <c r="AK77" i="14"/>
  <c r="AK78" i="14"/>
  <c r="AK79" i="14"/>
  <c r="AK80" i="14"/>
  <c r="AK81" i="14"/>
  <c r="AK82" i="14"/>
  <c r="AK83" i="14"/>
  <c r="AK84" i="14"/>
  <c r="AK85" i="14"/>
  <c r="AK86" i="14"/>
  <c r="AK87" i="14"/>
  <c r="AK88" i="14"/>
  <c r="AK89" i="14"/>
  <c r="AK90" i="14"/>
  <c r="AK91" i="14"/>
  <c r="AK92" i="14"/>
  <c r="AK93" i="14"/>
  <c r="AK94" i="14"/>
  <c r="AK95" i="14"/>
  <c r="AK96" i="14"/>
  <c r="AK97" i="14"/>
  <c r="AK98" i="14"/>
  <c r="AK99" i="14"/>
  <c r="AK100" i="14"/>
  <c r="AK101" i="14"/>
  <c r="AK102" i="14"/>
  <c r="AK103" i="14"/>
  <c r="AK104" i="14"/>
  <c r="AK105" i="14"/>
  <c r="AK106" i="14"/>
  <c r="AK113" i="14"/>
  <c r="AK114" i="14"/>
  <c r="AK118" i="14"/>
  <c r="AK122" i="14"/>
  <c r="AK126" i="14"/>
  <c r="AK130" i="14"/>
  <c r="AK134" i="14"/>
  <c r="AK138" i="14"/>
  <c r="AK142" i="14"/>
  <c r="AK146" i="14"/>
  <c r="AK153" i="14"/>
  <c r="AK157" i="14"/>
  <c r="AK161" i="14"/>
  <c r="AK164" i="14"/>
  <c r="AK169" i="14"/>
  <c r="AK170" i="14"/>
  <c r="AK171" i="14"/>
  <c r="AK172" i="14"/>
  <c r="AK173" i="14"/>
  <c r="AK174" i="14"/>
  <c r="AK178" i="14"/>
  <c r="AK179" i="14"/>
  <c r="AK180" i="14"/>
  <c r="AK181" i="14"/>
  <c r="AK182" i="14"/>
  <c r="AK183" i="14"/>
  <c r="AK184" i="14"/>
  <c r="AK185" i="14"/>
  <c r="AK186" i="14"/>
  <c r="AK187" i="14"/>
  <c r="AK188" i="14"/>
  <c r="AK189" i="14"/>
  <c r="AK190" i="14"/>
  <c r="AK191" i="14"/>
  <c r="AK192" i="14"/>
  <c r="AK193" i="14"/>
  <c r="AK194" i="14"/>
  <c r="AK195" i="14"/>
  <c r="AK196" i="14"/>
  <c r="AK197" i="14"/>
  <c r="AK198" i="14"/>
  <c r="AK199" i="14"/>
  <c r="AK200" i="14"/>
  <c r="AK201" i="14"/>
  <c r="AK202" i="14"/>
  <c r="AK206" i="14"/>
  <c r="AK207" i="14"/>
  <c r="AK208" i="14"/>
  <c r="AK209" i="14"/>
  <c r="AK210" i="14"/>
  <c r="AK211" i="14"/>
  <c r="AK212" i="14"/>
  <c r="AK213" i="14"/>
  <c r="AK214" i="14"/>
  <c r="AK215" i="14"/>
  <c r="AK216" i="14"/>
  <c r="AK217" i="14"/>
  <c r="AK218" i="14"/>
  <c r="AK219" i="14"/>
  <c r="AK220" i="14"/>
  <c r="AK221" i="14"/>
  <c r="AK222" i="14"/>
  <c r="AK223" i="14"/>
  <c r="AK224" i="14"/>
  <c r="AK225" i="14"/>
  <c r="AK226" i="14"/>
  <c r="AK227" i="14"/>
  <c r="AK231" i="14"/>
  <c r="AK232" i="14"/>
  <c r="AK233" i="14"/>
  <c r="AK234" i="14"/>
  <c r="AK235" i="14"/>
  <c r="AK236" i="14"/>
  <c r="AK237" i="14"/>
  <c r="AK238" i="14"/>
  <c r="AK239" i="14"/>
  <c r="AK240" i="14"/>
  <c r="AK241" i="14"/>
  <c r="AK242" i="14"/>
  <c r="AK10" i="14"/>
  <c r="K795" i="15" l="1"/>
  <c r="K792" i="15"/>
  <c r="K774" i="15"/>
  <c r="K529" i="15"/>
  <c r="K846" i="15"/>
  <c r="K771" i="15"/>
  <c r="K528" i="15"/>
  <c r="K508" i="15"/>
  <c r="K857" i="15"/>
  <c r="K804" i="15"/>
  <c r="K768" i="15"/>
  <c r="K543" i="15"/>
  <c r="K527" i="15"/>
  <c r="K507" i="15"/>
  <c r="K871" i="15"/>
  <c r="K844" i="15"/>
  <c r="K870" i="15"/>
  <c r="K855" i="15"/>
  <c r="K843" i="15"/>
  <c r="K798" i="15"/>
  <c r="K762" i="15"/>
  <c r="K663" i="15"/>
  <c r="K537" i="15"/>
  <c r="K517" i="15"/>
  <c r="K499" i="15"/>
  <c r="K451" i="15"/>
  <c r="K869" i="15"/>
  <c r="K828" i="15"/>
  <c r="K852" i="15"/>
  <c r="K627" i="15"/>
  <c r="K831" i="15"/>
  <c r="K853" i="15"/>
  <c r="K825" i="15"/>
  <c r="K744" i="15"/>
  <c r="K526" i="15"/>
  <c r="K487" i="15"/>
  <c r="K851" i="15"/>
  <c r="K786" i="15"/>
  <c r="K741" i="15"/>
  <c r="K615" i="15"/>
  <c r="K531" i="15"/>
  <c r="K525" i="15"/>
  <c r="K513" i="15"/>
  <c r="K483" i="15"/>
  <c r="K854" i="15"/>
  <c r="K516" i="15"/>
  <c r="K639" i="15"/>
  <c r="K864" i="15"/>
  <c r="K789" i="15"/>
  <c r="K534" i="15"/>
  <c r="K514" i="15"/>
  <c r="K863" i="15"/>
  <c r="K822" i="15"/>
  <c r="K862" i="15"/>
  <c r="K850" i="15"/>
  <c r="K819" i="15"/>
  <c r="K783" i="15"/>
  <c r="K738" i="15"/>
  <c r="K603" i="15"/>
  <c r="K524" i="15"/>
  <c r="K512" i="15"/>
  <c r="K479" i="15"/>
  <c r="K447" i="15"/>
  <c r="K491" i="15"/>
  <c r="K861" i="15"/>
  <c r="K849" i="15"/>
  <c r="K816" i="15"/>
  <c r="K780" i="15"/>
  <c r="K735" i="15"/>
  <c r="K591" i="15"/>
  <c r="K523" i="15"/>
  <c r="K511" i="15"/>
  <c r="K478" i="15"/>
  <c r="K759" i="15"/>
  <c r="K848" i="15"/>
  <c r="K813" i="15"/>
  <c r="K777" i="15"/>
  <c r="K732" i="15"/>
  <c r="K579" i="15"/>
  <c r="K530" i="15"/>
  <c r="K522" i="15"/>
  <c r="K510" i="15"/>
  <c r="K474" i="15"/>
  <c r="K860" i="15"/>
  <c r="K847" i="15"/>
  <c r="K567" i="15"/>
  <c r="K521" i="15"/>
  <c r="K509" i="15"/>
  <c r="K470" i="15"/>
  <c r="K651" i="15"/>
  <c r="K747" i="15"/>
  <c r="K810" i="15"/>
  <c r="K858" i="15"/>
  <c r="K564" i="15"/>
  <c r="K868" i="15"/>
  <c r="K515" i="15"/>
  <c r="K859" i="15"/>
  <c r="K717" i="15"/>
  <c r="K807" i="15"/>
  <c r="K708" i="15"/>
  <c r="K520" i="15"/>
  <c r="K463" i="15"/>
  <c r="K845" i="15"/>
  <c r="K696" i="15"/>
  <c r="K519" i="15"/>
  <c r="K495" i="15"/>
  <c r="K459" i="15"/>
  <c r="K856" i="15"/>
  <c r="K801" i="15"/>
  <c r="K765" i="15"/>
  <c r="K684" i="15"/>
  <c r="K540" i="15"/>
  <c r="K518" i="15"/>
  <c r="K503" i="15"/>
  <c r="K455" i="15"/>
  <c r="M15" i="15"/>
  <c r="D223" i="15"/>
  <c r="M223" i="15"/>
  <c r="M63" i="15"/>
  <c r="M687" i="15"/>
  <c r="D687" i="15"/>
  <c r="M19" i="15"/>
  <c r="M585" i="15"/>
  <c r="D585" i="15"/>
  <c r="D325" i="15"/>
  <c r="M325" i="15"/>
  <c r="M570" i="15"/>
  <c r="D570" i="15"/>
  <c r="D301" i="15"/>
  <c r="M301" i="15"/>
  <c r="M840" i="15"/>
  <c r="D840" i="15"/>
  <c r="D151" i="15"/>
  <c r="M151" i="15"/>
  <c r="M642" i="15"/>
  <c r="D642" i="15"/>
  <c r="M636" i="15"/>
  <c r="D636" i="15"/>
  <c r="M621" i="15"/>
  <c r="D621" i="15"/>
  <c r="D244" i="15"/>
  <c r="M244" i="15"/>
  <c r="M11" i="15"/>
  <c r="D277" i="15"/>
  <c r="M277" i="15"/>
  <c r="M32" i="15"/>
  <c r="M500" i="15"/>
  <c r="M504" i="15"/>
  <c r="M56" i="15"/>
  <c r="M669" i="15"/>
  <c r="D669" i="15"/>
  <c r="M49" i="15"/>
  <c r="M750" i="15"/>
  <c r="D750" i="15"/>
  <c r="M448" i="15"/>
  <c r="D172" i="15"/>
  <c r="M172" i="15"/>
  <c r="M472" i="15"/>
  <c r="D331" i="15"/>
  <c r="M331" i="15"/>
  <c r="M55" i="15"/>
  <c r="M44" i="15"/>
  <c r="M452" i="15"/>
  <c r="M476" i="15"/>
  <c r="D295" i="15"/>
  <c r="M295" i="15"/>
  <c r="M412" i="15"/>
  <c r="D412" i="15"/>
  <c r="M702" i="15"/>
  <c r="D702" i="15"/>
  <c r="M729" i="15"/>
  <c r="D729" i="15"/>
  <c r="M555" i="15"/>
  <c r="D555" i="15"/>
  <c r="M453" i="15"/>
  <c r="M490" i="15"/>
  <c r="M36" i="15"/>
  <c r="M51" i="15"/>
  <c r="M7" i="15"/>
  <c r="M756" i="15"/>
  <c r="D756" i="15"/>
  <c r="M450" i="15"/>
  <c r="M496" i="15"/>
  <c r="M456" i="15"/>
  <c r="D184" i="15"/>
  <c r="M184" i="15"/>
  <c r="M442" i="15"/>
  <c r="M720" i="15"/>
  <c r="D720" i="15"/>
  <c r="M28" i="15"/>
  <c r="D148" i="15"/>
  <c r="M148" i="15"/>
  <c r="M465" i="15"/>
  <c r="M648" i="15"/>
  <c r="D648" i="15"/>
  <c r="M24" i="15"/>
  <c r="M473" i="15"/>
  <c r="M675" i="15"/>
  <c r="D675" i="15"/>
  <c r="D229" i="15"/>
  <c r="M229" i="15"/>
  <c r="M497" i="15"/>
  <c r="M43" i="15"/>
  <c r="M477" i="15"/>
  <c r="M492" i="15"/>
  <c r="M39" i="15"/>
  <c r="M597" i="15"/>
  <c r="D597" i="15"/>
  <c r="M53" i="15"/>
  <c r="M9" i="15"/>
  <c r="M485" i="15"/>
  <c r="M609" i="15"/>
  <c r="D609" i="15"/>
  <c r="M469" i="15"/>
  <c r="M837" i="15"/>
  <c r="D837" i="15"/>
  <c r="M726" i="15"/>
  <c r="D726" i="15"/>
  <c r="M35" i="15"/>
  <c r="D175" i="15"/>
  <c r="M175" i="15"/>
  <c r="D250" i="15"/>
  <c r="M250" i="15"/>
  <c r="M654" i="15"/>
  <c r="D654" i="15"/>
  <c r="M21" i="15"/>
  <c r="M484" i="15"/>
  <c r="D187" i="15"/>
  <c r="M187" i="15"/>
  <c r="M480" i="15"/>
  <c r="D253" i="15"/>
  <c r="M253" i="15"/>
  <c r="M16" i="15"/>
  <c r="M494" i="15"/>
  <c r="M41" i="15"/>
  <c r="D205" i="15"/>
  <c r="M205" i="15"/>
  <c r="D265" i="15"/>
  <c r="M265" i="15"/>
  <c r="M20" i="15"/>
  <c r="M867" i="15"/>
  <c r="D163" i="15"/>
  <c r="M163" i="15"/>
  <c r="M573" i="15"/>
  <c r="D573" i="15"/>
  <c r="D304" i="15"/>
  <c r="M304" i="15"/>
  <c r="M130" i="15"/>
  <c r="D130" i="15"/>
  <c r="M12" i="15"/>
  <c r="M666" i="15"/>
  <c r="D666" i="15"/>
  <c r="M489" i="15"/>
  <c r="M600" i="15"/>
  <c r="D600" i="15"/>
  <c r="M47" i="15"/>
  <c r="M462" i="15"/>
  <c r="D208" i="15"/>
  <c r="M208" i="15"/>
  <c r="D268" i="15"/>
  <c r="M268" i="15"/>
  <c r="M612" i="15"/>
  <c r="D612" i="15"/>
  <c r="D193" i="15"/>
  <c r="M193" i="15"/>
  <c r="M60" i="15"/>
  <c r="M678" i="15"/>
  <c r="D678" i="15"/>
  <c r="M482" i="15"/>
  <c r="M30" i="15"/>
  <c r="M630" i="15"/>
  <c r="D630" i="15"/>
  <c r="D169" i="15"/>
  <c r="M169" i="15"/>
  <c r="M64" i="15"/>
  <c r="M690" i="15"/>
  <c r="D690" i="15"/>
  <c r="M588" i="15"/>
  <c r="D588" i="15"/>
  <c r="D328" i="15"/>
  <c r="M328" i="15"/>
  <c r="M59" i="15"/>
  <c r="M576" i="15"/>
  <c r="D576" i="15"/>
  <c r="D256" i="15"/>
  <c r="M256" i="15"/>
  <c r="M488" i="15"/>
  <c r="M34" i="15"/>
  <c r="M633" i="15"/>
  <c r="D633" i="15"/>
  <c r="D274" i="15"/>
  <c r="M274" i="15"/>
  <c r="M618" i="15"/>
  <c r="D618" i="15"/>
  <c r="D124" i="15"/>
  <c r="M124" i="15"/>
  <c r="M457" i="15"/>
  <c r="D199" i="15"/>
  <c r="M199" i="15"/>
  <c r="M471" i="15"/>
  <c r="M711" i="15"/>
  <c r="D711" i="15"/>
  <c r="M594" i="15"/>
  <c r="D594" i="15"/>
  <c r="M461" i="15"/>
  <c r="M672" i="15"/>
  <c r="D672" i="15"/>
  <c r="M753" i="15"/>
  <c r="D753" i="15"/>
  <c r="M449" i="15"/>
  <c r="M681" i="15"/>
  <c r="D681" i="15"/>
  <c r="M17" i="15"/>
  <c r="M475" i="15"/>
  <c r="D289" i="15"/>
  <c r="M289" i="15"/>
  <c r="M468" i="15"/>
  <c r="M693" i="15"/>
  <c r="D693" i="15"/>
  <c r="M501" i="15"/>
  <c r="D280" i="15"/>
  <c r="M280" i="15"/>
  <c r="M624" i="15"/>
  <c r="D624" i="15"/>
  <c r="D286" i="15"/>
  <c r="M286" i="15"/>
  <c r="M26" i="15"/>
  <c r="D26" i="15"/>
  <c r="M505" i="15"/>
  <c r="D133" i="15"/>
  <c r="M133" i="15"/>
  <c r="D247" i="15"/>
  <c r="M247" i="15"/>
  <c r="M13" i="15"/>
  <c r="M52" i="15"/>
  <c r="M8" i="15"/>
  <c r="M61" i="15"/>
  <c r="M458" i="15"/>
  <c r="D181" i="15"/>
  <c r="M181" i="15"/>
  <c r="M441" i="15"/>
  <c r="M714" i="15"/>
  <c r="D714" i="15"/>
  <c r="M506" i="15"/>
  <c r="D136" i="15"/>
  <c r="M136" i="15"/>
  <c r="M699" i="15"/>
  <c r="D699" i="15"/>
  <c r="M23" i="15"/>
  <c r="M549" i="15"/>
  <c r="D549" i="15"/>
  <c r="M865" i="15"/>
  <c r="M467" i="15"/>
  <c r="D467" i="15"/>
  <c r="D468" i="15" s="1"/>
  <c r="D469" i="15" s="1"/>
  <c r="D121" i="15"/>
  <c r="M121" i="15"/>
  <c r="D232" i="15"/>
  <c r="M232" i="15"/>
  <c r="M558" i="15"/>
  <c r="D558" i="15"/>
  <c r="M57" i="15"/>
  <c r="M454" i="15"/>
  <c r="M493" i="15"/>
  <c r="M40" i="15"/>
  <c r="M660" i="15"/>
  <c r="D660" i="15"/>
  <c r="M31" i="15"/>
  <c r="M502" i="15"/>
  <c r="D127" i="15"/>
  <c r="M127" i="15"/>
  <c r="M606" i="15"/>
  <c r="D606" i="15"/>
  <c r="M866" i="15"/>
  <c r="D160" i="15"/>
  <c r="M160" i="15"/>
  <c r="D27" i="15"/>
  <c r="D28" i="15" s="1"/>
  <c r="M27" i="15"/>
  <c r="M65" i="15"/>
  <c r="D409" i="15"/>
  <c r="M409" i="15"/>
  <c r="D145" i="15"/>
  <c r="M145" i="15"/>
  <c r="M464" i="15"/>
  <c r="D220" i="15"/>
  <c r="M220" i="15"/>
  <c r="D415" i="15"/>
  <c r="M415" i="15"/>
  <c r="M705" i="15"/>
  <c r="D705" i="15"/>
  <c r="M25" i="15"/>
  <c r="M440" i="15"/>
  <c r="D157" i="15"/>
  <c r="M157" i="15"/>
  <c r="M546" i="15"/>
  <c r="D546" i="15"/>
  <c r="M498" i="15"/>
  <c r="M45" i="15"/>
  <c r="D196" i="15"/>
  <c r="M196" i="15"/>
  <c r="M481" i="15"/>
  <c r="M298" i="15"/>
  <c r="D298" i="15"/>
  <c r="M460" i="15"/>
  <c r="D211" i="15"/>
  <c r="M211" i="15"/>
  <c r="M552" i="15"/>
  <c r="D552" i="15"/>
  <c r="D262" i="15"/>
  <c r="M262" i="15"/>
  <c r="D235" i="15"/>
  <c r="M235" i="15"/>
  <c r="M561" i="15"/>
  <c r="D561" i="15"/>
  <c r="M834" i="15"/>
  <c r="D834" i="15"/>
  <c r="M645" i="15"/>
  <c r="D645" i="15"/>
  <c r="M466" i="15"/>
  <c r="D241" i="15"/>
  <c r="M241" i="15"/>
  <c r="M582" i="15"/>
  <c r="D582" i="15"/>
  <c r="M48" i="15"/>
  <c r="M657" i="15"/>
  <c r="D657" i="15"/>
  <c r="D217" i="15"/>
  <c r="M217" i="15"/>
  <c r="M486" i="15"/>
  <c r="M723" i="15"/>
  <c r="D723" i="15"/>
  <c r="AJ169" i="14"/>
  <c r="AH169" i="14"/>
  <c r="AF169" i="14"/>
  <c r="AB169" i="14"/>
  <c r="Z169" i="14"/>
  <c r="AJ164" i="14"/>
  <c r="AH164" i="14"/>
  <c r="AF164" i="14"/>
  <c r="AB164" i="14"/>
  <c r="Z164" i="14"/>
  <c r="AJ161" i="14"/>
  <c r="AH161" i="14"/>
  <c r="AF161" i="14"/>
  <c r="AB161" i="14"/>
  <c r="Z161" i="14"/>
  <c r="AJ157" i="14"/>
  <c r="AH157" i="14"/>
  <c r="AF157" i="14"/>
  <c r="AB157" i="14"/>
  <c r="Z157" i="14"/>
  <c r="AJ153" i="14"/>
  <c r="AH153" i="14"/>
  <c r="AF153" i="14"/>
  <c r="AB153" i="14"/>
  <c r="Z153" i="14"/>
  <c r="AJ146" i="14"/>
  <c r="AH146" i="14"/>
  <c r="AF146" i="14"/>
  <c r="AB146" i="14"/>
  <c r="Z146" i="14"/>
  <c r="AJ142" i="14"/>
  <c r="AH142" i="14"/>
  <c r="AF142" i="14"/>
  <c r="AB142" i="14"/>
  <c r="Z142" i="14"/>
  <c r="AJ138" i="14"/>
  <c r="AH138" i="14"/>
  <c r="AF138" i="14"/>
  <c r="AB138" i="14"/>
  <c r="Z138" i="14"/>
  <c r="AJ242" i="14"/>
  <c r="AH242" i="14"/>
  <c r="AF242" i="14"/>
  <c r="AB242" i="14"/>
  <c r="Z242" i="14"/>
  <c r="AJ241" i="14"/>
  <c r="AH241" i="14"/>
  <c r="AF241" i="14"/>
  <c r="AB241" i="14"/>
  <c r="Z241" i="14"/>
  <c r="AJ240" i="14"/>
  <c r="AH240" i="14"/>
  <c r="AF240" i="14"/>
  <c r="AB240" i="14"/>
  <c r="Z240" i="14"/>
  <c r="AJ239" i="14"/>
  <c r="AH239" i="14"/>
  <c r="AF239" i="14"/>
  <c r="AB239" i="14"/>
  <c r="Z239" i="14"/>
  <c r="AJ238" i="14"/>
  <c r="AH238" i="14"/>
  <c r="AF238" i="14"/>
  <c r="AB238" i="14"/>
  <c r="Z238" i="14"/>
  <c r="AJ237" i="14"/>
  <c r="AH237" i="14"/>
  <c r="AF237" i="14"/>
  <c r="AB237" i="14"/>
  <c r="Z237" i="14"/>
  <c r="AJ236" i="14"/>
  <c r="AH236" i="14"/>
  <c r="AF236" i="14"/>
  <c r="AB236" i="14"/>
  <c r="Z236" i="14"/>
  <c r="AJ235" i="14"/>
  <c r="AH235" i="14"/>
  <c r="AF235" i="14"/>
  <c r="AB235" i="14"/>
  <c r="Z235" i="14"/>
  <c r="AJ234" i="14"/>
  <c r="AH234" i="14"/>
  <c r="AF234" i="14"/>
  <c r="AB234" i="14"/>
  <c r="Z234" i="14"/>
  <c r="AJ233" i="14"/>
  <c r="AH233" i="14"/>
  <c r="AF233" i="14"/>
  <c r="AB233" i="14"/>
  <c r="Z233" i="14"/>
  <c r="AJ232" i="14"/>
  <c r="AH232" i="14"/>
  <c r="AF232" i="14"/>
  <c r="AB232" i="14"/>
  <c r="Z232" i="14"/>
  <c r="AJ231" i="14"/>
  <c r="AH231" i="14"/>
  <c r="AF231" i="14"/>
  <c r="AB231" i="14"/>
  <c r="Z231" i="14"/>
  <c r="AJ227" i="14"/>
  <c r="AH227" i="14"/>
  <c r="AF227" i="14"/>
  <c r="AB227" i="14"/>
  <c r="Z227" i="14"/>
  <c r="AJ226" i="14"/>
  <c r="AH226" i="14"/>
  <c r="AF226" i="14"/>
  <c r="AB226" i="14"/>
  <c r="Z226" i="14"/>
  <c r="AJ225" i="14"/>
  <c r="AH225" i="14"/>
  <c r="AF225" i="14"/>
  <c r="AB225" i="14"/>
  <c r="Z225" i="14"/>
  <c r="AJ224" i="14"/>
  <c r="AH224" i="14"/>
  <c r="AF224" i="14"/>
  <c r="AB224" i="14"/>
  <c r="Z224" i="14"/>
  <c r="AJ223" i="14"/>
  <c r="AH223" i="14"/>
  <c r="AF223" i="14"/>
  <c r="AB223" i="14"/>
  <c r="Z223" i="14"/>
  <c r="AJ222" i="14"/>
  <c r="AH222" i="14"/>
  <c r="AF222" i="14"/>
  <c r="AB222" i="14"/>
  <c r="Z222" i="14"/>
  <c r="AJ221" i="14"/>
  <c r="AH221" i="14"/>
  <c r="AF221" i="14"/>
  <c r="AB221" i="14"/>
  <c r="Z221" i="14"/>
  <c r="AJ220" i="14"/>
  <c r="AH220" i="14"/>
  <c r="AF220" i="14"/>
  <c r="AB220" i="14"/>
  <c r="Z220" i="14"/>
  <c r="AJ219" i="14"/>
  <c r="AH219" i="14"/>
  <c r="AF219" i="14"/>
  <c r="AB219" i="14"/>
  <c r="Z219" i="14"/>
  <c r="AJ218" i="14"/>
  <c r="AH218" i="14"/>
  <c r="AF218" i="14"/>
  <c r="AB218" i="14"/>
  <c r="Z218" i="14"/>
  <c r="AJ217" i="14"/>
  <c r="AH217" i="14"/>
  <c r="AF217" i="14"/>
  <c r="AB217" i="14"/>
  <c r="Z217" i="14"/>
  <c r="AJ216" i="14"/>
  <c r="AH216" i="14"/>
  <c r="AF216" i="14"/>
  <c r="AB216" i="14"/>
  <c r="Z216" i="14"/>
  <c r="AJ215" i="14"/>
  <c r="AH215" i="14"/>
  <c r="AF215" i="14"/>
  <c r="AB215" i="14"/>
  <c r="Z215" i="14"/>
  <c r="AJ214" i="14"/>
  <c r="AH214" i="14"/>
  <c r="AF214" i="14"/>
  <c r="AB214" i="14"/>
  <c r="Z214" i="14"/>
  <c r="AJ213" i="14"/>
  <c r="AH213" i="14"/>
  <c r="AF213" i="14"/>
  <c r="AB213" i="14"/>
  <c r="Z213" i="14"/>
  <c r="AJ212" i="14"/>
  <c r="AH212" i="14"/>
  <c r="AF212" i="14"/>
  <c r="AB212" i="14"/>
  <c r="Z212" i="14"/>
  <c r="AJ211" i="14"/>
  <c r="AH211" i="14"/>
  <c r="AF211" i="14"/>
  <c r="AB211" i="14"/>
  <c r="Z211" i="14"/>
  <c r="AJ210" i="14"/>
  <c r="AH210" i="14"/>
  <c r="AF210" i="14"/>
  <c r="AB210" i="14"/>
  <c r="Z210" i="14"/>
  <c r="AJ209" i="14"/>
  <c r="AH209" i="14"/>
  <c r="AF209" i="14"/>
  <c r="AB209" i="14"/>
  <c r="Z209" i="14"/>
  <c r="AJ208" i="14"/>
  <c r="AH208" i="14"/>
  <c r="AF208" i="14"/>
  <c r="AB208" i="14"/>
  <c r="Z208" i="14"/>
  <c r="AJ207" i="14"/>
  <c r="AH207" i="14"/>
  <c r="AF207" i="14"/>
  <c r="AB207" i="14"/>
  <c r="Z207" i="14"/>
  <c r="AJ206" i="14"/>
  <c r="AH206" i="14"/>
  <c r="AF206" i="14"/>
  <c r="AB206" i="14"/>
  <c r="Z206" i="14"/>
  <c r="AJ202" i="14"/>
  <c r="AH202" i="14"/>
  <c r="AF202" i="14"/>
  <c r="AB202" i="14"/>
  <c r="Z202" i="14"/>
  <c r="AJ201" i="14"/>
  <c r="AH201" i="14"/>
  <c r="AF201" i="14"/>
  <c r="AB201" i="14"/>
  <c r="Z201" i="14"/>
  <c r="AJ200" i="14"/>
  <c r="AH200" i="14"/>
  <c r="AF200" i="14"/>
  <c r="AB200" i="14"/>
  <c r="Z200" i="14"/>
  <c r="AJ199" i="14"/>
  <c r="AH199" i="14"/>
  <c r="AF199" i="14"/>
  <c r="AB199" i="14"/>
  <c r="Z199" i="14"/>
  <c r="AJ198" i="14"/>
  <c r="AH198" i="14"/>
  <c r="AF198" i="14"/>
  <c r="AB198" i="14"/>
  <c r="Z198" i="14"/>
  <c r="AJ197" i="14"/>
  <c r="AH197" i="14"/>
  <c r="AF197" i="14"/>
  <c r="AB197" i="14"/>
  <c r="Z197" i="14"/>
  <c r="AJ196" i="14"/>
  <c r="AH196" i="14"/>
  <c r="AF196" i="14"/>
  <c r="AB196" i="14"/>
  <c r="Z196" i="14"/>
  <c r="AJ195" i="14"/>
  <c r="AH195" i="14"/>
  <c r="AF195" i="14"/>
  <c r="AB195" i="14"/>
  <c r="Z195" i="14"/>
  <c r="AJ194" i="14"/>
  <c r="AH194" i="14"/>
  <c r="AF194" i="14"/>
  <c r="AB194" i="14"/>
  <c r="Z194" i="14"/>
  <c r="AJ193" i="14"/>
  <c r="AH193" i="14"/>
  <c r="AF193" i="14"/>
  <c r="AB193" i="14"/>
  <c r="Z193" i="14"/>
  <c r="AJ192" i="14"/>
  <c r="AH192" i="14"/>
  <c r="AF192" i="14"/>
  <c r="AB192" i="14"/>
  <c r="Z192" i="14"/>
  <c r="AJ191" i="14"/>
  <c r="AH191" i="14"/>
  <c r="AF191" i="14"/>
  <c r="AB191" i="14"/>
  <c r="Z191" i="14"/>
  <c r="AJ190" i="14"/>
  <c r="AH190" i="14"/>
  <c r="AF190" i="14"/>
  <c r="AB190" i="14"/>
  <c r="Z190" i="14"/>
  <c r="AJ189" i="14"/>
  <c r="AH189" i="14"/>
  <c r="AF189" i="14"/>
  <c r="AB189" i="14"/>
  <c r="Z189" i="14"/>
  <c r="AJ188" i="14"/>
  <c r="AH188" i="14"/>
  <c r="AF188" i="14"/>
  <c r="AB188" i="14"/>
  <c r="Z188" i="14"/>
  <c r="AJ187" i="14"/>
  <c r="AH187" i="14"/>
  <c r="AF187" i="14"/>
  <c r="AB187" i="14"/>
  <c r="Z187" i="14"/>
  <c r="AJ186" i="14"/>
  <c r="AH186" i="14"/>
  <c r="AF186" i="14"/>
  <c r="AB186" i="14"/>
  <c r="Z186" i="14"/>
  <c r="AJ185" i="14"/>
  <c r="AH185" i="14"/>
  <c r="AF185" i="14"/>
  <c r="AB185" i="14"/>
  <c r="Z185" i="14"/>
  <c r="AJ184" i="14"/>
  <c r="AH184" i="14"/>
  <c r="AF184" i="14"/>
  <c r="AB184" i="14"/>
  <c r="Z184" i="14"/>
  <c r="AJ183" i="14"/>
  <c r="AH183" i="14"/>
  <c r="AF183" i="14"/>
  <c r="AB183" i="14"/>
  <c r="Z183" i="14"/>
  <c r="AJ182" i="14"/>
  <c r="AH182" i="14"/>
  <c r="AF182" i="14"/>
  <c r="AB182" i="14"/>
  <c r="Z182" i="14"/>
  <c r="AJ181" i="14"/>
  <c r="AH181" i="14"/>
  <c r="AF181" i="14"/>
  <c r="AB181" i="14"/>
  <c r="Z181" i="14"/>
  <c r="AJ180" i="14"/>
  <c r="AH180" i="14"/>
  <c r="AF180" i="14"/>
  <c r="AB180" i="14"/>
  <c r="Z180" i="14"/>
  <c r="AJ179" i="14"/>
  <c r="AH179" i="14"/>
  <c r="AF179" i="14"/>
  <c r="AB179" i="14"/>
  <c r="Z179" i="14"/>
  <c r="AJ178" i="14"/>
  <c r="AH178" i="14"/>
  <c r="AF178" i="14"/>
  <c r="AB178" i="14"/>
  <c r="Z178" i="14"/>
  <c r="AJ174" i="14"/>
  <c r="AH174" i="14"/>
  <c r="AF174" i="14"/>
  <c r="AB174" i="14"/>
  <c r="Z174" i="14"/>
  <c r="AJ173" i="14"/>
  <c r="AH173" i="14"/>
  <c r="AF173" i="14"/>
  <c r="AB173" i="14"/>
  <c r="Z173" i="14"/>
  <c r="AJ172" i="14"/>
  <c r="AH172" i="14"/>
  <c r="AF172" i="14"/>
  <c r="AB172" i="14"/>
  <c r="Z172" i="14"/>
  <c r="AJ171" i="14"/>
  <c r="AH171" i="14"/>
  <c r="AF171" i="14"/>
  <c r="AB171" i="14"/>
  <c r="Z171" i="14"/>
  <c r="AJ170" i="14"/>
  <c r="AH170" i="14"/>
  <c r="AF170" i="14"/>
  <c r="AB170" i="14"/>
  <c r="Z170" i="14"/>
  <c r="AJ134" i="14"/>
  <c r="AH134" i="14"/>
  <c r="AF134" i="14"/>
  <c r="AB134" i="14"/>
  <c r="Z134" i="14"/>
  <c r="AJ130" i="14"/>
  <c r="AH130" i="14"/>
  <c r="AF130" i="14"/>
  <c r="AB130" i="14"/>
  <c r="Z130" i="14"/>
  <c r="AJ126" i="14"/>
  <c r="AH126" i="14"/>
  <c r="AF126" i="14"/>
  <c r="AB126" i="14"/>
  <c r="Z126" i="14"/>
  <c r="AJ122" i="14"/>
  <c r="AH122" i="14"/>
  <c r="AF122" i="14"/>
  <c r="AB122" i="14"/>
  <c r="Z122" i="14"/>
  <c r="AJ118" i="14"/>
  <c r="AH118" i="14"/>
  <c r="AF118" i="14"/>
  <c r="AB118" i="14"/>
  <c r="Z118" i="14"/>
  <c r="AJ114" i="14"/>
  <c r="AH114" i="14"/>
  <c r="AF114" i="14"/>
  <c r="AB114" i="14"/>
  <c r="Z114" i="14"/>
  <c r="AJ113" i="14"/>
  <c r="AH113" i="14"/>
  <c r="AF113" i="14"/>
  <c r="AB113" i="14"/>
  <c r="Z113" i="14"/>
  <c r="AJ106" i="14"/>
  <c r="AH106" i="14"/>
  <c r="AF106" i="14"/>
  <c r="AB106" i="14"/>
  <c r="Z106" i="14"/>
  <c r="AJ105" i="14"/>
  <c r="AH105" i="14"/>
  <c r="AF105" i="14"/>
  <c r="AB105" i="14"/>
  <c r="Z105" i="14"/>
  <c r="AJ104" i="14"/>
  <c r="AH104" i="14"/>
  <c r="AF104" i="14"/>
  <c r="AB104" i="14"/>
  <c r="Z104" i="14"/>
  <c r="AJ103" i="14"/>
  <c r="AH103" i="14"/>
  <c r="AF103" i="14"/>
  <c r="AB103" i="14"/>
  <c r="Z103" i="14"/>
  <c r="AJ102" i="14"/>
  <c r="AH102" i="14"/>
  <c r="AF102" i="14"/>
  <c r="AB102" i="14"/>
  <c r="Z102" i="14"/>
  <c r="AJ101" i="14"/>
  <c r="AH101" i="14"/>
  <c r="AF101" i="14"/>
  <c r="AB101" i="14"/>
  <c r="Z101" i="14"/>
  <c r="AJ100" i="14"/>
  <c r="AH100" i="14"/>
  <c r="AF100" i="14"/>
  <c r="AB100" i="14"/>
  <c r="Z100" i="14"/>
  <c r="AJ99" i="14"/>
  <c r="AH99" i="14"/>
  <c r="AF99" i="14"/>
  <c r="AB99" i="14"/>
  <c r="Z99" i="14"/>
  <c r="AJ98" i="14"/>
  <c r="AH98" i="14"/>
  <c r="AF98" i="14"/>
  <c r="AB98" i="14"/>
  <c r="Z98" i="14"/>
  <c r="AJ97" i="14"/>
  <c r="AH97" i="14"/>
  <c r="AF97" i="14"/>
  <c r="AB97" i="14"/>
  <c r="Z97" i="14"/>
  <c r="AJ96" i="14"/>
  <c r="AH96" i="14"/>
  <c r="AF96" i="14"/>
  <c r="AB96" i="14"/>
  <c r="Z96" i="14"/>
  <c r="AJ95" i="14"/>
  <c r="AH95" i="14"/>
  <c r="AF95" i="14"/>
  <c r="AB95" i="14"/>
  <c r="Z95" i="14"/>
  <c r="AJ94" i="14"/>
  <c r="AH94" i="14"/>
  <c r="AF94" i="14"/>
  <c r="AB94" i="14"/>
  <c r="Z94" i="14"/>
  <c r="AJ93" i="14"/>
  <c r="AH93" i="14"/>
  <c r="AF93" i="14"/>
  <c r="AB93" i="14"/>
  <c r="Z93" i="14"/>
  <c r="AJ92" i="14"/>
  <c r="AH92" i="14"/>
  <c r="AF92" i="14"/>
  <c r="AB92" i="14"/>
  <c r="Z92" i="14"/>
  <c r="AJ91" i="14"/>
  <c r="AH91" i="14"/>
  <c r="AF91" i="14"/>
  <c r="AB91" i="14"/>
  <c r="Z91" i="14"/>
  <c r="AJ90" i="14"/>
  <c r="AH90" i="14"/>
  <c r="AF90" i="14"/>
  <c r="AB90" i="14"/>
  <c r="Z90" i="14"/>
  <c r="AJ89" i="14"/>
  <c r="AH89" i="14"/>
  <c r="AF89" i="14"/>
  <c r="AB89" i="14"/>
  <c r="Z89" i="14"/>
  <c r="AJ88" i="14"/>
  <c r="AH88" i="14"/>
  <c r="AF88" i="14"/>
  <c r="AB88" i="14"/>
  <c r="Z88" i="14"/>
  <c r="AJ87" i="14"/>
  <c r="AH87" i="14"/>
  <c r="AF87" i="14"/>
  <c r="AB87" i="14"/>
  <c r="Z87" i="14"/>
  <c r="AJ86" i="14"/>
  <c r="AH86" i="14"/>
  <c r="AF86" i="14"/>
  <c r="AB86" i="14"/>
  <c r="Z86" i="14"/>
  <c r="AJ85" i="14"/>
  <c r="AH85" i="14"/>
  <c r="AF85" i="14"/>
  <c r="AB85" i="14"/>
  <c r="Z85" i="14"/>
  <c r="AJ84" i="14"/>
  <c r="AH84" i="14"/>
  <c r="AF84" i="14"/>
  <c r="AB84" i="14"/>
  <c r="Z84" i="14"/>
  <c r="AJ83" i="14"/>
  <c r="AH83" i="14"/>
  <c r="AF83" i="14"/>
  <c r="AB83" i="14"/>
  <c r="Z83" i="14"/>
  <c r="AJ82" i="14"/>
  <c r="AH82" i="14"/>
  <c r="AF82" i="14"/>
  <c r="AB82" i="14"/>
  <c r="Z82" i="14"/>
  <c r="AJ81" i="14"/>
  <c r="AH81" i="14"/>
  <c r="AF81" i="14"/>
  <c r="AB81" i="14"/>
  <c r="Z81" i="14"/>
  <c r="AJ80" i="14"/>
  <c r="AH80" i="14"/>
  <c r="AF80" i="14"/>
  <c r="AB80" i="14"/>
  <c r="Z80" i="14"/>
  <c r="AJ79" i="14"/>
  <c r="AH79" i="14"/>
  <c r="AF79" i="14"/>
  <c r="AB79" i="14"/>
  <c r="Z79" i="14"/>
  <c r="AJ78" i="14"/>
  <c r="AH78" i="14"/>
  <c r="AF78" i="14"/>
  <c r="AB78" i="14"/>
  <c r="Z78" i="14"/>
  <c r="AJ77" i="14"/>
  <c r="AH77" i="14"/>
  <c r="AF77" i="14"/>
  <c r="AB77" i="14"/>
  <c r="Z77" i="14"/>
  <c r="AJ76" i="14"/>
  <c r="AH76" i="14"/>
  <c r="AF76" i="14"/>
  <c r="AB76" i="14"/>
  <c r="Z76" i="14"/>
  <c r="AJ75" i="14"/>
  <c r="AH75" i="14"/>
  <c r="AF75" i="14"/>
  <c r="AB75" i="14"/>
  <c r="Z75" i="14"/>
  <c r="AJ74" i="14"/>
  <c r="AH74" i="14"/>
  <c r="AF74" i="14"/>
  <c r="AB74" i="14"/>
  <c r="Z74" i="14"/>
  <c r="AJ73" i="14"/>
  <c r="AH73" i="14"/>
  <c r="AF73" i="14"/>
  <c r="AB73" i="14"/>
  <c r="Z73" i="14"/>
  <c r="AJ72" i="14"/>
  <c r="AH72" i="14"/>
  <c r="AF72" i="14"/>
  <c r="AB72" i="14"/>
  <c r="Z72" i="14"/>
  <c r="AJ71" i="14"/>
  <c r="AH71" i="14"/>
  <c r="AF71" i="14"/>
  <c r="AB71" i="14"/>
  <c r="Z71" i="14"/>
  <c r="AJ70" i="14"/>
  <c r="AH70" i="14"/>
  <c r="AF70" i="14"/>
  <c r="AB70" i="14"/>
  <c r="Z70" i="14"/>
  <c r="AJ66" i="14"/>
  <c r="AH66" i="14"/>
  <c r="AF66" i="14"/>
  <c r="AB66" i="14"/>
  <c r="Z66" i="14"/>
  <c r="AJ62" i="14"/>
  <c r="AH62" i="14"/>
  <c r="AF62" i="14"/>
  <c r="AB62" i="14"/>
  <c r="Z62" i="14"/>
  <c r="AJ58" i="14"/>
  <c r="AH58" i="14"/>
  <c r="AF58" i="14"/>
  <c r="AB58" i="14"/>
  <c r="Z58" i="14"/>
  <c r="AJ54" i="14"/>
  <c r="AH54" i="14"/>
  <c r="AF54" i="14"/>
  <c r="AB54" i="14"/>
  <c r="Z54" i="14"/>
  <c r="AJ50" i="14"/>
  <c r="AH50" i="14"/>
  <c r="AF50" i="14"/>
  <c r="AB50" i="14"/>
  <c r="Z50" i="14"/>
  <c r="AJ46" i="14"/>
  <c r="AH46" i="14"/>
  <c r="AF46" i="14"/>
  <c r="AB46" i="14"/>
  <c r="Z46" i="14"/>
  <c r="AJ42" i="14"/>
  <c r="AH42" i="14"/>
  <c r="AF42" i="14"/>
  <c r="AB42" i="14"/>
  <c r="Z42" i="14"/>
  <c r="AJ41" i="14"/>
  <c r="AH41" i="14"/>
  <c r="AF41" i="14"/>
  <c r="AB41" i="14"/>
  <c r="Z41" i="14"/>
  <c r="AJ37" i="14"/>
  <c r="AH37" i="14"/>
  <c r="AF37" i="14"/>
  <c r="AB37" i="14"/>
  <c r="Z37" i="14"/>
  <c r="AJ33" i="14"/>
  <c r="AH33" i="14"/>
  <c r="AF33" i="14"/>
  <c r="AB33" i="14"/>
  <c r="Z33" i="14"/>
  <c r="AJ26" i="14"/>
  <c r="AH26" i="14"/>
  <c r="AF26" i="14"/>
  <c r="AB26" i="14"/>
  <c r="Z26" i="14"/>
  <c r="AJ22" i="14"/>
  <c r="AH22" i="14"/>
  <c r="AF22" i="14"/>
  <c r="AB22" i="14"/>
  <c r="Z22" i="14"/>
  <c r="AJ18" i="14"/>
  <c r="AH18" i="14"/>
  <c r="AF18" i="14"/>
  <c r="AB18" i="14"/>
  <c r="Z18" i="14"/>
  <c r="AJ14" i="14"/>
  <c r="AH14" i="14"/>
  <c r="AF14" i="14"/>
  <c r="AB14" i="14"/>
  <c r="Z14" i="14"/>
  <c r="AJ10" i="14"/>
  <c r="AH10" i="14"/>
  <c r="AF10" i="14"/>
  <c r="AB10" i="14"/>
  <c r="Z10" i="14"/>
  <c r="I86" i="15" l="1"/>
  <c r="I106" i="15"/>
  <c r="L108" i="15" s="1"/>
  <c r="V108" i="15" s="1"/>
  <c r="I94" i="15"/>
  <c r="L96" i="15" s="1"/>
  <c r="V96" i="15" s="1"/>
  <c r="I109" i="15"/>
  <c r="L111" i="15" s="1"/>
  <c r="V111" i="15" s="1"/>
  <c r="I87" i="15"/>
  <c r="I97" i="15"/>
  <c r="L99" i="15" s="1"/>
  <c r="V99" i="15" s="1"/>
  <c r="I89" i="15"/>
  <c r="I88" i="15"/>
  <c r="B521" i="15"/>
  <c r="K80" i="15"/>
  <c r="B80" i="15"/>
  <c r="B762" i="15"/>
  <c r="B337" i="15"/>
  <c r="K337" i="15"/>
  <c r="I459" i="15"/>
  <c r="I18" i="15"/>
  <c r="B487" i="15"/>
  <c r="K46" i="15"/>
  <c r="B46" i="15"/>
  <c r="I507" i="15"/>
  <c r="I66" i="15"/>
  <c r="B514" i="15"/>
  <c r="B73" i="15"/>
  <c r="K73" i="15"/>
  <c r="I519" i="15"/>
  <c r="I78" i="15"/>
  <c r="B526" i="15"/>
  <c r="B85" i="15"/>
  <c r="K85" i="15"/>
  <c r="I527" i="15"/>
  <c r="I90" i="15"/>
  <c r="B534" i="15"/>
  <c r="B103" i="15"/>
  <c r="K103" i="15"/>
  <c r="I543" i="15"/>
  <c r="L545" i="15" s="1"/>
  <c r="V545" i="15" s="1"/>
  <c r="I118" i="15"/>
  <c r="L120" i="15" s="1"/>
  <c r="V120" i="15" s="1"/>
  <c r="B627" i="15"/>
  <c r="B202" i="15"/>
  <c r="K202" i="15"/>
  <c r="I747" i="15"/>
  <c r="L749" i="15" s="1"/>
  <c r="V749" i="15" s="1"/>
  <c r="I322" i="15"/>
  <c r="L324" i="15" s="1"/>
  <c r="V324" i="15" s="1"/>
  <c r="B777" i="15"/>
  <c r="K352" i="15"/>
  <c r="B352" i="15"/>
  <c r="I792" i="15"/>
  <c r="L794" i="15" s="1"/>
  <c r="V794" i="15" s="1"/>
  <c r="I367" i="15"/>
  <c r="L369" i="15" s="1"/>
  <c r="V369" i="15" s="1"/>
  <c r="B813" i="15"/>
  <c r="K388" i="15"/>
  <c r="B388" i="15"/>
  <c r="I828" i="15"/>
  <c r="L830" i="15" s="1"/>
  <c r="V830" i="15" s="1"/>
  <c r="I403" i="15"/>
  <c r="L405" i="15" s="1"/>
  <c r="V405" i="15" s="1"/>
  <c r="B848" i="15"/>
  <c r="K423" i="15"/>
  <c r="B423" i="15"/>
  <c r="I853" i="15"/>
  <c r="I428" i="15"/>
  <c r="B860" i="15"/>
  <c r="K435" i="15"/>
  <c r="B435" i="15"/>
  <c r="I868" i="15"/>
  <c r="I443" i="15"/>
  <c r="I639" i="15"/>
  <c r="L641" i="15" s="1"/>
  <c r="V641" i="15" s="1"/>
  <c r="I214" i="15"/>
  <c r="L216" i="15" s="1"/>
  <c r="V216" i="15" s="1"/>
  <c r="B732" i="15"/>
  <c r="K307" i="15"/>
  <c r="B307" i="15"/>
  <c r="B459" i="15"/>
  <c r="B18" i="15"/>
  <c r="K18" i="15"/>
  <c r="B507" i="15"/>
  <c r="B66" i="15"/>
  <c r="K66" i="15"/>
  <c r="I512" i="15"/>
  <c r="I71" i="15"/>
  <c r="B519" i="15"/>
  <c r="B78" i="15"/>
  <c r="K78" i="15"/>
  <c r="I524" i="15"/>
  <c r="I83" i="15"/>
  <c r="B527" i="15"/>
  <c r="B90" i="15"/>
  <c r="K90" i="15"/>
  <c r="B543" i="15"/>
  <c r="B118" i="15"/>
  <c r="K118" i="15"/>
  <c r="I603" i="15"/>
  <c r="L605" i="15" s="1"/>
  <c r="V605" i="15" s="1"/>
  <c r="I178" i="15"/>
  <c r="L180" i="15" s="1"/>
  <c r="V180" i="15" s="1"/>
  <c r="B747" i="15"/>
  <c r="B322" i="15"/>
  <c r="K322" i="15"/>
  <c r="I771" i="15"/>
  <c r="L773" i="15" s="1"/>
  <c r="V773" i="15" s="1"/>
  <c r="I346" i="15"/>
  <c r="L348" i="15" s="1"/>
  <c r="V348" i="15" s="1"/>
  <c r="B792" i="15"/>
  <c r="B367" i="15"/>
  <c r="K367" i="15"/>
  <c r="I807" i="15"/>
  <c r="L809" i="15" s="1"/>
  <c r="V809" i="15" s="1"/>
  <c r="I382" i="15"/>
  <c r="L384" i="15" s="1"/>
  <c r="V384" i="15" s="1"/>
  <c r="B828" i="15"/>
  <c r="K403" i="15"/>
  <c r="B403" i="15"/>
  <c r="I846" i="15"/>
  <c r="I421" i="15"/>
  <c r="B428" i="15"/>
  <c r="B853" i="15"/>
  <c r="K428" i="15"/>
  <c r="I433" i="15"/>
  <c r="I858" i="15"/>
  <c r="B868" i="15"/>
  <c r="B443" i="15"/>
  <c r="K443" i="15"/>
  <c r="B214" i="15"/>
  <c r="B639" i="15"/>
  <c r="K214" i="15"/>
  <c r="I708" i="15"/>
  <c r="L710" i="15" s="1"/>
  <c r="V710" i="15" s="1"/>
  <c r="I283" i="15"/>
  <c r="L285" i="15" s="1"/>
  <c r="V285" i="15" s="1"/>
  <c r="B663" i="15"/>
  <c r="K238" i="15"/>
  <c r="B238" i="15"/>
  <c r="I479" i="15"/>
  <c r="I38" i="15"/>
  <c r="I451" i="15"/>
  <c r="I10" i="15"/>
  <c r="B479" i="15"/>
  <c r="B38" i="15"/>
  <c r="K38" i="15"/>
  <c r="I499" i="15"/>
  <c r="I58" i="15"/>
  <c r="B512" i="15"/>
  <c r="B71" i="15"/>
  <c r="K71" i="15"/>
  <c r="I517" i="15"/>
  <c r="I76" i="15"/>
  <c r="B524" i="15"/>
  <c r="B83" i="15"/>
  <c r="K83" i="15"/>
  <c r="B97" i="15"/>
  <c r="K97" i="15"/>
  <c r="I537" i="15"/>
  <c r="L539" i="15" s="1"/>
  <c r="V539" i="15" s="1"/>
  <c r="I112" i="15"/>
  <c r="L114" i="15" s="1"/>
  <c r="V114" i="15" s="1"/>
  <c r="B178" i="15"/>
  <c r="B603" i="15"/>
  <c r="K178" i="15"/>
  <c r="I741" i="15"/>
  <c r="L743" i="15" s="1"/>
  <c r="V743" i="15" s="1"/>
  <c r="I316" i="15"/>
  <c r="L318" i="15" s="1"/>
  <c r="V318" i="15" s="1"/>
  <c r="B771" i="15"/>
  <c r="K346" i="15"/>
  <c r="B346" i="15"/>
  <c r="I786" i="15"/>
  <c r="L788" i="15" s="1"/>
  <c r="V788" i="15" s="1"/>
  <c r="I361" i="15"/>
  <c r="L363" i="15" s="1"/>
  <c r="V363" i="15" s="1"/>
  <c r="B807" i="15"/>
  <c r="K382" i="15"/>
  <c r="B382" i="15"/>
  <c r="I822" i="15"/>
  <c r="L824" i="15" s="1"/>
  <c r="V824" i="15" s="1"/>
  <c r="I397" i="15"/>
  <c r="L399" i="15" s="1"/>
  <c r="V399" i="15" s="1"/>
  <c r="B846" i="15"/>
  <c r="B421" i="15"/>
  <c r="K421" i="15"/>
  <c r="I426" i="15"/>
  <c r="I851" i="15"/>
  <c r="B433" i="15"/>
  <c r="B858" i="15"/>
  <c r="K433" i="15"/>
  <c r="I863" i="15"/>
  <c r="I438" i="15"/>
  <c r="B708" i="15"/>
  <c r="K283" i="15"/>
  <c r="B283" i="15"/>
  <c r="B509" i="15"/>
  <c r="K68" i="15"/>
  <c r="B68" i="15"/>
  <c r="B445" i="15"/>
  <c r="B870" i="15"/>
  <c r="K445" i="15"/>
  <c r="I732" i="15"/>
  <c r="L734" i="15" s="1"/>
  <c r="V734" i="15" s="1"/>
  <c r="I307" i="15"/>
  <c r="L309" i="15" s="1"/>
  <c r="V309" i="15" s="1"/>
  <c r="B451" i="15"/>
  <c r="K10" i="15"/>
  <c r="B10" i="15"/>
  <c r="I474" i="15"/>
  <c r="I33" i="15"/>
  <c r="B499" i="15"/>
  <c r="K58" i="15"/>
  <c r="B58" i="15"/>
  <c r="I510" i="15"/>
  <c r="I69" i="15"/>
  <c r="B517" i="15"/>
  <c r="B76" i="15"/>
  <c r="K76" i="15"/>
  <c r="I522" i="15"/>
  <c r="I81" i="15"/>
  <c r="B88" i="15"/>
  <c r="K88" i="15"/>
  <c r="I530" i="15"/>
  <c r="I93" i="15"/>
  <c r="B537" i="15"/>
  <c r="B112" i="15"/>
  <c r="K112" i="15"/>
  <c r="I579" i="15"/>
  <c r="L581" i="15" s="1"/>
  <c r="V581" i="15" s="1"/>
  <c r="I154" i="15"/>
  <c r="L156" i="15" s="1"/>
  <c r="V156" i="15" s="1"/>
  <c r="B741" i="15"/>
  <c r="K316" i="15"/>
  <c r="B316" i="15"/>
  <c r="I765" i="15"/>
  <c r="L767" i="15" s="1"/>
  <c r="V767" i="15" s="1"/>
  <c r="I340" i="15"/>
  <c r="L342" i="15" s="1"/>
  <c r="V342" i="15" s="1"/>
  <c r="B786" i="15"/>
  <c r="K361" i="15"/>
  <c r="B361" i="15"/>
  <c r="I801" i="15"/>
  <c r="L803" i="15" s="1"/>
  <c r="V803" i="15" s="1"/>
  <c r="I376" i="15"/>
  <c r="L378" i="15" s="1"/>
  <c r="V378" i="15" s="1"/>
  <c r="B822" i="15"/>
  <c r="K397" i="15"/>
  <c r="B397" i="15"/>
  <c r="I844" i="15"/>
  <c r="I419" i="15"/>
  <c r="B851" i="15"/>
  <c r="K426" i="15"/>
  <c r="B426" i="15"/>
  <c r="I856" i="15"/>
  <c r="I431" i="15"/>
  <c r="B863" i="15"/>
  <c r="K438" i="15"/>
  <c r="B438" i="15"/>
  <c r="I871" i="15"/>
  <c r="I446" i="15"/>
  <c r="I684" i="15"/>
  <c r="L686" i="15" s="1"/>
  <c r="V686" i="15" s="1"/>
  <c r="I259" i="15"/>
  <c r="L261" i="15" s="1"/>
  <c r="V261" i="15" s="1"/>
  <c r="I487" i="15"/>
  <c r="I46" i="15"/>
  <c r="I627" i="15"/>
  <c r="L629" i="15" s="1"/>
  <c r="V629" i="15" s="1"/>
  <c r="I202" i="15"/>
  <c r="L204" i="15" s="1"/>
  <c r="V204" i="15" s="1"/>
  <c r="I813" i="15"/>
  <c r="L815" i="15" s="1"/>
  <c r="V815" i="15" s="1"/>
  <c r="I388" i="15"/>
  <c r="L390" i="15" s="1"/>
  <c r="V390" i="15" s="1"/>
  <c r="B843" i="15"/>
  <c r="K418" i="15"/>
  <c r="B418" i="15"/>
  <c r="B474" i="15"/>
  <c r="B33" i="15"/>
  <c r="K33" i="15"/>
  <c r="B69" i="15"/>
  <c r="K69" i="15"/>
  <c r="B510" i="15"/>
  <c r="I515" i="15"/>
  <c r="I74" i="15"/>
  <c r="B522" i="15"/>
  <c r="B81" i="15"/>
  <c r="K81" i="15"/>
  <c r="B530" i="15"/>
  <c r="B93" i="15"/>
  <c r="K93" i="15"/>
  <c r="B579" i="15"/>
  <c r="B154" i="15"/>
  <c r="K154" i="15"/>
  <c r="I735" i="15"/>
  <c r="L737" i="15" s="1"/>
  <c r="V737" i="15" s="1"/>
  <c r="I310" i="15"/>
  <c r="L312" i="15" s="1"/>
  <c r="V312" i="15" s="1"/>
  <c r="B765" i="15"/>
  <c r="K340" i="15"/>
  <c r="B340" i="15"/>
  <c r="I780" i="15"/>
  <c r="L782" i="15" s="1"/>
  <c r="V782" i="15" s="1"/>
  <c r="I355" i="15"/>
  <c r="L357" i="15" s="1"/>
  <c r="V357" i="15" s="1"/>
  <c r="B801" i="15"/>
  <c r="K376" i="15"/>
  <c r="B376" i="15"/>
  <c r="I816" i="15"/>
  <c r="L818" i="15" s="1"/>
  <c r="V818" i="15" s="1"/>
  <c r="I391" i="15"/>
  <c r="L393" i="15" s="1"/>
  <c r="V393" i="15" s="1"/>
  <c r="B844" i="15"/>
  <c r="B419" i="15"/>
  <c r="K419" i="15"/>
  <c r="I849" i="15"/>
  <c r="I424" i="15"/>
  <c r="B856" i="15"/>
  <c r="B431" i="15"/>
  <c r="K431" i="15"/>
  <c r="I861" i="15"/>
  <c r="I436" i="15"/>
  <c r="B446" i="15"/>
  <c r="B871" i="15"/>
  <c r="K446" i="15"/>
  <c r="B684" i="15"/>
  <c r="B259" i="15"/>
  <c r="K259" i="15"/>
  <c r="I526" i="15"/>
  <c r="I85" i="15"/>
  <c r="I860" i="15"/>
  <c r="I435" i="15"/>
  <c r="I463" i="15"/>
  <c r="I22" i="15"/>
  <c r="B491" i="15"/>
  <c r="B50" i="15"/>
  <c r="K50" i="15"/>
  <c r="I508" i="15"/>
  <c r="I67" i="15"/>
  <c r="B515" i="15"/>
  <c r="B74" i="15"/>
  <c r="K74" i="15"/>
  <c r="I520" i="15"/>
  <c r="I79" i="15"/>
  <c r="B86" i="15"/>
  <c r="K86" i="15"/>
  <c r="I528" i="15"/>
  <c r="I91" i="15"/>
  <c r="B106" i="15"/>
  <c r="K106" i="15"/>
  <c r="I564" i="15"/>
  <c r="L566" i="15" s="1"/>
  <c r="V566" i="15" s="1"/>
  <c r="I139" i="15"/>
  <c r="L141" i="15" s="1"/>
  <c r="V141" i="15" s="1"/>
  <c r="B735" i="15"/>
  <c r="K310" i="15"/>
  <c r="B310" i="15"/>
  <c r="I759" i="15"/>
  <c r="L761" i="15" s="1"/>
  <c r="V761" i="15" s="1"/>
  <c r="I334" i="15"/>
  <c r="L336" i="15" s="1"/>
  <c r="V336" i="15" s="1"/>
  <c r="B780" i="15"/>
  <c r="B355" i="15"/>
  <c r="K355" i="15"/>
  <c r="I795" i="15"/>
  <c r="L797" i="15" s="1"/>
  <c r="V797" i="15" s="1"/>
  <c r="I370" i="15"/>
  <c r="L372" i="15" s="1"/>
  <c r="V372" i="15" s="1"/>
  <c r="B816" i="15"/>
  <c r="B391" i="15"/>
  <c r="K391" i="15"/>
  <c r="I831" i="15"/>
  <c r="L833" i="15" s="1"/>
  <c r="V833" i="15" s="1"/>
  <c r="I406" i="15"/>
  <c r="L408" i="15" s="1"/>
  <c r="V408" i="15" s="1"/>
  <c r="B849" i="15"/>
  <c r="K424" i="15"/>
  <c r="B424" i="15"/>
  <c r="I854" i="15"/>
  <c r="I429" i="15"/>
  <c r="B861" i="15"/>
  <c r="K436" i="15"/>
  <c r="B436" i="15"/>
  <c r="I869" i="15"/>
  <c r="I444" i="15"/>
  <c r="I651" i="15"/>
  <c r="L653" i="15" s="1"/>
  <c r="V653" i="15" s="1"/>
  <c r="I226" i="15"/>
  <c r="L228" i="15" s="1"/>
  <c r="V228" i="15" s="1"/>
  <c r="I514" i="15"/>
  <c r="I73" i="15"/>
  <c r="I534" i="15"/>
  <c r="L536" i="15" s="1"/>
  <c r="V536" i="15" s="1"/>
  <c r="I103" i="15"/>
  <c r="L105" i="15" s="1"/>
  <c r="V105" i="15" s="1"/>
  <c r="B567" i="15"/>
  <c r="B142" i="15"/>
  <c r="K142" i="15"/>
  <c r="B855" i="15"/>
  <c r="K430" i="15"/>
  <c r="B430" i="15"/>
  <c r="I491" i="15"/>
  <c r="I50" i="15"/>
  <c r="B463" i="15"/>
  <c r="K22" i="15"/>
  <c r="B22" i="15"/>
  <c r="I483" i="15"/>
  <c r="I42" i="15"/>
  <c r="B508" i="15"/>
  <c r="B67" i="15"/>
  <c r="K67" i="15"/>
  <c r="I513" i="15"/>
  <c r="I72" i="15"/>
  <c r="B520" i="15"/>
  <c r="B79" i="15"/>
  <c r="K79" i="15"/>
  <c r="I525" i="15"/>
  <c r="I84" i="15"/>
  <c r="B528" i="15"/>
  <c r="B91" i="15"/>
  <c r="K91" i="15"/>
  <c r="I531" i="15"/>
  <c r="L533" i="15" s="1"/>
  <c r="V533" i="15" s="1"/>
  <c r="I100" i="15"/>
  <c r="L102" i="15" s="1"/>
  <c r="V102" i="15" s="1"/>
  <c r="B564" i="15"/>
  <c r="B139" i="15"/>
  <c r="K139" i="15"/>
  <c r="I615" i="15"/>
  <c r="L617" i="15" s="1"/>
  <c r="V617" i="15" s="1"/>
  <c r="I190" i="15"/>
  <c r="L192" i="15" s="1"/>
  <c r="V192" i="15" s="1"/>
  <c r="B759" i="15"/>
  <c r="B334" i="15"/>
  <c r="K334" i="15"/>
  <c r="I774" i="15"/>
  <c r="L776" i="15" s="1"/>
  <c r="V776" i="15" s="1"/>
  <c r="I349" i="15"/>
  <c r="L351" i="15" s="1"/>
  <c r="V351" i="15" s="1"/>
  <c r="B795" i="15"/>
  <c r="B370" i="15"/>
  <c r="K370" i="15"/>
  <c r="I810" i="15"/>
  <c r="L812" i="15" s="1"/>
  <c r="V812" i="15" s="1"/>
  <c r="I385" i="15"/>
  <c r="L387" i="15" s="1"/>
  <c r="V387" i="15" s="1"/>
  <c r="B831" i="15"/>
  <c r="B406" i="15"/>
  <c r="K406" i="15"/>
  <c r="I847" i="15"/>
  <c r="I422" i="15"/>
  <c r="B854" i="15"/>
  <c r="K429" i="15"/>
  <c r="B429" i="15"/>
  <c r="I859" i="15"/>
  <c r="I434" i="15"/>
  <c r="K444" i="15"/>
  <c r="B444" i="15"/>
  <c r="B869" i="15"/>
  <c r="B651" i="15"/>
  <c r="B226" i="15"/>
  <c r="K226" i="15"/>
  <c r="I292" i="15"/>
  <c r="L294" i="15" s="1"/>
  <c r="V294" i="15" s="1"/>
  <c r="I717" i="15"/>
  <c r="L719" i="15" s="1"/>
  <c r="V719" i="15" s="1"/>
  <c r="I777" i="15"/>
  <c r="L779" i="15" s="1"/>
  <c r="V779" i="15" s="1"/>
  <c r="I352" i="15"/>
  <c r="L354" i="15" s="1"/>
  <c r="V354" i="15" s="1"/>
  <c r="I455" i="15"/>
  <c r="I14" i="15"/>
  <c r="B483" i="15"/>
  <c r="B42" i="15"/>
  <c r="K42" i="15"/>
  <c r="I503" i="15"/>
  <c r="I62" i="15"/>
  <c r="B513" i="15"/>
  <c r="K72" i="15"/>
  <c r="B72" i="15"/>
  <c r="I518" i="15"/>
  <c r="I77" i="15"/>
  <c r="B525" i="15"/>
  <c r="B84" i="15"/>
  <c r="K84" i="15"/>
  <c r="B531" i="15"/>
  <c r="K100" i="15"/>
  <c r="B100" i="15"/>
  <c r="I540" i="15"/>
  <c r="L542" i="15" s="1"/>
  <c r="V542" i="15" s="1"/>
  <c r="I115" i="15"/>
  <c r="L117" i="15" s="1"/>
  <c r="V117" i="15" s="1"/>
  <c r="B615" i="15"/>
  <c r="B190" i="15"/>
  <c r="K190" i="15"/>
  <c r="I744" i="15"/>
  <c r="L746" i="15" s="1"/>
  <c r="V746" i="15" s="1"/>
  <c r="I319" i="15"/>
  <c r="L321" i="15" s="1"/>
  <c r="V321" i="15" s="1"/>
  <c r="B774" i="15"/>
  <c r="B349" i="15"/>
  <c r="K349" i="15"/>
  <c r="I789" i="15"/>
  <c r="L791" i="15" s="1"/>
  <c r="V791" i="15" s="1"/>
  <c r="I364" i="15"/>
  <c r="L366" i="15" s="1"/>
  <c r="V366" i="15" s="1"/>
  <c r="B810" i="15"/>
  <c r="B385" i="15"/>
  <c r="K385" i="15"/>
  <c r="I825" i="15"/>
  <c r="L827" i="15" s="1"/>
  <c r="V827" i="15" s="1"/>
  <c r="I400" i="15"/>
  <c r="L402" i="15" s="1"/>
  <c r="V402" i="15" s="1"/>
  <c r="B422" i="15"/>
  <c r="B847" i="15"/>
  <c r="K422" i="15"/>
  <c r="I427" i="15"/>
  <c r="I852" i="15"/>
  <c r="B859" i="15"/>
  <c r="B434" i="15"/>
  <c r="K434" i="15"/>
  <c r="I439" i="15"/>
  <c r="I864" i="15"/>
  <c r="B717" i="15"/>
  <c r="B292" i="15"/>
  <c r="K292" i="15"/>
  <c r="B470" i="15"/>
  <c r="D470" i="15" s="1"/>
  <c r="B29" i="15"/>
  <c r="K29" i="15"/>
  <c r="B529" i="15"/>
  <c r="K92" i="15"/>
  <c r="B92" i="15"/>
  <c r="I423" i="15"/>
  <c r="I848" i="15"/>
  <c r="I478" i="15"/>
  <c r="I37" i="15"/>
  <c r="B503" i="15"/>
  <c r="B62" i="15"/>
  <c r="K62" i="15"/>
  <c r="I511" i="15"/>
  <c r="I70" i="15"/>
  <c r="B518" i="15"/>
  <c r="B77" i="15"/>
  <c r="K77" i="15"/>
  <c r="I523" i="15"/>
  <c r="I82" i="15"/>
  <c r="B89" i="15"/>
  <c r="K89" i="15"/>
  <c r="B540" i="15"/>
  <c r="B115" i="15"/>
  <c r="K115" i="15"/>
  <c r="I591" i="15"/>
  <c r="L593" i="15" s="1"/>
  <c r="V593" i="15" s="1"/>
  <c r="I166" i="15"/>
  <c r="L168" i="15" s="1"/>
  <c r="V168" i="15" s="1"/>
  <c r="B744" i="15"/>
  <c r="B319" i="15"/>
  <c r="K319" i="15"/>
  <c r="I768" i="15"/>
  <c r="L770" i="15" s="1"/>
  <c r="V770" i="15" s="1"/>
  <c r="I343" i="15"/>
  <c r="L345" i="15" s="1"/>
  <c r="V345" i="15" s="1"/>
  <c r="B789" i="15"/>
  <c r="K364" i="15"/>
  <c r="B364" i="15"/>
  <c r="I804" i="15"/>
  <c r="L806" i="15" s="1"/>
  <c r="V806" i="15" s="1"/>
  <c r="I379" i="15"/>
  <c r="L381" i="15" s="1"/>
  <c r="V381" i="15" s="1"/>
  <c r="B825" i="15"/>
  <c r="K400" i="15"/>
  <c r="B400" i="15"/>
  <c r="I845" i="15"/>
  <c r="I420" i="15"/>
  <c r="B427" i="15"/>
  <c r="B852" i="15"/>
  <c r="K427" i="15"/>
  <c r="I857" i="15"/>
  <c r="I432" i="15"/>
  <c r="B439" i="15"/>
  <c r="B864" i="15"/>
  <c r="K439" i="15"/>
  <c r="I696" i="15"/>
  <c r="L698" i="15" s="1"/>
  <c r="V698" i="15" s="1"/>
  <c r="I271" i="15"/>
  <c r="L273" i="15" s="1"/>
  <c r="V273" i="15" s="1"/>
  <c r="B798" i="15"/>
  <c r="B373" i="15"/>
  <c r="K373" i="15"/>
  <c r="B455" i="15"/>
  <c r="B14" i="15"/>
  <c r="K14" i="15"/>
  <c r="I6" i="15"/>
  <c r="I447" i="15"/>
  <c r="B478" i="15"/>
  <c r="B37" i="15"/>
  <c r="K37" i="15"/>
  <c r="I495" i="15"/>
  <c r="I54" i="15"/>
  <c r="B511" i="15"/>
  <c r="K70" i="15"/>
  <c r="B70" i="15"/>
  <c r="I516" i="15"/>
  <c r="I75" i="15"/>
  <c r="B523" i="15"/>
  <c r="B82" i="15"/>
  <c r="K82" i="15"/>
  <c r="K94" i="15"/>
  <c r="B94" i="15"/>
  <c r="B591" i="15"/>
  <c r="K166" i="15"/>
  <c r="B166" i="15"/>
  <c r="I738" i="15"/>
  <c r="L740" i="15" s="1"/>
  <c r="V740" i="15" s="1"/>
  <c r="I313" i="15"/>
  <c r="L315" i="15" s="1"/>
  <c r="V315" i="15" s="1"/>
  <c r="B768" i="15"/>
  <c r="K343" i="15"/>
  <c r="B343" i="15"/>
  <c r="I783" i="15"/>
  <c r="L785" i="15" s="1"/>
  <c r="V785" i="15" s="1"/>
  <c r="I358" i="15"/>
  <c r="L360" i="15" s="1"/>
  <c r="V360" i="15" s="1"/>
  <c r="B804" i="15"/>
  <c r="K379" i="15"/>
  <c r="B379" i="15"/>
  <c r="I819" i="15"/>
  <c r="L821" i="15" s="1"/>
  <c r="V821" i="15" s="1"/>
  <c r="I394" i="15"/>
  <c r="L396" i="15" s="1"/>
  <c r="V396" i="15" s="1"/>
  <c r="B845" i="15"/>
  <c r="K420" i="15"/>
  <c r="B420" i="15"/>
  <c r="I850" i="15"/>
  <c r="I425" i="15"/>
  <c r="K432" i="15"/>
  <c r="B432" i="15"/>
  <c r="B857" i="15"/>
  <c r="I862" i="15"/>
  <c r="I437" i="15"/>
  <c r="B696" i="15"/>
  <c r="K271" i="15"/>
  <c r="B271" i="15"/>
  <c r="B447" i="15"/>
  <c r="K6" i="15"/>
  <c r="B6" i="15"/>
  <c r="I470" i="15"/>
  <c r="I29" i="15"/>
  <c r="B495" i="15"/>
  <c r="B54" i="15"/>
  <c r="K54" i="15"/>
  <c r="I509" i="15"/>
  <c r="I68" i="15"/>
  <c r="B516" i="15"/>
  <c r="B75" i="15"/>
  <c r="K75" i="15"/>
  <c r="I521" i="15"/>
  <c r="I80" i="15"/>
  <c r="B87" i="15"/>
  <c r="K87" i="15"/>
  <c r="I529" i="15"/>
  <c r="I92" i="15"/>
  <c r="B109" i="15"/>
  <c r="K109" i="15"/>
  <c r="I567" i="15"/>
  <c r="L569" i="15" s="1"/>
  <c r="V569" i="15" s="1"/>
  <c r="I142" i="15"/>
  <c r="L144" i="15" s="1"/>
  <c r="V144" i="15" s="1"/>
  <c r="B738" i="15"/>
  <c r="B313" i="15"/>
  <c r="K313" i="15"/>
  <c r="I762" i="15"/>
  <c r="L764" i="15" s="1"/>
  <c r="V764" i="15" s="1"/>
  <c r="I337" i="15"/>
  <c r="L339" i="15" s="1"/>
  <c r="V339" i="15" s="1"/>
  <c r="B783" i="15"/>
  <c r="B358" i="15"/>
  <c r="K358" i="15"/>
  <c r="I798" i="15"/>
  <c r="L800" i="15" s="1"/>
  <c r="V800" i="15" s="1"/>
  <c r="I373" i="15"/>
  <c r="L375" i="15" s="1"/>
  <c r="V375" i="15" s="1"/>
  <c r="B819" i="15"/>
  <c r="B394" i="15"/>
  <c r="K394" i="15"/>
  <c r="I843" i="15"/>
  <c r="I418" i="15"/>
  <c r="B850" i="15"/>
  <c r="K425" i="15"/>
  <c r="B425" i="15"/>
  <c r="I855" i="15"/>
  <c r="I430" i="15"/>
  <c r="B862" i="15"/>
  <c r="K437" i="15"/>
  <c r="B437" i="15"/>
  <c r="I870" i="15"/>
  <c r="I445" i="15"/>
  <c r="I663" i="15"/>
  <c r="L665" i="15" s="1"/>
  <c r="V665" i="15" s="1"/>
  <c r="I238" i="15"/>
  <c r="L240" i="15" s="1"/>
  <c r="V240" i="15" s="1"/>
  <c r="E4" i="5"/>
  <c r="D313" i="15" l="1"/>
  <c r="M313" i="15"/>
  <c r="D455" i="15"/>
  <c r="D456" i="15" s="1"/>
  <c r="D457" i="15" s="1"/>
  <c r="D458" i="15" s="1"/>
  <c r="M455" i="15"/>
  <c r="D379" i="15"/>
  <c r="M379" i="15"/>
  <c r="M591" i="15"/>
  <c r="D591" i="15"/>
  <c r="D400" i="15"/>
  <c r="M400" i="15"/>
  <c r="M744" i="15"/>
  <c r="D744" i="15"/>
  <c r="M518" i="15"/>
  <c r="M529" i="15"/>
  <c r="M531" i="15"/>
  <c r="D531" i="15"/>
  <c r="D42" i="15"/>
  <c r="D43" i="15" s="1"/>
  <c r="D44" i="15" s="1"/>
  <c r="D45" i="15" s="1"/>
  <c r="M42" i="15"/>
  <c r="M651" i="15"/>
  <c r="D651" i="15"/>
  <c r="D406" i="15"/>
  <c r="M406" i="15"/>
  <c r="D463" i="15"/>
  <c r="D464" i="15" s="1"/>
  <c r="D465" i="15" s="1"/>
  <c r="D466" i="15" s="1"/>
  <c r="M463" i="15"/>
  <c r="M849" i="15"/>
  <c r="M801" i="15"/>
  <c r="D801" i="15"/>
  <c r="M93" i="15"/>
  <c r="M474" i="15"/>
  <c r="D475" i="15"/>
  <c r="D476" i="15" s="1"/>
  <c r="D477" i="15" s="1"/>
  <c r="D478" i="15" s="1"/>
  <c r="D397" i="15"/>
  <c r="M397" i="15"/>
  <c r="M741" i="15"/>
  <c r="D741" i="15"/>
  <c r="D451" i="15"/>
  <c r="D452" i="15" s="1"/>
  <c r="D453" i="15" s="1"/>
  <c r="D454" i="15" s="1"/>
  <c r="M451" i="15"/>
  <c r="D382" i="15"/>
  <c r="M382" i="15"/>
  <c r="D178" i="15"/>
  <c r="M178" i="15"/>
  <c r="M512" i="15"/>
  <c r="M663" i="15"/>
  <c r="D663" i="15"/>
  <c r="M853" i="15"/>
  <c r="M527" i="15"/>
  <c r="D527" i="15"/>
  <c r="D528" i="15" s="1"/>
  <c r="D529" i="15" s="1"/>
  <c r="D530" i="15" s="1"/>
  <c r="D18" i="15"/>
  <c r="D19" i="15" s="1"/>
  <c r="D20" i="15" s="1"/>
  <c r="D21" i="15" s="1"/>
  <c r="M18" i="15"/>
  <c r="D352" i="15"/>
  <c r="M352" i="15"/>
  <c r="M534" i="15"/>
  <c r="D534" i="15"/>
  <c r="M831" i="15"/>
  <c r="D831" i="15"/>
  <c r="M804" i="15"/>
  <c r="D804" i="15"/>
  <c r="M37" i="15"/>
  <c r="M825" i="15"/>
  <c r="D825" i="15"/>
  <c r="M29" i="15"/>
  <c r="D30" i="15"/>
  <c r="D31" i="15" s="1"/>
  <c r="D32" i="15" s="1"/>
  <c r="D33" i="15" s="1"/>
  <c r="M774" i="15"/>
  <c r="D774" i="15"/>
  <c r="M84" i="15"/>
  <c r="M444" i="15"/>
  <c r="M520" i="15"/>
  <c r="M856" i="15"/>
  <c r="M438" i="15"/>
  <c r="M822" i="15"/>
  <c r="D822" i="15"/>
  <c r="M517" i="15"/>
  <c r="M807" i="15"/>
  <c r="D807" i="15"/>
  <c r="D307" i="15"/>
  <c r="M307" i="15"/>
  <c r="M423" i="15"/>
  <c r="M777" i="15"/>
  <c r="D777" i="15"/>
  <c r="M857" i="15"/>
  <c r="M495" i="15"/>
  <c r="D495" i="15"/>
  <c r="D496" i="15" s="1"/>
  <c r="D497" i="15" s="1"/>
  <c r="D498" i="15" s="1"/>
  <c r="M432" i="15"/>
  <c r="M478" i="15"/>
  <c r="M864" i="15"/>
  <c r="D864" i="15"/>
  <c r="D865" i="15" s="1"/>
  <c r="D866" i="15" s="1"/>
  <c r="D867" i="15" s="1"/>
  <c r="M470" i="15"/>
  <c r="D471" i="15"/>
  <c r="D472" i="15" s="1"/>
  <c r="D473" i="15" s="1"/>
  <c r="D474" i="15" s="1"/>
  <c r="M847" i="15"/>
  <c r="D847" i="15"/>
  <c r="D848" i="15" s="1"/>
  <c r="D849" i="15" s="1"/>
  <c r="D850" i="15" s="1"/>
  <c r="M525" i="15"/>
  <c r="D139" i="15"/>
  <c r="M139" i="15"/>
  <c r="D430" i="15"/>
  <c r="D431" i="15" s="1"/>
  <c r="D432" i="15" s="1"/>
  <c r="D433" i="15" s="1"/>
  <c r="M430" i="15"/>
  <c r="M735" i="15"/>
  <c r="D735" i="15"/>
  <c r="D74" i="15"/>
  <c r="D75" i="15" s="1"/>
  <c r="D76" i="15" s="1"/>
  <c r="D77" i="15" s="1"/>
  <c r="M74" i="15"/>
  <c r="D340" i="15"/>
  <c r="M340" i="15"/>
  <c r="M81" i="15"/>
  <c r="M843" i="15"/>
  <c r="D843" i="15"/>
  <c r="D844" i="15" s="1"/>
  <c r="D845" i="15" s="1"/>
  <c r="D846" i="15" s="1"/>
  <c r="M858" i="15"/>
  <c r="D322" i="15"/>
  <c r="M322" i="15"/>
  <c r="M487" i="15"/>
  <c r="D487" i="15"/>
  <c r="D488" i="15" s="1"/>
  <c r="D489" i="15" s="1"/>
  <c r="D490" i="15" s="1"/>
  <c r="M483" i="15"/>
  <c r="D483" i="15"/>
  <c r="D484" i="15" s="1"/>
  <c r="D485" i="15" s="1"/>
  <c r="D486" i="15" s="1"/>
  <c r="M431" i="15"/>
  <c r="D418" i="15"/>
  <c r="D419" i="15" s="1"/>
  <c r="D420" i="15" s="1"/>
  <c r="D421" i="15" s="1"/>
  <c r="M418" i="15"/>
  <c r="M76" i="15"/>
  <c r="M46" i="15"/>
  <c r="D46" i="15"/>
  <c r="D47" i="15" s="1"/>
  <c r="D48" i="15" s="1"/>
  <c r="D49" i="15" s="1"/>
  <c r="D54" i="15"/>
  <c r="D55" i="15" s="1"/>
  <c r="D56" i="15" s="1"/>
  <c r="D57" i="15" s="1"/>
  <c r="M54" i="15"/>
  <c r="D358" i="15"/>
  <c r="M358" i="15"/>
  <c r="M425" i="15"/>
  <c r="M783" i="15"/>
  <c r="D783" i="15"/>
  <c r="D82" i="15"/>
  <c r="D83" i="15" s="1"/>
  <c r="D84" i="15" s="1"/>
  <c r="D85" i="15" s="1"/>
  <c r="M82" i="15"/>
  <c r="M439" i="15"/>
  <c r="D439" i="15"/>
  <c r="D440" i="15" s="1"/>
  <c r="D441" i="15" s="1"/>
  <c r="D442" i="15" s="1"/>
  <c r="D115" i="15"/>
  <c r="M115" i="15"/>
  <c r="D62" i="15"/>
  <c r="D63" i="15" s="1"/>
  <c r="D64" i="15" s="1"/>
  <c r="D65" i="15" s="1"/>
  <c r="M62" i="15"/>
  <c r="M422" i="15"/>
  <c r="D422" i="15"/>
  <c r="D423" i="15" s="1"/>
  <c r="D424" i="15" s="1"/>
  <c r="D425" i="15" s="1"/>
  <c r="M564" i="15"/>
  <c r="D564" i="15"/>
  <c r="D391" i="15"/>
  <c r="M391" i="15"/>
  <c r="M515" i="15"/>
  <c r="D515" i="15"/>
  <c r="D516" i="15" s="1"/>
  <c r="D517" i="15" s="1"/>
  <c r="D518" i="15" s="1"/>
  <c r="M522" i="15"/>
  <c r="M863" i="15"/>
  <c r="D863" i="15"/>
  <c r="D112" i="15"/>
  <c r="M112" i="15"/>
  <c r="M870" i="15"/>
  <c r="M433" i="15"/>
  <c r="D97" i="15"/>
  <c r="M97" i="15"/>
  <c r="M38" i="15"/>
  <c r="D38" i="15"/>
  <c r="D39" i="15" s="1"/>
  <c r="D40" i="15" s="1"/>
  <c r="D41" i="15" s="1"/>
  <c r="M639" i="15"/>
  <c r="D639" i="15"/>
  <c r="D403" i="15"/>
  <c r="M403" i="15"/>
  <c r="M747" i="15"/>
  <c r="D747" i="15"/>
  <c r="M78" i="15"/>
  <c r="D78" i="15"/>
  <c r="D79" i="15" s="1"/>
  <c r="D80" i="15" s="1"/>
  <c r="D81" i="15" s="1"/>
  <c r="M732" i="15"/>
  <c r="D732" i="15"/>
  <c r="M848" i="15"/>
  <c r="M85" i="15"/>
  <c r="D109" i="15"/>
  <c r="M109" i="15"/>
  <c r="D349" i="15"/>
  <c r="M349" i="15"/>
  <c r="D310" i="15"/>
  <c r="M310" i="15"/>
  <c r="D459" i="15"/>
  <c r="D460" i="15" s="1"/>
  <c r="D461" i="15" s="1"/>
  <c r="D462" i="15" s="1"/>
  <c r="M459" i="15"/>
  <c r="M87" i="15"/>
  <c r="D343" i="15"/>
  <c r="M343" i="15"/>
  <c r="M523" i="15"/>
  <c r="D523" i="15"/>
  <c r="D524" i="15" s="1"/>
  <c r="D525" i="15" s="1"/>
  <c r="D526" i="15" s="1"/>
  <c r="D364" i="15"/>
  <c r="M364" i="15"/>
  <c r="M540" i="15"/>
  <c r="D540" i="15"/>
  <c r="D503" i="15"/>
  <c r="D504" i="15" s="1"/>
  <c r="D505" i="15" s="1"/>
  <c r="D506" i="15" s="1"/>
  <c r="M503" i="15"/>
  <c r="D292" i="15"/>
  <c r="M292" i="15"/>
  <c r="D370" i="15"/>
  <c r="M370" i="15"/>
  <c r="M855" i="15"/>
  <c r="D855" i="15"/>
  <c r="D856" i="15" s="1"/>
  <c r="D857" i="15" s="1"/>
  <c r="D858" i="15" s="1"/>
  <c r="M436" i="15"/>
  <c r="M816" i="15"/>
  <c r="D816" i="15"/>
  <c r="D259" i="15"/>
  <c r="M259" i="15"/>
  <c r="M765" i="15"/>
  <c r="D765" i="15"/>
  <c r="D361" i="15"/>
  <c r="M361" i="15"/>
  <c r="M537" i="15"/>
  <c r="D537" i="15"/>
  <c r="D58" i="15"/>
  <c r="D59" i="15" s="1"/>
  <c r="D60" i="15" s="1"/>
  <c r="D61" i="15" s="1"/>
  <c r="M58" i="15"/>
  <c r="M445" i="15"/>
  <c r="D346" i="15"/>
  <c r="M346" i="15"/>
  <c r="M479" i="15"/>
  <c r="D479" i="15"/>
  <c r="D480" i="15" s="1"/>
  <c r="D481" i="15" s="1"/>
  <c r="D482" i="15" s="1"/>
  <c r="D214" i="15"/>
  <c r="M214" i="15"/>
  <c r="M519" i="15"/>
  <c r="D519" i="15"/>
  <c r="D520" i="15" s="1"/>
  <c r="D521" i="15" s="1"/>
  <c r="D522" i="15" s="1"/>
  <c r="M526" i="15"/>
  <c r="M79" i="15"/>
  <c r="M717" i="15"/>
  <c r="D717" i="15"/>
  <c r="D190" i="15"/>
  <c r="M190" i="15"/>
  <c r="M72" i="15"/>
  <c r="M429" i="15"/>
  <c r="M795" i="15"/>
  <c r="D795" i="15"/>
  <c r="M67" i="15"/>
  <c r="M684" i="15"/>
  <c r="D684" i="15"/>
  <c r="M419" i="15"/>
  <c r="M68" i="15"/>
  <c r="M83" i="15"/>
  <c r="M828" i="15"/>
  <c r="D828" i="15"/>
  <c r="M202" i="15"/>
  <c r="D202" i="15"/>
  <c r="M869" i="15"/>
  <c r="M420" i="15"/>
  <c r="M768" i="15"/>
  <c r="D768" i="15"/>
  <c r="M14" i="15"/>
  <c r="D14" i="15"/>
  <c r="D15" i="15" s="1"/>
  <c r="D16" i="15" s="1"/>
  <c r="D17" i="15" s="1"/>
  <c r="M789" i="15"/>
  <c r="D789" i="15"/>
  <c r="M89" i="15"/>
  <c r="M615" i="15"/>
  <c r="D615" i="15"/>
  <c r="D29" i="15"/>
  <c r="M508" i="15"/>
  <c r="D142" i="15"/>
  <c r="M142" i="15"/>
  <c r="M861" i="15"/>
  <c r="D106" i="15"/>
  <c r="M106" i="15"/>
  <c r="M844" i="15"/>
  <c r="M510" i="15"/>
  <c r="D426" i="15"/>
  <c r="D427" i="15" s="1"/>
  <c r="D428" i="15" s="1"/>
  <c r="D429" i="15" s="1"/>
  <c r="M426" i="15"/>
  <c r="M786" i="15"/>
  <c r="D786" i="15"/>
  <c r="M499" i="15"/>
  <c r="D499" i="15"/>
  <c r="D500" i="15" s="1"/>
  <c r="D501" i="15" s="1"/>
  <c r="D502" i="15" s="1"/>
  <c r="M771" i="15"/>
  <c r="D771" i="15"/>
  <c r="M524" i="15"/>
  <c r="D443" i="15"/>
  <c r="D444" i="15" s="1"/>
  <c r="D445" i="15" s="1"/>
  <c r="D446" i="15" s="1"/>
  <c r="M443" i="15"/>
  <c r="D388" i="15"/>
  <c r="M388" i="15"/>
  <c r="M627" i="15"/>
  <c r="D627" i="15"/>
  <c r="D337" i="15"/>
  <c r="M337" i="15"/>
  <c r="M428" i="15"/>
  <c r="D385" i="15"/>
  <c r="M385" i="15"/>
  <c r="M513" i="15"/>
  <c r="M854" i="15"/>
  <c r="M91" i="15"/>
  <c r="M567" i="15"/>
  <c r="D567" i="15"/>
  <c r="D50" i="15"/>
  <c r="D51" i="15" s="1"/>
  <c r="D52" i="15" s="1"/>
  <c r="D53" i="15" s="1"/>
  <c r="M50" i="15"/>
  <c r="M871" i="15"/>
  <c r="M509" i="15"/>
  <c r="M421" i="15"/>
  <c r="M868" i="15"/>
  <c r="D868" i="15"/>
  <c r="D869" i="15" s="1"/>
  <c r="D870" i="15" s="1"/>
  <c r="D871" i="15" s="1"/>
  <c r="D118" i="15"/>
  <c r="M118" i="15"/>
  <c r="M762" i="15"/>
  <c r="D762" i="15"/>
  <c r="M94" i="15"/>
  <c r="D94" i="15"/>
  <c r="M427" i="15"/>
  <c r="M810" i="15"/>
  <c r="D810" i="15"/>
  <c r="M528" i="15"/>
  <c r="D355" i="15"/>
  <c r="M355" i="15"/>
  <c r="M491" i="15"/>
  <c r="D491" i="15"/>
  <c r="D492" i="15" s="1"/>
  <c r="D493" i="15" s="1"/>
  <c r="D494" i="15" s="1"/>
  <c r="M446" i="15"/>
  <c r="D154" i="15"/>
  <c r="M154" i="15"/>
  <c r="M69" i="15"/>
  <c r="M851" i="15"/>
  <c r="D851" i="15"/>
  <c r="D852" i="15" s="1"/>
  <c r="D853" i="15" s="1"/>
  <c r="D854" i="15" s="1"/>
  <c r="M88" i="15"/>
  <c r="D283" i="15"/>
  <c r="M283" i="15"/>
  <c r="M846" i="15"/>
  <c r="M543" i="15"/>
  <c r="D543" i="15"/>
  <c r="M66" i="15"/>
  <c r="D66" i="15"/>
  <c r="D67" i="15" s="1"/>
  <c r="D68" i="15" s="1"/>
  <c r="D69" i="15" s="1"/>
  <c r="M435" i="15"/>
  <c r="M813" i="15"/>
  <c r="D813" i="15"/>
  <c r="M73" i="15"/>
  <c r="M80" i="15"/>
  <c r="M862" i="15"/>
  <c r="D447" i="15"/>
  <c r="D448" i="15" s="1"/>
  <c r="D449" i="15" s="1"/>
  <c r="D450" i="15" s="1"/>
  <c r="M447" i="15"/>
  <c r="M70" i="15"/>
  <c r="D70" i="15"/>
  <c r="D71" i="15" s="1"/>
  <c r="D72" i="15" s="1"/>
  <c r="D73" i="15" s="1"/>
  <c r="M852" i="15"/>
  <c r="M75" i="15"/>
  <c r="M394" i="15"/>
  <c r="D394" i="15"/>
  <c r="D166" i="15"/>
  <c r="M166" i="15"/>
  <c r="M511" i="15"/>
  <c r="D511" i="15"/>
  <c r="D512" i="15" s="1"/>
  <c r="D513" i="15" s="1"/>
  <c r="D514" i="15" s="1"/>
  <c r="D373" i="15"/>
  <c r="M373" i="15"/>
  <c r="M92" i="15"/>
  <c r="M434" i="15"/>
  <c r="D434" i="15"/>
  <c r="D435" i="15" s="1"/>
  <c r="D436" i="15" s="1"/>
  <c r="D437" i="15" s="1"/>
  <c r="D100" i="15"/>
  <c r="M100" i="15"/>
  <c r="D334" i="15"/>
  <c r="M334" i="15"/>
  <c r="D22" i="15"/>
  <c r="D23" i="15" s="1"/>
  <c r="D24" i="15" s="1"/>
  <c r="D25" i="15" s="1"/>
  <c r="M22" i="15"/>
  <c r="M424" i="15"/>
  <c r="M780" i="15"/>
  <c r="D780" i="15"/>
  <c r="D376" i="15"/>
  <c r="M376" i="15"/>
  <c r="M579" i="15"/>
  <c r="D579" i="15"/>
  <c r="D316" i="15"/>
  <c r="M316" i="15"/>
  <c r="M10" i="15"/>
  <c r="D10" i="15"/>
  <c r="D11" i="15" s="1"/>
  <c r="D12" i="15" s="1"/>
  <c r="D13" i="15" s="1"/>
  <c r="D238" i="15"/>
  <c r="M238" i="15"/>
  <c r="D367" i="15"/>
  <c r="M367" i="15"/>
  <c r="M507" i="15"/>
  <c r="D507" i="15"/>
  <c r="D508" i="15" s="1"/>
  <c r="D509" i="15" s="1"/>
  <c r="D510" i="15" s="1"/>
  <c r="M514" i="15"/>
  <c r="M530" i="15"/>
  <c r="M850" i="15"/>
  <c r="M6" i="15"/>
  <c r="D6" i="15"/>
  <c r="D7" i="15" s="1"/>
  <c r="D8" i="15" s="1"/>
  <c r="D9" i="15" s="1"/>
  <c r="M738" i="15"/>
  <c r="D738" i="15"/>
  <c r="D271" i="15"/>
  <c r="M271" i="15"/>
  <c r="M845" i="15"/>
  <c r="M516" i="15"/>
  <c r="D438" i="15"/>
  <c r="M437" i="15"/>
  <c r="M819" i="15"/>
  <c r="D819" i="15"/>
  <c r="M696" i="15"/>
  <c r="D696" i="15"/>
  <c r="M798" i="15"/>
  <c r="D798" i="15"/>
  <c r="D319" i="15"/>
  <c r="M319" i="15"/>
  <c r="M77" i="15"/>
  <c r="M859" i="15"/>
  <c r="D859" i="15"/>
  <c r="D860" i="15" s="1"/>
  <c r="D861" i="15" s="1"/>
  <c r="D862" i="15" s="1"/>
  <c r="D226" i="15"/>
  <c r="M226" i="15"/>
  <c r="M759" i="15"/>
  <c r="D759" i="15"/>
  <c r="D86" i="15"/>
  <c r="D87" i="15" s="1"/>
  <c r="D88" i="15" s="1"/>
  <c r="D89" i="15" s="1"/>
  <c r="M86" i="15"/>
  <c r="M33" i="15"/>
  <c r="D34" i="15"/>
  <c r="D35" i="15" s="1"/>
  <c r="D36" i="15" s="1"/>
  <c r="D37" i="15" s="1"/>
  <c r="M708" i="15"/>
  <c r="D708" i="15"/>
  <c r="M603" i="15"/>
  <c r="D603" i="15"/>
  <c r="M71" i="15"/>
  <c r="M792" i="15"/>
  <c r="D792" i="15"/>
  <c r="M90" i="15"/>
  <c r="D90" i="15"/>
  <c r="D91" i="15" s="1"/>
  <c r="D92" i="15" s="1"/>
  <c r="D93" i="15" s="1"/>
  <c r="M860" i="15"/>
  <c r="D103" i="15"/>
  <c r="M103" i="15"/>
  <c r="M521" i="15"/>
  <c r="D9" i="11"/>
  <c r="D8" i="11" l="1"/>
  <c r="D7" i="11"/>
  <c r="D6" i="11"/>
  <c r="D5" i="11"/>
  <c r="D4"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ASE</author>
    <author>Pardo-Garcia Nicolas</author>
    <author>Suna Demet</author>
  </authors>
  <commentList>
    <comment ref="R4" authorId="0" shapeId="0" xr:uid="{D709DD45-EAF1-4D3F-95B4-1ACA77B15049}">
      <text>
        <r>
          <rPr>
            <b/>
            <sz val="10"/>
            <color indexed="81"/>
            <rFont val="Tahoma"/>
            <family val="2"/>
          </rPr>
          <t>ASE:</t>
        </r>
        <r>
          <rPr>
            <sz val="10"/>
            <color indexed="81"/>
            <rFont val="Tahoma"/>
            <family val="2"/>
          </rPr>
          <t xml:space="preserve">
These values are based on ES template.</t>
        </r>
      </text>
    </comment>
    <comment ref="U4" authorId="1" shapeId="0" xr:uid="{0662FBE0-3061-41DC-9ED9-C848B0E95E68}">
      <text>
        <r>
          <rPr>
            <b/>
            <sz val="9"/>
            <color indexed="81"/>
            <rFont val="Segoe UI"/>
            <family val="2"/>
          </rPr>
          <t>Pardo-Garcia Nicolas:</t>
        </r>
        <r>
          <rPr>
            <sz val="9"/>
            <color indexed="81"/>
            <rFont val="Segoe UI"/>
            <family val="2"/>
          </rPr>
          <t xml:space="preserve">
Average capacity appliancy 1.3 kW
</t>
        </r>
      </text>
    </comment>
    <comment ref="P5" authorId="2" shapeId="0" xr:uid="{449B218F-1C7E-4B08-B917-4261A282ED76}">
      <text>
        <r>
          <rPr>
            <b/>
            <sz val="9"/>
            <color indexed="81"/>
            <rFont val="Segoe UI"/>
            <family val="2"/>
          </rPr>
          <t>Suna Demet:</t>
        </r>
        <r>
          <rPr>
            <sz val="9"/>
            <color indexed="81"/>
            <rFont val="Segoe UI"/>
            <family val="2"/>
          </rPr>
          <t xml:space="preserve">
estimated based on http://iea-etsap.org/E-TechDS/PDF/R06_Cooking_FINAL_GSOK.pdf
table 4 is BAU- BAT are estimated</t>
        </r>
      </text>
    </comment>
    <comment ref="P17" authorId="2" shapeId="0" xr:uid="{FDA77077-FC9A-4765-9B0C-CE07B4BC1F3C}">
      <text>
        <r>
          <rPr>
            <b/>
            <sz val="9"/>
            <color indexed="81"/>
            <rFont val="Segoe UI"/>
            <family val="2"/>
          </rPr>
          <t>Suna Demet:</t>
        </r>
        <r>
          <rPr>
            <sz val="9"/>
            <color indexed="81"/>
            <rFont val="Segoe UI"/>
            <family val="2"/>
          </rPr>
          <t xml:space="preserve">
estimated based on http://iea-etsap.org/E-TechDS/PDF/R06_Cooking_FINAL_GSOK.pdf
table 4 is BAU- BAT are estimated</t>
        </r>
      </text>
    </comment>
    <comment ref="P29" authorId="2" shapeId="0" xr:uid="{6014CA3F-899A-45F7-A16E-388763955F9F}">
      <text>
        <r>
          <rPr>
            <b/>
            <sz val="9"/>
            <color indexed="81"/>
            <rFont val="Segoe UI"/>
            <family val="2"/>
          </rPr>
          <t>Suna Demet:</t>
        </r>
        <r>
          <rPr>
            <sz val="9"/>
            <color indexed="81"/>
            <rFont val="Segoe UI"/>
            <family val="2"/>
          </rPr>
          <t xml:space="preserve">
estimated based on http://iea-etsap.org/E-TechDS/PDF/R06_Cooking_FINAL_GSOK.pdf
table 4 is BAU- BAT are estimated</t>
        </r>
      </text>
    </comment>
    <comment ref="P41" authorId="2" shapeId="0" xr:uid="{3317DBA0-2DB2-42B5-A025-EF7D95810EF1}">
      <text>
        <r>
          <rPr>
            <b/>
            <sz val="9"/>
            <color indexed="81"/>
            <rFont val="Segoe UI"/>
            <family val="2"/>
          </rPr>
          <t>Suna Demet:</t>
        </r>
        <r>
          <rPr>
            <sz val="9"/>
            <color indexed="81"/>
            <rFont val="Segoe UI"/>
            <family val="2"/>
          </rPr>
          <t xml:space="preserve">
estimated based on http://iea-etsap.org/E-TechDS/PDF/R06_Cooking_FINAL_GSOK.pdf
table 4 is BAU- BAT are estimated</t>
        </r>
      </text>
    </comment>
    <comment ref="P53" authorId="2" shapeId="0" xr:uid="{862D4D77-0AE5-46EF-BE39-A40473F82BCB}">
      <text>
        <r>
          <rPr>
            <b/>
            <sz val="9"/>
            <color indexed="81"/>
            <rFont val="Segoe UI"/>
            <family val="2"/>
          </rPr>
          <t>Suna Demet:</t>
        </r>
        <r>
          <rPr>
            <sz val="9"/>
            <color indexed="81"/>
            <rFont val="Segoe UI"/>
            <family val="2"/>
          </rPr>
          <t xml:space="preserve">
estimated based on http://iea-etsap.org/E-TechDS/PDF/R06_Cooking_FINAL_GSOK.pdf
table 4 is BAU- BAT are estimated</t>
        </r>
      </text>
    </comment>
    <comment ref="P65" authorId="2" shapeId="0" xr:uid="{CD7AD7AF-076A-44A4-89F9-0588217546D9}">
      <text>
        <r>
          <rPr>
            <b/>
            <sz val="9"/>
            <color indexed="81"/>
            <rFont val="Segoe UI"/>
            <family val="2"/>
          </rPr>
          <t>Suna Demet:</t>
        </r>
        <r>
          <rPr>
            <sz val="9"/>
            <color indexed="81"/>
            <rFont val="Segoe UI"/>
            <family val="2"/>
          </rPr>
          <t xml:space="preserve">
estimated based on http://iea-etsap.org/E-TechDS/PDF/R06_Cooking_FINAL_GSOK.pdf
table 4 is BAU- BAT are estimated</t>
        </r>
      </text>
    </comment>
    <comment ref="P77" authorId="2" shapeId="0" xr:uid="{3E2C9A18-1966-4E3C-8229-D1328CF0F911}">
      <text>
        <r>
          <rPr>
            <b/>
            <sz val="9"/>
            <color indexed="81"/>
            <rFont val="Segoe UI"/>
            <family val="2"/>
          </rPr>
          <t>Suna Demet:</t>
        </r>
        <r>
          <rPr>
            <sz val="9"/>
            <color indexed="81"/>
            <rFont val="Segoe UI"/>
            <family val="2"/>
          </rPr>
          <t xml:space="preserve">
estimated based on http://iea-etsap.org/E-TechDS/PDF/R06_Cooking_FINAL_GSOK.pdf
table 4 is BAU- BAT are estimated</t>
        </r>
      </text>
    </comment>
    <comment ref="P89" authorId="2" shapeId="0" xr:uid="{21CBE6AA-85CD-49FA-9EF5-EF7527BA3967}">
      <text>
        <r>
          <rPr>
            <b/>
            <sz val="9"/>
            <color indexed="81"/>
            <rFont val="Segoe UI"/>
            <family val="2"/>
          </rPr>
          <t>Suna Demet:</t>
        </r>
        <r>
          <rPr>
            <sz val="9"/>
            <color indexed="81"/>
            <rFont val="Segoe UI"/>
            <family val="2"/>
          </rPr>
          <t xml:space="preserve">
estimated based on http://iea-etsap.org/E-TechDS/PDF/R06_Cooking_FINAL_GSOK.pdf
table 4 is BAU- BAT are estimated</t>
        </r>
      </text>
    </comment>
    <comment ref="R105" authorId="0" shapeId="0" xr:uid="{53D66699-6747-49B6-B0F0-3378057CEEC0}">
      <text>
        <r>
          <rPr>
            <b/>
            <sz val="10"/>
            <color indexed="81"/>
            <rFont val="Tahoma"/>
            <family val="2"/>
          </rPr>
          <t>ASE:</t>
        </r>
        <r>
          <rPr>
            <sz val="10"/>
            <color indexed="81"/>
            <rFont val="Tahoma"/>
            <family val="2"/>
          </rPr>
          <t xml:space="preserve">
These values are based on ES template.</t>
        </r>
      </text>
    </comment>
    <comment ref="U105" authorId="1" shapeId="0" xr:uid="{8EC2014A-A67A-41F5-8563-D141618C6194}">
      <text>
        <r>
          <rPr>
            <b/>
            <sz val="9"/>
            <color indexed="81"/>
            <rFont val="Segoe UI"/>
            <family val="2"/>
          </rPr>
          <t>Pardo-Garcia Nicolas:</t>
        </r>
        <r>
          <rPr>
            <sz val="9"/>
            <color indexed="81"/>
            <rFont val="Segoe UI"/>
            <family val="2"/>
          </rPr>
          <t xml:space="preserve">
Average capacity appliancy 1.3 kW
</t>
        </r>
      </text>
    </comment>
    <comment ref="U128" authorId="1" shapeId="0" xr:uid="{CF0E4DF1-4F50-439B-B9A9-DFD9FA1CA331}">
      <text>
        <r>
          <rPr>
            <b/>
            <sz val="9"/>
            <color indexed="81"/>
            <rFont val="Segoe UI"/>
            <family val="2"/>
          </rPr>
          <t>Pardo-Garcia Nicolas:</t>
        </r>
        <r>
          <rPr>
            <sz val="9"/>
            <color indexed="81"/>
            <rFont val="Segoe UI"/>
            <family val="2"/>
          </rPr>
          <t xml:space="preserve">
https://proelektro.eu/userfiles/files/Philips%20Light%20sources%2C%20electronics%20and%20professional%20luminaires%2C%20Pricelist%202018.pdf</t>
        </r>
      </text>
    </comment>
    <comment ref="U130" authorId="1" shapeId="0" xr:uid="{AAC9243E-9203-4A90-99A7-62FFFE8469AA}">
      <text>
        <r>
          <rPr>
            <b/>
            <sz val="9"/>
            <color indexed="81"/>
            <rFont val="Segoe UI"/>
            <family val="2"/>
          </rPr>
          <t>Pardo-Garcia Nicolas:</t>
        </r>
        <r>
          <rPr>
            <sz val="9"/>
            <color indexed="81"/>
            <rFont val="Segoe UI"/>
            <family val="2"/>
          </rPr>
          <t xml:space="preserve">
https://proelektro.eu/userfiles/files/Philips%20Light%20sources%2C%20electronics%20and%20professional%20luminaires%2C%20Pricelist%202018.pdf</t>
        </r>
      </text>
    </comment>
    <comment ref="U137" authorId="1" shapeId="0" xr:uid="{E0C049F6-7A2D-4DBC-9618-6DBB6E856849}">
      <text>
        <r>
          <rPr>
            <b/>
            <sz val="9"/>
            <color indexed="81"/>
            <rFont val="Segoe UI"/>
            <family val="2"/>
          </rPr>
          <t>Pardo-Garcia Nicolas:</t>
        </r>
        <r>
          <rPr>
            <sz val="9"/>
            <color indexed="81"/>
            <rFont val="Segoe UI"/>
            <family val="2"/>
          </rPr>
          <t xml:space="preserve">
https://proelektro.eu/userfiles/files/Philips%20Light%20sources%2C%20electronics%20and%20professional%20luminaires%2C%20Pricelist%202018.pdf</t>
        </r>
      </text>
    </comment>
    <comment ref="U144" authorId="1" shapeId="0" xr:uid="{DCD3429D-5201-4411-9253-B8DE28F2C869}">
      <text>
        <r>
          <rPr>
            <b/>
            <sz val="9"/>
            <color indexed="81"/>
            <rFont val="Segoe UI"/>
            <family val="2"/>
          </rPr>
          <t>Pardo-Garcia Nicolas:</t>
        </r>
        <r>
          <rPr>
            <sz val="9"/>
            <color indexed="81"/>
            <rFont val="Segoe UI"/>
            <family val="2"/>
          </rPr>
          <t xml:space="preserve">
https://proelektro.eu/userfiles/files/Philips%20Light%20sources%2C%20electronics%20and%20professional%20luminaires%2C%20Pricelist%202018.pdf</t>
        </r>
      </text>
    </comment>
    <comment ref="U151" authorId="1" shapeId="0" xr:uid="{F0F4B9EF-1AB4-4944-AF47-15B2016D2E78}">
      <text>
        <r>
          <rPr>
            <b/>
            <sz val="9"/>
            <color indexed="81"/>
            <rFont val="Segoe UI"/>
            <family val="2"/>
          </rPr>
          <t>Pardo-Garcia Nicolas:</t>
        </r>
        <r>
          <rPr>
            <sz val="9"/>
            <color indexed="81"/>
            <rFont val="Segoe UI"/>
            <family val="2"/>
          </rPr>
          <t xml:space="preserve">
https://proelektro.eu/userfiles/files/Philips%20Light%20sources%2C%20electronics%20and%20professional%20luminaires%2C%20Pricelist%202018.pdf</t>
        </r>
      </text>
    </comment>
    <comment ref="U158" authorId="1" shapeId="0" xr:uid="{29D7071F-8013-4066-AB83-C2D172FE9226}">
      <text>
        <r>
          <rPr>
            <b/>
            <sz val="9"/>
            <color indexed="81"/>
            <rFont val="Segoe UI"/>
            <family val="2"/>
          </rPr>
          <t>Pardo-Garcia Nicolas:</t>
        </r>
        <r>
          <rPr>
            <sz val="9"/>
            <color indexed="81"/>
            <rFont val="Segoe UI"/>
            <family val="2"/>
          </rPr>
          <t xml:space="preserve">
https://proelektro.eu/userfiles/files/Philips%20Light%20sources%2C%20electronics%20and%20professional%20luminaires%2C%20Pricelist%202018.pdf</t>
        </r>
      </text>
    </comment>
    <comment ref="U165" authorId="1" shapeId="0" xr:uid="{C913B242-8C6A-4779-974D-48E0C8C26A1B}">
      <text>
        <r>
          <rPr>
            <b/>
            <sz val="9"/>
            <color indexed="81"/>
            <rFont val="Segoe UI"/>
            <family val="2"/>
          </rPr>
          <t>Pardo-Garcia Nicolas:</t>
        </r>
        <r>
          <rPr>
            <sz val="9"/>
            <color indexed="81"/>
            <rFont val="Segoe UI"/>
            <family val="2"/>
          </rPr>
          <t xml:space="preserve">
https://proelektro.eu/userfiles/files/Philips%20Light%20sources%2C%20electronics%20and%20professional%20luminaires%2C%20Pricelist%202018.pdf</t>
        </r>
      </text>
    </comment>
    <comment ref="U172" authorId="1" shapeId="0" xr:uid="{E0114D23-A13C-415C-86E1-D22A6E9618DD}">
      <text>
        <r>
          <rPr>
            <b/>
            <sz val="9"/>
            <color indexed="81"/>
            <rFont val="Segoe UI"/>
            <family val="2"/>
          </rPr>
          <t>Pardo-Garcia Nicolas:</t>
        </r>
        <r>
          <rPr>
            <sz val="9"/>
            <color indexed="81"/>
            <rFont val="Segoe UI"/>
            <family val="2"/>
          </rPr>
          <t xml:space="preserve">
https://proelektro.eu/userfiles/files/Philips%20Light%20sources%2C%20electronics%20and%20professional%20luminaires%2C%20Pricelist%202018.pdf</t>
        </r>
      </text>
    </comment>
    <comment ref="U179" authorId="1" shapeId="0" xr:uid="{62F08FAC-3466-4098-B18B-1F33A4BB94F8}">
      <text>
        <r>
          <rPr>
            <b/>
            <sz val="9"/>
            <color indexed="81"/>
            <rFont val="Segoe UI"/>
            <family val="2"/>
          </rPr>
          <t>Pardo-Garcia Nicolas:</t>
        </r>
        <r>
          <rPr>
            <sz val="9"/>
            <color indexed="81"/>
            <rFont val="Segoe UI"/>
            <family val="2"/>
          </rPr>
          <t xml:space="preserve">
https://proelektro.eu/userfiles/files/Philips%20Light%20sources%2C%20electronics%20and%20professional%20luminaires%2C%20Pricelist%202018.pdf</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Anna Krook-Riekkola</author>
    <author>tc={396240CD-0AE4-4420-9A0E-3123E2CB5B22}</author>
  </authors>
  <commentList>
    <comment ref="A2" authorId="0" shapeId="0" xr:uid="{00000000-0006-0000-0100-000001000000}">
      <text>
        <r>
          <rPr>
            <b/>
            <sz val="9"/>
            <color indexed="81"/>
            <rFont val="Tahoma"/>
            <family val="2"/>
          </rPr>
          <t>AKR:</t>
        </r>
        <r>
          <rPr>
            <sz val="9"/>
            <color indexed="81"/>
            <rFont val="Tahoma"/>
            <family val="2"/>
          </rPr>
          <t xml:space="preserve">
Purpose: To be able to understand what kind of data it is and to later be able to update the info</t>
        </r>
      </text>
    </comment>
    <comment ref="J2" authorId="0" shapeId="0" xr:uid="{00000000-0006-0000-0100-000002000000}">
      <text>
        <r>
          <rPr>
            <b/>
            <sz val="9"/>
            <color indexed="81"/>
            <rFont val="Tahoma"/>
            <family val="2"/>
          </rPr>
          <t>AKR:</t>
        </r>
        <r>
          <rPr>
            <sz val="9"/>
            <color indexed="81"/>
            <rFont val="Tahoma"/>
            <family val="2"/>
          </rPr>
          <t xml:space="preserve">
Purpose: To be able to understand what kind of data it is and to later be able to update the info</t>
        </r>
      </text>
    </comment>
    <comment ref="Z2" authorId="0" shapeId="0" xr:uid="{00000000-0006-0000-0100-000003000000}">
      <text>
        <r>
          <rPr>
            <b/>
            <sz val="9"/>
            <color indexed="81"/>
            <rFont val="Tahoma"/>
            <family val="2"/>
          </rPr>
          <t>AKR:</t>
        </r>
        <r>
          <rPr>
            <sz val="9"/>
            <color indexed="81"/>
            <rFont val="Tahoma"/>
            <family val="2"/>
          </rPr>
          <t xml:space="preserve">
For all Search Info - Use agreed Key names</t>
        </r>
      </text>
    </comment>
    <comment ref="AO2" authorId="1" shapeId="0" xr:uid="{00000000-0006-0000-0100-000004000000}">
      <text>
        <t>[Threaded comment]
Your version of Excel allows you to read this threaded comment; however, any edits to it will get removed if the file is opened in a newer version of Excel. Learn more: https://go.microsoft.com/fwlink/?linkid=870924
Comment:
    For a process having different outputs say space heating and hot water, Multiplication factor is teh ratio of EFF of ist output bto EFF of second output. Multiplication factor of second output (i.e. hot water)*EFF of 1st output gives the efficiency of Second output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tc={B76ACD4D-89F4-4AFB-93DD-3F97EAE21C19}</author>
    <author>tc={87BCC07A-F72F-4A17-B162-31B758DED4EF}</author>
  </authors>
  <commentList>
    <comment ref="B52" authorId="0" shapeId="0" xr:uid="{00000000-0006-0000-0400-000001000000}">
      <text>
        <t>[Threaded comment]
Your version of Excel allows you to read this threaded comment; however, any edits to it will get removed if the file is opened in a newer version of Excel. Learn more: https://go.microsoft.com/fwlink/?linkid=870924
Comment:
    One technology, with "natural gas / biogas" as fuel inputs which in TMES will be GAS</t>
      </text>
    </comment>
    <comment ref="B54" authorId="1" shapeId="0" xr:uid="{00000000-0006-0000-0400-000002000000}">
      <text>
        <t>[Threaded comment]
Your version of Excel allows you to read this threaded comment; however, any edits to it will get removed if the file is opened in a newer version of Excel. Learn more: https://go.microsoft.com/fwlink/?linkid=870924
Comment:
    Chemically very similar, hence consider both
as GAS</t>
      </text>
    </comment>
  </commentList>
</comments>
</file>

<file path=xl/sharedStrings.xml><?xml version="1.0" encoding="utf-8"?>
<sst xmlns="http://schemas.openxmlformats.org/spreadsheetml/2006/main" count="13144" uniqueCount="1347">
  <si>
    <t>For Data information, write the same as what is used in the source</t>
  </si>
  <si>
    <t>This data should be TIMES code names</t>
  </si>
  <si>
    <t>GENERAL DATA INFORMATION  --&gt;</t>
  </si>
  <si>
    <t xml:space="preserve">Different units are used </t>
  </si>
  <si>
    <t>DATA INFORMATION -&gt;</t>
  </si>
  <si>
    <t>&lt;-- DATA INFORMATION</t>
  </si>
  <si>
    <t>SubRES SEARCH INFORMATION  --&gt;</t>
  </si>
  <si>
    <t>&lt;--  SubRES SEARCH INFORMATION</t>
  </si>
  <si>
    <t>TOPOLOGY  --&gt;</t>
  </si>
  <si>
    <t>&lt;--  TOPOLOGY</t>
  </si>
  <si>
    <t>Engineering parameters  --&gt;</t>
  </si>
  <si>
    <t>Note Included</t>
  </si>
  <si>
    <t>For heat pump instead incldue as COP (instead of EFF)</t>
  </si>
  <si>
    <t xml:space="preserve">&lt;--  Engineering parameters
</t>
  </si>
  <si>
    <t>Economic parameters  --&gt;</t>
  </si>
  <si>
    <t xml:space="preserve">&lt;--  Economic parameters
</t>
  </si>
  <si>
    <t>Environment paramerters --&gt;</t>
  </si>
  <si>
    <t xml:space="preserve">&lt;-- Environment paramerters </t>
  </si>
  <si>
    <t>SourceInfo</t>
  </si>
  <si>
    <t>What kind on information this is</t>
  </si>
  <si>
    <t>Unique KEY</t>
  </si>
  <si>
    <t>TranslateInfo</t>
  </si>
  <si>
    <t>Technology Information</t>
  </si>
  <si>
    <t>SearchInfo</t>
  </si>
  <si>
    <t>Critical</t>
  </si>
  <si>
    <t>INPUTS</t>
  </si>
  <si>
    <t>OUTPUT</t>
  </si>
  <si>
    <t>Semi-Critical</t>
  </si>
  <si>
    <t>Source</t>
  </si>
  <si>
    <t>Name of the information</t>
  </si>
  <si>
    <t>KEY</t>
  </si>
  <si>
    <t>Name on provider of information</t>
  </si>
  <si>
    <t>Comment</t>
  </si>
  <si>
    <t>Capacity unit *</t>
  </si>
  <si>
    <t>Energy unit *</t>
  </si>
  <si>
    <t>Currency unit *</t>
  </si>
  <si>
    <t>Data reference year</t>
  </si>
  <si>
    <t>Technology Type</t>
  </si>
  <si>
    <t>Technology Description</t>
  </si>
  <si>
    <t>Typical Size or Capacity *</t>
  </si>
  <si>
    <t>Fuel Input</t>
  </si>
  <si>
    <t>Region</t>
  </si>
  <si>
    <t>Year</t>
  </si>
  <si>
    <t>Sector</t>
  </si>
  <si>
    <t>SubSector</t>
  </si>
  <si>
    <t>Type (prc_grp)</t>
  </si>
  <si>
    <t>Fuel Price</t>
  </si>
  <si>
    <t>Comm-IN</t>
  </si>
  <si>
    <t>Comm-IN-A</t>
  </si>
  <si>
    <t>Comm-OUT</t>
  </si>
  <si>
    <t>CAPACT</t>
  </si>
  <si>
    <t>START</t>
  </si>
  <si>
    <t>Multiplication factor of EFF from main commodity</t>
  </si>
  <si>
    <t>Share_FX</t>
  </si>
  <si>
    <t>Type of building</t>
  </si>
  <si>
    <t>Share_UP</t>
  </si>
  <si>
    <t>Heating Type</t>
  </si>
  <si>
    <t>COP</t>
  </si>
  <si>
    <t>TOTAL EFF</t>
  </si>
  <si>
    <t>HEAT EFF</t>
  </si>
  <si>
    <t>ELC EFF</t>
  </si>
  <si>
    <t>CEFF</t>
  </si>
  <si>
    <t>CEH (coefficient of electricity to heat)</t>
  </si>
  <si>
    <t>CHPR (heat-to-power ratio)</t>
  </si>
  <si>
    <t>CF</t>
  </si>
  <si>
    <t>AF</t>
  </si>
  <si>
    <t>LIFE</t>
  </si>
  <si>
    <t>TLIFE</t>
  </si>
  <si>
    <t>ELIFE</t>
  </si>
  <si>
    <t>Investment Cost</t>
  </si>
  <si>
    <t>Technology readiness level</t>
  </si>
  <si>
    <t>Technology uncertainty information</t>
  </si>
  <si>
    <t>Lead-time</t>
  </si>
  <si>
    <t>Refurbishment costs</t>
  </si>
  <si>
    <t>Refurbishment Excention</t>
  </si>
  <si>
    <t>Decommissioning costs</t>
  </si>
  <si>
    <t>FIXOM</t>
  </si>
  <si>
    <t>VAROM</t>
  </si>
  <si>
    <t>SO2 Emissions</t>
  </si>
  <si>
    <t>NOx Emissions</t>
  </si>
  <si>
    <t>CH4 Emissions</t>
  </si>
  <si>
    <t>N2O Emissions</t>
  </si>
  <si>
    <t>Particle Emissions</t>
  </si>
  <si>
    <t>Additional Info</t>
  </si>
  <si>
    <t>This should be defined by the "database" - and not by the user</t>
  </si>
  <si>
    <t>General comments or concerns about the data</t>
  </si>
  <si>
    <t>Name according to the data set</t>
  </si>
  <si>
    <t>Name according to the data set. Good if it also inlcude indication of which kind of size</t>
  </si>
  <si>
    <t>(Will have different units for different sources)</t>
  </si>
  <si>
    <t>Auxilary input</t>
  </si>
  <si>
    <t>The year from which the data apply</t>
  </si>
  <si>
    <t>Name according to Short Key Names</t>
  </si>
  <si>
    <t>Name according to Long Key Names</t>
  </si>
  <si>
    <t>Name according to Key Names</t>
  </si>
  <si>
    <t>A defualt value defined by defined Energy and Capacity</t>
  </si>
  <si>
    <t>The year when the technology (with associated techno-ecnomic parameters) are available.</t>
  </si>
  <si>
    <t>Second commodity</t>
  </si>
  <si>
    <t>Third commodity</t>
  </si>
  <si>
    <t>SOL</t>
  </si>
  <si>
    <t>ELC</t>
  </si>
  <si>
    <t>OIL</t>
  </si>
  <si>
    <t>AP/ HS</t>
  </si>
  <si>
    <t>Space Heating</t>
  </si>
  <si>
    <t>Hot Water</t>
  </si>
  <si>
    <t>Cooling</t>
  </si>
  <si>
    <t>Heating system within the building: HR:Radiators, HF:Floor</t>
  </si>
  <si>
    <t>Total efficiency</t>
  </si>
  <si>
    <t>Apply when different EFF are provided for different fuels</t>
  </si>
  <si>
    <t>Only for CHP. How CHP technologies is understood by the model will depend on the CEH value.</t>
  </si>
  <si>
    <t>Only for CHP</t>
  </si>
  <si>
    <t>Historic capacity factor, thus based on share when it is commonly being operated. Used for calculating approximite LCOE, but not as model input.</t>
  </si>
  <si>
    <t>Annual Availability factor (Share of the year when plant is available), thus not consider when suitable to operate, but when possible to operate (e.g. considering maintenances etc)</t>
  </si>
  <si>
    <t>Lifetime (unspecified)</t>
  </si>
  <si>
    <t>Technical Lifetime</t>
  </si>
  <si>
    <t>Economic Lifetime</t>
  </si>
  <si>
    <t>Overnight cost</t>
  </si>
  <si>
    <t>Years to build the plant (excluding permits)</t>
  </si>
  <si>
    <t>Fixed Operation and Maintenance costs</t>
  </si>
  <si>
    <t>Variable Operation and Maintenance costs</t>
  </si>
  <si>
    <t>SO2</t>
  </si>
  <si>
    <t>NOx</t>
  </si>
  <si>
    <t>CH4</t>
  </si>
  <si>
    <t>N2O</t>
  </si>
  <si>
    <t>Particle</t>
  </si>
  <si>
    <t>Short text</t>
  </si>
  <si>
    <t>TEMPORARY columns</t>
  </si>
  <si>
    <t>Kind of input that is assumed in the database</t>
  </si>
  <si>
    <t>Long text</t>
  </si>
  <si>
    <t>YEAR</t>
  </si>
  <si>
    <t xml:space="preserve">Cost/Capacity </t>
  </si>
  <si>
    <t>Years</t>
  </si>
  <si>
    <t>Cost/Capacity</t>
  </si>
  <si>
    <t xml:space="preserve">Cost/ Energy </t>
  </si>
  <si>
    <t>UNITS</t>
  </si>
  <si>
    <t>DEA (2017)</t>
  </si>
  <si>
    <t>Parvathy Sobha</t>
  </si>
  <si>
    <t>Euro</t>
  </si>
  <si>
    <t>Heat Generation KW</t>
  </si>
  <si>
    <t>Electricity Generation KW</t>
  </si>
  <si>
    <t>Fill for heat-pumps (either Air or Ground or Water)</t>
  </si>
  <si>
    <t xml:space="preserve">Lookup </t>
  </si>
  <si>
    <t>%</t>
  </si>
  <si>
    <t>Fraction</t>
  </si>
  <si>
    <t>€/unit/year</t>
  </si>
  <si>
    <t xml:space="preserve">€/MWh </t>
  </si>
  <si>
    <t>(g/GJ fuel)</t>
  </si>
  <si>
    <t>Oil-fired boiler</t>
  </si>
  <si>
    <t>Oil boiler (mineral oil fired, &lt; 10 % FAME) - One-family house, existing and energy renovated buildings</t>
  </si>
  <si>
    <t>Oil</t>
  </si>
  <si>
    <t>Denmark</t>
  </si>
  <si>
    <t>RSD</t>
  </si>
  <si>
    <t>HSB</t>
  </si>
  <si>
    <t>DMD</t>
  </si>
  <si>
    <t>Oil boiler (bio oil) - One-family house, new building. HVO is assumed from 2030</t>
  </si>
  <si>
    <t>Bio oil</t>
  </si>
  <si>
    <t>HSA</t>
  </si>
  <si>
    <t>Included in this sheet (not present in ELC SubRes FILE)</t>
  </si>
  <si>
    <t>Oil boiler (mineral oil fired, &lt; 10 % FAME) - Apartment complex, existing building</t>
  </si>
  <si>
    <t>APC</t>
  </si>
  <si>
    <t>Not required for DEA Data</t>
  </si>
  <si>
    <t>Oil boiler (bio oil) - Apartment complex, new building. HVO is assumed from 2030</t>
  </si>
  <si>
    <t>APA</t>
  </si>
  <si>
    <t>Natural gas boiler</t>
  </si>
  <si>
    <t>Natural gas boiler - One-family house, existing and energy renovated buildings</t>
  </si>
  <si>
    <t>Natural gas</t>
  </si>
  <si>
    <t>Natural gas boiler - One-family house, new buildings</t>
  </si>
  <si>
    <t>Natural gas boiler - Apartment complex, existing building</t>
  </si>
  <si>
    <t>Natural gas boiler - Apartment complex, new building</t>
  </si>
  <si>
    <t>District heating</t>
  </si>
  <si>
    <t>Indirect district heating substation - One-family house, existing and energy renovated buildings</t>
  </si>
  <si>
    <t>District Heating</t>
  </si>
  <si>
    <t>Indirect district heating substation - One-family house new buildings</t>
  </si>
  <si>
    <t>Indirect district heating substation - Apartment complex, existing building</t>
  </si>
  <si>
    <t>Indirect district heating substation - Apartment complex, new  building</t>
  </si>
  <si>
    <t>Direct district heating substation - One-family house, existing, new and energy renovated buildings</t>
  </si>
  <si>
    <t>Direct district heating substation - Apartment complex, existing building</t>
  </si>
  <si>
    <t>Direct district heating substation - Apartment complex, new  building</t>
  </si>
  <si>
    <t>Biomass boilers</t>
  </si>
  <si>
    <t>Biomass boiler, automatic stoking , wood pellets or wood chips - One-family house, existing and energy renovated buildings</t>
  </si>
  <si>
    <t>Biomass</t>
  </si>
  <si>
    <t>Biomass boiler, automatic stoking , wood pellets or wood chips  - One-family house, new buildings</t>
  </si>
  <si>
    <t>Biomass boiler, automatic stoking , wood pellets or wood chips - Apartment complex, existing building</t>
  </si>
  <si>
    <t>Biomass boiler, automatic stoking , wood pellets or wood chips - Apartment complex, new building</t>
  </si>
  <si>
    <t>Biomass boiler, manual stoking, wood logs - One-family house, existing, new and energy renovated buildings</t>
  </si>
  <si>
    <t>Wood stove</t>
  </si>
  <si>
    <t>Wood stove without water tank, wood logs - One-family house, existing, energy renovated and new buildings</t>
  </si>
  <si>
    <t>Wood stove with water tank - One-family house, existing, energy renovated and new buildings</t>
  </si>
  <si>
    <t>Electric heat pumps</t>
  </si>
  <si>
    <t>Heat pump, Air-to-air, existing one family house</t>
  </si>
  <si>
    <t>Electricity</t>
  </si>
  <si>
    <t>Air</t>
  </si>
  <si>
    <t>Heat pump, Air-to-air, new one family house</t>
  </si>
  <si>
    <t>Heat pump, Air-to-water, existing one family house</t>
  </si>
  <si>
    <t>HF</t>
  </si>
  <si>
    <t>Heat pump, Air-to-water, new one family house</t>
  </si>
  <si>
    <t>Heat pump, Air-to-water, existing apartments</t>
  </si>
  <si>
    <t>Heat pump, Air-to-water, new apartments</t>
  </si>
  <si>
    <t>Heat pump, ground source, existing one family house</t>
  </si>
  <si>
    <t>Ground</t>
  </si>
  <si>
    <t>Heat pump, ground source, new one family house</t>
  </si>
  <si>
    <t>Heat pump, Ground source, existing apartments</t>
  </si>
  <si>
    <t>Heat pump, Ground source, new apartments</t>
  </si>
  <si>
    <t>HR</t>
  </si>
  <si>
    <t>Heat pump, ventilation, new one family house</t>
  </si>
  <si>
    <t>Heat pump, ventilation, new apartments</t>
  </si>
  <si>
    <t>Gas driven absorption heat pumps</t>
  </si>
  <si>
    <t>Heat pump absorption gas driven, air-to-water, one family house, existing buildings</t>
  </si>
  <si>
    <t>Gas</t>
  </si>
  <si>
    <t>Heat pump absorption gas driven, brine-to-water, one family house, existing buildings</t>
  </si>
  <si>
    <t>Water</t>
  </si>
  <si>
    <t>Heat pump absorption gas driven, air-to-water, apartment complex, existing buildings</t>
  </si>
  <si>
    <t>Heat pump absorption gas driven, brine-to-water, apartment complex, existing buildings</t>
  </si>
  <si>
    <t>Gas engine driven heat pump</t>
  </si>
  <si>
    <t>Heat pump gas-engine driven, air-to-water, apartment complex, existing buildings</t>
  </si>
  <si>
    <t>Heat pump gas-engine driven, brine-to-water, apartment complex, existing buildings</t>
  </si>
  <si>
    <t>Gas driven adsorption heat pumps</t>
  </si>
  <si>
    <t>Heat pump, adsorption gas driven, brine-to-water, ground source, one family house, existing buildings</t>
  </si>
  <si>
    <t>Solar heating</t>
  </si>
  <si>
    <t>Solar heating system - One-family house, existing building.</t>
  </si>
  <si>
    <t>Solar</t>
  </si>
  <si>
    <t>HSC</t>
  </si>
  <si>
    <t>Solar heating system - One-family house, Energy renovated.</t>
  </si>
  <si>
    <t>Solar heating system - One-family house, new building</t>
  </si>
  <si>
    <t>Solar heating system - Apartment complex, existing building</t>
  </si>
  <si>
    <t>Solar heating system - Apartment complex, new building</t>
  </si>
  <si>
    <t>Electric heating</t>
  </si>
  <si>
    <t>Electric heating - One-famely house, new building</t>
  </si>
  <si>
    <t>Electric heating - Apartment complex, new building</t>
  </si>
  <si>
    <t>SOFC mCHP</t>
  </si>
  <si>
    <t>SOFC (microCHP) - natural gas / biogas, One-family house existing and new building</t>
  </si>
  <si>
    <t>natural gas / biogas</t>
  </si>
  <si>
    <t>LT-PEMFC (microCHP)</t>
  </si>
  <si>
    <t>LT-PEMFC (microCHP) - hydrogen</t>
  </si>
  <si>
    <t>Hydrogen</t>
  </si>
  <si>
    <t/>
  </si>
  <si>
    <t>LT-PEMFC (mCHP)</t>
  </si>
  <si>
    <t>LT-PEMFC (mCHP) - methane/natural gas</t>
  </si>
  <si>
    <t>methane/natural gas</t>
  </si>
  <si>
    <t>RSD SubRes file from TIMES-City</t>
  </si>
  <si>
    <t>MW</t>
  </si>
  <si>
    <t>TJ</t>
  </si>
  <si>
    <t>AirChiller</t>
  </si>
  <si>
    <t>RAPC_AirChiller_ELC_LARGE</t>
  </si>
  <si>
    <t>Europe</t>
  </si>
  <si>
    <t>AP</t>
  </si>
  <si>
    <t>AirHeatPump</t>
  </si>
  <si>
    <t>RAPH_AirHeatPump_ELC_LARGE</t>
  </si>
  <si>
    <t>RAPHW_AirHeatPump_ELC_LARGE</t>
  </si>
  <si>
    <t>APB</t>
  </si>
  <si>
    <t>APE</t>
  </si>
  <si>
    <t>RAPHWC_AirHeatPump_ELC_LARGE</t>
  </si>
  <si>
    <t>AirHeatPumpFuel</t>
  </si>
  <si>
    <t>RAPHC_AirHeatPumpFuel_GAS_LARGE</t>
  </si>
  <si>
    <t>RAPHWC_AirHeatPumpFuel_GAS_LARGE</t>
  </si>
  <si>
    <t>CoalBoiler</t>
  </si>
  <si>
    <t>RAPH_CoalBoiler_COA_LARGE</t>
  </si>
  <si>
    <t>Coal</t>
  </si>
  <si>
    <t>RAPHW_CoalBoiler_COA_LARGE</t>
  </si>
  <si>
    <t>RAPW_CoalBoiler_COA_LARGE</t>
  </si>
  <si>
    <t>DieselFurnace</t>
  </si>
  <si>
    <t>RAPH_DieselFurnace_DST_LARGE</t>
  </si>
  <si>
    <t>Diesel</t>
  </si>
  <si>
    <t>RAPHW_DieselFurnace_DST_LARGE</t>
  </si>
  <si>
    <t>RAPW_DieselFurnace_DST_LARGE</t>
  </si>
  <si>
    <t>DistrictCooling</t>
  </si>
  <si>
    <t>RAPC_DistrictCooling_COO_LARGE</t>
  </si>
  <si>
    <t>District Cooling</t>
  </si>
  <si>
    <t>DistrictHeating</t>
  </si>
  <si>
    <t>RAPH_DistrictHeating_HTH_LARGE</t>
  </si>
  <si>
    <t>RAPHW_DistrictHeating_HTH_LARGE</t>
  </si>
  <si>
    <t>GasBoiler</t>
  </si>
  <si>
    <t>RAPH_GasBoiler_GAS_LARGE</t>
  </si>
  <si>
    <t>RAPHW_GasBoiler_GAS_LARGE</t>
  </si>
  <si>
    <t>GasFurnace</t>
  </si>
  <si>
    <t>RAPW_GasFurnace_GAS_LARGE</t>
  </si>
  <si>
    <t>RAPH_GasFurnace_GAS_LARGE</t>
  </si>
  <si>
    <t>RAPHW_GasFurnace_GAS_LARGE</t>
  </si>
  <si>
    <t>GroundHeatPump</t>
  </si>
  <si>
    <t>RAPH_GroundHeatPump_ELC_LARGE</t>
  </si>
  <si>
    <t>RAPHW_GroundHeatPump_ELC_LARGE</t>
  </si>
  <si>
    <t>RAPHWC_GroundHeatPump_ELC_LARGE</t>
  </si>
  <si>
    <t>PelletBoiler</t>
  </si>
  <si>
    <t>RAPH_PelletBoiler_BPL_LARGE</t>
  </si>
  <si>
    <t>Pellet</t>
  </si>
  <si>
    <t>RAPHW_PelletBoiler_BPL_LARGE</t>
  </si>
  <si>
    <t>PelletStove</t>
  </si>
  <si>
    <t>RAPW_PelletStove_BPL_LARGE</t>
  </si>
  <si>
    <t>SolarThermal</t>
  </si>
  <si>
    <t>RAPW_SolarThermal_SOL_LARGE</t>
  </si>
  <si>
    <t>RAPH_SolarThermal_SOL_LARGE</t>
  </si>
  <si>
    <t>Split</t>
  </si>
  <si>
    <t>RAPC_Split_ELC_LARGE</t>
  </si>
  <si>
    <t>WaterChiller</t>
  </si>
  <si>
    <t>RAPC_WaterChiller_ELC_LARGE</t>
  </si>
  <si>
    <t>WoodStove</t>
  </si>
  <si>
    <t>RAPH_WoodStove_BFW_LARGE</t>
  </si>
  <si>
    <t>Wood</t>
  </si>
  <si>
    <t>RAPHW_WoodStove_BFW_LARGE</t>
  </si>
  <si>
    <t>RAPW_WoodStove_BFW_LARGE</t>
  </si>
  <si>
    <t>VRFCentral</t>
  </si>
  <si>
    <t>RAPC_VRFCentral_ELC_LARGE</t>
  </si>
  <si>
    <t>RAPC_AirChiller_ELC_SMALL</t>
  </si>
  <si>
    <t>RAPH_AirHeatPump_ELC_SMALL</t>
  </si>
  <si>
    <t>RAPHC_AirHeatPump_ELC_SMALL</t>
  </si>
  <si>
    <t>ElectricBoiler</t>
  </si>
  <si>
    <t>RAPH_ElectricBoiler_ELC_SMALL</t>
  </si>
  <si>
    <t>Electricboiler</t>
  </si>
  <si>
    <t>RAPHW_Electricboiler_ELC_SMALL</t>
  </si>
  <si>
    <t>ElectricHeater</t>
  </si>
  <si>
    <t>RAPW_ElectricHeater_ELC_SMALL</t>
  </si>
  <si>
    <t>ElectricResistance</t>
  </si>
  <si>
    <t>RAPH_ElectricResistance_ELC_SMALL</t>
  </si>
  <si>
    <t>RAPW_ElectricResistance_ELC_SMALL</t>
  </si>
  <si>
    <t>Fan</t>
  </si>
  <si>
    <t>RAPC_Fan_ELC_SMALL</t>
  </si>
  <si>
    <t>RAPH_GasBoiler_GAS_SMALL</t>
  </si>
  <si>
    <t>RAPHW_GasBoiler_GAS_SMALL</t>
  </si>
  <si>
    <t>RAPW_GasFurnace_GAS_SMALL</t>
  </si>
  <si>
    <t>RAPH_GasFurnace_GAS_SMALL</t>
  </si>
  <si>
    <t>RAPHW_GasFurnace_GAS_SMALL</t>
  </si>
  <si>
    <t>LPGFurnace</t>
  </si>
  <si>
    <t>RAPH_LPGFurnace_LPG_SMALL</t>
  </si>
  <si>
    <t>LPG</t>
  </si>
  <si>
    <t>RAPW_LPGFurnace_LPG_SMALL</t>
  </si>
  <si>
    <t>RAPC_Split_ELC_SMALL</t>
  </si>
  <si>
    <t>RAPC_WaterChiller_ELC_SMALL</t>
  </si>
  <si>
    <t>GasOvenHobs</t>
  </si>
  <si>
    <t>RK_GasOvenHobs_GAS</t>
  </si>
  <si>
    <t>ElectricOvenHobs</t>
  </si>
  <si>
    <t>RK_ElectricOvenHobs_ELC</t>
  </si>
  <si>
    <t>LPGOvenHobs</t>
  </si>
  <si>
    <t>RK_LPGOvenHobs_ELC</t>
  </si>
  <si>
    <t>ElectricRange</t>
  </si>
  <si>
    <t>RK_ElectricRange_ELC</t>
  </si>
  <si>
    <t>GasRange</t>
  </si>
  <si>
    <t>RK_GasRange_GAS</t>
  </si>
  <si>
    <t>LPGRange</t>
  </si>
  <si>
    <t>RK_LPGRange_LPG</t>
  </si>
  <si>
    <t>ElectricSteamer</t>
  </si>
  <si>
    <t>RK_ElectricSteamer_ELC</t>
  </si>
  <si>
    <t>GasSteamer</t>
  </si>
  <si>
    <t>RK_GasSteamer_GAS</t>
  </si>
  <si>
    <t>ElectricFryerGriddle</t>
  </si>
  <si>
    <t>RK_ElectricFryerGriddle_ELC</t>
  </si>
  <si>
    <t>GasFryerGriddle</t>
  </si>
  <si>
    <t>RK_GasFryerGriddle_GAS</t>
  </si>
  <si>
    <t>OtherAppliances</t>
  </si>
  <si>
    <t>RO_OtherAppliances_ELC</t>
  </si>
  <si>
    <t>FluorescentTubes</t>
  </si>
  <si>
    <t>RL_FluorescentTubes_ELC</t>
  </si>
  <si>
    <t>LED</t>
  </si>
  <si>
    <t>RL_LED_ELC</t>
  </si>
  <si>
    <t>Halogen</t>
  </si>
  <si>
    <t>RL_Halogen_ELC</t>
  </si>
  <si>
    <t>IncandescentImproved</t>
  </si>
  <si>
    <t>RL_IncandescentImproved_ELC</t>
  </si>
  <si>
    <t>Incandescent</t>
  </si>
  <si>
    <t>RL_Incandescent_ELC</t>
  </si>
  <si>
    <t>PressureSodium</t>
  </si>
  <si>
    <t>RL_PressureSodium_ELC</t>
  </si>
  <si>
    <t>MetalHalide</t>
  </si>
  <si>
    <t>RL_MetalHalide_ELC</t>
  </si>
  <si>
    <t>RHSH_DieselFurnace_DST_SMALL</t>
  </si>
  <si>
    <t>2030</t>
  </si>
  <si>
    <t>HS</t>
  </si>
  <si>
    <t>RHSH_LPGFurnace_LPG_SMALL</t>
  </si>
  <si>
    <t>Pelletboiler</t>
  </si>
  <si>
    <t>RHSH_Pelletboiler_BPL_SMALL</t>
  </si>
  <si>
    <t>RHSH_AirHeatPump_ELC_SMALL</t>
  </si>
  <si>
    <t>RHSH_GroundHeatPump_ELC_SMALL</t>
  </si>
  <si>
    <t>RHSH_WoodStove_BFW_SMALL</t>
  </si>
  <si>
    <t>RHSH_DistrictHeating_HTH_SMALL</t>
  </si>
  <si>
    <t>RHSHW_WoodStove_BFW_SMALL</t>
  </si>
  <si>
    <t>HSE</t>
  </si>
  <si>
    <t>RHSHW_PelletBoiler_BPL_SMALL</t>
  </si>
  <si>
    <t>RHSHW_DieselFurnace_DST_SMALL</t>
  </si>
  <si>
    <t>RHSHW_DistrictHeating_HTH_SMALL</t>
  </si>
  <si>
    <t>RHSHW_GroundHeatPump_ELC_SMALL</t>
  </si>
  <si>
    <t>RHSHW_AirHeatPump_ELC_SMALL</t>
  </si>
  <si>
    <t>RHSW_DieselFurnace_DST_SMALL</t>
  </si>
  <si>
    <t>RHSW_AirHeatPump_ELC_SMALL</t>
  </si>
  <si>
    <t>SolarThermalW</t>
  </si>
  <si>
    <t>RHSW_SolarThermalW_SOL_SMALL</t>
  </si>
  <si>
    <t>HeatPumpGas</t>
  </si>
  <si>
    <t>RHSHWC_HeatPump_GAS_SMALL</t>
  </si>
  <si>
    <t>GAS</t>
  </si>
  <si>
    <t>RHSHC_AirHeatPump_ELC_SMALL</t>
  </si>
  <si>
    <t>RHSHC_GroundHeatPump_ELC_SMALL</t>
  </si>
  <si>
    <t>RHSHC_HeatPump_GAS_SMALL</t>
  </si>
  <si>
    <t>RHSH_ElectricHeater_ELC_SMALL</t>
  </si>
  <si>
    <t>RHSHW_SolarThermal_SOL_SMALL</t>
  </si>
  <si>
    <t>RHSC_DistrictCooling_COO_SMALL</t>
  </si>
  <si>
    <t>RHSC_WaterChiller_ELC_LARGE</t>
  </si>
  <si>
    <t>SplitLarge</t>
  </si>
  <si>
    <t>RHSC_Split_ELC_LARGE</t>
  </si>
  <si>
    <t>RHSH_CoalBoiler_COA_SMALL</t>
  </si>
  <si>
    <t>RHSW_WoodStove_BFW_SMALL</t>
  </si>
  <si>
    <t>Pelletstove</t>
  </si>
  <si>
    <t>RHSW_Pelletstove_BPL_SMALL</t>
  </si>
  <si>
    <t>RHSW_CoalBoiler_COA_SMALL</t>
  </si>
  <si>
    <t>RHSW_GroundHeatPump_ELC_SMALL</t>
  </si>
  <si>
    <t>RHSW_LPGFurnace_LPG_SMALL</t>
  </si>
  <si>
    <t>RHSW_DistrictHeating_HTH_SMALL</t>
  </si>
  <si>
    <t>RHSHW_CoalBoiler_COA_SMALL</t>
  </si>
  <si>
    <t>RHSHw_CoalBoiler_COA_SMALL</t>
  </si>
  <si>
    <t>1</t>
  </si>
  <si>
    <t>Source Organisation</t>
  </si>
  <si>
    <t>Source Description</t>
  </si>
  <si>
    <t>Source Link</t>
  </si>
  <si>
    <t>Internal File-Name</t>
  </si>
  <si>
    <t>IEA (2020)</t>
  </si>
  <si>
    <t>International Energy Agency</t>
  </si>
  <si>
    <t>Projected Costs of Generating Electricity 2020 – Analysis</t>
  </si>
  <si>
    <t>https://www.iea.org/reports/projected-costs-of-generating-electricity-2020</t>
  </si>
  <si>
    <t>IEA-NEAProjectedCostsofGeneratingElectricity2020-Datafile_HowTo.xlsx</t>
  </si>
  <si>
    <t>EIA (2021)</t>
  </si>
  <si>
    <t xml:space="preserve">Energy Information Administration </t>
  </si>
  <si>
    <t>Cost and performance characteristics of new central station electricity generating technologies</t>
  </si>
  <si>
    <t>https://www.eia.gov/outlooks/aeo/assumptions/pdf/table_8.2.pdf</t>
  </si>
  <si>
    <t>EIA_Table8.2_2021_electricity.xlsx</t>
  </si>
  <si>
    <t>IRENA (2020)</t>
  </si>
  <si>
    <t xml:space="preserve">International Renowable Energy Agency </t>
  </si>
  <si>
    <t>Renewable Power Generation Costs in 2019</t>
  </si>
  <si>
    <t>https://www.irena.org/publications/2020/Jun/Renewable-Power-Costs-in-2019</t>
  </si>
  <si>
    <t>200605-IRENADatafileRenewablePowerGenerationCostsin2019v11.xlsx</t>
  </si>
  <si>
    <t>IRENA (2021)</t>
  </si>
  <si>
    <t>Renewable Power Generation Costs in 2020</t>
  </si>
  <si>
    <t>https://www.irena.org/publications/2021/Jun/Renewable-Power-Costs-in-2020</t>
  </si>
  <si>
    <t>JRC (2019)</t>
  </si>
  <si>
    <t>EU Joint Research Centre</t>
  </si>
  <si>
    <t>SubRES Power Database</t>
  </si>
  <si>
    <t>https://ec.europa.eu/jrc/en/scientific-tool/jrc-eu-times-model-assessing-long-term-role-energy-technologies</t>
  </si>
  <si>
    <t>SubRES_11_TECHS_Power_Trans.xls</t>
  </si>
  <si>
    <t>Danish Energy Agency</t>
  </si>
  <si>
    <t>Technology Data for heating installations, Updated chapters - August 2016 - Revised December 2017</t>
  </si>
  <si>
    <t>Internal communication</t>
  </si>
  <si>
    <t>technologydatafor_heating_installations_marts_2018.xlsx</t>
  </si>
  <si>
    <t>Provider of information</t>
  </si>
  <si>
    <t>Name</t>
  </si>
  <si>
    <t>Position</t>
  </si>
  <si>
    <t>Organisation</t>
  </si>
  <si>
    <t>E-mail</t>
  </si>
  <si>
    <t>Research group contact info</t>
  </si>
  <si>
    <t>Daniel Picot</t>
  </si>
  <si>
    <t>Master student</t>
  </si>
  <si>
    <t>LTU</t>
  </si>
  <si>
    <t>anna.krook-riekkola@ltu.se</t>
  </si>
  <si>
    <t>Isabel Aguilar Conde</t>
  </si>
  <si>
    <t xml:space="preserve">Bachelor student </t>
  </si>
  <si>
    <t>isaagu-1@student.ltu.se</t>
  </si>
  <si>
    <t>Anna Krook-Riekkola</t>
  </si>
  <si>
    <t>Associate Professor</t>
  </si>
  <si>
    <t>Erik Sandberg</t>
  </si>
  <si>
    <t>PhD student</t>
  </si>
  <si>
    <t>erik.sandberg@ltu.se</t>
  </si>
  <si>
    <t>parvathy.sobha@ltu.se</t>
  </si>
  <si>
    <t>Are there information in the database that is not in the ELC (START) sheet?</t>
  </si>
  <si>
    <t>Some values are difficult to find from the datasets. In these cases write more about the assumptions made to dervide to the value defined.</t>
  </si>
  <si>
    <t>Kind of data</t>
  </si>
  <si>
    <t>Assumed value</t>
  </si>
  <si>
    <t xml:space="preserve">Based on </t>
  </si>
  <si>
    <t>The source of the data is from the Dansih Energy Agency</t>
  </si>
  <si>
    <t>Most likely applicable for most European countries</t>
  </si>
  <si>
    <t>Conventional Boiler Electric only</t>
  </si>
  <si>
    <t>Description</t>
  </si>
  <si>
    <t>Technology/Process name according to the data set</t>
  </si>
  <si>
    <t>LONG-Name in TIMES (We need to match with names in column F)</t>
  </si>
  <si>
    <t>SHORT-Name in TIMES (We need to match with names in column H)</t>
  </si>
  <si>
    <t>Boiler_Oil</t>
  </si>
  <si>
    <t>B_OIL_01</t>
  </si>
  <si>
    <t>Boiler_BioOil</t>
  </si>
  <si>
    <t>B_OIL_02</t>
  </si>
  <si>
    <t>Boiler_Gas</t>
  </si>
  <si>
    <t>B_GAS_01</t>
  </si>
  <si>
    <t>B_GAS_02</t>
  </si>
  <si>
    <t>B_GAS_03</t>
  </si>
  <si>
    <t>B_GAS_04</t>
  </si>
  <si>
    <t>District heating Indirect substation</t>
  </si>
  <si>
    <t>HTH_01</t>
  </si>
  <si>
    <t>HTH_02</t>
  </si>
  <si>
    <t>HTH_03</t>
  </si>
  <si>
    <t>HTH_04</t>
  </si>
  <si>
    <t>District heating Direct substation</t>
  </si>
  <si>
    <t>HTH_05</t>
  </si>
  <si>
    <t>HTH_06</t>
  </si>
  <si>
    <t>HTH_07</t>
  </si>
  <si>
    <t>Biomass boilers, automatic stoking</t>
  </si>
  <si>
    <t>Boiler_Biomass</t>
  </si>
  <si>
    <t>Biomass boiler, manual stoking</t>
  </si>
  <si>
    <t>Stove_Biomass</t>
  </si>
  <si>
    <t>Electric heat pumps, Air-to-air</t>
  </si>
  <si>
    <t>HeatPump_Electricity</t>
  </si>
  <si>
    <t>HP_ELC_01</t>
  </si>
  <si>
    <t>HP_ELC_02</t>
  </si>
  <si>
    <t>Electric heat pumps, Air-to-water</t>
  </si>
  <si>
    <t>HP_ELC_03</t>
  </si>
  <si>
    <t>HP_ELC_04</t>
  </si>
  <si>
    <t>HP_ELC_05</t>
  </si>
  <si>
    <t>HP_ELC_06</t>
  </si>
  <si>
    <t>Electric heat pumps, Brine-to-water (ground source)</t>
  </si>
  <si>
    <t>HP_ELC_07</t>
  </si>
  <si>
    <t>HP_ELC_08</t>
  </si>
  <si>
    <t>HP_ELC_09</t>
  </si>
  <si>
    <t>HP_ELC_10</t>
  </si>
  <si>
    <t>Electric heat pumps, Ventilation</t>
  </si>
  <si>
    <t>HP_ELC_11</t>
  </si>
  <si>
    <t>HP_ELC_12</t>
  </si>
  <si>
    <t>Gas driven absorption heat pumps, air-to-water</t>
  </si>
  <si>
    <t>HeatPump_Gas</t>
  </si>
  <si>
    <t>HP_GAS_01</t>
  </si>
  <si>
    <t>Gas driven absorption heat pumps, brine-to-water</t>
  </si>
  <si>
    <t>HP_GAS_02</t>
  </si>
  <si>
    <t>HP_GAS_03</t>
  </si>
  <si>
    <t>HP_GAS_04</t>
  </si>
  <si>
    <t>Gas engine driven heat pump, air-to-water</t>
  </si>
  <si>
    <t>HP_GAS_05</t>
  </si>
  <si>
    <t>Gas engine driven heat pump, brine-to-water</t>
  </si>
  <si>
    <t>HP_GAS_06</t>
  </si>
  <si>
    <t>Gas driven adsorption heat pumps, brine-to-water</t>
  </si>
  <si>
    <t>HP_GAS_07</t>
  </si>
  <si>
    <t>Thermal_Solar</t>
  </si>
  <si>
    <t>T_SOL_01</t>
  </si>
  <si>
    <t>T_SOL_02</t>
  </si>
  <si>
    <t>T_SOL_03</t>
  </si>
  <si>
    <t>T_SOL_04</t>
  </si>
  <si>
    <t>T_SOL_05</t>
  </si>
  <si>
    <t>Resistance_Electricity</t>
  </si>
  <si>
    <t>R_ELC_01</t>
  </si>
  <si>
    <t>R_ELC_02</t>
  </si>
  <si>
    <t>SOFC mCHP_Gas</t>
  </si>
  <si>
    <t>FC_mCHP_01</t>
  </si>
  <si>
    <t>LT-PEMFC mCHP_Gas</t>
  </si>
  <si>
    <t>FC_mCHP_02</t>
  </si>
  <si>
    <t>FC_mCHP_03</t>
  </si>
  <si>
    <t>C_AirChiller_ELC_LARGE</t>
  </si>
  <si>
    <t>C_CAL_ELC01</t>
  </si>
  <si>
    <t>H_AirHeatPump_ELC_LARGE</t>
  </si>
  <si>
    <t>H_AHPL_ELC01</t>
  </si>
  <si>
    <t>HW_AirHeatPump_ELC_LARGE</t>
  </si>
  <si>
    <t>HW_AHPL_ELC01</t>
  </si>
  <si>
    <t>HWC_AirHeatPump_ELC_LARGE</t>
  </si>
  <si>
    <t>HWC_AHPL_ELC01</t>
  </si>
  <si>
    <t>HC_AirHeatPumpFuel_GAS_LARGE</t>
  </si>
  <si>
    <t>HC_AHPFL_GAS01</t>
  </si>
  <si>
    <t>HWC_AirHeatPumpFuel_GAS_LARGE</t>
  </si>
  <si>
    <t>HWC_AHPFL_GAS01</t>
  </si>
  <si>
    <t>H_CoalBoiler_COA_LARGE</t>
  </si>
  <si>
    <t>H_BL_COA01</t>
  </si>
  <si>
    <t>HW_CoalBoiler_COA_LARGE</t>
  </si>
  <si>
    <t>HW_BL_COA01</t>
  </si>
  <si>
    <t>W_CoalBoiler_COA_LARGE</t>
  </si>
  <si>
    <t>W_BL_COA01</t>
  </si>
  <si>
    <t>H_DieselFurnace_DST_LARGE</t>
  </si>
  <si>
    <t>H_FL_DST01</t>
  </si>
  <si>
    <t>HW_DieselFurnace_DST_LARGE</t>
  </si>
  <si>
    <t>HW_FL_DST01</t>
  </si>
  <si>
    <t>W_DieselFurnace_DST_LARGE</t>
  </si>
  <si>
    <t>W_FL_DST01</t>
  </si>
  <si>
    <t>C_DistrictCooling_COO_LARGE</t>
  </si>
  <si>
    <t>C_HEL_COO01</t>
  </si>
  <si>
    <t>H_DistrictHeating_HTH_LARGE</t>
  </si>
  <si>
    <t>H_HEL_HTH01</t>
  </si>
  <si>
    <t>HW_DistrictHeating_HTH_LARGE</t>
  </si>
  <si>
    <t>HW_HEL_HTH01</t>
  </si>
  <si>
    <t>RAPW_DistrictHeating_HTH_LARGE</t>
  </si>
  <si>
    <t>W_DistrictHeating_HTH_LARGE</t>
  </si>
  <si>
    <t>W_HEL_HTH01</t>
  </si>
  <si>
    <t>H_GasBoiler_GAS_LARGE</t>
  </si>
  <si>
    <t>H_BL_GAS01</t>
  </si>
  <si>
    <t>HW_GasBoiler_GAS_LARGE</t>
  </si>
  <si>
    <t>HW_BL_GAS01</t>
  </si>
  <si>
    <t>W_GasFurnace_GAS_LARGE</t>
  </si>
  <si>
    <t>W_FL_GAS01</t>
  </si>
  <si>
    <t>H_GasFurnace_GAS_LARGE</t>
  </si>
  <si>
    <t>H_FL_GAS01</t>
  </si>
  <si>
    <t>HW_GasFurnace_GAS_LARGE</t>
  </si>
  <si>
    <t>HW_FL_GAS01</t>
  </si>
  <si>
    <t>H_GroundHeatPump_ELC_LARGE</t>
  </si>
  <si>
    <t>H_GHPL_ELC01</t>
  </si>
  <si>
    <t>HW_GroundHeatPump_ELC_LARGE</t>
  </si>
  <si>
    <t>HW_GHPL_ELC01</t>
  </si>
  <si>
    <t>HWC_GroundHeatPump_ELC_LARGE</t>
  </si>
  <si>
    <t>HWC_GHPL_ELC01</t>
  </si>
  <si>
    <t>H_GHPL_ELC02</t>
  </si>
  <si>
    <t>H_PelletBoiler_BPL_LARGE</t>
  </si>
  <si>
    <t>H_BL_BPL01</t>
  </si>
  <si>
    <t>HW_PelletBoiler_BPL_LARGE</t>
  </si>
  <si>
    <t>HW_BL_BPL01</t>
  </si>
  <si>
    <t>W_PelletStove_BPL_LARGE</t>
  </si>
  <si>
    <t>W_SL_BPL01</t>
  </si>
  <si>
    <t>W_SolarThermal_SOL_LARGE</t>
  </si>
  <si>
    <t>W_STL_SOL01</t>
  </si>
  <si>
    <t>W_STL_SOL02</t>
  </si>
  <si>
    <t>H_SolarThermal_SOL_LARGE</t>
  </si>
  <si>
    <t>H_STL_SOL01</t>
  </si>
  <si>
    <t>H_STL_SOL02</t>
  </si>
  <si>
    <t>H_STL_SOL03</t>
  </si>
  <si>
    <t>H_STL_SOL04</t>
  </si>
  <si>
    <t>C_Split_ELC_LARGE</t>
  </si>
  <si>
    <t>C_CASL_ELC01</t>
  </si>
  <si>
    <t>C_WaterChiller_ELC_LARGE</t>
  </si>
  <si>
    <t>C_CWL_ELC01</t>
  </si>
  <si>
    <t>H_WoodStove_BFW_LARGE</t>
  </si>
  <si>
    <t>H_SL_BFW01</t>
  </si>
  <si>
    <t>HW_WoodStove_BFW_LARGE</t>
  </si>
  <si>
    <t>HW_SL_BFW01</t>
  </si>
  <si>
    <t>W_WoodStove_BFW_LARGE</t>
  </si>
  <si>
    <t>W_SL_BFW01</t>
  </si>
  <si>
    <t>C_VRFCentral_ELC_LARGE</t>
  </si>
  <si>
    <t>C_CAVL_ELC01</t>
  </si>
  <si>
    <t>C_AirChiller_ELC_SMALL</t>
  </si>
  <si>
    <t>C_CAS_ELC01</t>
  </si>
  <si>
    <t>H_AirHeatPump_ELC_SMALL</t>
  </si>
  <si>
    <t>H_AHPS_ELC01</t>
  </si>
  <si>
    <t>HC_AirHeatPump_ELC_SMALL</t>
  </si>
  <si>
    <t>HC_AHPS_ELC01</t>
  </si>
  <si>
    <t>H_ElectricBoiler_ELC_SMALL</t>
  </si>
  <si>
    <t>H_BS_ELC01</t>
  </si>
  <si>
    <t>HW_Electricboiler_ELC_SMALL</t>
  </si>
  <si>
    <t>HW_BS_ELC01</t>
  </si>
  <si>
    <t>W_ElectricHeater_ELC_SMALL</t>
  </si>
  <si>
    <t>W_ROS_ELC01</t>
  </si>
  <si>
    <t>H_ElectricResistance_ELC_SMALL</t>
  </si>
  <si>
    <t>H_RRS_ELC01</t>
  </si>
  <si>
    <t>W_ElectricResistance_ELC_SMALL</t>
  </si>
  <si>
    <t>W_RRS_ELC01</t>
  </si>
  <si>
    <t>C_Fan_ELC_SMALL</t>
  </si>
  <si>
    <t>C_AFS_ELC01</t>
  </si>
  <si>
    <t>H_GasBoiler_GAS_SMALL</t>
  </si>
  <si>
    <t>H_BS_GAS01</t>
  </si>
  <si>
    <t>HW_GasBoiler_GAS_SMALL</t>
  </si>
  <si>
    <t>HW_BS_GAS01</t>
  </si>
  <si>
    <t>W_GasFurnace_GAS_SMALL</t>
  </si>
  <si>
    <t>W_FS_GAS01</t>
  </si>
  <si>
    <t>H_GasFurnace_GAS_SMALL</t>
  </si>
  <si>
    <t>H_FS_GAS01</t>
  </si>
  <si>
    <t>HW_GasFurnace_GAS_SMALL</t>
  </si>
  <si>
    <t>HW_FS_GAS01</t>
  </si>
  <si>
    <t>H_LPGFurnace_LPG_SMALL</t>
  </si>
  <si>
    <t>H_FS_LPG01</t>
  </si>
  <si>
    <t>W_LPGFurnace_LPG_SMALL</t>
  </si>
  <si>
    <t>W_FS_LPG01</t>
  </si>
  <si>
    <t>C_Split_ELC_SMALL</t>
  </si>
  <si>
    <t>C_CASS_ELC01</t>
  </si>
  <si>
    <t>C_WaterChiller_ELC_SMALL</t>
  </si>
  <si>
    <t>C_CWS_ELC01</t>
  </si>
  <si>
    <t>K_GasOvenHobs_GAS</t>
  </si>
  <si>
    <t>K_0_GAS01</t>
  </si>
  <si>
    <t>K_ElectricOvenHobs_ELC</t>
  </si>
  <si>
    <t>K_0_ELC01</t>
  </si>
  <si>
    <t>K_LPGOvenHobs_ELC</t>
  </si>
  <si>
    <t>K_0_ELC02</t>
  </si>
  <si>
    <t>K_ElectricRange_ELC</t>
  </si>
  <si>
    <t>K_0_ELC03</t>
  </si>
  <si>
    <t>K_GasRange_GAS</t>
  </si>
  <si>
    <t>K_0_GAS02</t>
  </si>
  <si>
    <t>K_LPGRange_LPG</t>
  </si>
  <si>
    <t>K_0_LPG01</t>
  </si>
  <si>
    <t>K_ElectricSteamer_ELC</t>
  </si>
  <si>
    <t>K_0_ELC04</t>
  </si>
  <si>
    <t>K_GasSteamer_GAS</t>
  </si>
  <si>
    <t>K_0_GAS03</t>
  </si>
  <si>
    <t>K_ElectricFryerGriddle_ELC</t>
  </si>
  <si>
    <t>K_0_ELC05</t>
  </si>
  <si>
    <t>K_GasFryerGriddle_GAS</t>
  </si>
  <si>
    <t>K_0_GAS04</t>
  </si>
  <si>
    <t>O_OtherAppliances_ELC</t>
  </si>
  <si>
    <t>O_0_ELC01</t>
  </si>
  <si>
    <t>L_FluorescentTubes_ELC_BAT</t>
  </si>
  <si>
    <t>L_0_ELC01</t>
  </si>
  <si>
    <t>L_LED_ELC_BAT</t>
  </si>
  <si>
    <t>L_0_ELC02</t>
  </si>
  <si>
    <t>L_Halogen_ELC_BAT</t>
  </si>
  <si>
    <t>L_0_ELC03</t>
  </si>
  <si>
    <t>L_IncandescentImproved_ELC_BAT</t>
  </si>
  <si>
    <t>L_0_ELC04</t>
  </si>
  <si>
    <t>L_Incandescent_ELC_BAU</t>
  </si>
  <si>
    <t>L_0_ELC05</t>
  </si>
  <si>
    <t>L_PressureSodium_ELC_BAT</t>
  </si>
  <si>
    <t>L_0_ELC06</t>
  </si>
  <si>
    <t>L_MetalHalide_ELC_BAT</t>
  </si>
  <si>
    <t>L_0_ELC07</t>
  </si>
  <si>
    <t>H_AHPS_ELC02</t>
  </si>
  <si>
    <t>HW_AirHeatPump_ELC_SMALL</t>
  </si>
  <si>
    <t>HW_AHPS_ELC01</t>
  </si>
  <si>
    <t>W_AirHeatPump_ELC_SMALL</t>
  </si>
  <si>
    <t>W_AHPS_ELC01</t>
  </si>
  <si>
    <t>HC_AHPS_ELC02</t>
  </si>
  <si>
    <t>H_CoalBoiler_COA_SMALL</t>
  </si>
  <si>
    <t>H_BS_COA01</t>
  </si>
  <si>
    <t>W_CoalBoiler_COA_SMALL</t>
  </si>
  <si>
    <t>W_BS_COA01</t>
  </si>
  <si>
    <t>HW_CoalBoiler_COA_SMALL</t>
  </si>
  <si>
    <t>HW_BS_COA01</t>
  </si>
  <si>
    <t>H_DieselFurnace_DST_SMALL</t>
  </si>
  <si>
    <t>H_FS_DST01</t>
  </si>
  <si>
    <t>HW_DieselFurnace_DST_SMALL</t>
  </si>
  <si>
    <t>HW_FS_DST01</t>
  </si>
  <si>
    <t>W_DieselFurnace_DST_SMALL</t>
  </si>
  <si>
    <t>W_FS_DST01</t>
  </si>
  <si>
    <t>C_DistrictCooling_COO_SMALL</t>
  </si>
  <si>
    <t>C_HES_COO01</t>
  </si>
  <si>
    <t>H_DistrictHeating_HTH_SMALL</t>
  </si>
  <si>
    <t>H_HES_HTH01</t>
  </si>
  <si>
    <t>HW_DistrictHeating_HTH_SMALL</t>
  </si>
  <si>
    <t>HW_HES_HTH01</t>
  </si>
  <si>
    <t>W_DistrictHeating_HTH_SMALL</t>
  </si>
  <si>
    <t>W_HES_HTH01</t>
  </si>
  <si>
    <t>H_ElectricHeater_ELC_SMALL</t>
  </si>
  <si>
    <t>H_BS_ELC02</t>
  </si>
  <si>
    <t>H_GroundHeatPump_ELC_SMALL</t>
  </si>
  <si>
    <t>H_GHPS_ELC01</t>
  </si>
  <si>
    <t>HW_GroundHeatPump_ELC_SMALL</t>
  </si>
  <si>
    <t>HW_GHPS_ELC01</t>
  </si>
  <si>
    <t>HC_GroundHeatPump_ELC_SMALL</t>
  </si>
  <si>
    <t>HC_GHPS_ELC01</t>
  </si>
  <si>
    <t>W_GroundHeatPump_ELC_SMALL</t>
  </si>
  <si>
    <t>W_GHPS_ELC01</t>
  </si>
  <si>
    <t>HeatPump</t>
  </si>
  <si>
    <t>HWC_HeatPump_GAS_SMALL</t>
  </si>
  <si>
    <t>HWC_AHPFS_GAS01</t>
  </si>
  <si>
    <t>HC_HeatPump_GAS_SMALL</t>
  </si>
  <si>
    <t>HC_AHPFS_GAS01</t>
  </si>
  <si>
    <t>H_FS_LPG02</t>
  </si>
  <si>
    <t>W_FS_LPG02</t>
  </si>
  <si>
    <t>H_Pelletboiler_BPL_SMALL</t>
  </si>
  <si>
    <t>H_BS_BPL01</t>
  </si>
  <si>
    <t>HW_PelletBoiler_BPL_SMALL</t>
  </si>
  <si>
    <t>HW_BS_BPL01</t>
  </si>
  <si>
    <t>W_Pelletstove_BPL_SMALL</t>
  </si>
  <si>
    <t>W_SS_BPL01</t>
  </si>
  <si>
    <t>HW_SolarThermal_SOL_SMALL</t>
  </si>
  <si>
    <t>HW_STS_SOL01</t>
  </si>
  <si>
    <t>W_SolarThermalW_SOL_SMALL</t>
  </si>
  <si>
    <t>W_STS_SOL01</t>
  </si>
  <si>
    <t>C_CASL_ELC02</t>
  </si>
  <si>
    <t>C_CWL_ELC02</t>
  </si>
  <si>
    <t>H_WoodStove_BFW_SMALL</t>
  </si>
  <si>
    <t>H_SS_BFW01</t>
  </si>
  <si>
    <t>HW_WoodStove_BFW_SMALL</t>
  </si>
  <si>
    <t>HW_SS_BFW01</t>
  </si>
  <si>
    <t>W_WoodStove_BFW_SMALL</t>
  </si>
  <si>
    <t>W_SS_BFW01</t>
  </si>
  <si>
    <t>Anna to check the TIMES short name</t>
  </si>
  <si>
    <t>In Alphabetical</t>
  </si>
  <si>
    <t>Name used in the source</t>
  </si>
  <si>
    <t>Name in TIMES</t>
  </si>
  <si>
    <t>CommDesc in TIMES</t>
  </si>
  <si>
    <t>Price</t>
  </si>
  <si>
    <t>Boiler</t>
  </si>
  <si>
    <t>B</t>
  </si>
  <si>
    <t>Stove</t>
  </si>
  <si>
    <t>S</t>
  </si>
  <si>
    <t>Heat Pump</t>
  </si>
  <si>
    <t>HP</t>
  </si>
  <si>
    <t>Thermal</t>
  </si>
  <si>
    <t>T</t>
  </si>
  <si>
    <t>Resistance</t>
  </si>
  <si>
    <t>R</t>
  </si>
  <si>
    <t>Combined Heat and Power</t>
  </si>
  <si>
    <t>CHP</t>
  </si>
  <si>
    <t>Sectors</t>
  </si>
  <si>
    <t>Sub-Sectors</t>
  </si>
  <si>
    <t>SECTOR</t>
  </si>
  <si>
    <t>Description (Based on TIMES-City)</t>
  </si>
  <si>
    <t>Mapping to DEA Naming</t>
  </si>
  <si>
    <t>MUN</t>
  </si>
  <si>
    <t>Municipality managed sector</t>
  </si>
  <si>
    <t>Apartments</t>
  </si>
  <si>
    <t>One-family house</t>
  </si>
  <si>
    <t>COM</t>
  </si>
  <si>
    <t>Commercial sector</t>
  </si>
  <si>
    <t>Houses</t>
  </si>
  <si>
    <t>Apartment complex</t>
  </si>
  <si>
    <t>Residential sector</t>
  </si>
  <si>
    <t>Apartments very high efficiency</t>
  </si>
  <si>
    <t>Apartment complex, new building</t>
  </si>
  <si>
    <t>TRA</t>
  </si>
  <si>
    <t>Transport sector</t>
  </si>
  <si>
    <t>Apartments high efficiency</t>
  </si>
  <si>
    <t>Apartment complex, existing and energy renovated buildings</t>
  </si>
  <si>
    <t>PLG</t>
  </si>
  <si>
    <t>Public lighting</t>
  </si>
  <si>
    <t>Apartments medium efficiency</t>
  </si>
  <si>
    <t>Apartment complex, existing building</t>
  </si>
  <si>
    <t>WWW</t>
  </si>
  <si>
    <t>Water, waste and waste water treatement</t>
  </si>
  <si>
    <t>Apartments low efficiency</t>
  </si>
  <si>
    <t>IND</t>
  </si>
  <si>
    <t>Industry sector</t>
  </si>
  <si>
    <t>Houses very high efficiency</t>
  </si>
  <si>
    <t>One-family house, new buildings</t>
  </si>
  <si>
    <t>Electrcity and district heating</t>
  </si>
  <si>
    <t>Houses high efficiency</t>
  </si>
  <si>
    <t>One-family house, existing and energy renovated buildings</t>
  </si>
  <si>
    <t>Houses medium efficiency</t>
  </si>
  <si>
    <t>Houses low efficiency</t>
  </si>
  <si>
    <t>Useful energy commodities</t>
  </si>
  <si>
    <t>Demand</t>
  </si>
  <si>
    <t>Floor heating</t>
  </si>
  <si>
    <t>Radiators</t>
  </si>
  <si>
    <t>Parvathy: Highlighed in yellow or green are used in RSD(DEA) and green ones are included by me</t>
  </si>
  <si>
    <t>Agricultural biomass solid</t>
  </si>
  <si>
    <t>BAS</t>
  </si>
  <si>
    <t>AHT</t>
  </si>
  <si>
    <t>Ambient heat residential</t>
  </si>
  <si>
    <t>Bio blast furnace gas</t>
  </si>
  <si>
    <t>GBFb</t>
  </si>
  <si>
    <t>Bio gas</t>
  </si>
  <si>
    <t>BGS</t>
  </si>
  <si>
    <t>BCR</t>
  </si>
  <si>
    <t>Biomass from crops</t>
  </si>
  <si>
    <t>Bio light Fuel Oil</t>
  </si>
  <si>
    <t>LFOb</t>
  </si>
  <si>
    <t>Bio LPG</t>
  </si>
  <si>
    <t>LPGb</t>
  </si>
  <si>
    <t>BIO</t>
  </si>
  <si>
    <t>Bio methanol</t>
  </si>
  <si>
    <t>MTHb</t>
  </si>
  <si>
    <t>Biomass (unespecified)</t>
  </si>
  <si>
    <t>BOA</t>
  </si>
  <si>
    <t>Bio oil all excl BTR</t>
  </si>
  <si>
    <t>Bio oxygen furnace gas</t>
  </si>
  <si>
    <t>GOFb</t>
  </si>
  <si>
    <t>BLQ</t>
  </si>
  <si>
    <t>Black liquor</t>
  </si>
  <si>
    <t>Bio smelting furnace gas</t>
  </si>
  <si>
    <t>GSFb</t>
  </si>
  <si>
    <t>BLW</t>
  </si>
  <si>
    <t>Black liquor waste</t>
  </si>
  <si>
    <t>Bio steam cracker gas</t>
  </si>
  <si>
    <t>SCGb</t>
  </si>
  <si>
    <t>Bio synthetic natural gas (SNG)</t>
  </si>
  <si>
    <t>GASb</t>
  </si>
  <si>
    <t>Bio TGR blast furnace gas</t>
  </si>
  <si>
    <t>GOBb</t>
  </si>
  <si>
    <t>BWR</t>
  </si>
  <si>
    <t>Woody biomass Refined</t>
  </si>
  <si>
    <t>BWU</t>
  </si>
  <si>
    <t>Woody biomass Unrefined</t>
  </si>
  <si>
    <t>COA</t>
  </si>
  <si>
    <t>COG</t>
  </si>
  <si>
    <t>Coke oven gas</t>
  </si>
  <si>
    <t>COH</t>
  </si>
  <si>
    <t>Hard Coal</t>
  </si>
  <si>
    <t>COL</t>
  </si>
  <si>
    <t>Lignite</t>
  </si>
  <si>
    <t>Lignite or Brown Coal</t>
  </si>
  <si>
    <t>COO</t>
  </si>
  <si>
    <t>Derived Gases Other</t>
  </si>
  <si>
    <t>DGS</t>
  </si>
  <si>
    <t>DST</t>
  </si>
  <si>
    <t>Diesel Furnace</t>
  </si>
  <si>
    <t>Diesel Oil and other</t>
  </si>
  <si>
    <t>HTH</t>
  </si>
  <si>
    <t>Electricity Pump Storage INPUT</t>
  </si>
  <si>
    <t>PSI</t>
  </si>
  <si>
    <t>Methane/natural gas</t>
  </si>
  <si>
    <t>Electricity Pump Storage OUTPUT</t>
  </si>
  <si>
    <t>PSO</t>
  </si>
  <si>
    <t>Fossil blast furnace gas</t>
  </si>
  <si>
    <t>GBF</t>
  </si>
  <si>
    <t>Natural gas / biogas</t>
  </si>
  <si>
    <t>Fossil LPG</t>
  </si>
  <si>
    <t>Fossil methanol</t>
  </si>
  <si>
    <t>MTHf</t>
  </si>
  <si>
    <t>Fossil oxygen furnace gas</t>
  </si>
  <si>
    <t>GOF</t>
  </si>
  <si>
    <t>Fossil smelting furnace gas</t>
  </si>
  <si>
    <t>GSF</t>
  </si>
  <si>
    <t>GEO</t>
  </si>
  <si>
    <t>Geothermal</t>
  </si>
  <si>
    <t>Fossil steam cracker gas</t>
  </si>
  <si>
    <t>SCG</t>
  </si>
  <si>
    <t>Geothermal heat</t>
  </si>
  <si>
    <t>Fossil TGR blast furnace gas</t>
  </si>
  <si>
    <t>GOB</t>
  </si>
  <si>
    <t>Gas works gas</t>
  </si>
  <si>
    <t>GWG</t>
  </si>
  <si>
    <t>Heavy Fuel Oil</t>
  </si>
  <si>
    <t>HFO</t>
  </si>
  <si>
    <t>Hydro</t>
  </si>
  <si>
    <t>HYD</t>
  </si>
  <si>
    <t>H2G</t>
  </si>
  <si>
    <t>Hydrogen gasuous</t>
  </si>
  <si>
    <t>H2L</t>
  </si>
  <si>
    <t>Hydrogen liquid</t>
  </si>
  <si>
    <t>Light Fuel Oil</t>
  </si>
  <si>
    <t>LFO</t>
  </si>
  <si>
    <t>Municipal Solid Waste</t>
  </si>
  <si>
    <t>Municipal Waste</t>
  </si>
  <si>
    <t>Nuclear</t>
  </si>
  <si>
    <t>NUC</t>
  </si>
  <si>
    <t>Peat</t>
  </si>
  <si>
    <t>PEA</t>
  </si>
  <si>
    <t>Uranium</t>
  </si>
  <si>
    <t>Recycled plastic</t>
  </si>
  <si>
    <t>PLA</t>
  </si>
  <si>
    <t>Recycled tyres</t>
  </si>
  <si>
    <t>TYR</t>
  </si>
  <si>
    <t>Sludge</t>
  </si>
  <si>
    <t>SLU</t>
  </si>
  <si>
    <t>Tide</t>
  </si>
  <si>
    <t>TID</t>
  </si>
  <si>
    <t>Wind</t>
  </si>
  <si>
    <t>WIN</t>
  </si>
  <si>
    <t>TABLE - Technology Readiness level (TRL)</t>
  </si>
  <si>
    <t>Assumed cost improvement</t>
  </si>
  <si>
    <t>Assumed technology improvement</t>
  </si>
  <si>
    <t>Years until availability</t>
  </si>
  <si>
    <t>TRL</t>
  </si>
  <si>
    <t>Optimistic</t>
  </si>
  <si>
    <t>Neutral</t>
  </si>
  <si>
    <t>Pessimistic</t>
  </si>
  <si>
    <t>Laboratory/experimnetal</t>
  </si>
  <si>
    <t>Pre-Pilot</t>
  </si>
  <si>
    <t>Pilot plant</t>
  </si>
  <si>
    <t>Demonstration plant</t>
  </si>
  <si>
    <t>Full scale demonstration plant</t>
  </si>
  <si>
    <t>First of a kind commercial</t>
  </si>
  <si>
    <t>Early adoption</t>
  </si>
  <si>
    <t>Mature</t>
  </si>
  <si>
    <t>No</t>
  </si>
  <si>
    <t>Documentation for the TIMES Model PART II (2016)</t>
  </si>
  <si>
    <t>Table 1: Sets with fixed elements</t>
  </si>
  <si>
    <t>prc_grp</t>
  </si>
  <si>
    <t>List of process groups; internally established in MAPLIST.DEF as:</t>
  </si>
  <si>
    <t>combined heat and power plant</t>
  </si>
  <si>
    <t>Next letters</t>
  </si>
  <si>
    <t>DISTR</t>
  </si>
  <si>
    <t>distribution process</t>
  </si>
  <si>
    <t>Start year in 2006</t>
  </si>
  <si>
    <t>06</t>
  </si>
  <si>
    <t>demand device</t>
  </si>
  <si>
    <t>Start year in 2010</t>
  </si>
  <si>
    <t>ELE</t>
  </si>
  <si>
    <t>electricity producing technology excluding CHP</t>
  </si>
  <si>
    <t>Start year in 2015</t>
  </si>
  <si>
    <t>ELE, RENEW</t>
  </si>
  <si>
    <t>electricity producing technology (excluding CHP) from renewable sources</t>
  </si>
  <si>
    <t>….</t>
  </si>
  <si>
    <t>….and so on</t>
  </si>
  <si>
    <t xml:space="preserve">HPL </t>
  </si>
  <si>
    <t>heat plant</t>
  </si>
  <si>
    <t>NST</t>
  </si>
  <si>
    <t>night (off-peak) storage process</t>
  </si>
  <si>
    <t>RENEW</t>
  </si>
  <si>
    <t>renewable energy technology</t>
  </si>
  <si>
    <t>Description Short</t>
  </si>
  <si>
    <t>LAST letters (Source)</t>
  </si>
  <si>
    <t>More information</t>
  </si>
  <si>
    <t>STG</t>
  </si>
  <si>
    <t>storage process (timeslice storage, unless also STK/NST)</t>
  </si>
  <si>
    <t>IEA_LCOE</t>
  </si>
  <si>
    <t>IEA</t>
  </si>
  <si>
    <t>STK</t>
  </si>
  <si>
    <t>stockpiling process (inter-period storage)</t>
  </si>
  <si>
    <t>EIA_Table8.2</t>
  </si>
  <si>
    <t>EIA</t>
  </si>
  <si>
    <t>Energy Information Administration</t>
  </si>
  <si>
    <t>STS</t>
  </si>
  <si>
    <t>generalized timeslice storage</t>
  </si>
  <si>
    <t>IRENA_Data</t>
  </si>
  <si>
    <t>IRENA</t>
  </si>
  <si>
    <t>International Renewable Energy Agency</t>
  </si>
  <si>
    <t>IRE</t>
  </si>
  <si>
    <t>inter-regional exchange process</t>
  </si>
  <si>
    <t>JRC_SubRES</t>
  </si>
  <si>
    <t>JRC</t>
  </si>
  <si>
    <t>EU Joint Research Center, JRC-EU-TIMES SubRES</t>
  </si>
  <si>
    <t>MISC</t>
  </si>
  <si>
    <t>miscellaneous</t>
  </si>
  <si>
    <t>PRE</t>
  </si>
  <si>
    <t>energy technology not falling in other groups</t>
  </si>
  <si>
    <t>PRV</t>
  </si>
  <si>
    <t>technology with material output measured in volume units</t>
  </si>
  <si>
    <t>PRW</t>
  </si>
  <si>
    <t>technology with material output measured in weight units</t>
  </si>
  <si>
    <t>REF</t>
  </si>
  <si>
    <t>refinery process</t>
  </si>
  <si>
    <t>XTRACT</t>
  </si>
  <si>
    <t>extraction process</t>
  </si>
  <si>
    <t>The user may augment this list with any additional groups desired. The following predefined groups affect the data processing carried out by the model generator, and should not be deleted by the user: CHP, DISTR, DMD, ELE, HPL, IRE, PRE, PRV, PRW, REF, NST, STG, STK and STS.</t>
  </si>
  <si>
    <t>COUNTRIES</t>
  </si>
  <si>
    <t>Source for short names</t>
  </si>
  <si>
    <t>Which countries are these? And is it used?</t>
  </si>
  <si>
    <t>Countries</t>
  </si>
  <si>
    <t xml:space="preserve">https://www.iso.org/obp/ui/#search </t>
  </si>
  <si>
    <t>Group of countries</t>
  </si>
  <si>
    <t xml:space="preserve">https://www.ucl.ac.uk/energy-models/models/tiam-ucl/tiam-ucl-description </t>
  </si>
  <si>
    <t>Official country name</t>
  </si>
  <si>
    <t xml:space="preserve">Official country code </t>
  </si>
  <si>
    <t>Africa</t>
  </si>
  <si>
    <t>AFR</t>
  </si>
  <si>
    <t>Algeria, Angola, Benin, Cameroon, Congo, Congo Republic, Egypt, Ethiopia, Gabon, Ghana, Ivory Coast, Kenya, Libya, Morocco, Mozambique, Nigeria, Other Africa, Senegal, South Africa, Sudan, Tanzania, Tunisia, Zambia, Zimbabwe</t>
  </si>
  <si>
    <t>Australia</t>
  </si>
  <si>
    <t>AU</t>
  </si>
  <si>
    <t>Austria</t>
  </si>
  <si>
    <t>AT</t>
  </si>
  <si>
    <t>Belgium</t>
  </si>
  <si>
    <t>BE</t>
  </si>
  <si>
    <t>Brazil</t>
  </si>
  <si>
    <t>BR</t>
  </si>
  <si>
    <t>Canada</t>
  </si>
  <si>
    <t>CA</t>
  </si>
  <si>
    <t>Central America and the Caribean</t>
  </si>
  <si>
    <t>CAC</t>
  </si>
  <si>
    <t>???</t>
  </si>
  <si>
    <t>Central and South America</t>
  </si>
  <si>
    <t>CSA</t>
  </si>
  <si>
    <t>Central Asia and Caucase</t>
  </si>
  <si>
    <t>China</t>
  </si>
  <si>
    <t>CN</t>
  </si>
  <si>
    <t>DK</t>
  </si>
  <si>
    <t>Eurasia</t>
  </si>
  <si>
    <t>EAS</t>
  </si>
  <si>
    <t>EUR</t>
  </si>
  <si>
    <t>Austria, Belgium, Denmark, Finland, France, Germany, Gibraltar, Greece, Greenland, Iceland, Ireland, Italy, Luxembourg, Malta, Netherlands, Norway, Portugal, Spain, Sweden, Switzerland, Albania, Bosnia-Herzegovina, Bulgaria, Croatia, Czech Republic, Hungary, Macedonia, Poland, Romania, Slovakia, Slovenia, Yugoslavia</t>
  </si>
  <si>
    <t>Finland</t>
  </si>
  <si>
    <t>FI</t>
  </si>
  <si>
    <t>France</t>
  </si>
  <si>
    <t>FR</t>
  </si>
  <si>
    <t>Germany</t>
  </si>
  <si>
    <t>DE</t>
  </si>
  <si>
    <t>Global</t>
  </si>
  <si>
    <t>ALL</t>
  </si>
  <si>
    <t>Hungary</t>
  </si>
  <si>
    <t>HU</t>
  </si>
  <si>
    <t>India</t>
  </si>
  <si>
    <t>IN</t>
  </si>
  <si>
    <t>Ireland</t>
  </si>
  <si>
    <t>IE</t>
  </si>
  <si>
    <t>Italy</t>
  </si>
  <si>
    <t>IT</t>
  </si>
  <si>
    <t>Japan</t>
  </si>
  <si>
    <t>JP</t>
  </si>
  <si>
    <t>JPN</t>
  </si>
  <si>
    <t>Korea</t>
  </si>
  <si>
    <t>KP/KR</t>
  </si>
  <si>
    <t>Mexico</t>
  </si>
  <si>
    <t>MX</t>
  </si>
  <si>
    <t>Middle East</t>
  </si>
  <si>
    <t>MEA</t>
  </si>
  <si>
    <t>Bahrain, Cyprus, Iran, Iraq, Israel, Jordan, Kuwait, Lebanon, Oman, Qatar, Saudi Arabia, Syria, Turkey, United Arab Emirates, Yemen</t>
  </si>
  <si>
    <t>Netherlands</t>
  </si>
  <si>
    <t>NL</t>
  </si>
  <si>
    <t>North America</t>
  </si>
  <si>
    <t>NAM</t>
  </si>
  <si>
    <t>United States and Canada</t>
  </si>
  <si>
    <t>North Korea</t>
  </si>
  <si>
    <t>KP</t>
  </si>
  <si>
    <t>North Korea (the Democratic People's Republic of)</t>
  </si>
  <si>
    <t>Norway</t>
  </si>
  <si>
    <t>NO</t>
  </si>
  <si>
    <t>Oceania</t>
  </si>
  <si>
    <t>OCE</t>
  </si>
  <si>
    <t>Australia, Cook Islands, Federated States of Micronesia, Fiji, Kiribati, Marshall Islands, Nauru, New Zealand, Niue, Palau, Papua New Guinea, Samoa, Solomon Islands, Tonga, Tuvalu and Vanuatu.</t>
  </si>
  <si>
    <t>Other Asia</t>
  </si>
  <si>
    <t>OAS</t>
  </si>
  <si>
    <t>Other Developing Asia</t>
  </si>
  <si>
    <t>ODA</t>
  </si>
  <si>
    <t>Other East Europe</t>
  </si>
  <si>
    <t>OEE</t>
  </si>
  <si>
    <t>Other South America</t>
  </si>
  <si>
    <t>OSA</t>
  </si>
  <si>
    <t>Republic of Korea</t>
  </si>
  <si>
    <t>KR</t>
  </si>
  <si>
    <t>Rest of the world</t>
  </si>
  <si>
    <t>ROW</t>
  </si>
  <si>
    <t>Romania</t>
  </si>
  <si>
    <t>RO</t>
  </si>
  <si>
    <t>Russian Federation</t>
  </si>
  <si>
    <t>RU</t>
  </si>
  <si>
    <t>Slovakia</t>
  </si>
  <si>
    <t>SK</t>
  </si>
  <si>
    <t>South Korea</t>
  </si>
  <si>
    <t>South Korea (the Republic of)</t>
  </si>
  <si>
    <t>Spain</t>
  </si>
  <si>
    <t>ES</t>
  </si>
  <si>
    <t>Sweden</t>
  </si>
  <si>
    <t>SE</t>
  </si>
  <si>
    <t>Switzerland</t>
  </si>
  <si>
    <t>CH</t>
  </si>
  <si>
    <t>Turkey</t>
  </si>
  <si>
    <t>TR</t>
  </si>
  <si>
    <t>Ukraine</t>
  </si>
  <si>
    <t>UA</t>
  </si>
  <si>
    <t>United Kingdom</t>
  </si>
  <si>
    <t>GB</t>
  </si>
  <si>
    <t>United States</t>
  </si>
  <si>
    <t>US</t>
  </si>
  <si>
    <t>United States of America</t>
  </si>
  <si>
    <t>Vietnam</t>
  </si>
  <si>
    <t>VN</t>
  </si>
  <si>
    <t xml:space="preserve">RSD SubRes file from Gällivare TIMES-City </t>
  </si>
  <si>
    <t>Data from existing model</t>
  </si>
  <si>
    <t>Column11</t>
  </si>
  <si>
    <t>Column12</t>
  </si>
  <si>
    <t>Column13</t>
  </si>
  <si>
    <t>Column14</t>
  </si>
  <si>
    <t>Column15</t>
  </si>
  <si>
    <t>Typical Size or Capacity *2</t>
  </si>
  <si>
    <t>Fuel Input3</t>
  </si>
  <si>
    <t>Comment4</t>
  </si>
  <si>
    <t>Technology Type5</t>
  </si>
  <si>
    <t>Technology Description6</t>
  </si>
  <si>
    <t>Fuel Input7</t>
  </si>
  <si>
    <t>Region8</t>
  </si>
  <si>
    <t>Comm-OUT9</t>
  </si>
  <si>
    <t>Comm-OUT10</t>
  </si>
  <si>
    <t>TechName</t>
  </si>
  <si>
    <t>TechDesc</t>
  </si>
  <si>
    <t>EFFICIENCY</t>
  </si>
  <si>
    <t>CEFF-O</t>
  </si>
  <si>
    <t>INVCOST</t>
  </si>
  <si>
    <t>Cap2Act</t>
  </si>
  <si>
    <t>\I: Units</t>
  </si>
  <si>
    <t>heating</t>
  </si>
  <si>
    <t>Euro/kW</t>
  </si>
  <si>
    <t>Euro/GJ</t>
  </si>
  <si>
    <t>EUR/kW</t>
  </si>
  <si>
    <t>TJ/MW</t>
  </si>
  <si>
    <t>1000€/unit</t>
  </si>
  <si>
    <t>*Typical Size /Capacity</t>
  </si>
  <si>
    <t>kW</t>
  </si>
  <si>
    <t>TechCapUnit</t>
  </si>
  <si>
    <t>TechActUnit</t>
  </si>
  <si>
    <t>Mapping BIO (IN sUbrES Data Set) -&gt; BFW (TIMES-City Name)</t>
  </si>
  <si>
    <t>Mapping BOA (IN sUbrES Data Set) -&gt; BFW (TIMES-City Name)</t>
  </si>
  <si>
    <t>Efficiency</t>
  </si>
  <si>
    <t>Solar Heating</t>
  </si>
  <si>
    <t>MWh</t>
  </si>
  <si>
    <t>GJ</t>
  </si>
  <si>
    <t>kEuro</t>
  </si>
  <si>
    <t>CommGrp</t>
  </si>
  <si>
    <t>ACT</t>
  </si>
  <si>
    <t>Commodity Group</t>
  </si>
  <si>
    <t>Heat Pmup</t>
  </si>
  <si>
    <t>FLO_Emis</t>
  </si>
  <si>
    <t>~FI_T</t>
  </si>
  <si>
    <t>EFF</t>
  </si>
  <si>
    <t>CAPUNIT</t>
  </si>
  <si>
    <t>RKAPA</t>
  </si>
  <si>
    <t>K</t>
  </si>
  <si>
    <t>RSDGAS</t>
  </si>
  <si>
    <t>RSDELC</t>
  </si>
  <si>
    <t>RSDLPG</t>
  </si>
  <si>
    <t>RKAPB</t>
  </si>
  <si>
    <t>RKAPC</t>
  </si>
  <si>
    <t>RKAPE</t>
  </si>
  <si>
    <t>RKHSA</t>
  </si>
  <si>
    <t>RKHSB</t>
  </si>
  <si>
    <t>RKHSC</t>
  </si>
  <si>
    <t>RKHSE</t>
  </si>
  <si>
    <t>ROAPA</t>
  </si>
  <si>
    <t>O</t>
  </si>
  <si>
    <t>ROAPB</t>
  </si>
  <si>
    <t>ROAPC</t>
  </si>
  <si>
    <t>ROAPE</t>
  </si>
  <si>
    <t>ROHSA</t>
  </si>
  <si>
    <t>ROHSB</t>
  </si>
  <si>
    <t>ROHSC</t>
  </si>
  <si>
    <t>ROHSE</t>
  </si>
  <si>
    <t>RLAPA</t>
  </si>
  <si>
    <t>L</t>
  </si>
  <si>
    <t>RLAPB</t>
  </si>
  <si>
    <t>RLAPC</t>
  </si>
  <si>
    <t>RLAPE</t>
  </si>
  <si>
    <t>RLHSA</t>
  </si>
  <si>
    <t>RLHSB</t>
  </si>
  <si>
    <t>RLHSC</t>
  </si>
  <si>
    <t>RLHSE</t>
  </si>
  <si>
    <t>Index</t>
  </si>
  <si>
    <t>year</t>
  </si>
  <si>
    <t>WallInsulation</t>
  </si>
  <si>
    <t>SAV</t>
  </si>
  <si>
    <t>RSDSAV</t>
  </si>
  <si>
    <t>RHHSA</t>
  </si>
  <si>
    <t>RHHSB</t>
  </si>
  <si>
    <t>RHHSC</t>
  </si>
  <si>
    <t>RHHSE</t>
  </si>
  <si>
    <t>RHAPA</t>
  </si>
  <si>
    <t>RHAPB</t>
  </si>
  <si>
    <t>RHAPC</t>
  </si>
  <si>
    <t>RHAPE</t>
  </si>
  <si>
    <t>~FI_Process</t>
  </si>
  <si>
    <t>Sets</t>
  </si>
  <si>
    <t>Tcap</t>
  </si>
  <si>
    <t>Tact</t>
  </si>
  <si>
    <t>Tslvl</t>
  </si>
  <si>
    <t>PrimaryCG</t>
  </si>
  <si>
    <t>.DMD.</t>
  </si>
  <si>
    <t>*START</t>
  </si>
  <si>
    <t>TechName_Original</t>
  </si>
  <si>
    <t>Group</t>
  </si>
  <si>
    <t>Lookup</t>
  </si>
  <si>
    <t>DH</t>
  </si>
  <si>
    <t>A</t>
  </si>
  <si>
    <t>Others</t>
  </si>
  <si>
    <t>C</t>
  </si>
  <si>
    <t>*Comm-OUT</t>
  </si>
  <si>
    <t>AFA</t>
  </si>
  <si>
    <t>Woodstove</t>
  </si>
  <si>
    <t>Pellboiler</t>
  </si>
  <si>
    <t>Electric boiler</t>
  </si>
  <si>
    <t>DieselFurn</t>
  </si>
  <si>
    <t>AirCondit</t>
  </si>
  <si>
    <t>ElcResist</t>
  </si>
  <si>
    <t>GasFurnac</t>
  </si>
  <si>
    <t>DistrictHeat</t>
  </si>
  <si>
    <t>H</t>
  </si>
  <si>
    <t>W</t>
  </si>
  <si>
    <t>Water Heating</t>
  </si>
  <si>
    <t>Coal Furnace</t>
  </si>
  <si>
    <t>ElcOvenHobs</t>
  </si>
  <si>
    <t>ElcRange</t>
  </si>
  <si>
    <t>ElcFryerGriddle</t>
  </si>
  <si>
    <t>ElcSteamer</t>
  </si>
  <si>
    <t>SON</t>
  </si>
  <si>
    <t>FluorescTubes</t>
  </si>
  <si>
    <t>IncandescentImpr</t>
  </si>
  <si>
    <t>Apartment</t>
  </si>
  <si>
    <t>House</t>
  </si>
  <si>
    <t>Identifyer</t>
  </si>
  <si>
    <t>Biomass boiler</t>
  </si>
  <si>
    <t>Heat pump</t>
  </si>
  <si>
    <t>Used</t>
  </si>
  <si>
    <t>Name changed to match TIMES-City name</t>
  </si>
  <si>
    <t>WOO</t>
  </si>
  <si>
    <t>WOF</t>
  </si>
  <si>
    <t>B_WOO_01</t>
  </si>
  <si>
    <t>B_WOO_02</t>
  </si>
  <si>
    <t>B_WOF_01</t>
  </si>
  <si>
    <t>B_WOF_02</t>
  </si>
  <si>
    <t>B_WOF_03</t>
  </si>
  <si>
    <t>B_WOF_04</t>
  </si>
  <si>
    <t>B_WOF_05</t>
  </si>
  <si>
    <t>S_WOF_01</t>
  </si>
  <si>
    <t>S_WOF_02</t>
  </si>
  <si>
    <t>KWh</t>
  </si>
  <si>
    <t>KW</t>
  </si>
  <si>
    <t>SEK</t>
  </si>
  <si>
    <t>Euro/KW</t>
  </si>
  <si>
    <t>https://www.ebd.lth.se/fileadmin/energi_byggnadsdesign/publications/exjobb/17-5-web.pdf</t>
  </si>
  <si>
    <t>Reference</t>
  </si>
  <si>
    <t>60 Years</t>
  </si>
  <si>
    <t>HM3</t>
  </si>
  <si>
    <t>/10</t>
  </si>
  <si>
    <t>*SHARE-O~RHAPA~UP</t>
  </si>
  <si>
    <t>*CEFF-O</t>
  </si>
  <si>
    <t>*EFFICIENCY</t>
  </si>
  <si>
    <t>DAYNITE</t>
  </si>
  <si>
    <t>RSDOIL</t>
  </si>
  <si>
    <t>RWHSC</t>
  </si>
  <si>
    <t>RSDWOO</t>
  </si>
  <si>
    <t>RWAPC</t>
  </si>
  <si>
    <t>RSDWOF</t>
  </si>
  <si>
    <t>RSDSOL</t>
  </si>
  <si>
    <t>RHAPE_B_OIL_01</t>
  </si>
  <si>
    <t>RAPE</t>
  </si>
  <si>
    <t>RHAPE_B_WOO_01</t>
  </si>
  <si>
    <t>RHAPE_B_GAS_01</t>
  </si>
  <si>
    <t>RHAPE_B_GAS_02</t>
  </si>
  <si>
    <t>RHAPE_B_WOF_01</t>
  </si>
  <si>
    <t>RHAPE_B_WOF_02</t>
  </si>
  <si>
    <t>RHAPE_T_SOL_01</t>
  </si>
  <si>
    <t>RHAPE_T_SOL_02</t>
  </si>
  <si>
    <t>RHAPE_R_ELC_01</t>
  </si>
  <si>
    <t>RHAPE_R_ELC_02</t>
  </si>
  <si>
    <t>RHHSE_B_OIL_01</t>
  </si>
  <si>
    <t>RHSE</t>
  </si>
  <si>
    <t>RHHSE_B_WOO_01</t>
  </si>
  <si>
    <t>RHHSE_B_GAS_01</t>
  </si>
  <si>
    <t>RHHSE_B_GAS_02</t>
  </si>
  <si>
    <t>RHHSE_B_WOF_01</t>
  </si>
  <si>
    <t>RHHSE_B_WOF_02</t>
  </si>
  <si>
    <t>RHHSE_B_WOF_03</t>
  </si>
  <si>
    <t>RHHSE_S_WOF_01</t>
  </si>
  <si>
    <t>RHHSE_S_WOF_02</t>
  </si>
  <si>
    <t>RHHSE_T_SOL_01</t>
  </si>
  <si>
    <t>RHHSE_T_SOL_02</t>
  </si>
  <si>
    <t>RHHSE_T_SOL_03</t>
  </si>
  <si>
    <t>RHHSE_R_ELC_01</t>
  </si>
  <si>
    <t>RHHSE_B_OIL_02</t>
  </si>
  <si>
    <t>RHHSE_B_OIL_03</t>
  </si>
  <si>
    <t>RHHSE_B_OIL_04</t>
  </si>
  <si>
    <t>RHHSE_B_WOO_02</t>
  </si>
  <si>
    <t>RHHSE_B_WOO_03</t>
  </si>
  <si>
    <t>RHHSE_B_WOO_04</t>
  </si>
  <si>
    <t>RHHSE_B_GAS_03</t>
  </si>
  <si>
    <t>RHHSE_B_GAS_04</t>
  </si>
  <si>
    <t>RHHSE_B_GAS_05</t>
  </si>
  <si>
    <t>RHHSE_B_GAS_06</t>
  </si>
  <si>
    <t>RHHSE_B_GAS_07</t>
  </si>
  <si>
    <t>RHHSE_B_GAS_08</t>
  </si>
  <si>
    <t>RHHSE_B_WOF_04</t>
  </si>
  <si>
    <t>RHHSE_B_WOF_05</t>
  </si>
  <si>
    <t>RHHSE_B_WOF_06</t>
  </si>
  <si>
    <t>RHHSE_B_WOF_07</t>
  </si>
  <si>
    <t>RHHSE_B_WOF_08</t>
  </si>
  <si>
    <t>RHHSE_B_WOF_09</t>
  </si>
  <si>
    <t>RHHSE_B_WOF_10</t>
  </si>
  <si>
    <t>RHHSE_B_WOF_11</t>
  </si>
  <si>
    <t>RHHSE_B_WOF_12</t>
  </si>
  <si>
    <t>RHHSE_S_WOF_03</t>
  </si>
  <si>
    <t>RHHSE_S_WOF_04</t>
  </si>
  <si>
    <t>RHHSE_S_WOF_05</t>
  </si>
  <si>
    <t>RHHSE_S_WOF_06</t>
  </si>
  <si>
    <t>RHHSE_S_WOF_07</t>
  </si>
  <si>
    <t>RHHSE_S_WOF_08</t>
  </si>
  <si>
    <t>RHHSE_T_SOL_04</t>
  </si>
  <si>
    <t>RHHSE_T_SOL_05</t>
  </si>
  <si>
    <t>RHHSE_T_SOL_06</t>
  </si>
  <si>
    <t>RHHSE_T_SOL_07</t>
  </si>
  <si>
    <t>RHHSE_T_SOL_08</t>
  </si>
  <si>
    <t>RHHSE_T_SOL_09</t>
  </si>
  <si>
    <t>RHHSE_T_SOL_10</t>
  </si>
  <si>
    <t>RHHSE_T_SOL_11</t>
  </si>
  <si>
    <t>RHHSE_T_SOL_12</t>
  </si>
  <si>
    <t>RWHSE</t>
  </si>
  <si>
    <t>RWAPE</t>
  </si>
  <si>
    <t>RHAPE_B_OIL_02</t>
  </si>
  <si>
    <t>RHAPE_B_OIL_03</t>
  </si>
  <si>
    <t>RHAPE_B_OIL_04</t>
  </si>
  <si>
    <t>RHAPE_B_WOO_02</t>
  </si>
  <si>
    <t>RHAPE_B_WOO_03</t>
  </si>
  <si>
    <t>RHAPE_B_WOO_04</t>
  </si>
  <si>
    <t>RHAPE_B_GAS_03</t>
  </si>
  <si>
    <t>RHAPE_B_GAS_04</t>
  </si>
  <si>
    <t>RHAPE_B_GAS_05</t>
  </si>
  <si>
    <t>RHAPE_B_GAS_06</t>
  </si>
  <si>
    <t>RHAPE_B_GAS_07</t>
  </si>
  <si>
    <t>RHAPE_B_GAS_08</t>
  </si>
  <si>
    <t>RHAPE_B_WOF_03</t>
  </si>
  <si>
    <t>RHAPE_B_WOF_04</t>
  </si>
  <si>
    <t>RHAPE_B_WOF_05</t>
  </si>
  <si>
    <t>RHAPE_B_WOF_06</t>
  </si>
  <si>
    <t>RHAPE_B_WOF_07</t>
  </si>
  <si>
    <t>RHAPE_B_WOF_08</t>
  </si>
  <si>
    <t>RHAPE_T_SOL_03</t>
  </si>
  <si>
    <t>RHAPE_T_SOL_04</t>
  </si>
  <si>
    <t>RHAPE_T_SOL_05</t>
  </si>
  <si>
    <t>RHAPE_T_SOL_06</t>
  </si>
  <si>
    <t>RHAPE_T_SOL_07</t>
  </si>
  <si>
    <t>RHAPE_T_SOL_08</t>
  </si>
  <si>
    <t>RHAPE_R_ELC_03</t>
  </si>
  <si>
    <t>RHAPE_R_ELC_04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</si>
</sst>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6" formatCode="#,##0\ &quot;kr&quot;;[Red]\-#,##0\ &quot;kr&quot;"/>
    <numFmt numFmtId="43" formatCode="_-* #,##0.00_-;\-* #,##0.00_-;_-* &quot;-&quot;??_-;_-@_-"/>
    <numFmt numFmtId="164" formatCode="0.0000"/>
    <numFmt numFmtId="165" formatCode="0.0"/>
    <numFmt numFmtId="166" formatCode="0.000000"/>
    <numFmt numFmtId="167" formatCode="#,##0\ [$€-1];[Red]\-#,##0\ [$€-1]"/>
    <numFmt numFmtId="168" formatCode="_-* #,##0\ _€_-;\-* #,##0\ _€_-;_-* &quot;-&quot;??\ _€_-;_-@_-"/>
    <numFmt numFmtId="169" formatCode="0.000"/>
    <numFmt numFmtId="170" formatCode="\Te\x\t"/>
    <numFmt numFmtId="171" formatCode="#,##0.0000"/>
    <numFmt numFmtId="172" formatCode="_-* #,##0.00\ _k_r_-;\-* #,##0.00\ _k_r_-;_-* &quot;-&quot;??\ _k_r_-;_-@_-"/>
    <numFmt numFmtId="173" formatCode="_-* #,##0.00\ _€_-;\-* #,##0.00\ _€_-;_-* &quot;-&quot;??\ _€_-;_-@_-"/>
    <numFmt numFmtId="174" formatCode="_-* #,##0.00\ [$€]_-;\-* #,##0.00\ [$€]_-;_-* &quot;-&quot;??\ [$€]_-;_-@_-"/>
    <numFmt numFmtId="175" formatCode="_ * #,##0.00_ ;_ * \-#,##0.00_ ;_ * &quot;-&quot;??_ ;_ @_ "/>
    <numFmt numFmtId="176" formatCode="_ * #,##0_ ;_ * \-#,##0_ ;_ * &quot;-&quot;_ ;_ @_ "/>
    <numFmt numFmtId="177" formatCode="_ &quot;kr&quot;\ * #,##0_ ;_ &quot;kr&quot;\ * \-#,##0_ ;_ &quot;kr&quot;\ * &quot;-&quot;_ ;_ @_ "/>
    <numFmt numFmtId="178" formatCode="#,###,##0"/>
    <numFmt numFmtId="179" formatCode="#,##0;[Red]&quot;-&quot;#,##0"/>
    <numFmt numFmtId="180" formatCode="_ &quot;kr&quot;\ * #,##0.00_ ;_ &quot;kr&quot;\ * \-#,##0.00_ ;_ &quot;kr&quot;\ * &quot;-&quot;??_ ;_ @_ "/>
    <numFmt numFmtId="181" formatCode="_-[$€-2]\ * #,##0.00_-;\-[$€-2]\ * #,##0.00_-;_-[$€-2]\ * &quot;-&quot;??_-"/>
    <numFmt numFmtId="182" formatCode="#,##0;\-\ #,##0;_-\ &quot;- &quot;"/>
  </numFmts>
  <fonts count="86" x14ac:knownFonts="1">
    <font>
      <sz val="11"/>
      <color theme="1"/>
      <name val="Calibri"/>
      <family val="2"/>
      <scheme val="minor"/>
    </font>
    <font>
      <b/>
      <sz val="11"/>
      <color theme="0"/>
      <name val="Calibri"/>
      <family val="2"/>
      <scheme val="minor"/>
    </font>
    <font>
      <sz val="11"/>
      <color theme="0"/>
      <name val="Calibri"/>
      <family val="2"/>
      <scheme val="minor"/>
    </font>
    <font>
      <sz val="10"/>
      <name val="Arial"/>
      <family val="2"/>
    </font>
    <font>
      <sz val="10"/>
      <color rgb="FFC00000"/>
      <name val="Arial"/>
      <family val="2"/>
    </font>
    <font>
      <b/>
      <sz val="10"/>
      <name val="Arial"/>
      <family val="2"/>
    </font>
    <font>
      <b/>
      <sz val="11"/>
      <color rgb="FFFFFFFF"/>
      <name val="Calibri"/>
      <family val="2"/>
      <scheme val="minor"/>
    </font>
    <font>
      <sz val="11"/>
      <color rgb="FFFFFFFF"/>
      <name val="Calibri"/>
      <family val="2"/>
      <scheme val="minor"/>
    </font>
    <font>
      <sz val="11"/>
      <color rgb="FF000000"/>
      <name val="Calibri"/>
      <family val="2"/>
      <scheme val="minor"/>
    </font>
    <font>
      <sz val="10"/>
      <color rgb="FFFF0000"/>
      <name val="Arial"/>
      <family val="2"/>
    </font>
    <font>
      <b/>
      <sz val="9"/>
      <color indexed="81"/>
      <name val="Tahoma"/>
      <family val="2"/>
    </font>
    <font>
      <sz val="9"/>
      <color indexed="81"/>
      <name val="Tahoma"/>
      <family val="2"/>
    </font>
    <font>
      <sz val="8"/>
      <name val="Calibri"/>
      <family val="2"/>
      <scheme val="minor"/>
    </font>
    <font>
      <sz val="11"/>
      <color theme="1"/>
      <name val="Calibri"/>
      <family val="2"/>
      <scheme val="minor"/>
    </font>
    <font>
      <sz val="10"/>
      <name val="Arial"/>
      <family val="2"/>
    </font>
    <font>
      <sz val="11"/>
      <color rgb="FF000000"/>
      <name val="Calibri"/>
      <family val="2"/>
    </font>
    <font>
      <b/>
      <sz val="10"/>
      <name val="Calibri"/>
      <family val="2"/>
    </font>
    <font>
      <sz val="10"/>
      <name val="Calibri"/>
      <family val="2"/>
    </font>
    <font>
      <b/>
      <u/>
      <sz val="10"/>
      <name val="Arial"/>
      <family val="2"/>
    </font>
    <font>
      <u/>
      <sz val="10"/>
      <color theme="10"/>
      <name val="Arial"/>
      <family val="2"/>
    </font>
    <font>
      <sz val="10"/>
      <color rgb="FF000000"/>
      <name val="Arial"/>
      <family val="2"/>
    </font>
    <font>
      <b/>
      <sz val="11"/>
      <color theme="1"/>
      <name val="Calibri"/>
      <family val="2"/>
      <scheme val="minor"/>
    </font>
    <font>
      <b/>
      <sz val="11"/>
      <name val="Calibri"/>
      <family val="2"/>
      <scheme val="minor"/>
    </font>
    <font>
      <i/>
      <sz val="11"/>
      <color rgb="FFFFFFFF"/>
      <name val="Calibri"/>
      <family val="2"/>
      <scheme val="minor"/>
    </font>
    <font>
      <sz val="11"/>
      <color theme="1"/>
      <name val="Arial"/>
      <family val="2"/>
    </font>
    <font>
      <sz val="10"/>
      <name val="Calibri"/>
      <family val="2"/>
      <scheme val="minor"/>
    </font>
    <font>
      <b/>
      <sz val="10"/>
      <color rgb="FFC00000"/>
      <name val="Arial"/>
      <family val="2"/>
    </font>
    <font>
      <sz val="11"/>
      <name val="Calibri"/>
      <family val="2"/>
      <scheme val="minor"/>
    </font>
    <font>
      <i/>
      <sz val="11"/>
      <name val="Calibri"/>
      <family val="2"/>
      <scheme val="minor"/>
    </font>
    <font>
      <i/>
      <sz val="10"/>
      <name val="Arial"/>
      <family val="2"/>
    </font>
    <font>
      <sz val="10"/>
      <color theme="1"/>
      <name val="Arial"/>
      <family val="2"/>
    </font>
    <font>
      <sz val="11"/>
      <color theme="2" tint="-0.249977111117893"/>
      <name val="Calibri"/>
      <family val="2"/>
      <scheme val="minor"/>
    </font>
    <font>
      <b/>
      <sz val="12"/>
      <name val="Arial"/>
      <family val="2"/>
    </font>
    <font>
      <b/>
      <sz val="12"/>
      <color theme="1"/>
      <name val="Calibri"/>
      <family val="2"/>
      <scheme val="minor"/>
    </font>
    <font>
      <sz val="9"/>
      <name val="Arial"/>
      <family val="2"/>
    </font>
    <font>
      <sz val="9"/>
      <color theme="1"/>
      <name val="Calibri"/>
      <family val="2"/>
      <scheme val="minor"/>
    </font>
    <font>
      <b/>
      <sz val="10"/>
      <color indexed="81"/>
      <name val="Tahoma"/>
      <family val="2"/>
    </font>
    <font>
      <sz val="10"/>
      <color indexed="81"/>
      <name val="Tahoma"/>
      <family val="2"/>
    </font>
    <font>
      <b/>
      <sz val="9"/>
      <color indexed="81"/>
      <name val="Segoe UI"/>
      <family val="2"/>
    </font>
    <font>
      <sz val="9"/>
      <color indexed="81"/>
      <name val="Segoe UI"/>
      <family val="2"/>
    </font>
    <font>
      <sz val="9"/>
      <name val="Calibri"/>
      <family val="2"/>
      <scheme val="minor"/>
    </font>
    <font>
      <b/>
      <sz val="11"/>
      <color indexed="12"/>
      <name val="Calibri"/>
      <family val="2"/>
      <scheme val="minor"/>
    </font>
    <font>
      <sz val="11"/>
      <color rgb="FF9C0006"/>
      <name val="Calibri"/>
      <family val="2"/>
      <scheme val="minor"/>
    </font>
    <font>
      <sz val="11"/>
      <color rgb="FF3F3F76"/>
      <name val="Calibri"/>
      <family val="2"/>
      <scheme val="minor"/>
    </font>
    <font>
      <sz val="10"/>
      <name val="Arial"/>
      <family val="2"/>
    </font>
    <font>
      <sz val="8"/>
      <name val="Arial"/>
      <family val="2"/>
    </font>
    <font>
      <u/>
      <sz val="10"/>
      <color indexed="12"/>
      <name val="Arial"/>
      <family val="2"/>
    </font>
    <font>
      <sz val="11"/>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b/>
      <sz val="11"/>
      <color indexed="8"/>
      <name val="Calibri"/>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0"/>
      <name val="Helvetica"/>
      <family val="2"/>
    </font>
    <font>
      <sz val="12"/>
      <name val="Helv"/>
    </font>
    <font>
      <sz val="8"/>
      <name val="Helvetica"/>
      <family val="2"/>
    </font>
    <font>
      <sz val="10"/>
      <name val="Courier"/>
      <family val="3"/>
    </font>
    <font>
      <b/>
      <sz val="16"/>
      <name val="Times New Roman"/>
      <family val="1"/>
    </font>
    <font>
      <b/>
      <sz val="10"/>
      <color indexed="18"/>
      <name val="Arial"/>
      <family val="2"/>
    </font>
    <font>
      <b/>
      <sz val="10"/>
      <color indexed="8"/>
      <name val="Arial"/>
      <family val="2"/>
    </font>
    <font>
      <sz val="10"/>
      <name val="MS Sans Serif"/>
      <family val="2"/>
    </font>
    <font>
      <u/>
      <sz val="6.75"/>
      <color indexed="12"/>
      <name val="Geneva"/>
      <family val="2"/>
    </font>
    <font>
      <sz val="11"/>
      <color indexed="8"/>
      <name val="Calibri"/>
      <family val="2"/>
      <scheme val="minor"/>
    </font>
    <font>
      <sz val="10"/>
      <color theme="1"/>
      <name val="Bembo"/>
      <family val="2"/>
    </font>
    <font>
      <sz val="12"/>
      <color theme="1"/>
      <name val="Calibri"/>
      <family val="2"/>
      <scheme val="minor"/>
    </font>
    <font>
      <sz val="11"/>
      <color theme="1"/>
      <name val="Calibri"/>
      <family val="2"/>
      <scheme val="minor"/>
    </font>
    <font>
      <strike/>
      <sz val="10"/>
      <color rgb="FFFF0000"/>
      <name val="Arial"/>
      <family val="2"/>
    </font>
  </fonts>
  <fills count="66">
    <fill>
      <patternFill patternType="none"/>
    </fill>
    <fill>
      <patternFill patternType="gray125"/>
    </fill>
    <fill>
      <patternFill patternType="solid">
        <fgColor rgb="FF8064A2"/>
        <bgColor indexed="64"/>
      </patternFill>
    </fill>
    <fill>
      <patternFill patternType="solid">
        <fgColor rgb="FF3586C9"/>
        <bgColor indexed="64"/>
      </patternFill>
    </fill>
    <fill>
      <patternFill patternType="solid">
        <fgColor theme="9"/>
        <bgColor indexed="64"/>
      </patternFill>
    </fill>
    <fill>
      <patternFill patternType="solid">
        <fgColor theme="8"/>
        <bgColor indexed="64"/>
      </patternFill>
    </fill>
    <fill>
      <patternFill patternType="solid">
        <fgColor rgb="FF604A7B"/>
        <bgColor indexed="64"/>
      </patternFill>
    </fill>
    <fill>
      <patternFill patternType="solid">
        <fgColor rgb="FF2A6A9E"/>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0" tint="-0.249977111117893"/>
        <bgColor indexed="64"/>
      </patternFill>
    </fill>
    <fill>
      <patternFill patternType="solid">
        <fgColor rgb="FF006666"/>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FCC"/>
        <bgColor indexed="64"/>
      </patternFill>
    </fill>
    <fill>
      <patternFill patternType="solid">
        <fgColor rgb="FFFFFF66"/>
        <bgColor rgb="FF000000"/>
      </patternFill>
    </fill>
    <fill>
      <patternFill patternType="solid">
        <fgColor rgb="FFFFFFFF"/>
        <bgColor indexed="64"/>
      </patternFill>
    </fill>
    <fill>
      <patternFill patternType="solid">
        <fgColor theme="7" tint="0.79998168889431442"/>
        <bgColor indexed="64"/>
      </patternFill>
    </fill>
    <fill>
      <patternFill patternType="solid">
        <fgColor rgb="FFEA68CB"/>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indexed="43"/>
        <bgColor indexed="64"/>
      </patternFill>
    </fill>
    <fill>
      <patternFill patternType="solid">
        <fgColor indexed="42"/>
        <bgColor indexed="64"/>
      </patternFill>
    </fill>
    <fill>
      <patternFill patternType="solid">
        <fgColor theme="5" tint="0.39997558519241921"/>
        <bgColor indexed="64"/>
      </patternFill>
    </fill>
    <fill>
      <patternFill patternType="solid">
        <fgColor rgb="FFFFC0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rgb="FF0B3358"/>
        <bgColor indexed="64"/>
      </patternFill>
    </fill>
    <fill>
      <patternFill patternType="solid">
        <fgColor rgb="FFAFCEEB"/>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22"/>
        <bgColor indexed="64"/>
      </patternFill>
    </fill>
    <fill>
      <patternFill patternType="solid">
        <fgColor indexed="26"/>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theme="9" tint="0.39997558519241921"/>
        <bgColor indexed="64"/>
      </patternFill>
    </fill>
    <fill>
      <patternFill patternType="solid">
        <fgColor theme="4" tint="0.79998168889431442"/>
        <bgColor theme="4" tint="0.79998168889431442"/>
      </patternFill>
    </fill>
    <fill>
      <patternFill patternType="solid">
        <fgColor theme="8" tint="0.59999389629810485"/>
        <bgColor indexed="64"/>
      </patternFill>
    </fill>
    <fill>
      <patternFill patternType="solid">
        <fgColor theme="7" tint="0.39997558519241921"/>
        <bgColor indexed="64"/>
      </patternFill>
    </fill>
    <fill>
      <patternFill patternType="solid">
        <fgColor rgb="FFFF0000"/>
        <bgColor indexed="64"/>
      </patternFill>
    </fill>
  </fills>
  <borders count="69">
    <border>
      <left/>
      <right/>
      <top/>
      <bottom/>
      <diagonal/>
    </border>
    <border>
      <left style="medium">
        <color indexed="64"/>
      </left>
      <right/>
      <top style="medium">
        <color rgb="FFFFFFFF"/>
      </top>
      <bottom style="thick">
        <color rgb="FFFFFFFF"/>
      </bottom>
      <diagonal/>
    </border>
    <border>
      <left/>
      <right style="medium">
        <color indexed="64"/>
      </right>
      <top style="medium">
        <color rgb="FFFFFFFF"/>
      </top>
      <bottom style="thick">
        <color rgb="FFFFFFFF"/>
      </bottom>
      <diagonal/>
    </border>
    <border>
      <left/>
      <right/>
      <top style="medium">
        <color rgb="FFFFFFFF"/>
      </top>
      <bottom style="thick">
        <color rgb="FFFFFFFF"/>
      </bottom>
      <diagonal/>
    </border>
    <border>
      <left style="medium">
        <color rgb="FFFFFFFF"/>
      </left>
      <right style="medium">
        <color indexed="64"/>
      </right>
      <top style="medium">
        <color rgb="FFFFFFFF"/>
      </top>
      <bottom style="thick">
        <color rgb="FFFFFFFF"/>
      </bottom>
      <diagonal/>
    </border>
    <border>
      <left style="medium">
        <color rgb="FFFFFFFF"/>
      </left>
      <right style="medium">
        <color rgb="FFFFFFFF"/>
      </right>
      <top style="medium">
        <color rgb="FFFFFFFF"/>
      </top>
      <bottom style="thick">
        <color rgb="FFFFFFFF"/>
      </bottom>
      <diagonal/>
    </border>
    <border>
      <left style="medium">
        <color rgb="FFFFFFFF"/>
      </left>
      <right/>
      <top style="medium">
        <color rgb="FFFFFFFF"/>
      </top>
      <bottom style="thick">
        <color rgb="FFFFFFFF"/>
      </bottom>
      <diagonal/>
    </border>
    <border>
      <left/>
      <right/>
      <top/>
      <bottom style="thick">
        <color rgb="FFFFFFFF"/>
      </bottom>
      <diagonal/>
    </border>
    <border>
      <left/>
      <right style="medium">
        <color indexed="64"/>
      </right>
      <top/>
      <bottom style="thick">
        <color rgb="FFFFFFFF"/>
      </bottom>
      <diagonal/>
    </border>
    <border>
      <left/>
      <right style="medium">
        <color rgb="FFFFFFFF"/>
      </right>
      <top style="medium">
        <color rgb="FFFFFFFF"/>
      </top>
      <bottom style="thick">
        <color rgb="FFFFFFFF"/>
      </bottom>
      <diagonal/>
    </border>
    <border>
      <left style="medium">
        <color rgb="FFFFFFFF"/>
      </left>
      <right/>
      <top style="thick">
        <color rgb="FFFFFFFF"/>
      </top>
      <bottom style="thick">
        <color rgb="FFFFFFFF"/>
      </bottom>
      <diagonal/>
    </border>
    <border>
      <left/>
      <right style="medium">
        <color rgb="FFFFFFFF"/>
      </right>
      <top style="thick">
        <color rgb="FFFFFFFF"/>
      </top>
      <bottom style="thick">
        <color rgb="FFFFFFFF"/>
      </bottom>
      <diagonal/>
    </border>
    <border>
      <left/>
      <right/>
      <top style="thick">
        <color rgb="FFFFFFFF"/>
      </top>
      <bottom style="thick">
        <color rgb="FFFFFFFF"/>
      </bottom>
      <diagonal/>
    </border>
    <border>
      <left style="medium">
        <color rgb="FFFFFFFF"/>
      </left>
      <right style="medium">
        <color rgb="FFFFFFFF"/>
      </right>
      <top/>
      <bottom/>
      <diagonal/>
    </border>
    <border>
      <left/>
      <right style="medium">
        <color indexed="64"/>
      </right>
      <top/>
      <bottom/>
      <diagonal/>
    </border>
    <border>
      <left style="medium">
        <color rgb="FFFFFFFF"/>
      </left>
      <right style="medium">
        <color indexed="64"/>
      </right>
      <top/>
      <bottom/>
      <diagonal/>
    </border>
    <border>
      <left style="medium">
        <color rgb="FFFFFFFF"/>
      </left>
      <right/>
      <top/>
      <bottom/>
      <diagonal/>
    </border>
    <border>
      <left style="medium">
        <color rgb="FFFFFFFF"/>
      </left>
      <right style="medium">
        <color rgb="FFFFFFFF"/>
      </right>
      <top style="thick">
        <color rgb="FFFFFFFF"/>
      </top>
      <bottom style="medium">
        <color rgb="FFFFFFFF"/>
      </bottom>
      <diagonal/>
    </border>
    <border>
      <left/>
      <right style="medium">
        <color indexed="64"/>
      </right>
      <top style="thick">
        <color rgb="FFFFFFFF"/>
      </top>
      <bottom style="medium">
        <color rgb="FFFFFFFF"/>
      </bottom>
      <diagonal/>
    </border>
    <border>
      <left style="medium">
        <color rgb="FFFFFFFF"/>
      </left>
      <right style="medium">
        <color indexed="64"/>
      </right>
      <top style="thick">
        <color rgb="FFFFFFFF"/>
      </top>
      <bottom style="medium">
        <color rgb="FFFFFFFF"/>
      </bottom>
      <diagonal/>
    </border>
    <border>
      <left style="thin">
        <color indexed="64"/>
      </left>
      <right style="thin">
        <color indexed="64"/>
      </right>
      <top style="thin">
        <color indexed="64"/>
      </top>
      <bottom style="thin">
        <color indexed="64"/>
      </bottom>
      <diagonal/>
    </border>
    <border>
      <left style="medium">
        <color rgb="FFFFFFFF"/>
      </left>
      <right/>
      <top style="thick">
        <color rgb="FFFFFFFF"/>
      </top>
      <bottom style="medium">
        <color rgb="FFFFFFFF"/>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rgb="FFEAEAEA"/>
      </left>
      <right style="medium">
        <color rgb="FFEAEAEA"/>
      </right>
      <top style="medium">
        <color rgb="FFEAEAEA"/>
      </top>
      <bottom style="medium">
        <color rgb="FFEAEAEA"/>
      </bottom>
      <diagonal/>
    </border>
    <border>
      <left/>
      <right/>
      <top/>
      <bottom style="medium">
        <color rgb="FFE6E6E6"/>
      </bottom>
      <diagonal/>
    </border>
    <border>
      <left style="medium">
        <color rgb="FFFFFFFF"/>
      </left>
      <right style="medium">
        <color rgb="FFFFFFFF"/>
      </right>
      <top/>
      <bottom style="thick">
        <color rgb="FFFFFFFF"/>
      </bottom>
      <diagonal/>
    </border>
    <border>
      <left/>
      <right/>
      <top/>
      <bottom style="medium">
        <color rgb="FFFFFFFF"/>
      </bottom>
      <diagonal/>
    </border>
    <border>
      <left style="thin">
        <color indexed="64"/>
      </left>
      <right/>
      <top style="medium">
        <color rgb="FFFFFFFF"/>
      </top>
      <bottom style="medium">
        <color rgb="FFFFFFFF"/>
      </bottom>
      <diagonal/>
    </border>
    <border>
      <left/>
      <right style="medium">
        <color indexed="64"/>
      </right>
      <top style="thick">
        <color rgb="FFFFFFFF"/>
      </top>
      <bottom/>
      <diagonal/>
    </border>
    <border>
      <left style="medium">
        <color indexed="64"/>
      </left>
      <right style="medium">
        <color indexed="64"/>
      </right>
      <top/>
      <bottom style="thick">
        <color rgb="FFFFFFFF"/>
      </bottom>
      <diagonal/>
    </border>
    <border>
      <left/>
      <right style="medium">
        <color rgb="FFFFFFFF"/>
      </right>
      <top/>
      <bottom/>
      <diagonal/>
    </border>
    <border>
      <left style="medium">
        <color indexed="64"/>
      </left>
      <right style="medium">
        <color indexed="64"/>
      </right>
      <top style="medium">
        <color rgb="FFFFFFFF"/>
      </top>
      <bottom style="thick">
        <color rgb="FFFFFFFF"/>
      </bottom>
      <diagonal/>
    </border>
    <border>
      <left style="medium">
        <color indexed="64"/>
      </left>
      <right style="medium">
        <color indexed="64"/>
      </right>
      <top/>
      <bottom/>
      <diagonal/>
    </border>
    <border>
      <left style="medium">
        <color indexed="64"/>
      </left>
      <right style="medium">
        <color indexed="64"/>
      </right>
      <top style="thick">
        <color rgb="FFFFFFFF"/>
      </top>
      <bottom style="medium">
        <color rgb="FFFFFFFF"/>
      </bottom>
      <diagonal/>
    </border>
    <border>
      <left/>
      <right style="medium">
        <color rgb="FFFFFFFF"/>
      </right>
      <top style="thick">
        <color rgb="FFFFFFFF"/>
      </top>
      <bottom style="medium">
        <color rgb="FFFFFFFF"/>
      </bottom>
      <diagonal/>
    </border>
    <border>
      <left style="medium">
        <color rgb="FFFFFFFF"/>
      </left>
      <right style="medium">
        <color rgb="FFFFFFFF"/>
      </right>
      <top style="medium">
        <color rgb="FFFFFFFF"/>
      </top>
      <bottom/>
      <diagonal/>
    </border>
    <border>
      <left/>
      <right/>
      <top style="thin">
        <color indexed="64"/>
      </top>
      <bottom style="medium">
        <color indexed="64"/>
      </bottom>
      <diagonal/>
    </border>
    <border>
      <left/>
      <right/>
      <top/>
      <bottom style="medium">
        <color indexed="64"/>
      </bottom>
      <diagonal/>
    </border>
    <border>
      <left style="thin">
        <color rgb="FF7F7F7F"/>
      </left>
      <right style="thin">
        <color rgb="FF7F7F7F"/>
      </right>
      <top style="thin">
        <color rgb="FF7F7F7F"/>
      </top>
      <bottom style="thin">
        <color rgb="FF7F7F7F"/>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style="thin">
        <color theme="4" tint="0.39997558519241921"/>
      </top>
      <bottom style="thin">
        <color theme="4" tint="0.39997558519241921"/>
      </bottom>
      <diagonal/>
    </border>
    <border>
      <left style="thin">
        <color theme="4" tint="0.39997558519241921"/>
      </left>
      <right/>
      <top style="medium">
        <color rgb="FFFFFFFF"/>
      </top>
      <bottom/>
      <diagonal/>
    </border>
    <border>
      <left style="medium">
        <color rgb="FFFFFFFF"/>
      </left>
      <right/>
      <top style="medium">
        <color rgb="FFFFFFFF"/>
      </top>
      <bottom/>
      <diagonal/>
    </border>
    <border>
      <left style="medium">
        <color indexed="64"/>
      </left>
      <right/>
      <top style="medium">
        <color rgb="FFFFFFFF"/>
      </top>
      <bottom/>
      <diagonal/>
    </border>
    <border>
      <left style="medium">
        <color rgb="FFFFFFFF"/>
      </left>
      <right/>
      <top style="thick">
        <color rgb="FFFFFFFF"/>
      </top>
      <bottom/>
      <diagonal/>
    </border>
    <border>
      <left/>
      <right/>
      <top style="thick">
        <color rgb="FFFFFFFF"/>
      </top>
      <bottom/>
      <diagonal/>
    </border>
    <border>
      <left style="thin">
        <color theme="4" tint="0.39997558519241921"/>
      </left>
      <right/>
      <top style="thick">
        <color rgb="FFFFFFFF"/>
      </top>
      <bottom/>
      <diagonal/>
    </border>
    <border>
      <left/>
      <right style="thin">
        <color theme="4" tint="0.39997558519241921"/>
      </right>
      <top style="thick">
        <color rgb="FFFFFFFF"/>
      </top>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54530">
    <xf numFmtId="0" fontId="0" fillId="0" borderId="0"/>
    <xf numFmtId="0" fontId="14" fillId="0" borderId="0"/>
    <xf numFmtId="0" fontId="3" fillId="0" borderId="0"/>
    <xf numFmtId="0" fontId="13" fillId="0" borderId="0"/>
    <xf numFmtId="0" fontId="19" fillId="0" borderId="0" applyNumberFormat="0" applyFill="0" applyBorder="0" applyAlignment="0" applyProtection="0"/>
    <xf numFmtId="0" fontId="3" fillId="0" borderId="0"/>
    <xf numFmtId="9" fontId="13" fillId="0" borderId="0" applyFont="0" applyFill="0" applyBorder="0" applyAlignment="0" applyProtection="0"/>
    <xf numFmtId="0" fontId="3" fillId="0" borderId="0"/>
    <xf numFmtId="43" fontId="13" fillId="0" borderId="0" applyFont="0" applyFill="0" applyBorder="0" applyAlignment="0" applyProtection="0"/>
    <xf numFmtId="0" fontId="44" fillId="0" borderId="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49" fontId="66" fillId="0" borderId="20" applyNumberFormat="0" applyFont="0" applyFill="0" applyBorder="0" applyProtection="0">
      <alignment horizontal="left" vertical="center" indent="2"/>
    </xf>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49" fontId="66" fillId="0" borderId="42" applyNumberFormat="0" applyFont="0" applyFill="0" applyBorder="0" applyProtection="0">
      <alignment horizontal="left" vertical="center" indent="5"/>
    </xf>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1" borderId="0" applyNumberFormat="0" applyBorder="0" applyAlignment="0" applyProtection="0"/>
    <xf numFmtId="0" fontId="50" fillId="38" borderId="0" applyNumberFormat="0" applyBorder="0" applyAlignment="0" applyProtection="0"/>
    <xf numFmtId="0" fontId="50" fillId="39" borderId="0" applyNumberFormat="0" applyBorder="0" applyAlignment="0" applyProtection="0"/>
    <xf numFmtId="0" fontId="50" fillId="42" borderId="0" applyNumberFormat="0" applyBorder="0" applyAlignment="0" applyProtection="0"/>
    <xf numFmtId="0" fontId="50" fillId="43"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8"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8"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4" fontId="66" fillId="22" borderId="0" applyBorder="0">
      <alignment horizontal="right" vertical="center"/>
    </xf>
    <xf numFmtId="4" fontId="66" fillId="22" borderId="0" applyBorder="0">
      <alignment horizontal="right" vertical="center"/>
    </xf>
    <xf numFmtId="4" fontId="67" fillId="50" borderId="20">
      <alignment horizontal="right" vertical="center"/>
    </xf>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42" fillId="30"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42" fillId="30"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4" fontId="68" fillId="0" borderId="25" applyFill="0" applyBorder="0" applyProtection="0">
      <alignment horizontal="right" vertical="center"/>
    </xf>
    <xf numFmtId="0" fontId="69" fillId="0" borderId="43" applyNumberFormat="0" applyBorder="0" applyProtection="0">
      <alignment horizontal="center"/>
    </xf>
    <xf numFmtId="0" fontId="56" fillId="0" borderId="44" applyNumberFormat="0" applyFill="0" applyAlignment="0" applyProtection="0"/>
    <xf numFmtId="0" fontId="57" fillId="0" borderId="45" applyNumberFormat="0" applyFill="0" applyAlignment="0" applyProtection="0"/>
    <xf numFmtId="0" fontId="58" fillId="0" borderId="46" applyNumberFormat="0" applyFill="0" applyAlignment="0" applyProtection="0"/>
    <xf numFmtId="0" fontId="58" fillId="0" borderId="0" applyNumberFormat="0" applyFill="0" applyBorder="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60" fillId="0" borderId="48" applyNumberFormat="0" applyFill="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7" borderId="0" applyNumberFormat="0" applyBorder="0" applyAlignment="0" applyProtection="0"/>
    <xf numFmtId="0" fontId="50" fillId="42" borderId="0" applyNumberFormat="0" applyBorder="0" applyAlignment="0" applyProtection="0"/>
    <xf numFmtId="0" fontId="50" fillId="43" borderId="0" applyNumberFormat="0" applyBorder="0" applyAlignment="0" applyProtection="0"/>
    <xf numFmtId="0" fontId="50" fillId="49" borderId="0" applyNumberFormat="0" applyBorder="0" applyAlignment="0" applyProtection="0"/>
    <xf numFmtId="0" fontId="55" fillId="33" borderId="0" applyNumberFormat="0" applyBorder="0" applyAlignment="0" applyProtection="0"/>
    <xf numFmtId="0" fontId="66" fillId="0" borderId="50">
      <alignment horizontal="left" vertical="center" wrapText="1" indent="2"/>
    </xf>
    <xf numFmtId="0" fontId="66" fillId="22" borderId="42">
      <alignment horizontal="left" vertical="center"/>
    </xf>
    <xf numFmtId="0" fontId="70" fillId="0" borderId="0" applyFill="0" applyBorder="0" applyProtection="0"/>
    <xf numFmtId="0" fontId="3" fillId="0" borderId="51"/>
    <xf numFmtId="0" fontId="59" fillId="36" borderId="47" applyNumberFormat="0" applyAlignment="0" applyProtection="0"/>
    <xf numFmtId="0" fontId="59" fillId="36" borderId="47" applyNumberFormat="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71" fillId="0" borderId="0" applyNumberFormat="0" applyFill="0" applyBorder="0" applyAlignment="0" applyProtection="0"/>
    <xf numFmtId="0" fontId="46"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51" fillId="32" borderId="0" applyNumberFormat="0" applyBorder="0" applyAlignment="0" applyProtection="0"/>
    <xf numFmtId="0" fontId="51" fillId="32" borderId="0" applyNumberFormat="0" applyBorder="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43" fillId="36" borderId="41"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43" fillId="36" borderId="41" applyNumberFormat="0" applyAlignment="0" applyProtection="0"/>
    <xf numFmtId="0" fontId="43" fillId="36" borderId="41"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43" fillId="36" borderId="41"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4" fontId="66" fillId="0" borderId="0" applyBorder="0">
      <alignment horizontal="right" vertical="center"/>
    </xf>
    <xf numFmtId="4" fontId="66" fillId="0" borderId="20">
      <alignment horizontal="right" vertical="center"/>
    </xf>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72"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13" fillId="0" borderId="0"/>
    <xf numFmtId="0" fontId="13" fillId="0" borderId="0"/>
    <xf numFmtId="0" fontId="49" fillId="0" borderId="0"/>
    <xf numFmtId="0" fontId="49" fillId="0" borderId="0"/>
    <xf numFmtId="0" fontId="49" fillId="0" borderId="0"/>
    <xf numFmtId="0" fontId="49" fillId="0" borderId="0"/>
    <xf numFmtId="0" fontId="49" fillId="0" borderId="0"/>
    <xf numFmtId="0" fontId="3" fillId="0" borderId="0"/>
    <xf numFmtId="0" fontId="3" fillId="0" borderId="0"/>
    <xf numFmtId="0" fontId="49" fillId="0" borderId="0"/>
    <xf numFmtId="0" fontId="49" fillId="0" borderId="0"/>
    <xf numFmtId="0" fontId="13" fillId="0" borderId="0"/>
    <xf numFmtId="0" fontId="13" fillId="0" borderId="0"/>
    <xf numFmtId="0" fontId="49" fillId="0" borderId="0"/>
    <xf numFmtId="0" fontId="49" fillId="0" borderId="0"/>
    <xf numFmtId="0" fontId="49" fillId="0" borderId="0"/>
    <xf numFmtId="0" fontId="49" fillId="0" borderId="0"/>
    <xf numFmtId="0" fontId="49" fillId="0" borderId="0"/>
    <xf numFmtId="0" fontId="3" fillId="0" borderId="0"/>
    <xf numFmtId="0" fontId="3" fillId="0" borderId="0"/>
    <xf numFmtId="0" fontId="49" fillId="0" borderId="0"/>
    <xf numFmtId="0" fontId="49" fillId="0" borderId="0"/>
    <xf numFmtId="0" fontId="3" fillId="0" borderId="0"/>
    <xf numFmtId="0" fontId="3" fillId="0" borderId="0"/>
    <xf numFmtId="0" fontId="3" fillId="0" borderId="0"/>
    <xf numFmtId="0" fontId="3" fillId="0" borderId="0"/>
    <xf numFmtId="0" fontId="3" fillId="0" borderId="0"/>
    <xf numFmtId="0" fontId="49" fillId="0" borderId="0"/>
    <xf numFmtId="0" fontId="3" fillId="0" borderId="0"/>
    <xf numFmtId="0" fontId="3" fillId="0" borderId="0"/>
    <xf numFmtId="0" fontId="3" fillId="0" borderId="0"/>
    <xf numFmtId="0" fontId="3" fillId="0" borderId="0"/>
    <xf numFmtId="0" fontId="3" fillId="0" borderId="0"/>
    <xf numFmtId="0" fontId="49"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0" borderId="0"/>
    <xf numFmtId="0" fontId="3" fillId="0" borderId="0"/>
    <xf numFmtId="0" fontId="3" fillId="0" borderId="0"/>
    <xf numFmtId="0" fontId="13" fillId="0" borderId="0"/>
    <xf numFmtId="0" fontId="3" fillId="0" borderId="0"/>
    <xf numFmtId="0" fontId="13" fillId="0" borderId="0"/>
    <xf numFmtId="0" fontId="3" fillId="0" borderId="0"/>
    <xf numFmtId="0" fontId="49" fillId="0" borderId="0"/>
    <xf numFmtId="0" fontId="49" fillId="0" borderId="0"/>
    <xf numFmtId="0" fontId="49" fillId="0" borderId="0"/>
    <xf numFmtId="0" fontId="3" fillId="0" borderId="0"/>
    <xf numFmtId="0" fontId="3" fillId="0" borderId="0"/>
    <xf numFmtId="0" fontId="3" fillId="0" borderId="0"/>
    <xf numFmtId="0" fontId="3" fillId="0" borderId="0"/>
    <xf numFmtId="0" fontId="3" fillId="0" borderId="0"/>
    <xf numFmtId="0" fontId="49" fillId="0" borderId="0"/>
    <xf numFmtId="0" fontId="3" fillId="0" borderId="0"/>
    <xf numFmtId="0" fontId="49" fillId="0" borderId="0"/>
    <xf numFmtId="0" fontId="49" fillId="0" borderId="0"/>
    <xf numFmtId="0" fontId="3" fillId="0" borderId="0"/>
    <xf numFmtId="0" fontId="49" fillId="0" borderId="0"/>
    <xf numFmtId="0" fontId="13"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xf numFmtId="0" fontId="49" fillId="0" borderId="0"/>
    <xf numFmtId="0" fontId="3" fillId="0" borderId="0"/>
    <xf numFmtId="0" fontId="49" fillId="0" borderId="0"/>
    <xf numFmtId="0" fontId="49" fillId="0" borderId="0"/>
    <xf numFmtId="0" fontId="49" fillId="0" borderId="0"/>
    <xf numFmtId="0" fontId="49" fillId="0" borderId="0"/>
    <xf numFmtId="0" fontId="49" fillId="0" borderId="0"/>
    <xf numFmtId="0" fontId="3" fillId="0" borderId="0"/>
    <xf numFmtId="0" fontId="49" fillId="0" borderId="0"/>
    <xf numFmtId="0" fontId="3" fillId="0" borderId="0"/>
    <xf numFmtId="0" fontId="49" fillId="0" borderId="0"/>
    <xf numFmtId="0" fontId="3" fillId="0" borderId="0"/>
    <xf numFmtId="0" fontId="49" fillId="0" borderId="0"/>
    <xf numFmtId="0" fontId="3" fillId="0" borderId="0"/>
    <xf numFmtId="0" fontId="49"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xf numFmtId="0" fontId="49" fillId="0" borderId="0"/>
    <xf numFmtId="0" fontId="3" fillId="0" borderId="0"/>
    <xf numFmtId="0" fontId="13" fillId="0" borderId="0"/>
    <xf numFmtId="0" fontId="3" fillId="0" borderId="0"/>
    <xf numFmtId="0" fontId="3" fillId="0" borderId="0"/>
    <xf numFmtId="0" fontId="3" fillId="0" borderId="0"/>
    <xf numFmtId="0" fontId="3" fillId="0" borderId="0"/>
    <xf numFmtId="0" fontId="49" fillId="0" borderId="0"/>
    <xf numFmtId="0" fontId="3" fillId="0" borderId="0"/>
    <xf numFmtId="0" fontId="49" fillId="0" borderId="0"/>
    <xf numFmtId="0" fontId="3" fillId="0" borderId="0"/>
    <xf numFmtId="0" fontId="49" fillId="0" borderId="0"/>
    <xf numFmtId="0" fontId="3" fillId="0" borderId="0"/>
    <xf numFmtId="0" fontId="3" fillId="0" borderId="0"/>
    <xf numFmtId="0" fontId="4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49" fillId="0" borderId="0"/>
    <xf numFmtId="0" fontId="49" fillId="0" borderId="0"/>
    <xf numFmtId="0" fontId="49"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45" fillId="0" borderId="0"/>
    <xf numFmtId="0" fontId="45" fillId="0" borderId="0"/>
    <xf numFmtId="0" fontId="3" fillId="0" borderId="0">
      <alignment vertical="top"/>
    </xf>
    <xf numFmtId="0" fontId="3" fillId="0" borderId="0">
      <alignment vertical="top"/>
    </xf>
    <xf numFmtId="0" fontId="3" fillId="0" borderId="0">
      <alignment vertical="top"/>
    </xf>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9" fillId="0" borderId="0"/>
    <xf numFmtId="0" fontId="45" fillId="0" borderId="0"/>
    <xf numFmtId="0" fontId="45" fillId="0" borderId="0"/>
    <xf numFmtId="0" fontId="49" fillId="0" borderId="0"/>
    <xf numFmtId="0" fontId="45" fillId="0" borderId="0"/>
    <xf numFmtId="0" fontId="45" fillId="0" borderId="0"/>
    <xf numFmtId="0" fontId="49" fillId="0" borderId="0"/>
    <xf numFmtId="0" fontId="49" fillId="0" borderId="0"/>
    <xf numFmtId="0" fontId="49" fillId="0" borderId="0"/>
    <xf numFmtId="0" fontId="45" fillId="0" borderId="0"/>
    <xf numFmtId="0" fontId="49" fillId="0" borderId="0"/>
    <xf numFmtId="0" fontId="49" fillId="0" borderId="0"/>
    <xf numFmtId="0" fontId="3" fillId="0" borderId="0">
      <alignment vertical="top"/>
    </xf>
    <xf numFmtId="0" fontId="3" fillId="0" borderId="0">
      <alignment vertical="top"/>
    </xf>
    <xf numFmtId="0" fontId="3" fillId="0" borderId="0">
      <alignment vertical="top"/>
    </xf>
    <xf numFmtId="0" fontId="45" fillId="0" borderId="0"/>
    <xf numFmtId="0" fontId="45" fillId="0" borderId="0"/>
    <xf numFmtId="0" fontId="45" fillId="0" borderId="0"/>
    <xf numFmtId="0" fontId="49" fillId="0" borderId="0"/>
    <xf numFmtId="0" fontId="3" fillId="0" borderId="0">
      <alignment vertical="top"/>
    </xf>
    <xf numFmtId="0" fontId="3" fillId="0" borderId="0">
      <alignment vertical="top"/>
    </xf>
    <xf numFmtId="0" fontId="3" fillId="0" borderId="0">
      <alignment vertical="top"/>
    </xf>
    <xf numFmtId="0" fontId="49" fillId="0" borderId="0"/>
    <xf numFmtId="0" fontId="49" fillId="0" borderId="0"/>
    <xf numFmtId="0" fontId="3" fillId="0" borderId="0">
      <alignment vertical="top"/>
    </xf>
    <xf numFmtId="0" fontId="3" fillId="0" borderId="0">
      <alignment vertical="top"/>
    </xf>
    <xf numFmtId="0" fontId="3" fillId="0" borderId="0">
      <alignment vertical="top"/>
    </xf>
    <xf numFmtId="0" fontId="49" fillId="0" borderId="0"/>
    <xf numFmtId="0" fontId="3" fillId="0" borderId="0">
      <alignment vertical="top"/>
    </xf>
    <xf numFmtId="0" fontId="3" fillId="0" borderId="0">
      <alignment vertical="top"/>
    </xf>
    <xf numFmtId="0" fontId="3" fillId="0" borderId="0">
      <alignment vertical="top"/>
    </xf>
    <xf numFmtId="0" fontId="49" fillId="0" borderId="0"/>
    <xf numFmtId="0" fontId="13" fillId="0" borderId="0"/>
    <xf numFmtId="0" fontId="49" fillId="0" borderId="0"/>
    <xf numFmtId="0" fontId="13" fillId="0" borderId="0"/>
    <xf numFmtId="0" fontId="3" fillId="0" borderId="0">
      <alignment vertical="top"/>
    </xf>
    <xf numFmtId="0" fontId="49" fillId="0" borderId="0"/>
    <xf numFmtId="0" fontId="3" fillId="0" borderId="0"/>
    <xf numFmtId="0" fontId="3" fillId="0" borderId="0">
      <alignment vertical="top"/>
    </xf>
    <xf numFmtId="0" fontId="3" fillId="0" borderId="0">
      <alignment vertical="top"/>
    </xf>
    <xf numFmtId="0" fontId="3" fillId="0" borderId="0"/>
    <xf numFmtId="0" fontId="3" fillId="0" borderId="0"/>
    <xf numFmtId="0" fontId="47" fillId="0" borderId="0"/>
    <xf numFmtId="0" fontId="3" fillId="0" borderId="0"/>
    <xf numFmtId="0" fontId="3" fillId="0" borderId="0"/>
    <xf numFmtId="0" fontId="47" fillId="0" borderId="0"/>
    <xf numFmtId="0" fontId="3" fillId="0" borderId="0"/>
    <xf numFmtId="0" fontId="47" fillId="0" borderId="0"/>
    <xf numFmtId="0" fontId="3" fillId="0" borderId="0"/>
    <xf numFmtId="0" fontId="47" fillId="0" borderId="0"/>
    <xf numFmtId="0" fontId="3" fillId="0" borderId="0"/>
    <xf numFmtId="0" fontId="47" fillId="0" borderId="0"/>
    <xf numFmtId="0" fontId="3" fillId="0" borderId="0"/>
    <xf numFmtId="0" fontId="47" fillId="0" borderId="0"/>
    <xf numFmtId="0" fontId="47" fillId="0" borderId="0"/>
    <xf numFmtId="0" fontId="47" fillId="0" borderId="0"/>
    <xf numFmtId="0" fontId="47"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13" fillId="0" borderId="0"/>
    <xf numFmtId="0" fontId="49" fillId="0" borderId="0"/>
    <xf numFmtId="0" fontId="13" fillId="0" borderId="0"/>
    <xf numFmtId="0" fontId="49" fillId="0" borderId="0"/>
    <xf numFmtId="0" fontId="47" fillId="0" borderId="0"/>
    <xf numFmtId="0" fontId="47"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alignment vertical="top"/>
    </xf>
    <xf numFmtId="0" fontId="3" fillId="0" borderId="0">
      <alignment vertical="top"/>
    </xf>
    <xf numFmtId="0" fontId="49" fillId="0" borderId="0"/>
    <xf numFmtId="0" fontId="3" fillId="0" borderId="0">
      <alignment vertical="top"/>
    </xf>
    <xf numFmtId="0" fontId="49" fillId="0" borderId="0"/>
    <xf numFmtId="0" fontId="3" fillId="0" borderId="0">
      <alignment vertical="top"/>
    </xf>
    <xf numFmtId="0" fontId="49" fillId="0" borderId="0"/>
    <xf numFmtId="0" fontId="3" fillId="0" borderId="0">
      <alignment vertical="top"/>
    </xf>
    <xf numFmtId="0" fontId="49" fillId="0" borderId="0"/>
    <xf numFmtId="0" fontId="3" fillId="0" borderId="0"/>
    <xf numFmtId="0" fontId="3" fillId="0" borderId="0"/>
    <xf numFmtId="0" fontId="3" fillId="0" borderId="0"/>
    <xf numFmtId="0" fontId="3" fillId="0" borderId="0"/>
    <xf numFmtId="0" fontId="13" fillId="0" borderId="0"/>
    <xf numFmtId="0" fontId="49" fillId="0" borderId="0"/>
    <xf numFmtId="0" fontId="1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xf numFmtId="0" fontId="1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4" fontId="66" fillId="0" borderId="20" applyFill="0" applyBorder="0" applyProtection="0">
      <alignment horizontal="right" vertical="center"/>
    </xf>
    <xf numFmtId="49" fontId="68" fillId="0" borderId="20" applyNumberFormat="0" applyFill="0" applyBorder="0" applyProtection="0">
      <alignment horizontal="left" vertical="center"/>
    </xf>
    <xf numFmtId="0" fontId="66" fillId="0" borderId="20" applyNumberFormat="0" applyFill="0" applyAlignment="0" applyProtection="0"/>
    <xf numFmtId="0" fontId="74" fillId="54" borderId="0" applyNumberFormat="0" applyFont="0" applyBorder="0" applyAlignment="0" applyProtection="0"/>
    <xf numFmtId="0" fontId="75"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69" fillId="56" borderId="20" applyNumberFormat="0" applyBorder="0" applyProtection="0">
      <alignment horizontal="center"/>
    </xf>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171" fontId="66" fillId="57" borderId="20" applyNumberFormat="0" applyFont="0" applyBorder="0" applyAlignment="0" applyProtection="0">
      <alignment horizontal="right" vertical="center"/>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175" fontId="72" fillId="0" borderId="0" applyFont="0" applyFill="0" applyBorder="0" applyAlignment="0" applyProtection="0"/>
    <xf numFmtId="176" fontId="72" fillId="0" borderId="0" applyFont="0" applyFill="0" applyBorder="0" applyAlignment="0" applyProtection="0"/>
    <xf numFmtId="177" fontId="72" fillId="0" borderId="0" applyFont="0" applyFill="0" applyBorder="0" applyAlignment="0" applyProtection="0"/>
    <xf numFmtId="0" fontId="76" fillId="0" borderId="0" applyNumberFormat="0" applyFill="0" applyProtection="0"/>
    <xf numFmtId="0" fontId="62" fillId="51" borderId="53" applyNumberFormat="0" applyAlignment="0" applyProtection="0"/>
    <xf numFmtId="0" fontId="66" fillId="58" borderId="54"/>
    <xf numFmtId="0" fontId="48" fillId="0" borderId="0">
      <alignment vertical="top"/>
    </xf>
    <xf numFmtId="0" fontId="48" fillId="0" borderId="0">
      <alignment vertical="top"/>
    </xf>
    <xf numFmtId="0" fontId="6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69" fillId="0" borderId="0" applyNumberFormat="0" applyFill="0" applyBorder="0" applyProtection="0">
      <alignment horizontal="left"/>
    </xf>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178" fontId="77" fillId="59" borderId="0" applyNumberFormat="0" applyBorder="0">
      <protection locked="0"/>
    </xf>
    <xf numFmtId="0" fontId="63" fillId="0" borderId="0" applyNumberFormat="0" applyFill="0" applyBorder="0" applyAlignment="0" applyProtection="0"/>
    <xf numFmtId="0" fontId="63" fillId="0" borderId="0" applyNumberFormat="0" applyFill="0" applyBorder="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178" fontId="78" fillId="60" borderId="0" applyNumberFormat="0" applyBorder="0">
      <protection locked="0"/>
    </xf>
    <xf numFmtId="179" fontId="79" fillId="0" borderId="0" applyFont="0" applyFill="0" applyBorder="0" applyAlignment="0" applyProtection="0"/>
    <xf numFmtId="6" fontId="79" fillId="0" borderId="0" applyFont="0" applyFill="0" applyBorder="0" applyAlignment="0" applyProtection="0"/>
    <xf numFmtId="180" fontId="72" fillId="0" borderId="0" applyFont="0" applyFill="0" applyBorder="0" applyAlignment="0" applyProtection="0"/>
    <xf numFmtId="0" fontId="53" fillId="52" borderId="49" applyNumberFormat="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4" fontId="66" fillId="0" borderId="0"/>
    <xf numFmtId="0" fontId="3" fillId="0" borderId="0"/>
    <xf numFmtId="0" fontId="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13" fillId="0" borderId="0"/>
    <xf numFmtId="0" fontId="3" fillId="0" borderId="0">
      <alignment vertical="top"/>
    </xf>
    <xf numFmtId="0" fontId="3" fillId="0" borderId="0"/>
    <xf numFmtId="0" fontId="3" fillId="0" borderId="0">
      <alignment vertical="top"/>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1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xf numFmtId="0" fontId="1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4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13" fillId="0" borderId="0"/>
    <xf numFmtId="0" fontId="13" fillId="0" borderId="0"/>
    <xf numFmtId="0" fontId="3" fillId="0" borderId="0">
      <alignment vertical="top"/>
    </xf>
    <xf numFmtId="0" fontId="3" fillId="0" borderId="0"/>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xf numFmtId="0" fontId="1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47" fillId="0" borderId="0"/>
    <xf numFmtId="0" fontId="47" fillId="0" borderId="0"/>
    <xf numFmtId="9" fontId="3" fillId="0" borderId="0" applyFont="0" applyFill="0" applyBorder="0" applyAlignment="0" applyProtection="0"/>
    <xf numFmtId="9" fontId="47" fillId="0" borderId="0" applyFont="0" applyFill="0" applyBorder="0" applyAlignment="0" applyProtection="0"/>
    <xf numFmtId="0" fontId="13" fillId="0" borderId="0"/>
    <xf numFmtId="9" fontId="1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13" fillId="0" borderId="0"/>
    <xf numFmtId="0" fontId="3" fillId="0" borderId="0">
      <alignment vertical="top"/>
    </xf>
    <xf numFmtId="0" fontId="3" fillId="0" borderId="0"/>
    <xf numFmtId="0" fontId="3" fillId="0" borderId="0">
      <alignment vertical="top"/>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0" borderId="0"/>
    <xf numFmtId="0" fontId="1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1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0" fontId="13" fillId="0" borderId="0"/>
    <xf numFmtId="0" fontId="3" fillId="0" borderId="0"/>
    <xf numFmtId="0" fontId="13" fillId="0" borderId="0"/>
    <xf numFmtId="0" fontId="47" fillId="0" borderId="0"/>
    <xf numFmtId="0" fontId="3" fillId="0" borderId="0"/>
    <xf numFmtId="0" fontId="3" fillId="0" borderId="0"/>
    <xf numFmtId="0" fontId="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81"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xf numFmtId="0" fontId="1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13" fillId="0" borderId="0"/>
    <xf numFmtId="0" fontId="13" fillId="0" borderId="0"/>
    <xf numFmtId="0" fontId="3" fillId="0" borderId="0">
      <alignment vertical="top"/>
    </xf>
    <xf numFmtId="0" fontId="13" fillId="0" borderId="0"/>
    <xf numFmtId="0" fontId="13" fillId="0" borderId="0"/>
    <xf numFmtId="0" fontId="3" fillId="0" borderId="0"/>
    <xf numFmtId="0" fontId="3" fillId="0" borderId="0">
      <alignment vertical="top"/>
    </xf>
    <xf numFmtId="0" fontId="13" fillId="0" borderId="0"/>
    <xf numFmtId="0" fontId="1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xf numFmtId="0" fontId="1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47"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3" fillId="0" borderId="0"/>
    <xf numFmtId="0" fontId="3" fillId="0" borderId="0"/>
    <xf numFmtId="43" fontId="3" fillId="0" borderId="0" applyFont="0" applyFill="0" applyBorder="0" applyAlignment="0" applyProtection="0"/>
    <xf numFmtId="0" fontId="47" fillId="0" borderId="0"/>
    <xf numFmtId="9" fontId="47" fillId="0" borderId="0" applyFont="0" applyFill="0" applyBorder="0" applyAlignment="0" applyProtection="0"/>
    <xf numFmtId="0" fontId="3" fillId="0" borderId="0"/>
    <xf numFmtId="0" fontId="3" fillId="0" borderId="0"/>
    <xf numFmtId="0" fontId="13" fillId="0" borderId="0"/>
    <xf numFmtId="0" fontId="3" fillId="0" borderId="0"/>
    <xf numFmtId="43" fontId="3" fillId="0" borderId="0" applyFont="0" applyFill="0" applyBorder="0" applyAlignment="0" applyProtection="0"/>
    <xf numFmtId="0" fontId="47" fillId="0" borderId="0"/>
    <xf numFmtId="0" fontId="47" fillId="0" borderId="0"/>
    <xf numFmtId="0" fontId="13"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lignment vertical="top"/>
    </xf>
    <xf numFmtId="0" fontId="3" fillId="0" borderId="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0" fontId="49" fillId="55" borderId="52" applyNumberFormat="0" applyFont="0" applyAlignment="0" applyProtection="0"/>
    <xf numFmtId="0" fontId="49" fillId="55" borderId="52" applyNumberFormat="0" applyFont="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53" fillId="52" borderId="49" applyNumberFormat="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53" fillId="52" borderId="49" applyNumberFormat="0" applyAlignment="0" applyProtection="0"/>
    <xf numFmtId="0" fontId="53" fillId="52" borderId="49" applyNumberFormat="0" applyAlignment="0" applyProtection="0"/>
    <xf numFmtId="0" fontId="61" fillId="53" borderId="0" applyNumberFormat="0" applyBorder="0" applyAlignment="0" applyProtection="0"/>
    <xf numFmtId="0" fontId="60" fillId="0" borderId="48" applyNumberFormat="0" applyFill="0" applyAlignment="0" applyProtection="0"/>
    <xf numFmtId="0" fontId="55" fillId="33"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52" fillId="51" borderId="47" applyNumberFormat="0" applyAlignment="0" applyProtection="0"/>
    <xf numFmtId="0" fontId="49" fillId="40" borderId="0" applyNumberFormat="0" applyBorder="0" applyAlignment="0" applyProtection="0"/>
    <xf numFmtId="0" fontId="52" fillId="51" borderId="47" applyNumberFormat="0" applyAlignment="0" applyProtection="0"/>
    <xf numFmtId="0" fontId="49" fillId="40" borderId="0" applyNumberFormat="0" applyBorder="0" applyAlignment="0" applyProtection="0"/>
    <xf numFmtId="0" fontId="52" fillId="51" borderId="47" applyNumberFormat="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51" fillId="32"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40" borderId="0" applyNumberFormat="0" applyBorder="0" applyAlignment="0" applyProtection="0"/>
    <xf numFmtId="0" fontId="13" fillId="0" borderId="0"/>
    <xf numFmtId="0" fontId="13" fillId="0" borderId="0"/>
    <xf numFmtId="0" fontId="49" fillId="40" borderId="0" applyNumberFormat="0" applyBorder="0" applyAlignment="0" applyProtection="0"/>
    <xf numFmtId="0" fontId="49" fillId="40" borderId="0" applyNumberFormat="0" applyBorder="0" applyAlignment="0" applyProtection="0"/>
    <xf numFmtId="0" fontId="3" fillId="0" borderId="0"/>
    <xf numFmtId="0" fontId="3" fillId="0" borderId="0"/>
    <xf numFmtId="0" fontId="1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49" fillId="37" borderId="0" applyNumberFormat="0" applyBorder="0" applyAlignment="0" applyProtection="0"/>
    <xf numFmtId="0" fontId="3" fillId="0" borderId="0"/>
    <xf numFmtId="0" fontId="3" fillId="0" borderId="0"/>
    <xf numFmtId="0" fontId="49" fillId="37" borderId="0" applyNumberFormat="0" applyBorder="0" applyAlignment="0" applyProtection="0"/>
    <xf numFmtId="0" fontId="3" fillId="0" borderId="0"/>
    <xf numFmtId="0" fontId="3" fillId="0" borderId="0"/>
    <xf numFmtId="0" fontId="49" fillId="37"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49" fillId="34" borderId="0" applyNumberFormat="0" applyBorder="0" applyAlignment="0" applyProtection="0"/>
    <xf numFmtId="0" fontId="49" fillId="34" borderId="0" applyNumberFormat="0" applyBorder="0" applyAlignment="0" applyProtection="0"/>
    <xf numFmtId="0" fontId="3" fillId="0" borderId="0">
      <alignment vertical="top"/>
    </xf>
    <xf numFmtId="0" fontId="3" fillId="0" borderId="0">
      <alignment vertical="top"/>
    </xf>
    <xf numFmtId="0" fontId="3" fillId="0" borderId="0">
      <alignment vertical="top"/>
    </xf>
    <xf numFmtId="0" fontId="49" fillId="34" borderId="0" applyNumberFormat="0" applyBorder="0" applyAlignment="0" applyProtection="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13" fillId="0" borderId="0"/>
    <xf numFmtId="0" fontId="13" fillId="0" borderId="0"/>
    <xf numFmtId="0" fontId="3" fillId="0" borderId="0">
      <alignment vertical="top"/>
    </xf>
    <xf numFmtId="0" fontId="3" fillId="0" borderId="0"/>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49" fillId="39" borderId="0" applyNumberFormat="0" applyBorder="0" applyAlignment="0" applyProtection="0"/>
    <xf numFmtId="0" fontId="3" fillId="0" borderId="0"/>
    <xf numFmtId="0" fontId="49" fillId="39" borderId="0" applyNumberFormat="0" applyBorder="0" applyAlignment="0" applyProtection="0"/>
    <xf numFmtId="0" fontId="49" fillId="39" borderId="0" applyNumberFormat="0" applyBorder="0" applyAlignment="0" applyProtection="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3" fillId="0" borderId="0"/>
    <xf numFmtId="0" fontId="3" fillId="0" borderId="0"/>
    <xf numFmtId="0" fontId="1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38" borderId="0" applyNumberFormat="0" applyBorder="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38" borderId="0" applyNumberFormat="0" applyBorder="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38" borderId="0" applyNumberFormat="0" applyBorder="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37" borderId="0" applyNumberFormat="0" applyBorder="0" applyAlignment="0" applyProtection="0"/>
    <xf numFmtId="0" fontId="49" fillId="37" borderId="0" applyNumberFormat="0" applyBorder="0" applyAlignment="0" applyProtection="0"/>
    <xf numFmtId="0" fontId="3" fillId="55" borderId="52" applyNumberFormat="0" applyFont="0" applyAlignment="0" applyProtection="0"/>
    <xf numFmtId="0" fontId="49" fillId="37" borderId="0" applyNumberFormat="0" applyBorder="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9" fontId="3" fillId="0" borderId="0" applyFont="0" applyFill="0" applyBorder="0" applyAlignment="0" applyProtection="0"/>
    <xf numFmtId="9" fontId="49"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13" fillId="0" borderId="0"/>
    <xf numFmtId="43" fontId="3" fillId="0" borderId="0" applyFont="0" applyFill="0" applyBorder="0" applyAlignment="0" applyProtection="0"/>
    <xf numFmtId="0" fontId="13"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0" fontId="13" fillId="0" borderId="0"/>
    <xf numFmtId="43" fontId="3" fillId="0" borderId="0" applyFont="0" applyFill="0" applyBorder="0" applyAlignment="0" applyProtection="0"/>
    <xf numFmtId="0" fontId="13"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0" fontId="64" fillId="0" borderId="0" applyNumberForma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55" fillId="33" borderId="0" applyNumberFormat="0" applyBorder="0" applyAlignment="0" applyProtection="0"/>
    <xf numFmtId="0" fontId="49" fillId="34" borderId="0" applyNumberFormat="0" applyBorder="0" applyAlignment="0" applyProtection="0"/>
    <xf numFmtId="0" fontId="49" fillId="39"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6" borderId="0" applyNumberFormat="0" applyBorder="0" applyAlignment="0" applyProtection="0"/>
    <xf numFmtId="0" fontId="49" fillId="33"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65" fillId="0" borderId="55" applyNumberFormat="0" applyFill="0" applyAlignment="0" applyProtection="0"/>
    <xf numFmtId="9" fontId="49"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50" fillId="41" borderId="0" applyNumberFormat="0" applyBorder="0" applyAlignment="0" applyProtection="0"/>
    <xf numFmtId="0" fontId="50" fillId="49" borderId="0" applyNumberFormat="0" applyBorder="0" applyAlignment="0" applyProtection="0"/>
    <xf numFmtId="0" fontId="50" fillId="46" borderId="0" applyNumberFormat="0" applyBorder="0" applyAlignment="0" applyProtection="0"/>
    <xf numFmtId="0" fontId="50" fillId="42" borderId="0" applyNumberFormat="0" applyBorder="0" applyAlignment="0" applyProtection="0"/>
    <xf numFmtId="0" fontId="49" fillId="40" borderId="0" applyNumberFormat="0" applyBorder="0" applyAlignment="0" applyProtection="0"/>
    <xf numFmtId="0" fontId="49" fillId="38" borderId="0" applyNumberFormat="0" applyBorder="0" applyAlignment="0" applyProtection="0"/>
    <xf numFmtId="0" fontId="3" fillId="0" borderId="0"/>
    <xf numFmtId="0" fontId="58" fillId="0" borderId="0" applyNumberFormat="0" applyFill="0" applyBorder="0" applyAlignment="0" applyProtection="0"/>
    <xf numFmtId="0" fontId="52" fillId="51" borderId="47" applyNumberFormat="0" applyAlignment="0" applyProtection="0"/>
    <xf numFmtId="0" fontId="13" fillId="0" borderId="0"/>
    <xf numFmtId="174" fontId="3" fillId="0" borderId="0" applyFont="0" applyFill="0" applyBorder="0" applyAlignment="0" applyProtection="0"/>
    <xf numFmtId="0" fontId="49" fillId="40" borderId="0" applyNumberFormat="0" applyBorder="0" applyAlignment="0" applyProtection="0"/>
    <xf numFmtId="9" fontId="49" fillId="0" borderId="0" applyFont="0" applyFill="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7" fillId="0" borderId="0"/>
    <xf numFmtId="0" fontId="47" fillId="0" borderId="0"/>
    <xf numFmtId="0" fontId="13" fillId="0" borderId="0"/>
    <xf numFmtId="0" fontId="49" fillId="55" borderId="52" applyNumberFormat="0" applyFont="0" applyAlignment="0" applyProtection="0"/>
    <xf numFmtId="0" fontId="49" fillId="55" borderId="52" applyNumberFormat="0" applyFont="0" applyAlignment="0" applyProtection="0"/>
    <xf numFmtId="0" fontId="13" fillId="0" borderId="0"/>
    <xf numFmtId="0" fontId="3" fillId="0" borderId="0"/>
    <xf numFmtId="0" fontId="50" fillId="42" borderId="0" applyNumberFormat="0" applyBorder="0" applyAlignment="0" applyProtection="0"/>
    <xf numFmtId="0" fontId="50" fillId="44"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37"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13" fillId="0" borderId="0"/>
    <xf numFmtId="0" fontId="49" fillId="0" borderId="0"/>
    <xf numFmtId="0" fontId="63" fillId="0" borderId="0" applyNumberForma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0" fontId="62" fillId="51" borderId="53" applyNumberForma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0" borderId="0"/>
    <xf numFmtId="0" fontId="49" fillId="0" borderId="0"/>
    <xf numFmtId="0" fontId="57" fillId="0" borderId="45" applyNumberFormat="0" applyFill="0" applyAlignment="0" applyProtection="0"/>
    <xf numFmtId="0" fontId="58" fillId="0" borderId="46" applyNumberFormat="0" applyFill="0" applyAlignment="0" applyProtection="0"/>
    <xf numFmtId="0" fontId="54" fillId="0" borderId="0" applyNumberFormat="0" applyFill="0" applyBorder="0" applyAlignment="0" applyProtection="0"/>
    <xf numFmtId="174" fontId="3" fillId="0" borderId="0" applyFont="0" applyFill="0" applyBorder="0" applyAlignment="0" applyProtection="0"/>
    <xf numFmtId="0" fontId="50" fillId="39"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9"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4" borderId="0" applyNumberFormat="0" applyBorder="0" applyAlignment="0" applyProtection="0"/>
    <xf numFmtId="0" fontId="49" fillId="31"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3"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3" fillId="0" borderId="0"/>
    <xf numFmtId="0" fontId="3" fillId="0" borderId="0">
      <alignment vertical="top"/>
    </xf>
    <xf numFmtId="0" fontId="13" fillId="0" borderId="0"/>
    <xf numFmtId="9" fontId="49" fillId="0" borderId="0" applyFont="0" applyFill="0" applyBorder="0" applyAlignment="0" applyProtection="0"/>
    <xf numFmtId="9" fontId="49" fillId="0" borderId="0" applyFont="0" applyFill="0" applyBorder="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56" fillId="0" borderId="44" applyNumberFormat="0" applyFill="0" applyAlignment="0" applyProtection="0"/>
    <xf numFmtId="0" fontId="58" fillId="0" borderId="46" applyNumberFormat="0" applyFill="0" applyAlignment="0" applyProtection="0"/>
    <xf numFmtId="0" fontId="54" fillId="0" borderId="0" applyNumberFormat="0" applyFill="0" applyBorder="0" applyAlignment="0" applyProtection="0"/>
    <xf numFmtId="0" fontId="49" fillId="40" borderId="0" applyNumberFormat="0" applyBorder="0" applyAlignment="0" applyProtection="0"/>
    <xf numFmtId="0" fontId="53" fillId="52" borderId="49" applyNumberFormat="0" applyAlignment="0" applyProtection="0"/>
    <xf numFmtId="0" fontId="50" fillId="38"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3" fillId="55" borderId="52" applyNumberFormat="0" applyFont="0" applyAlignment="0" applyProtection="0"/>
    <xf numFmtId="0" fontId="49" fillId="55" borderId="52" applyNumberFormat="0" applyFont="0" applyAlignment="0" applyProtection="0"/>
    <xf numFmtId="0" fontId="49" fillId="0" borderId="0"/>
    <xf numFmtId="174" fontId="3" fillId="0" borderId="0" applyFont="0" applyFill="0" applyBorder="0" applyAlignment="0" applyProtection="0"/>
    <xf numFmtId="0" fontId="50" fillId="43" borderId="0" applyNumberFormat="0" applyBorder="0" applyAlignment="0" applyProtection="0"/>
    <xf numFmtId="0" fontId="50" fillId="45"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3" fillId="0" borderId="0"/>
    <xf numFmtId="0" fontId="65" fillId="0" borderId="55" applyNumberFormat="0" applyFill="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0" borderId="0"/>
    <xf numFmtId="0" fontId="3" fillId="0" borderId="0"/>
    <xf numFmtId="0" fontId="3" fillId="0" borderId="0"/>
    <xf numFmtId="0" fontId="57" fillId="0" borderId="45" applyNumberFormat="0" applyFill="0" applyAlignment="0" applyProtection="0"/>
    <xf numFmtId="0" fontId="50" fillId="41" borderId="0" applyNumberFormat="0" applyBorder="0" applyAlignment="0" applyProtection="0"/>
    <xf numFmtId="0" fontId="53" fillId="52" borderId="49" applyNumberFormat="0" applyAlignment="0" applyProtection="0"/>
    <xf numFmtId="0" fontId="52" fillId="51" borderId="47" applyNumberFormat="0" applyAlignment="0" applyProtection="0"/>
    <xf numFmtId="0" fontId="50" fillId="47" borderId="0" applyNumberFormat="0" applyBorder="0" applyAlignment="0" applyProtection="0"/>
    <xf numFmtId="0" fontId="50" fillId="43" borderId="0" applyNumberFormat="0" applyBorder="0" applyAlignment="0" applyProtection="0"/>
    <xf numFmtId="0" fontId="50" fillId="38" borderId="0" applyNumberFormat="0" applyBorder="0" applyAlignment="0" applyProtection="0"/>
    <xf numFmtId="0" fontId="49" fillId="40" borderId="0" applyNumberFormat="0" applyBorder="0" applyAlignment="0" applyProtection="0"/>
    <xf numFmtId="0" fontId="49" fillId="37" borderId="0" applyNumberFormat="0" applyBorder="0" applyAlignment="0" applyProtection="0"/>
    <xf numFmtId="0" fontId="49" fillId="40"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5" borderId="0" applyNumberFormat="0" applyBorder="0" applyAlignment="0" applyProtection="0"/>
    <xf numFmtId="0" fontId="49" fillId="32"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52" fillId="51" borderId="47" applyNumberFormat="0" applyAlignment="0" applyProtection="0"/>
    <xf numFmtId="0" fontId="53" fillId="52" borderId="49" applyNumberFormat="0" applyAlignment="0" applyProtection="0"/>
    <xf numFmtId="0" fontId="64" fillId="0" borderId="0" applyNumberFormat="0" applyFill="0" applyBorder="0" applyAlignment="0" applyProtection="0"/>
    <xf numFmtId="0" fontId="63" fillId="0" borderId="0" applyNumberForma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3" fillId="0" borderId="0" applyFont="0" applyFill="0" applyBorder="0" applyAlignment="0" applyProtection="0"/>
    <xf numFmtId="9" fontId="49" fillId="0" borderId="0" applyFont="0" applyFill="0" applyBorder="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0" borderId="0"/>
    <xf numFmtId="0" fontId="61" fillId="53" borderId="0" applyNumberFormat="0" applyBorder="0" applyAlignment="0" applyProtection="0"/>
    <xf numFmtId="0" fontId="60" fillId="0" borderId="48" applyNumberFormat="0" applyFill="0" applyAlignment="0" applyProtection="0"/>
    <xf numFmtId="0" fontId="50" fillId="42" borderId="0" applyNumberFormat="0" applyBorder="0" applyAlignment="0" applyProtection="0"/>
    <xf numFmtId="0" fontId="50" fillId="44" borderId="0" applyNumberFormat="0" applyBorder="0" applyAlignment="0" applyProtection="0"/>
    <xf numFmtId="0" fontId="49" fillId="40" borderId="0" applyNumberFormat="0" applyBorder="0" applyAlignment="0" applyProtection="0"/>
    <xf numFmtId="0" fontId="56" fillId="0" borderId="44" applyNumberFormat="0" applyFill="0" applyAlignment="0" applyProtection="0"/>
    <xf numFmtId="0" fontId="57" fillId="0" borderId="45" applyNumberFormat="0" applyFill="0" applyAlignment="0" applyProtection="0"/>
    <xf numFmtId="0" fontId="58" fillId="0" borderId="46" applyNumberFormat="0" applyFill="0" applyAlignment="0" applyProtection="0"/>
    <xf numFmtId="0" fontId="43" fillId="36" borderId="41" applyNumberFormat="0" applyAlignment="0" applyProtection="0"/>
    <xf numFmtId="0" fontId="60" fillId="0" borderId="48" applyNumberFormat="0" applyFill="0" applyAlignment="0" applyProtection="0"/>
    <xf numFmtId="0" fontId="49" fillId="0" borderId="0"/>
    <xf numFmtId="0" fontId="49" fillId="0" borderId="0"/>
    <xf numFmtId="0" fontId="49" fillId="0" borderId="0"/>
    <xf numFmtId="0" fontId="47" fillId="0" borderId="0"/>
    <xf numFmtId="0" fontId="13" fillId="0" borderId="0"/>
    <xf numFmtId="0" fontId="3" fillId="55" borderId="52" applyNumberFormat="0" applyFont="0" applyAlignment="0" applyProtection="0"/>
    <xf numFmtId="0" fontId="3" fillId="55" borderId="52" applyNumberFormat="0" applyFont="0" applyAlignment="0" applyProtection="0"/>
    <xf numFmtId="0" fontId="62" fillId="51" borderId="53" applyNumberFormat="0" applyAlignment="0" applyProtection="0"/>
    <xf numFmtId="43" fontId="3" fillId="0" borderId="0" applyFont="0" applyFill="0" applyBorder="0" applyAlignment="0" applyProtection="0"/>
    <xf numFmtId="0" fontId="49" fillId="55" borderId="52" applyNumberFormat="0" applyFont="0" applyAlignment="0" applyProtection="0"/>
    <xf numFmtId="0" fontId="3" fillId="0" borderId="0"/>
    <xf numFmtId="174" fontId="3" fillId="0" borderId="0" applyFont="0" applyFill="0" applyBorder="0" applyAlignment="0" applyProtection="0"/>
    <xf numFmtId="0" fontId="50" fillId="43" borderId="0" applyNumberFormat="0" applyBorder="0" applyAlignment="0" applyProtection="0"/>
    <xf numFmtId="0" fontId="50" fillId="45" borderId="0" applyNumberFormat="0" applyBorder="0" applyAlignment="0" applyProtection="0"/>
    <xf numFmtId="9"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9" fillId="55" borderId="52" applyNumberFormat="0" applyFon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8" fillId="0" borderId="0" applyNumberForma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0" fillId="49" borderId="0" applyNumberFormat="0" applyBorder="0" applyAlignment="0" applyProtection="0"/>
    <xf numFmtId="43" fontId="3" fillId="0" borderId="0" applyFont="0" applyFill="0" applyBorder="0" applyAlignment="0" applyProtection="0"/>
    <xf numFmtId="0" fontId="50" fillId="46" borderId="0" applyNumberFormat="0" applyBorder="0" applyAlignment="0" applyProtection="0"/>
    <xf numFmtId="0" fontId="50" fillId="39" borderId="0" applyNumberFormat="0" applyBorder="0" applyAlignment="0" applyProtection="0"/>
    <xf numFmtId="0" fontId="50" fillId="42" borderId="0" applyNumberFormat="0" applyBorder="0" applyAlignment="0" applyProtection="0"/>
    <xf numFmtId="43" fontId="3" fillId="0" borderId="0" applyFont="0" applyFill="0" applyBorder="0" applyAlignment="0" applyProtection="0"/>
    <xf numFmtId="0" fontId="49" fillId="40" borderId="0" applyNumberFormat="0" applyBorder="0" applyAlignment="0" applyProtection="0"/>
    <xf numFmtId="0" fontId="49" fillId="40" borderId="0" applyNumberFormat="0" applyBorder="0" applyAlignment="0" applyProtection="0"/>
    <xf numFmtId="0" fontId="13" fillId="0" borderId="0"/>
    <xf numFmtId="0" fontId="13" fillId="0" borderId="0"/>
    <xf numFmtId="0" fontId="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0" fontId="62" fillId="51" borderId="53" applyNumberForma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0" borderId="0"/>
    <xf numFmtId="0" fontId="56" fillId="0" borderId="44" applyNumberFormat="0" applyFill="0" applyAlignment="0" applyProtection="0"/>
    <xf numFmtId="0" fontId="49" fillId="37" borderId="0" applyNumberFormat="0" applyBorder="0" applyAlignment="0" applyProtection="0"/>
    <xf numFmtId="0" fontId="49" fillId="40"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1" borderId="0" applyNumberFormat="0" applyBorder="0" applyAlignment="0" applyProtection="0"/>
    <xf numFmtId="181" fontId="3" fillId="0" borderId="0" applyFont="0" applyFill="0" applyBorder="0" applyAlignment="0" applyProtection="0"/>
    <xf numFmtId="0" fontId="3" fillId="0" borderId="0"/>
    <xf numFmtId="0" fontId="3" fillId="0" borderId="0"/>
    <xf numFmtId="0" fontId="3" fillId="0" borderId="0"/>
    <xf numFmtId="0" fontId="3" fillId="0" borderId="0">
      <alignment vertical="top"/>
    </xf>
    <xf numFmtId="0" fontId="3" fillId="0" borderId="0">
      <alignment vertical="top"/>
    </xf>
    <xf numFmtId="0" fontId="47" fillId="0" borderId="0"/>
    <xf numFmtId="0" fontId="13" fillId="0" borderId="0"/>
    <xf numFmtId="0" fontId="3" fillId="55" borderId="52" applyNumberFormat="0" applyFont="0" applyAlignment="0" applyProtection="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0" fillId="47" borderId="0" applyNumberFormat="0" applyBorder="0" applyAlignment="0" applyProtection="0"/>
    <xf numFmtId="43" fontId="3" fillId="0" borderId="0" applyFont="0" applyFill="0" applyBorder="0" applyAlignment="0" applyProtection="0"/>
    <xf numFmtId="0" fontId="50" fillId="43"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9" fillId="40"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0" fontId="13"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0" fontId="13" fillId="0" borderId="0"/>
    <xf numFmtId="43" fontId="3" fillId="0" borderId="0" applyFont="0" applyFill="0" applyBorder="0" applyAlignment="0" applyProtection="0"/>
    <xf numFmtId="0" fontId="13"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0" fontId="13"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0" fontId="13" fillId="0" borderId="0"/>
    <xf numFmtId="43" fontId="3" fillId="0" borderId="0" applyFont="0" applyFill="0" applyBorder="0" applyAlignment="0" applyProtection="0"/>
    <xf numFmtId="0" fontId="13"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0" fontId="13"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49" fillId="31"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40" borderId="0" applyNumberFormat="0" applyBorder="0" applyAlignment="0" applyProtection="0"/>
    <xf numFmtId="0" fontId="50" fillId="41" borderId="0" applyNumberFormat="0" applyBorder="0" applyAlignment="0" applyProtection="0"/>
    <xf numFmtId="0" fontId="50" fillId="38" borderId="0" applyNumberFormat="0" applyBorder="0" applyAlignment="0" applyProtection="0"/>
    <xf numFmtId="0" fontId="50" fillId="39" borderId="0" applyNumberFormat="0" applyBorder="0" applyAlignment="0" applyProtection="0"/>
    <xf numFmtId="0" fontId="50" fillId="42" borderId="0" applyNumberFormat="0" applyBorder="0" applyAlignment="0" applyProtection="0"/>
    <xf numFmtId="0" fontId="50" fillId="43"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7"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3" borderId="0" applyNumberFormat="0" applyBorder="0" applyAlignment="0" applyProtection="0"/>
    <xf numFmtId="0" fontId="50" fillId="49"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4" fillId="0" borderId="0" applyNumberFormat="0" applyFill="0" applyBorder="0" applyAlignment="0" applyProtection="0"/>
    <xf numFmtId="0" fontId="55" fillId="33" borderId="0" applyNumberFormat="0" applyBorder="0" applyAlignment="0" applyProtection="0"/>
    <xf numFmtId="0" fontId="56" fillId="0" borderId="44" applyNumberFormat="0" applyFill="0" applyAlignment="0" applyProtection="0"/>
    <xf numFmtId="0" fontId="56" fillId="0" borderId="44"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0" applyNumberFormat="0" applyFill="0" applyBorder="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59" fillId="36" borderId="47" applyNumberFormat="0" applyAlignment="0" applyProtection="0"/>
    <xf numFmtId="0" fontId="60" fillId="0" borderId="48" applyNumberFormat="0" applyFill="0" applyAlignment="0" applyProtection="0"/>
    <xf numFmtId="0" fontId="60" fillId="0" borderId="48" applyNumberFormat="0" applyFill="0" applyAlignment="0" applyProtection="0"/>
    <xf numFmtId="0" fontId="61" fillId="53" borderId="0" applyNumberFormat="0" applyBorder="0" applyAlignment="0" applyProtection="0"/>
    <xf numFmtId="0" fontId="49" fillId="0" borderId="0"/>
    <xf numFmtId="0" fontId="3" fillId="0" borderId="0"/>
    <xf numFmtId="0" fontId="49" fillId="0" borderId="0"/>
    <xf numFmtId="0" fontId="49" fillId="0" borderId="0"/>
    <xf numFmtId="0" fontId="3" fillId="0" borderId="0"/>
    <xf numFmtId="0" fontId="49" fillId="0" borderId="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63" fillId="0" borderId="0" applyNumberFormat="0" applyFill="0" applyBorder="0" applyAlignment="0" applyProtection="0"/>
    <xf numFmtId="0" fontId="65" fillId="0" borderId="55" applyNumberFormat="0" applyFill="0" applyAlignment="0" applyProtection="0"/>
    <xf numFmtId="0" fontId="64" fillId="0" borderId="0" applyNumberFormat="0" applyFill="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9" fontId="49" fillId="0" borderId="0" applyFont="0" applyFill="0" applyBorder="0" applyAlignment="0" applyProtection="0"/>
    <xf numFmtId="9" fontId="49" fillId="0" borderId="0" applyFont="0" applyFill="0" applyBorder="0" applyAlignment="0" applyProtection="0"/>
    <xf numFmtId="0" fontId="47" fillId="0" borderId="0"/>
    <xf numFmtId="0" fontId="47" fillId="0" borderId="0"/>
    <xf numFmtId="0" fontId="47" fillId="0" borderId="0"/>
    <xf numFmtId="0" fontId="47" fillId="0" borderId="0"/>
    <xf numFmtId="0" fontId="47" fillId="0" borderId="0"/>
    <xf numFmtId="0" fontId="13" fillId="0" borderId="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xf numFmtId="0" fontId="3" fillId="0" borderId="0"/>
    <xf numFmtId="0" fontId="3"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xf numFmtId="0" fontId="3" fillId="0" borderId="0"/>
    <xf numFmtId="0" fontId="49" fillId="0" borderId="0"/>
    <xf numFmtId="0" fontId="49" fillId="0" borderId="0"/>
    <xf numFmtId="0" fontId="49" fillId="0" borderId="0"/>
    <xf numFmtId="0" fontId="49" fillId="0" borderId="0"/>
    <xf numFmtId="0" fontId="49" fillId="0" borderId="0"/>
    <xf numFmtId="0" fontId="3" fillId="0" borderId="0"/>
    <xf numFmtId="0" fontId="49" fillId="0" borderId="0"/>
    <xf numFmtId="0" fontId="49" fillId="0" borderId="0"/>
    <xf numFmtId="0" fontId="13" fillId="0" borderId="0"/>
    <xf numFmtId="0" fontId="13" fillId="0" borderId="0"/>
    <xf numFmtId="0" fontId="13" fillId="0" borderId="0"/>
    <xf numFmtId="0" fontId="13"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xf numFmtId="0" fontId="3" fillId="0" borderId="0"/>
    <xf numFmtId="0" fontId="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3" fillId="0" borderId="0"/>
    <xf numFmtId="0" fontId="3" fillId="0" borderId="0"/>
    <xf numFmtId="0" fontId="13" fillId="0" borderId="0"/>
    <xf numFmtId="0" fontId="3" fillId="0" borderId="0"/>
    <xf numFmtId="0" fontId="3" fillId="0" borderId="0"/>
    <xf numFmtId="0" fontId="13" fillId="0" borderId="0"/>
    <xf numFmtId="0" fontId="13" fillId="0" borderId="0"/>
    <xf numFmtId="0" fontId="1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3" fillId="0" borderId="0"/>
    <xf numFmtId="0" fontId="3" fillId="0" borderId="0"/>
    <xf numFmtId="0" fontId="3" fillId="0" borderId="0"/>
    <xf numFmtId="0" fontId="3"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xf numFmtId="0" fontId="3" fillId="0" borderId="0"/>
    <xf numFmtId="0" fontId="3" fillId="0" borderId="0"/>
    <xf numFmtId="0" fontId="49" fillId="0" borderId="0"/>
    <xf numFmtId="0" fontId="4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0" fontId="13" fillId="0" borderId="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3"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9"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49" fillId="37" borderId="0" applyNumberFormat="0" applyBorder="0" applyAlignment="0" applyProtection="0"/>
    <xf numFmtId="0" fontId="13" fillId="0" borderId="0"/>
    <xf numFmtId="0" fontId="49" fillId="37" borderId="0" applyNumberFormat="0" applyBorder="0" applyAlignment="0" applyProtection="0"/>
    <xf numFmtId="0" fontId="49" fillId="37"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0" fontId="49" fillId="40" borderId="0" applyNumberFormat="0" applyBorder="0" applyAlignment="0" applyProtection="0"/>
    <xf numFmtId="9" fontId="49" fillId="0" borderId="0" applyFont="0" applyFill="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39"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49" fillId="55" borderId="52" applyNumberFormat="0" applyFont="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49" fillId="55" borderId="52" applyNumberFormat="0" applyFont="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49" fillId="55" borderId="52" applyNumberFormat="0" applyFont="0" applyAlignment="0" applyProtection="0"/>
    <xf numFmtId="0" fontId="50" fillId="45" borderId="0" applyNumberFormat="0" applyBorder="0" applyAlignment="0" applyProtection="0"/>
    <xf numFmtId="0" fontId="49" fillId="55" borderId="52" applyNumberFormat="0" applyFont="0" applyAlignment="0" applyProtection="0"/>
    <xf numFmtId="0" fontId="49" fillId="55" borderId="52" applyNumberFormat="0" applyFont="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3" fillId="55" borderId="52" applyNumberFormat="0" applyFont="0" applyAlignment="0" applyProtection="0"/>
    <xf numFmtId="0" fontId="50" fillId="43" borderId="0" applyNumberFormat="0" applyBorder="0" applyAlignment="0" applyProtection="0"/>
    <xf numFmtId="0" fontId="13" fillId="0" borderId="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49" fillId="0" borderId="0"/>
    <xf numFmtId="0" fontId="42" fillId="30" borderId="0" applyNumberFormat="0" applyBorder="0" applyAlignment="0" applyProtection="0"/>
    <xf numFmtId="0" fontId="42" fillId="30" borderId="0" applyNumberFormat="0" applyBorder="0" applyAlignment="0" applyProtection="0"/>
    <xf numFmtId="0" fontId="49" fillId="0" borderId="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2" fillId="51" borderId="47"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0" fontId="53" fillId="52" borderId="49"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9" fillId="36" borderId="47" applyNumberFormat="0" applyAlignment="0" applyProtection="0"/>
    <xf numFmtId="174" fontId="3" fillId="0" borderId="0" applyFont="0" applyFill="0" applyBorder="0" applyAlignment="0" applyProtection="0"/>
    <xf numFmtId="181"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6" fillId="0" borderId="44"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7" fillId="0" borderId="45"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0" fontId="58" fillId="0" borderId="46" applyNumberFormat="0" applyFill="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43" fillId="36" borderId="41" applyNumberFormat="0" applyAlignment="0" applyProtection="0"/>
    <xf numFmtId="0" fontId="43" fillId="36" borderId="41" applyNumberFormat="0" applyAlignment="0" applyProtection="0"/>
    <xf numFmtId="0" fontId="59" fillId="36" borderId="47" applyNumberFormat="0" applyAlignment="0" applyProtection="0"/>
    <xf numFmtId="0" fontId="43" fillId="36" borderId="41" applyNumberFormat="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0" fillId="0" borderId="48" applyNumberFormat="0" applyFill="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51" fillId="32"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9" fillId="0" borderId="0"/>
    <xf numFmtId="0" fontId="13" fillId="0" borderId="0"/>
    <xf numFmtId="0" fontId="3" fillId="0" borderId="0"/>
    <xf numFmtId="0" fontId="13" fillId="0" borderId="0"/>
    <xf numFmtId="0" fontId="13" fillId="0" borderId="0"/>
    <xf numFmtId="0" fontId="49" fillId="0" borderId="0"/>
    <xf numFmtId="0" fontId="49" fillId="0" borderId="0"/>
    <xf numFmtId="0" fontId="13" fillId="0" borderId="0"/>
    <xf numFmtId="0" fontId="3" fillId="0" borderId="0"/>
    <xf numFmtId="0" fontId="13" fillId="0" borderId="0"/>
    <xf numFmtId="0" fontId="3" fillId="0" borderId="0"/>
    <xf numFmtId="0" fontId="13" fillId="0" borderId="0"/>
    <xf numFmtId="0" fontId="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5" fillId="0" borderId="0"/>
    <xf numFmtId="0" fontId="49" fillId="0" borderId="0"/>
    <xf numFmtId="0" fontId="13" fillId="0" borderId="0"/>
    <xf numFmtId="0" fontId="3" fillId="0" borderId="0">
      <alignment vertical="top"/>
    </xf>
    <xf numFmtId="0" fontId="49" fillId="0" borderId="0"/>
    <xf numFmtId="0" fontId="49" fillId="0" borderId="0"/>
    <xf numFmtId="0" fontId="13" fillId="0" borderId="0"/>
    <xf numFmtId="0" fontId="3" fillId="0" borderId="0">
      <alignment vertical="top"/>
    </xf>
    <xf numFmtId="0" fontId="13" fillId="0" borderId="0"/>
    <xf numFmtId="0" fontId="13" fillId="0" borderId="0"/>
    <xf numFmtId="0" fontId="3" fillId="0" borderId="0">
      <alignment vertical="top"/>
    </xf>
    <xf numFmtId="0" fontId="3" fillId="0" borderId="0"/>
    <xf numFmtId="0" fontId="3" fillId="0" borderId="0"/>
    <xf numFmtId="0" fontId="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alignment vertical="top"/>
    </xf>
    <xf numFmtId="0" fontId="13" fillId="0" borderId="0"/>
    <xf numFmtId="0" fontId="13" fillId="0" borderId="0"/>
    <xf numFmtId="0" fontId="13" fillId="0" borderId="0"/>
    <xf numFmtId="0" fontId="13" fillId="0" borderId="0"/>
    <xf numFmtId="0" fontId="49"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49" fillId="55" borderId="52" applyNumberFormat="0" applyFon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0" fontId="62" fillId="51" borderId="53" applyNumberFormat="0" applyAlignment="0" applyProtection="0"/>
    <xf numFmtId="9" fontId="3" fillId="0" borderId="0" applyFon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5" fillId="0" borderId="55" applyNumberFormat="0" applyFill="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2"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0" fontId="80" fillId="0" borderId="0" applyNumberFormat="0" applyFill="0" applyBorder="0" applyAlignment="0" applyProtection="0">
      <alignment vertical="top"/>
      <protection locked="0"/>
    </xf>
    <xf numFmtId="0" fontId="3" fillId="0" borderId="0"/>
    <xf numFmtId="0" fontId="3" fillId="0" borderId="0"/>
    <xf numFmtId="0" fontId="13" fillId="0" borderId="0"/>
    <xf numFmtId="0" fontId="13" fillId="0" borderId="0"/>
    <xf numFmtId="0" fontId="49" fillId="0" borderId="0"/>
    <xf numFmtId="0" fontId="49" fillId="0" borderId="0"/>
    <xf numFmtId="0" fontId="49" fillId="0" borderId="0"/>
    <xf numFmtId="0" fontId="13" fillId="0" borderId="0"/>
    <xf numFmtId="0" fontId="49" fillId="0" borderId="0"/>
    <xf numFmtId="0" fontId="49" fillId="0" borderId="0"/>
    <xf numFmtId="0" fontId="49" fillId="0" borderId="0"/>
    <xf numFmtId="0" fontId="13" fillId="0" borderId="0"/>
    <xf numFmtId="0" fontId="49" fillId="0" borderId="0"/>
    <xf numFmtId="0" fontId="13" fillId="0" borderId="0"/>
    <xf numFmtId="0" fontId="3" fillId="55" borderId="52" applyNumberFormat="0" applyFont="0" applyAlignment="0" applyProtection="0"/>
    <xf numFmtId="0" fontId="3" fillId="55" borderId="52" applyNumberFormat="0" applyFont="0" applyAlignment="0" applyProtection="0"/>
    <xf numFmtId="9" fontId="49" fillId="0" borderId="0" applyFont="0" applyFill="0" applyBorder="0" applyAlignment="0" applyProtection="0"/>
    <xf numFmtId="9" fontId="49" fillId="0" borderId="0" applyFont="0" applyFill="0" applyBorder="0" applyAlignment="0" applyProtection="0"/>
    <xf numFmtId="0" fontId="3" fillId="0" borderId="0"/>
    <xf numFmtId="0" fontId="49" fillId="55" borderId="52" applyNumberFormat="0" applyFont="0" applyAlignment="0" applyProtection="0"/>
    <xf numFmtId="0" fontId="50" fillId="48" borderId="0" applyNumberFormat="0" applyBorder="0" applyAlignment="0" applyProtection="0"/>
    <xf numFmtId="0" fontId="50" fillId="48" borderId="0" applyNumberFormat="0" applyBorder="0" applyAlignment="0" applyProtection="0"/>
    <xf numFmtId="0" fontId="49" fillId="0" borderId="0"/>
    <xf numFmtId="0" fontId="51" fillId="32"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6"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59" fillId="53" borderId="47" applyNumberFormat="0" applyAlignment="0" applyProtection="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9" fontId="3" fillId="0" borderId="0" applyFont="0" applyFill="0" applyBorder="0" applyAlignment="0" applyProtection="0"/>
    <xf numFmtId="9" fontId="3" fillId="0" borderId="0" applyFont="0" applyFill="0" applyBorder="0" applyAlignment="0" applyProtection="0"/>
    <xf numFmtId="0" fontId="3"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3" fillId="36" borderId="41" applyNumberFormat="0" applyAlignment="0" applyProtection="0"/>
    <xf numFmtId="0" fontId="59" fillId="36" borderId="47" applyNumberFormat="0" applyAlignment="0" applyProtection="0"/>
    <xf numFmtId="0" fontId="59" fillId="36" borderId="47" applyNumberFormat="0" applyAlignment="0" applyProtection="0"/>
    <xf numFmtId="174" fontId="3" fillId="0" borderId="0" applyFont="0" applyFill="0" applyBorder="0" applyAlignment="0" applyProtection="0"/>
    <xf numFmtId="0" fontId="59" fillId="53" borderId="47" applyNumberFormat="0" applyAlignment="0" applyProtection="0"/>
    <xf numFmtId="0" fontId="59" fillId="53" borderId="47" applyNumberFormat="0" applyAlignment="0" applyProtection="0"/>
    <xf numFmtId="0" fontId="51" fillId="32" borderId="0" applyNumberFormat="0" applyBorder="0" applyAlignment="0" applyProtection="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 fillId="0" borderId="0"/>
    <xf numFmtId="0" fontId="13" fillId="0" borderId="0"/>
    <xf numFmtId="0" fontId="3" fillId="0" borderId="0"/>
    <xf numFmtId="0" fontId="3" fillId="55" borderId="52" applyNumberFormat="0" applyFont="0" applyAlignment="0" applyProtection="0"/>
    <xf numFmtId="0" fontId="3" fillId="55" borderId="52" applyNumberFormat="0" applyFont="0" applyAlignment="0" applyProtection="0"/>
    <xf numFmtId="0" fontId="47" fillId="0" borderId="0"/>
    <xf numFmtId="0" fontId="47"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3" fillId="55" borderId="52" applyNumberFormat="0" applyFont="0" applyAlignment="0" applyProtection="0"/>
    <xf numFmtId="0" fontId="13" fillId="0" borderId="0"/>
    <xf numFmtId="0" fontId="50" fillId="48" borderId="0" applyNumberFormat="0" applyBorder="0" applyAlignment="0" applyProtection="0"/>
    <xf numFmtId="0" fontId="50" fillId="48" borderId="0" applyNumberFormat="0" applyBorder="0" applyAlignment="0" applyProtection="0"/>
    <xf numFmtId="0" fontId="51" fillId="32"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81" fontId="3" fillId="0" borderId="0" applyFont="0" applyFill="0" applyBorder="0" applyAlignment="0" applyProtection="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1" fillId="32"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4" fillId="0" borderId="0" applyNumberFormat="0" applyFill="0" applyBorder="0" applyAlignment="0" applyProtection="0"/>
    <xf numFmtId="0" fontId="13" fillId="0" borderId="0"/>
    <xf numFmtId="0" fontId="47" fillId="0" borderId="0"/>
    <xf numFmtId="9" fontId="13" fillId="0" borderId="0" applyFont="0" applyFill="0" applyBorder="0" applyAlignment="0" applyProtection="0"/>
    <xf numFmtId="0" fontId="13" fillId="0" borderId="0"/>
    <xf numFmtId="0" fontId="47" fillId="0" borderId="0"/>
    <xf numFmtId="0" fontId="13" fillId="0" borderId="0"/>
    <xf numFmtId="0" fontId="47" fillId="0" borderId="0"/>
    <xf numFmtId="0" fontId="13"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7" fillId="0" borderId="0"/>
    <xf numFmtId="0" fontId="13" fillId="0" borderId="0"/>
    <xf numFmtId="0" fontId="13" fillId="0" borderId="0"/>
    <xf numFmtId="0" fontId="13" fillId="0" borderId="0"/>
    <xf numFmtId="0" fontId="13" fillId="0" borderId="0"/>
    <xf numFmtId="0" fontId="47" fillId="0" borderId="0"/>
    <xf numFmtId="0" fontId="13" fillId="0" borderId="0"/>
    <xf numFmtId="0" fontId="13" fillId="0" borderId="0"/>
    <xf numFmtId="9" fontId="13" fillId="0" borderId="0" applyFont="0" applyFill="0" applyBorder="0" applyAlignment="0" applyProtection="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13" fillId="0" borderId="0"/>
    <xf numFmtId="0" fontId="47" fillId="0" borderId="0"/>
    <xf numFmtId="0" fontId="13" fillId="0" borderId="0"/>
    <xf numFmtId="0" fontId="47" fillId="0" borderId="0"/>
    <xf numFmtId="0" fontId="47" fillId="0" borderId="0"/>
    <xf numFmtId="0" fontId="47" fillId="0" borderId="0"/>
    <xf numFmtId="9" fontId="47" fillId="0" borderId="0" applyFont="0" applyFill="0" applyBorder="0" applyAlignment="0" applyProtection="0"/>
    <xf numFmtId="0" fontId="47" fillId="0" borderId="0"/>
    <xf numFmtId="0" fontId="47" fillId="0" borderId="0"/>
    <xf numFmtId="0" fontId="47" fillId="0" borderId="0"/>
    <xf numFmtId="0" fontId="47" fillId="0" borderId="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55" borderId="52" applyNumberFormat="0" applyFont="0" applyAlignment="0" applyProtection="0"/>
    <xf numFmtId="0" fontId="13" fillId="0" borderId="0"/>
    <xf numFmtId="0" fontId="47"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55" borderId="52" applyNumberFormat="0" applyFont="0" applyAlignment="0" applyProtection="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0" fontId="3" fillId="0" borderId="0"/>
    <xf numFmtId="0" fontId="3" fillId="0" borderId="0"/>
    <xf numFmtId="0" fontId="13" fillId="0" borderId="0"/>
    <xf numFmtId="0" fontId="13" fillId="0" borderId="0"/>
    <xf numFmtId="0" fontId="13" fillId="0" borderId="0"/>
    <xf numFmtId="0" fontId="13" fillId="0" borderId="0"/>
    <xf numFmtId="0" fontId="13" fillId="0" borderId="0"/>
    <xf numFmtId="0" fontId="3" fillId="55" borderId="52" applyNumberFormat="0" applyFont="0" applyAlignment="0" applyProtection="0"/>
    <xf numFmtId="0" fontId="3" fillId="55" borderId="52" applyNumberFormat="0" applyFont="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7" fillId="0" borderId="0"/>
    <xf numFmtId="0" fontId="47" fillId="0" borderId="0"/>
    <xf numFmtId="0" fontId="47" fillId="0" borderId="0"/>
    <xf numFmtId="0" fontId="49" fillId="31"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40"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34" borderId="0" applyNumberFormat="0" applyBorder="0" applyAlignment="0" applyProtection="0"/>
    <xf numFmtId="0" fontId="49" fillId="37" borderId="0" applyNumberFormat="0" applyBorder="0" applyAlignment="0" applyProtection="0"/>
    <xf numFmtId="0" fontId="49" fillId="40"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81"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81"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81"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81"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81"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81"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81"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lignment vertical="top"/>
    </xf>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7" fillId="0" borderId="0"/>
    <xf numFmtId="0" fontId="47" fillId="0" borderId="0"/>
    <xf numFmtId="0" fontId="47" fillId="0" borderId="0"/>
    <xf numFmtId="0" fontId="13" fillId="0" borderId="0"/>
    <xf numFmtId="0" fontId="47" fillId="0" borderId="0"/>
    <xf numFmtId="0" fontId="13" fillId="0" borderId="0"/>
    <xf numFmtId="0" fontId="47" fillId="0" borderId="0"/>
    <xf numFmtId="9" fontId="13" fillId="0" borderId="0" applyFont="0" applyFill="0" applyBorder="0" applyAlignment="0" applyProtection="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0" fontId="13" fillId="0" borderId="0"/>
    <xf numFmtId="0" fontId="47" fillId="0" borderId="0"/>
    <xf numFmtId="9" fontId="13" fillId="0" borderId="0" applyFont="0" applyFill="0" applyBorder="0" applyAlignment="0" applyProtection="0"/>
    <xf numFmtId="0" fontId="13" fillId="0" borderId="0"/>
    <xf numFmtId="0" fontId="47" fillId="0" borderId="0"/>
    <xf numFmtId="0" fontId="13" fillId="0" borderId="0"/>
    <xf numFmtId="0" fontId="47" fillId="0" borderId="0"/>
    <xf numFmtId="0" fontId="3" fillId="0" borderId="0"/>
    <xf numFmtId="0" fontId="47"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7"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7" fillId="0" borderId="0"/>
    <xf numFmtId="9" fontId="47" fillId="0" borderId="0" applyFont="0" applyFill="0" applyBorder="0" applyAlignment="0" applyProtection="0"/>
    <xf numFmtId="9" fontId="13" fillId="0" borderId="0" applyFont="0" applyFill="0" applyBorder="0" applyAlignment="0" applyProtection="0"/>
    <xf numFmtId="43" fontId="3" fillId="0" borderId="0" applyFont="0" applyFill="0" applyBorder="0" applyAlignment="0" applyProtection="0"/>
    <xf numFmtId="0" fontId="47" fillId="0" borderId="0"/>
    <xf numFmtId="0" fontId="47"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xf numFmtId="0" fontId="3" fillId="0" borderId="0">
      <alignment vertical="top"/>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9"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81"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181" fontId="3" fillId="0" borderId="0" applyFont="0" applyFill="0" applyBorder="0" applyAlignment="0" applyProtection="0"/>
    <xf numFmtId="181"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alignment vertical="top"/>
    </xf>
    <xf numFmtId="0" fontId="3" fillId="0" borderId="0"/>
    <xf numFmtId="0" fontId="3" fillId="0" borderId="0">
      <alignment vertical="top"/>
    </xf>
    <xf numFmtId="0" fontId="13" fillId="0" borderId="0"/>
    <xf numFmtId="0" fontId="1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0" borderId="0"/>
    <xf numFmtId="0" fontId="13" fillId="0" borderId="0"/>
    <xf numFmtId="0" fontId="3" fillId="0" borderId="0"/>
    <xf numFmtId="0" fontId="3" fillId="0" borderId="0"/>
    <xf numFmtId="0" fontId="13" fillId="0" borderId="0"/>
    <xf numFmtId="0" fontId="3" fillId="0" borderId="0"/>
    <xf numFmtId="0" fontId="13" fillId="0" borderId="0"/>
    <xf numFmtId="0" fontId="3" fillId="0" borderId="0"/>
    <xf numFmtId="0" fontId="3" fillId="0" borderId="0"/>
    <xf numFmtId="0" fontId="3" fillId="0" borderId="0"/>
    <xf numFmtId="0" fontId="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7" fillId="0" borderId="0"/>
    <xf numFmtId="0" fontId="13" fillId="0" borderId="0"/>
    <xf numFmtId="0" fontId="13" fillId="0" borderId="0"/>
    <xf numFmtId="0" fontId="13" fillId="0" borderId="0"/>
    <xf numFmtId="0" fontId="3" fillId="0" borderId="0"/>
    <xf numFmtId="0" fontId="3" fillId="0" borderId="0"/>
    <xf numFmtId="43" fontId="3" fillId="0" borderId="0" applyFont="0" applyFill="0" applyBorder="0" applyAlignment="0" applyProtection="0"/>
    <xf numFmtId="0" fontId="47" fillId="0" borderId="0"/>
    <xf numFmtId="9" fontId="4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9" fillId="0" borderId="0"/>
    <xf numFmtId="0" fontId="47"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0" fontId="3" fillId="0" borderId="0"/>
    <xf numFmtId="0" fontId="13" fillId="0" borderId="0"/>
    <xf numFmtId="0" fontId="3" fillId="0" borderId="0"/>
    <xf numFmtId="0" fontId="3" fillId="0" borderId="0">
      <alignment vertical="top"/>
    </xf>
    <xf numFmtId="0" fontId="13" fillId="0" borderId="0"/>
    <xf numFmtId="0" fontId="13" fillId="0" borderId="0"/>
    <xf numFmtId="0" fontId="3" fillId="55" borderId="52" applyNumberFormat="0" applyFont="0" applyAlignment="0" applyProtection="0"/>
    <xf numFmtId="0" fontId="3" fillId="55" borderId="52" applyNumberFormat="0" applyFont="0" applyAlignment="0" applyProtection="0"/>
    <xf numFmtId="0" fontId="3" fillId="55" borderId="52" applyNumberFormat="0" applyFont="0" applyAlignment="0" applyProtection="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0" fontId="47" fillId="0" borderId="0"/>
    <xf numFmtId="0" fontId="47"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0" fontId="3" fillId="0" borderId="0"/>
    <xf numFmtId="0" fontId="3" fillId="0" borderId="0"/>
    <xf numFmtId="0" fontId="3" fillId="0" borderId="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9" fontId="13" fillId="0" borderId="0" applyFont="0" applyFill="0" applyBorder="0" applyAlignment="0" applyProtection="0"/>
    <xf numFmtId="43" fontId="3" fillId="0" borderId="0" applyFont="0" applyFill="0" applyBorder="0" applyAlignment="0" applyProtection="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9" fontId="1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3" fillId="0" borderId="0" applyFont="0" applyFill="0" applyBorder="0" applyAlignment="0" applyProtection="0"/>
    <xf numFmtId="9" fontId="1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13" fillId="0" borderId="0"/>
    <xf numFmtId="0" fontId="82" fillId="0" borderId="0"/>
    <xf numFmtId="173" fontId="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0" fontId="84" fillId="0" borderId="0"/>
    <xf numFmtId="9" fontId="84" fillId="0" borderId="0" applyFont="0" applyFill="0" applyBorder="0" applyAlignment="0" applyProtection="0"/>
    <xf numFmtId="0" fontId="84" fillId="0" borderId="0"/>
  </cellStyleXfs>
  <cellXfs count="618">
    <xf numFmtId="0" fontId="0" fillId="0" borderId="0" xfId="0"/>
    <xf numFmtId="0" fontId="3" fillId="0" borderId="0" xfId="0" applyFont="1" applyAlignment="1">
      <alignment horizontal="left" vertical="center"/>
    </xf>
    <xf numFmtId="0" fontId="1" fillId="2" borderId="6" xfId="0" applyFont="1" applyFill="1" applyBorder="1" applyAlignment="1">
      <alignment horizontal="left" vertical="center" wrapText="1" readingOrder="1"/>
    </xf>
    <xf numFmtId="0" fontId="6" fillId="2" borderId="16" xfId="0" applyFont="1" applyFill="1" applyBorder="1" applyAlignment="1">
      <alignment horizontal="left" vertical="center" wrapText="1" readingOrder="1"/>
    </xf>
    <xf numFmtId="0" fontId="1" fillId="0" borderId="0" xfId="0" applyFont="1" applyAlignment="1">
      <alignment horizontal="center" vertical="center" readingOrder="1"/>
    </xf>
    <xf numFmtId="0" fontId="0" fillId="0" borderId="0" xfId="0" applyAlignment="1">
      <alignment horizontal="center" vertical="center"/>
    </xf>
    <xf numFmtId="0" fontId="6" fillId="2" borderId="6" xfId="0" applyFont="1" applyFill="1" applyBorder="1" applyAlignment="1">
      <alignment horizontal="left" vertical="center" readingOrder="1"/>
    </xf>
    <xf numFmtId="0" fontId="7" fillId="6" borderId="17" xfId="0" applyFont="1" applyFill="1" applyBorder="1" applyAlignment="1">
      <alignment horizontal="left" vertical="center" readingOrder="1"/>
    </xf>
    <xf numFmtId="0" fontId="14" fillId="0" borderId="0" xfId="1"/>
    <xf numFmtId="0" fontId="14" fillId="0" borderId="0" xfId="1" applyAlignment="1">
      <alignment horizontal="left"/>
    </xf>
    <xf numFmtId="0" fontId="3" fillId="0" borderId="0" xfId="1" applyFont="1"/>
    <xf numFmtId="0" fontId="3" fillId="0" borderId="0" xfId="1" applyFont="1" applyAlignment="1">
      <alignment wrapText="1"/>
    </xf>
    <xf numFmtId="0" fontId="14" fillId="0" borderId="0" xfId="1" applyAlignment="1">
      <alignment horizontal="left" wrapText="1"/>
    </xf>
    <xf numFmtId="0" fontId="3" fillId="0" borderId="0" xfId="1" applyFont="1" applyAlignment="1">
      <alignment horizontal="left"/>
    </xf>
    <xf numFmtId="0" fontId="3" fillId="0" borderId="0" xfId="2"/>
    <xf numFmtId="0" fontId="3" fillId="14" borderId="0" xfId="1" applyFont="1" applyFill="1"/>
    <xf numFmtId="0" fontId="3" fillId="12" borderId="0" xfId="1" applyFont="1" applyFill="1"/>
    <xf numFmtId="0" fontId="5" fillId="13" borderId="0" xfId="1" applyFont="1" applyFill="1"/>
    <xf numFmtId="0" fontId="14" fillId="12" borderId="0" xfId="1" applyFill="1" applyAlignment="1">
      <alignment wrapText="1"/>
    </xf>
    <xf numFmtId="0" fontId="5" fillId="0" borderId="22" xfId="1" applyFont="1" applyBorder="1"/>
    <xf numFmtId="0" fontId="14" fillId="0" borderId="22" xfId="1" applyBorder="1"/>
    <xf numFmtId="0" fontId="3" fillId="0" borderId="22" xfId="1" applyFont="1" applyBorder="1"/>
    <xf numFmtId="0" fontId="13" fillId="0" borderId="0" xfId="3"/>
    <xf numFmtId="0" fontId="5" fillId="0" borderId="0" xfId="1" applyFont="1"/>
    <xf numFmtId="0" fontId="14" fillId="0" borderId="0" xfId="1" applyAlignment="1">
      <alignment wrapText="1"/>
    </xf>
    <xf numFmtId="0" fontId="15" fillId="0" borderId="24" xfId="1" applyFont="1" applyBorder="1" applyAlignment="1">
      <alignment wrapText="1"/>
    </xf>
    <xf numFmtId="0" fontId="15" fillId="0" borderId="25" xfId="1" applyFont="1" applyBorder="1" applyAlignment="1">
      <alignment wrapText="1"/>
    </xf>
    <xf numFmtId="0" fontId="15" fillId="15" borderId="20" xfId="1" applyFont="1" applyFill="1" applyBorder="1" applyAlignment="1">
      <alignment wrapText="1"/>
    </xf>
    <xf numFmtId="0" fontId="14" fillId="14" borderId="0" xfId="1" applyFill="1"/>
    <xf numFmtId="0" fontId="5" fillId="14" borderId="0" xfId="1" applyFont="1" applyFill="1"/>
    <xf numFmtId="0" fontId="3" fillId="13" borderId="0" xfId="1" applyFont="1" applyFill="1"/>
    <xf numFmtId="0" fontId="16" fillId="13" borderId="0" xfId="1" applyFont="1" applyFill="1"/>
    <xf numFmtId="0" fontId="17" fillId="0" borderId="0" xfId="1" applyFont="1"/>
    <xf numFmtId="0" fontId="14" fillId="13" borderId="0" xfId="1" applyFill="1"/>
    <xf numFmtId="0" fontId="18" fillId="12" borderId="26" xfId="1" applyFont="1" applyFill="1" applyBorder="1"/>
    <xf numFmtId="0" fontId="19" fillId="0" borderId="0" xfId="4"/>
    <xf numFmtId="0" fontId="3" fillId="14" borderId="0" xfId="1" applyFont="1" applyFill="1" applyAlignment="1">
      <alignment vertical="top"/>
    </xf>
    <xf numFmtId="0" fontId="14" fillId="0" borderId="0" xfId="1" applyAlignment="1">
      <alignment horizontal="left" vertical="center"/>
    </xf>
    <xf numFmtId="0" fontId="14" fillId="14" borderId="0" xfId="1" applyFill="1" applyAlignment="1">
      <alignment horizontal="left" vertical="center" wrapText="1"/>
    </xf>
    <xf numFmtId="0" fontId="14" fillId="0" borderId="27" xfId="1" applyBorder="1"/>
    <xf numFmtId="0" fontId="14" fillId="16" borderId="0" xfId="1" applyFill="1"/>
    <xf numFmtId="0" fontId="3" fillId="14" borderId="26" xfId="1" applyFont="1" applyFill="1" applyBorder="1"/>
    <xf numFmtId="0" fontId="3" fillId="0" borderId="26" xfId="1" applyFont="1" applyBorder="1"/>
    <xf numFmtId="0" fontId="6" fillId="2" borderId="5" xfId="1" applyFont="1" applyFill="1" applyBorder="1" applyAlignment="1">
      <alignment horizontal="left" wrapText="1" readingOrder="1"/>
    </xf>
    <xf numFmtId="0" fontId="7" fillId="6" borderId="17" xfId="1" applyFont="1" applyFill="1" applyBorder="1" applyAlignment="1">
      <alignment horizontal="left" wrapText="1" readingOrder="1"/>
    </xf>
    <xf numFmtId="0" fontId="6" fillId="2" borderId="0" xfId="1" applyFont="1" applyFill="1" applyAlignment="1">
      <alignment horizontal="left" wrapText="1" readingOrder="1"/>
    </xf>
    <xf numFmtId="0" fontId="19" fillId="0" borderId="0" xfId="4" applyNumberFormat="1" applyFill="1" applyBorder="1"/>
    <xf numFmtId="0" fontId="6" fillId="2" borderId="5" xfId="1" applyFont="1" applyFill="1" applyBorder="1" applyAlignment="1">
      <alignment horizontal="left" readingOrder="1"/>
    </xf>
    <xf numFmtId="0" fontId="19" fillId="0" borderId="0" xfId="4" applyFill="1"/>
    <xf numFmtId="0" fontId="6" fillId="2" borderId="4" xfId="1" applyFont="1" applyFill="1" applyBorder="1" applyAlignment="1">
      <alignment horizontal="left"/>
    </xf>
    <xf numFmtId="0" fontId="15" fillId="0" borderId="24" xfId="1" applyFont="1" applyBorder="1" applyAlignment="1">
      <alignment horizontal="left" wrapText="1"/>
    </xf>
    <xf numFmtId="0" fontId="15" fillId="0" borderId="25" xfId="1" applyFont="1" applyBorder="1" applyAlignment="1">
      <alignment horizontal="left" wrapText="1"/>
    </xf>
    <xf numFmtId="0" fontId="3" fillId="14" borderId="0" xfId="1" applyFont="1" applyFill="1" applyAlignment="1">
      <alignment vertical="center"/>
    </xf>
    <xf numFmtId="0" fontId="20" fillId="14" borderId="0" xfId="1" applyFont="1" applyFill="1" applyAlignment="1">
      <alignment horizontal="left" vertical="center" wrapText="1"/>
    </xf>
    <xf numFmtId="0" fontId="14" fillId="0" borderId="0" xfId="1" applyAlignment="1">
      <alignment vertical="center"/>
    </xf>
    <xf numFmtId="0" fontId="3" fillId="14" borderId="0" xfId="1" applyFont="1" applyFill="1" applyAlignment="1">
      <alignment vertical="center" wrapText="1"/>
    </xf>
    <xf numFmtId="0" fontId="0" fillId="0" borderId="0" xfId="0" applyAlignment="1">
      <alignment horizontal="right" vertical="center"/>
    </xf>
    <xf numFmtId="0" fontId="3" fillId="17" borderId="0" xfId="1" applyFont="1" applyFill="1"/>
    <xf numFmtId="0" fontId="3" fillId="17" borderId="0" xfId="2" applyFill="1"/>
    <xf numFmtId="0" fontId="3" fillId="0" borderId="0" xfId="2" applyAlignment="1">
      <alignment horizontal="left" vertical="top"/>
    </xf>
    <xf numFmtId="0" fontId="6" fillId="2" borderId="13" xfId="1" applyFont="1" applyFill="1" applyBorder="1" applyAlignment="1">
      <alignment horizontal="left" vertical="top"/>
    </xf>
    <xf numFmtId="0" fontId="3" fillId="17" borderId="0" xfId="2" applyFill="1" applyAlignment="1">
      <alignment horizontal="left" vertical="top"/>
    </xf>
    <xf numFmtId="0" fontId="9" fillId="14" borderId="0" xfId="1" applyFont="1" applyFill="1" applyAlignment="1">
      <alignment wrapText="1"/>
    </xf>
    <xf numFmtId="0" fontId="23" fillId="2" borderId="5" xfId="0" applyFont="1" applyFill="1" applyBorder="1" applyAlignment="1">
      <alignment horizontal="left" vertical="center" readingOrder="1"/>
    </xf>
    <xf numFmtId="0" fontId="0" fillId="0" borderId="29" xfId="0" applyBorder="1" applyAlignment="1">
      <alignment horizontal="left" vertical="center"/>
    </xf>
    <xf numFmtId="0" fontId="0" fillId="12" borderId="0" xfId="0" applyFill="1" applyAlignment="1">
      <alignment horizontal="left" vertical="center"/>
    </xf>
    <xf numFmtId="0" fontId="24" fillId="0" borderId="0" xfId="0" applyFont="1" applyAlignment="1">
      <alignment horizontal="right" vertical="center"/>
    </xf>
    <xf numFmtId="0" fontId="3" fillId="0" borderId="30" xfId="0" applyFont="1" applyBorder="1" applyAlignment="1">
      <alignment horizontal="left" vertical="center"/>
    </xf>
    <xf numFmtId="0" fontId="3" fillId="0" borderId="31" xfId="0" applyFont="1" applyBorder="1" applyAlignment="1">
      <alignment horizontal="right" vertical="center"/>
    </xf>
    <xf numFmtId="0" fontId="25" fillId="0" borderId="14" xfId="0" applyFont="1" applyBorder="1" applyAlignment="1">
      <alignment horizontal="right" vertical="center"/>
    </xf>
    <xf numFmtId="0" fontId="0" fillId="0" borderId="14" xfId="0" applyBorder="1" applyAlignment="1">
      <alignment horizontal="right" vertical="center"/>
    </xf>
    <xf numFmtId="0" fontId="14" fillId="12" borderId="0" xfId="1" applyFill="1" applyAlignment="1">
      <alignment horizontal="center" vertical="center" wrapText="1"/>
    </xf>
    <xf numFmtId="0" fontId="3" fillId="17" borderId="0" xfId="5" applyFill="1" applyAlignment="1">
      <alignment horizontal="left" vertical="top"/>
    </xf>
    <xf numFmtId="49" fontId="3" fillId="17" borderId="0" xfId="5" applyNumberFormat="1" applyFill="1" applyAlignment="1">
      <alignment horizontal="left" vertical="top"/>
    </xf>
    <xf numFmtId="0" fontId="0" fillId="0" borderId="0" xfId="0" applyAlignment="1">
      <alignment horizontal="left" vertical="center"/>
    </xf>
    <xf numFmtId="2" fontId="3" fillId="0" borderId="0" xfId="0" applyNumberFormat="1" applyFont="1" applyAlignment="1">
      <alignment horizontal="left" vertical="center"/>
    </xf>
    <xf numFmtId="0" fontId="0" fillId="0" borderId="0" xfId="0" applyAlignment="1">
      <alignment horizontal="left"/>
    </xf>
    <xf numFmtId="2" fontId="3" fillId="17" borderId="0" xfId="0" applyNumberFormat="1" applyFont="1" applyFill="1" applyAlignment="1">
      <alignment horizontal="left" vertical="center"/>
    </xf>
    <xf numFmtId="0" fontId="1" fillId="10" borderId="5" xfId="0" applyFont="1" applyFill="1" applyBorder="1" applyAlignment="1">
      <alignment horizontal="center" vertical="center" wrapText="1" readingOrder="1"/>
    </xf>
    <xf numFmtId="0" fontId="1" fillId="10" borderId="5" xfId="0" applyFont="1" applyFill="1" applyBorder="1" applyAlignment="1">
      <alignment horizontal="center" vertical="top" wrapText="1" readingOrder="1"/>
    </xf>
    <xf numFmtId="0" fontId="0" fillId="0" borderId="0" xfId="0" applyAlignment="1">
      <alignment horizontal="center"/>
    </xf>
    <xf numFmtId="0" fontId="27" fillId="0" borderId="0" xfId="0" applyFont="1" applyAlignment="1">
      <alignment horizontal="left" vertical="center"/>
    </xf>
    <xf numFmtId="0" fontId="1" fillId="4" borderId="6" xfId="0" applyFont="1" applyFill="1" applyBorder="1" applyAlignment="1">
      <alignment horizontal="center" vertical="center" wrapText="1" readingOrder="1"/>
    </xf>
    <xf numFmtId="0" fontId="1" fillId="18" borderId="5" xfId="0" applyFont="1" applyFill="1" applyBorder="1" applyAlignment="1">
      <alignment horizontal="center" vertical="center" readingOrder="1"/>
    </xf>
    <xf numFmtId="0" fontId="1" fillId="18" borderId="5" xfId="0" applyFont="1" applyFill="1" applyBorder="1" applyAlignment="1">
      <alignment horizontal="center" vertical="center" wrapText="1" readingOrder="1"/>
    </xf>
    <xf numFmtId="0" fontId="2" fillId="18" borderId="5" xfId="0" applyFont="1" applyFill="1" applyBorder="1" applyAlignment="1">
      <alignment horizontal="center" vertical="center" readingOrder="1"/>
    </xf>
    <xf numFmtId="0" fontId="5" fillId="17" borderId="0" xfId="0" applyFont="1" applyFill="1" applyAlignment="1">
      <alignment horizontal="center" vertical="center"/>
    </xf>
    <xf numFmtId="0" fontId="27" fillId="0" borderId="0" xfId="0" applyFont="1" applyAlignment="1">
      <alignment horizontal="center" vertical="center"/>
    </xf>
    <xf numFmtId="0" fontId="3" fillId="0" borderId="0" xfId="0" applyFont="1" applyAlignment="1">
      <alignment horizontal="center" vertical="center"/>
    </xf>
    <xf numFmtId="0" fontId="23" fillId="2" borderId="5" xfId="0" applyFont="1" applyFill="1" applyBorder="1" applyAlignment="1">
      <alignment horizontal="center" vertical="center" readingOrder="1"/>
    </xf>
    <xf numFmtId="0" fontId="23" fillId="11" borderId="5" xfId="0" applyFont="1" applyFill="1" applyBorder="1" applyAlignment="1">
      <alignment horizontal="center" vertical="center" readingOrder="1"/>
    </xf>
    <xf numFmtId="9" fontId="1" fillId="0" borderId="0" xfId="6" applyFont="1" applyAlignment="1">
      <alignment horizontal="center" vertical="center" readingOrder="1"/>
    </xf>
    <xf numFmtId="0" fontId="5" fillId="0" borderId="0" xfId="0" applyFont="1" applyAlignment="1">
      <alignment horizontal="center" vertical="center"/>
    </xf>
    <xf numFmtId="0" fontId="0" fillId="0" borderId="29" xfId="0" applyBorder="1" applyAlignment="1">
      <alignment horizontal="center" vertical="center"/>
    </xf>
    <xf numFmtId="0" fontId="0" fillId="0" borderId="14" xfId="0" applyBorder="1" applyAlignment="1">
      <alignment horizontal="center" vertical="center"/>
    </xf>
    <xf numFmtId="0" fontId="0" fillId="12" borderId="0" xfId="0" applyFill="1" applyAlignment="1">
      <alignment horizontal="center" vertical="center"/>
    </xf>
    <xf numFmtId="0" fontId="22" fillId="12" borderId="0" xfId="0" applyFont="1" applyFill="1" applyAlignment="1">
      <alignment horizontal="center" vertical="center" readingOrder="1"/>
    </xf>
    <xf numFmtId="0" fontId="21" fillId="0" borderId="0" xfId="0" applyFont="1" applyAlignment="1">
      <alignment horizontal="center" vertical="center"/>
    </xf>
    <xf numFmtId="0" fontId="6" fillId="2" borderId="1" xfId="0" applyFont="1" applyFill="1" applyBorder="1" applyAlignment="1">
      <alignment horizontal="center" vertical="center" readingOrder="1"/>
    </xf>
    <xf numFmtId="0" fontId="6" fillId="2" borderId="2" xfId="0" applyFont="1" applyFill="1" applyBorder="1" applyAlignment="1">
      <alignment horizontal="center" vertical="center" wrapText="1" readingOrder="1"/>
    </xf>
    <xf numFmtId="0" fontId="6" fillId="2" borderId="32" xfId="0" applyFont="1" applyFill="1" applyBorder="1" applyAlignment="1">
      <alignment horizontal="center" vertical="center" readingOrder="1"/>
    </xf>
    <xf numFmtId="0" fontId="6" fillId="2" borderId="3" xfId="0" applyFont="1" applyFill="1" applyBorder="1" applyAlignment="1">
      <alignment horizontal="center" vertical="center" readingOrder="1"/>
    </xf>
    <xf numFmtId="0" fontId="6" fillId="2" borderId="2" xfId="0" applyFont="1" applyFill="1" applyBorder="1" applyAlignment="1">
      <alignment horizontal="center" vertical="center" readingOrder="1"/>
    </xf>
    <xf numFmtId="0" fontId="6" fillId="2" borderId="4" xfId="0" applyFont="1" applyFill="1" applyBorder="1" applyAlignment="1">
      <alignment horizontal="center" vertical="center" readingOrder="1"/>
    </xf>
    <xf numFmtId="0" fontId="6" fillId="2" borderId="9" xfId="0" applyFont="1" applyFill="1" applyBorder="1" applyAlignment="1">
      <alignment horizontal="center" vertical="center" readingOrder="1"/>
    </xf>
    <xf numFmtId="0" fontId="6" fillId="2" borderId="6" xfId="0" applyFont="1" applyFill="1" applyBorder="1" applyAlignment="1">
      <alignment horizontal="center" vertical="center" readingOrder="1"/>
    </xf>
    <xf numFmtId="0" fontId="6" fillId="2" borderId="5" xfId="0" applyFont="1" applyFill="1" applyBorder="1" applyAlignment="1">
      <alignment horizontal="center" vertical="center" readingOrder="1"/>
    </xf>
    <xf numFmtId="0" fontId="1" fillId="2" borderId="4" xfId="0" applyFont="1" applyFill="1" applyBorder="1" applyAlignment="1">
      <alignment horizontal="center" vertical="center" readingOrder="1"/>
    </xf>
    <xf numFmtId="0" fontId="6" fillId="11" borderId="5" xfId="0" applyFont="1" applyFill="1" applyBorder="1" applyAlignment="1">
      <alignment horizontal="center" vertical="center" readingOrder="1"/>
    </xf>
    <xf numFmtId="0" fontId="6" fillId="11" borderId="6" xfId="0" applyFont="1" applyFill="1" applyBorder="1" applyAlignment="1">
      <alignment horizontal="center" vertical="center" readingOrder="1"/>
    </xf>
    <xf numFmtId="0" fontId="6" fillId="11" borderId="7" xfId="0" applyFont="1" applyFill="1" applyBorder="1" applyAlignment="1">
      <alignment horizontal="center" vertical="center" readingOrder="1"/>
    </xf>
    <xf numFmtId="0" fontId="6" fillId="11" borderId="8" xfId="0" applyFont="1" applyFill="1" applyBorder="1" applyAlignment="1">
      <alignment horizontal="center" vertical="center" readingOrder="1"/>
    </xf>
    <xf numFmtId="0" fontId="1" fillId="3" borderId="9" xfId="0" applyFont="1" applyFill="1" applyBorder="1" applyAlignment="1">
      <alignment horizontal="center" vertical="center" readingOrder="1"/>
    </xf>
    <xf numFmtId="0" fontId="1" fillId="3" borderId="5" xfId="0" applyFont="1" applyFill="1" applyBorder="1" applyAlignment="1">
      <alignment horizontal="center" vertical="center" readingOrder="1"/>
    </xf>
    <xf numFmtId="0" fontId="1" fillId="3" borderId="6" xfId="0" applyFont="1" applyFill="1" applyBorder="1" applyAlignment="1">
      <alignment horizontal="center" vertical="center" readingOrder="1"/>
    </xf>
    <xf numFmtId="0" fontId="1" fillId="3" borderId="4" xfId="0" applyFont="1" applyFill="1" applyBorder="1" applyAlignment="1">
      <alignment horizontal="center" vertical="center" readingOrder="1"/>
    </xf>
    <xf numFmtId="0" fontId="1" fillId="4" borderId="3" xfId="0" applyFont="1" applyFill="1" applyBorder="1" applyAlignment="1">
      <alignment horizontal="center" vertical="center" readingOrder="1"/>
    </xf>
    <xf numFmtId="0" fontId="1" fillId="10" borderId="5" xfId="0" applyFont="1" applyFill="1" applyBorder="1" applyAlignment="1">
      <alignment horizontal="center" vertical="center" readingOrder="1"/>
    </xf>
    <xf numFmtId="0" fontId="1" fillId="4" borderId="6" xfId="0" applyFont="1" applyFill="1" applyBorder="1" applyAlignment="1">
      <alignment horizontal="center" vertical="center" readingOrder="1"/>
    </xf>
    <xf numFmtId="0" fontId="1" fillId="18" borderId="28" xfId="0" applyFont="1" applyFill="1" applyBorder="1" applyAlignment="1">
      <alignment horizontal="center" vertical="center" readingOrder="1"/>
    </xf>
    <xf numFmtId="0" fontId="1" fillId="19" borderId="6" xfId="0" applyFont="1" applyFill="1" applyBorder="1" applyAlignment="1">
      <alignment horizontal="center" vertical="center" readingOrder="1"/>
    </xf>
    <xf numFmtId="0" fontId="1" fillId="4" borderId="4" xfId="0" applyFont="1" applyFill="1" applyBorder="1" applyAlignment="1">
      <alignment horizontal="center" vertical="center" readingOrder="1"/>
    </xf>
    <xf numFmtId="0" fontId="1" fillId="5" borderId="9" xfId="0" applyFont="1" applyFill="1" applyBorder="1" applyAlignment="1">
      <alignment horizontal="center" vertical="center" wrapText="1" readingOrder="1"/>
    </xf>
    <xf numFmtId="0" fontId="1" fillId="10" borderId="28" xfId="0" applyFont="1" applyFill="1" applyBorder="1" applyAlignment="1">
      <alignment horizontal="center" vertical="center" readingOrder="1"/>
    </xf>
    <xf numFmtId="0" fontId="1" fillId="5" borderId="4" xfId="0" applyFont="1" applyFill="1" applyBorder="1" applyAlignment="1">
      <alignment horizontal="center" vertical="center" readingOrder="1"/>
    </xf>
    <xf numFmtId="0" fontId="1" fillId="2" borderId="5" xfId="0" applyFont="1" applyFill="1" applyBorder="1" applyAlignment="1">
      <alignment horizontal="center" vertical="center" wrapText="1" readingOrder="1"/>
    </xf>
    <xf numFmtId="0" fontId="0" fillId="0" borderId="0" xfId="0" applyAlignment="1">
      <alignment horizontal="center" vertical="center" wrapText="1"/>
    </xf>
    <xf numFmtId="0" fontId="5" fillId="0" borderId="0" xfId="0" applyFont="1" applyAlignment="1">
      <alignment horizontal="center" vertical="center" wrapText="1"/>
    </xf>
    <xf numFmtId="0" fontId="1" fillId="2" borderId="2" xfId="0" applyFont="1" applyFill="1" applyBorder="1" applyAlignment="1">
      <alignment horizontal="center" vertical="center" wrapText="1" readingOrder="1"/>
    </xf>
    <xf numFmtId="0" fontId="1" fillId="2" borderId="34" xfId="0" applyFont="1" applyFill="1" applyBorder="1" applyAlignment="1">
      <alignment horizontal="center" vertical="center" wrapText="1" readingOrder="1"/>
    </xf>
    <xf numFmtId="0" fontId="1" fillId="2" borderId="9" xfId="0" applyFont="1" applyFill="1" applyBorder="1" applyAlignment="1">
      <alignment horizontal="center" vertical="center" wrapText="1" readingOrder="1"/>
    </xf>
    <xf numFmtId="0" fontId="1" fillId="2" borderId="4" xfId="0" applyFont="1" applyFill="1" applyBorder="1" applyAlignment="1">
      <alignment horizontal="center" vertical="center" wrapText="1" readingOrder="1"/>
    </xf>
    <xf numFmtId="0" fontId="1" fillId="11" borderId="5" xfId="0" applyFont="1" applyFill="1" applyBorder="1" applyAlignment="1">
      <alignment horizontal="center" vertical="center" wrapText="1" readingOrder="1"/>
    </xf>
    <xf numFmtId="0" fontId="1" fillId="11" borderId="6" xfId="0" applyFont="1" applyFill="1" applyBorder="1" applyAlignment="1">
      <alignment horizontal="center" vertical="center" wrapText="1" readingOrder="1"/>
    </xf>
    <xf numFmtId="0" fontId="1" fillId="11" borderId="4" xfId="0" applyFont="1" applyFill="1" applyBorder="1" applyAlignment="1">
      <alignment horizontal="center" vertical="center" wrapText="1" readingOrder="1"/>
    </xf>
    <xf numFmtId="0" fontId="1" fillId="3" borderId="9" xfId="0" applyFont="1" applyFill="1" applyBorder="1" applyAlignment="1">
      <alignment horizontal="center" vertical="center" wrapText="1" readingOrder="1"/>
    </xf>
    <xf numFmtId="0" fontId="1" fillId="3" borderId="5" xfId="0" applyFont="1" applyFill="1" applyBorder="1" applyAlignment="1">
      <alignment horizontal="center" vertical="center" wrapText="1" readingOrder="1"/>
    </xf>
    <xf numFmtId="0" fontId="1" fillId="3" borderId="4" xfId="0" applyFont="1" applyFill="1" applyBorder="1" applyAlignment="1">
      <alignment horizontal="center" vertical="center" wrapText="1" readingOrder="1"/>
    </xf>
    <xf numFmtId="0" fontId="1" fillId="4" borderId="3" xfId="0" applyFont="1" applyFill="1" applyBorder="1" applyAlignment="1">
      <alignment horizontal="center" vertical="center" wrapText="1" readingOrder="1"/>
    </xf>
    <xf numFmtId="0" fontId="1" fillId="19" borderId="6" xfId="0" applyFont="1" applyFill="1" applyBorder="1" applyAlignment="1">
      <alignment horizontal="center" vertical="center" wrapText="1" readingOrder="1"/>
    </xf>
    <xf numFmtId="0" fontId="1" fillId="4" borderId="4" xfId="0" applyFont="1" applyFill="1" applyBorder="1" applyAlignment="1">
      <alignment horizontal="center" vertical="center" wrapText="1" readingOrder="1"/>
    </xf>
    <xf numFmtId="0" fontId="1" fillId="5" borderId="4" xfId="0" applyFont="1" applyFill="1" applyBorder="1" applyAlignment="1">
      <alignment horizontal="center" vertical="center" wrapText="1" readingOrder="1"/>
    </xf>
    <xf numFmtId="0" fontId="6" fillId="2" borderId="13" xfId="0" applyFont="1" applyFill="1" applyBorder="1" applyAlignment="1">
      <alignment horizontal="center" vertical="center" wrapText="1" readingOrder="1"/>
    </xf>
    <xf numFmtId="0" fontId="6" fillId="2" borderId="8" xfId="0" applyFont="1" applyFill="1" applyBorder="1" applyAlignment="1">
      <alignment horizontal="center" vertical="center" wrapText="1" readingOrder="1"/>
    </xf>
    <xf numFmtId="0" fontId="6" fillId="2" borderId="35" xfId="0" applyFont="1" applyFill="1" applyBorder="1" applyAlignment="1">
      <alignment horizontal="center" vertical="center" wrapText="1" readingOrder="1"/>
    </xf>
    <xf numFmtId="0" fontId="6" fillId="2" borderId="33" xfId="0" applyFont="1" applyFill="1" applyBorder="1" applyAlignment="1">
      <alignment horizontal="center" vertical="center" wrapText="1" readingOrder="1"/>
    </xf>
    <xf numFmtId="0" fontId="6" fillId="2" borderId="15" xfId="0" applyFont="1" applyFill="1" applyBorder="1" applyAlignment="1">
      <alignment horizontal="center" vertical="center" wrapText="1" readingOrder="1"/>
    </xf>
    <xf numFmtId="0" fontId="6" fillId="11" borderId="13" xfId="0" applyFont="1" applyFill="1" applyBorder="1" applyAlignment="1">
      <alignment horizontal="center" vertical="center" wrapText="1" readingOrder="1"/>
    </xf>
    <xf numFmtId="0" fontId="1" fillId="3" borderId="6" xfId="0" applyFont="1" applyFill="1" applyBorder="1" applyAlignment="1">
      <alignment horizontal="center" vertical="center" wrapText="1" readingOrder="1"/>
    </xf>
    <xf numFmtId="0" fontId="1" fillId="4" borderId="3" xfId="0" applyFont="1" applyFill="1" applyBorder="1" applyAlignment="1">
      <alignment horizontal="center" vertical="top" wrapText="1" readingOrder="1"/>
    </xf>
    <xf numFmtId="9" fontId="1" fillId="18" borderId="5" xfId="6" applyFont="1" applyFill="1" applyBorder="1" applyAlignment="1">
      <alignment horizontal="center" vertical="center" wrapText="1" readingOrder="1"/>
    </xf>
    <xf numFmtId="0" fontId="1" fillId="19" borderId="6" xfId="0" applyFont="1" applyFill="1" applyBorder="1" applyAlignment="1">
      <alignment horizontal="center" vertical="top" wrapText="1" readingOrder="1"/>
    </xf>
    <xf numFmtId="0" fontId="7" fillId="6" borderId="21" xfId="0" applyFont="1" applyFill="1" applyBorder="1" applyAlignment="1">
      <alignment horizontal="center" vertical="center" readingOrder="1"/>
    </xf>
    <xf numFmtId="0" fontId="7" fillId="6" borderId="18" xfId="0" applyFont="1" applyFill="1" applyBorder="1" applyAlignment="1">
      <alignment horizontal="center" vertical="center" wrapText="1" readingOrder="1"/>
    </xf>
    <xf numFmtId="0" fontId="7" fillId="6" borderId="36" xfId="0" applyFont="1" applyFill="1" applyBorder="1" applyAlignment="1">
      <alignment horizontal="center" vertical="center" readingOrder="1"/>
    </xf>
    <xf numFmtId="0" fontId="7" fillId="6" borderId="37" xfId="0" applyFont="1" applyFill="1" applyBorder="1" applyAlignment="1">
      <alignment horizontal="center" vertical="center" readingOrder="1"/>
    </xf>
    <xf numFmtId="0" fontId="7" fillId="6" borderId="17" xfId="0" applyFont="1" applyFill="1" applyBorder="1" applyAlignment="1">
      <alignment horizontal="center" vertical="center" readingOrder="1"/>
    </xf>
    <xf numFmtId="0" fontId="7" fillId="6" borderId="19" xfId="0" applyFont="1" applyFill="1" applyBorder="1" applyAlignment="1">
      <alignment horizontal="center" vertical="center" readingOrder="1"/>
    </xf>
    <xf numFmtId="0" fontId="7" fillId="11" borderId="17" xfId="0" applyFont="1" applyFill="1" applyBorder="1" applyAlignment="1">
      <alignment horizontal="center" vertical="center" readingOrder="1"/>
    </xf>
    <xf numFmtId="0" fontId="7" fillId="11" borderId="19" xfId="0" applyFont="1" applyFill="1" applyBorder="1" applyAlignment="1">
      <alignment horizontal="center" vertical="center" readingOrder="1"/>
    </xf>
    <xf numFmtId="0" fontId="2" fillId="7" borderId="9" xfId="0" applyFont="1" applyFill="1" applyBorder="1" applyAlignment="1">
      <alignment horizontal="center" vertical="center" readingOrder="1"/>
    </xf>
    <xf numFmtId="0" fontId="2" fillId="7" borderId="5" xfId="0" applyFont="1" applyFill="1" applyBorder="1" applyAlignment="1">
      <alignment horizontal="center" vertical="center" readingOrder="1"/>
    </xf>
    <xf numFmtId="0" fontId="2" fillId="7" borderId="6" xfId="0" applyFont="1" applyFill="1" applyBorder="1" applyAlignment="1">
      <alignment horizontal="center" vertical="center" readingOrder="1"/>
    </xf>
    <xf numFmtId="0" fontId="2" fillId="7" borderId="4" xfId="0" applyFont="1" applyFill="1" applyBorder="1" applyAlignment="1">
      <alignment horizontal="center" vertical="center" readingOrder="1"/>
    </xf>
    <xf numFmtId="0" fontId="2" fillId="8" borderId="3" xfId="0" applyFont="1" applyFill="1" applyBorder="1" applyAlignment="1">
      <alignment horizontal="center" vertical="center" readingOrder="1"/>
    </xf>
    <xf numFmtId="0" fontId="2" fillId="10" borderId="5" xfId="0" applyFont="1" applyFill="1" applyBorder="1" applyAlignment="1">
      <alignment horizontal="center" vertical="center" readingOrder="1"/>
    </xf>
    <xf numFmtId="9" fontId="2" fillId="18" borderId="5" xfId="6" applyFont="1" applyFill="1" applyBorder="1" applyAlignment="1">
      <alignment horizontal="center" vertical="center" readingOrder="1"/>
    </xf>
    <xf numFmtId="0" fontId="2" fillId="8" borderId="6" xfId="0" applyFont="1" applyFill="1" applyBorder="1" applyAlignment="1">
      <alignment horizontal="center" vertical="center" readingOrder="1"/>
    </xf>
    <xf numFmtId="0" fontId="2" fillId="19" borderId="6" xfId="0" applyFont="1" applyFill="1" applyBorder="1" applyAlignment="1">
      <alignment horizontal="center" vertical="center" readingOrder="1"/>
    </xf>
    <xf numFmtId="0" fontId="2" fillId="8" borderId="4" xfId="0" applyFont="1" applyFill="1" applyBorder="1" applyAlignment="1">
      <alignment horizontal="center" vertical="center" readingOrder="1"/>
    </xf>
    <xf numFmtId="0" fontId="2" fillId="9" borderId="9" xfId="0" applyFont="1" applyFill="1" applyBorder="1" applyAlignment="1">
      <alignment horizontal="center" vertical="center" readingOrder="1"/>
    </xf>
    <xf numFmtId="0" fontId="2" fillId="9" borderId="4" xfId="0" applyFont="1" applyFill="1" applyBorder="1" applyAlignment="1">
      <alignment horizontal="center" vertical="center" wrapText="1" readingOrder="1"/>
    </xf>
    <xf numFmtId="0" fontId="5" fillId="17" borderId="0" xfId="0" applyFont="1" applyFill="1" applyAlignment="1">
      <alignment horizontal="center" vertical="center" wrapText="1"/>
    </xf>
    <xf numFmtId="0" fontId="26" fillId="17" borderId="0" xfId="0" applyFont="1" applyFill="1" applyAlignment="1">
      <alignment horizontal="center" vertical="center"/>
    </xf>
    <xf numFmtId="9" fontId="5" fillId="17" borderId="0" xfId="6" applyFont="1" applyFill="1" applyAlignment="1">
      <alignment horizontal="center" vertical="center"/>
    </xf>
    <xf numFmtId="0" fontId="3" fillId="0" borderId="0" xfId="0" applyFont="1" applyAlignment="1">
      <alignment horizontal="center"/>
    </xf>
    <xf numFmtId="0" fontId="27" fillId="0" borderId="0" xfId="0" applyFont="1" applyAlignment="1">
      <alignment horizontal="center"/>
    </xf>
    <xf numFmtId="0" fontId="1" fillId="18" borderId="38" xfId="0" applyFont="1" applyFill="1" applyBorder="1" applyAlignment="1">
      <alignment horizontal="center" vertical="center" readingOrder="1"/>
    </xf>
    <xf numFmtId="0" fontId="3" fillId="19" borderId="0" xfId="0" applyFont="1" applyFill="1" applyAlignment="1">
      <alignment horizontal="center" vertical="center"/>
    </xf>
    <xf numFmtId="0" fontId="28" fillId="0" borderId="0" xfId="0" applyFont="1" applyAlignment="1">
      <alignment horizontal="center" vertical="center"/>
    </xf>
    <xf numFmtId="0" fontId="29" fillId="0" borderId="0" xfId="0" applyFont="1" applyAlignment="1">
      <alignment horizontal="center" vertical="center"/>
    </xf>
    <xf numFmtId="2" fontId="5" fillId="0" borderId="0" xfId="0" applyNumberFormat="1" applyFont="1" applyAlignment="1">
      <alignment horizontal="center" vertical="center"/>
    </xf>
    <xf numFmtId="1" fontId="0" fillId="0" borderId="0" xfId="0" applyNumberFormat="1" applyAlignment="1">
      <alignment horizontal="center"/>
    </xf>
    <xf numFmtId="165" fontId="0" fillId="0" borderId="0" xfId="0" applyNumberFormat="1" applyAlignment="1">
      <alignment horizontal="center"/>
    </xf>
    <xf numFmtId="2" fontId="0" fillId="0" borderId="0" xfId="0" applyNumberFormat="1" applyAlignment="1">
      <alignment horizontal="center"/>
    </xf>
    <xf numFmtId="9" fontId="0" fillId="0" borderId="0" xfId="6" applyFont="1" applyFill="1" applyAlignment="1">
      <alignment horizontal="center"/>
    </xf>
    <xf numFmtId="0" fontId="3" fillId="13" borderId="0" xfId="2" applyFill="1" applyAlignment="1">
      <alignment horizontal="left" vertical="top"/>
    </xf>
    <xf numFmtId="0" fontId="5" fillId="17" borderId="0" xfId="0" applyFont="1" applyFill="1" applyAlignment="1">
      <alignment horizontal="left" vertical="center"/>
    </xf>
    <xf numFmtId="0" fontId="14" fillId="0" borderId="0" xfId="1" applyAlignment="1">
      <alignment horizontal="center"/>
    </xf>
    <xf numFmtId="0" fontId="5" fillId="0" borderId="0" xfId="1" applyFont="1" applyAlignment="1">
      <alignment horizontal="center"/>
    </xf>
    <xf numFmtId="0" fontId="3" fillId="0" borderId="0" xfId="2" applyAlignment="1">
      <alignment horizontal="center"/>
    </xf>
    <xf numFmtId="0" fontId="13" fillId="0" borderId="0" xfId="3" applyAlignment="1">
      <alignment horizontal="center"/>
    </xf>
    <xf numFmtId="0" fontId="1" fillId="18" borderId="3" xfId="0" applyFont="1" applyFill="1" applyBorder="1" applyAlignment="1">
      <alignment horizontal="center" vertical="center" readingOrder="1"/>
    </xf>
    <xf numFmtId="0" fontId="1" fillId="18" borderId="12" xfId="0" applyFont="1" applyFill="1" applyBorder="1" applyAlignment="1">
      <alignment horizontal="center" vertical="center" wrapText="1" readingOrder="1"/>
    </xf>
    <xf numFmtId="2" fontId="22" fillId="0" borderId="0" xfId="0" applyNumberFormat="1" applyFont="1" applyAlignment="1">
      <alignment horizontal="center" vertical="center"/>
    </xf>
    <xf numFmtId="2" fontId="1" fillId="5" borderId="28" xfId="0" applyNumberFormat="1" applyFont="1" applyFill="1" applyBorder="1" applyAlignment="1">
      <alignment horizontal="center" vertical="center" wrapText="1" readingOrder="1"/>
    </xf>
    <xf numFmtId="2" fontId="1" fillId="5" borderId="5" xfId="0" applyNumberFormat="1" applyFont="1" applyFill="1" applyBorder="1" applyAlignment="1">
      <alignment horizontal="center" vertical="center" wrapText="1" readingOrder="1"/>
    </xf>
    <xf numFmtId="2" fontId="2" fillId="9" borderId="5" xfId="0" applyNumberFormat="1" applyFont="1" applyFill="1" applyBorder="1" applyAlignment="1">
      <alignment horizontal="center" vertical="center" readingOrder="1"/>
    </xf>
    <xf numFmtId="2" fontId="5" fillId="17" borderId="0" xfId="0" applyNumberFormat="1" applyFont="1" applyFill="1" applyAlignment="1">
      <alignment horizontal="center" vertical="center"/>
    </xf>
    <xf numFmtId="49" fontId="1" fillId="0" borderId="0" xfId="0" applyNumberFormat="1" applyFont="1" applyAlignment="1">
      <alignment horizontal="center" vertical="center" readingOrder="1"/>
    </xf>
    <xf numFmtId="49" fontId="22" fillId="12" borderId="0" xfId="0" applyNumberFormat="1" applyFont="1" applyFill="1" applyAlignment="1">
      <alignment horizontal="center" vertical="center" readingOrder="1"/>
    </xf>
    <xf numFmtId="49" fontId="1" fillId="18" borderId="5" xfId="0" applyNumberFormat="1" applyFont="1" applyFill="1" applyBorder="1" applyAlignment="1">
      <alignment horizontal="center" vertical="center" readingOrder="1"/>
    </xf>
    <xf numFmtId="49" fontId="1" fillId="18" borderId="5" xfId="0" applyNumberFormat="1" applyFont="1" applyFill="1" applyBorder="1" applyAlignment="1">
      <alignment horizontal="center" vertical="center" wrapText="1" readingOrder="1"/>
    </xf>
    <xf numFmtId="49" fontId="2" fillId="18" borderId="5" xfId="0" applyNumberFormat="1" applyFont="1" applyFill="1" applyBorder="1" applyAlignment="1">
      <alignment horizontal="center" vertical="center" readingOrder="1"/>
    </xf>
    <xf numFmtId="49" fontId="5" fillId="17" borderId="0" xfId="0" applyNumberFormat="1" applyFont="1" applyFill="1" applyAlignment="1">
      <alignment horizontal="center" vertical="center"/>
    </xf>
    <xf numFmtId="49" fontId="0" fillId="0" borderId="0" xfId="0" applyNumberFormat="1" applyAlignment="1">
      <alignment horizontal="center"/>
    </xf>
    <xf numFmtId="0" fontId="5" fillId="0" borderId="0" xfId="2" applyFont="1" applyAlignment="1">
      <alignment horizontal="left" vertical="top"/>
    </xf>
    <xf numFmtId="0" fontId="6" fillId="2" borderId="13" xfId="1" applyFont="1" applyFill="1" applyBorder="1" applyAlignment="1">
      <alignment horizontal="left" vertical="top" readingOrder="1"/>
    </xf>
    <xf numFmtId="0" fontId="3" fillId="0" borderId="20" xfId="2" applyBorder="1" applyAlignment="1">
      <alignment horizontal="left" vertical="top"/>
    </xf>
    <xf numFmtId="0" fontId="5" fillId="0" borderId="20" xfId="2" applyFont="1" applyBorder="1" applyAlignment="1">
      <alignment horizontal="left" vertical="top"/>
    </xf>
    <xf numFmtId="0" fontId="5" fillId="0" borderId="20" xfId="1" applyFont="1" applyBorder="1" applyAlignment="1">
      <alignment horizontal="left" vertical="top"/>
    </xf>
    <xf numFmtId="0" fontId="3" fillId="0" borderId="20" xfId="1" applyFont="1" applyBorder="1" applyAlignment="1">
      <alignment horizontal="left" vertical="top"/>
    </xf>
    <xf numFmtId="0" fontId="3" fillId="0" borderId="0" xfId="1" applyFont="1" applyAlignment="1">
      <alignment horizontal="left" vertical="top"/>
    </xf>
    <xf numFmtId="0" fontId="3" fillId="0" borderId="0" xfId="2" quotePrefix="1" applyAlignment="1">
      <alignment horizontal="left" vertical="top"/>
    </xf>
    <xf numFmtId="0" fontId="4" fillId="0" borderId="0" xfId="2" applyFont="1" applyAlignment="1">
      <alignment horizontal="left" vertical="top"/>
    </xf>
    <xf numFmtId="0" fontId="3" fillId="13" borderId="0" xfId="2" applyFill="1"/>
    <xf numFmtId="0" fontId="14" fillId="0" borderId="0" xfId="1" applyAlignment="1">
      <alignment horizontal="left" vertical="top"/>
    </xf>
    <xf numFmtId="0" fontId="30" fillId="13" borderId="0" xfId="2" applyFont="1" applyFill="1"/>
    <xf numFmtId="0" fontId="3" fillId="20" borderId="0" xfId="2" applyFill="1" applyAlignment="1">
      <alignment horizontal="left" vertical="top"/>
    </xf>
    <xf numFmtId="0" fontId="0" fillId="20" borderId="0" xfId="0" applyFill="1" applyAlignment="1">
      <alignment horizontal="left"/>
    </xf>
    <xf numFmtId="0" fontId="30" fillId="20" borderId="0" xfId="2" applyFont="1" applyFill="1"/>
    <xf numFmtId="0" fontId="3" fillId="20" borderId="0" xfId="2" applyFill="1"/>
    <xf numFmtId="0" fontId="5" fillId="0" borderId="0" xfId="0" applyFont="1" applyFill="1" applyAlignment="1">
      <alignment horizontal="center" vertical="center"/>
    </xf>
    <xf numFmtId="0" fontId="0" fillId="0" borderId="0" xfId="0" applyFill="1" applyAlignment="1">
      <alignment horizontal="center"/>
    </xf>
    <xf numFmtId="0" fontId="0" fillId="0" borderId="0" xfId="0" applyFill="1" applyAlignment="1">
      <alignment horizontal="center" wrapText="1"/>
    </xf>
    <xf numFmtId="0" fontId="21" fillId="0" borderId="0" xfId="0" applyFont="1" applyFill="1" applyAlignment="1">
      <alignment horizontal="center"/>
    </xf>
    <xf numFmtId="0" fontId="27" fillId="0" borderId="0" xfId="0" applyFont="1" applyFill="1" applyAlignment="1">
      <alignment horizontal="center"/>
    </xf>
    <xf numFmtId="0" fontId="32" fillId="0" borderId="0" xfId="0" applyFont="1" applyFill="1" applyAlignment="1">
      <alignment horizontal="center" vertical="center"/>
    </xf>
    <xf numFmtId="0" fontId="33" fillId="0" borderId="0" xfId="0" applyFont="1" applyFill="1" applyAlignment="1">
      <alignment horizontal="center"/>
    </xf>
    <xf numFmtId="0" fontId="32" fillId="23" borderId="0" xfId="0" applyFont="1" applyFill="1" applyAlignment="1">
      <alignment horizontal="center" vertical="center"/>
    </xf>
    <xf numFmtId="0" fontId="3" fillId="21" borderId="22" xfId="7" applyFill="1" applyBorder="1" applyAlignment="1">
      <alignment horizontal="center" wrapText="1"/>
    </xf>
    <xf numFmtId="0" fontId="34" fillId="22" borderId="40" xfId="2" applyFont="1" applyFill="1" applyBorder="1" applyAlignment="1">
      <alignment horizontal="center" wrapText="1"/>
    </xf>
    <xf numFmtId="0" fontId="34" fillId="22" borderId="39" xfId="2" applyFont="1" applyFill="1" applyBorder="1" applyAlignment="1">
      <alignment horizontal="center" wrapText="1"/>
    </xf>
    <xf numFmtId="0" fontId="3" fillId="21" borderId="22" xfId="7" applyFill="1" applyBorder="1" applyAlignment="1">
      <alignment horizontal="center"/>
    </xf>
    <xf numFmtId="2" fontId="3" fillId="21" borderId="22" xfId="7" applyNumberFormat="1" applyFill="1" applyBorder="1" applyAlignment="1">
      <alignment horizontal="center" wrapText="1"/>
    </xf>
    <xf numFmtId="1" fontId="0" fillId="0" borderId="0" xfId="0" applyNumberFormat="1" applyAlignment="1">
      <alignment horizontal="left"/>
    </xf>
    <xf numFmtId="165" fontId="0" fillId="0" borderId="0" xfId="6" applyNumberFormat="1" applyFont="1" applyAlignment="1">
      <alignment horizontal="center"/>
    </xf>
    <xf numFmtId="0" fontId="3" fillId="21" borderId="22" xfId="7" applyFill="1" applyBorder="1" applyAlignment="1">
      <alignment horizontal="left" wrapText="1"/>
    </xf>
    <xf numFmtId="0" fontId="34" fillId="22" borderId="39" xfId="2" applyFont="1" applyFill="1" applyBorder="1" applyAlignment="1">
      <alignment horizontal="left" wrapText="1"/>
    </xf>
    <xf numFmtId="0" fontId="0" fillId="0" borderId="0" xfId="0" applyFill="1" applyBorder="1"/>
    <xf numFmtId="0" fontId="3" fillId="0" borderId="0" xfId="7" applyFill="1" applyBorder="1" applyAlignment="1">
      <alignment horizontal="center" wrapText="1"/>
    </xf>
    <xf numFmtId="0" fontId="34" fillId="0" borderId="0" xfId="2" applyFont="1" applyFill="1" applyBorder="1" applyAlignment="1">
      <alignment horizontal="center" wrapText="1"/>
    </xf>
    <xf numFmtId="0" fontId="3" fillId="0" borderId="0" xfId="3" applyFont="1" applyAlignment="1">
      <alignment horizontal="left"/>
    </xf>
    <xf numFmtId="0" fontId="21" fillId="0" borderId="0" xfId="0" applyFont="1"/>
    <xf numFmtId="1" fontId="0" fillId="0" borderId="0" xfId="0" applyNumberFormat="1" applyFill="1" applyAlignment="1">
      <alignment horizontal="left"/>
    </xf>
    <xf numFmtId="0" fontId="21" fillId="24" borderId="0" xfId="0" applyFont="1" applyFill="1" applyAlignment="1">
      <alignment horizontal="center"/>
    </xf>
    <xf numFmtId="0" fontId="0" fillId="0" borderId="0" xfId="0" applyFill="1"/>
    <xf numFmtId="0" fontId="21" fillId="0" borderId="0" xfId="0" applyFont="1" applyFill="1" applyBorder="1" applyAlignment="1">
      <alignment horizontal="center"/>
    </xf>
    <xf numFmtId="0" fontId="0" fillId="0" borderId="0" xfId="0" applyFill="1" applyBorder="1" applyAlignment="1">
      <alignment horizontal="center"/>
    </xf>
    <xf numFmtId="2" fontId="3" fillId="0" borderId="0" xfId="7" applyNumberFormat="1" applyFill="1" applyBorder="1" applyAlignment="1">
      <alignment horizontal="center" wrapText="1"/>
    </xf>
    <xf numFmtId="0" fontId="35" fillId="0" borderId="0" xfId="0" applyFont="1" applyFill="1" applyBorder="1"/>
    <xf numFmtId="167" fontId="34" fillId="0" borderId="0" xfId="2" applyNumberFormat="1" applyFont="1" applyFill="1" applyBorder="1" applyAlignment="1">
      <alignment horizontal="center" wrapText="1"/>
    </xf>
    <xf numFmtId="1" fontId="0" fillId="0" borderId="0" xfId="0" applyNumberFormat="1" applyFill="1" applyAlignment="1">
      <alignment horizontal="center"/>
    </xf>
    <xf numFmtId="0" fontId="3" fillId="21" borderId="22" xfId="7" applyFill="1" applyBorder="1" applyAlignment="1">
      <alignment horizontal="left"/>
    </xf>
    <xf numFmtId="0" fontId="35" fillId="0" borderId="0" xfId="0" applyFont="1" applyFill="1"/>
    <xf numFmtId="0" fontId="3" fillId="0" borderId="0" xfId="3" applyFont="1" applyFill="1" applyAlignment="1">
      <alignment horizontal="left"/>
    </xf>
    <xf numFmtId="165" fontId="0" fillId="0" borderId="0" xfId="0" applyNumberFormat="1" applyFill="1" applyAlignment="1">
      <alignment horizontal="center"/>
    </xf>
    <xf numFmtId="165" fontId="0" fillId="0" borderId="0" xfId="6" applyNumberFormat="1" applyFont="1" applyFill="1" applyAlignment="1">
      <alignment horizontal="center"/>
    </xf>
    <xf numFmtId="0" fontId="3" fillId="0" borderId="0" xfId="0" applyFont="1"/>
    <xf numFmtId="0" fontId="5" fillId="0" borderId="0" xfId="0" quotePrefix="1" applyFont="1"/>
    <xf numFmtId="2" fontId="3" fillId="0" borderId="0" xfId="0" applyNumberFormat="1" applyFont="1"/>
    <xf numFmtId="1" fontId="3" fillId="0" borderId="0" xfId="0" applyNumberFormat="1" applyFont="1"/>
    <xf numFmtId="0" fontId="3" fillId="21" borderId="39" xfId="7" applyFill="1" applyBorder="1" applyAlignment="1">
      <alignment horizontal="left"/>
    </xf>
    <xf numFmtId="0" fontId="3" fillId="21" borderId="39" xfId="7" applyFill="1" applyBorder="1" applyAlignment="1">
      <alignment horizontal="left" wrapText="1"/>
    </xf>
    <xf numFmtId="0" fontId="3" fillId="21" borderId="39" xfId="7" applyFill="1" applyBorder="1" applyAlignment="1">
      <alignment horizontal="center" wrapText="1"/>
    </xf>
    <xf numFmtId="0" fontId="3" fillId="21" borderId="39" xfId="7" applyFill="1" applyBorder="1" applyAlignment="1">
      <alignment horizontal="center" vertical="center" wrapText="1"/>
    </xf>
    <xf numFmtId="0" fontId="3" fillId="21" borderId="39" xfId="7" applyFill="1" applyBorder="1" applyAlignment="1">
      <alignment horizontal="right" vertical="center" wrapText="1"/>
    </xf>
    <xf numFmtId="2" fontId="3" fillId="21" borderId="39" xfId="7" applyNumberFormat="1" applyFill="1" applyBorder="1" applyAlignment="1">
      <alignment horizontal="center" vertical="center" wrapText="1"/>
    </xf>
    <xf numFmtId="1" fontId="3" fillId="21" borderId="39" xfId="7" applyNumberFormat="1" applyFill="1" applyBorder="1" applyAlignment="1">
      <alignment horizontal="center" vertical="center" wrapText="1"/>
    </xf>
    <xf numFmtId="0" fontId="3" fillId="22" borderId="39" xfId="2" applyFill="1" applyBorder="1" applyAlignment="1">
      <alignment horizontal="center" wrapText="1"/>
    </xf>
    <xf numFmtId="1" fontId="3" fillId="22" borderId="39" xfId="2" applyNumberFormat="1" applyFill="1" applyBorder="1" applyAlignment="1">
      <alignment horizontal="center" wrapText="1"/>
    </xf>
    <xf numFmtId="0" fontId="0" fillId="25" borderId="0" xfId="0" applyFill="1"/>
    <xf numFmtId="0" fontId="3" fillId="25" borderId="0" xfId="0" applyFont="1" applyFill="1"/>
    <xf numFmtId="0" fontId="3" fillId="26" borderId="0" xfId="0" applyFont="1" applyFill="1"/>
    <xf numFmtId="0" fontId="3" fillId="25" borderId="0" xfId="0" applyFont="1" applyFill="1" applyAlignment="1">
      <alignment horizontal="center"/>
    </xf>
    <xf numFmtId="165" fontId="3" fillId="25" borderId="0" xfId="0" applyNumberFormat="1" applyFont="1" applyFill="1"/>
    <xf numFmtId="1" fontId="3" fillId="25" borderId="0" xfId="0" applyNumberFormat="1" applyFont="1" applyFill="1"/>
    <xf numFmtId="0" fontId="0" fillId="27" borderId="0" xfId="0" applyFill="1"/>
    <xf numFmtId="0" fontId="3" fillId="27" borderId="0" xfId="0" applyFont="1" applyFill="1"/>
    <xf numFmtId="0" fontId="3" fillId="27" borderId="0" xfId="0" applyFont="1" applyFill="1" applyAlignment="1">
      <alignment horizontal="center"/>
    </xf>
    <xf numFmtId="165" fontId="3" fillId="27" borderId="0" xfId="0" applyNumberFormat="1" applyFont="1" applyFill="1"/>
    <xf numFmtId="1" fontId="3" fillId="27" borderId="0" xfId="0" applyNumberFormat="1" applyFont="1" applyFill="1"/>
    <xf numFmtId="1" fontId="3" fillId="0" borderId="0" xfId="7" applyNumberFormat="1" applyAlignment="1">
      <alignment horizontal="right" vertical="center" wrapText="1"/>
    </xf>
    <xf numFmtId="0" fontId="3" fillId="26" borderId="0" xfId="0" applyFont="1" applyFill="1" applyAlignment="1">
      <alignment horizontal="center"/>
    </xf>
    <xf numFmtId="164" fontId="3" fillId="26" borderId="0" xfId="0" applyNumberFormat="1" applyFont="1" applyFill="1"/>
    <xf numFmtId="2" fontId="3" fillId="26" borderId="0" xfId="0" applyNumberFormat="1" applyFont="1" applyFill="1"/>
    <xf numFmtId="164" fontId="3" fillId="0" borderId="0" xfId="0" applyNumberFormat="1" applyFont="1"/>
    <xf numFmtId="2" fontId="3" fillId="25" borderId="0" xfId="0" applyNumberFormat="1" applyFont="1" applyFill="1"/>
    <xf numFmtId="2" fontId="3" fillId="27" borderId="0" xfId="0" applyNumberFormat="1" applyFont="1" applyFill="1"/>
    <xf numFmtId="0" fontId="5" fillId="0" borderId="0" xfId="0" applyFont="1"/>
    <xf numFmtId="0" fontId="3" fillId="0" borderId="0" xfId="3" applyFont="1"/>
    <xf numFmtId="169" fontId="3" fillId="21" borderId="39" xfId="7" applyNumberFormat="1" applyFill="1" applyBorder="1" applyAlignment="1">
      <alignment horizontal="center" vertical="center" wrapText="1"/>
    </xf>
    <xf numFmtId="168" fontId="3" fillId="21" borderId="39" xfId="8" applyNumberFormat="1" applyFont="1" applyFill="1" applyBorder="1" applyAlignment="1">
      <alignment horizontal="center" vertical="center" wrapText="1"/>
    </xf>
    <xf numFmtId="0" fontId="3" fillId="0" borderId="0" xfId="2" applyAlignment="1">
      <alignment horizontal="left"/>
    </xf>
    <xf numFmtId="1" fontId="3" fillId="0" borderId="0" xfId="7" applyNumberFormat="1" applyAlignment="1">
      <alignment horizontal="center" vertical="center" wrapText="1"/>
    </xf>
    <xf numFmtId="0" fontId="3" fillId="0" borderId="0" xfId="7" applyAlignment="1">
      <alignment horizontal="center" vertical="center" wrapText="1"/>
    </xf>
    <xf numFmtId="169" fontId="3" fillId="0" borderId="0" xfId="0" applyNumberFormat="1" applyFont="1"/>
    <xf numFmtId="165" fontId="5" fillId="0" borderId="0" xfId="0" applyNumberFormat="1" applyFont="1"/>
    <xf numFmtId="0" fontId="41" fillId="0" borderId="0" xfId="5" applyFont="1"/>
    <xf numFmtId="170" fontId="13" fillId="0" borderId="0" xfId="0" applyNumberFormat="1" applyFont="1"/>
    <xf numFmtId="170" fontId="27" fillId="0" borderId="0" xfId="0" applyNumberFormat="1" applyFont="1"/>
    <xf numFmtId="170" fontId="2" fillId="28" borderId="0" xfId="5" applyNumberFormat="1" applyFont="1" applyFill="1"/>
    <xf numFmtId="170" fontId="2" fillId="0" borderId="0" xfId="5" applyNumberFormat="1" applyFont="1"/>
    <xf numFmtId="170" fontId="41" fillId="13" borderId="0" xfId="0" applyNumberFormat="1" applyFont="1" applyFill="1" applyAlignment="1">
      <alignment vertical="top"/>
    </xf>
    <xf numFmtId="170" fontId="27" fillId="13" borderId="0" xfId="0" applyNumberFormat="1" applyFont="1" applyFill="1" applyAlignment="1">
      <alignment vertical="top"/>
    </xf>
    <xf numFmtId="170" fontId="13" fillId="13" borderId="0" xfId="0" applyNumberFormat="1" applyFont="1" applyFill="1" applyAlignment="1">
      <alignment vertical="top"/>
    </xf>
    <xf numFmtId="170" fontId="13" fillId="0" borderId="0" xfId="0" applyNumberFormat="1" applyFont="1" applyAlignment="1">
      <alignment vertical="top"/>
    </xf>
    <xf numFmtId="1" fontId="27" fillId="29" borderId="0" xfId="0" applyNumberFormat="1" applyFont="1" applyFill="1" applyAlignment="1">
      <alignment vertical="top"/>
    </xf>
    <xf numFmtId="0" fontId="21" fillId="0" borderId="0" xfId="0" applyFont="1" applyFill="1" applyBorder="1"/>
    <xf numFmtId="0" fontId="21" fillId="0" borderId="0" xfId="0" applyFont="1" applyFill="1"/>
    <xf numFmtId="0" fontId="21" fillId="24" borderId="0" xfId="0" applyFont="1" applyFill="1" applyBorder="1" applyAlignment="1">
      <alignment horizontal="center"/>
    </xf>
    <xf numFmtId="165" fontId="0" fillId="17" borderId="0" xfId="0" applyNumberFormat="1" applyFill="1" applyAlignment="1">
      <alignment horizontal="center"/>
    </xf>
    <xf numFmtId="0" fontId="5" fillId="0" borderId="0" xfId="0" applyFont="1" applyFill="1" applyAlignment="1">
      <alignment horizontal="center"/>
    </xf>
    <xf numFmtId="0" fontId="3" fillId="0" borderId="0" xfId="0" applyFont="1" applyFill="1" applyAlignment="1">
      <alignment horizontal="center"/>
    </xf>
    <xf numFmtId="171" fontId="3" fillId="25" borderId="0" xfId="0" applyNumberFormat="1" applyFont="1" applyFill="1"/>
    <xf numFmtId="171" fontId="3" fillId="27" borderId="0" xfId="0" applyNumberFormat="1" applyFont="1" applyFill="1"/>
    <xf numFmtId="1" fontId="0" fillId="0" borderId="0" xfId="0" applyNumberFormat="1" applyFill="1" applyBorder="1"/>
    <xf numFmtId="0" fontId="3" fillId="0" borderId="0" xfId="7" applyFill="1" applyBorder="1" applyAlignment="1">
      <alignment horizontal="center"/>
    </xf>
    <xf numFmtId="1" fontId="0" fillId="0" borderId="0" xfId="0" applyNumberFormat="1" applyFill="1" applyBorder="1" applyAlignment="1">
      <alignment horizontal="left"/>
    </xf>
    <xf numFmtId="0" fontId="3" fillId="61" borderId="0" xfId="0" applyFont="1" applyFill="1" applyAlignment="1">
      <alignment horizontal="center" vertical="center"/>
    </xf>
    <xf numFmtId="0" fontId="0" fillId="61" borderId="0" xfId="0" applyFill="1" applyAlignment="1">
      <alignment horizontal="center" vertical="center"/>
    </xf>
    <xf numFmtId="0" fontId="0" fillId="61" borderId="0" xfId="0" applyFill="1" applyAlignment="1">
      <alignment horizontal="center"/>
    </xf>
    <xf numFmtId="0" fontId="0" fillId="0" borderId="0" xfId="0" applyFill="1" applyAlignment="1">
      <alignment horizontal="left"/>
    </xf>
    <xf numFmtId="0" fontId="1" fillId="2" borderId="57" xfId="0" applyFont="1" applyFill="1" applyBorder="1" applyAlignment="1">
      <alignment horizontal="center" vertical="center" wrapText="1" readingOrder="1"/>
    </xf>
    <xf numFmtId="0" fontId="1" fillId="2" borderId="58" xfId="0" applyFont="1" applyFill="1" applyBorder="1" applyAlignment="1">
      <alignment horizontal="center" vertical="center" wrapText="1" readingOrder="1"/>
    </xf>
    <xf numFmtId="0" fontId="1" fillId="2" borderId="59" xfId="0" applyFont="1" applyFill="1" applyBorder="1" applyAlignment="1">
      <alignment horizontal="center" vertical="center" wrapText="1" readingOrder="1"/>
    </xf>
    <xf numFmtId="0" fontId="1" fillId="2" borderId="58" xfId="0" applyFont="1" applyFill="1" applyBorder="1" applyAlignment="1">
      <alignment horizontal="left" vertical="center" wrapText="1" readingOrder="1"/>
    </xf>
    <xf numFmtId="0" fontId="1" fillId="18" borderId="58" xfId="0" applyFont="1" applyFill="1" applyBorder="1" applyAlignment="1">
      <alignment horizontal="center" vertical="center" wrapText="1" readingOrder="1"/>
    </xf>
    <xf numFmtId="0" fontId="1" fillId="11" borderId="59" xfId="0" applyFont="1" applyFill="1" applyBorder="1" applyAlignment="1">
      <alignment horizontal="center" vertical="center" wrapText="1" readingOrder="1"/>
    </xf>
    <xf numFmtId="0" fontId="1" fillId="11" borderId="58" xfId="0" applyFont="1" applyFill="1" applyBorder="1" applyAlignment="1">
      <alignment horizontal="center" vertical="center" wrapText="1" readingOrder="1"/>
    </xf>
    <xf numFmtId="0" fontId="1" fillId="3" borderId="59" xfId="0" applyFont="1" applyFill="1" applyBorder="1" applyAlignment="1">
      <alignment horizontal="center" vertical="center" wrapText="1" readingOrder="1"/>
    </xf>
    <xf numFmtId="0" fontId="1" fillId="3" borderId="58" xfId="0" applyFont="1" applyFill="1" applyBorder="1" applyAlignment="1">
      <alignment horizontal="center" vertical="center" wrapText="1" readingOrder="1"/>
    </xf>
    <xf numFmtId="0" fontId="1" fillId="4" borderId="59" xfId="0" applyFont="1" applyFill="1" applyBorder="1" applyAlignment="1">
      <alignment horizontal="center" vertical="center" wrapText="1" readingOrder="1"/>
    </xf>
    <xf numFmtId="0" fontId="1" fillId="18" borderId="60" xfId="0" applyFont="1" applyFill="1" applyBorder="1" applyAlignment="1">
      <alignment horizontal="center" vertical="center" wrapText="1" readingOrder="1"/>
    </xf>
    <xf numFmtId="0" fontId="1" fillId="18" borderId="61" xfId="0" applyFont="1" applyFill="1" applyBorder="1" applyAlignment="1">
      <alignment horizontal="center" vertical="center" wrapText="1" readingOrder="1"/>
    </xf>
    <xf numFmtId="9" fontId="1" fillId="18" borderId="60" xfId="6" applyNumberFormat="1" applyFont="1" applyFill="1" applyBorder="1" applyAlignment="1">
      <alignment horizontal="center" vertical="center" wrapText="1" readingOrder="1"/>
    </xf>
    <xf numFmtId="9" fontId="1" fillId="18" borderId="61" xfId="6" applyNumberFormat="1" applyFont="1" applyFill="1" applyBorder="1" applyAlignment="1">
      <alignment horizontal="center" vertical="center" wrapText="1" readingOrder="1"/>
    </xf>
    <xf numFmtId="0" fontId="1" fillId="4" borderId="58" xfId="0" applyFont="1" applyFill="1" applyBorder="1" applyAlignment="1">
      <alignment horizontal="center" vertical="center" wrapText="1" readingOrder="1"/>
    </xf>
    <xf numFmtId="0" fontId="1" fillId="19" borderId="58" xfId="0" applyFont="1" applyFill="1" applyBorder="1" applyAlignment="1">
      <alignment horizontal="center" vertical="center" wrapText="1" readingOrder="1"/>
    </xf>
    <xf numFmtId="0" fontId="1" fillId="10" borderId="58" xfId="0" applyFont="1" applyFill="1" applyBorder="1" applyAlignment="1">
      <alignment horizontal="center" vertical="center" wrapText="1" readingOrder="1"/>
    </xf>
    <xf numFmtId="0" fontId="1" fillId="10" borderId="58" xfId="0" applyFont="1" applyFill="1" applyBorder="1" applyAlignment="1">
      <alignment horizontal="center" vertical="top" wrapText="1" readingOrder="1"/>
    </xf>
    <xf numFmtId="0" fontId="1" fillId="5" borderId="59" xfId="0" applyFont="1" applyFill="1" applyBorder="1" applyAlignment="1">
      <alignment horizontal="center" vertical="center" wrapText="1" readingOrder="1"/>
    </xf>
    <xf numFmtId="2" fontId="1" fillId="5" borderId="58" xfId="0" applyNumberFormat="1" applyFont="1" applyFill="1" applyBorder="1" applyAlignment="1">
      <alignment horizontal="center" vertical="center" wrapText="1" readingOrder="1"/>
    </xf>
    <xf numFmtId="0" fontId="1" fillId="5" borderId="58" xfId="0" applyFont="1" applyFill="1" applyBorder="1" applyAlignment="1">
      <alignment horizontal="center" vertical="center" wrapText="1" readingOrder="1"/>
    </xf>
    <xf numFmtId="0" fontId="1" fillId="18" borderId="59" xfId="0" applyFont="1" applyFill="1" applyBorder="1" applyAlignment="1">
      <alignment horizontal="center" vertical="center" wrapText="1" readingOrder="1"/>
    </xf>
    <xf numFmtId="0" fontId="1" fillId="18" borderId="38" xfId="0" applyFont="1" applyFill="1" applyBorder="1" applyAlignment="1">
      <alignment horizontal="center" vertical="center" wrapText="1" readingOrder="1"/>
    </xf>
    <xf numFmtId="0" fontId="3" fillId="62" borderId="62" xfId="0" applyFont="1" applyFill="1" applyBorder="1" applyAlignment="1">
      <alignment horizontal="center" vertical="center"/>
    </xf>
    <xf numFmtId="0" fontId="3" fillId="62" borderId="61" xfId="0" applyFont="1" applyFill="1" applyBorder="1" applyAlignment="1">
      <alignment horizontal="center" vertical="center"/>
    </xf>
    <xf numFmtId="0" fontId="27" fillId="62" borderId="61" xfId="0" applyFont="1" applyFill="1" applyBorder="1" applyAlignment="1">
      <alignment horizontal="center" vertical="center"/>
    </xf>
    <xf numFmtId="0" fontId="27" fillId="62" borderId="61" xfId="0" applyFont="1" applyFill="1" applyBorder="1" applyAlignment="1">
      <alignment horizontal="left" vertical="center"/>
    </xf>
    <xf numFmtId="0" fontId="3" fillId="62" borderId="61" xfId="0" applyFont="1" applyFill="1" applyBorder="1" applyAlignment="1">
      <alignment horizontal="center"/>
    </xf>
    <xf numFmtId="49" fontId="27" fillId="62" borderId="61" xfId="0" applyNumberFormat="1" applyFont="1" applyFill="1" applyBorder="1" applyAlignment="1">
      <alignment horizontal="center"/>
    </xf>
    <xf numFmtId="2" fontId="27" fillId="62" borderId="61" xfId="0" applyNumberFormat="1" applyFont="1" applyFill="1" applyBorder="1" applyAlignment="1">
      <alignment horizontal="center"/>
    </xf>
    <xf numFmtId="2" fontId="27" fillId="62" borderId="61" xfId="6" applyNumberFormat="1" applyFont="1" applyFill="1" applyBorder="1" applyAlignment="1">
      <alignment horizontal="center" vertical="center" readingOrder="1"/>
    </xf>
    <xf numFmtId="9" fontId="27" fillId="62" borderId="61" xfId="6" applyNumberFormat="1" applyFont="1" applyFill="1" applyBorder="1" applyAlignment="1">
      <alignment horizontal="center" vertical="center" readingOrder="1"/>
    </xf>
    <xf numFmtId="9" fontId="27" fillId="62" borderId="61" xfId="6" applyNumberFormat="1" applyFont="1" applyFill="1" applyBorder="1" applyAlignment="1">
      <alignment horizontal="center"/>
    </xf>
    <xf numFmtId="1" fontId="27" fillId="62" borderId="61" xfId="0" applyNumberFormat="1" applyFont="1" applyFill="1" applyBorder="1" applyAlignment="1">
      <alignment horizontal="center"/>
    </xf>
    <xf numFmtId="0" fontId="27" fillId="62" borderId="61" xfId="0" applyFont="1" applyFill="1" applyBorder="1" applyAlignment="1">
      <alignment horizontal="center"/>
    </xf>
    <xf numFmtId="9" fontId="3" fillId="62" borderId="61" xfId="6" applyNumberFormat="1" applyFont="1" applyFill="1" applyBorder="1" applyAlignment="1">
      <alignment horizontal="center" vertical="center"/>
    </xf>
    <xf numFmtId="2" fontId="3" fillId="62" borderId="61" xfId="0" applyNumberFormat="1" applyFont="1" applyFill="1" applyBorder="1" applyAlignment="1">
      <alignment horizontal="center" vertical="center"/>
    </xf>
    <xf numFmtId="1" fontId="3" fillId="62" borderId="61" xfId="0" applyNumberFormat="1" applyFont="1" applyFill="1" applyBorder="1" applyAlignment="1">
      <alignment horizontal="center" vertical="center"/>
    </xf>
    <xf numFmtId="2" fontId="27" fillId="62" borderId="63" xfId="0" applyNumberFormat="1" applyFont="1" applyFill="1" applyBorder="1" applyAlignment="1">
      <alignment horizontal="center" vertical="center"/>
    </xf>
    <xf numFmtId="0" fontId="3" fillId="0" borderId="64" xfId="0" applyFont="1" applyBorder="1" applyAlignment="1">
      <alignment horizontal="center" vertical="center"/>
    </xf>
    <xf numFmtId="0" fontId="3" fillId="0" borderId="65" xfId="0" applyFont="1" applyBorder="1" applyAlignment="1">
      <alignment horizontal="center" vertical="center"/>
    </xf>
    <xf numFmtId="0" fontId="27" fillId="0" borderId="65" xfId="0" applyFont="1" applyBorder="1" applyAlignment="1">
      <alignment horizontal="center" vertical="center"/>
    </xf>
    <xf numFmtId="0" fontId="27" fillId="0" borderId="65" xfId="0" applyFont="1" applyBorder="1" applyAlignment="1">
      <alignment horizontal="left" vertical="center"/>
    </xf>
    <xf numFmtId="0" fontId="3" fillId="0" borderId="65" xfId="0" applyFont="1" applyBorder="1" applyAlignment="1">
      <alignment horizontal="center"/>
    </xf>
    <xf numFmtId="49" fontId="27" fillId="0" borderId="65" xfId="0" applyNumberFormat="1" applyFont="1" applyBorder="1" applyAlignment="1">
      <alignment horizontal="center"/>
    </xf>
    <xf numFmtId="2" fontId="27" fillId="0" borderId="65" xfId="0" applyNumberFormat="1" applyFont="1" applyBorder="1" applyAlignment="1">
      <alignment horizontal="center"/>
    </xf>
    <xf numFmtId="2" fontId="27" fillId="0" borderId="65" xfId="6" applyNumberFormat="1" applyFont="1" applyBorder="1" applyAlignment="1">
      <alignment horizontal="center" vertical="center" readingOrder="1"/>
    </xf>
    <xf numFmtId="9" fontId="27" fillId="0" borderId="65" xfId="6" applyNumberFormat="1" applyFont="1" applyBorder="1" applyAlignment="1">
      <alignment horizontal="center" vertical="center" readingOrder="1"/>
    </xf>
    <xf numFmtId="9" fontId="27" fillId="0" borderId="65" xfId="6" applyNumberFormat="1" applyFont="1" applyBorder="1" applyAlignment="1">
      <alignment horizontal="center"/>
    </xf>
    <xf numFmtId="1" fontId="27" fillId="0" borderId="65" xfId="0" applyNumberFormat="1" applyFont="1" applyBorder="1" applyAlignment="1">
      <alignment horizontal="center"/>
    </xf>
    <xf numFmtId="9" fontId="3" fillId="0" borderId="65" xfId="6" applyNumberFormat="1" applyFont="1" applyBorder="1" applyAlignment="1">
      <alignment horizontal="center" vertical="center"/>
    </xf>
    <xf numFmtId="2" fontId="3" fillId="0" borderId="65" xfId="0" applyNumberFormat="1" applyFont="1" applyBorder="1" applyAlignment="1">
      <alignment horizontal="center" vertical="center"/>
    </xf>
    <xf numFmtId="0" fontId="27" fillId="0" borderId="65" xfId="0" applyFont="1" applyBorder="1" applyAlignment="1">
      <alignment horizontal="center"/>
    </xf>
    <xf numFmtId="1" fontId="3" fillId="0" borderId="65" xfId="0" applyNumberFormat="1" applyFont="1" applyBorder="1" applyAlignment="1">
      <alignment horizontal="center" vertical="center"/>
    </xf>
    <xf numFmtId="2" fontId="27" fillId="0" borderId="66" xfId="0" applyNumberFormat="1" applyFont="1" applyBorder="1" applyAlignment="1">
      <alignment horizontal="center" vertical="center"/>
    </xf>
    <xf numFmtId="0" fontId="3" fillId="62" borderId="64" xfId="0" applyFont="1" applyFill="1" applyBorder="1" applyAlignment="1">
      <alignment horizontal="center" vertical="center"/>
    </xf>
    <xf numFmtId="0" fontId="3" fillId="62" borderId="65" xfId="0" applyFont="1" applyFill="1" applyBorder="1" applyAlignment="1">
      <alignment horizontal="center" vertical="center"/>
    </xf>
    <xf numFmtId="0" fontId="27" fillId="62" borderId="65" xfId="0" applyFont="1" applyFill="1" applyBorder="1" applyAlignment="1">
      <alignment horizontal="center" vertical="center"/>
    </xf>
    <xf numFmtId="0" fontId="27" fillId="62" borderId="65" xfId="0" applyFont="1" applyFill="1" applyBorder="1" applyAlignment="1">
      <alignment horizontal="left" vertical="center"/>
    </xf>
    <xf numFmtId="0" fontId="3" fillId="62" borderId="65" xfId="0" applyFont="1" applyFill="1" applyBorder="1" applyAlignment="1">
      <alignment horizontal="center"/>
    </xf>
    <xf numFmtId="49" fontId="27" fillId="62" borderId="65" xfId="0" applyNumberFormat="1" applyFont="1" applyFill="1" applyBorder="1" applyAlignment="1">
      <alignment horizontal="center"/>
    </xf>
    <xf numFmtId="2" fontId="27" fillId="62" borderId="65" xfId="0" applyNumberFormat="1" applyFont="1" applyFill="1" applyBorder="1" applyAlignment="1">
      <alignment horizontal="center"/>
    </xf>
    <xf numFmtId="2" fontId="27" fillId="62" borderId="65" xfId="6" applyNumberFormat="1" applyFont="1" applyFill="1" applyBorder="1" applyAlignment="1">
      <alignment horizontal="center" vertical="center" readingOrder="1"/>
    </xf>
    <xf numFmtId="9" fontId="27" fillId="62" borderId="65" xfId="6" applyNumberFormat="1" applyFont="1" applyFill="1" applyBorder="1" applyAlignment="1">
      <alignment horizontal="center" vertical="center" readingOrder="1"/>
    </xf>
    <xf numFmtId="9" fontId="27" fillId="62" borderId="65" xfId="6" applyNumberFormat="1" applyFont="1" applyFill="1" applyBorder="1" applyAlignment="1">
      <alignment horizontal="center"/>
    </xf>
    <xf numFmtId="1" fontId="27" fillId="62" borderId="65" xfId="0" applyNumberFormat="1" applyFont="1" applyFill="1" applyBorder="1" applyAlignment="1">
      <alignment horizontal="center"/>
    </xf>
    <xf numFmtId="9" fontId="3" fillId="62" borderId="65" xfId="6" applyNumberFormat="1" applyFont="1" applyFill="1" applyBorder="1" applyAlignment="1">
      <alignment horizontal="center" vertical="center"/>
    </xf>
    <xf numFmtId="2" fontId="3" fillId="62" borderId="65" xfId="0" applyNumberFormat="1" applyFont="1" applyFill="1" applyBorder="1" applyAlignment="1">
      <alignment horizontal="center" vertical="center"/>
    </xf>
    <xf numFmtId="0" fontId="27" fillId="62" borderId="65" xfId="0" applyFont="1" applyFill="1" applyBorder="1" applyAlignment="1">
      <alignment horizontal="center"/>
    </xf>
    <xf numFmtId="1" fontId="3" fillId="62" borderId="65" xfId="0" applyNumberFormat="1" applyFont="1" applyFill="1" applyBorder="1" applyAlignment="1">
      <alignment horizontal="center" vertical="center"/>
    </xf>
    <xf numFmtId="2" fontId="27" fillId="62" borderId="66" xfId="0" applyNumberFormat="1" applyFont="1" applyFill="1" applyBorder="1" applyAlignment="1">
      <alignment horizontal="center" vertical="center"/>
    </xf>
    <xf numFmtId="0" fontId="5" fillId="62" borderId="65" xfId="0" applyFont="1" applyFill="1" applyBorder="1" applyAlignment="1">
      <alignment horizontal="center" vertical="center"/>
    </xf>
    <xf numFmtId="0" fontId="27" fillId="62" borderId="66" xfId="0" applyFont="1" applyFill="1" applyBorder="1" applyAlignment="1">
      <alignment horizontal="center" vertical="center"/>
    </xf>
    <xf numFmtId="0" fontId="5" fillId="0" borderId="65" xfId="0" applyFont="1" applyBorder="1" applyAlignment="1">
      <alignment horizontal="center" vertical="center"/>
    </xf>
    <xf numFmtId="0" fontId="27" fillId="0" borderId="66" xfId="0" applyFont="1" applyBorder="1" applyAlignment="1">
      <alignment horizontal="center" vertical="center"/>
    </xf>
    <xf numFmtId="2" fontId="5" fillId="62" borderId="65" xfId="0" applyNumberFormat="1" applyFont="1" applyFill="1" applyBorder="1" applyAlignment="1">
      <alignment horizontal="center" vertical="center"/>
    </xf>
    <xf numFmtId="2" fontId="5" fillId="0" borderId="65" xfId="0" applyNumberFormat="1" applyFont="1" applyBorder="1" applyAlignment="1">
      <alignment horizontal="center" vertical="center"/>
    </xf>
    <xf numFmtId="10" fontId="27" fillId="0" borderId="65" xfId="6" applyNumberFormat="1" applyFont="1" applyBorder="1" applyAlignment="1">
      <alignment horizontal="center"/>
    </xf>
    <xf numFmtId="10" fontId="27" fillId="62" borderId="65" xfId="6" applyNumberFormat="1" applyFont="1" applyFill="1" applyBorder="1" applyAlignment="1">
      <alignment horizontal="center"/>
    </xf>
    <xf numFmtId="0" fontId="3" fillId="61" borderId="64" xfId="0" applyFont="1" applyFill="1" applyBorder="1" applyAlignment="1">
      <alignment horizontal="center" vertical="center"/>
    </xf>
    <xf numFmtId="0" fontId="3" fillId="61" borderId="65" xfId="0" applyFont="1" applyFill="1" applyBorder="1" applyAlignment="1">
      <alignment horizontal="center" vertical="center"/>
    </xf>
    <xf numFmtId="0" fontId="8" fillId="61" borderId="65" xfId="0" applyFont="1" applyFill="1" applyBorder="1" applyAlignment="1">
      <alignment horizontal="center" vertical="center"/>
    </xf>
    <xf numFmtId="0" fontId="8" fillId="61" borderId="65" xfId="0" applyFont="1" applyFill="1" applyBorder="1" applyAlignment="1">
      <alignment horizontal="left" vertical="center"/>
    </xf>
    <xf numFmtId="0" fontId="3" fillId="61" borderId="65" xfId="0" applyFont="1" applyFill="1" applyBorder="1" applyAlignment="1">
      <alignment horizontal="center"/>
    </xf>
    <xf numFmtId="0" fontId="27" fillId="61" borderId="65" xfId="0" applyFont="1" applyFill="1" applyBorder="1" applyAlignment="1">
      <alignment horizontal="center" vertical="center"/>
    </xf>
    <xf numFmtId="49" fontId="8" fillId="61" borderId="65" xfId="0" applyNumberFormat="1" applyFont="1" applyFill="1" applyBorder="1" applyAlignment="1">
      <alignment horizontal="center"/>
    </xf>
    <xf numFmtId="2" fontId="8" fillId="61" borderId="65" xfId="0" applyNumberFormat="1" applyFont="1" applyFill="1" applyBorder="1" applyAlignment="1">
      <alignment horizontal="center"/>
    </xf>
    <xf numFmtId="0" fontId="0" fillId="61" borderId="65" xfId="0" applyFont="1" applyFill="1" applyBorder="1"/>
    <xf numFmtId="9" fontId="8" fillId="61" borderId="65" xfId="6" applyNumberFormat="1" applyFont="1" applyFill="1" applyBorder="1" applyAlignment="1">
      <alignment horizontal="center"/>
    </xf>
    <xf numFmtId="1" fontId="8" fillId="61" borderId="65" xfId="0" applyNumberFormat="1" applyFont="1" applyFill="1" applyBorder="1" applyAlignment="1">
      <alignment horizontal="center"/>
    </xf>
    <xf numFmtId="1" fontId="3" fillId="61" borderId="65" xfId="0" applyNumberFormat="1" applyFont="1" applyFill="1" applyBorder="1" applyAlignment="1">
      <alignment horizontal="center" vertical="center"/>
    </xf>
    <xf numFmtId="0" fontId="0" fillId="61" borderId="65" xfId="0" applyFont="1" applyFill="1" applyBorder="1" applyAlignment="1">
      <alignment horizontal="center"/>
    </xf>
    <xf numFmtId="2" fontId="3" fillId="61" borderId="65" xfId="0" applyNumberFormat="1" applyFont="1" applyFill="1" applyBorder="1" applyAlignment="1">
      <alignment horizontal="center" vertical="center"/>
    </xf>
    <xf numFmtId="1" fontId="0" fillId="61" borderId="65" xfId="0" applyNumberFormat="1" applyFont="1" applyFill="1" applyBorder="1" applyAlignment="1">
      <alignment horizontal="center"/>
    </xf>
    <xf numFmtId="2" fontId="0" fillId="61" borderId="65" xfId="0" applyNumberFormat="1" applyFont="1" applyFill="1" applyBorder="1" applyAlignment="1">
      <alignment horizontal="center"/>
    </xf>
    <xf numFmtId="0" fontId="0" fillId="61" borderId="65" xfId="0" applyFont="1" applyFill="1" applyBorder="1" applyAlignment="1">
      <alignment horizontal="center" vertical="center"/>
    </xf>
    <xf numFmtId="0" fontId="0" fillId="61" borderId="66" xfId="0" applyFont="1" applyFill="1" applyBorder="1" applyAlignment="1">
      <alignment horizontal="center" vertical="center"/>
    </xf>
    <xf numFmtId="0" fontId="8" fillId="62" borderId="65" xfId="0" applyFont="1" applyFill="1" applyBorder="1" applyAlignment="1">
      <alignment horizontal="center" vertical="center"/>
    </xf>
    <xf numFmtId="0" fontId="8" fillId="62" borderId="65" xfId="0" applyFont="1" applyFill="1" applyBorder="1" applyAlignment="1">
      <alignment horizontal="left" vertical="center"/>
    </xf>
    <xf numFmtId="49" fontId="8" fillId="62" borderId="65" xfId="0" applyNumberFormat="1" applyFont="1" applyFill="1" applyBorder="1" applyAlignment="1">
      <alignment horizontal="center"/>
    </xf>
    <xf numFmtId="2" fontId="8" fillId="62" borderId="65" xfId="0" applyNumberFormat="1" applyFont="1" applyFill="1" applyBorder="1" applyAlignment="1">
      <alignment horizontal="center"/>
    </xf>
    <xf numFmtId="0" fontId="0" fillId="62" borderId="65" xfId="0" applyFont="1" applyFill="1" applyBorder="1"/>
    <xf numFmtId="9" fontId="8" fillId="62" borderId="65" xfId="6" applyNumberFormat="1" applyFont="1" applyFill="1" applyBorder="1" applyAlignment="1">
      <alignment horizontal="center"/>
    </xf>
    <xf numFmtId="1" fontId="8" fillId="62" borderId="65" xfId="0" applyNumberFormat="1" applyFont="1" applyFill="1" applyBorder="1" applyAlignment="1">
      <alignment horizontal="center"/>
    </xf>
    <xf numFmtId="0" fontId="0" fillId="62" borderId="65" xfId="0" applyFont="1" applyFill="1" applyBorder="1" applyAlignment="1">
      <alignment horizontal="center"/>
    </xf>
    <xf numFmtId="1" fontId="0" fillId="62" borderId="65" xfId="0" applyNumberFormat="1" applyFont="1" applyFill="1" applyBorder="1" applyAlignment="1">
      <alignment horizontal="center"/>
    </xf>
    <xf numFmtId="2" fontId="0" fillId="62" borderId="65" xfId="0" applyNumberFormat="1" applyFont="1" applyFill="1" applyBorder="1" applyAlignment="1">
      <alignment horizontal="center"/>
    </xf>
    <xf numFmtId="0" fontId="0" fillId="62" borderId="65" xfId="0" applyFont="1" applyFill="1" applyBorder="1" applyAlignment="1">
      <alignment horizontal="center" vertical="center"/>
    </xf>
    <xf numFmtId="0" fontId="0" fillId="62" borderId="66" xfId="0" applyFont="1" applyFill="1" applyBorder="1" applyAlignment="1">
      <alignment horizontal="center" vertical="center"/>
    </xf>
    <xf numFmtId="0" fontId="8" fillId="0" borderId="65" xfId="0" applyFont="1" applyBorder="1" applyAlignment="1">
      <alignment horizontal="center" vertical="center"/>
    </xf>
    <xf numFmtId="0" fontId="8" fillId="0" borderId="65" xfId="0" applyFont="1" applyBorder="1" applyAlignment="1">
      <alignment horizontal="left" vertical="center"/>
    </xf>
    <xf numFmtId="49" fontId="8" fillId="0" borderId="65" xfId="0" applyNumberFormat="1" applyFont="1" applyBorder="1" applyAlignment="1">
      <alignment horizontal="center"/>
    </xf>
    <xf numFmtId="2" fontId="8" fillId="0" borderId="65" xfId="0" applyNumberFormat="1" applyFont="1" applyBorder="1" applyAlignment="1">
      <alignment horizontal="center"/>
    </xf>
    <xf numFmtId="0" fontId="0" fillId="0" borderId="65" xfId="0" applyFont="1" applyBorder="1"/>
    <xf numFmtId="9" fontId="8" fillId="0" borderId="65" xfId="6" applyNumberFormat="1" applyFont="1" applyBorder="1" applyAlignment="1">
      <alignment horizontal="center"/>
    </xf>
    <xf numFmtId="1" fontId="8" fillId="0" borderId="65" xfId="0" applyNumberFormat="1" applyFont="1" applyBorder="1" applyAlignment="1">
      <alignment horizontal="center"/>
    </xf>
    <xf numFmtId="0" fontId="0" fillId="0" borderId="65" xfId="0" applyFont="1" applyBorder="1" applyAlignment="1">
      <alignment horizontal="center"/>
    </xf>
    <xf numFmtId="1" fontId="0" fillId="0" borderId="65" xfId="0" applyNumberFormat="1" applyFont="1" applyBorder="1" applyAlignment="1">
      <alignment horizontal="center"/>
    </xf>
    <xf numFmtId="2" fontId="0" fillId="0" borderId="65" xfId="0" applyNumberFormat="1" applyFont="1" applyBorder="1" applyAlignment="1">
      <alignment horizontal="center"/>
    </xf>
    <xf numFmtId="0" fontId="0" fillId="0" borderId="65" xfId="0" applyFont="1" applyBorder="1" applyAlignment="1">
      <alignment horizontal="center" vertical="center"/>
    </xf>
    <xf numFmtId="0" fontId="0" fillId="0" borderId="66" xfId="0" applyFont="1" applyBorder="1" applyAlignment="1">
      <alignment horizontal="center" vertical="center"/>
    </xf>
    <xf numFmtId="9" fontId="2" fillId="0" borderId="65" xfId="6" applyNumberFormat="1" applyFont="1" applyBorder="1" applyAlignment="1">
      <alignment horizontal="center" vertical="center" readingOrder="1"/>
    </xf>
    <xf numFmtId="9" fontId="0" fillId="0" borderId="65" xfId="6" applyNumberFormat="1" applyFont="1" applyBorder="1" applyAlignment="1">
      <alignment horizontal="center"/>
    </xf>
    <xf numFmtId="164" fontId="0" fillId="62" borderId="65" xfId="0" applyNumberFormat="1" applyFont="1" applyFill="1" applyBorder="1" applyAlignment="1">
      <alignment horizontal="center" vertical="center"/>
    </xf>
    <xf numFmtId="2" fontId="0" fillId="62" borderId="65" xfId="0" applyNumberFormat="1" applyFont="1" applyFill="1" applyBorder="1" applyAlignment="1">
      <alignment horizontal="center" vertical="center"/>
    </xf>
    <xf numFmtId="164" fontId="0" fillId="0" borderId="65" xfId="0" applyNumberFormat="1" applyFont="1" applyBorder="1" applyAlignment="1">
      <alignment horizontal="center" vertical="center"/>
    </xf>
    <xf numFmtId="2" fontId="0" fillId="0" borderId="65" xfId="0" applyNumberFormat="1" applyFont="1" applyBorder="1" applyAlignment="1">
      <alignment horizontal="center" vertical="center"/>
    </xf>
    <xf numFmtId="49" fontId="1" fillId="62" borderId="65" xfId="0" applyNumberFormat="1" applyFont="1" applyFill="1" applyBorder="1" applyAlignment="1">
      <alignment horizontal="center" vertical="center" readingOrder="1"/>
    </xf>
    <xf numFmtId="2" fontId="1" fillId="62" borderId="65" xfId="0" applyNumberFormat="1" applyFont="1" applyFill="1" applyBorder="1" applyAlignment="1">
      <alignment horizontal="center" vertical="center" readingOrder="1"/>
    </xf>
    <xf numFmtId="49" fontId="2" fillId="0" borderId="65" xfId="0" applyNumberFormat="1" applyFont="1" applyBorder="1" applyAlignment="1">
      <alignment horizontal="center" vertical="center" readingOrder="1"/>
    </xf>
    <xf numFmtId="2" fontId="2" fillId="0" borderId="65" xfId="0" applyNumberFormat="1" applyFont="1" applyBorder="1" applyAlignment="1">
      <alignment horizontal="center" vertical="center" readingOrder="1"/>
    </xf>
    <xf numFmtId="9" fontId="1" fillId="62" borderId="65" xfId="6" applyNumberFormat="1" applyFont="1" applyFill="1" applyBorder="1" applyAlignment="1">
      <alignment horizontal="center" vertical="center" readingOrder="1"/>
    </xf>
    <xf numFmtId="49" fontId="1" fillId="0" borderId="65" xfId="0" applyNumberFormat="1" applyFont="1" applyBorder="1" applyAlignment="1">
      <alignment horizontal="center" vertical="center" readingOrder="1"/>
    </xf>
    <xf numFmtId="2" fontId="1" fillId="0" borderId="65" xfId="0" applyNumberFormat="1" applyFont="1" applyBorder="1" applyAlignment="1">
      <alignment horizontal="center" vertical="center" readingOrder="1"/>
    </xf>
    <xf numFmtId="9" fontId="1" fillId="0" borderId="65" xfId="6" applyNumberFormat="1" applyFont="1" applyBorder="1" applyAlignment="1">
      <alignment horizontal="center" vertical="center" readingOrder="1"/>
    </xf>
    <xf numFmtId="2" fontId="2" fillId="62" borderId="65" xfId="0" applyNumberFormat="1" applyFont="1" applyFill="1" applyBorder="1" applyAlignment="1">
      <alignment horizontal="center" vertical="center" readingOrder="1"/>
    </xf>
    <xf numFmtId="9" fontId="2" fillId="62" borderId="65" xfId="6" applyNumberFormat="1" applyFont="1" applyFill="1" applyBorder="1" applyAlignment="1">
      <alignment horizontal="center" vertical="center" readingOrder="1"/>
    </xf>
    <xf numFmtId="165" fontId="3" fillId="62" borderId="65" xfId="0" applyNumberFormat="1" applyFont="1" applyFill="1" applyBorder="1" applyAlignment="1">
      <alignment horizontal="center" vertical="center"/>
    </xf>
    <xf numFmtId="165" fontId="3" fillId="0" borderId="65" xfId="0" applyNumberFormat="1" applyFont="1" applyBorder="1" applyAlignment="1">
      <alignment horizontal="center" vertical="center"/>
    </xf>
    <xf numFmtId="2" fontId="27" fillId="0" borderId="65" xfId="0" applyNumberFormat="1" applyFont="1" applyBorder="1" applyAlignment="1">
      <alignment horizontal="center" vertical="center" readingOrder="1"/>
    </xf>
    <xf numFmtId="2" fontId="27" fillId="62" borderId="65" xfId="0" applyNumberFormat="1" applyFont="1" applyFill="1" applyBorder="1" applyAlignment="1">
      <alignment horizontal="center" vertical="center" readingOrder="1"/>
    </xf>
    <xf numFmtId="49" fontId="2" fillId="62" borderId="65" xfId="0" applyNumberFormat="1" applyFont="1" applyFill="1" applyBorder="1" applyAlignment="1">
      <alignment horizontal="center" vertical="center" readingOrder="1"/>
    </xf>
    <xf numFmtId="49" fontId="27" fillId="62" borderId="65" xfId="0" applyNumberFormat="1" applyFont="1" applyFill="1" applyBorder="1" applyAlignment="1">
      <alignment horizontal="center" vertical="center" readingOrder="1"/>
    </xf>
    <xf numFmtId="49" fontId="27" fillId="0" borderId="65" xfId="0" applyNumberFormat="1" applyFont="1" applyBorder="1" applyAlignment="1">
      <alignment horizontal="center" vertical="center" readingOrder="1"/>
    </xf>
    <xf numFmtId="9" fontId="0" fillId="62" borderId="65" xfId="6" applyNumberFormat="1" applyFont="1" applyFill="1" applyBorder="1" applyAlignment="1">
      <alignment horizontal="center"/>
    </xf>
    <xf numFmtId="49" fontId="0" fillId="0" borderId="65" xfId="0" applyNumberFormat="1" applyFont="1" applyBorder="1" applyAlignment="1">
      <alignment horizontal="center"/>
    </xf>
    <xf numFmtId="0" fontId="0" fillId="0" borderId="66" xfId="0" applyFont="1" applyBorder="1" applyAlignment="1">
      <alignment horizontal="center"/>
    </xf>
    <xf numFmtId="49" fontId="0" fillId="62" borderId="65" xfId="0" applyNumberFormat="1" applyFont="1" applyFill="1" applyBorder="1" applyAlignment="1">
      <alignment horizontal="center"/>
    </xf>
    <xf numFmtId="0" fontId="0" fillId="62" borderId="66" xfId="0" applyFont="1" applyFill="1" applyBorder="1" applyAlignment="1">
      <alignment horizontal="center"/>
    </xf>
    <xf numFmtId="166" fontId="0" fillId="62" borderId="65" xfId="0" applyNumberFormat="1" applyFont="1" applyFill="1" applyBorder="1" applyAlignment="1">
      <alignment horizontal="center"/>
    </xf>
    <xf numFmtId="166" fontId="0" fillId="0" borderId="65" xfId="0" applyNumberFormat="1" applyFont="1" applyBorder="1" applyAlignment="1">
      <alignment horizontal="center"/>
    </xf>
    <xf numFmtId="0" fontId="3" fillId="62" borderId="65" xfId="0" applyFont="1" applyFill="1" applyBorder="1" applyAlignment="1">
      <alignment horizontal="left" vertical="center"/>
    </xf>
    <xf numFmtId="0" fontId="0" fillId="0" borderId="65" xfId="0" applyFont="1" applyBorder="1" applyAlignment="1">
      <alignment horizontal="left"/>
    </xf>
    <xf numFmtId="0" fontId="31" fillId="0" borderId="65" xfId="0" applyFont="1" applyBorder="1" applyAlignment="1">
      <alignment horizontal="center"/>
    </xf>
    <xf numFmtId="2" fontId="0" fillId="0" borderId="65" xfId="6" applyNumberFormat="1" applyFont="1" applyBorder="1" applyAlignment="1">
      <alignment horizontal="center"/>
    </xf>
    <xf numFmtId="165" fontId="0" fillId="0" borderId="65" xfId="0" applyNumberFormat="1" applyFont="1" applyBorder="1" applyAlignment="1">
      <alignment horizontal="center"/>
    </xf>
    <xf numFmtId="0" fontId="0" fillId="62" borderId="65" xfId="0" applyFont="1" applyFill="1" applyBorder="1" applyAlignment="1">
      <alignment horizontal="left"/>
    </xf>
    <xf numFmtId="0" fontId="31" fillId="62" borderId="65" xfId="0" applyFont="1" applyFill="1" applyBorder="1" applyAlignment="1">
      <alignment horizontal="center"/>
    </xf>
    <xf numFmtId="2" fontId="0" fillId="62" borderId="65" xfId="6" applyNumberFormat="1" applyFont="1" applyFill="1" applyBorder="1" applyAlignment="1">
      <alignment horizontal="center"/>
    </xf>
    <xf numFmtId="165" fontId="0" fillId="62" borderId="65" xfId="0" applyNumberFormat="1" applyFont="1" applyFill="1" applyBorder="1" applyAlignment="1">
      <alignment horizontal="center"/>
    </xf>
    <xf numFmtId="49" fontId="0" fillId="62" borderId="65" xfId="6" applyNumberFormat="1" applyFont="1" applyFill="1" applyBorder="1" applyAlignment="1">
      <alignment horizontal="center"/>
    </xf>
    <xf numFmtId="49" fontId="0" fillId="0" borderId="65" xfId="6" applyNumberFormat="1" applyFont="1" applyBorder="1" applyAlignment="1">
      <alignment horizontal="center"/>
    </xf>
    <xf numFmtId="0" fontId="3" fillId="0" borderId="67" xfId="0" applyFont="1" applyBorder="1" applyAlignment="1">
      <alignment horizontal="center" vertical="center"/>
    </xf>
    <xf numFmtId="0" fontId="3" fillId="0" borderId="56" xfId="0" applyFont="1" applyBorder="1" applyAlignment="1">
      <alignment horizontal="center" vertical="center"/>
    </xf>
    <xf numFmtId="0" fontId="0" fillId="0" borderId="56" xfId="0" applyFont="1" applyBorder="1" applyAlignment="1">
      <alignment horizontal="center"/>
    </xf>
    <xf numFmtId="0" fontId="3" fillId="0" borderId="56" xfId="0" applyFont="1" applyBorder="1" applyAlignment="1">
      <alignment horizontal="center"/>
    </xf>
    <xf numFmtId="0" fontId="0" fillId="0" borderId="56" xfId="0" applyFont="1" applyBorder="1" applyAlignment="1">
      <alignment horizontal="left"/>
    </xf>
    <xf numFmtId="0" fontId="31" fillId="0" borderId="56" xfId="0" applyFont="1" applyBorder="1" applyAlignment="1">
      <alignment horizontal="center"/>
    </xf>
    <xf numFmtId="49" fontId="0" fillId="0" borderId="56" xfId="0" applyNumberFormat="1" applyFont="1" applyBorder="1" applyAlignment="1">
      <alignment horizontal="center"/>
    </xf>
    <xf numFmtId="0" fontId="27" fillId="0" borderId="56" xfId="0" applyFont="1" applyBorder="1" applyAlignment="1">
      <alignment horizontal="center" vertical="center"/>
    </xf>
    <xf numFmtId="2" fontId="0" fillId="0" borderId="56" xfId="0" applyNumberFormat="1" applyFont="1" applyBorder="1" applyAlignment="1">
      <alignment horizontal="center"/>
    </xf>
    <xf numFmtId="9" fontId="0" fillId="0" borderId="56" xfId="6" applyNumberFormat="1" applyFont="1" applyBorder="1" applyAlignment="1">
      <alignment horizontal="center"/>
    </xf>
    <xf numFmtId="2" fontId="0" fillId="0" borderId="56" xfId="6" applyNumberFormat="1" applyFont="1" applyBorder="1" applyAlignment="1">
      <alignment horizontal="center"/>
    </xf>
    <xf numFmtId="165" fontId="0" fillId="0" borderId="56" xfId="0" applyNumberFormat="1" applyFont="1" applyBorder="1" applyAlignment="1">
      <alignment horizontal="center"/>
    </xf>
    <xf numFmtId="0" fontId="0" fillId="0" borderId="68" xfId="0" applyFont="1" applyBorder="1" applyAlignment="1">
      <alignment horizontal="center"/>
    </xf>
    <xf numFmtId="0" fontId="35" fillId="0" borderId="0" xfId="0" applyFont="1" applyFill="1" applyAlignment="1">
      <alignment horizontal="center"/>
    </xf>
    <xf numFmtId="0" fontId="35" fillId="0" borderId="0" xfId="0" applyFont="1" applyFill="1" applyBorder="1" applyAlignment="1">
      <alignment horizontal="center"/>
    </xf>
    <xf numFmtId="0" fontId="21" fillId="0" borderId="0" xfId="0" applyFont="1" applyAlignment="1">
      <alignment horizontal="center"/>
    </xf>
    <xf numFmtId="0" fontId="3" fillId="0" borderId="0" xfId="3" applyFont="1" applyFill="1" applyBorder="1" applyAlignment="1">
      <alignment horizontal="left"/>
    </xf>
    <xf numFmtId="1" fontId="0" fillId="0" borderId="0" xfId="0" applyNumberFormat="1" applyFill="1" applyBorder="1" applyAlignment="1">
      <alignment horizontal="center"/>
    </xf>
    <xf numFmtId="165" fontId="0" fillId="0" borderId="0" xfId="0" applyNumberFormat="1" applyFill="1" applyBorder="1" applyAlignment="1">
      <alignment horizontal="center"/>
    </xf>
    <xf numFmtId="165" fontId="0" fillId="0" borderId="0" xfId="6" applyNumberFormat="1" applyFont="1" applyFill="1" applyBorder="1" applyAlignment="1">
      <alignment horizontal="center"/>
    </xf>
    <xf numFmtId="0" fontId="0" fillId="20" borderId="0" xfId="0" applyFont="1" applyFill="1" applyBorder="1"/>
    <xf numFmtId="0" fontId="0" fillId="17" borderId="0" xfId="0" applyFont="1" applyFill="1" applyBorder="1"/>
    <xf numFmtId="0" fontId="0" fillId="61" borderId="0" xfId="0" applyFill="1" applyBorder="1"/>
    <xf numFmtId="0" fontId="83" fillId="0" borderId="0" xfId="0" applyFont="1" applyFill="1" applyAlignment="1">
      <alignment horizontal="center"/>
    </xf>
    <xf numFmtId="0" fontId="0" fillId="0" borderId="0" xfId="0" applyAlignment="1"/>
    <xf numFmtId="0" fontId="3" fillId="21" borderId="22" xfId="7" applyFill="1" applyBorder="1" applyAlignment="1"/>
    <xf numFmtId="0" fontId="34" fillId="22" borderId="40" xfId="2" applyFont="1" applyFill="1" applyBorder="1" applyAlignment="1">
      <alignment wrapText="1"/>
    </xf>
    <xf numFmtId="1" fontId="0" fillId="0" borderId="0" xfId="0" applyNumberFormat="1" applyAlignment="1"/>
    <xf numFmtId="1" fontId="0" fillId="0" borderId="0" xfId="0" applyNumberFormat="1" applyFill="1" applyAlignment="1"/>
    <xf numFmtId="0" fontId="0" fillId="0" borderId="0" xfId="0" applyFill="1" applyBorder="1" applyAlignment="1"/>
    <xf numFmtId="1" fontId="0" fillId="0" borderId="0" xfId="0" applyNumberFormat="1" applyFill="1" applyBorder="1" applyAlignment="1"/>
    <xf numFmtId="0" fontId="0" fillId="0" borderId="0" xfId="0" applyFill="1" applyAlignment="1"/>
    <xf numFmtId="165" fontId="0" fillId="0" borderId="0" xfId="0" applyNumberFormat="1"/>
    <xf numFmtId="165" fontId="3" fillId="21" borderId="22" xfId="7" applyNumberFormat="1" applyFill="1" applyBorder="1" applyAlignment="1">
      <alignment horizontal="center" wrapText="1"/>
    </xf>
    <xf numFmtId="165" fontId="34" fillId="22" borderId="39" xfId="2" applyNumberFormat="1" applyFont="1" applyFill="1" applyBorder="1" applyAlignment="1">
      <alignment horizontal="center" wrapText="1"/>
    </xf>
    <xf numFmtId="165" fontId="0" fillId="0" borderId="0" xfId="0" applyNumberFormat="1" applyFill="1" applyAlignment="1">
      <alignment horizontal="left"/>
    </xf>
    <xf numFmtId="165" fontId="0" fillId="0" borderId="0" xfId="0" applyNumberFormat="1" applyFill="1"/>
    <xf numFmtId="2" fontId="0" fillId="0" borderId="0" xfId="0" applyNumberFormat="1"/>
    <xf numFmtId="2" fontId="34" fillId="22" borderId="39" xfId="2" applyNumberFormat="1" applyFont="1" applyFill="1" applyBorder="1" applyAlignment="1">
      <alignment horizontal="center" wrapText="1"/>
    </xf>
    <xf numFmtId="2" fontId="0" fillId="0" borderId="0" xfId="0" applyNumberFormat="1" applyFill="1" applyAlignment="1">
      <alignment horizontal="center"/>
    </xf>
    <xf numFmtId="2" fontId="0" fillId="0" borderId="0" xfId="0" applyNumberFormat="1" applyFill="1" applyBorder="1" applyAlignment="1">
      <alignment horizontal="center"/>
    </xf>
    <xf numFmtId="2" fontId="0" fillId="0" borderId="0" xfId="0" applyNumberFormat="1" applyFill="1" applyAlignment="1">
      <alignment horizontal="left"/>
    </xf>
    <xf numFmtId="2" fontId="0" fillId="0" borderId="0" xfId="0" applyNumberFormat="1" applyFill="1"/>
    <xf numFmtId="0" fontId="0" fillId="0" borderId="0" xfId="0" applyFill="1" applyBorder="1" applyAlignment="1">
      <alignment horizontal="left"/>
    </xf>
    <xf numFmtId="0" fontId="34" fillId="22" borderId="40" xfId="2" applyFont="1" applyFill="1" applyBorder="1" applyAlignment="1">
      <alignment horizontal="left" wrapText="1"/>
    </xf>
    <xf numFmtId="0" fontId="33" fillId="0" borderId="0" xfId="0" applyFont="1" applyFill="1" applyAlignment="1">
      <alignment horizontal="left"/>
    </xf>
    <xf numFmtId="0" fontId="83" fillId="0" borderId="0" xfId="0" applyFont="1" applyFill="1" applyAlignment="1">
      <alignment horizontal="left"/>
    </xf>
    <xf numFmtId="0" fontId="21" fillId="0" borderId="0" xfId="0" applyFont="1" applyFill="1" applyBorder="1" applyAlignment="1">
      <alignment horizontal="left"/>
    </xf>
    <xf numFmtId="0" fontId="34" fillId="22" borderId="39" xfId="2" applyFont="1" applyFill="1" applyBorder="1" applyAlignment="1">
      <alignment wrapText="1"/>
    </xf>
    <xf numFmtId="1" fontId="0" fillId="0" borderId="0" xfId="0" applyNumberFormat="1" applyBorder="1" applyAlignment="1"/>
    <xf numFmtId="0" fontId="3" fillId="0" borderId="0" xfId="3" applyFont="1" applyBorder="1" applyAlignment="1">
      <alignment horizontal="left"/>
    </xf>
    <xf numFmtId="1" fontId="0" fillId="0" borderId="0" xfId="0" applyNumberFormat="1" applyBorder="1" applyAlignment="1">
      <alignment horizontal="left"/>
    </xf>
    <xf numFmtId="0" fontId="34" fillId="0" borderId="0" xfId="2" applyFont="1" applyFill="1" applyBorder="1" applyAlignment="1">
      <alignment wrapText="1"/>
    </xf>
    <xf numFmtId="0" fontId="3" fillId="21" borderId="22" xfId="7" applyFill="1" applyBorder="1" applyAlignment="1">
      <alignment wrapText="1"/>
    </xf>
    <xf numFmtId="0" fontId="3" fillId="0" borderId="0" xfId="7" applyFill="1" applyBorder="1" applyAlignment="1"/>
    <xf numFmtId="0" fontId="0" fillId="0" borderId="0" xfId="0" applyNumberFormat="1" applyAlignment="1"/>
    <xf numFmtId="0" fontId="3" fillId="21" borderId="22" xfId="7" applyNumberFormat="1" applyFill="1" applyBorder="1" applyAlignment="1"/>
    <xf numFmtId="0" fontId="34" fillId="22" borderId="40" xfId="2" applyNumberFormat="1" applyFont="1" applyFill="1" applyBorder="1" applyAlignment="1">
      <alignment wrapText="1"/>
    </xf>
    <xf numFmtId="0" fontId="0" fillId="0" borderId="0" xfId="0" applyNumberFormat="1" applyBorder="1" applyAlignment="1"/>
    <xf numFmtId="0" fontId="0" fillId="0" borderId="0" xfId="0" applyNumberFormat="1" applyFill="1" applyBorder="1" applyAlignment="1"/>
    <xf numFmtId="0" fontId="0" fillId="0" borderId="0" xfId="0" applyNumberFormat="1" applyFill="1" applyAlignment="1"/>
    <xf numFmtId="0" fontId="0" fillId="20" borderId="0" xfId="0" applyFill="1"/>
    <xf numFmtId="0" fontId="13" fillId="20" borderId="0" xfId="3056" quotePrefix="1" applyFont="1" applyFill="1" applyAlignment="1">
      <alignment horizontal="left" vertical="center"/>
    </xf>
    <xf numFmtId="0" fontId="0" fillId="17" borderId="0" xfId="0" applyFill="1" applyAlignment="1">
      <alignment horizontal="left"/>
    </xf>
    <xf numFmtId="0" fontId="0" fillId="25" borderId="0" xfId="0" applyFill="1" applyAlignment="1">
      <alignment horizontal="left"/>
    </xf>
    <xf numFmtId="0" fontId="0" fillId="63" borderId="0" xfId="0" applyFill="1"/>
    <xf numFmtId="0" fontId="0" fillId="0" borderId="20" xfId="0" applyBorder="1" applyAlignment="1">
      <alignment horizontal="center"/>
    </xf>
    <xf numFmtId="0" fontId="0" fillId="0" borderId="20" xfId="0" applyBorder="1"/>
    <xf numFmtId="0" fontId="0" fillId="64" borderId="20" xfId="0" applyFill="1" applyBorder="1" applyAlignment="1">
      <alignment horizontal="center"/>
    </xf>
    <xf numFmtId="0" fontId="0" fillId="0" borderId="0" xfId="0" applyAlignment="1">
      <alignment horizontal="center"/>
    </xf>
    <xf numFmtId="0" fontId="21" fillId="13" borderId="0" xfId="0" applyFont="1" applyFill="1" applyAlignment="1">
      <alignment horizontal="center"/>
    </xf>
    <xf numFmtId="0" fontId="3" fillId="65" borderId="0" xfId="1" applyFont="1" applyFill="1"/>
    <xf numFmtId="0" fontId="5" fillId="0" borderId="0" xfId="0" quotePrefix="1" applyFont="1" applyAlignment="1">
      <alignment horizontal="center"/>
    </xf>
    <xf numFmtId="0" fontId="84" fillId="0" borderId="0" xfId="54527" applyNumberFormat="1" applyFont="1" applyFill="1" applyBorder="1" applyAlignment="1" applyProtection="1"/>
    <xf numFmtId="1" fontId="84" fillId="0" borderId="0" xfId="54527" applyNumberFormat="1" applyFont="1" applyFill="1" applyBorder="1" applyAlignment="1" applyProtection="1"/>
    <xf numFmtId="0" fontId="84" fillId="0" borderId="0" xfId="54527" applyNumberFormat="1" applyFont="1" applyFill="1" applyBorder="1" applyAlignment="1" applyProtection="1">
      <alignment horizontal="center"/>
    </xf>
    <xf numFmtId="169" fontId="84" fillId="0" borderId="0" xfId="54527" applyNumberFormat="1" applyFont="1" applyFill="1" applyBorder="1" applyAlignment="1" applyProtection="1">
      <alignment horizontal="center"/>
    </xf>
    <xf numFmtId="170" fontId="41" fillId="0" borderId="0" xfId="0" applyNumberFormat="1" applyFont="1" applyFill="1" applyAlignment="1">
      <alignment vertical="top"/>
    </xf>
    <xf numFmtId="1" fontId="27" fillId="0" borderId="0" xfId="0" applyNumberFormat="1" applyFont="1" applyFill="1" applyAlignment="1">
      <alignment vertical="top"/>
    </xf>
    <xf numFmtId="170" fontId="27" fillId="0" borderId="0" xfId="0" applyNumberFormat="1" applyFont="1" applyFill="1" applyAlignment="1">
      <alignment vertical="top"/>
    </xf>
    <xf numFmtId="170" fontId="13" fillId="0" borderId="0" xfId="0" applyNumberFormat="1" applyFont="1" applyFill="1" applyAlignment="1">
      <alignment vertical="top"/>
    </xf>
    <xf numFmtId="0" fontId="3" fillId="0" borderId="0" xfId="0" applyFont="1" applyFill="1"/>
    <xf numFmtId="0" fontId="5" fillId="61" borderId="0" xfId="0" applyFont="1" applyFill="1" applyAlignment="1">
      <alignment horizontal="center"/>
    </xf>
    <xf numFmtId="2" fontId="3" fillId="0" borderId="0" xfId="0" applyNumberFormat="1" applyFont="1" applyAlignment="1">
      <alignment horizontal="center"/>
    </xf>
    <xf numFmtId="2" fontId="40" fillId="0" borderId="0" xfId="0" applyNumberFormat="1" applyFont="1" applyAlignment="1">
      <alignment horizontal="center"/>
    </xf>
    <xf numFmtId="168" fontId="3" fillId="0" borderId="0" xfId="8" applyNumberFormat="1" applyFont="1" applyAlignment="1">
      <alignment horizontal="center"/>
    </xf>
    <xf numFmtId="168" fontId="3" fillId="0" borderId="0" xfId="8" applyNumberFormat="1" applyFont="1" applyFill="1" applyAlignment="1">
      <alignment horizontal="center"/>
    </xf>
    <xf numFmtId="1" fontId="3" fillId="0" borderId="0" xfId="0" applyNumberFormat="1" applyFont="1" applyAlignment="1">
      <alignment horizontal="center"/>
    </xf>
    <xf numFmtId="168" fontId="3" fillId="0" borderId="0" xfId="8" applyNumberFormat="1" applyFont="1" applyFill="1" applyBorder="1" applyAlignment="1">
      <alignment horizontal="center" vertical="center" wrapText="1"/>
    </xf>
    <xf numFmtId="0" fontId="5" fillId="61" borderId="0" xfId="0" applyFont="1" applyFill="1"/>
    <xf numFmtId="0" fontId="3" fillId="0" borderId="0" xfId="2" applyFill="1"/>
    <xf numFmtId="165" fontId="5" fillId="0" borderId="0" xfId="0" applyNumberFormat="1" applyFont="1" applyFill="1"/>
    <xf numFmtId="0" fontId="5" fillId="0" borderId="0" xfId="0" applyFont="1" applyFill="1"/>
    <xf numFmtId="2" fontId="40" fillId="0" borderId="0" xfId="0" applyNumberFormat="1" applyFont="1" applyFill="1" applyAlignment="1">
      <alignment horizontal="center"/>
    </xf>
    <xf numFmtId="1" fontId="3" fillId="0" borderId="0" xfId="7" applyNumberFormat="1" applyFill="1" applyAlignment="1">
      <alignment horizontal="center" vertical="center" wrapText="1"/>
    </xf>
    <xf numFmtId="0" fontId="3" fillId="0" borderId="0" xfId="2" applyFill="1" applyAlignment="1">
      <alignment horizontal="center"/>
    </xf>
    <xf numFmtId="0" fontId="3" fillId="0" borderId="0" xfId="7" applyFill="1" applyAlignment="1">
      <alignment horizontal="left"/>
    </xf>
    <xf numFmtId="2" fontId="3" fillId="0" borderId="0" xfId="2" applyNumberFormat="1" applyFill="1" applyAlignment="1">
      <alignment horizontal="center"/>
    </xf>
    <xf numFmtId="2" fontId="3" fillId="0" borderId="0" xfId="0" applyNumberFormat="1" applyFont="1" applyFill="1" applyAlignment="1">
      <alignment horizontal="center"/>
    </xf>
    <xf numFmtId="2" fontId="3" fillId="0" borderId="0" xfId="0" applyNumberFormat="1" applyFont="1" applyFill="1"/>
    <xf numFmtId="0" fontId="85" fillId="0" borderId="0" xfId="0" applyFont="1" applyFill="1"/>
    <xf numFmtId="0" fontId="3" fillId="0" borderId="0" xfId="2" applyFill="1" applyBorder="1" applyAlignment="1">
      <alignment horizontal="center" wrapText="1"/>
    </xf>
    <xf numFmtId="169" fontId="3" fillId="0" borderId="0" xfId="0" applyNumberFormat="1" applyFont="1" applyFill="1"/>
    <xf numFmtId="1" fontId="3" fillId="0" borderId="0" xfId="8" applyNumberFormat="1" applyFont="1" applyFill="1" applyAlignment="1">
      <alignment horizontal="center" vertical="top"/>
    </xf>
    <xf numFmtId="0" fontId="9" fillId="0" borderId="0" xfId="0" applyFont="1" applyFill="1"/>
    <xf numFmtId="2" fontId="3" fillId="21" borderId="0" xfId="7" applyNumberFormat="1" applyFill="1" applyBorder="1" applyAlignment="1">
      <alignment horizontal="center" wrapText="1"/>
    </xf>
    <xf numFmtId="0" fontId="34" fillId="22" borderId="0" xfId="2" applyFont="1" applyFill="1" applyBorder="1" applyAlignment="1">
      <alignment horizontal="center" wrapText="1"/>
    </xf>
    <xf numFmtId="0" fontId="3" fillId="0" borderId="20" xfId="0" applyFont="1" applyBorder="1" applyAlignment="1">
      <alignment horizontal="center" vertical="center"/>
    </xf>
    <xf numFmtId="0" fontId="1" fillId="18" borderId="6" xfId="0" applyFont="1" applyFill="1" applyBorder="1" applyAlignment="1">
      <alignment horizontal="center" vertical="center" readingOrder="1"/>
    </xf>
    <xf numFmtId="0" fontId="1" fillId="18" borderId="3" xfId="0" applyFont="1" applyFill="1" applyBorder="1" applyAlignment="1">
      <alignment horizontal="center" vertical="center" readingOrder="1"/>
    </xf>
    <xf numFmtId="0" fontId="1" fillId="18" borderId="9" xfId="0" applyFont="1" applyFill="1" applyBorder="1" applyAlignment="1">
      <alignment horizontal="center" vertical="center" readingOrder="1"/>
    </xf>
    <xf numFmtId="0" fontId="1" fillId="18" borderId="10" xfId="0" applyFont="1" applyFill="1" applyBorder="1" applyAlignment="1">
      <alignment horizontal="center" vertical="center" wrapText="1" readingOrder="1"/>
    </xf>
    <xf numFmtId="0" fontId="1" fillId="18" borderId="11" xfId="0" applyFont="1" applyFill="1" applyBorder="1" applyAlignment="1">
      <alignment horizontal="center" vertical="center" wrapText="1" readingOrder="1"/>
    </xf>
    <xf numFmtId="0" fontId="1" fillId="18" borderId="12" xfId="0" applyFont="1" applyFill="1" applyBorder="1" applyAlignment="1">
      <alignment horizontal="center" vertical="center" wrapText="1" readingOrder="1"/>
    </xf>
    <xf numFmtId="9" fontId="1" fillId="18" borderId="10" xfId="6" applyFont="1" applyFill="1" applyBorder="1" applyAlignment="1">
      <alignment horizontal="center" vertical="center" wrapText="1" readingOrder="1"/>
    </xf>
    <xf numFmtId="9" fontId="1" fillId="18" borderId="12" xfId="6" applyFont="1" applyFill="1" applyBorder="1" applyAlignment="1">
      <alignment horizontal="center" vertical="center" wrapText="1" readingOrder="1"/>
    </xf>
    <xf numFmtId="9" fontId="1" fillId="18" borderId="11" xfId="6" applyFont="1" applyFill="1" applyBorder="1" applyAlignment="1">
      <alignment horizontal="center" vertical="center" wrapText="1" readingOrder="1"/>
    </xf>
    <xf numFmtId="9" fontId="1" fillId="18" borderId="6" xfId="6" applyFont="1" applyFill="1" applyBorder="1" applyAlignment="1">
      <alignment horizontal="center" vertical="center" readingOrder="1"/>
    </xf>
    <xf numFmtId="9" fontId="1" fillId="18" borderId="3" xfId="6" applyFont="1" applyFill="1" applyBorder="1" applyAlignment="1">
      <alignment horizontal="center" vertical="center" readingOrder="1"/>
    </xf>
    <xf numFmtId="9" fontId="1" fillId="18" borderId="9" xfId="6" applyFont="1" applyFill="1" applyBorder="1" applyAlignment="1">
      <alignment horizontal="center" vertical="center" readingOrder="1"/>
    </xf>
    <xf numFmtId="0" fontId="14" fillId="0" borderId="23" xfId="1" applyBorder="1" applyAlignment="1">
      <alignment horizontal="center" vertical="center" wrapText="1"/>
    </xf>
    <xf numFmtId="0" fontId="14" fillId="0" borderId="0" xfId="1" applyAlignment="1">
      <alignment horizontal="left" wrapText="1"/>
    </xf>
    <xf numFmtId="1" fontId="0" fillId="12" borderId="0" xfId="0" applyNumberFormat="1" applyFill="1" applyAlignment="1">
      <alignment horizontal="left"/>
    </xf>
    <xf numFmtId="0" fontId="0" fillId="12" borderId="0" xfId="0" applyFill="1" applyBorder="1" applyAlignment="1">
      <alignment horizontal="center"/>
    </xf>
    <xf numFmtId="0" fontId="0" fillId="12" borderId="0" xfId="0" applyFill="1" applyBorder="1" applyAlignment="1">
      <alignment horizontal="left"/>
    </xf>
    <xf numFmtId="1" fontId="0" fillId="12" borderId="0" xfId="0" applyNumberFormat="1" applyFill="1" applyAlignment="1"/>
    <xf numFmtId="1" fontId="0" fillId="12" borderId="0" xfId="0" applyNumberFormat="1" applyFill="1" applyBorder="1" applyAlignment="1"/>
    <xf numFmtId="0" fontId="0" fillId="12" borderId="0" xfId="0" applyNumberFormat="1" applyFill="1" applyAlignment="1"/>
    <xf numFmtId="0" fontId="3" fillId="12" borderId="0" xfId="3" applyFont="1" applyFill="1" applyAlignment="1">
      <alignment horizontal="left"/>
    </xf>
    <xf numFmtId="1" fontId="0" fillId="12" borderId="0" xfId="0" applyNumberFormat="1" applyFill="1" applyAlignment="1">
      <alignment horizontal="center"/>
    </xf>
    <xf numFmtId="165" fontId="0" fillId="12" borderId="0" xfId="0" applyNumberFormat="1" applyFill="1" applyAlignment="1">
      <alignment horizontal="center"/>
    </xf>
    <xf numFmtId="165" fontId="0" fillId="12" borderId="0" xfId="6" applyNumberFormat="1" applyFont="1" applyFill="1" applyAlignment="1">
      <alignment horizontal="center"/>
    </xf>
    <xf numFmtId="0" fontId="0" fillId="12" borderId="0" xfId="0" applyFill="1" applyBorder="1"/>
  </cellXfs>
  <cellStyles count="54530">
    <cellStyle name="20% - Accent1 10" xfId="10" xr:uid="{B947D180-602C-430B-A4DB-D2B658AC28D4}"/>
    <cellStyle name="20% - Accent1 10 2" xfId="11" xr:uid="{E65E992D-ED73-4DA7-A9E6-B64183A21B58}"/>
    <cellStyle name="20% - Accent1 10 3" xfId="10957" xr:uid="{54AA455E-B2E2-448B-BF12-F0B410FAF7A9}"/>
    <cellStyle name="20% - Accent1 10 4" xfId="10826" xr:uid="{0634A3DD-A83F-4315-8AC2-3BA3920AD0A0}"/>
    <cellStyle name="20% - Accent1 10 5" xfId="8762" xr:uid="{01DF5EF2-FF2B-4DE2-8242-D9A27F18B2C7}"/>
    <cellStyle name="20% - Accent1 10 6" xfId="8761" xr:uid="{B509F7D5-A281-4508-A2EE-EF0A726D2D87}"/>
    <cellStyle name="20% - Accent1 11" xfId="12" xr:uid="{00099CD6-F134-4AFE-986F-571EA7D60DF1}"/>
    <cellStyle name="20% - Accent1 11 2" xfId="10621" xr:uid="{393F34E0-7C90-4F17-8647-825A3DCF5441}"/>
    <cellStyle name="20% - Accent1 12" xfId="13" xr:uid="{BDEBC1E1-3C2F-4DD9-A386-54F09BD7A19F}"/>
    <cellStyle name="20% - Accent1 12 2" xfId="10954" xr:uid="{6539971A-8E4D-4769-A01D-33A88BBF5EE1}"/>
    <cellStyle name="20% - Accent1 13" xfId="14" xr:uid="{160D0013-0208-40F2-A749-EA3E8F6AE1B9}"/>
    <cellStyle name="20% - Accent1 13 2" xfId="9398" xr:uid="{C0D8FC59-CEF5-4583-891C-9A68432672F7}"/>
    <cellStyle name="20% - Accent1 14" xfId="15" xr:uid="{84D773E8-C12D-47E9-B3A8-CDEF9E8244F9}"/>
    <cellStyle name="20% - Accent1 14 2" xfId="9397" xr:uid="{A55593C3-7066-4BA3-89B5-97CF0838F204}"/>
    <cellStyle name="20% - Accent1 15" xfId="16" xr:uid="{4DD69490-258F-4306-8065-12EEE8DE65E1}"/>
    <cellStyle name="20% - Accent1 15 2" xfId="16150" xr:uid="{7FE09A9E-692E-4936-8447-46DCEDC026A1}"/>
    <cellStyle name="20% - Accent1 16" xfId="17" xr:uid="{5FC9E0DE-FF88-4F24-B40D-AAE1F4D0314A}"/>
    <cellStyle name="20% - Accent1 16 2" xfId="16151" xr:uid="{E54E523D-3245-4440-98DF-3D40A838E103}"/>
    <cellStyle name="20% - Accent1 17" xfId="18" xr:uid="{304E2981-DDCF-453A-A9E6-0E8FFA178A7B}"/>
    <cellStyle name="20% - Accent1 17 2" xfId="16152" xr:uid="{81289196-4037-4F49-AC20-0F0FD37003F8}"/>
    <cellStyle name="20% - Accent1 18" xfId="19" xr:uid="{C879AAE3-89DE-43DC-BBA7-80AEC381F7C7}"/>
    <cellStyle name="20% - Accent1 18 2" xfId="16153" xr:uid="{A22081BF-4D73-484F-9912-74F9196A2E14}"/>
    <cellStyle name="20% - Accent1 19" xfId="20" xr:uid="{DBCC24A4-8E09-4F64-8B99-0C621444896B}"/>
    <cellStyle name="20% - Accent1 19 2" xfId="16154" xr:uid="{E0443406-F2A3-4366-820C-9C0682327DD9}"/>
    <cellStyle name="20% - Accent1 2" xfId="21" xr:uid="{7AC77B8C-8009-49F3-A9FC-BBD548E56DF1}"/>
    <cellStyle name="20% - Accent1 2 10" xfId="9396" xr:uid="{7B8C587C-2010-4715-A030-2B770FBF77F8}"/>
    <cellStyle name="20% - Accent1 2 11" xfId="11066" xr:uid="{4FBB1D11-3D83-4880-8D27-7A9F08C291A8}"/>
    <cellStyle name="20% - Accent1 2 12" xfId="10484" xr:uid="{48A4FBB4-C838-479A-B74B-ADB6909551B9}"/>
    <cellStyle name="20% - Accent1 2 13" xfId="10825" xr:uid="{46E27634-F11E-4CC7-B127-B984CE64F696}"/>
    <cellStyle name="20% - Accent1 2 14" xfId="11065" xr:uid="{B6376343-D2A3-4CD6-AD63-9354BBD05564}"/>
    <cellStyle name="20% - Accent1 2 15" xfId="10483" xr:uid="{4493CA2D-25DD-4CE4-9E3C-9688162117F5}"/>
    <cellStyle name="20% - Accent1 2 16" xfId="15391" xr:uid="{3F0B616B-C466-4BED-A745-3F382126D785}"/>
    <cellStyle name="20% - Accent1 2 17" xfId="15392" xr:uid="{8F1EA296-7211-4CB0-8D8A-5522E388397C}"/>
    <cellStyle name="20% - Accent1 2 18" xfId="15393" xr:uid="{71D21BD3-AEFE-4B5D-A469-418B240CCD2F}"/>
    <cellStyle name="20% - Accent1 2 19" xfId="15394" xr:uid="{56DC1494-3AD0-4DC1-B5E9-BD3FB278A59F}"/>
    <cellStyle name="20% - Accent1 2 2" xfId="22" xr:uid="{530BF38D-60C8-4A6B-915A-210EA2EEC9EB}"/>
    <cellStyle name="20% - Accent1 2 2 10" xfId="15395" xr:uid="{A20F2D1F-9C4E-4053-BB0B-B35C42B9AABF}"/>
    <cellStyle name="20% - Accent1 2 2 11" xfId="15396" xr:uid="{F378C706-3C6B-4305-A726-1D43A95B76F6}"/>
    <cellStyle name="20% - Accent1 2 2 12" xfId="15397" xr:uid="{901603F4-2154-4B2F-9005-E998CE0E9221}"/>
    <cellStyle name="20% - Accent1 2 2 13" xfId="15398" xr:uid="{4DE36775-39B9-48D3-969A-C64D8E9E12AD}"/>
    <cellStyle name="20% - Accent1 2 2 14" xfId="15399" xr:uid="{A7B851AA-0D98-471B-BE1C-EB5A8154D822}"/>
    <cellStyle name="20% - Accent1 2 2 2" xfId="23" xr:uid="{8B1B84D5-A08D-484C-A213-4595B4A3DD30}"/>
    <cellStyle name="20% - Accent1 2 2 3" xfId="24" xr:uid="{A65F24D7-1B7D-4668-8AF7-8DEB87C00CC5}"/>
    <cellStyle name="20% - Accent1 2 2 4" xfId="10824" xr:uid="{0246994D-2300-4790-A435-3C2DD8B18940}"/>
    <cellStyle name="20% - Accent1 2 2 5" xfId="11064" xr:uid="{B4F5CCCB-6C97-48C0-AF10-231A99708D27}"/>
    <cellStyle name="20% - Accent1 2 2 6" xfId="10482" xr:uid="{B176B951-6F03-42B4-9CFA-E82BCE596BCC}"/>
    <cellStyle name="20% - Accent1 2 2 7" xfId="15400" xr:uid="{91E2E235-27D4-40F1-AC07-380AC0F33687}"/>
    <cellStyle name="20% - Accent1 2 2 8" xfId="15401" xr:uid="{87E09780-455C-478D-9176-2290530412B6}"/>
    <cellStyle name="20% - Accent1 2 2 9" xfId="15402" xr:uid="{36075A9B-6B7E-4E3A-91B2-EF024E79EDDE}"/>
    <cellStyle name="20% - Accent1 2 20" xfId="23448" xr:uid="{D7E29EF5-2BAA-46BE-BB07-53B00DDE586C}"/>
    <cellStyle name="20% - Accent1 2 3" xfId="25" xr:uid="{D8BF9383-EEAE-4135-8919-07400147F722}"/>
    <cellStyle name="20% - Accent1 2 3 2" xfId="10623" xr:uid="{9659981A-35FC-4924-A0A8-1BB36FCA79C1}"/>
    <cellStyle name="20% - Accent1 2 3 3" xfId="10956" xr:uid="{3BB80E65-D765-4643-9D07-860FD91195BD}"/>
    <cellStyle name="20% - Accent1 2 3 4" xfId="10823" xr:uid="{03D86D7D-8B51-4E72-9C03-4C7421792448}"/>
    <cellStyle name="20% - Accent1 2 3 5" xfId="8760" xr:uid="{2D483B52-84F2-499B-8379-B4EBB16C5231}"/>
    <cellStyle name="20% - Accent1 2 3 6" xfId="10622" xr:uid="{E05DD6DE-F41C-4D8C-898E-7F24567F841C}"/>
    <cellStyle name="20% - Accent1 2 4" xfId="26" xr:uid="{7A041FA7-78B7-41EC-B791-DE5F63AE0E4F}"/>
    <cellStyle name="20% - Accent1 2 4 2" xfId="10955" xr:uid="{D5472FEB-D471-4084-94DF-755138715C7F}"/>
    <cellStyle name="20% - Accent1 2 4 3" xfId="10822" xr:uid="{C4ECB8BB-E65B-4F86-BE46-9F8124073340}"/>
    <cellStyle name="20% - Accent1 2 4 4" xfId="8759" xr:uid="{305868D6-2705-4F00-8E4A-5FC86DE5C0F3}"/>
    <cellStyle name="20% - Accent1 2 4 5" xfId="8758" xr:uid="{FE4E460E-320D-49D2-9AF0-4CD0FC8FBECF}"/>
    <cellStyle name="20% - Accent1 2 4 6" xfId="10821" xr:uid="{B2A27F48-23F7-42DF-9891-82F72EAF917D}"/>
    <cellStyle name="20% - Accent1 2 5" xfId="27" xr:uid="{178C2AEA-7D6C-4816-B746-357531A98DB9}"/>
    <cellStyle name="20% - Accent1 2 5 2" xfId="11063" xr:uid="{1E0029BD-7173-47B6-A811-7E3698E2F311}"/>
    <cellStyle name="20% - Accent1 2 5 3" xfId="10481" xr:uid="{D461373E-5E38-4AD3-8485-400DFA84D648}"/>
    <cellStyle name="20% - Accent1 2 5 4" xfId="11209" xr:uid="{F7229B4E-27B8-49C0-9C7C-955F8C183E2D}"/>
    <cellStyle name="20% - Accent1 2 5 5" xfId="11060" xr:uid="{2A29165F-585A-4AB7-80F4-243A5A3C08BC}"/>
    <cellStyle name="20% - Accent1 2 5 6" xfId="10820" xr:uid="{287FC5EC-82D3-4A15-AEFF-6CA50ED2BF83}"/>
    <cellStyle name="20% - Accent1 2 6" xfId="28" xr:uid="{7B2266DA-3DBB-494E-BB7D-4238AEFB8E21}"/>
    <cellStyle name="20% - Accent1 2 6 2" xfId="11062" xr:uid="{CF500DA9-C0AE-47BC-A0D7-DF39FD79307F}"/>
    <cellStyle name="20% - Accent1 2 6 3" xfId="10480" xr:uid="{152F6A8B-227D-4A4A-90FE-57753F2C6E87}"/>
    <cellStyle name="20% - Accent1 2 6 4" xfId="10819" xr:uid="{A1B0A934-5193-403A-AFF0-F37320CBF199}"/>
    <cellStyle name="20% - Accent1 2 6 5" xfId="11061" xr:uid="{1D93CF8D-BDC8-4E5A-AC2D-E78D7F3814BF}"/>
    <cellStyle name="20% - Accent1 2 6 6" xfId="10479" xr:uid="{7A345BD5-2695-43B7-9E48-5AC9A08D650D}"/>
    <cellStyle name="20% - Accent1 2 7" xfId="29" xr:uid="{58CAB864-AD88-4C1F-9620-70924511319B}"/>
    <cellStyle name="20% - Accent1 2 7 2" xfId="10478" xr:uid="{F508C5CF-FFCB-4292-97FA-B3367D24B2B0}"/>
    <cellStyle name="20% - Accent1 2 7 3" xfId="10620" xr:uid="{15F63446-AA5E-4238-A062-F0E8445B00C5}"/>
    <cellStyle name="20% - Accent1 2 7 4" xfId="10953" xr:uid="{5ED69CC4-005E-45B4-A385-BF83F36FCAE5}"/>
    <cellStyle name="20% - Accent1 2 7 5" xfId="10815" xr:uid="{AE434575-6AA0-4C8B-85CC-88AEB5121F16}"/>
    <cellStyle name="20% - Accent1 2 7 6" xfId="10818" xr:uid="{CA16256A-004F-4D61-9D77-BC576C759432}"/>
    <cellStyle name="20% - Accent1 2 8" xfId="30" xr:uid="{E9624E26-3D6A-490C-8A09-A0E746E745A6}"/>
    <cellStyle name="20% - Accent1 2 9" xfId="31" xr:uid="{C2B4D75F-45AD-4900-8776-691CD43D2E99}"/>
    <cellStyle name="20% - Accent1 20" xfId="32" xr:uid="{2139B232-3D5E-4BC1-87C8-DAFC76BE6E68}"/>
    <cellStyle name="20% - Accent1 20 2" xfId="16155" xr:uid="{4BF0335C-3F9B-4417-8692-FCABC531FC46}"/>
    <cellStyle name="20% - Accent1 21" xfId="16156" xr:uid="{47E7A16F-B126-4420-A9D6-56BBDBDC7741}"/>
    <cellStyle name="20% - Accent1 22" xfId="15141" xr:uid="{B5239BFF-0898-470D-8BDD-DD00FC1FC93F}"/>
    <cellStyle name="20% - Accent1 3" xfId="33" xr:uid="{9A295C9E-7954-463F-98E8-09A265247106}"/>
    <cellStyle name="20% - Accent1 3 10" xfId="34" xr:uid="{B75D8ECE-0E10-4E8C-8C02-9829DD11424A}"/>
    <cellStyle name="20% - Accent1 3 11" xfId="35" xr:uid="{8445392C-DF49-4BCD-B2EE-8D3A77D71AF0}"/>
    <cellStyle name="20% - Accent1 3 12" xfId="36" xr:uid="{AFBE385A-B062-4CCF-AE4D-CD74FA87A76D}"/>
    <cellStyle name="20% - Accent1 3 13" xfId="37" xr:uid="{5D5064CA-A8FE-472F-8FCC-D9E59717E74E}"/>
    <cellStyle name="20% - Accent1 3 14" xfId="38" xr:uid="{3AC5A00F-7965-4566-9BD3-307591971B06}"/>
    <cellStyle name="20% - Accent1 3 15" xfId="15403" xr:uid="{17976C32-1FE9-4519-B075-AF58F1373928}"/>
    <cellStyle name="20% - Accent1 3 2" xfId="39" xr:uid="{12157224-86AA-4F10-8CD5-3422C52F0801}"/>
    <cellStyle name="20% - Accent1 3 3" xfId="40" xr:uid="{33E08B40-573B-4B11-85D5-1C721D95477E}"/>
    <cellStyle name="20% - Accent1 3 4" xfId="41" xr:uid="{D487CF8D-8625-449B-8A0B-DBFBEAA1A88D}"/>
    <cellStyle name="20% - Accent1 3 5" xfId="42" xr:uid="{9CCBF22F-DE1F-4812-8FBF-2E45E68E91A0}"/>
    <cellStyle name="20% - Accent1 3 6" xfId="43" xr:uid="{259D8472-7DB1-4801-88FA-6C430459595A}"/>
    <cellStyle name="20% - Accent1 3 7" xfId="44" xr:uid="{4DF1D1F2-F122-4864-89AD-5DBB369237B0}"/>
    <cellStyle name="20% - Accent1 3 8" xfId="45" xr:uid="{8D874FE0-4FC3-429A-AE81-13D6B28215AB}"/>
    <cellStyle name="20% - Accent1 3 9" xfId="46" xr:uid="{CF754799-C783-4134-A56C-D6B14659DDFA}"/>
    <cellStyle name="20% - Accent1 4" xfId="47" xr:uid="{1AEEEDFA-C51E-4225-AB76-E063B5A85FBE}"/>
    <cellStyle name="20% - Accent1 4 10" xfId="15404" xr:uid="{6C5182AA-0742-4874-8C71-53C41C5F3E11}"/>
    <cellStyle name="20% - Accent1 4 11" xfId="15405" xr:uid="{AC255A48-BF7B-4D4A-A399-8C7EB9F36942}"/>
    <cellStyle name="20% - Accent1 4 12" xfId="15406" xr:uid="{0A2125DA-1CEF-4778-BFEF-79212B141F65}"/>
    <cellStyle name="20% - Accent1 4 13" xfId="15407" xr:uid="{9AFEDF6F-36AF-45BF-A7AF-A846C7A3429A}"/>
    <cellStyle name="20% - Accent1 4 14" xfId="15408" xr:uid="{452FA9FD-539D-4811-9469-74FB2E780BEC}"/>
    <cellStyle name="20% - Accent1 4 15" xfId="15409" xr:uid="{C8EE587C-BAD1-420F-A787-C9CF17AE5424}"/>
    <cellStyle name="20% - Accent1 4 2" xfId="48" xr:uid="{4486E011-1731-4DE1-8210-4E6DA7CF4E08}"/>
    <cellStyle name="20% - Accent1 4 3" xfId="49" xr:uid="{77343073-A5D7-48F2-B6EB-9D44D0845E37}"/>
    <cellStyle name="20% - Accent1 4 4" xfId="50" xr:uid="{2FB91CCF-35B8-4865-AE03-E1A6F256FA3E}"/>
    <cellStyle name="20% - Accent1 4 5" xfId="51" xr:uid="{2CC80D91-E732-4476-9389-E9CE1D295068}"/>
    <cellStyle name="20% - Accent1 4 6" xfId="52" xr:uid="{2DA110D5-3EA1-4434-AFBA-02EAAE7CBD73}"/>
    <cellStyle name="20% - Accent1 4 7" xfId="11059" xr:uid="{F5E78304-2EB8-4F77-8D1D-016FA9E35BF1}"/>
    <cellStyle name="20% - Accent1 4 8" xfId="10477" xr:uid="{6E59B5DF-DC91-4A4B-825F-C5A888A0A628}"/>
    <cellStyle name="20% - Accent1 4 9" xfId="10817" xr:uid="{AD42C249-296C-4927-9279-620AF9E78E9D}"/>
    <cellStyle name="20% - Accent1 5" xfId="53" xr:uid="{171C8692-5C39-46EB-BEBB-54A82C3067C0}"/>
    <cellStyle name="20% - Accent1 5 10" xfId="15410" xr:uid="{BD1949E6-722B-4B44-9CCE-AF3C649852F2}"/>
    <cellStyle name="20% - Accent1 5 11" xfId="15411" xr:uid="{35D4B7C6-2AAD-4F7C-A780-C0E9EE526DAF}"/>
    <cellStyle name="20% - Accent1 5 12" xfId="15412" xr:uid="{4F5F2EC8-FE57-4A33-B491-AA2600FEA375}"/>
    <cellStyle name="20% - Accent1 5 13" xfId="15413" xr:uid="{3FA7E56E-1451-4A7F-AB2B-3BDFBB40FD1F}"/>
    <cellStyle name="20% - Accent1 5 14" xfId="15414" xr:uid="{D79120FD-B386-437B-82F1-39FD1C0DCF62}"/>
    <cellStyle name="20% - Accent1 5 15" xfId="15415" xr:uid="{314BC943-DF5D-4C29-8CA5-C42C2C3A2194}"/>
    <cellStyle name="20% - Accent1 5 2" xfId="54" xr:uid="{BF0A5347-A9E4-4E83-A00D-ED8663334DC7}"/>
    <cellStyle name="20% - Accent1 5 3" xfId="55" xr:uid="{6D91925A-8669-4271-ABD9-EFA6DA7CF7B5}"/>
    <cellStyle name="20% - Accent1 5 4" xfId="56" xr:uid="{D355168C-D47C-4C6C-BBA1-C6FDAF7EBDA9}"/>
    <cellStyle name="20% - Accent1 5 5" xfId="57" xr:uid="{81A47095-781C-4ED5-AEB6-2DCE5163B8F6}"/>
    <cellStyle name="20% - Accent1 5 6" xfId="58" xr:uid="{6A504106-1A8A-446D-A042-1AEBD460C183}"/>
    <cellStyle name="20% - Accent1 5 7" xfId="11058" xr:uid="{CB7B56CA-0D85-4041-B7EA-B77E661765F6}"/>
    <cellStyle name="20% - Accent1 5 8" xfId="10476" xr:uid="{413E7863-0FDE-4C58-BD9A-1AD30B69A1EB}"/>
    <cellStyle name="20% - Accent1 5 9" xfId="10816" xr:uid="{28561F60-1C3D-4BCF-8783-FC691E1C003E}"/>
    <cellStyle name="20% - Accent1 6" xfId="59" xr:uid="{68FA19E4-B460-42E1-A438-512470B9F4DE}"/>
    <cellStyle name="20% - Accent1 6 2" xfId="60" xr:uid="{6625D6FE-4DA2-478E-9A05-377F15285BAA}"/>
    <cellStyle name="20% - Accent1 6 3" xfId="61" xr:uid="{9B15D930-7D34-4A89-AF61-47ED908EED4F}"/>
    <cellStyle name="20% - Accent1 6 4" xfId="11057" xr:uid="{112F8F87-1C42-4354-810E-F4F31C18A568}"/>
    <cellStyle name="20% - Accent1 6 5" xfId="10475" xr:uid="{44B51CDE-C19E-4BD5-9998-D21CB2979751}"/>
    <cellStyle name="20% - Accent1 6 6" xfId="8757" xr:uid="{241F6582-31DD-4FF5-A162-AC025F5AD2F2}"/>
    <cellStyle name="20% - Accent1 7" xfId="62" xr:uid="{729FE742-B22F-4135-A8E0-43C7C9E1A610}"/>
    <cellStyle name="20% - Accent1 7 2" xfId="63" xr:uid="{D84D6693-2D0A-4F27-9CC4-417EAA5FB6E7}"/>
    <cellStyle name="20% - Accent1 7 3" xfId="64" xr:uid="{0E232637-216F-43AA-AB9F-E0D86F47323B}"/>
    <cellStyle name="20% - Accent1 7 4" xfId="10618" xr:uid="{A2DE1CA5-9ABF-4F6A-AB24-78A1F3BA256D}"/>
    <cellStyle name="20% - Accent1 7 5" xfId="10951" xr:uid="{EF4188EB-E0F5-4E6E-AD9B-DA1FD6BA76C3}"/>
    <cellStyle name="20% - Accent1 7 6" xfId="10813" xr:uid="{8DA893A5-DB86-4DCE-B1DE-A2C5FB30AA74}"/>
    <cellStyle name="20% - Accent1 8" xfId="65" xr:uid="{8B73C614-5D7F-4D2D-BC14-68B7755DDE46}"/>
    <cellStyle name="20% - Accent1 8 2" xfId="66" xr:uid="{3D2CCD8C-2F36-44DC-B1E2-0B658429512B}"/>
    <cellStyle name="20% - Accent1 8 3" xfId="67" xr:uid="{18AE7155-0A24-408B-AB88-72F5AD22AEE7}"/>
    <cellStyle name="20% - Accent1 8 4" xfId="10619" xr:uid="{A1BB0F64-818A-4650-98E1-60DC49CF6CF9}"/>
    <cellStyle name="20% - Accent1 8 5" xfId="10952" xr:uid="{A10BAE44-DE37-495B-9D30-EBD4501BD7C5}"/>
    <cellStyle name="20% - Accent1 8 6" xfId="10814" xr:uid="{31A8EF0E-88DC-45DF-B3EF-202C8CE826A3}"/>
    <cellStyle name="20% - Accent1 9" xfId="68" xr:uid="{6F8DAEDE-3F7B-4191-89A4-9AEEC1646283}"/>
    <cellStyle name="20% - Accent1 9 2" xfId="69" xr:uid="{7BC6A614-DE67-4EDD-8311-5C2594F5F7F7}"/>
    <cellStyle name="20% - Accent1 9 3" xfId="8756" xr:uid="{88DDEDDA-DB34-453B-A4C9-E4AE68379A57}"/>
    <cellStyle name="20% - Accent1 9 4" xfId="8755" xr:uid="{603F802B-C7B4-41D3-9902-37747643AF28}"/>
    <cellStyle name="20% - Accent1 9 5" xfId="10617" xr:uid="{667E8DCA-35A4-4DAF-876F-1C5176C2B999}"/>
    <cellStyle name="20% - Accent1 9 6" xfId="10950" xr:uid="{A52B4098-1D29-49C6-A5A9-B755C490D3B1}"/>
    <cellStyle name="20% - Accent2 10" xfId="70" xr:uid="{A5FB2460-589D-4A16-9E16-9DDD59D04CA8}"/>
    <cellStyle name="20% - Accent2 10 2" xfId="71" xr:uid="{8441FD85-2072-4E1A-BFE0-08667AE61323}"/>
    <cellStyle name="20% - Accent2 10 3" xfId="10812" xr:uid="{7469281D-1860-46C4-A2BB-58E58BA69009}"/>
    <cellStyle name="20% - Accent2 10 4" xfId="8754" xr:uid="{4687B2B4-E677-4A19-A599-8238130C2E4C}"/>
    <cellStyle name="20% - Accent2 10 5" xfId="11208" xr:uid="{8277F4E9-D134-49D4-A85D-47DE42D15409}"/>
    <cellStyle name="20% - Accent2 10 6" xfId="10946" xr:uid="{63031C4F-4363-4CD3-A14B-93D5AA9C0D0B}"/>
    <cellStyle name="20% - Accent2 11" xfId="72" xr:uid="{93C605F4-0189-4A5F-9163-77674CD8E8AA}"/>
    <cellStyle name="20% - Accent2 11 2" xfId="10808" xr:uid="{F16EEF62-3FC0-4705-B0A9-54428C1D717B}"/>
    <cellStyle name="20% - Accent2 12" xfId="73" xr:uid="{9BD027F4-0EA8-4B15-93C2-71118CA2B520}"/>
    <cellStyle name="20% - Accent2 12 2" xfId="11056" xr:uid="{02F7DB95-32DE-4A37-9555-BB07AA3ACD12}"/>
    <cellStyle name="20% - Accent2 13" xfId="74" xr:uid="{DAB83A98-71B8-422F-AFE9-E6EB82226CD6}"/>
    <cellStyle name="20% - Accent2 13 2" xfId="9395" xr:uid="{F702D9F9-4E6F-4F50-AA03-6A04E66A61B9}"/>
    <cellStyle name="20% - Accent2 14" xfId="75" xr:uid="{D418BAEA-B431-4D26-84FD-B9B79FE379C3}"/>
    <cellStyle name="20% - Accent2 14 2" xfId="9394" xr:uid="{17A0721F-6AB4-4DBD-BFC1-64916CC1B320}"/>
    <cellStyle name="20% - Accent2 15" xfId="76" xr:uid="{F5DA2FE5-F121-464D-ABAC-873A3DD4AF99}"/>
    <cellStyle name="20% - Accent2 15 2" xfId="16157" xr:uid="{2E9F36ED-2713-459D-BDE4-A3974FAE12BE}"/>
    <cellStyle name="20% - Accent2 16" xfId="77" xr:uid="{FECE411F-15B0-40FF-9756-A88F203495C8}"/>
    <cellStyle name="20% - Accent2 16 2" xfId="16158" xr:uid="{3966669F-48D0-4EBF-BB0E-DBF6C83161CD}"/>
    <cellStyle name="20% - Accent2 17" xfId="78" xr:uid="{EA5107E1-CFDB-46D2-A1A8-E51CF5A866EE}"/>
    <cellStyle name="20% - Accent2 17 2" xfId="16159" xr:uid="{21BE9BB1-11F4-4D7E-B0FF-68D569EE1C06}"/>
    <cellStyle name="20% - Accent2 18" xfId="79" xr:uid="{1859F5A7-8BBE-4620-BC10-BA3703D20A89}"/>
    <cellStyle name="20% - Accent2 18 2" xfId="16160" xr:uid="{E7B81607-E9B3-478C-96C3-2419EE8B9C62}"/>
    <cellStyle name="20% - Accent2 19" xfId="80" xr:uid="{9A013953-C860-4D3E-82EB-088C7F437CB9}"/>
    <cellStyle name="20% - Accent2 19 2" xfId="16161" xr:uid="{46AC287D-20E4-423D-AA5C-DC42F9CD765A}"/>
    <cellStyle name="20% - Accent2 2" xfId="81" xr:uid="{361DB586-6852-4426-AED3-6C89BE937830}"/>
    <cellStyle name="20% - Accent2 2 10" xfId="9393" xr:uid="{4E58E61D-792C-4E31-A24A-651E59F47769}"/>
    <cellStyle name="20% - Accent2 2 11" xfId="11055" xr:uid="{0A080472-CE0E-4192-9AAF-AFAFC2F093CC}"/>
    <cellStyle name="20% - Accent2 2 12" xfId="10474" xr:uid="{17C02078-BE48-492C-9605-6978B86B39DB}"/>
    <cellStyle name="20% - Accent2 2 13" xfId="10616" xr:uid="{996F0F53-819C-46B8-8985-ADA134F87D63}"/>
    <cellStyle name="20% - Accent2 2 14" xfId="10949" xr:uid="{A5C2CA3B-B9C7-41B6-BA24-AE6D8E9AF618}"/>
    <cellStyle name="20% - Accent2 2 15" xfId="10811" xr:uid="{D014EC57-871B-49D0-B35F-B1D3E5A4FB0A}"/>
    <cellStyle name="20% - Accent2 2 16" xfId="15416" xr:uid="{9D8AAB04-8BA4-4805-A7D1-F90812CFECCB}"/>
    <cellStyle name="20% - Accent2 2 17" xfId="15417" xr:uid="{EBC371AF-9A57-40C1-8349-561009B09FBB}"/>
    <cellStyle name="20% - Accent2 2 18" xfId="15418" xr:uid="{9AB1BFDC-28BC-4373-9512-BAB409CA8ED7}"/>
    <cellStyle name="20% - Accent2 2 19" xfId="15419" xr:uid="{EFD1EB66-E4EB-400B-823B-996E4F61A3A8}"/>
    <cellStyle name="20% - Accent2 2 2" xfId="82" xr:uid="{D5B2F2DE-2A69-406C-BCF5-C99564009BBC}"/>
    <cellStyle name="20% - Accent2 2 2 10" xfId="15420" xr:uid="{01792CEC-DBEA-432D-9B39-193095FB6098}"/>
    <cellStyle name="20% - Accent2 2 2 11" xfId="15421" xr:uid="{B94C86C0-92C0-4EC0-B3B6-8A709E6767D2}"/>
    <cellStyle name="20% - Accent2 2 2 12" xfId="15422" xr:uid="{E4555A6D-8BB5-4DF1-98C5-103B53AFAB5B}"/>
    <cellStyle name="20% - Accent2 2 2 13" xfId="15423" xr:uid="{9C4FA301-38FA-4779-9056-452A29C338B3}"/>
    <cellStyle name="20% - Accent2 2 2 14" xfId="15424" xr:uid="{D413BDAA-846D-49CC-89F7-552138302843}"/>
    <cellStyle name="20% - Accent2 2 2 2" xfId="83" xr:uid="{A43CD10E-CE72-47A4-B3A8-02793E36C3BC}"/>
    <cellStyle name="20% - Accent2 2 2 3" xfId="84" xr:uid="{2B237201-0117-47A6-89AD-1FBC97D9039D}"/>
    <cellStyle name="20% - Accent2 2 2 4" xfId="8753" xr:uid="{F5EFB85E-A6FB-4725-BF48-5F11E06E72A5}"/>
    <cellStyle name="20% - Accent2 2 2 5" xfId="10614" xr:uid="{FAE40D99-15DA-4BA3-B74C-C2E50F32703D}"/>
    <cellStyle name="20% - Accent2 2 2 6" xfId="10947" xr:uid="{560C0CF3-08F8-4310-B3B0-4E0E0BFE271A}"/>
    <cellStyle name="20% - Accent2 2 2 7" xfId="15425" xr:uid="{336CE548-487D-4EDE-A27E-F1F740900EC8}"/>
    <cellStyle name="20% - Accent2 2 2 8" xfId="15426" xr:uid="{7AF75A23-8AEB-48A6-A043-3C9BB002F2C9}"/>
    <cellStyle name="20% - Accent2 2 2 9" xfId="15427" xr:uid="{39B82C3C-F3E5-4F5F-AD6E-9303A6845E48}"/>
    <cellStyle name="20% - Accent2 2 20" xfId="23449" xr:uid="{C89AAFD8-5BA2-46C8-B9E3-565E9A6E3F4E}"/>
    <cellStyle name="20% - Accent2 2 3" xfId="85" xr:uid="{1321EF55-435E-46BC-A9DC-AC73096DB36C}"/>
    <cellStyle name="20% - Accent2 2 3 2" xfId="10809" xr:uid="{F9DF6FBA-2F8E-4A05-A82F-ED6782159DB2}"/>
    <cellStyle name="20% - Accent2 2 3 3" xfId="10615" xr:uid="{78BFFD7C-3312-4404-827D-AD1EF1097333}"/>
    <cellStyle name="20% - Accent2 2 3 4" xfId="10948" xr:uid="{6A1DE813-BF26-49F4-93AB-FA519A4C58ED}"/>
    <cellStyle name="20% - Accent2 2 3 5" xfId="10810" xr:uid="{0DB8E9C3-2E0D-44F5-9B2C-5B21072D651C}"/>
    <cellStyle name="20% - Accent2 2 3 6" xfId="8752" xr:uid="{1F2309BE-14D8-4DF8-9719-5F2BD8133F93}"/>
    <cellStyle name="20% - Accent2 2 4" xfId="86" xr:uid="{9486CA33-E05C-42BB-9535-801DE5E85710}"/>
    <cellStyle name="20% - Accent2 2 4 2" xfId="8751" xr:uid="{DD4246A1-A468-4750-89C7-9FF38A0364AA}"/>
    <cellStyle name="20% - Accent2 2 4 3" xfId="8750" xr:uid="{6B8B7181-59A8-4033-8A73-69997444C26D}"/>
    <cellStyle name="20% - Accent2 2 4 4" xfId="10613" xr:uid="{1209EEBF-079C-4A9E-8517-001EDFA01A07}"/>
    <cellStyle name="20% - Accent2 2 4 5" xfId="10945" xr:uid="{73C16AD5-D88B-43B4-8EBA-3953022513E3}"/>
    <cellStyle name="20% - Accent2 2 4 6" xfId="10807" xr:uid="{F941144E-7511-47FE-AA2E-F5761F166F49}"/>
    <cellStyle name="20% - Accent2 2 5" xfId="87" xr:uid="{7E9B5B51-95C9-4121-8AF9-1901A314B324}"/>
    <cellStyle name="20% - Accent2 2 5 2" xfId="8749" xr:uid="{B85DD681-B396-4147-BA3A-C8B0A925AC0D}"/>
    <cellStyle name="20% - Accent2 2 5 3" xfId="10612" xr:uid="{D102373B-2799-4A3C-8568-25E5B596774F}"/>
    <cellStyle name="20% - Accent2 2 5 4" xfId="10944" xr:uid="{A6097997-1F17-4E5C-B479-93C6B56B3C6F}"/>
    <cellStyle name="20% - Accent2 2 5 5" xfId="10805" xr:uid="{04486B92-D2E3-4E99-928B-6DDFE43CF931}"/>
    <cellStyle name="20% - Accent2 2 5 6" xfId="10806" xr:uid="{54B4FE90-5A09-45E7-9A6B-0EBD801DE1F3}"/>
    <cellStyle name="20% - Accent2 2 6" xfId="88" xr:uid="{C9CA9DA0-DDBE-4FCA-9E33-B4F6AF41CCEB}"/>
    <cellStyle name="20% - Accent2 2 6 2" xfId="11054" xr:uid="{39AE59E2-59FC-4CC2-B02D-62A13076EF8C}"/>
    <cellStyle name="20% - Accent2 2 6 3" xfId="10473" xr:uid="{F0F37372-2045-417D-8062-909867423867}"/>
    <cellStyle name="20% - Accent2 2 6 4" xfId="8748" xr:uid="{9DB23A9E-FAA7-44D8-A6E6-53C340FFB56B}"/>
    <cellStyle name="20% - Accent2 2 6 5" xfId="10611" xr:uid="{311B3FC7-8321-4BD7-9F3C-2252C096A246}"/>
    <cellStyle name="20% - Accent2 2 6 6" xfId="10802" xr:uid="{E50E35D4-6F7D-4549-9DD9-4AD823E509CC}"/>
    <cellStyle name="20% - Accent2 2 7" xfId="89" xr:uid="{63859229-BDC4-4D6B-AA80-812D321D9B18}"/>
    <cellStyle name="20% - Accent2 2 7 2" xfId="11053" xr:uid="{6CEDD581-C365-4288-BC5F-6CB09B7D85EE}"/>
    <cellStyle name="20% - Accent2 2 7 3" xfId="10469" xr:uid="{64C83A38-C8E0-403F-B02C-41412A8C8508}"/>
    <cellStyle name="20% - Accent2 2 7 4" xfId="11207" xr:uid="{4847FD61-87D2-4BF3-A748-F159FD76E325}"/>
    <cellStyle name="20% - Accent2 2 7 5" xfId="11052" xr:uid="{B548207C-459D-4F17-9BDC-78A715088085}"/>
    <cellStyle name="20% - Accent2 2 7 6" xfId="10472" xr:uid="{5478D131-D5C7-4F63-88B4-3C2A758C9DAF}"/>
    <cellStyle name="20% - Accent2 2 8" xfId="90" xr:uid="{06C1C52B-62E9-40C0-BDBC-F17D2B402D49}"/>
    <cellStyle name="20% - Accent2 2 9" xfId="91" xr:uid="{417EFAC9-77B9-4817-9B92-E1937D803327}"/>
    <cellStyle name="20% - Accent2 20" xfId="92" xr:uid="{4C22E25A-637F-4318-A303-54668554DCBE}"/>
    <cellStyle name="20% - Accent2 20 2" xfId="16162" xr:uid="{92555663-2F4D-4D6F-AE70-F567D4E595C9}"/>
    <cellStyle name="20% - Accent2 21" xfId="16163" xr:uid="{D3A71A5D-51F0-4449-AD73-1A66FFE301E6}"/>
    <cellStyle name="20% - Accent2 22" xfId="15142" xr:uid="{5ADD0356-D9BB-45A7-A85E-4E3DB398B07A}"/>
    <cellStyle name="20% - Accent2 3" xfId="93" xr:uid="{41F7B039-ED32-4A16-B5FA-16D20F869EE1}"/>
    <cellStyle name="20% - Accent2 3 10" xfId="94" xr:uid="{0041D23C-161E-4938-9387-7D19F48D320D}"/>
    <cellStyle name="20% - Accent2 3 11" xfId="95" xr:uid="{53E7390B-055A-4C10-BA64-8086ACC176F0}"/>
    <cellStyle name="20% - Accent2 3 12" xfId="96" xr:uid="{1C19ABE1-98F2-489C-B612-E06573CFFB03}"/>
    <cellStyle name="20% - Accent2 3 13" xfId="97" xr:uid="{6AB8100A-6939-4AEC-80C0-44C0946443AF}"/>
    <cellStyle name="20% - Accent2 3 14" xfId="98" xr:uid="{EA734B5D-3B0B-4787-A62A-757AED63D548}"/>
    <cellStyle name="20% - Accent2 3 15" xfId="15428" xr:uid="{86F32BAA-2231-4DF5-8C0D-D67278B74265}"/>
    <cellStyle name="20% - Accent2 3 2" xfId="99" xr:uid="{42B087DA-DCDB-4E5F-A6C1-90EA188BDE44}"/>
    <cellStyle name="20% - Accent2 3 3" xfId="100" xr:uid="{8EB2739B-EB76-409A-B7F6-38ACA08574FA}"/>
    <cellStyle name="20% - Accent2 3 4" xfId="101" xr:uid="{13037CD5-3806-4F17-8A9B-B61332D7CE85}"/>
    <cellStyle name="20% - Accent2 3 5" xfId="102" xr:uid="{D2CB42C9-984C-44F0-A3D1-16EC57DB4C8B}"/>
    <cellStyle name="20% - Accent2 3 6" xfId="103" xr:uid="{BDBC630E-F858-4B34-99BB-3B9C7258CBD1}"/>
    <cellStyle name="20% - Accent2 3 7" xfId="104" xr:uid="{1EB6A76C-39D0-4DA2-B61A-D3D4B1250370}"/>
    <cellStyle name="20% - Accent2 3 8" xfId="105" xr:uid="{CFE10125-475F-40EC-B677-B65E8DFB5CAC}"/>
    <cellStyle name="20% - Accent2 3 9" xfId="106" xr:uid="{1AE6954D-ABFF-48DD-8289-B11BDFB23051}"/>
    <cellStyle name="20% - Accent2 4" xfId="107" xr:uid="{F826F855-72DA-4B14-9F15-77BDF7065621}"/>
    <cellStyle name="20% - Accent2 4 10" xfId="15429" xr:uid="{68D70BFF-C7E7-4107-8881-F5795D5EFDD4}"/>
    <cellStyle name="20% - Accent2 4 11" xfId="15430" xr:uid="{F9C994EB-1D5D-4520-82EF-3DB2F232F807}"/>
    <cellStyle name="20% - Accent2 4 12" xfId="15431" xr:uid="{0C260C38-EA3F-41E3-B49C-57D28308C5B0}"/>
    <cellStyle name="20% - Accent2 4 13" xfId="15432" xr:uid="{E927E89B-3CB7-42A5-BB66-46A7B2CB0098}"/>
    <cellStyle name="20% - Accent2 4 14" xfId="15433" xr:uid="{52666ABA-1C4C-4D01-97E7-4FA07055C13D}"/>
    <cellStyle name="20% - Accent2 4 15" xfId="15434" xr:uid="{7ADE06A0-60CC-42B7-B510-CCD7F096DC30}"/>
    <cellStyle name="20% - Accent2 4 2" xfId="108" xr:uid="{318994FE-D71D-4666-B456-A8F0F0203112}"/>
    <cellStyle name="20% - Accent2 4 3" xfId="109" xr:uid="{F26EB797-897E-4BC5-AB0B-84C308DF327D}"/>
    <cellStyle name="20% - Accent2 4 4" xfId="110" xr:uid="{6B677A51-1447-4FF8-88CC-BC74B7A9E1C6}"/>
    <cellStyle name="20% - Accent2 4 5" xfId="111" xr:uid="{C4B13529-7C15-4690-BB37-D372C1E7A4C0}"/>
    <cellStyle name="20% - Accent2 4 6" xfId="112" xr:uid="{98113F43-C68D-4E12-8B31-724B067F9872}"/>
    <cellStyle name="20% - Accent2 4 7" xfId="10804" xr:uid="{8751837D-2A02-4275-A4B9-226CEAD456C1}"/>
    <cellStyle name="20% - Accent2 4 8" xfId="11051" xr:uid="{7471580D-7289-45A6-9A73-58BF2A43D11B}"/>
    <cellStyle name="20% - Accent2 4 9" xfId="10471" xr:uid="{D722054D-EFCC-477C-A861-11E692338E8D}"/>
    <cellStyle name="20% - Accent2 5" xfId="113" xr:uid="{15F32014-6B14-4535-80CE-DCA57BA976E6}"/>
    <cellStyle name="20% - Accent2 5 10" xfId="15435" xr:uid="{4A8C2CE4-CA25-4744-ADAC-D2DB25DBF746}"/>
    <cellStyle name="20% - Accent2 5 11" xfId="15436" xr:uid="{B9333B60-1EEF-4AA7-95D2-E9C4A15DC5BA}"/>
    <cellStyle name="20% - Accent2 5 12" xfId="15437" xr:uid="{531A4B6A-32D8-47C5-A466-3EDA80D9BE74}"/>
    <cellStyle name="20% - Accent2 5 13" xfId="15438" xr:uid="{5607E19B-7833-43DB-9055-9DB7EA307CF9}"/>
    <cellStyle name="20% - Accent2 5 14" xfId="15439" xr:uid="{286B3DC1-21A6-41F5-BF7D-A12D796F010D}"/>
    <cellStyle name="20% - Accent2 5 15" xfId="15440" xr:uid="{C11F098B-0804-40F1-9A44-6CE5BB8332BE}"/>
    <cellStyle name="20% - Accent2 5 2" xfId="114" xr:uid="{F3B31F0D-7385-4C4B-9C0F-E7E921AC07F3}"/>
    <cellStyle name="20% - Accent2 5 3" xfId="115" xr:uid="{FE6938F2-BDA5-4629-8A8D-0D74FF7CA355}"/>
    <cellStyle name="20% - Accent2 5 4" xfId="116" xr:uid="{2001427A-45A2-4D7A-AA83-3063F354C703}"/>
    <cellStyle name="20% - Accent2 5 5" xfId="117" xr:uid="{0337ED07-EF1E-4D21-B1FF-CF104CB38AD8}"/>
    <cellStyle name="20% - Accent2 5 6" xfId="118" xr:uid="{8DFE225E-1D9F-4DE4-B0A2-224E70BF16F9}"/>
    <cellStyle name="20% - Accent2 5 7" xfId="10803" xr:uid="{7C14E726-9AB9-4598-B8B5-7595D0293267}"/>
    <cellStyle name="20% - Accent2 5 8" xfId="11050" xr:uid="{139B9CA7-6EE7-4C70-8FDF-134DAC15C4D8}"/>
    <cellStyle name="20% - Accent2 5 9" xfId="10470" xr:uid="{BFDC9C69-A815-46EA-A376-969A26BF85C4}"/>
    <cellStyle name="20% - Accent2 6" xfId="119" xr:uid="{79624123-4648-4019-B031-023F8EFA9F31}"/>
    <cellStyle name="20% - Accent2 6 2" xfId="120" xr:uid="{721FC3F1-1DB0-476F-B962-1B8098A31F83}"/>
    <cellStyle name="20% - Accent2 6 3" xfId="121" xr:uid="{1E39095A-AF1E-4FAA-B445-8216E1898434}"/>
    <cellStyle name="20% - Accent2 6 4" xfId="8747" xr:uid="{63FE1DCC-E14A-435E-9FDA-FD47C35E8EE6}"/>
    <cellStyle name="20% - Accent2 6 5" xfId="10608" xr:uid="{559C1636-4A09-46DD-8D59-8CF2EDC243E1}"/>
    <cellStyle name="20% - Accent2 6 6" xfId="10941" xr:uid="{E7678637-0AFC-438D-A796-EA06D0918855}"/>
    <cellStyle name="20% - Accent2 7" xfId="122" xr:uid="{8FB87E0B-7FBC-44DC-9EF3-A732785A5891}"/>
    <cellStyle name="20% - Accent2 7 2" xfId="123" xr:uid="{8DD19BE2-AA93-48C8-95B0-BBD61102DAE4}"/>
    <cellStyle name="20% - Accent2 7 3" xfId="124" xr:uid="{882B5F47-8550-4F3D-8C39-8A6933562DAC}"/>
    <cellStyle name="20% - Accent2 7 4" xfId="10797" xr:uid="{CB547CE6-9B51-4875-8497-6EC54D854B77}"/>
    <cellStyle name="20% - Accent2 7 5" xfId="10801" xr:uid="{6623F365-E1B3-471D-818D-F782DF950932}"/>
    <cellStyle name="20% - Accent2 7 6" xfId="11049" xr:uid="{6D040724-18A0-4EEB-B441-B2BEB064DD74}"/>
    <cellStyle name="20% - Accent2 8" xfId="125" xr:uid="{70F6DDBE-C3C3-454C-8725-FDECB90C7504}"/>
    <cellStyle name="20% - Accent2 8 2" xfId="126" xr:uid="{4ED47311-9607-416A-A703-2CFCE2307102}"/>
    <cellStyle name="20% - Accent2 8 3" xfId="127" xr:uid="{43E4B125-53D0-4EEE-97AA-F83EFB8F5D55}"/>
    <cellStyle name="20% - Accent2 8 4" xfId="10468" xr:uid="{9E104A3D-66E3-4A01-9B67-EFD40A3AC334}"/>
    <cellStyle name="20% - Accent2 8 5" xfId="10800" xr:uid="{4A6091B0-6BC7-422D-9ED6-4C3557BDFF1B}"/>
    <cellStyle name="20% - Accent2 8 6" xfId="11048" xr:uid="{DB251960-4FF3-4C4B-9CDA-1DCC6C85E82D}"/>
    <cellStyle name="20% - Accent2 9" xfId="128" xr:uid="{9D431C2C-E360-420F-A226-6F9668BC91B1}"/>
    <cellStyle name="20% - Accent2 9 2" xfId="129" xr:uid="{D621EF67-62DA-4731-940F-6E833F530B12}"/>
    <cellStyle name="20% - Accent2 9 3" xfId="10467" xr:uid="{723FBE00-058C-43F9-9880-3FE1EE59D176}"/>
    <cellStyle name="20% - Accent2 9 4" xfId="10799" xr:uid="{3EA94B58-7296-45C9-9962-BAEBFDEE5A19}"/>
    <cellStyle name="20% - Accent2 9 5" xfId="11047" xr:uid="{826C06CF-DB27-4DB4-B5DF-76E3E6B858DD}"/>
    <cellStyle name="20% - Accent2 9 6" xfId="10466" xr:uid="{A31F6E96-A3F7-45EB-8A20-87A6CBF579EC}"/>
    <cellStyle name="20% - Accent3 10" xfId="130" xr:uid="{6CB59FC7-748D-4C3E-AFC4-37A9110D5F2E}"/>
    <cellStyle name="20% - Accent3 10 2" xfId="131" xr:uid="{58EBA6D7-E78A-4CCD-A53E-4F202FC2D40B}"/>
    <cellStyle name="20% - Accent3 10 3" xfId="10610" xr:uid="{A80344F7-FE98-46E2-A3D3-EE1A41A7547E}"/>
    <cellStyle name="20% - Accent3 10 4" xfId="10943" xr:uid="{0069133A-4100-4705-81DB-0F245A63F6F4}"/>
    <cellStyle name="20% - Accent3 10 5" xfId="10798" xr:uid="{98EB08E5-2C0A-467A-84C8-2CDCB209A148}"/>
    <cellStyle name="20% - Accent3 10 6" xfId="8746" xr:uid="{6EF3BC04-26C5-41D1-811E-068D70E5CAEA}"/>
    <cellStyle name="20% - Accent3 11" xfId="132" xr:uid="{F5E1A585-16D2-4FB2-B2E7-08AC3C83A2F0}"/>
    <cellStyle name="20% - Accent3 11 2" xfId="10609" xr:uid="{C3B02A11-5C07-4037-A2E4-13463705140F}"/>
    <cellStyle name="20% - Accent3 12" xfId="133" xr:uid="{C752AB33-A101-43DE-AB78-14B3534C1C2D}"/>
    <cellStyle name="20% - Accent3 12 2" xfId="10942" xr:uid="{A5193267-486E-4E1E-8D40-5FCBF8675518}"/>
    <cellStyle name="20% - Accent3 13" xfId="134" xr:uid="{82D1333A-3BA6-4C45-BB24-0284460D9B11}"/>
    <cellStyle name="20% - Accent3 13 2" xfId="9386" xr:uid="{05ADAD1A-1FF3-4717-8B32-734782C07DA4}"/>
    <cellStyle name="20% - Accent3 14" xfId="135" xr:uid="{788600F9-DAB6-4348-BF6F-880021091BEC}"/>
    <cellStyle name="20% - Accent3 14 2" xfId="9385" xr:uid="{7CFC8CBA-3AAC-44C8-B0DF-8171FE9261F3}"/>
    <cellStyle name="20% - Accent3 15" xfId="136" xr:uid="{4999EBC3-49AA-438B-A222-3D4DB86C5798}"/>
    <cellStyle name="20% - Accent3 15 2" xfId="16164" xr:uid="{6ED60ECD-8C00-4032-B2FF-99AD83709A33}"/>
    <cellStyle name="20% - Accent3 16" xfId="137" xr:uid="{079E6F89-4B2B-491B-BF2A-9DD562346B4F}"/>
    <cellStyle name="20% - Accent3 16 2" xfId="16165" xr:uid="{BF13BC07-67B2-4102-9183-CBA9A5CD305D}"/>
    <cellStyle name="20% - Accent3 17" xfId="138" xr:uid="{C0AA8B18-2B78-466D-8543-9F56A6630207}"/>
    <cellStyle name="20% - Accent3 17 2" xfId="16166" xr:uid="{FD12641E-2AE2-4DB3-B73F-DD91FC252E4D}"/>
    <cellStyle name="20% - Accent3 18" xfId="139" xr:uid="{9D59EEF4-E7A4-451D-890A-82FF623378D3}"/>
    <cellStyle name="20% - Accent3 18 2" xfId="16167" xr:uid="{E5095A7E-C4CE-49B1-A755-AF6237BA7A47}"/>
    <cellStyle name="20% - Accent3 19" xfId="140" xr:uid="{AB2EBC16-EEC8-4616-8960-0415A9742B8D}"/>
    <cellStyle name="20% - Accent3 19 2" xfId="16168" xr:uid="{BEA6135B-B0BD-4493-B294-24C4972079DE}"/>
    <cellStyle name="20% - Accent3 2" xfId="141" xr:uid="{977B0394-A288-4295-8B08-B25569A878EB}"/>
    <cellStyle name="20% - Accent3 2 10" xfId="9384" xr:uid="{A41D322C-0FF8-4B64-9ECC-85EDC6B21E39}"/>
    <cellStyle name="20% - Accent3 2 11" xfId="8745" xr:uid="{0421DCDD-4F66-470D-A1EF-862BD09FCEEE}"/>
    <cellStyle name="20% - Accent3 2 12" xfId="10605" xr:uid="{4AA0729E-9D7B-44E3-B29B-87037E62AF24}"/>
    <cellStyle name="20% - Accent3 2 13" xfId="10938" xr:uid="{A3B3740E-25F5-463A-AF68-F18B3C4B0188}"/>
    <cellStyle name="20% - Accent3 2 14" xfId="10791" xr:uid="{CDAF82BA-9DEC-4E02-A1E9-79D003E48704}"/>
    <cellStyle name="20% - Accent3 2 15" xfId="10796" xr:uid="{229FDD58-296C-46EB-986F-9D2427131A6C}"/>
    <cellStyle name="20% - Accent3 2 16" xfId="15441" xr:uid="{9B7E7B3D-688C-4FE1-9466-FE7B631D6756}"/>
    <cellStyle name="20% - Accent3 2 17" xfId="15442" xr:uid="{7E2D71AB-156A-4456-B23D-2E3800B524E7}"/>
    <cellStyle name="20% - Accent3 2 18" xfId="15443" xr:uid="{FACE1BCC-D332-448C-9BC6-FE9434F53CCB}"/>
    <cellStyle name="20% - Accent3 2 19" xfId="15444" xr:uid="{50F386A6-18C2-433D-91DA-4A4EAF4E3DE4}"/>
    <cellStyle name="20% - Accent3 2 2" xfId="142" xr:uid="{C1D91C2A-5BB2-474A-8CBC-06AB1A80DC18}"/>
    <cellStyle name="20% - Accent3 2 2 10" xfId="15445" xr:uid="{71042071-11B0-4A02-A35B-62E82FE90EF5}"/>
    <cellStyle name="20% - Accent3 2 2 11" xfId="15446" xr:uid="{F70A256B-1187-4E39-831F-728222891434}"/>
    <cellStyle name="20% - Accent3 2 2 12" xfId="15447" xr:uid="{2A3D6DCF-5809-42EC-8C10-D1D0570C932D}"/>
    <cellStyle name="20% - Accent3 2 2 13" xfId="15448" xr:uid="{4BCC4223-12B9-413D-B1E9-53E692578FB3}"/>
    <cellStyle name="20% - Accent3 2 2 14" xfId="15449" xr:uid="{2E2A0324-5C17-4AE0-8172-B261715BEC6C}"/>
    <cellStyle name="20% - Accent3 2 2 2" xfId="143" xr:uid="{2A5B90DF-3CDE-4AE3-ADF8-D6DFECDB60FD}"/>
    <cellStyle name="20% - Accent3 2 2 3" xfId="144" xr:uid="{97D279E5-76A8-4C2E-8005-A344B49FCD79}"/>
    <cellStyle name="20% - Accent3 2 2 4" xfId="11046" xr:uid="{F8ED522F-2FB2-443C-A3C3-26C8D9A82803}"/>
    <cellStyle name="20% - Accent3 2 2 5" xfId="10465" xr:uid="{658550AC-E856-483C-9154-27BCD896D749}"/>
    <cellStyle name="20% - Accent3 2 2 6" xfId="10795" xr:uid="{FC7C1B10-FCEA-4957-A1B6-3D85C2C17EA8}"/>
    <cellStyle name="20% - Accent3 2 2 7" xfId="15450" xr:uid="{47C744F1-5989-414E-BA5D-285935D958B5}"/>
    <cellStyle name="20% - Accent3 2 2 8" xfId="15451" xr:uid="{7266CA5B-6A69-4874-8A8E-3BD059C68338}"/>
    <cellStyle name="20% - Accent3 2 2 9" xfId="15452" xr:uid="{895CA00A-E0A3-46D8-9E04-EC2C63AE12B0}"/>
    <cellStyle name="20% - Accent3 2 20" xfId="23450" xr:uid="{0B744925-9E7D-46DF-96BA-DC2156405535}"/>
    <cellStyle name="20% - Accent3 2 3" xfId="145" xr:uid="{73FBA753-3F5F-4B48-A473-0F5B45964092}"/>
    <cellStyle name="20% - Accent3 2 3 2" xfId="11045" xr:uid="{265B2499-4896-4213-9ACF-1A0115632FFB}"/>
    <cellStyle name="20% - Accent3 2 3 3" xfId="10464" xr:uid="{F1C7AE77-8D84-497B-9BC5-417B636907F9}"/>
    <cellStyle name="20% - Accent3 2 3 4" xfId="10794" xr:uid="{BEE16885-637C-447D-8EA2-D510FFDBEB12}"/>
    <cellStyle name="20% - Accent3 2 3 5" xfId="11044" xr:uid="{A7B74709-A857-4E20-A83B-B390A6501360}"/>
    <cellStyle name="20% - Accent3 2 3 6" xfId="10463" xr:uid="{481538E0-7A79-45CA-AEF6-7C74ADF73F84}"/>
    <cellStyle name="20% - Accent3 2 4" xfId="146" xr:uid="{88B13F41-0768-4356-A908-6BF674A7FA0E}"/>
    <cellStyle name="20% - Accent3 2 4 2" xfId="10607" xr:uid="{4BD1DB0F-F95A-441B-B8F7-482B5A1F76BC}"/>
    <cellStyle name="20% - Accent3 2 4 3" xfId="10940" xr:uid="{8A1B498F-BCCE-4BD1-9120-F4BE4AC55F9E}"/>
    <cellStyle name="20% - Accent3 2 4 4" xfId="10793" xr:uid="{43A84F55-FF61-49C4-8211-A260CA2F685E}"/>
    <cellStyle name="20% - Accent3 2 4 5" xfId="8744" xr:uid="{ABF764AC-ABA9-4A37-B247-815AAFE55C77}"/>
    <cellStyle name="20% - Accent3 2 4 6" xfId="10606" xr:uid="{45CBDDBA-C6D2-4B83-941D-B027984FFD1E}"/>
    <cellStyle name="20% - Accent3 2 5" xfId="147" xr:uid="{FB385DAB-0349-4148-953D-EBACEF256576}"/>
    <cellStyle name="20% - Accent3 2 5 2" xfId="10939" xr:uid="{02B76B1E-B09D-48EA-8B01-9D5EBA23BFF2}"/>
    <cellStyle name="20% - Accent3 2 5 3" xfId="10792" xr:uid="{E14B3593-11FE-4F18-BD07-2AB1E4547D94}"/>
    <cellStyle name="20% - Accent3 2 5 4" xfId="8743" xr:uid="{4021D64D-023B-449B-AF9A-6F9BB7834E1A}"/>
    <cellStyle name="20% - Accent3 2 5 5" xfId="8742" xr:uid="{6891064F-20B3-4366-B930-63BAE8DE3598}"/>
    <cellStyle name="20% - Accent3 2 5 6" xfId="10602" xr:uid="{38984B73-9BBF-4F62-8909-CD6BFBB83C57}"/>
    <cellStyle name="20% - Accent3 2 6" xfId="148" xr:uid="{3EB8A0F2-1010-4D56-89F5-6097C0B5F559}"/>
    <cellStyle name="20% - Accent3 2 6 2" xfId="10935" xr:uid="{5A3ADF88-4093-4EF9-B993-EC8B1D2B1A46}"/>
    <cellStyle name="20% - Accent3 2 6 3" xfId="10785" xr:uid="{027818F2-4782-4D55-8D38-633739D9ADA5}"/>
    <cellStyle name="20% - Accent3 2 6 4" xfId="10790" xr:uid="{2529196F-D968-4B1C-B16A-86FF62452019}"/>
    <cellStyle name="20% - Accent3 2 6 5" xfId="11043" xr:uid="{522BD9B2-6421-4488-AE11-CBF7107A1110}"/>
    <cellStyle name="20% - Accent3 2 6 6" xfId="10462" xr:uid="{95CF30DF-EC67-4319-BABD-2BB30DC87C8F}"/>
    <cellStyle name="20% - Accent3 2 7" xfId="149" xr:uid="{E5549EFD-6F14-40A2-9FE5-B859662CCBA4}"/>
    <cellStyle name="20% - Accent3 2 7 2" xfId="10789" xr:uid="{642FD300-7AF5-45AA-9E88-3C26D4D50EF6}"/>
    <cellStyle name="20% - Accent3 2 7 3" xfId="11042" xr:uid="{4A24925D-912B-44F6-A01A-9D77788EEE7F}"/>
    <cellStyle name="20% - Accent3 2 7 4" xfId="10461" xr:uid="{C77B52C7-6466-4E05-83D5-1576FC903DF9}"/>
    <cellStyle name="20% - Accent3 2 7 5" xfId="10788" xr:uid="{DA2CCA68-BDC5-4571-BB14-4307F8DF2632}"/>
    <cellStyle name="20% - Accent3 2 7 6" xfId="11041" xr:uid="{C09C7B50-E69C-4104-9001-69FF84DA52A1}"/>
    <cellStyle name="20% - Accent3 2 8" xfId="150" xr:uid="{7D3BCC3C-3B4D-4D1D-978C-95DCCBC6CB47}"/>
    <cellStyle name="20% - Accent3 2 9" xfId="151" xr:uid="{CB908AF9-0E02-4162-8A66-9F177C2CDC30}"/>
    <cellStyle name="20% - Accent3 20" xfId="152" xr:uid="{49B86966-EDBA-4A16-BC4E-F704702831AC}"/>
    <cellStyle name="20% - Accent3 20 2" xfId="16169" xr:uid="{F549DCB7-14E9-4A0F-A2D7-AF460F19CA0E}"/>
    <cellStyle name="20% - Accent3 21" xfId="16170" xr:uid="{2F96195B-BF19-44D0-A9CD-002395AC69C0}"/>
    <cellStyle name="20% - Accent3 22" xfId="15143" xr:uid="{827A049B-0A00-42E8-A385-236F915FE53A}"/>
    <cellStyle name="20% - Accent3 3" xfId="153" xr:uid="{238263D3-453F-423C-A240-F9B64C2D95AD}"/>
    <cellStyle name="20% - Accent3 3 10" xfId="154" xr:uid="{FE3ED3F9-8E8F-45C9-96FD-2DD14A7B848D}"/>
    <cellStyle name="20% - Accent3 3 11" xfId="155" xr:uid="{E7D0EB92-EED6-4F1F-A402-2C96D214884D}"/>
    <cellStyle name="20% - Accent3 3 12" xfId="156" xr:uid="{CB7D7D84-DA40-4A19-9763-6DD26841B47F}"/>
    <cellStyle name="20% - Accent3 3 13" xfId="157" xr:uid="{549A84DB-F345-4655-BC7D-799CA94D2FBF}"/>
    <cellStyle name="20% - Accent3 3 14" xfId="158" xr:uid="{73461E6C-F4DB-4E1D-87DC-03B346B7F3E1}"/>
    <cellStyle name="20% - Accent3 3 15" xfId="15453" xr:uid="{3276296A-4BF5-442C-AB46-57EC04DF72E4}"/>
    <cellStyle name="20% - Accent3 3 2" xfId="159" xr:uid="{9B8CD8EA-1547-4C31-B49B-A880AE45827B}"/>
    <cellStyle name="20% - Accent3 3 3" xfId="160" xr:uid="{D07A6D1A-547A-467B-8EC9-80AF64875FE7}"/>
    <cellStyle name="20% - Accent3 3 4" xfId="161" xr:uid="{4083D220-DA63-4C43-9C82-F916182FF84E}"/>
    <cellStyle name="20% - Accent3 3 5" xfId="162" xr:uid="{CD948F11-F20D-4320-B5E1-89910434225B}"/>
    <cellStyle name="20% - Accent3 3 6" xfId="163" xr:uid="{B6E59DB0-6C3A-4D62-8E20-343165C6A762}"/>
    <cellStyle name="20% - Accent3 3 7" xfId="164" xr:uid="{AD8971FF-08FC-4544-B9BF-63DEFC533141}"/>
    <cellStyle name="20% - Accent3 3 8" xfId="165" xr:uid="{55ED3E54-0F45-4458-964C-A5960F4A4BE2}"/>
    <cellStyle name="20% - Accent3 3 9" xfId="166" xr:uid="{ACE6D442-8C9A-44D2-B85C-BA6F265FD7C5}"/>
    <cellStyle name="20% - Accent3 4" xfId="167" xr:uid="{846EBB57-BF6D-41AE-B6B5-96EDD0DC814F}"/>
    <cellStyle name="20% - Accent3 4 10" xfId="15454" xr:uid="{98A72792-4DEF-46B2-B64C-38A4784DBE6A}"/>
    <cellStyle name="20% - Accent3 4 11" xfId="15455" xr:uid="{8E55C30E-367A-4E05-98F8-3A480366A0CC}"/>
    <cellStyle name="20% - Accent3 4 12" xfId="15456" xr:uid="{E965C367-AAA1-4049-A793-D80707A91785}"/>
    <cellStyle name="20% - Accent3 4 13" xfId="15457" xr:uid="{B199353F-0BF8-4730-B5F1-CD7D6F35C3B3}"/>
    <cellStyle name="20% - Accent3 4 14" xfId="15458" xr:uid="{AF787D03-2E69-4204-BDD3-07775A4EF1F9}"/>
    <cellStyle name="20% - Accent3 4 15" xfId="15459" xr:uid="{76DF74CF-C740-43BE-BC16-819871BFA08F}"/>
    <cellStyle name="20% - Accent3 4 2" xfId="168" xr:uid="{D7D6BDF0-F080-4F3A-AEC5-23818467FAB2}"/>
    <cellStyle name="20% - Accent3 4 3" xfId="169" xr:uid="{6E2F5FA4-263E-4D42-94A3-9DB86165460C}"/>
    <cellStyle name="20% - Accent3 4 4" xfId="170" xr:uid="{8A8E15BE-4393-4CDA-84B0-3B5EE95CA7BF}"/>
    <cellStyle name="20% - Accent3 4 5" xfId="171" xr:uid="{93CD27D6-9C89-4477-8B86-CF7F402A247D}"/>
    <cellStyle name="20% - Accent3 4 6" xfId="172" xr:uid="{B48BCF42-5AD3-4DCA-B9C7-D283CE2BE6DD}"/>
    <cellStyle name="20% - Accent3 4 7" xfId="10460" xr:uid="{BC68E360-46FF-44BB-8649-F26562F0EE4D}"/>
    <cellStyle name="20% - Accent3 4 8" xfId="10604" xr:uid="{81C3744B-353C-4E00-B4FB-F9DBD3EC46F8}"/>
    <cellStyle name="20% - Accent3 4 9" xfId="10937" xr:uid="{E8BB66D6-7815-4222-805B-8BB84858AE96}"/>
    <cellStyle name="20% - Accent3 5" xfId="173" xr:uid="{A70378E5-4018-43D8-B198-CB3D5857FD3F}"/>
    <cellStyle name="20% - Accent3 5 10" xfId="15460" xr:uid="{6975A10A-593C-491F-A55D-0EC0718503B1}"/>
    <cellStyle name="20% - Accent3 5 11" xfId="15461" xr:uid="{F1A225D4-DF10-4362-9187-287A99BAC5DD}"/>
    <cellStyle name="20% - Accent3 5 12" xfId="15462" xr:uid="{462386E0-B1B2-4D54-BC28-B30DEFF25473}"/>
    <cellStyle name="20% - Accent3 5 13" xfId="15463" xr:uid="{B16B3A67-5BC5-43BB-A740-AFBD592A0BDD}"/>
    <cellStyle name="20% - Accent3 5 14" xfId="15464" xr:uid="{00E34C7B-FAA9-422A-A393-5FCF583ECDE4}"/>
    <cellStyle name="20% - Accent3 5 15" xfId="15465" xr:uid="{793E7648-C1B9-4953-A771-66D0984544B3}"/>
    <cellStyle name="20% - Accent3 5 2" xfId="174" xr:uid="{4C11D774-A4E5-47AB-8624-D3D497C164C2}"/>
    <cellStyle name="20% - Accent3 5 3" xfId="175" xr:uid="{C1DF5EA8-F908-4FF7-B100-19545DA67584}"/>
    <cellStyle name="20% - Accent3 5 4" xfId="176" xr:uid="{BABD75AA-E95B-4195-8F7C-D1D65A06EBA2}"/>
    <cellStyle name="20% - Accent3 5 5" xfId="177" xr:uid="{B54EE2CC-6970-4224-A432-11E19ACCF50F}"/>
    <cellStyle name="20% - Accent3 5 6" xfId="178" xr:uid="{82E158DF-9DBD-4029-A361-6CDCD54B04F5}"/>
    <cellStyle name="20% - Accent3 5 7" xfId="10787" xr:uid="{385EAAAC-3A5F-48EE-B2FA-47856410BC83}"/>
    <cellStyle name="20% - Accent3 5 8" xfId="8741" xr:uid="{B01AF433-3F99-4923-984A-3FF758A6D555}"/>
    <cellStyle name="20% - Accent3 5 9" xfId="10603" xr:uid="{5550E7BA-BB17-465D-9611-9B258621386A}"/>
    <cellStyle name="20% - Accent3 6" xfId="179" xr:uid="{435E1159-42E7-4C8B-AE8B-282EA15786EA}"/>
    <cellStyle name="20% - Accent3 6 2" xfId="180" xr:uid="{9DE5DA9F-E3E1-4DC7-87DF-56D5D04F2EA1}"/>
    <cellStyle name="20% - Accent3 6 3" xfId="181" xr:uid="{E7D4DF50-C03B-4483-8563-6713CE4C7A29}"/>
    <cellStyle name="20% - Accent3 6 4" xfId="10936" xr:uid="{DC014450-0D3B-4234-97F1-D64B2ABE34A3}"/>
    <cellStyle name="20% - Accent3 6 5" xfId="10786" xr:uid="{93878F53-FB9D-42DA-AA88-F0C3069C69EB}"/>
    <cellStyle name="20% - Accent3 6 6" xfId="8739" xr:uid="{0F11E31A-8D29-41AA-8041-40B1729D915E}"/>
    <cellStyle name="20% - Accent3 7" xfId="182" xr:uid="{E1D2FD4E-3171-465A-80F8-8F26EBE9825A}"/>
    <cellStyle name="20% - Accent3 7 2" xfId="183" xr:uid="{DF1F6661-12E9-4C0A-AEE5-06865009E332}"/>
    <cellStyle name="20% - Accent3 7 3" xfId="184" xr:uid="{7F91EC18-0434-462B-8F7E-D085E302596E}"/>
    <cellStyle name="20% - Accent3 7 4" xfId="8738" xr:uid="{05DE8936-2138-4CF4-A49E-67D9D3BE7F3F}"/>
    <cellStyle name="20% - Accent3 7 5" xfId="10777" xr:uid="{F6D432E2-2C0D-4AB7-97F9-726871360CCE}"/>
    <cellStyle name="20% - Accent3 7 6" xfId="10784" xr:uid="{E1C1DCA0-AFD8-4A69-B6BB-CD9EF9FD41B1}"/>
    <cellStyle name="20% - Accent3 8" xfId="185" xr:uid="{94B5FD7E-8787-4AD6-8A28-8F77A2F1EA2F}"/>
    <cellStyle name="20% - Accent3 8 2" xfId="186" xr:uid="{58B3E385-9913-4AC4-B63F-264C337E9F43}"/>
    <cellStyle name="20% - Accent3 8 3" xfId="187" xr:uid="{9BF3C681-8966-4F70-BC5D-11314C17D78F}"/>
    <cellStyle name="20% - Accent3 8 4" xfId="11040" xr:uid="{D37F48A0-6D71-44CC-B199-DEF4B178935D}"/>
    <cellStyle name="20% - Accent3 8 5" xfId="10459" xr:uid="{BF501828-4A40-4895-B296-C0FFE348DC7A}"/>
    <cellStyle name="20% - Accent3 8 6" xfId="10783" xr:uid="{9AFA4105-077F-4DD5-BD11-3A3EF28DB939}"/>
    <cellStyle name="20% - Accent3 9" xfId="188" xr:uid="{1742C015-A94F-4441-92DC-2B02B6E1E467}"/>
    <cellStyle name="20% - Accent3 9 2" xfId="189" xr:uid="{7334FE00-E957-4C06-9DBD-2C1875E98E1F}"/>
    <cellStyle name="20% - Accent3 9 3" xfId="11039" xr:uid="{9D07D3CE-7BC1-4518-88AB-875696135C6D}"/>
    <cellStyle name="20% - Accent3 9 4" xfId="10458" xr:uid="{95A43FB7-1187-469F-B458-69BFE03E5806}"/>
    <cellStyle name="20% - Accent3 9 5" xfId="10782" xr:uid="{FD02EBB1-4F88-4854-849C-FD061402918D}"/>
    <cellStyle name="20% - Accent3 9 6" xfId="11038" xr:uid="{76C6B438-5543-411B-AA7F-A301D3D636C5}"/>
    <cellStyle name="20% - Accent4 10" xfId="190" xr:uid="{9DE9C80B-87AB-4E32-A3E1-9D69565C84F3}"/>
    <cellStyle name="20% - Accent4 10 2" xfId="191" xr:uid="{B8EEB5AC-95DD-49A5-B711-6FFCACCBBA89}"/>
    <cellStyle name="20% - Accent4 10 3" xfId="10457" xr:uid="{5A47E046-8737-4AEA-B887-0747DC4310ED}"/>
    <cellStyle name="20% - Accent4 10 4" xfId="10781" xr:uid="{B0310711-E65D-4F63-92F3-D14B3DC7D4CC}"/>
    <cellStyle name="20% - Accent4 10 5" xfId="11037" xr:uid="{02C1DE2F-74A5-424D-A368-12FED1FB2F64}"/>
    <cellStyle name="20% - Accent4 10 6" xfId="10456" xr:uid="{942A9479-FCE6-4816-BDBF-95A0F9110CE0}"/>
    <cellStyle name="20% - Accent4 11" xfId="192" xr:uid="{899B41EC-8475-49DB-8F70-9185A8093C66}"/>
    <cellStyle name="20% - Accent4 11 2" xfId="10780" xr:uid="{A21D008B-C22C-43BF-ABDC-067C7E943CCD}"/>
    <cellStyle name="20% - Accent4 12" xfId="193" xr:uid="{40738A58-ECD8-41A3-8B28-D75B1E2BD71F}"/>
    <cellStyle name="20% - Accent4 12 2" xfId="11036" xr:uid="{38D9FB8C-94F7-4A14-9D6C-15C04174425D}"/>
    <cellStyle name="20% - Accent4 13" xfId="194" xr:uid="{DE7D39E9-D004-46C6-92FD-413F6436DB2F}"/>
    <cellStyle name="20% - Accent4 13 2" xfId="9383" xr:uid="{67D8C912-49AC-47BD-AFCA-000950A0EEC0}"/>
    <cellStyle name="20% - Accent4 14" xfId="195" xr:uid="{CB2B96D4-D756-40F6-8D34-148236A597C2}"/>
    <cellStyle name="20% - Accent4 14 2" xfId="9382" xr:uid="{E43A5C35-47D3-4988-96C9-1EFFAC5A165A}"/>
    <cellStyle name="20% - Accent4 15" xfId="196" xr:uid="{6D1B2F94-5970-44E5-8DB6-870008E8D887}"/>
    <cellStyle name="20% - Accent4 15 2" xfId="16171" xr:uid="{C37AEF57-257D-4ED8-AED1-931970E7006C}"/>
    <cellStyle name="20% - Accent4 16" xfId="197" xr:uid="{100EDC29-C944-494D-AB3A-1F5AE638B284}"/>
    <cellStyle name="20% - Accent4 16 2" xfId="16172" xr:uid="{0E0153B5-6F00-42A1-92BF-62521A154FFF}"/>
    <cellStyle name="20% - Accent4 17" xfId="198" xr:uid="{6AF0144F-4DBB-4A9A-BA56-A20127F543F1}"/>
    <cellStyle name="20% - Accent4 17 2" xfId="16173" xr:uid="{EE4EB948-C4F8-4B2C-8ECA-FEBF25A4774B}"/>
    <cellStyle name="20% - Accent4 18" xfId="199" xr:uid="{256F3DF4-8BB5-472D-8E34-FA0FD404892C}"/>
    <cellStyle name="20% - Accent4 18 2" xfId="16174" xr:uid="{9E0B99DA-FD02-450F-99DE-E679026A94DF}"/>
    <cellStyle name="20% - Accent4 19" xfId="200" xr:uid="{C885EEBC-BAE9-46EF-B100-97A887BBE029}"/>
    <cellStyle name="20% - Accent4 19 2" xfId="16175" xr:uid="{3C25A926-CA4C-4831-AD7B-2D7D0A9F8FE1}"/>
    <cellStyle name="20% - Accent4 2" xfId="201" xr:uid="{5943B2B0-A33F-409D-B31C-3C45339394A0}"/>
    <cellStyle name="20% - Accent4 2 10" xfId="9381" xr:uid="{8168DB87-B748-4DB6-A33E-D5025209191A}"/>
    <cellStyle name="20% - Accent4 2 11" xfId="10934" xr:uid="{DB807DE7-E5F8-4E01-808F-066368A1E096}"/>
    <cellStyle name="20% - Accent4 2 12" xfId="10779" xr:uid="{3FE407F3-D70B-4431-9161-CEB1F874FB34}"/>
    <cellStyle name="20% - Accent4 2 13" xfId="8737" xr:uid="{DB54F5C9-2D7F-4F05-9D7E-935AA03A3B15}"/>
    <cellStyle name="20% - Accent4 2 14" xfId="10601" xr:uid="{F26FB8F1-E648-4F76-BE83-87137B39985D}"/>
    <cellStyle name="20% - Accent4 2 15" xfId="10933" xr:uid="{89752E47-F8AE-4664-918B-0A39A2EE3593}"/>
    <cellStyle name="20% - Accent4 2 16" xfId="15466" xr:uid="{265AB10B-970B-4C7F-B5AB-D63D3E05BF29}"/>
    <cellStyle name="20% - Accent4 2 17" xfId="15467" xr:uid="{B595EC5D-2DCD-488B-90CB-D15661ADF6E8}"/>
    <cellStyle name="20% - Accent4 2 18" xfId="15468" xr:uid="{7D49AE85-2046-4912-9237-C2D017453F13}"/>
    <cellStyle name="20% - Accent4 2 19" xfId="15469" xr:uid="{259CB780-261F-4DB8-8001-25ED3648A708}"/>
    <cellStyle name="20% - Accent4 2 2" xfId="202" xr:uid="{D3F7E69A-8B06-4EAB-AACA-B7A8B4D11FF8}"/>
    <cellStyle name="20% - Accent4 2 2 10" xfId="15470" xr:uid="{74962989-F2C4-42B9-B7AC-293DC32DF2BB}"/>
    <cellStyle name="20% - Accent4 2 2 11" xfId="15471" xr:uid="{D4D8C98F-A006-4A4C-9F27-1E1E4893AA7A}"/>
    <cellStyle name="20% - Accent4 2 2 12" xfId="15472" xr:uid="{F6CE3844-0219-4BF6-8BC2-D50D1BBE9032}"/>
    <cellStyle name="20% - Accent4 2 2 13" xfId="15473" xr:uid="{26258AC0-A943-4F0B-8E3D-DDE23FD522D4}"/>
    <cellStyle name="20% - Accent4 2 2 14" xfId="15474" xr:uid="{963E3EFE-79A7-40DD-B9FF-EE69541CAFD7}"/>
    <cellStyle name="20% - Accent4 2 2 2" xfId="203" xr:uid="{42FE74F4-65D4-467E-AFBB-F27F0659625D}"/>
    <cellStyle name="20% - Accent4 2 2 3" xfId="204" xr:uid="{46A657C4-5142-4B55-BD4C-EEE2AC3C3904}"/>
    <cellStyle name="20% - Accent4 2 2 4" xfId="10778" xr:uid="{B0387D00-AFEB-43A5-91E2-AC59323B65C9}"/>
    <cellStyle name="20% - Accent4 2 2 5" xfId="8736" xr:uid="{BADA19C4-C00C-4C03-A4CC-DB70EE534093}"/>
    <cellStyle name="20% - Accent4 2 2 6" xfId="10600" xr:uid="{32D79CF2-E32E-40FC-9BB5-68DA61A018D5}"/>
    <cellStyle name="20% - Accent4 2 2 7" xfId="15475" xr:uid="{12401F13-6C9A-46DE-8A67-5B78D26F345C}"/>
    <cellStyle name="20% - Accent4 2 2 8" xfId="15476" xr:uid="{12546D26-EA73-4EBF-85E4-6150E7B60AB5}"/>
    <cellStyle name="20% - Accent4 2 2 9" xfId="15477" xr:uid="{CD7C477D-5880-4B26-B632-30B10803AC22}"/>
    <cellStyle name="20% - Accent4 2 20" xfId="23451" xr:uid="{FBA39870-5B67-4791-A0E2-EA80AF99D759}"/>
    <cellStyle name="20% - Accent4 2 3" xfId="205" xr:uid="{DCA77740-7953-45A7-955F-3B11E2334DDA}"/>
    <cellStyle name="20% - Accent4 2 3 2" xfId="10932" xr:uid="{F4BE7EF8-B1B9-4C7D-8C03-294C13B32D34}"/>
    <cellStyle name="20% - Accent4 2 3 3" xfId="8735" xr:uid="{81C9AD3F-16C9-4CF2-B584-78721DF32A35}"/>
    <cellStyle name="20% - Accent4 2 3 4" xfId="10769" xr:uid="{5C673AA2-16C6-4281-89E3-E1127B622DCF}"/>
    <cellStyle name="20% - Accent4 2 3 5" xfId="10776" xr:uid="{F4834273-4356-4F0C-8786-30CABCC9ECBB}"/>
    <cellStyle name="20% - Accent4 2 3 6" xfId="11035" xr:uid="{C2F1EC5A-3A98-4BD5-8CF1-F7712EA7B66E}"/>
    <cellStyle name="20% - Accent4 2 4" xfId="206" xr:uid="{AD36AF6F-8B6D-4348-A7D8-496201AAB412}"/>
    <cellStyle name="20% - Accent4 2 4 2" xfId="10455" xr:uid="{76A96DE7-5A08-4582-9F7F-17B8E8C1118E}"/>
    <cellStyle name="20% - Accent4 2 4 3" xfId="10775" xr:uid="{9990AE57-C477-4834-840F-BF5B6392EC67}"/>
    <cellStyle name="20% - Accent4 2 4 4" xfId="11034" xr:uid="{069CC7FD-D281-4452-A8A8-B23A55F86DA8}"/>
    <cellStyle name="20% - Accent4 2 4 5" xfId="10454" xr:uid="{D6D837B3-E629-4019-B5FB-B2126680705E}"/>
    <cellStyle name="20% - Accent4 2 4 6" xfId="10774" xr:uid="{567505A7-28D6-4848-B4CB-9B8BF92FF2FD}"/>
    <cellStyle name="20% - Accent4 2 5" xfId="207" xr:uid="{2B37926B-C123-4238-A463-B50E004E9C6E}"/>
    <cellStyle name="20% - Accent4 2 5 2" xfId="11033" xr:uid="{2C05411E-F1BD-452E-B039-C6EA407BE28A}"/>
    <cellStyle name="20% - Accent4 2 5 3" xfId="10453" xr:uid="{737FBF5D-4D82-4AE6-AACF-7405C7FEE51B}"/>
    <cellStyle name="20% - Accent4 2 5 4" xfId="10773" xr:uid="{CB98B0F8-5AE5-459E-A462-1CEFC54AC391}"/>
    <cellStyle name="20% - Accent4 2 5 5" xfId="11032" xr:uid="{421DF3A8-C40A-4471-9437-47CC3D79C18C}"/>
    <cellStyle name="20% - Accent4 2 5 6" xfId="10452" xr:uid="{F4BB1FBD-B3EE-45F6-929C-A5EE7BD008E6}"/>
    <cellStyle name="20% - Accent4 2 6" xfId="208" xr:uid="{08896C0A-DC03-4C39-AD7F-17F585CC80B5}"/>
    <cellStyle name="20% - Accent4 2 6 2" xfId="10772" xr:uid="{BF101C0F-F4D3-4F75-B335-7F46B0BBF554}"/>
    <cellStyle name="20% - Accent4 2 6 3" xfId="11031" xr:uid="{9FCA7075-1A04-409F-BF55-985F4E7E6C2A}"/>
    <cellStyle name="20% - Accent4 2 6 4" xfId="10451" xr:uid="{48C9C537-79A5-41C5-9B37-BF17A6A2D85B}"/>
    <cellStyle name="20% - Accent4 2 6 5" xfId="10599" xr:uid="{0ECBCEAC-7DDA-4488-AE47-BCE1A23CA94C}"/>
    <cellStyle name="20% - Accent4 2 6 6" xfId="10931" xr:uid="{1812182E-78EA-44DD-965A-DA04A5338B1F}"/>
    <cellStyle name="20% - Accent4 2 7" xfId="209" xr:uid="{2D0937A9-4CC0-4F66-A066-641F9E2D6F6F}"/>
    <cellStyle name="20% - Accent4 2 7 2" xfId="10771" xr:uid="{229D94F4-F0A4-48CA-8DA2-C4E40C3BCB98}"/>
    <cellStyle name="20% - Accent4 2 7 3" xfId="8734" xr:uid="{BF9B738B-88F0-4751-BD59-18E12C1359BB}"/>
    <cellStyle name="20% - Accent4 2 7 4" xfId="10598" xr:uid="{CF0EBE6A-D1B2-443B-B622-789F40417D74}"/>
    <cellStyle name="20% - Accent4 2 7 5" xfId="10930" xr:uid="{668C132A-18D7-40BF-90AC-FB4D64F412D5}"/>
    <cellStyle name="20% - Accent4 2 7 6" xfId="10770" xr:uid="{EFB48E96-353D-4384-8DC8-F9931EE28AB2}"/>
    <cellStyle name="20% - Accent4 2 8" xfId="210" xr:uid="{7C108C99-02C5-40D0-81C6-B25753C05AE8}"/>
    <cellStyle name="20% - Accent4 2 9" xfId="211" xr:uid="{3DAE7D80-28E5-4A0B-91F8-CC185EAAE215}"/>
    <cellStyle name="20% - Accent4 20" xfId="212" xr:uid="{35AB20C5-9C95-428B-8EE1-D021B1C5DCB7}"/>
    <cellStyle name="20% - Accent4 20 2" xfId="16176" xr:uid="{CD28803A-8A19-4CA1-A0AF-0571E1FF7AD5}"/>
    <cellStyle name="20% - Accent4 21" xfId="16177" xr:uid="{A86B96FA-FD87-4F96-8D63-288763D3B917}"/>
    <cellStyle name="20% - Accent4 22" xfId="15144" xr:uid="{7294F679-BC70-4BE9-A291-3EBFCFDEBE0D}"/>
    <cellStyle name="20% - Accent4 3" xfId="213" xr:uid="{35512AA4-A25F-4298-BEF6-97E41ADBEF4E}"/>
    <cellStyle name="20% - Accent4 3 10" xfId="214" xr:uid="{3C8E5595-A585-4AC4-9D1D-598B2F53D41C}"/>
    <cellStyle name="20% - Accent4 3 11" xfId="215" xr:uid="{16959E9C-EDDA-4E34-AE85-A4BB4D8A3425}"/>
    <cellStyle name="20% - Accent4 3 12" xfId="216" xr:uid="{DA5EC1EC-FA02-42C2-A949-FC36EB054DA7}"/>
    <cellStyle name="20% - Accent4 3 13" xfId="217" xr:uid="{D0A30575-DC80-4B0E-935A-0B8B330A106B}"/>
    <cellStyle name="20% - Accent4 3 14" xfId="218" xr:uid="{35815AA3-30CB-4A69-97C6-EDEE4941F194}"/>
    <cellStyle name="20% - Accent4 3 15" xfId="15478" xr:uid="{D8907609-D9B3-45DA-85EA-C7CD60483E4B}"/>
    <cellStyle name="20% - Accent4 3 2" xfId="219" xr:uid="{AD5064C2-FDB4-48AC-A12A-AAE4CFA8E249}"/>
    <cellStyle name="20% - Accent4 3 3" xfId="220" xr:uid="{A9036B67-D5FB-4DB3-8B2B-33F4C443B093}"/>
    <cellStyle name="20% - Accent4 3 4" xfId="221" xr:uid="{B8BD280E-F879-4541-889B-430AA34CA30E}"/>
    <cellStyle name="20% - Accent4 3 5" xfId="222" xr:uid="{2181EC0A-EE66-4EF9-A91A-0F278A60E19C}"/>
    <cellStyle name="20% - Accent4 3 6" xfId="223" xr:uid="{EB72FC30-01F6-4CB0-BB32-332E0104944F}"/>
    <cellStyle name="20% - Accent4 3 7" xfId="224" xr:uid="{167D6FF3-432F-4968-AAEC-4BE3899A2849}"/>
    <cellStyle name="20% - Accent4 3 8" xfId="225" xr:uid="{65F738F5-BA5F-4A89-BBC5-771FA921BD1E}"/>
    <cellStyle name="20% - Accent4 3 9" xfId="226" xr:uid="{4C903DD9-1F2F-4BE7-B0BC-226881709FF5}"/>
    <cellStyle name="20% - Accent4 4" xfId="227" xr:uid="{73666301-7A37-4BA8-8926-D9978D2775BA}"/>
    <cellStyle name="20% - Accent4 4 10" xfId="15479" xr:uid="{B908582E-DF34-4AA5-A2F4-9DC185809E3A}"/>
    <cellStyle name="20% - Accent4 4 11" xfId="15480" xr:uid="{9E01B5FC-86A2-4BE1-8385-A524AAAE811D}"/>
    <cellStyle name="20% - Accent4 4 12" xfId="15481" xr:uid="{68513531-C6D4-47E8-81BC-AB457CFCA425}"/>
    <cellStyle name="20% - Accent4 4 13" xfId="15482" xr:uid="{30B3766B-E26A-493E-B770-1F267ADE84C7}"/>
    <cellStyle name="20% - Accent4 4 14" xfId="15483" xr:uid="{A024860A-E2C9-451C-A802-3666721ECA39}"/>
    <cellStyle name="20% - Accent4 4 15" xfId="15484" xr:uid="{6A785A78-E21D-40B1-A04A-8481654BFBD4}"/>
    <cellStyle name="20% - Accent4 4 2" xfId="228" xr:uid="{69876FFB-3559-47D3-8363-63FBA540F9C7}"/>
    <cellStyle name="20% - Accent4 4 3" xfId="229" xr:uid="{262E8AE8-2578-4B1A-9263-D47AC2BEDAB9}"/>
    <cellStyle name="20% - Accent4 4 4" xfId="230" xr:uid="{9C67ACAA-A27E-4B4E-A562-B476A6A0B0D2}"/>
    <cellStyle name="20% - Accent4 4 5" xfId="231" xr:uid="{9BF749C6-B90A-4416-9331-1B0A3BFC78CB}"/>
    <cellStyle name="20% - Accent4 4 6" xfId="232" xr:uid="{AE0F0F15-A76E-42EE-AC5F-C5843ADFD380}"/>
    <cellStyle name="20% - Accent4 4 7" xfId="8733" xr:uid="{939144D5-CF44-4036-B182-55BEAC01109A}"/>
    <cellStyle name="20% - Accent4 4 8" xfId="10597" xr:uid="{CF7F4F8B-094E-47BD-A1B6-0C6A82B0EE07}"/>
    <cellStyle name="20% - Accent4 4 9" xfId="10929" xr:uid="{5D0D84A7-2D0C-49F1-AFE1-88B357197AFE}"/>
    <cellStyle name="20% - Accent4 5" xfId="233" xr:uid="{88F84168-09FA-42CF-9AEA-06990510B7CB}"/>
    <cellStyle name="20% - Accent4 5 10" xfId="15485" xr:uid="{F4FB3E15-8E46-46E1-9C86-047F2AB9C9D0}"/>
    <cellStyle name="20% - Accent4 5 11" xfId="15486" xr:uid="{134A1A2A-0F9E-4EEF-9425-6C7E4EF7CB26}"/>
    <cellStyle name="20% - Accent4 5 12" xfId="15487" xr:uid="{9FF142FF-CBF6-4BF0-A0A7-1C3C0C46A6B2}"/>
    <cellStyle name="20% - Accent4 5 13" xfId="15488" xr:uid="{62EE4D26-A08A-4892-ABC5-DDD6277F9A39}"/>
    <cellStyle name="20% - Accent4 5 14" xfId="15489" xr:uid="{6D3E1F38-2A7A-4F4A-9892-16BA45357AC4}"/>
    <cellStyle name="20% - Accent4 5 15" xfId="15490" xr:uid="{07F50393-8AEC-4D80-B03F-0B9FF778B9A2}"/>
    <cellStyle name="20% - Accent4 5 2" xfId="234" xr:uid="{D33F73BD-EEF3-485C-97B1-6C440A2C3A35}"/>
    <cellStyle name="20% - Accent4 5 3" xfId="235" xr:uid="{483F8243-715E-452F-B0D6-1840C3B46AA0}"/>
    <cellStyle name="20% - Accent4 5 4" xfId="236" xr:uid="{648B7870-7BFA-48A0-AE34-003AF6461599}"/>
    <cellStyle name="20% - Accent4 5 5" xfId="237" xr:uid="{1612DC3B-D4AC-4019-A317-49C2526B39D4}"/>
    <cellStyle name="20% - Accent4 5 6" xfId="238" xr:uid="{ABEA556C-B806-4D15-9A0F-8C2915C7F885}"/>
    <cellStyle name="20% - Accent4 5 7" xfId="8732" xr:uid="{75D9B70D-3EF5-44AA-A96D-D9DE466CB197}"/>
    <cellStyle name="20% - Accent4 5 8" xfId="10762" xr:uid="{7A62AB31-4368-4434-A15B-33C63B0D1026}"/>
    <cellStyle name="20% - Accent4 5 9" xfId="10768" xr:uid="{D62A163C-E425-4CF1-8832-A8A82201BEE4}"/>
    <cellStyle name="20% - Accent4 6" xfId="239" xr:uid="{FCCBB255-6CED-4012-9F09-C45EC33E41D1}"/>
    <cellStyle name="20% - Accent4 6 2" xfId="240" xr:uid="{23E9B261-BC37-4D88-A4A0-13F02A279CA2}"/>
    <cellStyle name="20% - Accent4 6 3" xfId="241" xr:uid="{5C0187FB-FF15-4E04-AA7E-892846EE7B32}"/>
    <cellStyle name="20% - Accent4 6 4" xfId="11030" xr:uid="{45BB1DD5-0970-4840-A3BE-5A95D5AB6DEB}"/>
    <cellStyle name="20% - Accent4 6 5" xfId="10450" xr:uid="{53EEECFE-634C-47EE-8265-592FE739132F}"/>
    <cellStyle name="20% - Accent4 6 6" xfId="10767" xr:uid="{5B2C1859-B5D8-44B3-85FC-7D5309E36781}"/>
    <cellStyle name="20% - Accent4 7" xfId="242" xr:uid="{5E312AB9-839C-4610-A657-CE106F6DD275}"/>
    <cellStyle name="20% - Accent4 7 2" xfId="243" xr:uid="{BA4089EC-13F8-4C22-A791-09BCAA050992}"/>
    <cellStyle name="20% - Accent4 7 3" xfId="244" xr:uid="{E461511D-C1E0-4854-B544-EB66D33EE2D7}"/>
    <cellStyle name="20% - Accent4 7 4" xfId="11029" xr:uid="{6FFEE191-7CF7-4071-A0FC-4FBADC920968}"/>
    <cellStyle name="20% - Accent4 7 5" xfId="10449" xr:uid="{0A1F9E6D-8E89-4D83-B0DE-AA66FFA3D6A5}"/>
    <cellStyle name="20% - Accent4 7 6" xfId="10766" xr:uid="{AD24224F-549D-4896-B17D-282B648C76C5}"/>
    <cellStyle name="20% - Accent4 8" xfId="245" xr:uid="{68297699-97A6-4F6B-B158-AE462C5F10E0}"/>
    <cellStyle name="20% - Accent4 8 2" xfId="246" xr:uid="{808A5692-1EEA-4293-AED8-54A3C09E2E36}"/>
    <cellStyle name="20% - Accent4 8 3" xfId="247" xr:uid="{320725EF-CB90-45CC-B78D-0388A87380A5}"/>
    <cellStyle name="20% - Accent4 8 4" xfId="11028" xr:uid="{8E2A1C32-468B-4741-B0D6-7238EDA3A1FD}"/>
    <cellStyle name="20% - Accent4 8 5" xfId="10448" xr:uid="{209AED7E-1E56-48A9-8F88-5359435D7709}"/>
    <cellStyle name="20% - Accent4 8 6" xfId="10765" xr:uid="{6074C265-E5C0-45B8-A199-9FA2F5250658}"/>
    <cellStyle name="20% - Accent4 9" xfId="248" xr:uid="{33B07E95-8C11-4298-8B5C-EC53F823F061}"/>
    <cellStyle name="20% - Accent4 9 2" xfId="249" xr:uid="{AEC10478-E0D6-4BA0-B1D9-71F8E7B00A8D}"/>
    <cellStyle name="20% - Accent4 9 3" xfId="11027" xr:uid="{5E817ABC-9051-4FBD-971E-DBC06C4E14B2}"/>
    <cellStyle name="20% - Accent4 9 4" xfId="10447" xr:uid="{3CED2BF7-E425-44D8-8165-D2B4EE368AAF}"/>
    <cellStyle name="20% - Accent4 9 5" xfId="10764" xr:uid="{5C08C072-568A-4527-9977-92CEF2D18FAA}"/>
    <cellStyle name="20% - Accent4 9 6" xfId="11026" xr:uid="{0E3F939F-08BA-4E1D-9E60-EC1CDBEE2911}"/>
    <cellStyle name="20% - Accent5 10" xfId="250" xr:uid="{EC752F81-534A-45E8-BFAB-0923949F47AE}"/>
    <cellStyle name="20% - Accent5 10 2" xfId="251" xr:uid="{FD2ED417-FC1D-4C58-9247-33F4EE48EF3B}"/>
    <cellStyle name="20% - Accent5 10 3" xfId="10446" xr:uid="{9E56D497-875F-435C-934B-52D1A2A56291}"/>
    <cellStyle name="20% - Accent5 10 4" xfId="10596" xr:uid="{D0C1C364-AF66-487A-9E17-39B95AA1B9FC}"/>
    <cellStyle name="20% - Accent5 10 5" xfId="10928" xr:uid="{D99F7497-A6E9-49D6-A3B0-ABDB64F62932}"/>
    <cellStyle name="20% - Accent5 10 6" xfId="10763" xr:uid="{FE4B723C-F8FE-4D33-8349-E7F328133056}"/>
    <cellStyle name="20% - Accent5 11" xfId="252" xr:uid="{A8C13274-2ACE-4704-8B22-977646A0EF6E}"/>
    <cellStyle name="20% - Accent5 11 2" xfId="8731" xr:uid="{08678BF9-3017-483E-B8FB-50ED7E5FD4DA}"/>
    <cellStyle name="20% - Accent5 12" xfId="253" xr:uid="{7A36CB79-9AA1-4E46-B6F4-BEE173CD1AFF}"/>
    <cellStyle name="20% - Accent5 12 2" xfId="10595" xr:uid="{A0347CCF-8964-4F1F-8478-0C543D80722D}"/>
    <cellStyle name="20% - Accent5 13" xfId="254" xr:uid="{9D15FB7D-1162-4F2B-8AD6-E53CA1DD5A12}"/>
    <cellStyle name="20% - Accent5 13 2" xfId="9380" xr:uid="{0D970424-2E8F-4A15-BCEB-7BA8C9E1748E}"/>
    <cellStyle name="20% - Accent5 14" xfId="255" xr:uid="{170E43E4-39BA-4FA7-937C-C06DF65481D8}"/>
    <cellStyle name="20% - Accent5 14 2" xfId="9379" xr:uid="{64094258-6B58-47DD-ADD8-99AB206A24AC}"/>
    <cellStyle name="20% - Accent5 15" xfId="256" xr:uid="{38E0EF7D-2595-43D0-96F0-1387193CD60A}"/>
    <cellStyle name="20% - Accent5 15 2" xfId="16178" xr:uid="{C980ED85-55D8-4EDC-B5D4-743AF47334F4}"/>
    <cellStyle name="20% - Accent5 16" xfId="257" xr:uid="{46BABF67-95DC-4E79-970F-53FFB74D0456}"/>
    <cellStyle name="20% - Accent5 16 2" xfId="16179" xr:uid="{7BEA4DB7-3107-466D-B3A1-34D3244D5C3A}"/>
    <cellStyle name="20% - Accent5 17" xfId="258" xr:uid="{81C26A7B-3130-4097-8596-C2C57E4BCE62}"/>
    <cellStyle name="20% - Accent5 17 2" xfId="16180" xr:uid="{986EF916-580A-434E-9AF8-143048CF5B98}"/>
    <cellStyle name="20% - Accent5 18" xfId="259" xr:uid="{BDED3C33-9893-4959-AAE0-453575D792B6}"/>
    <cellStyle name="20% - Accent5 18 2" xfId="16181" xr:uid="{4DFC53CA-249A-4D70-A907-78207E7D5334}"/>
    <cellStyle name="20% - Accent5 19" xfId="260" xr:uid="{3B900ABC-ADCC-4608-B2CF-5C57189C0D8C}"/>
    <cellStyle name="20% - Accent5 19 2" xfId="16182" xr:uid="{47419B49-982A-45A7-91D6-02F719ECF1D0}"/>
    <cellStyle name="20% - Accent5 2" xfId="261" xr:uid="{65F4A9DD-C15B-4E54-8CCC-4319A882CDAA}"/>
    <cellStyle name="20% - Accent5 2 10" xfId="9378" xr:uid="{9914F830-76EB-457D-824C-2894A7DF2651}"/>
    <cellStyle name="20% - Accent5 2 11" xfId="8730" xr:uid="{75DD5039-12C4-404C-B046-B439C51B146F}"/>
    <cellStyle name="20% - Accent5 2 12" xfId="10594" xr:uid="{DCE7150D-2C60-4DBC-8CA0-D19EB64186E3}"/>
    <cellStyle name="20% - Accent5 2 13" xfId="10927" xr:uid="{25B35874-D91F-4A4B-8EC8-231B69ACE9EB}"/>
    <cellStyle name="20% - Accent5 2 14" xfId="8729" xr:uid="{13AB3E91-8C7E-44E5-9821-400D61F2F916}"/>
    <cellStyle name="20% - Accent5 2 15" xfId="10754" xr:uid="{F4AD202D-54FC-4610-9E71-28924779035E}"/>
    <cellStyle name="20% - Accent5 2 16" xfId="15491" xr:uid="{F7719BB4-DE8E-4297-92C7-6D94132D4AAD}"/>
    <cellStyle name="20% - Accent5 2 17" xfId="15492" xr:uid="{29308316-2D1A-4316-A729-F826899E98C5}"/>
    <cellStyle name="20% - Accent5 2 18" xfId="15493" xr:uid="{BA14859B-98CC-43A9-8959-8C7B0602C9F6}"/>
    <cellStyle name="20% - Accent5 2 19" xfId="15494" xr:uid="{5436F4D6-5807-4231-ADD1-FB79E4B2E95E}"/>
    <cellStyle name="20% - Accent5 2 2" xfId="262" xr:uid="{FC9246F6-36EE-49F2-909F-D2FDDCCE68AA}"/>
    <cellStyle name="20% - Accent5 2 2 10" xfId="15495" xr:uid="{B8D8A260-D323-4E53-8662-C967D8963CE8}"/>
    <cellStyle name="20% - Accent5 2 2 11" xfId="15496" xr:uid="{B6C6DF0C-739B-4B11-AB5F-7F2F62334392}"/>
    <cellStyle name="20% - Accent5 2 2 12" xfId="15497" xr:uid="{3C8650F1-EDEF-494B-A0E6-8A6B24FF20B8}"/>
    <cellStyle name="20% - Accent5 2 2 13" xfId="15498" xr:uid="{91F21A70-E6F2-41D8-9CAB-B61C62E1B630}"/>
    <cellStyle name="20% - Accent5 2 2 14" xfId="15499" xr:uid="{A8ABBD4B-7F11-4A97-8D7D-B040E83B7399}"/>
    <cellStyle name="20% - Accent5 2 2 2" xfId="263" xr:uid="{B3B6E5AE-3BC6-4E3E-BFC2-990C5B6D384A}"/>
    <cellStyle name="20% - Accent5 2 2 3" xfId="264" xr:uid="{3710FB77-7D22-4631-964D-87C0618D0747}"/>
    <cellStyle name="20% - Accent5 2 2 4" xfId="10761" xr:uid="{67D1AF07-7FB3-436C-ADA0-951C3192666D}"/>
    <cellStyle name="20% - Accent5 2 2 5" xfId="11025" xr:uid="{9F8C3AC6-9B9A-42CD-893F-E7F54B397025}"/>
    <cellStyle name="20% - Accent5 2 2 6" xfId="10445" xr:uid="{02F75AAD-9D0E-4009-A1D9-4DDDB147F4FB}"/>
    <cellStyle name="20% - Accent5 2 2 7" xfId="15500" xr:uid="{9F7B5E16-DE08-4F8D-BAC3-7F24A9BD373A}"/>
    <cellStyle name="20% - Accent5 2 2 8" xfId="15501" xr:uid="{B79829B5-7D5C-499D-9975-9C9CF1EF9507}"/>
    <cellStyle name="20% - Accent5 2 2 9" xfId="15502" xr:uid="{0D5A4281-5AA0-4A42-997C-5D889BBB2A14}"/>
    <cellStyle name="20% - Accent5 2 20" xfId="23452" xr:uid="{7F4CFC48-B1D1-4102-831A-1EB19FB4E9FD}"/>
    <cellStyle name="20% - Accent5 2 3" xfId="265" xr:uid="{F185B3A5-A706-49A1-BB8F-64012401994B}"/>
    <cellStyle name="20% - Accent5 2 3 2" xfId="10760" xr:uid="{7B2731B4-40BB-4CC0-8534-979F3FD686EA}"/>
    <cellStyle name="20% - Accent5 2 3 3" xfId="11024" xr:uid="{1F9D2793-845D-4C78-BE3E-D8790CA41F80}"/>
    <cellStyle name="20% - Accent5 2 3 4" xfId="10444" xr:uid="{F24CA023-BED8-463A-B70F-9BE8610CA10F}"/>
    <cellStyle name="20% - Accent5 2 3 5" xfId="10759" xr:uid="{E1ADAA44-3C82-44BC-8137-9CAC38563918}"/>
    <cellStyle name="20% - Accent5 2 3 6" xfId="11023" xr:uid="{1BB774C7-9CB6-4631-9FF6-CF52B07B7F25}"/>
    <cellStyle name="20% - Accent5 2 4" xfId="266" xr:uid="{A90BE8EA-174B-412E-8981-03C4893D65CA}"/>
    <cellStyle name="20% - Accent5 2 4 2" xfId="10443" xr:uid="{4F4DF9F9-BB28-4E5B-B975-D280D13D8D39}"/>
    <cellStyle name="20% - Accent5 2 4 3" xfId="10758" xr:uid="{F0AF30A0-56AC-4C9D-BBBC-3FA92710315B}"/>
    <cellStyle name="20% - Accent5 2 4 4" xfId="11022" xr:uid="{6FA82DC4-965D-4933-86D6-54023C5A77EF}"/>
    <cellStyle name="20% - Accent5 2 4 5" xfId="10442" xr:uid="{5738CE01-570E-40A9-9009-0F0FA672889A}"/>
    <cellStyle name="20% - Accent5 2 4 6" xfId="10757" xr:uid="{55778C02-FDC4-4BC3-9AE2-A5A61EDE2EDE}"/>
    <cellStyle name="20% - Accent5 2 5" xfId="267" xr:uid="{28CAF435-6296-4A86-A66F-EB2931C26782}"/>
    <cellStyle name="20% - Accent5 2 5 2" xfId="11021" xr:uid="{3E0573CD-86F4-4CE8-B5AD-3EDF29EAD5CC}"/>
    <cellStyle name="20% - Accent5 2 5 3" xfId="10441" xr:uid="{4449DB3D-3F24-4FA8-8EE6-E75085C1EAA7}"/>
    <cellStyle name="20% - Accent5 2 5 4" xfId="10756" xr:uid="{6F2B6F08-4D1C-424A-997D-D53BDCA2D5A4}"/>
    <cellStyle name="20% - Accent5 2 5 5" xfId="11020" xr:uid="{504936B5-85AD-442C-A00B-C06D38D91E0C}"/>
    <cellStyle name="20% - Accent5 2 5 6" xfId="10440" xr:uid="{6A402ED6-6AB4-415F-89B8-C0A074961CDA}"/>
    <cellStyle name="20% - Accent5 2 6" xfId="268" xr:uid="{09DA5902-D312-4BC7-99E1-2C4D4137BBCB}"/>
    <cellStyle name="20% - Accent5 2 6 2" xfId="10593" xr:uid="{15AF76AE-8F22-43C3-BEC4-C7263AFD690E}"/>
    <cellStyle name="20% - Accent5 2 6 3" xfId="10926" xr:uid="{F2876128-FB5D-4E98-89D2-3FCCB207D5DB}"/>
    <cellStyle name="20% - Accent5 2 6 4" xfId="10755" xr:uid="{89E73947-CCB3-41A5-932F-98CF6A37FC95}"/>
    <cellStyle name="20% - Accent5 2 6 5" xfId="8728" xr:uid="{E6FE6D07-18DE-41E1-A7CF-AD3AC20DBF3A}"/>
    <cellStyle name="20% - Accent5 2 6 6" xfId="10592" xr:uid="{36111A17-8B58-4CAC-AFBC-E8F80C051FF3}"/>
    <cellStyle name="20% - Accent5 2 7" xfId="269" xr:uid="{BB483326-8102-4A56-BCCC-72C531BAA9DC}"/>
    <cellStyle name="20% - Accent5 2 7 2" xfId="10925" xr:uid="{126F60C8-C6F5-4633-AD49-FCEBF40C99F6}"/>
    <cellStyle name="20% - Accent5 2 7 3" xfId="8727" xr:uid="{88241422-92BB-40EF-984D-B7C812CC7CD2}"/>
    <cellStyle name="20% - Accent5 2 7 4" xfId="10746" xr:uid="{63E08451-2683-48B9-96AB-64F99335ED55}"/>
    <cellStyle name="20% - Accent5 2 7 5" xfId="10753" xr:uid="{B6C28F09-1441-4764-9A31-B13A26114229}"/>
    <cellStyle name="20% - Accent5 2 7 6" xfId="11019" xr:uid="{FCBAA9C3-D8FC-4205-A638-69D7F1E4FB39}"/>
    <cellStyle name="20% - Accent5 2 8" xfId="270" xr:uid="{CF131201-2868-433B-993A-CC3312B251EF}"/>
    <cellStyle name="20% - Accent5 2 9" xfId="271" xr:uid="{65D47B04-31A2-4DF2-9D5E-B3329EE1299A}"/>
    <cellStyle name="20% - Accent5 20" xfId="272" xr:uid="{F3573C61-F486-44EE-8016-8DBFE1CCB5B6}"/>
    <cellStyle name="20% - Accent5 20 2" xfId="16183" xr:uid="{5CD33594-F987-4571-B7C6-82A8286737F3}"/>
    <cellStyle name="20% - Accent5 21" xfId="16184" xr:uid="{C325B497-D0BE-4DC1-9B82-D02107F89046}"/>
    <cellStyle name="20% - Accent5 22" xfId="15145" xr:uid="{9C565FC8-A99A-42C5-93A4-BB3E1F30F4CD}"/>
    <cellStyle name="20% - Accent5 3" xfId="273" xr:uid="{B0640AE0-9EE4-49FC-8DEF-9C44B0EFBA64}"/>
    <cellStyle name="20% - Accent5 3 10" xfId="274" xr:uid="{EA03580A-641F-4FC7-8EB9-BBB982776BF6}"/>
    <cellStyle name="20% - Accent5 3 11" xfId="275" xr:uid="{4E237F39-FBE0-4069-8550-E28BD0380092}"/>
    <cellStyle name="20% - Accent5 3 12" xfId="276" xr:uid="{D0917418-E374-4BC9-B3A5-05E9523D92DA}"/>
    <cellStyle name="20% - Accent5 3 13" xfId="277" xr:uid="{D05FEF49-4337-48A6-8CD9-E84A02B65440}"/>
    <cellStyle name="20% - Accent5 3 14" xfId="278" xr:uid="{98C107D0-78F8-4EEA-9A8D-4523E968AA79}"/>
    <cellStyle name="20% - Accent5 3 15" xfId="15503" xr:uid="{07D6F5D8-8CF0-45F3-AF07-AC9749A62FA3}"/>
    <cellStyle name="20% - Accent5 3 2" xfId="279" xr:uid="{367552C6-C1B1-4585-A6A6-919479AFF962}"/>
    <cellStyle name="20% - Accent5 3 3" xfId="280" xr:uid="{627A273F-30CB-4607-82F5-ABF6C0DC36D8}"/>
    <cellStyle name="20% - Accent5 3 4" xfId="281" xr:uid="{AE50B695-9FAF-4DCD-B6D9-DB15623E8CAE}"/>
    <cellStyle name="20% - Accent5 3 5" xfId="282" xr:uid="{CD1B8C85-835D-473C-B2A3-56866281B47E}"/>
    <cellStyle name="20% - Accent5 3 6" xfId="283" xr:uid="{772B2376-70E2-4F7B-AAF7-65CC3B72D950}"/>
    <cellStyle name="20% - Accent5 3 7" xfId="284" xr:uid="{E5C25B6C-A008-4629-8085-FB9CB89AFAAC}"/>
    <cellStyle name="20% - Accent5 3 8" xfId="285" xr:uid="{A9C3544F-4203-4F2B-B8FA-6AD35A545746}"/>
    <cellStyle name="20% - Accent5 3 9" xfId="286" xr:uid="{D73BFE54-7B8E-45DD-9DD3-38FC35672D54}"/>
    <cellStyle name="20% - Accent5 4" xfId="287" xr:uid="{12151F4A-6541-41CE-AF6E-7F3E2273983D}"/>
    <cellStyle name="20% - Accent5 4 10" xfId="15504" xr:uid="{557E3F83-89D5-4B9D-A674-F151CA3C6135}"/>
    <cellStyle name="20% - Accent5 4 11" xfId="15505" xr:uid="{E25AF2FC-077A-491A-BFD1-79A8CDDB8C35}"/>
    <cellStyle name="20% - Accent5 4 12" xfId="15506" xr:uid="{4138A0E3-3F6B-4BFE-BFFB-08B7D947B5F6}"/>
    <cellStyle name="20% - Accent5 4 13" xfId="15507" xr:uid="{4DB0C258-937D-4A10-9B64-69EAAB5F7EB2}"/>
    <cellStyle name="20% - Accent5 4 14" xfId="15508" xr:uid="{DDCD066A-EB58-4A0F-A593-1462DF3826A3}"/>
    <cellStyle name="20% - Accent5 4 15" xfId="15509" xr:uid="{9428E256-7866-448B-BF3C-14C6855292F1}"/>
    <cellStyle name="20% - Accent5 4 2" xfId="288" xr:uid="{5583F460-180D-4FEF-9543-2E4C9AF6190D}"/>
    <cellStyle name="20% - Accent5 4 3" xfId="289" xr:uid="{1A6719EB-F25E-48C0-A6A8-1046E96A817F}"/>
    <cellStyle name="20% - Accent5 4 4" xfId="290" xr:uid="{97F9926B-FA79-4447-A817-F8EFA5261FB9}"/>
    <cellStyle name="20% - Accent5 4 5" xfId="291" xr:uid="{A82AC5C9-190A-4536-81C8-4F529DF7CCC0}"/>
    <cellStyle name="20% - Accent5 4 6" xfId="292" xr:uid="{4EBB1684-0FA8-4C67-ADA6-4FDE95DC1171}"/>
    <cellStyle name="20% - Accent5 4 7" xfId="10439" xr:uid="{154A313F-76F5-48FA-9886-ADA49A783178}"/>
    <cellStyle name="20% - Accent5 4 8" xfId="10752" xr:uid="{059D5B70-5778-4582-A159-83CCD0433C59}"/>
    <cellStyle name="20% - Accent5 4 9" xfId="11018" xr:uid="{04F6AB36-BEF7-4DFB-BE8A-89077571E808}"/>
    <cellStyle name="20% - Accent5 5" xfId="293" xr:uid="{955BAE8B-81FC-4237-8D52-EF2F8C6410F7}"/>
    <cellStyle name="20% - Accent5 5 10" xfId="15510" xr:uid="{433B3F9D-FD4B-4AEA-8361-C582806681C7}"/>
    <cellStyle name="20% - Accent5 5 11" xfId="15511" xr:uid="{9A8205BA-2885-404D-BE7D-A772D7547184}"/>
    <cellStyle name="20% - Accent5 5 12" xfId="15512" xr:uid="{210143B1-C8DB-4E18-80B0-815A313237AB}"/>
    <cellStyle name="20% - Accent5 5 13" xfId="15513" xr:uid="{643B7695-5E94-4EF4-9C20-D04F156E9B6B}"/>
    <cellStyle name="20% - Accent5 5 14" xfId="15514" xr:uid="{53B30538-83E7-4845-96F6-FE22634EE46F}"/>
    <cellStyle name="20% - Accent5 5 15" xfId="15515" xr:uid="{D6B9662E-8659-4697-AD29-80FE4EE75594}"/>
    <cellStyle name="20% - Accent5 5 2" xfId="294" xr:uid="{09E390D6-E7C1-4400-96C0-17A063E65FB9}"/>
    <cellStyle name="20% - Accent5 5 3" xfId="295" xr:uid="{47EE4269-D43D-4D20-B377-C825B664FB51}"/>
    <cellStyle name="20% - Accent5 5 4" xfId="296" xr:uid="{8D30F2AE-CCEE-4E7C-86A6-448D0B6102BF}"/>
    <cellStyle name="20% - Accent5 5 5" xfId="297" xr:uid="{0ED89584-7889-4D0D-9643-CCDDB8E07198}"/>
    <cellStyle name="20% - Accent5 5 6" xfId="298" xr:uid="{1437D0B5-1A03-4772-823F-474EC586C348}"/>
    <cellStyle name="20% - Accent5 5 7" xfId="10438" xr:uid="{05635790-46FF-426B-87C3-44B7E795F6CF}"/>
    <cellStyle name="20% - Accent5 5 8" xfId="10751" xr:uid="{CFECC65D-B65E-42FA-9AE8-7A1AB19C6C39}"/>
    <cellStyle name="20% - Accent5 5 9" xfId="11017" xr:uid="{B51B58EE-7C1D-4155-A347-63AAB67D0221}"/>
    <cellStyle name="20% - Accent5 6" xfId="299" xr:uid="{8C779B9B-2896-483D-B325-EBCC0EDBF8A9}"/>
    <cellStyle name="20% - Accent5 6 2" xfId="300" xr:uid="{A4FE9D6D-E0CC-4484-A48C-C30C835C9855}"/>
    <cellStyle name="20% - Accent5 6 3" xfId="301" xr:uid="{AFF6D271-A591-4491-A3D8-8CA6F994331C}"/>
    <cellStyle name="20% - Accent5 6 4" xfId="10437" xr:uid="{E89F3E12-C737-454C-ADEA-10E09D169292}"/>
    <cellStyle name="20% - Accent5 6 5" xfId="10750" xr:uid="{D032307E-86E5-49DD-9699-1B6A48F66AA9}"/>
    <cellStyle name="20% - Accent5 6 6" xfId="11016" xr:uid="{D55C4BDD-9E90-4D8B-B1C5-3B3CDDF4330C}"/>
    <cellStyle name="20% - Accent5 7" xfId="302" xr:uid="{EFF50B42-C8B4-418A-AC15-CE9300A6DC6A}"/>
    <cellStyle name="20% - Accent5 7 2" xfId="303" xr:uid="{EB120645-43E8-4DC4-BE18-BFD8A3874891}"/>
    <cellStyle name="20% - Accent5 7 3" xfId="304" xr:uid="{B5917744-4DC3-4AC7-B683-D165AA5CED1D}"/>
    <cellStyle name="20% - Accent5 7 4" xfId="10436" xr:uid="{5184298C-25BE-4A54-AB28-0A80A15488FE}"/>
    <cellStyle name="20% - Accent5 7 5" xfId="10749" xr:uid="{665E98E8-C1E1-461F-AC84-29F7AE888D05}"/>
    <cellStyle name="20% - Accent5 7 6" xfId="11015" xr:uid="{C9F0B0F3-A112-41BC-9761-1A4F2F78AE54}"/>
    <cellStyle name="20% - Accent5 8" xfId="305" xr:uid="{31CCF2F4-CDE6-4BB5-84F0-EC82F69C71CB}"/>
    <cellStyle name="20% - Accent5 8 2" xfId="306" xr:uid="{CA990703-BB74-45CC-9777-A8445D1C3705}"/>
    <cellStyle name="20% - Accent5 8 3" xfId="307" xr:uid="{8ABA03B2-E3BB-40CC-A788-A54FD049F53D}"/>
    <cellStyle name="20% - Accent5 8 4" xfId="10435" xr:uid="{616C2093-DCBA-436C-B6AE-81C13F76C700}"/>
    <cellStyle name="20% - Accent5 8 5" xfId="10748" xr:uid="{718B1C66-15A1-4CF3-87D8-6E7F0D983018}"/>
    <cellStyle name="20% - Accent5 8 6" xfId="11014" xr:uid="{BD70AD25-66E1-4F69-B781-8831F43FD0C0}"/>
    <cellStyle name="20% - Accent5 9" xfId="308" xr:uid="{1DE45CDB-3AAE-4663-981B-6C03EC004183}"/>
    <cellStyle name="20% - Accent5 9 2" xfId="309" xr:uid="{BB49F1C3-0518-4A87-9724-B827AC3B1724}"/>
    <cellStyle name="20% - Accent5 9 3" xfId="10434" xr:uid="{57E8E47D-D08B-495B-BD51-2B08AC2B1080}"/>
    <cellStyle name="20% - Accent5 9 4" xfId="10591" xr:uid="{B59073F5-5713-44DB-8F8A-EB5C094009CB}"/>
    <cellStyle name="20% - Accent5 9 5" xfId="10924" xr:uid="{A799D830-142A-4DE5-8B0B-4A6545748C51}"/>
    <cellStyle name="20% - Accent5 9 6" xfId="10747" xr:uid="{A05B3DDE-66DF-4511-8473-FD5E8F93211E}"/>
    <cellStyle name="20% - Accent6 10" xfId="310" xr:uid="{B1150FFF-FD3B-4EB1-B65F-FFEBC6FCDF63}"/>
    <cellStyle name="20% - Accent6 10 2" xfId="311" xr:uid="{2BDE8888-F057-4E03-9149-E4202FDBB6C7}"/>
    <cellStyle name="20% - Accent6 10 3" xfId="8726" xr:uid="{E663020F-73FB-44F8-A2D5-46FBADF14F3C}"/>
    <cellStyle name="20% - Accent6 10 4" xfId="10590" xr:uid="{9991E9B5-6288-4187-B72E-31998CC9C8BA}"/>
    <cellStyle name="20% - Accent6 10 5" xfId="10923" xr:uid="{175761C4-FCFD-472E-8D00-3771A84ED42E}"/>
    <cellStyle name="20% - Accent6 10 6" xfId="8725" xr:uid="{5EC24653-6293-4C7D-B013-DB057F4C86E4}"/>
    <cellStyle name="20% - Accent6 11" xfId="312" xr:uid="{CABBCD02-B6B1-4AF5-B63D-66CCB0313B83}"/>
    <cellStyle name="20% - Accent6 11 2" xfId="10738" xr:uid="{EDA8B3CE-C66F-478D-A839-A8BAC1AAB268}"/>
    <cellStyle name="20% - Accent6 12" xfId="313" xr:uid="{D072A2D8-4722-47C2-8EF8-B667CB010D88}"/>
    <cellStyle name="20% - Accent6 12 2" xfId="10745" xr:uid="{871BC28F-35F6-4925-AC28-7305B5F4829C}"/>
    <cellStyle name="20% - Accent6 13" xfId="314" xr:uid="{3B76BBF9-BD90-4A4A-866A-9084B93D5FAF}"/>
    <cellStyle name="20% - Accent6 13 2" xfId="9260" xr:uid="{56F69140-B001-4533-8A4F-94DC130A0C1C}"/>
    <cellStyle name="20% - Accent6 14" xfId="315" xr:uid="{D99B9BEF-EE89-4370-86ED-64A973380E09}"/>
    <cellStyle name="20% - Accent6 14 2" xfId="9259" xr:uid="{81EC8CCC-170A-4A1D-83D9-13836BCFB2CA}"/>
    <cellStyle name="20% - Accent6 15" xfId="316" xr:uid="{2CB8AE21-51AD-43FE-B0E2-DF86D9DCC0C3}"/>
    <cellStyle name="20% - Accent6 15 2" xfId="16185" xr:uid="{D54893B3-7EA7-4D06-9DD1-F77F90CAC246}"/>
    <cellStyle name="20% - Accent6 16" xfId="317" xr:uid="{FC7FB2AA-09B4-4841-B61F-54D5C48AAABC}"/>
    <cellStyle name="20% - Accent6 16 2" xfId="16186" xr:uid="{50F9406E-BCB9-4294-BE98-47BD576CE8DE}"/>
    <cellStyle name="20% - Accent6 17" xfId="318" xr:uid="{81FF27D7-9BB9-4A41-9BE6-085563F98829}"/>
    <cellStyle name="20% - Accent6 17 2" xfId="16187" xr:uid="{986E76EE-AC35-4173-A41B-780B6D0B6036}"/>
    <cellStyle name="20% - Accent6 18" xfId="319" xr:uid="{FC9F7576-16A3-467E-BFAE-517CE16862A6}"/>
    <cellStyle name="20% - Accent6 18 2" xfId="16188" xr:uid="{0D4E0032-DFE6-439B-9717-4098DE597905}"/>
    <cellStyle name="20% - Accent6 19" xfId="320" xr:uid="{A6852D8A-8E29-4F40-9D9C-CC2B5C01320E}"/>
    <cellStyle name="20% - Accent6 19 2" xfId="16189" xr:uid="{874039BF-6DCB-4BCC-83E6-EEF753EB834E}"/>
    <cellStyle name="20% - Accent6 2" xfId="321" xr:uid="{357BC100-74C8-4780-8B24-DE31224244BD}"/>
    <cellStyle name="20% - Accent6 2 10" xfId="9258" xr:uid="{87D88006-36A3-43AD-A202-8C130C8D0E3E}"/>
    <cellStyle name="20% - Accent6 2 11" xfId="10744" xr:uid="{71FBA15F-15D9-4806-B3CD-C46B1C2D6F51}"/>
    <cellStyle name="20% - Accent6 2 12" xfId="11013" xr:uid="{4F214799-6CF2-4919-B1FB-B6580CCA3BE3}"/>
    <cellStyle name="20% - Accent6 2 13" xfId="10433" xr:uid="{98420085-4C0C-4B92-84F3-E7D876A1F6E9}"/>
    <cellStyle name="20% - Accent6 2 14" xfId="10743" xr:uid="{3C4D12E2-75CE-4789-B3B4-43B866C8A4C9}"/>
    <cellStyle name="20% - Accent6 2 15" xfId="11012" xr:uid="{83EB5E23-25A3-4A71-B523-1B3D9C8F8A5D}"/>
    <cellStyle name="20% - Accent6 2 16" xfId="15516" xr:uid="{0314B82F-B01D-4575-BAE1-83A7C88FD26D}"/>
    <cellStyle name="20% - Accent6 2 17" xfId="15517" xr:uid="{243BFA35-B07D-419B-9AF4-692A9550E40D}"/>
    <cellStyle name="20% - Accent6 2 18" xfId="15518" xr:uid="{2E2ACE85-E53D-4F15-8B30-98688BC1C0CE}"/>
    <cellStyle name="20% - Accent6 2 19" xfId="15519" xr:uid="{2AB5AA45-085D-4BA5-84FD-C4380F81CE6E}"/>
    <cellStyle name="20% - Accent6 2 2" xfId="322" xr:uid="{0EE5B0F5-0BDE-4293-9E85-0AD875C9292C}"/>
    <cellStyle name="20% - Accent6 2 2 10" xfId="15520" xr:uid="{0616C098-712E-4C61-8A74-74051E762693}"/>
    <cellStyle name="20% - Accent6 2 2 11" xfId="15521" xr:uid="{1C0572C1-C916-4B3C-8F78-95B5B415C13D}"/>
    <cellStyle name="20% - Accent6 2 2 12" xfId="15522" xr:uid="{FFA9FBFC-28E3-45FE-BFBA-0EEEFA0B4963}"/>
    <cellStyle name="20% - Accent6 2 2 13" xfId="15523" xr:uid="{34AE4B51-7CEF-4209-8C74-83B958AE7F62}"/>
    <cellStyle name="20% - Accent6 2 2 14" xfId="15524" xr:uid="{F19D7228-7FF3-46D3-AA17-96191AE84F2B}"/>
    <cellStyle name="20% - Accent6 2 2 2" xfId="323" xr:uid="{F91B275F-56A4-462E-A7B2-0C31E9ADF9C4}"/>
    <cellStyle name="20% - Accent6 2 2 3" xfId="324" xr:uid="{9D59E023-7BA9-41C5-945D-081C80E198DA}"/>
    <cellStyle name="20% - Accent6 2 2 4" xfId="10432" xr:uid="{2A2ABFF5-E375-49A1-B485-9C407795B176}"/>
    <cellStyle name="20% - Accent6 2 2 5" xfId="10742" xr:uid="{501FB373-F010-4DA4-8C6F-E6596AB1F28A}"/>
    <cellStyle name="20% - Accent6 2 2 6" xfId="11011" xr:uid="{8068D045-780E-4762-AE14-1EC0C9416D89}"/>
    <cellStyle name="20% - Accent6 2 2 7" xfId="15525" xr:uid="{7F09E394-9EDB-4B3A-A086-0888E88E996C}"/>
    <cellStyle name="20% - Accent6 2 2 8" xfId="15526" xr:uid="{B3937B70-7B60-4AA5-86F6-584CF58AD583}"/>
    <cellStyle name="20% - Accent6 2 2 9" xfId="15527" xr:uid="{B4A6411F-B60C-41D1-AF56-FEBAF0106B9D}"/>
    <cellStyle name="20% - Accent6 2 20" xfId="23453" xr:uid="{FA026428-D45B-4A5A-A12C-97E79B3B18BB}"/>
    <cellStyle name="20% - Accent6 2 3" xfId="325" xr:uid="{9F4F6052-5042-48DD-A4FE-E9A58201D902}"/>
    <cellStyle name="20% - Accent6 2 3 2" xfId="10431" xr:uid="{38359051-0E00-4305-A544-D77ED9F60E20}"/>
    <cellStyle name="20% - Accent6 2 3 3" xfId="10741" xr:uid="{7D972681-59AA-4C76-8AB3-5518B23EE1B8}"/>
    <cellStyle name="20% - Accent6 2 3 4" xfId="11010" xr:uid="{505B8132-8ED2-41F8-8E6C-738A6DFF3F8B}"/>
    <cellStyle name="20% - Accent6 2 3 5" xfId="10430" xr:uid="{0958C085-84BF-4F0C-A015-72D2A84C6675}"/>
    <cellStyle name="20% - Accent6 2 3 6" xfId="10740" xr:uid="{DF6C37E6-F733-4240-8C82-8B492DE6AB31}"/>
    <cellStyle name="20% - Accent6 2 4" xfId="326" xr:uid="{FF75EE49-E984-4D5D-9363-57F54493487A}"/>
    <cellStyle name="20% - Accent6 2 4 2" xfId="11009" xr:uid="{6C886404-3D74-43CF-9920-60EB414164E4}"/>
    <cellStyle name="20% - Accent6 2 4 3" xfId="10429" xr:uid="{DAAFE4FE-32A2-4036-8E28-5F080F46A0F9}"/>
    <cellStyle name="20% - Accent6 2 4 4" xfId="10589" xr:uid="{A4B292A0-C85E-497C-BB31-76F959651056}"/>
    <cellStyle name="20% - Accent6 2 4 5" xfId="10922" xr:uid="{562AAE95-3901-4A4C-B5B6-BAD2FFCB7E67}"/>
    <cellStyle name="20% - Accent6 2 4 6" xfId="10739" xr:uid="{F7427E19-32D9-4F73-ADCD-A3DCDF855315}"/>
    <cellStyle name="20% - Accent6 2 5" xfId="327" xr:uid="{8DA18839-A919-439C-9EB6-437FA4D57BFD}"/>
    <cellStyle name="20% - Accent6 2 5 2" xfId="8724" xr:uid="{FDE6A078-1E67-4B21-ACF3-13FE713701BC}"/>
    <cellStyle name="20% - Accent6 2 5 3" xfId="10588" xr:uid="{A135A9B9-EDF8-4420-B580-717624DE8DBC}"/>
    <cellStyle name="20% - Accent6 2 5 4" xfId="10921" xr:uid="{B815EAB8-B001-4411-BFE7-9E9B0F7B9B9F}"/>
    <cellStyle name="20% - Accent6 2 5 5" xfId="8723" xr:uid="{4692C4A0-2A31-4AA8-AF17-3313035B64A6}"/>
    <cellStyle name="20% - Accent6 2 5 6" xfId="10726" xr:uid="{4DB8E1A6-8A4C-49BD-BD59-7EF1DEB11236}"/>
    <cellStyle name="20% - Accent6 2 6" xfId="328" xr:uid="{769C131A-06C2-41FF-A117-6219A97CFD9B}"/>
    <cellStyle name="20% - Accent6 2 6 2" xfId="10737" xr:uid="{B0D11850-8F79-4DC7-8310-42F3BFE11C34}"/>
    <cellStyle name="20% - Accent6 2 6 3" xfId="11008" xr:uid="{BFFCF795-3981-4EE0-981F-FEDF817472A6}"/>
    <cellStyle name="20% - Accent6 2 6 4" xfId="10428" xr:uid="{3C038B3D-55EE-46E3-B362-9CEB29D149E8}"/>
    <cellStyle name="20% - Accent6 2 6 5" xfId="10736" xr:uid="{27F7C4C7-28F6-406B-B1D8-3C1BE4969918}"/>
    <cellStyle name="20% - Accent6 2 6 6" xfId="11007" xr:uid="{A3274D96-74E1-4255-B305-6480547C4388}"/>
    <cellStyle name="20% - Accent6 2 7" xfId="329" xr:uid="{F2246F23-7FF1-4E74-929C-046B533E3576}"/>
    <cellStyle name="20% - Accent6 2 7 2" xfId="10427" xr:uid="{3315DC92-2361-40B8-9EFD-BF30E01735E1}"/>
    <cellStyle name="20% - Accent6 2 7 3" xfId="10735" xr:uid="{A4B4446F-B859-4A49-BCA1-3E72C5ECA8C9}"/>
    <cellStyle name="20% - Accent6 2 7 4" xfId="11006" xr:uid="{9E55F146-A392-48BE-A8F1-F69898F23E32}"/>
    <cellStyle name="20% - Accent6 2 7 5" xfId="10426" xr:uid="{1238FC25-687C-4B32-A70D-22CE4596D9E9}"/>
    <cellStyle name="20% - Accent6 2 7 6" xfId="10734" xr:uid="{9F81896C-497F-4B29-A7C6-9BABDBEB0970}"/>
    <cellStyle name="20% - Accent6 2 8" xfId="330" xr:uid="{FEED69BF-8378-440D-888C-D67D6576DD3B}"/>
    <cellStyle name="20% - Accent6 2 9" xfId="331" xr:uid="{2A0B5486-3DB1-43A0-97D3-D4C1437A3FF8}"/>
    <cellStyle name="20% - Accent6 20" xfId="332" xr:uid="{7C52C290-DAC2-4201-9988-D132F213BA26}"/>
    <cellStyle name="20% - Accent6 20 2" xfId="16190" xr:uid="{D262E06F-33F3-4BB3-BAD4-C4CAFB1D2286}"/>
    <cellStyle name="20% - Accent6 21" xfId="16191" xr:uid="{038F2DE0-96D0-4635-A765-33DDDE8028D8}"/>
    <cellStyle name="20% - Accent6 22" xfId="15146" xr:uid="{40C56174-5395-4521-B047-9A95093565AE}"/>
    <cellStyle name="20% - Accent6 3" xfId="333" xr:uid="{6F23C60B-5E19-4F43-9434-F899C330BAD6}"/>
    <cellStyle name="20% - Accent6 3 10" xfId="334" xr:uid="{AEA1F73C-412E-4242-83B3-131D355A50B9}"/>
    <cellStyle name="20% - Accent6 3 11" xfId="335" xr:uid="{846BD7BF-3806-4F76-9238-26A6D3667A1E}"/>
    <cellStyle name="20% - Accent6 3 12" xfId="336" xr:uid="{AD2FD7CA-E751-4E73-A90F-21F37DB9563B}"/>
    <cellStyle name="20% - Accent6 3 13" xfId="337" xr:uid="{C019B34D-7F02-4ED7-A892-29318521ED74}"/>
    <cellStyle name="20% - Accent6 3 14" xfId="338" xr:uid="{E48CE51D-E087-4C79-92E7-591805724651}"/>
    <cellStyle name="20% - Accent6 3 15" xfId="15528" xr:uid="{B6130561-3C57-47C4-86EE-C6977E8AC3CB}"/>
    <cellStyle name="20% - Accent6 3 2" xfId="339" xr:uid="{54C45C71-AE38-444E-9C29-42D6D900A57D}"/>
    <cellStyle name="20% - Accent6 3 3" xfId="340" xr:uid="{910889D1-E5B7-4B58-A73A-F49B01A9095B}"/>
    <cellStyle name="20% - Accent6 3 4" xfId="341" xr:uid="{F977C770-F8F1-4F9B-A987-6B338B2A959B}"/>
    <cellStyle name="20% - Accent6 3 5" xfId="342" xr:uid="{78ABE0F2-2AC6-42AD-BC17-52F31867796C}"/>
    <cellStyle name="20% - Accent6 3 6" xfId="343" xr:uid="{A762B3AA-8527-4AC0-91B0-6A3232D8AEB0}"/>
    <cellStyle name="20% - Accent6 3 7" xfId="344" xr:uid="{FFF05BD3-1470-4EDA-8982-378AEE474A3A}"/>
    <cellStyle name="20% - Accent6 3 8" xfId="345" xr:uid="{8C69D792-6BD6-4204-AEEF-EFC910F6C920}"/>
    <cellStyle name="20% - Accent6 3 9" xfId="346" xr:uid="{21DF5DA9-101D-4BC4-9472-F83E480FE023}"/>
    <cellStyle name="20% - Accent6 4" xfId="347" xr:uid="{4A54B803-620D-4CED-8929-E952A36A72A3}"/>
    <cellStyle name="20% - Accent6 4 10" xfId="15529" xr:uid="{CE5A84D5-1B86-4052-8400-C39914A3958D}"/>
    <cellStyle name="20% - Accent6 4 11" xfId="15530" xr:uid="{594BF752-346B-4466-AF4D-5921B50D546C}"/>
    <cellStyle name="20% - Accent6 4 12" xfId="15531" xr:uid="{AB9BE2A4-3B0B-4A21-928B-7B2EB437C513}"/>
    <cellStyle name="20% - Accent6 4 13" xfId="15532" xr:uid="{BCDD4E77-C7D5-47B3-B05A-BDC3DCABE3EE}"/>
    <cellStyle name="20% - Accent6 4 14" xfId="15533" xr:uid="{FE2484C0-C615-460D-AA60-7B7FFAD3E19A}"/>
    <cellStyle name="20% - Accent6 4 15" xfId="15534" xr:uid="{32CD6738-F609-4875-BA33-A57CEB5C2D5A}"/>
    <cellStyle name="20% - Accent6 4 2" xfId="348" xr:uid="{7D73F38F-6FF1-4FBE-B979-862906DB0F1A}"/>
    <cellStyle name="20% - Accent6 4 3" xfId="349" xr:uid="{20C7658D-0474-4FD2-931D-4035AB261B75}"/>
    <cellStyle name="20% - Accent6 4 4" xfId="350" xr:uid="{E7FA44C3-B14F-44F0-89E4-D941974752B2}"/>
    <cellStyle name="20% - Accent6 4 5" xfId="351" xr:uid="{9736572B-86AB-4EDF-A389-A823CDA34B96}"/>
    <cellStyle name="20% - Accent6 4 6" xfId="352" xr:uid="{4DE7DC85-9E5E-441B-A59E-4E1257A88542}"/>
    <cellStyle name="20% - Accent6 4 7" xfId="11005" xr:uid="{444666B8-9B77-442E-ACB5-5F0A2A3152BC}"/>
    <cellStyle name="20% - Accent6 4 8" xfId="10425" xr:uid="{6F46D1BB-C838-4990-85DC-8366DE294371}"/>
    <cellStyle name="20% - Accent6 4 9" xfId="10587" xr:uid="{14178128-142E-4F43-A9E5-4C83A3AE0FD0}"/>
    <cellStyle name="20% - Accent6 5" xfId="353" xr:uid="{B3EAFAD4-10F4-4C4E-8519-61C4989F0EF1}"/>
    <cellStyle name="20% - Accent6 5 10" xfId="15535" xr:uid="{4813FCEE-D48F-4FDB-A935-83C8DE0147A5}"/>
    <cellStyle name="20% - Accent6 5 11" xfId="15536" xr:uid="{821230A8-2E41-4DFA-AD67-D60015A13548}"/>
    <cellStyle name="20% - Accent6 5 12" xfId="15537" xr:uid="{BD742BC4-9FD4-431D-AD47-14F6C81C8C3C}"/>
    <cellStyle name="20% - Accent6 5 13" xfId="15538" xr:uid="{43FEEC4B-CD2E-4BE2-AA8F-39A11EAB73C9}"/>
    <cellStyle name="20% - Accent6 5 14" xfId="15539" xr:uid="{713EAB3B-E6A3-4827-AEAC-8A9446FEA3CA}"/>
    <cellStyle name="20% - Accent6 5 15" xfId="15540" xr:uid="{273F22BF-AD07-4139-9117-9AEA670B184F}"/>
    <cellStyle name="20% - Accent6 5 2" xfId="354" xr:uid="{ADD616F9-5A10-4280-AB53-324D406A293C}"/>
    <cellStyle name="20% - Accent6 5 3" xfId="355" xr:uid="{6283BBB3-EE63-43AD-A4CD-ED361AC49545}"/>
    <cellStyle name="20% - Accent6 5 4" xfId="356" xr:uid="{7A5B9997-A84E-487B-93B1-0A7439389A53}"/>
    <cellStyle name="20% - Accent6 5 5" xfId="357" xr:uid="{FB56C79F-A664-421C-935C-E6A1AFACC780}"/>
    <cellStyle name="20% - Accent6 5 6" xfId="358" xr:uid="{1CE6C546-9BB6-4BC3-AA15-EED9C987B913}"/>
    <cellStyle name="20% - Accent6 5 7" xfId="10920" xr:uid="{6E153B30-D4B9-4E9D-AB12-199C6FA149B1}"/>
    <cellStyle name="20% - Accent6 5 8" xfId="10733" xr:uid="{AA4AB24C-19AC-4F63-A1B3-1C99537EED85}"/>
    <cellStyle name="20% - Accent6 5 9" xfId="8722" xr:uid="{E1CF79F3-F4C6-40FD-821D-4E2198DDB675}"/>
    <cellStyle name="20% - Accent6 6" xfId="359" xr:uid="{C4BC3CE4-19B5-4721-BDDC-36EBE46E8071}"/>
    <cellStyle name="20% - Accent6 6 2" xfId="360" xr:uid="{FB69E9B3-9D6B-463D-B627-4E01F9B3743D}"/>
    <cellStyle name="20% - Accent6 6 3" xfId="361" xr:uid="{8AC57D55-6AAA-4DFA-ABC1-AE7A72C319A1}"/>
    <cellStyle name="20% - Accent6 6 4" xfId="10586" xr:uid="{4CD2CE2C-94E8-4C8C-B841-340ECA84164F}"/>
    <cellStyle name="20% - Accent6 6 5" xfId="10919" xr:uid="{0C089EB8-E89D-4DBC-8CFF-22260CB7F066}"/>
    <cellStyle name="20% - Accent6 6 6" xfId="10730" xr:uid="{CD68F7A5-2B32-46D1-AC57-F844B52758AA}"/>
    <cellStyle name="20% - Accent6 7" xfId="362" xr:uid="{6ED8EC99-741F-4CDB-9B62-9EAAEFF87914}"/>
    <cellStyle name="20% - Accent6 7 2" xfId="363" xr:uid="{F26C9295-5A18-4300-B89D-771D1FC9FFB3}"/>
    <cellStyle name="20% - Accent6 7 3" xfId="364" xr:uid="{D3CD0EBD-A079-4C20-A131-DA752A99AC62}"/>
    <cellStyle name="20% - Accent6 7 4" xfId="10732" xr:uid="{793FE212-BDCC-4261-9841-615BE0E9597E}"/>
    <cellStyle name="20% - Accent6 7 5" xfId="11004" xr:uid="{D94D156D-04BE-4FEF-BDD5-A65368ABDDA6}"/>
    <cellStyle name="20% - Accent6 7 6" xfId="10424" xr:uid="{D2F4576B-331D-41CA-97D8-BD2131D63C85}"/>
    <cellStyle name="20% - Accent6 8" xfId="365" xr:uid="{24B7713A-18FD-4D39-8321-D5F0348AB5B3}"/>
    <cellStyle name="20% - Accent6 8 2" xfId="366" xr:uid="{58CCA2A1-07C9-4BB1-972F-8B4D36DB41BA}"/>
    <cellStyle name="20% - Accent6 8 3" xfId="367" xr:uid="{CE05F481-95FB-4B0A-B9F4-5874DEAC15A5}"/>
    <cellStyle name="20% - Accent6 8 4" xfId="10731" xr:uid="{9A26CB14-4B18-4E1B-8D4F-F641577CADF0}"/>
    <cellStyle name="20% - Accent6 8 5" xfId="11003" xr:uid="{E0565ED1-9B5A-4F74-AD16-29DA259B9B4B}"/>
    <cellStyle name="20% - Accent6 8 6" xfId="10423" xr:uid="{12AE186F-4E11-4D2C-BF86-AB525484C407}"/>
    <cellStyle name="20% - Accent6 9" xfId="368" xr:uid="{6686EB45-F647-4183-AA44-E9995FB3A3ED}"/>
    <cellStyle name="20% - Accent6 9 2" xfId="369" xr:uid="{BAE3BB82-AAE1-4704-BD59-0EFC72B3F5C7}"/>
    <cellStyle name="20% - Accent6 9 3" xfId="8721" xr:uid="{00D7B644-6A0E-48F6-9DCC-CF1C3299DFAA}"/>
    <cellStyle name="20% - Accent6 9 4" xfId="10585" xr:uid="{BA5A7F14-3ED4-446A-B1A7-F9BE8F855F94}"/>
    <cellStyle name="20% - Accent6 9 5" xfId="10918" xr:uid="{682B625C-6571-4DE7-802A-3055054218DC}"/>
    <cellStyle name="20% - Accent6 9 6" xfId="10727" xr:uid="{8B278895-C70A-4DFA-8286-79B08224D7F7}"/>
    <cellStyle name="20% - Cor1" xfId="370" xr:uid="{6C6AB605-C14B-4CFD-9FD1-9514EE30902A}"/>
    <cellStyle name="20% - Cor1 10" xfId="15541" xr:uid="{57D26081-B6E7-4EBE-96CB-C8439BCA8031}"/>
    <cellStyle name="20% - Cor1 11" xfId="15542" xr:uid="{597C4C05-FA00-4A12-BBA7-20D3D3B33883}"/>
    <cellStyle name="20% - Cor1 12" xfId="15543" xr:uid="{3ACF6827-F254-409C-958D-449A415A3852}"/>
    <cellStyle name="20% - Cor1 13" xfId="15544" xr:uid="{5C06334B-E9B3-4A67-A4A7-58FDA148753F}"/>
    <cellStyle name="20% - Cor1 14" xfId="15545" xr:uid="{0142C6DC-8B1B-46FF-AC03-8E6C7BADCDD5}"/>
    <cellStyle name="20% - Cor1 15" xfId="15546" xr:uid="{4A49FA2F-075E-4A31-9420-949335CFAE9A}"/>
    <cellStyle name="20% - Cor1 16" xfId="15547" xr:uid="{C6125B44-BD39-46A8-8652-E755AB43C367}"/>
    <cellStyle name="20% - Cor1 17" xfId="15548" xr:uid="{7B106C04-A778-46A6-B5F7-6CBB8496CFD9}"/>
    <cellStyle name="20% - Cor1 18" xfId="23454" xr:uid="{CDE8C9F5-EB77-4367-A50A-46E1F895CC0C}"/>
    <cellStyle name="20% - Cor1 2" xfId="371" xr:uid="{25B0FF00-DAEF-4163-8D52-D363F30E2942}"/>
    <cellStyle name="20% - Cor1 3" xfId="372" xr:uid="{E5E311C7-8795-473B-8796-C700929BCA0E}"/>
    <cellStyle name="20% - Cor1 4" xfId="373" xr:uid="{7041F74E-88A6-4204-964D-C5B7E9ABAE5D}"/>
    <cellStyle name="20% - Cor1 5" xfId="374" xr:uid="{4B2F1EE9-06DF-417B-8BD3-4E04BA193FCB}"/>
    <cellStyle name="20% - Cor1 6" xfId="375" xr:uid="{118EC066-7729-4E68-8029-B0ED3DB46B70}"/>
    <cellStyle name="20% - Cor1 7" xfId="376" xr:uid="{805211E5-D4F3-4928-A4D1-12DD394F233C}"/>
    <cellStyle name="20% - Cor1 8" xfId="377" xr:uid="{D2FF927F-6CA7-4A67-AD1F-D0BDAFFA1F7E}"/>
    <cellStyle name="20% - Cor1 9" xfId="10729" xr:uid="{85787449-D30D-473D-AE15-8E6C3717EC48}"/>
    <cellStyle name="20% - Cor2" xfId="378" xr:uid="{D75A68D2-DCD4-4310-922A-C2A2D217F8AD}"/>
    <cellStyle name="20% - Cor2 10" xfId="15549" xr:uid="{559138F6-B480-41AF-B576-693D305C46A6}"/>
    <cellStyle name="20% - Cor2 11" xfId="15550" xr:uid="{C970EE98-40FB-4577-BA95-8A3B7000BE73}"/>
    <cellStyle name="20% - Cor2 12" xfId="15551" xr:uid="{8FD25C0D-3DC6-47B4-97D3-CA7D484F3945}"/>
    <cellStyle name="20% - Cor2 13" xfId="15552" xr:uid="{4976943B-7074-4714-838B-66608CA82E23}"/>
    <cellStyle name="20% - Cor2 14" xfId="15553" xr:uid="{2C08CD5D-F986-4D83-89E2-3406DEBC669B}"/>
    <cellStyle name="20% - Cor2 15" xfId="15554" xr:uid="{16566B32-42EC-4E3C-92AA-F0A935B6DAB8}"/>
    <cellStyle name="20% - Cor2 16" xfId="15555" xr:uid="{78D80A7C-4571-4C6A-953E-F33A4B6D0457}"/>
    <cellStyle name="20% - Cor2 17" xfId="15556" xr:uid="{04E2D143-815A-4072-9CDE-7FC084A45ECA}"/>
    <cellStyle name="20% - Cor2 18" xfId="23455" xr:uid="{8C38C52B-1667-4375-B667-6EB11CD850DB}"/>
    <cellStyle name="20% - Cor2 2" xfId="379" xr:uid="{2845ECE9-2B76-4841-B15C-F9D9D6DA14A1}"/>
    <cellStyle name="20% - Cor2 3" xfId="380" xr:uid="{26C6127A-4BFE-4170-A3B4-A75D4144478F}"/>
    <cellStyle name="20% - Cor2 4" xfId="381" xr:uid="{32EC2C53-DC21-4127-911E-5E0BBDFFA731}"/>
    <cellStyle name="20% - Cor2 5" xfId="382" xr:uid="{72E3A789-E846-48F6-86B8-A063432562A8}"/>
    <cellStyle name="20% - Cor2 6" xfId="383" xr:uid="{C304A32C-3EAC-4F81-A181-56EB605D648E}"/>
    <cellStyle name="20% - Cor2 7" xfId="384" xr:uid="{EEF2D664-CF32-4C77-8AFA-F1089E916308}"/>
    <cellStyle name="20% - Cor2 8" xfId="385" xr:uid="{E068C0F2-F83A-4318-9A23-99DEEA628EAF}"/>
    <cellStyle name="20% - Cor2 9" xfId="11002" xr:uid="{F902C132-6A9B-4D21-AF7E-10DBD2962D10}"/>
    <cellStyle name="20% - Cor3" xfId="386" xr:uid="{A08C4E85-A371-4D64-8459-5A3DBDA1A59F}"/>
    <cellStyle name="20% - Cor3 10" xfId="15557" xr:uid="{6FC55448-027F-4735-BACD-8D3042C17FF5}"/>
    <cellStyle name="20% - Cor3 11" xfId="15558" xr:uid="{E2841F6E-C442-467F-90C6-05E33D93C35E}"/>
    <cellStyle name="20% - Cor3 12" xfId="15559" xr:uid="{1A734F71-1943-432E-9FFA-8E32DB935E13}"/>
    <cellStyle name="20% - Cor3 13" xfId="15560" xr:uid="{AD8FF99B-ADC0-497B-AFF6-0B7D4C3706EB}"/>
    <cellStyle name="20% - Cor3 14" xfId="15561" xr:uid="{97000F48-8ED7-439C-A4C9-660A1AED220C}"/>
    <cellStyle name="20% - Cor3 15" xfId="15562" xr:uid="{44A82952-7FE7-47BE-A2DC-434262E26298}"/>
    <cellStyle name="20% - Cor3 16" xfId="15563" xr:uid="{45C76891-7564-4A21-84F4-4323F65C92F2}"/>
    <cellStyle name="20% - Cor3 17" xfId="15564" xr:uid="{A4424FC2-0B82-4F30-A034-5029A70611BA}"/>
    <cellStyle name="20% - Cor3 18" xfId="23456" xr:uid="{021F4279-8868-4709-B6A2-EEA944767B7D}"/>
    <cellStyle name="20% - Cor3 2" xfId="387" xr:uid="{79994C47-A417-4E53-B66C-41B8D46F70EC}"/>
    <cellStyle name="20% - Cor3 3" xfId="388" xr:uid="{E3DBE4A3-5458-4063-9336-1C8C4DE23E20}"/>
    <cellStyle name="20% - Cor3 4" xfId="389" xr:uid="{4A1A7FE1-B509-47B0-9BE9-95DD81CF0A03}"/>
    <cellStyle name="20% - Cor3 5" xfId="390" xr:uid="{C6E0516D-A1B8-4995-8AC7-FEE61874E590}"/>
    <cellStyle name="20% - Cor3 6" xfId="391" xr:uid="{691E4C6E-3200-413F-82F0-14FC0E58DD24}"/>
    <cellStyle name="20% - Cor3 7" xfId="392" xr:uid="{DCCDE0D5-62E7-4B9E-9870-E5750E64D1B1}"/>
    <cellStyle name="20% - Cor3 8" xfId="393" xr:uid="{7116BB78-5D51-4090-957B-298EA9D3FB8E}"/>
    <cellStyle name="20% - Cor3 9" xfId="10422" xr:uid="{8DDBC890-C115-44C4-A494-F7B08BC4BD10}"/>
    <cellStyle name="20% - Cor4" xfId="394" xr:uid="{2988BB77-18F2-4989-A1C4-CA0304713862}"/>
    <cellStyle name="20% - Cor4 10" xfId="15565" xr:uid="{3004FD4F-A349-40A6-81B2-6961B2658540}"/>
    <cellStyle name="20% - Cor4 11" xfId="15566" xr:uid="{370DC7B7-2685-4060-B61D-C37FB57310A6}"/>
    <cellStyle name="20% - Cor4 12" xfId="15567" xr:uid="{EFEBFD03-C0F0-4939-89DC-0850495FF0E1}"/>
    <cellStyle name="20% - Cor4 13" xfId="15568" xr:uid="{61EA8E43-7C25-48E6-9BE9-F3BA5CFBE781}"/>
    <cellStyle name="20% - Cor4 14" xfId="15569" xr:uid="{36BE56A0-2D46-4EE9-AC1F-60518CD20DE0}"/>
    <cellStyle name="20% - Cor4 15" xfId="15570" xr:uid="{26BC34F4-3D60-4084-859B-3A7CD1F7E053}"/>
    <cellStyle name="20% - Cor4 16" xfId="15571" xr:uid="{F61ECB33-2D11-4D1B-9650-D221C28E3353}"/>
    <cellStyle name="20% - Cor4 17" xfId="15572" xr:uid="{5504013E-430B-45AC-A1A0-1A7566298349}"/>
    <cellStyle name="20% - Cor4 18" xfId="23457" xr:uid="{2492CDA6-9474-4A61-8132-CCA2AE401A9C}"/>
    <cellStyle name="20% - Cor4 2" xfId="395" xr:uid="{E6045B77-037C-4870-8B92-072AE113CE1C}"/>
    <cellStyle name="20% - Cor4 3" xfId="396" xr:uid="{E95BA1C8-6E96-4AC9-8FF9-A374AC630679}"/>
    <cellStyle name="20% - Cor4 4" xfId="397" xr:uid="{FEE9C899-09BB-4750-A2A5-178EA8C50074}"/>
    <cellStyle name="20% - Cor4 5" xfId="398" xr:uid="{67D126C0-2EC5-4FA9-824C-DEAC8A20AE38}"/>
    <cellStyle name="20% - Cor4 6" xfId="399" xr:uid="{A5E3AF05-97C5-4D68-9EE0-86522BE36B8E}"/>
    <cellStyle name="20% - Cor4 7" xfId="400" xr:uid="{02795DBE-F552-46EE-8346-1605395E706A}"/>
    <cellStyle name="20% - Cor4 8" xfId="401" xr:uid="{3ED6FB57-E185-4D1D-8EC2-71FAAD4C4700}"/>
    <cellStyle name="20% - Cor4 9" xfId="10728" xr:uid="{CC245598-480A-45B5-9930-A8A7019C840F}"/>
    <cellStyle name="20% - Cor5" xfId="402" xr:uid="{C54AACA4-9AF1-4994-B179-FDCB7DBF9148}"/>
    <cellStyle name="20% - Cor5 10" xfId="15573" xr:uid="{B55091A9-9E14-4893-A802-CAF7CA38AF4B}"/>
    <cellStyle name="20% - Cor5 11" xfId="15574" xr:uid="{E325A703-E9B8-4CF0-A83D-23B9FF1131DF}"/>
    <cellStyle name="20% - Cor5 12" xfId="15575" xr:uid="{7259195F-46DC-436C-919E-39F062E4CD8F}"/>
    <cellStyle name="20% - Cor5 13" xfId="15576" xr:uid="{3C9801BD-B493-417D-8ECB-DF7115E37B3B}"/>
    <cellStyle name="20% - Cor5 14" xfId="15577" xr:uid="{BA14CD51-2EAC-41C2-B924-F8BF94F3DF49}"/>
    <cellStyle name="20% - Cor5 15" xfId="15578" xr:uid="{30C224C4-359B-4040-911F-5E4D03524B68}"/>
    <cellStyle name="20% - Cor5 16" xfId="15579" xr:uid="{7BEEF44B-B799-4E7A-9A82-045BF6646180}"/>
    <cellStyle name="20% - Cor5 17" xfId="15580" xr:uid="{C5B3D016-8CFF-48C6-8D0A-890408787F72}"/>
    <cellStyle name="20% - Cor5 18" xfId="23458" xr:uid="{9EB2940E-E1FE-433B-9F94-217EB202AC61}"/>
    <cellStyle name="20% - Cor5 2" xfId="403" xr:uid="{784DE423-7348-4804-8971-B8448C7C2529}"/>
    <cellStyle name="20% - Cor5 3" xfId="404" xr:uid="{584A6B25-6784-4C21-AFBB-F10CC73E51F9}"/>
    <cellStyle name="20% - Cor5 4" xfId="405" xr:uid="{790A9115-9727-46B0-8BB6-3F804E0579DF}"/>
    <cellStyle name="20% - Cor5 5" xfId="406" xr:uid="{D311411B-5E8C-4A16-AE5D-10615F770C65}"/>
    <cellStyle name="20% - Cor5 6" xfId="407" xr:uid="{404D2259-D21F-404F-83A5-4251FC00766D}"/>
    <cellStyle name="20% - Cor5 7" xfId="408" xr:uid="{39B17E15-506C-4CB2-AFC0-4403BE90BA27}"/>
    <cellStyle name="20% - Cor5 8" xfId="409" xr:uid="{57A39513-A578-4E4C-A928-3B2736508599}"/>
    <cellStyle name="20% - Cor5 9" xfId="11001" xr:uid="{13F2F037-B472-4FF2-BAF6-59AEA4351B90}"/>
    <cellStyle name="20% - Cor6" xfId="410" xr:uid="{71B9EDF1-EC0C-4C3E-B221-EB3CE337DEB7}"/>
    <cellStyle name="20% - Cor6 10" xfId="15581" xr:uid="{437CA787-158D-4D63-ACF4-5FE4B7765505}"/>
    <cellStyle name="20% - Cor6 11" xfId="15582" xr:uid="{F1A77849-CE11-4DFF-ADD5-982F26F5D8EA}"/>
    <cellStyle name="20% - Cor6 12" xfId="15583" xr:uid="{F06BCF28-5875-48F4-A8C5-9CF4840E25A2}"/>
    <cellStyle name="20% - Cor6 13" xfId="15584" xr:uid="{3968BB99-6BB0-4293-910D-6C1D6D95BEFC}"/>
    <cellStyle name="20% - Cor6 14" xfId="15585" xr:uid="{67318BBB-40C1-49E5-BBA2-DC19CD24AAD4}"/>
    <cellStyle name="20% - Cor6 15" xfId="15586" xr:uid="{5707F4D2-008E-419D-8560-5F020EA4CCC5}"/>
    <cellStyle name="20% - Cor6 16" xfId="15587" xr:uid="{46D5F829-FAF1-4CB0-AD56-24D6C2466DB2}"/>
    <cellStyle name="20% - Cor6 17" xfId="15588" xr:uid="{7DBD6775-EC6D-45CC-BF4D-3D8B4D875E62}"/>
    <cellStyle name="20% - Cor6 18" xfId="23459" xr:uid="{EBC3AEA7-CCD2-4F42-81B3-E695F479D25A}"/>
    <cellStyle name="20% - Cor6 2" xfId="411" xr:uid="{E73E181A-E308-4753-8C17-0D0F23D95937}"/>
    <cellStyle name="20% - Cor6 3" xfId="412" xr:uid="{92C421FF-39A9-4406-996A-9957BDBC84EB}"/>
    <cellStyle name="20% - Cor6 4" xfId="413" xr:uid="{093E75CD-7698-41FA-9A43-70F2BE66365A}"/>
    <cellStyle name="20% - Cor6 5" xfId="414" xr:uid="{C5C51259-9D79-4983-A906-A7F66A2E555B}"/>
    <cellStyle name="20% - Cor6 6" xfId="415" xr:uid="{59EBC5F6-6DB3-48C6-AC12-FA4831B8ABF6}"/>
    <cellStyle name="20% - Cor6 7" xfId="416" xr:uid="{B095A50C-164E-4944-90EB-F4EF4A007201}"/>
    <cellStyle name="20% - Cor6 8" xfId="417" xr:uid="{82095A12-2E1B-484C-A9C4-75D8C038CD20}"/>
    <cellStyle name="20% - Cor6 9" xfId="10421" xr:uid="{67A3D4DA-FE4A-423D-B2E0-36FBC79D7C09}"/>
    <cellStyle name="2x indented GHG Textfiels" xfId="418" xr:uid="{666FE379-C76E-4210-ACB4-FA82C35B4408}"/>
    <cellStyle name="40% - Accent1 10" xfId="419" xr:uid="{6DAAD6CC-F5AC-4B61-9AE0-DDE176036AA4}"/>
    <cellStyle name="40% - Accent1 10 2" xfId="420" xr:uid="{7CD936D5-6D62-4045-8420-922052AC0BD2}"/>
    <cellStyle name="40% - Accent1 10 3" xfId="8720" xr:uid="{92D00BAD-E5D9-4EE6-9949-9EB4ED382245}"/>
    <cellStyle name="40% - Accent1 10 4" xfId="10584" xr:uid="{7DCEE5C9-1586-4637-8C26-4E6BE22FAED8}"/>
    <cellStyle name="40% - Accent1 10 5" xfId="10917" xr:uid="{B8FD13EC-148D-4E43-8FDF-AADAECD016DE}"/>
    <cellStyle name="40% - Accent1 10 6" xfId="8719" xr:uid="{D32FB17C-0CA8-424C-A082-382562321FE5}"/>
    <cellStyle name="40% - Accent1 11" xfId="421" xr:uid="{D01AF32A-11F2-4322-BA6B-C3DD702F34E1}"/>
    <cellStyle name="40% - Accent1 11 2" xfId="10583" xr:uid="{9124E493-BB11-443E-8C18-03F1304F7BF3}"/>
    <cellStyle name="40% - Accent1 12" xfId="422" xr:uid="{A0364E85-1ED6-4CE0-A773-91759EFBCA4A}"/>
    <cellStyle name="40% - Accent1 12 2" xfId="10916" xr:uid="{02F2F3C5-A36B-47FD-8A59-24BE8F565C94}"/>
    <cellStyle name="40% - Accent1 13" xfId="423" xr:uid="{BEFC0B86-3011-432A-BD3B-3E6966BF969F}"/>
    <cellStyle name="40% - Accent1 13 2" xfId="9168" xr:uid="{7D09F92F-5555-43B4-A1F0-86765BF6DC41}"/>
    <cellStyle name="40% - Accent1 14" xfId="424" xr:uid="{83974F93-6C2D-479E-A9E0-D5AB1553F147}"/>
    <cellStyle name="40% - Accent1 14 2" xfId="9166" xr:uid="{284EDAD1-582A-4FC1-AF76-0A85F0D779BD}"/>
    <cellStyle name="40% - Accent1 15" xfId="425" xr:uid="{3CDFCD0E-A0CA-47EF-A46E-11EAA7244144}"/>
    <cellStyle name="40% - Accent1 15 2" xfId="16192" xr:uid="{D2CB23EF-3045-4F05-ACC5-5B94D4A1E1AE}"/>
    <cellStyle name="40% - Accent1 16" xfId="426" xr:uid="{F0086532-6880-4CE1-83A5-CCE1AFD3C4F2}"/>
    <cellStyle name="40% - Accent1 16 2" xfId="16193" xr:uid="{6D1DC08D-FA4B-42E9-8B3B-723182188806}"/>
    <cellStyle name="40% - Accent1 17" xfId="427" xr:uid="{8B36595B-767E-40A1-A80D-24D22292AA86}"/>
    <cellStyle name="40% - Accent1 17 2" xfId="16194" xr:uid="{6FB3DE06-173A-4CFC-9381-7F7D179AB329}"/>
    <cellStyle name="40% - Accent1 18" xfId="428" xr:uid="{96D3AB73-884E-4CE6-8CBB-D96819C7A8D6}"/>
    <cellStyle name="40% - Accent1 18 2" xfId="16195" xr:uid="{77FE7CE0-26A1-468E-8AD8-04BACB6035F9}"/>
    <cellStyle name="40% - Accent1 19" xfId="429" xr:uid="{FAE191CF-AC56-4C7C-A8CB-C46BE35D47F9}"/>
    <cellStyle name="40% - Accent1 19 2" xfId="16196" xr:uid="{654316E9-126E-4D9A-8E99-101796197F1B}"/>
    <cellStyle name="40% - Accent1 2" xfId="430" xr:uid="{9B7BD041-C5F1-4E77-8747-F1B9693D6E61}"/>
    <cellStyle name="40% - Accent1 2 10" xfId="9165" xr:uid="{5A43337B-2179-4C27-BC86-634573F374CD}"/>
    <cellStyle name="40% - Accent1 2 11" xfId="10582" xr:uid="{D8AE95C0-2392-4AC5-A1CA-23108FAD2BF5}"/>
    <cellStyle name="40% - Accent1 2 12" xfId="10915" xr:uid="{C285EA8A-5450-4FFD-8697-087F2342D9B4}"/>
    <cellStyle name="40% - Accent1 2 13" xfId="10725" xr:uid="{1EFDAAB6-C3D8-45F3-89A2-B4C9AAC1852D}"/>
    <cellStyle name="40% - Accent1 2 14" xfId="8718" xr:uid="{7846D658-F505-4BF7-B7F2-74C8E8208509}"/>
    <cellStyle name="40% - Accent1 2 15" xfId="10581" xr:uid="{18251FCB-E9D0-4077-9FA1-BBC8924366D2}"/>
    <cellStyle name="40% - Accent1 2 16" xfId="15589" xr:uid="{D6561A17-2994-4D00-B419-51C14F8C9BCA}"/>
    <cellStyle name="40% - Accent1 2 17" xfId="15590" xr:uid="{FC8E4200-F275-4E3F-9FF3-ADA3CE117DDE}"/>
    <cellStyle name="40% - Accent1 2 18" xfId="15591" xr:uid="{261F2AD5-DE53-4681-BA44-DFEC2DE94A61}"/>
    <cellStyle name="40% - Accent1 2 19" xfId="15592" xr:uid="{8C32C8F7-2BB1-4D6A-BD7E-68D746B4C493}"/>
    <cellStyle name="40% - Accent1 2 2" xfId="431" xr:uid="{EC75756C-CF39-485E-9528-5244C53A4509}"/>
    <cellStyle name="40% - Accent1 2 2 10" xfId="15593" xr:uid="{6EC55D61-670E-4D9F-B0BE-43D445C1D2A9}"/>
    <cellStyle name="40% - Accent1 2 2 11" xfId="15594" xr:uid="{F4122E63-FC1E-4AD6-8792-C17540C4D732}"/>
    <cellStyle name="40% - Accent1 2 2 12" xfId="15595" xr:uid="{F7D547FA-6681-4EDE-A459-83FD602B2C26}"/>
    <cellStyle name="40% - Accent1 2 2 13" xfId="15596" xr:uid="{6486D718-E02A-43B7-A3DB-3AF0C7809F66}"/>
    <cellStyle name="40% - Accent1 2 2 14" xfId="15597" xr:uid="{1AEAF42D-A3B4-4AFC-B720-013EBBB4485D}"/>
    <cellStyle name="40% - Accent1 2 2 2" xfId="432" xr:uid="{3CA22F0B-330D-421A-806E-4044B2FBE139}"/>
    <cellStyle name="40% - Accent1 2 2 3" xfId="433" xr:uid="{BA375F92-94EA-47E3-B6C0-A7C4B7CF31DC}"/>
    <cellStyle name="40% - Accent1 2 2 4" xfId="10914" xr:uid="{5B537598-36D9-4EBB-90BF-33E6F9F83E6E}"/>
    <cellStyle name="40% - Accent1 2 2 5" xfId="10724" xr:uid="{0A6FA166-BC08-46C3-886C-ABF48440F932}"/>
    <cellStyle name="40% - Accent1 2 2 6" xfId="8717" xr:uid="{3E430D6C-762A-45F2-9B47-82B328DE4164}"/>
    <cellStyle name="40% - Accent1 2 2 7" xfId="15598" xr:uid="{8463154A-89B9-4D32-9678-357F60701EE1}"/>
    <cellStyle name="40% - Accent1 2 2 8" xfId="15599" xr:uid="{3E8EB575-113A-44A8-940D-2C4DFA5E9068}"/>
    <cellStyle name="40% - Accent1 2 2 9" xfId="15600" xr:uid="{A4737897-AAC3-4CE7-80C1-0F41434533AF}"/>
    <cellStyle name="40% - Accent1 2 20" xfId="23460" xr:uid="{88F2696F-2D40-4F99-A4B7-810EA828EDD6}"/>
    <cellStyle name="40% - Accent1 2 3" xfId="434" xr:uid="{1A4D0796-9392-41EC-9849-69BEF6045181}"/>
    <cellStyle name="40% - Accent1 2 3 2" xfId="10580" xr:uid="{B8627E25-30ED-4793-A618-F1272B2D6790}"/>
    <cellStyle name="40% - Accent1 2 3 3" xfId="10913" xr:uid="{704FB959-2182-41E1-BC7B-695D8154E102}"/>
    <cellStyle name="40% - Accent1 2 3 4" xfId="10723" xr:uid="{FC36E834-DB9C-482C-A13A-737A0DBCAC8C}"/>
    <cellStyle name="40% - Accent1 2 3 5" xfId="8716" xr:uid="{191CA7BF-CB58-4267-9C5F-1C9DB57BAB77}"/>
    <cellStyle name="40% - Accent1 2 3 6" xfId="10579" xr:uid="{59938412-7BBF-479E-A805-37D9851B3F25}"/>
    <cellStyle name="40% - Accent1 2 4" xfId="435" xr:uid="{932D4A3F-2848-4062-8BD0-32A83202CABD}"/>
    <cellStyle name="40% - Accent1 2 4 2" xfId="10912" xr:uid="{DF13741D-A714-4A8C-99DB-3B3374135CAD}"/>
    <cellStyle name="40% - Accent1 2 4 3" xfId="10722" xr:uid="{3F1F684A-60A5-43AA-BDB0-D1DD85A9A137}"/>
    <cellStyle name="40% - Accent1 2 4 4" xfId="8715" xr:uid="{E3CAD0C7-8AC1-4832-BAB6-128E37C4D5B5}"/>
    <cellStyle name="40% - Accent1 2 4 5" xfId="10578" xr:uid="{76312B85-8F2F-43C0-974F-5E342CB6680F}"/>
    <cellStyle name="40% - Accent1 2 4 6" xfId="10911" xr:uid="{544D882A-BF36-4DA7-B8D7-6EF6B2F99F2E}"/>
    <cellStyle name="40% - Accent1 2 5" xfId="436" xr:uid="{E7A4B562-CC8B-4BD9-BBD5-39A8EC672072}"/>
    <cellStyle name="40% - Accent1 2 5 2" xfId="10721" xr:uid="{73D2E977-E5C4-4314-8D91-20249379D50B}"/>
    <cellStyle name="40% - Accent1 2 5 3" xfId="8714" xr:uid="{EF3C5BF8-F19E-42A0-AF80-6CCEF54FD062}"/>
    <cellStyle name="40% - Accent1 2 5 4" xfId="10577" xr:uid="{C4817BB6-6E95-4F63-AC38-DF5225300065}"/>
    <cellStyle name="40% - Accent1 2 5 5" xfId="10910" xr:uid="{4F6E155D-1E00-4002-9199-54C5431A9966}"/>
    <cellStyle name="40% - Accent1 2 5 6" xfId="10511" xr:uid="{8065D379-AFE3-4960-A1D8-8BC4C13FF804}"/>
    <cellStyle name="40% - Accent1 2 6" xfId="437" xr:uid="{8067153A-927B-413B-9804-7FFD6CED27C9}"/>
    <cellStyle name="40% - Accent1 2 6 2" xfId="8713" xr:uid="{D412B90D-E19D-4560-AD90-7DA2E786D52A}"/>
    <cellStyle name="40% - Accent1 2 6 3" xfId="10559" xr:uid="{702D0FA0-87AB-4181-817C-AF677E84CF64}"/>
    <cellStyle name="40% - Accent1 2 6 4" xfId="10891" xr:uid="{5EB39730-B12B-4082-84A7-78E7EAE96E5E}"/>
    <cellStyle name="40% - Accent1 2 6 5" xfId="10509" xr:uid="{4A90A4FF-BE23-44EC-A03D-B459DC7DF4D7}"/>
    <cellStyle name="40% - Accent1 2 6 6" xfId="10720" xr:uid="{E8FA5DA2-4B46-41AE-9191-A1EEE200D258}"/>
    <cellStyle name="40% - Accent1 2 7" xfId="438" xr:uid="{BB825B02-9536-42F2-B4A2-928DF0D1409F}"/>
    <cellStyle name="40% - Accent1 2 7 2" xfId="11000" xr:uid="{7FABBA0D-35EA-4C0B-B532-D8746A421EF6}"/>
    <cellStyle name="40% - Accent1 2 7 3" xfId="10420" xr:uid="{F2BCB675-EF16-4C21-BE33-F6EF7BA8581A}"/>
    <cellStyle name="40% - Accent1 2 7 4" xfId="10576" xr:uid="{38365E8C-2A18-4369-B30F-D1154BE753A2}"/>
    <cellStyle name="40% - Accent1 2 7 5" xfId="10909" xr:uid="{6D3D0CDA-1EA2-495D-B8EF-5D2FFFF65869}"/>
    <cellStyle name="40% - Accent1 2 7 6" xfId="10719" xr:uid="{DD4EA6DC-251C-44BB-94D5-3DADA4521C68}"/>
    <cellStyle name="40% - Accent1 2 8" xfId="439" xr:uid="{7F334811-4EEA-485B-89DA-17ADAF990AD6}"/>
    <cellStyle name="40% - Accent1 2 9" xfId="440" xr:uid="{09885A6F-61A1-435D-B690-46D4E7E3F09B}"/>
    <cellStyle name="40% - Accent1 20" xfId="441" xr:uid="{B78CF181-D56A-40BE-B92C-241080E1B0A8}"/>
    <cellStyle name="40% - Accent1 20 2" xfId="16197" xr:uid="{1FD3B464-7732-4AE7-9A6F-620B094AC5E2}"/>
    <cellStyle name="40% - Accent1 21" xfId="16198" xr:uid="{B5266DB8-DB02-4419-B892-47DE41A1B497}"/>
    <cellStyle name="40% - Accent1 22" xfId="15147" xr:uid="{0BC976DE-AD89-4713-9A2C-EEE909840863}"/>
    <cellStyle name="40% - Accent1 3" xfId="442" xr:uid="{DC314DB9-9917-451B-8E85-3479BB697659}"/>
    <cellStyle name="40% - Accent1 3 10" xfId="443" xr:uid="{37EBAD2F-96A0-4A0F-B3FE-0BDB02CCDC6C}"/>
    <cellStyle name="40% - Accent1 3 11" xfId="444" xr:uid="{124DAA86-E51A-483E-BC3F-C853DEA1EFF6}"/>
    <cellStyle name="40% - Accent1 3 12" xfId="445" xr:uid="{120B7D5C-0E24-45C9-956E-CC928E6F337C}"/>
    <cellStyle name="40% - Accent1 3 13" xfId="446" xr:uid="{D16037DC-49F5-4B17-A6BA-040FD06C3EAD}"/>
    <cellStyle name="40% - Accent1 3 14" xfId="447" xr:uid="{9508F0AB-1BE2-407B-B899-889F53F952F4}"/>
    <cellStyle name="40% - Accent1 3 15" xfId="15601" xr:uid="{3C7FA5E8-414B-4176-9260-3FBAA6E09A82}"/>
    <cellStyle name="40% - Accent1 3 2" xfId="448" xr:uid="{C720DC03-B9A5-469C-9350-2CF4E56FDA8E}"/>
    <cellStyle name="40% - Accent1 3 3" xfId="449" xr:uid="{2877F573-BF2B-431C-B8E9-310796768241}"/>
    <cellStyle name="40% - Accent1 3 4" xfId="450" xr:uid="{1699CBB3-F204-444D-84E5-4A51AA545B16}"/>
    <cellStyle name="40% - Accent1 3 5" xfId="451" xr:uid="{E1FE8D78-1145-4D96-8BF1-30E25B552753}"/>
    <cellStyle name="40% - Accent1 3 6" xfId="452" xr:uid="{1CB2ABD4-41A7-45DA-ABDA-C734BB226AFC}"/>
    <cellStyle name="40% - Accent1 3 7" xfId="453" xr:uid="{B5552E82-3CF3-48B6-BCC7-E49FAF5708E0}"/>
    <cellStyle name="40% - Accent1 3 8" xfId="454" xr:uid="{21FB3354-B140-4AAA-968C-2A34E7FD6839}"/>
    <cellStyle name="40% - Accent1 3 9" xfId="455" xr:uid="{BB91C5BF-9978-40F6-A86F-7EBB32FD8FB1}"/>
    <cellStyle name="40% - Accent1 4" xfId="456" xr:uid="{3CD7383B-9ADB-45F7-850D-9B10A79EF1D9}"/>
    <cellStyle name="40% - Accent1 4 10" xfId="15602" xr:uid="{490F1CE6-2D0B-40D6-BB05-A50F55A81C7A}"/>
    <cellStyle name="40% - Accent1 4 11" xfId="15603" xr:uid="{846A4E84-D818-4C7F-B2FF-3315EEEFA50B}"/>
    <cellStyle name="40% - Accent1 4 12" xfId="15604" xr:uid="{E995EEED-A441-4ABE-AB61-0A239E299B8E}"/>
    <cellStyle name="40% - Accent1 4 13" xfId="15605" xr:uid="{4E47E2F4-9ACD-4604-BDF5-CEB8ECEBCEBE}"/>
    <cellStyle name="40% - Accent1 4 14" xfId="15606" xr:uid="{FAE98BA1-C245-464C-B845-087124081545}"/>
    <cellStyle name="40% - Accent1 4 15" xfId="15607" xr:uid="{A79F44AD-C2C3-4837-851C-F1C43A9EBB1A}"/>
    <cellStyle name="40% - Accent1 4 2" xfId="457" xr:uid="{DA3BBBEB-CFD6-4D92-AEB9-3108147AABC3}"/>
    <cellStyle name="40% - Accent1 4 3" xfId="458" xr:uid="{ECCBD3AA-CA14-4D9B-9639-0FB3337CC4A3}"/>
    <cellStyle name="40% - Accent1 4 4" xfId="459" xr:uid="{12184972-11D9-4B1D-88F2-1A6C03903131}"/>
    <cellStyle name="40% - Accent1 4 5" xfId="460" xr:uid="{E384F49A-C4AC-46F8-999E-56A3040BE260}"/>
    <cellStyle name="40% - Accent1 4 6" xfId="461" xr:uid="{599AE1B6-038A-4200-A221-1E0CE00C3F8F}"/>
    <cellStyle name="40% - Accent1 4 7" xfId="8712" xr:uid="{D30745FB-4E35-4648-BE47-AACD844F1E2F}"/>
    <cellStyle name="40% - Accent1 4 8" xfId="10574" xr:uid="{96319DF1-B4EF-4E65-A246-F12AA146CADC}"/>
    <cellStyle name="40% - Accent1 4 9" xfId="10907" xr:uid="{41563B0E-D5EC-47FC-8176-6FC4CF5D5E03}"/>
    <cellStyle name="40% - Accent1 5" xfId="462" xr:uid="{3B96C2E5-47D5-4901-985A-CB2E1DF5C9EA}"/>
    <cellStyle name="40% - Accent1 5 10" xfId="15608" xr:uid="{117F207E-8D1F-43C7-BADE-0BDC596DBD33}"/>
    <cellStyle name="40% - Accent1 5 11" xfId="15609" xr:uid="{3EFB5D53-BA07-46B4-81A2-E9E049830222}"/>
    <cellStyle name="40% - Accent1 5 12" xfId="15610" xr:uid="{14252FD6-B8A0-423B-97CD-387ED81A0A3D}"/>
    <cellStyle name="40% - Accent1 5 13" xfId="15611" xr:uid="{CA73B108-DA22-4589-96E7-2396333F3757}"/>
    <cellStyle name="40% - Accent1 5 14" xfId="15612" xr:uid="{1DD17E57-F86E-40B6-9A97-5C10CBD26444}"/>
    <cellStyle name="40% - Accent1 5 15" xfId="15613" xr:uid="{C15A5D26-70C3-4687-BD11-B051B8946583}"/>
    <cellStyle name="40% - Accent1 5 2" xfId="463" xr:uid="{8C2F4958-BE9A-42F2-80A5-B460DB47E4F2}"/>
    <cellStyle name="40% - Accent1 5 3" xfId="464" xr:uid="{F4CAAD0F-6598-4A9A-9DCD-1AD62701BD4B}"/>
    <cellStyle name="40% - Accent1 5 4" xfId="465" xr:uid="{BE1B32B7-3D3B-46C9-A902-70380EF2E928}"/>
    <cellStyle name="40% - Accent1 5 5" xfId="466" xr:uid="{3C178B45-754E-4AF5-B2FD-7EA05653871D}"/>
    <cellStyle name="40% - Accent1 5 6" xfId="467" xr:uid="{0FDCDDF0-D526-4B95-9FE6-CCE1DC2C88DB}"/>
    <cellStyle name="40% - Accent1 5 7" xfId="10717" xr:uid="{E1D3EF8C-569D-4324-8473-F59E1AD1EDE1}"/>
    <cellStyle name="40% - Accent1 5 8" xfId="10575" xr:uid="{11DD84E5-8F2D-487C-900C-90B9D88500BC}"/>
    <cellStyle name="40% - Accent1 5 9" xfId="10908" xr:uid="{DEB78D23-3000-41D6-A1F0-3E6B36C8452E}"/>
    <cellStyle name="40% - Accent1 6" xfId="468" xr:uid="{3DFB302C-7CA0-4D85-9D6E-8E927C63F353}"/>
    <cellStyle name="40% - Accent1 6 2" xfId="469" xr:uid="{84FB35C4-DAF1-4C16-A0B6-1F3EF261764D}"/>
    <cellStyle name="40% - Accent1 6 3" xfId="470" xr:uid="{06ED3368-81D1-4317-89FF-1AA6B935A107}"/>
    <cellStyle name="40% - Accent1 6 4" xfId="10718" xr:uid="{D17A65C3-7561-428A-BD3D-96B77059C17B}"/>
    <cellStyle name="40% - Accent1 6 5" xfId="8711" xr:uid="{2901BD02-569F-475E-8E39-EFDAA6DD5BBD}"/>
    <cellStyle name="40% - Accent1 6 6" xfId="8710" xr:uid="{3EEACB08-179E-4D54-902B-FB4D243813E7}"/>
    <cellStyle name="40% - Accent1 7" xfId="471" xr:uid="{E7E89B97-0FA6-4F5E-BD4A-D04933753C5F}"/>
    <cellStyle name="40% - Accent1 7 2" xfId="472" xr:uid="{97E2333C-6059-4307-B0AC-3CF32966641E}"/>
    <cellStyle name="40% - Accent1 7 3" xfId="473" xr:uid="{B79051A3-18D0-41FF-8E56-D51FBEBE2B7D}"/>
    <cellStyle name="40% - Accent1 7 4" xfId="10573" xr:uid="{AA61A52C-1E23-4953-B2D4-741A779E7ACF}"/>
    <cellStyle name="40% - Accent1 7 5" xfId="10906" xr:uid="{153371BE-04C6-457C-A0C6-01F7D96737E5}"/>
    <cellStyle name="40% - Accent1 7 6" xfId="10716" xr:uid="{2C60BF76-0BFD-4CD7-AB32-0571291CF697}"/>
    <cellStyle name="40% - Accent1 8" xfId="474" xr:uid="{D8C90DFC-E99D-48DF-93CC-EECC6782EAC9}"/>
    <cellStyle name="40% - Accent1 8 2" xfId="475" xr:uid="{BD74E3AB-15EB-403E-9D13-E1402244DF4C}"/>
    <cellStyle name="40% - Accent1 8 3" xfId="476" xr:uid="{B256ADF1-9FE1-428B-9811-FDF2B0227007}"/>
    <cellStyle name="40% - Accent1 8 4" xfId="8709" xr:uid="{3523B7B1-6F6A-4440-B912-5AF9501293C2}"/>
    <cellStyle name="40% - Accent1 8 5" xfId="10510" xr:uid="{55647587-ED68-45C3-86B4-116697D839D1}"/>
    <cellStyle name="40% - Accent1 8 6" xfId="10715" xr:uid="{7497503B-5FE4-4DEC-80F3-6D47D1872531}"/>
    <cellStyle name="40% - Accent1 9" xfId="477" xr:uid="{F97CA27E-F293-4911-B5B4-145E8FDF4B2A}"/>
    <cellStyle name="40% - Accent1 9 2" xfId="478" xr:uid="{D96855E9-BBF4-4642-9A63-4CCD069E2729}"/>
    <cellStyle name="40% - Accent1 9 3" xfId="10999" xr:uid="{C8B2C0B4-0E8B-4059-B5CA-CC2B6CA38A25}"/>
    <cellStyle name="40% - Accent1 9 4" xfId="10419" xr:uid="{0598F7C1-289C-4434-A06B-BCFE80C32C49}"/>
    <cellStyle name="40% - Accent1 9 5" xfId="10714" xr:uid="{F4C30BBC-92E6-47DD-980F-B62051B98A25}"/>
    <cellStyle name="40% - Accent1 9 6" xfId="10998" xr:uid="{34C231E2-853B-4EB5-B9A4-E4EA82EC927A}"/>
    <cellStyle name="40% - Accent2 10" xfId="479" xr:uid="{34767C44-4D3F-42F1-A1EE-964AFB4CAD2B}"/>
    <cellStyle name="40% - Accent2 10 2" xfId="480" xr:uid="{C0795E0D-925B-4A92-B89D-FCFF48740D15}"/>
    <cellStyle name="40% - Accent2 10 3" xfId="10418" xr:uid="{B74AF229-1564-4E2C-A3A6-C58CA1326A39}"/>
    <cellStyle name="40% - Accent2 10 4" xfId="10713" xr:uid="{8C368F05-6AE5-4F53-A4ED-4D7BB2DE4A4A}"/>
    <cellStyle name="40% - Accent2 10 5" xfId="10997" xr:uid="{C6587782-DF1E-46E3-96BD-1B375426B733}"/>
    <cellStyle name="40% - Accent2 10 6" xfId="10417" xr:uid="{E8317233-A187-4D66-90C1-6392515B489B}"/>
    <cellStyle name="40% - Accent2 11" xfId="481" xr:uid="{FF13A456-0EAC-4D82-8E4A-7F10213387F6}"/>
    <cellStyle name="40% - Accent2 11 2" xfId="10712" xr:uid="{8A369B80-EFD5-47AB-A1F1-4D0481DC310E}"/>
    <cellStyle name="40% - Accent2 12" xfId="482" xr:uid="{8356898F-E497-42FE-8191-D0ACAE3AB9A4}"/>
    <cellStyle name="40% - Accent2 12 2" xfId="10996" xr:uid="{AD8FF465-A301-457B-82DF-94F0C3D1ECFA}"/>
    <cellStyle name="40% - Accent2 13" xfId="483" xr:uid="{21EFCE20-936E-4340-B2DB-770063849B90}"/>
    <cellStyle name="40% - Accent2 13 2" xfId="9109" xr:uid="{4EDB1C46-B95F-4D1B-B574-C9541683F5E0}"/>
    <cellStyle name="40% - Accent2 14" xfId="484" xr:uid="{DF4CEE70-CE93-49ED-8756-DC45AD46E59A}"/>
    <cellStyle name="40% - Accent2 14 2" xfId="9105" xr:uid="{7F9EBB58-80E1-4D86-9752-6AC094191AAA}"/>
    <cellStyle name="40% - Accent2 15" xfId="485" xr:uid="{CA487867-660B-4421-8D94-25ADFD7F0A36}"/>
    <cellStyle name="40% - Accent2 15 2" xfId="16199" xr:uid="{8E2CE42B-9583-434F-B0D4-3D411073160F}"/>
    <cellStyle name="40% - Accent2 16" xfId="486" xr:uid="{AFF92987-3689-46F4-B311-C48E1759D847}"/>
    <cellStyle name="40% - Accent2 16 2" xfId="16200" xr:uid="{2E9AB037-BF98-4319-B8F2-5D551CA640EC}"/>
    <cellStyle name="40% - Accent2 17" xfId="487" xr:uid="{B2F3FB1B-C77D-4D62-920C-287E419BFA42}"/>
    <cellStyle name="40% - Accent2 17 2" xfId="16201" xr:uid="{BC48CDA6-DEB8-4D3C-B22D-85BCEB6E7F8C}"/>
    <cellStyle name="40% - Accent2 18" xfId="488" xr:uid="{9B8426DE-6A19-49D2-98E2-EAA3E060E400}"/>
    <cellStyle name="40% - Accent2 18 2" xfId="16202" xr:uid="{855FCE19-320D-48B4-B0D7-A64995BB8F6A}"/>
    <cellStyle name="40% - Accent2 19" xfId="489" xr:uid="{AE3678AC-90E9-4396-8913-492C84A7EC79}"/>
    <cellStyle name="40% - Accent2 19 2" xfId="16203" xr:uid="{D6E96D0B-405D-43D4-82DF-B22A3282713F}"/>
    <cellStyle name="40% - Accent2 2" xfId="490" xr:uid="{1E790BEF-7EE4-4437-913F-4E85958CA5C5}"/>
    <cellStyle name="40% - Accent2 2 10" xfId="9038" xr:uid="{C45A7A19-63DE-4169-BE84-D877087481B7}"/>
    <cellStyle name="40% - Accent2 2 11" xfId="10905" xr:uid="{38C4EB3D-3CDB-4730-BFEA-BD4FA9E00A2E}"/>
    <cellStyle name="40% - Accent2 2 12" xfId="10711" xr:uid="{17991DE9-AAFE-4C65-B789-FD87CEC9EC0B}"/>
    <cellStyle name="40% - Accent2 2 13" xfId="8708" xr:uid="{4F19F727-4A26-4EE1-9CDD-D0B9CA82C57F}"/>
    <cellStyle name="40% - Accent2 2 14" xfId="10572" xr:uid="{5DC8ADA0-5A58-401A-8EFF-51C172AFD49F}"/>
    <cellStyle name="40% - Accent2 2 15" xfId="10904" xr:uid="{6F56C5A8-705A-40BD-85F5-11C2C05327D9}"/>
    <cellStyle name="40% - Accent2 2 16" xfId="15614" xr:uid="{F3050508-DC27-407C-95C0-1BF62015B6A2}"/>
    <cellStyle name="40% - Accent2 2 17" xfId="15615" xr:uid="{2FDFE420-7A80-41F7-BA8D-07957ED0D85C}"/>
    <cellStyle name="40% - Accent2 2 18" xfId="15616" xr:uid="{C5F9760D-B995-4271-AF42-2B0E607A84A5}"/>
    <cellStyle name="40% - Accent2 2 19" xfId="15617" xr:uid="{0C3C61FE-1E15-4838-BD83-AB3EAF2BA0DB}"/>
    <cellStyle name="40% - Accent2 2 2" xfId="491" xr:uid="{2AAA1AB3-0FEA-4434-B999-8DC03B069028}"/>
    <cellStyle name="40% - Accent2 2 2 10" xfId="15618" xr:uid="{2349F7F3-469D-45AE-BC82-F3FBE51D68E4}"/>
    <cellStyle name="40% - Accent2 2 2 11" xfId="15619" xr:uid="{9EAF442A-FDE2-4928-B290-2D5AE71A5EE5}"/>
    <cellStyle name="40% - Accent2 2 2 12" xfId="15620" xr:uid="{D2315581-9369-42AB-A6B3-4F6145F211BF}"/>
    <cellStyle name="40% - Accent2 2 2 13" xfId="15621" xr:uid="{17C0AD18-58A3-4D26-9F9D-8D5E8F536B86}"/>
    <cellStyle name="40% - Accent2 2 2 14" xfId="15622" xr:uid="{C76698BF-7B07-4512-9092-074FC0F1B515}"/>
    <cellStyle name="40% - Accent2 2 2 2" xfId="492" xr:uid="{C4EC161C-9E91-4D88-94B8-31521A8F6709}"/>
    <cellStyle name="40% - Accent2 2 2 3" xfId="493" xr:uid="{10AB1EFD-7DD6-4528-8F31-5ABB457FD72C}"/>
    <cellStyle name="40% - Accent2 2 2 4" xfId="10710" xr:uid="{8DAEFC44-03D2-481D-8B5F-2C36D741B833}"/>
    <cellStyle name="40% - Accent2 2 2 5" xfId="8707" xr:uid="{53F322B7-85B1-4AC3-A114-10AD822D2D8D}"/>
    <cellStyle name="40% - Accent2 2 2 6" xfId="10571" xr:uid="{E02C957A-182B-4C5D-ABC3-C607FFF0C433}"/>
    <cellStyle name="40% - Accent2 2 2 7" xfId="15623" xr:uid="{1A98E855-8A33-4896-B478-6311290EF8B0}"/>
    <cellStyle name="40% - Accent2 2 2 8" xfId="15624" xr:uid="{3389212B-198B-4794-B9C4-6AB317AA5C0E}"/>
    <cellStyle name="40% - Accent2 2 2 9" xfId="15625" xr:uid="{E77354EE-7604-479D-A36F-DB1682098D6A}"/>
    <cellStyle name="40% - Accent2 2 20" xfId="23461" xr:uid="{05E04111-519C-406D-919E-43B3459B702D}"/>
    <cellStyle name="40% - Accent2 2 3" xfId="494" xr:uid="{1D02A237-9263-4A66-8915-A1E8E3CFB512}"/>
    <cellStyle name="40% - Accent2 2 3 2" xfId="10903" xr:uid="{CB03A220-2715-4086-BB48-F91E2D07388C}"/>
    <cellStyle name="40% - Accent2 2 3 3" xfId="10709" xr:uid="{E64F8750-C031-411E-A801-8D9402F8720F}"/>
    <cellStyle name="40% - Accent2 2 3 4" xfId="8706" xr:uid="{6E78515E-1A47-43DD-B9C9-41CFEA7B348E}"/>
    <cellStyle name="40% - Accent2 2 3 5" xfId="10570" xr:uid="{EC98B232-940C-4710-A8D1-B71CF815868B}"/>
    <cellStyle name="40% - Accent2 2 3 6" xfId="10902" xr:uid="{422FB381-FC8D-4154-8938-2AD07A4E5344}"/>
    <cellStyle name="40% - Accent2 2 4" xfId="495" xr:uid="{1769C3F3-ECFF-493C-BA99-64F7E594AF88}"/>
    <cellStyle name="40% - Accent2 2 4 2" xfId="8705" xr:uid="{632C66F3-359F-437E-A0C9-EFC903129742}"/>
    <cellStyle name="40% - Accent2 2 4 3" xfId="10569" xr:uid="{935D221D-6420-4DE0-A4E8-C2C780FE64B8}"/>
    <cellStyle name="40% - Accent2 2 4 4" xfId="10901" xr:uid="{C16C0FDB-272A-4EF1-9028-1A6DC0BC76BA}"/>
    <cellStyle name="40% - Accent2 2 4 5" xfId="10708" xr:uid="{9DB47406-C134-4D6C-9054-9EA5121218F9}"/>
    <cellStyle name="40% - Accent2 2 4 6" xfId="8704" xr:uid="{BC821752-17CF-45CD-AD5F-2CB747C6C7AC}"/>
    <cellStyle name="40% - Accent2 2 5" xfId="496" xr:uid="{ECA1C052-B53E-4946-8C57-EC46C6D51F9D}"/>
    <cellStyle name="40% - Accent2 2 5 2" xfId="10568" xr:uid="{A9EF4950-84B3-40C0-885F-C9B19DB9EF28}"/>
    <cellStyle name="40% - Accent2 2 5 3" xfId="10900" xr:uid="{60EC21BB-116A-4684-988D-EB2FD096A6C0}"/>
    <cellStyle name="40% - Accent2 2 5 4" xfId="10707" xr:uid="{77ADFE96-0995-4C0C-B26F-7BB951CE8489}"/>
    <cellStyle name="40% - Accent2 2 5 5" xfId="8703" xr:uid="{7E67A0CB-0C7A-4B3E-BC40-B008536CD12C}"/>
    <cellStyle name="40% - Accent2 2 5 6" xfId="10567" xr:uid="{58A69D1C-4C41-4028-BEEC-165588DC5686}"/>
    <cellStyle name="40% - Accent2 2 6" xfId="497" xr:uid="{238EDA4E-E543-4D0B-8782-B25B5C4E04C7}"/>
    <cellStyle name="40% - Accent2 2 6 2" xfId="10899" xr:uid="{21E2CBF3-65B1-48FF-AE95-1F759F2C4DAC}"/>
    <cellStyle name="40% - Accent2 2 6 3" xfId="10706" xr:uid="{86DD9053-A4FE-4126-B55C-767F07F09B89}"/>
    <cellStyle name="40% - Accent2 2 6 4" xfId="8702" xr:uid="{86900349-8931-429A-89FF-E7D010028988}"/>
    <cellStyle name="40% - Accent2 2 6 5" xfId="10566" xr:uid="{ADF78422-335F-4517-A5CF-5FFF7AEB5D7E}"/>
    <cellStyle name="40% - Accent2 2 6 6" xfId="10898" xr:uid="{6146EEA6-34D7-4636-85B0-06899DA5A279}"/>
    <cellStyle name="40% - Accent2 2 7" xfId="498" xr:uid="{A8F23B90-067E-4C6A-BB79-B98DDFA160C0}"/>
    <cellStyle name="40% - Accent2 2 7 2" xfId="10705" xr:uid="{63432930-2B66-4F4F-BC2B-AC391E13AE91}"/>
    <cellStyle name="40% - Accent2 2 7 3" xfId="8701" xr:uid="{7938AACB-A904-474A-9DFC-C23ED6A373E0}"/>
    <cellStyle name="40% - Accent2 2 7 4" xfId="10565" xr:uid="{2B3068E7-90D6-4CE5-AB4B-ABD36C857F60}"/>
    <cellStyle name="40% - Accent2 2 7 5" xfId="10897" xr:uid="{3D6F17CD-0776-484C-8C6B-CBA8C5888EFC}"/>
    <cellStyle name="40% - Accent2 2 7 6" xfId="10704" xr:uid="{08B13FE6-9081-49BF-ACFE-1B7F4E8E6AA9}"/>
    <cellStyle name="40% - Accent2 2 8" xfId="499" xr:uid="{1341BB3A-66EB-4C00-9AB2-CB2137E3EC34}"/>
    <cellStyle name="40% - Accent2 2 9" xfId="500" xr:uid="{30A047D0-ADDC-475D-999E-AF7810004BF2}"/>
    <cellStyle name="40% - Accent2 20" xfId="501" xr:uid="{A82EE094-D76E-4E76-B871-FD457F8E0DFC}"/>
    <cellStyle name="40% - Accent2 20 2" xfId="16204" xr:uid="{6DE3C7E7-090F-4226-9746-430A73C28CF7}"/>
    <cellStyle name="40% - Accent2 21" xfId="16205" xr:uid="{493AFBF7-A530-48A7-80F8-79DE519BAD5E}"/>
    <cellStyle name="40% - Accent2 22" xfId="15148" xr:uid="{EA025C87-DD96-4E57-8B08-E4AE05648FD3}"/>
    <cellStyle name="40% - Accent2 3" xfId="502" xr:uid="{C6BF447F-0BC0-4661-8274-764B0F6FFC70}"/>
    <cellStyle name="40% - Accent2 3 10" xfId="503" xr:uid="{2365E7A6-ECAA-4453-8AA0-BE195A5F7257}"/>
    <cellStyle name="40% - Accent2 3 11" xfId="504" xr:uid="{CF065F3E-654B-443F-AF56-ECE8CE13B6D0}"/>
    <cellStyle name="40% - Accent2 3 12" xfId="505" xr:uid="{BFED82A3-215E-41F6-A59B-EB3C75093EE8}"/>
    <cellStyle name="40% - Accent2 3 13" xfId="506" xr:uid="{C96C6B2D-FCCA-40C8-93FC-465E8898B7C1}"/>
    <cellStyle name="40% - Accent2 3 14" xfId="507" xr:uid="{F30DAFD5-4F92-49A1-B0E1-1E1D9B3B5178}"/>
    <cellStyle name="40% - Accent2 3 15" xfId="15626" xr:uid="{851E22BF-BFBE-46EE-B46F-A936CF869E84}"/>
    <cellStyle name="40% - Accent2 3 2" xfId="508" xr:uid="{23DB5C3A-564A-4C88-A110-9F7FFEF7EA3F}"/>
    <cellStyle name="40% - Accent2 3 3" xfId="509" xr:uid="{D2AA30D1-AAC7-4068-9789-72D58E70C231}"/>
    <cellStyle name="40% - Accent2 3 4" xfId="510" xr:uid="{328B7476-243A-450E-B9B8-26591901FF76}"/>
    <cellStyle name="40% - Accent2 3 5" xfId="511" xr:uid="{20AE70B6-E038-4683-AAE8-3ABD75CF1115}"/>
    <cellStyle name="40% - Accent2 3 6" xfId="512" xr:uid="{FB1C9BD0-7200-4485-9370-7BA7D2000C27}"/>
    <cellStyle name="40% - Accent2 3 7" xfId="513" xr:uid="{6AA3ADCE-4D26-4E45-98BD-4877A7B1BB9D}"/>
    <cellStyle name="40% - Accent2 3 8" xfId="514" xr:uid="{08AFF373-DE4C-4643-BCF5-E4DC8898B106}"/>
    <cellStyle name="40% - Accent2 3 9" xfId="515" xr:uid="{E2F62A05-06CF-4D7E-9749-4A7B042986AF}"/>
    <cellStyle name="40% - Accent2 4" xfId="516" xr:uid="{FADA03AF-2769-424A-BD64-CFA50A1CC495}"/>
    <cellStyle name="40% - Accent2 4 10" xfId="15627" xr:uid="{E46A16E8-72F6-4298-85C1-A057FDE2C144}"/>
    <cellStyle name="40% - Accent2 4 11" xfId="15628" xr:uid="{62B49499-DB67-4C01-AD6C-A955F3DC454B}"/>
    <cellStyle name="40% - Accent2 4 12" xfId="15629" xr:uid="{21913C82-274A-4882-899B-A3F30708A6C5}"/>
    <cellStyle name="40% - Accent2 4 13" xfId="15630" xr:uid="{72FFAC7F-70EB-4FB8-AAC8-6AF4C0C21DD8}"/>
    <cellStyle name="40% - Accent2 4 14" xfId="15631" xr:uid="{4CF7749D-937E-4215-8CBF-049D6B54A6D2}"/>
    <cellStyle name="40% - Accent2 4 15" xfId="15632" xr:uid="{5B65B817-690B-4D09-B3DA-0DDE7E044B81}"/>
    <cellStyle name="40% - Accent2 4 2" xfId="517" xr:uid="{B0BF83F5-CA18-4FF9-ABC0-EF2871ACA6A8}"/>
    <cellStyle name="40% - Accent2 4 3" xfId="518" xr:uid="{F1CD45BF-E3F0-45BB-B1BB-108E15EC5374}"/>
    <cellStyle name="40% - Accent2 4 4" xfId="519" xr:uid="{9829C1A7-12C0-450B-A94C-2F96B6933226}"/>
    <cellStyle name="40% - Accent2 4 5" xfId="520" xr:uid="{63FC1F30-F71E-4E7C-A290-799F4AF25B87}"/>
    <cellStyle name="40% - Accent2 4 6" xfId="521" xr:uid="{848BB6F7-3B75-4005-98EF-3D4A279CD9C8}"/>
    <cellStyle name="40% - Accent2 4 7" xfId="8700" xr:uid="{AB460312-9E75-4720-BC3E-FAB7C330588A}"/>
    <cellStyle name="40% - Accent2 4 8" xfId="10564" xr:uid="{552E12A5-465E-454D-9607-7DE8777E0E79}"/>
    <cellStyle name="40% - Accent2 4 9" xfId="10896" xr:uid="{1EA97CA1-027F-4CB6-9F05-87F471797026}"/>
    <cellStyle name="40% - Accent2 5" xfId="522" xr:uid="{C49AE3A9-9829-457B-A995-4B5DF7E57A8C}"/>
    <cellStyle name="40% - Accent2 5 10" xfId="15633" xr:uid="{CD08BC2B-EACC-4CD8-BBDF-DEAE0F7FE66E}"/>
    <cellStyle name="40% - Accent2 5 11" xfId="15634" xr:uid="{B670C4A6-FB53-43FC-A77D-62CD92E6C704}"/>
    <cellStyle name="40% - Accent2 5 12" xfId="15635" xr:uid="{39E648AB-70D3-498A-A57E-FA55B3F9E5F6}"/>
    <cellStyle name="40% - Accent2 5 13" xfId="15636" xr:uid="{0F8F638A-BE77-4300-BADB-BB970D330338}"/>
    <cellStyle name="40% - Accent2 5 14" xfId="15637" xr:uid="{DDD639F5-F007-47AF-AD5D-28DE708DB854}"/>
    <cellStyle name="40% - Accent2 5 15" xfId="15638" xr:uid="{0F4654D2-B938-484A-BEB5-EC3AC3E38107}"/>
    <cellStyle name="40% - Accent2 5 2" xfId="523" xr:uid="{BD2F3033-439B-4A34-AB4E-6874F145870B}"/>
    <cellStyle name="40% - Accent2 5 3" xfId="524" xr:uid="{400451CE-95A3-4E89-8D86-65D0DD7BC82A}"/>
    <cellStyle name="40% - Accent2 5 4" xfId="525" xr:uid="{9051B49D-A94F-4B29-BA08-0F5B854E6C72}"/>
    <cellStyle name="40% - Accent2 5 5" xfId="526" xr:uid="{C2C5875D-40E0-473C-BA08-EC27E66CCC96}"/>
    <cellStyle name="40% - Accent2 5 6" xfId="527" xr:uid="{76196D01-EACA-439C-B4FB-C12D3C3FF795}"/>
    <cellStyle name="40% - Accent2 5 7" xfId="10703" xr:uid="{C90B29A7-AC5A-4268-BCB1-577056B4E798}"/>
    <cellStyle name="40% - Accent2 5 8" xfId="8699" xr:uid="{D7AA0507-107C-4B5C-91E6-9D0713A1B846}"/>
    <cellStyle name="40% - Accent2 5 9" xfId="10563" xr:uid="{37031DCE-578B-4573-9505-BEA77E6A2F98}"/>
    <cellStyle name="40% - Accent2 6" xfId="528" xr:uid="{B568E565-153C-47FA-86FA-8E0F274270F5}"/>
    <cellStyle name="40% - Accent2 6 2" xfId="529" xr:uid="{FE044D53-1109-4702-AB16-2BFB2F34FC90}"/>
    <cellStyle name="40% - Accent2 6 3" xfId="530" xr:uid="{C45440BF-616F-4758-99EA-770D25A0D5D9}"/>
    <cellStyle name="40% - Accent2 6 4" xfId="10895" xr:uid="{B31DA6AC-EA23-4B80-AB61-60B34EC52C4A}"/>
    <cellStyle name="40% - Accent2 6 5" xfId="10702" xr:uid="{21CD3C0D-0CD2-4443-BC08-A9AA91886CB4}"/>
    <cellStyle name="40% - Accent2 6 6" xfId="8698" xr:uid="{04CDB069-5054-4E07-9E76-17181DDA50BB}"/>
    <cellStyle name="40% - Accent2 7" xfId="531" xr:uid="{0B606371-5B29-4A54-AFBA-1CB2C3776CF6}"/>
    <cellStyle name="40% - Accent2 7 2" xfId="532" xr:uid="{D123F04E-6274-48D5-82D0-8B16AAE4D51C}"/>
    <cellStyle name="40% - Accent2 7 3" xfId="533" xr:uid="{B692D067-9360-4420-82F1-17D437E3720A}"/>
    <cellStyle name="40% - Accent2 7 4" xfId="10562" xr:uid="{B27685CF-C4DA-4DD0-85E6-788FDDEF3BAA}"/>
    <cellStyle name="40% - Accent2 7 5" xfId="10894" xr:uid="{C22834C5-76B6-4C1F-A73F-9ABCEF30097A}"/>
    <cellStyle name="40% - Accent2 7 6" xfId="10701" xr:uid="{47E7DE08-DB39-4C2C-AEE9-787F6E729794}"/>
    <cellStyle name="40% - Accent2 8" xfId="534" xr:uid="{057662BF-7BB7-4AFE-A8A1-CB5FBC883454}"/>
    <cellStyle name="40% - Accent2 8 2" xfId="535" xr:uid="{75336D4C-5F90-4927-B580-7F11A4E590E4}"/>
    <cellStyle name="40% - Accent2 8 3" xfId="536" xr:uid="{AA37AE4B-5CD5-4BE3-BE08-045DCE1E44FD}"/>
    <cellStyle name="40% - Accent2 8 4" xfId="8697" xr:uid="{F049E971-058E-47C0-AB8F-10F5965C36C8}"/>
    <cellStyle name="40% - Accent2 8 5" xfId="10561" xr:uid="{A6F84B51-8338-423A-AC31-BAB41F9815EA}"/>
    <cellStyle name="40% - Accent2 8 6" xfId="10893" xr:uid="{F20F5CB5-3D57-4C0A-A9BC-20519CE63AEF}"/>
    <cellStyle name="40% - Accent2 9" xfId="537" xr:uid="{CAFAE472-A1E4-4A2D-B4E6-DBE4D38D178B}"/>
    <cellStyle name="40% - Accent2 9 2" xfId="538" xr:uid="{C992EF8B-190D-46E0-83BA-C8ACAFD67D5F}"/>
    <cellStyle name="40% - Accent2 9 3" xfId="10700" xr:uid="{D7CA2C09-7AA8-4831-A3A1-C7AC4BF0568A}"/>
    <cellStyle name="40% - Accent2 9 4" xfId="8696" xr:uid="{00B8592A-25F1-4E2B-94A6-B54CB837FE80}"/>
    <cellStyle name="40% - Accent2 9 5" xfId="10560" xr:uid="{4F9180B5-2CC5-47FE-BA24-7F99950CF109}"/>
    <cellStyle name="40% - Accent2 9 6" xfId="10892" xr:uid="{4039836F-C504-4266-A10E-A0A6A604DC89}"/>
    <cellStyle name="40% - Accent3 10" xfId="539" xr:uid="{CC87852C-2763-4F96-BD7F-47C9BDD17EF6}"/>
    <cellStyle name="40% - Accent3 10 2" xfId="540" xr:uid="{30CEE625-E69D-46EE-B846-BE9CD9E87EEC}"/>
    <cellStyle name="40% - Accent3 10 3" xfId="10699" xr:uid="{E51FED4F-31A7-4203-9B10-405BB288DFA4}"/>
    <cellStyle name="40% - Accent3 10 4" xfId="8695" xr:uid="{0E1FEF37-7791-42E9-B86F-A7D5F131108E}"/>
    <cellStyle name="40% - Accent3 10 5" xfId="8694" xr:uid="{93E50BF1-27D2-4FAE-8BE9-653B30CB4E6C}"/>
    <cellStyle name="40% - Accent3 10 6" xfId="10688" xr:uid="{0BA3EEB9-01FF-49CE-90AD-5F6B4BE99E01}"/>
    <cellStyle name="40% - Accent3 11" xfId="541" xr:uid="{05206BE5-4877-4954-8892-1922DE0A05D0}"/>
    <cellStyle name="40% - Accent3 11 2" xfId="10698" xr:uid="{C108E5C6-D0DB-4E1C-9F5C-E042D45D992B}"/>
    <cellStyle name="40% - Accent3 12" xfId="542" xr:uid="{3B7E5489-A0E4-4A03-862E-D24FFAAABBA5}"/>
    <cellStyle name="40% - Accent3 12 2" xfId="10995" xr:uid="{91747235-69E2-40AC-9A77-480494F17DA1}"/>
    <cellStyle name="40% - Accent3 13" xfId="543" xr:uid="{F58112D0-4351-4E61-82DD-49EC25689AF6}"/>
    <cellStyle name="40% - Accent3 13 2" xfId="8964" xr:uid="{D992D0C6-3115-448B-94A8-0D4AEAF305F2}"/>
    <cellStyle name="40% - Accent3 14" xfId="544" xr:uid="{1B984BB3-CB88-4BED-BD2F-28FCB48B2B3D}"/>
    <cellStyle name="40% - Accent3 14 2" xfId="8963" xr:uid="{6C1F79E0-7951-4825-981C-C663830E3B25}"/>
    <cellStyle name="40% - Accent3 15" xfId="545" xr:uid="{8538018B-6CA1-4EC7-8AD6-0E98603256E7}"/>
    <cellStyle name="40% - Accent3 15 2" xfId="16206" xr:uid="{BFB2B477-0711-4AB8-BAE3-B9A1C48E4949}"/>
    <cellStyle name="40% - Accent3 16" xfId="546" xr:uid="{C862FFAC-D6DB-42F2-A835-4394A4D03B70}"/>
    <cellStyle name="40% - Accent3 16 2" xfId="16207" xr:uid="{5E0A5368-3462-45EA-9099-ABF9E737E27D}"/>
    <cellStyle name="40% - Accent3 17" xfId="547" xr:uid="{5C6A16CE-DA03-4D0A-AF1C-3EE59A73F661}"/>
    <cellStyle name="40% - Accent3 17 2" xfId="16208" xr:uid="{AA7063C1-913B-45F5-A990-99EAB51013AF}"/>
    <cellStyle name="40% - Accent3 18" xfId="548" xr:uid="{607067B9-6A59-44A8-BE80-F56222B455E1}"/>
    <cellStyle name="40% - Accent3 18 2" xfId="16209" xr:uid="{638BE618-4B3B-41CF-B19F-04C172DDCED4}"/>
    <cellStyle name="40% - Accent3 19" xfId="549" xr:uid="{C60CA9A5-0944-448D-BF26-57994CF35C7B}"/>
    <cellStyle name="40% - Accent3 19 2" xfId="16210" xr:uid="{F6CE1828-E36D-4567-BE44-E0D49238D222}"/>
    <cellStyle name="40% - Accent3 2" xfId="550" xr:uid="{926A4ECE-3721-4965-AFD2-D753E781829E}"/>
    <cellStyle name="40% - Accent3 2 10" xfId="8961" xr:uid="{E21FEE72-426F-4900-A11F-64AD4C5A727B}"/>
    <cellStyle name="40% - Accent3 2 11" xfId="10994" xr:uid="{E7607D95-4F9B-434A-9FA9-602F216D98C3}"/>
    <cellStyle name="40% - Accent3 2 12" xfId="10416" xr:uid="{0841D162-5D8A-4087-996C-337BBD3DBF88}"/>
    <cellStyle name="40% - Accent3 2 13" xfId="10697" xr:uid="{B02DD8C4-480D-4DCA-81F5-B099F6D28D6D}"/>
    <cellStyle name="40% - Accent3 2 14" xfId="10993" xr:uid="{217B957A-7520-41BF-BAED-1A5FABBCF8EC}"/>
    <cellStyle name="40% - Accent3 2 15" xfId="10415" xr:uid="{E28F0BE4-486F-45ED-BEBE-0EA6503DF87F}"/>
    <cellStyle name="40% - Accent3 2 16" xfId="15639" xr:uid="{BF8D3899-E8FB-44C5-B322-C4872ED3067D}"/>
    <cellStyle name="40% - Accent3 2 17" xfId="15640" xr:uid="{E82FAAA6-8B47-4AA9-AA68-0895829ECB7E}"/>
    <cellStyle name="40% - Accent3 2 18" xfId="15641" xr:uid="{9162B445-7458-4425-93F9-6307E0DFB59E}"/>
    <cellStyle name="40% - Accent3 2 19" xfId="15642" xr:uid="{B6346DC3-3B07-4F12-8BE9-952996375B65}"/>
    <cellStyle name="40% - Accent3 2 2" xfId="551" xr:uid="{707353DD-3303-4377-9400-BE74C8F51811}"/>
    <cellStyle name="40% - Accent3 2 2 10" xfId="15643" xr:uid="{A06B69AC-64A8-4907-AD6A-FB607AF5ECFD}"/>
    <cellStyle name="40% - Accent3 2 2 11" xfId="15644" xr:uid="{D2E31F3C-753D-4902-A3E4-BF047C0F98A4}"/>
    <cellStyle name="40% - Accent3 2 2 12" xfId="15645" xr:uid="{54ADE9B8-F68D-452B-9269-50AEBB996894}"/>
    <cellStyle name="40% - Accent3 2 2 13" xfId="15646" xr:uid="{056F5B3F-E2BA-430E-A7CF-85BEEA19C633}"/>
    <cellStyle name="40% - Accent3 2 2 14" xfId="15647" xr:uid="{0B79828B-F735-4999-8EF6-58577C159BBB}"/>
    <cellStyle name="40% - Accent3 2 2 2" xfId="552" xr:uid="{D5E2F180-2FF1-4830-B167-7B81D5BB132C}"/>
    <cellStyle name="40% - Accent3 2 2 3" xfId="553" xr:uid="{37AEE5FE-6CC5-41A5-8609-35980732E4DE}"/>
    <cellStyle name="40% - Accent3 2 2 4" xfId="10696" xr:uid="{5E0FBE33-32E6-4B0D-BD04-81F70E36E0F2}"/>
    <cellStyle name="40% - Accent3 2 2 5" xfId="10992" xr:uid="{E8E542F2-E81C-42DA-ACE3-C4F9E05A1BFA}"/>
    <cellStyle name="40% - Accent3 2 2 6" xfId="10414" xr:uid="{7C33CFF0-6E88-4EFC-8966-3026EFB9A1C7}"/>
    <cellStyle name="40% - Accent3 2 2 7" xfId="15648" xr:uid="{D3BFE215-05B6-4A7F-B980-EF8DB287CA03}"/>
    <cellStyle name="40% - Accent3 2 2 8" xfId="15649" xr:uid="{93B41AB1-4A11-4A0E-9DAD-D58B04C862FD}"/>
    <cellStyle name="40% - Accent3 2 2 9" xfId="15650" xr:uid="{87FB1FDA-E25C-4C60-BFD6-A11B1FF0970C}"/>
    <cellStyle name="40% - Accent3 2 20" xfId="23462" xr:uid="{95DF2BE9-AEA2-46C3-9D43-AD5EE7A13512}"/>
    <cellStyle name="40% - Accent3 2 3" xfId="554" xr:uid="{F6FE036C-828F-4095-99B8-6A9EF6B374E1}"/>
    <cellStyle name="40% - Accent3 2 3 2" xfId="10558" xr:uid="{F950B98C-E707-47B2-A81B-69B71F781A81}"/>
    <cellStyle name="40% - Accent3 2 3 3" xfId="10890" xr:uid="{BD8154AF-1ABE-47AD-9BF7-772792C274C7}"/>
    <cellStyle name="40% - Accent3 2 3 4" xfId="10695" xr:uid="{F67C9BAB-A733-4A85-A074-335000804327}"/>
    <cellStyle name="40% - Accent3 2 3 5" xfId="8693" xr:uid="{6759D3F5-1AFE-4D86-8865-2D62F13528A9}"/>
    <cellStyle name="40% - Accent3 2 3 6" xfId="10557" xr:uid="{05B89ECF-F0C5-4B90-9D69-E6E0D01E3237}"/>
    <cellStyle name="40% - Accent3 2 4" xfId="555" xr:uid="{F4A8FB28-A6FF-4E47-8C85-CE588E716391}"/>
    <cellStyle name="40% - Accent3 2 4 2" xfId="10889" xr:uid="{DDA171C5-C71D-49E2-9128-B48532C75582}"/>
    <cellStyle name="40% - Accent3 2 4 3" xfId="10692" xr:uid="{3F464D14-95BB-479E-A963-9F6C07AFD703}"/>
    <cellStyle name="40% - Accent3 2 4 4" xfId="10694" xr:uid="{CCDB4EB5-02B8-43D1-B56E-2DC52B144004}"/>
    <cellStyle name="40% - Accent3 2 4 5" xfId="10991" xr:uid="{E79D90D9-67BA-4C1F-A5A4-AE760B5C3BDD}"/>
    <cellStyle name="40% - Accent3 2 4 6" xfId="10413" xr:uid="{3966044F-1136-4471-84DB-4228C3E9547E}"/>
    <cellStyle name="40% - Accent3 2 5" xfId="556" xr:uid="{0515C811-CF23-4C8B-8D85-00CFBFC57CAA}"/>
    <cellStyle name="40% - Accent3 2 5 2" xfId="10693" xr:uid="{CFD155D1-7467-41CD-B7E2-67999A343661}"/>
    <cellStyle name="40% - Accent3 2 5 3" xfId="10990" xr:uid="{0E19F738-0F0C-412C-B2C8-026D68E5B02D}"/>
    <cellStyle name="40% - Accent3 2 5 4" xfId="10412" xr:uid="{1BF01884-75A2-441D-BADD-B940B985DB18}"/>
    <cellStyle name="40% - Accent3 2 5 5" xfId="8692" xr:uid="{E136ECC7-3F70-4B5A-89F4-1DFE72E6DA9A}"/>
    <cellStyle name="40% - Accent3 2 5 6" xfId="10556" xr:uid="{2A0B13BF-614A-4060-BD15-73DCA14FC15C}"/>
    <cellStyle name="40% - Accent3 2 6" xfId="557" xr:uid="{B79EF6A4-6207-4F5C-8630-726CA3854E16}"/>
    <cellStyle name="40% - Accent3 2 6 2" xfId="10888" xr:uid="{C9CB0A8F-A900-4439-8213-7DF487FBAA2D}"/>
    <cellStyle name="40% - Accent3 2 6 3" xfId="10689" xr:uid="{A115D7E9-CCEF-420F-A8CB-9BEFCD43FDA4}"/>
    <cellStyle name="40% - Accent3 2 6 4" xfId="10691" xr:uid="{086251DD-70EC-4CCF-A511-0E2146CFDAFD}"/>
    <cellStyle name="40% - Accent3 2 6 5" xfId="10989" xr:uid="{9F958134-624B-42D8-A15C-7D2B0698AE27}"/>
    <cellStyle name="40% - Accent3 2 6 6" xfId="10411" xr:uid="{7E4DF3F3-CE36-4D41-BBE2-501C47CF304A}"/>
    <cellStyle name="40% - Accent3 2 7" xfId="558" xr:uid="{B4311337-EBA2-4C9B-865A-2706ACDA3E25}"/>
    <cellStyle name="40% - Accent3 2 7 2" xfId="10690" xr:uid="{189A6527-7684-474B-B3F6-5F20199E6EF1}"/>
    <cellStyle name="40% - Accent3 2 7 3" xfId="10988" xr:uid="{E132A8E9-2382-4A6A-951E-15C8DC641A6B}"/>
    <cellStyle name="40% - Accent3 2 7 4" xfId="10410" xr:uid="{6F4BC527-BCD3-4156-94EF-CAC978B41A6F}"/>
    <cellStyle name="40% - Accent3 2 7 5" xfId="8691" xr:uid="{36FA3ABE-DD24-47ED-94E9-282059D46E0E}"/>
    <cellStyle name="40% - Accent3 2 7 6" xfId="10555" xr:uid="{03DAE981-11D8-4F69-98E2-5B65F4B30120}"/>
    <cellStyle name="40% - Accent3 2 8" xfId="559" xr:uid="{E8BBC526-0B40-4A6B-BFA1-6BE599A8BAF1}"/>
    <cellStyle name="40% - Accent3 2 9" xfId="560" xr:uid="{C7344EBE-3E2E-4A9F-8CE5-C75D735CE98A}"/>
    <cellStyle name="40% - Accent3 20" xfId="561" xr:uid="{20A969E7-71C1-4BE2-85A3-9EF50FBDAA04}"/>
    <cellStyle name="40% - Accent3 20 2" xfId="16211" xr:uid="{5944FBD3-215E-4EDC-B0C3-F87A72658A6E}"/>
    <cellStyle name="40% - Accent3 21" xfId="16212" xr:uid="{375A5146-610D-4DD7-BBB0-36E3A353AB03}"/>
    <cellStyle name="40% - Accent3 22" xfId="15149" xr:uid="{DFBDBE5E-F769-4D94-9056-7C475B5B556D}"/>
    <cellStyle name="40% - Accent3 3" xfId="562" xr:uid="{C20D949E-3B1C-49DA-84CE-E083A4D82662}"/>
    <cellStyle name="40% - Accent3 3 10" xfId="563" xr:uid="{966C7003-A709-48F8-81FF-E115C0E8567E}"/>
    <cellStyle name="40% - Accent3 3 11" xfId="564" xr:uid="{0CD3C5FC-DB84-48F2-8FA5-9B5E9B6C18E8}"/>
    <cellStyle name="40% - Accent3 3 12" xfId="565" xr:uid="{92D247F2-4479-48CD-846F-EBB9BD42EBCF}"/>
    <cellStyle name="40% - Accent3 3 13" xfId="566" xr:uid="{40C2BD39-770B-4498-9076-640943B9055A}"/>
    <cellStyle name="40% - Accent3 3 14" xfId="567" xr:uid="{23F0455E-8266-456A-97C0-C8200E7FDFF1}"/>
    <cellStyle name="40% - Accent3 3 15" xfId="15651" xr:uid="{2962EB9A-E23F-4118-AA27-A7AF9863BEB0}"/>
    <cellStyle name="40% - Accent3 3 2" xfId="568" xr:uid="{B364EEF2-6E66-481C-B7C6-9531D40D8E51}"/>
    <cellStyle name="40% - Accent3 3 3" xfId="569" xr:uid="{03A011FB-473A-40CE-9A59-8820A38B3378}"/>
    <cellStyle name="40% - Accent3 3 4" xfId="570" xr:uid="{F79F9D8F-2279-4171-8DAD-7A74A8795747}"/>
    <cellStyle name="40% - Accent3 3 5" xfId="571" xr:uid="{C45C759F-E3A5-44A3-9A55-462CCCED3002}"/>
    <cellStyle name="40% - Accent3 3 6" xfId="572" xr:uid="{57A93B67-83E7-4CBA-BBFF-40C6137A859F}"/>
    <cellStyle name="40% - Accent3 3 7" xfId="573" xr:uid="{B5110748-352A-42CE-9400-5E5C2B3129D2}"/>
    <cellStyle name="40% - Accent3 3 8" xfId="574" xr:uid="{ABC12E84-93A0-4D6A-A54E-86E1E638F36F}"/>
    <cellStyle name="40% - Accent3 3 9" xfId="575" xr:uid="{B7274552-B623-4785-A8E9-587A888DBBA9}"/>
    <cellStyle name="40% - Accent3 4" xfId="576" xr:uid="{B3DDC807-2C6A-4310-B455-47294BCA460D}"/>
    <cellStyle name="40% - Accent3 4 10" xfId="15652" xr:uid="{FAC8E2C5-4E80-490C-A357-A5C1F31FC090}"/>
    <cellStyle name="40% - Accent3 4 11" xfId="15653" xr:uid="{50CB2AA9-639A-4053-BAC1-466B4F0D14CB}"/>
    <cellStyle name="40% - Accent3 4 12" xfId="15654" xr:uid="{08490426-C2E5-4198-94BB-7521C88C430A}"/>
    <cellStyle name="40% - Accent3 4 13" xfId="15655" xr:uid="{DA87D1B7-611E-4AA1-A18E-EFBB0EE7794D}"/>
    <cellStyle name="40% - Accent3 4 14" xfId="15656" xr:uid="{F26C85D3-B038-45AB-A6EF-3B66247D65A5}"/>
    <cellStyle name="40% - Accent3 4 15" xfId="15657" xr:uid="{59AF2169-C550-43EB-B4D8-EC56DCE5298F}"/>
    <cellStyle name="40% - Accent3 4 2" xfId="577" xr:uid="{EC232B3C-A25B-4898-AAD8-2BC86736B9BE}"/>
    <cellStyle name="40% - Accent3 4 3" xfId="578" xr:uid="{DD69DE18-D8CD-481E-820D-BD72965B2474}"/>
    <cellStyle name="40% - Accent3 4 4" xfId="579" xr:uid="{2C1B034F-FC22-411B-8ABD-10B83D71E62E}"/>
    <cellStyle name="40% - Accent3 4 5" xfId="580" xr:uid="{DBD10AF3-D5AA-475B-AF99-904D737E96A5}"/>
    <cellStyle name="40% - Accent3 4 6" xfId="581" xr:uid="{BD90AA16-15DD-4A61-8A7E-F6CF343E3121}"/>
    <cellStyle name="40% - Accent3 4 7" xfId="10887" xr:uid="{66C99DD6-C267-4A1F-A4E8-944B56030033}"/>
    <cellStyle name="40% - Accent3 4 8" xfId="8690" xr:uid="{CDD82B11-29C9-4B5E-97FC-739AB217B423}"/>
    <cellStyle name="40% - Accent3 4 9" xfId="10677" xr:uid="{E18641A0-A16A-459C-BF9C-0B7A6ADC8074}"/>
    <cellStyle name="40% - Accent3 5" xfId="582" xr:uid="{3598EA29-EEA2-491B-885C-CEF96AE06C63}"/>
    <cellStyle name="40% - Accent3 5 10" xfId="15658" xr:uid="{21FEC1F7-738B-41D5-9B18-C1B9CFEBF2F8}"/>
    <cellStyle name="40% - Accent3 5 11" xfId="15659" xr:uid="{17A476A8-3295-4D2D-B699-C2B739A9B70E}"/>
    <cellStyle name="40% - Accent3 5 12" xfId="15660" xr:uid="{58FA97A4-9E6F-4F59-A212-C3F0C6543C76}"/>
    <cellStyle name="40% - Accent3 5 13" xfId="15661" xr:uid="{3BC368A3-AB59-4C0A-8F67-2D2499D7229C}"/>
    <cellStyle name="40% - Accent3 5 14" xfId="15662" xr:uid="{2FB5B886-6AF5-4813-A6A4-09BB615D7709}"/>
    <cellStyle name="40% - Accent3 5 15" xfId="15663" xr:uid="{CBD17FF8-1FB8-44C9-9506-183A72C3EDA1}"/>
    <cellStyle name="40% - Accent3 5 2" xfId="583" xr:uid="{56B66FCD-48F3-4EF3-87A0-5F3C5BB4CFE9}"/>
    <cellStyle name="40% - Accent3 5 3" xfId="584" xr:uid="{7D5AEBA6-F617-41AF-A8EF-2A07A34960F1}"/>
    <cellStyle name="40% - Accent3 5 4" xfId="585" xr:uid="{6ACE7818-01D2-49AE-BDD2-FA8E0D178CD4}"/>
    <cellStyle name="40% - Accent3 5 5" xfId="586" xr:uid="{515D829D-5A87-406F-954E-EF516DC44C03}"/>
    <cellStyle name="40% - Accent3 5 6" xfId="587" xr:uid="{0BC68F8C-00B1-4362-8246-9D19E04186E2}"/>
    <cellStyle name="40% - Accent3 5 7" xfId="10687" xr:uid="{F2BAD8C2-1284-40D1-90FD-7DCDCE37F5F9}"/>
    <cellStyle name="40% - Accent3 5 8" xfId="10987" xr:uid="{B356CE57-9380-4123-8953-9821C740ADB3}"/>
    <cellStyle name="40% - Accent3 5 9" xfId="10409" xr:uid="{293C53F1-06E9-4DC9-AF2C-C8EB73264238}"/>
    <cellStyle name="40% - Accent3 6" xfId="588" xr:uid="{A77107C0-1B23-43DA-9D18-5C55E0B43569}"/>
    <cellStyle name="40% - Accent3 6 2" xfId="589" xr:uid="{F7071AE1-3E2E-438C-81ED-0892241AFE09}"/>
    <cellStyle name="40% - Accent3 6 3" xfId="590" xr:uid="{F3BAF3D1-DA0C-4C41-9D8F-5B655C1E1732}"/>
    <cellStyle name="40% - Accent3 6 4" xfId="10686" xr:uid="{8B101E5F-8221-4178-AD02-31BFEF20498C}"/>
    <cellStyle name="40% - Accent3 6 5" xfId="10986" xr:uid="{A70D8D90-BA95-43A8-8BF5-EF827B6D874F}"/>
    <cellStyle name="40% - Accent3 6 6" xfId="10408" xr:uid="{3AF4FE19-150E-4569-8690-FEC4BAB2EA6F}"/>
    <cellStyle name="40% - Accent3 7" xfId="591" xr:uid="{2383D472-BFAA-49F5-ACA0-8982B99AD57D}"/>
    <cellStyle name="40% - Accent3 7 2" xfId="592" xr:uid="{A87934AA-017C-4A57-B0C9-FF9066194405}"/>
    <cellStyle name="40% - Accent3 7 3" xfId="593" xr:uid="{9A8C9859-1E68-411B-BB28-C535061441E9}"/>
    <cellStyle name="40% - Accent3 7 4" xfId="10685" xr:uid="{C659F9BD-5A0F-4228-B66B-3A666CDFDE78}"/>
    <cellStyle name="40% - Accent3 7 5" xfId="10985" xr:uid="{797456A4-D8E8-48B8-8FB5-0AA47AED7762}"/>
    <cellStyle name="40% - Accent3 7 6" xfId="10407" xr:uid="{5207207A-612A-4269-A23D-F5E802ECBBD8}"/>
    <cellStyle name="40% - Accent3 8" xfId="594" xr:uid="{A9A3BC4E-A852-4A14-9A34-F5B3D434A760}"/>
    <cellStyle name="40% - Accent3 8 2" xfId="595" xr:uid="{C1D395EE-541B-4BE9-B160-C6ADC778A159}"/>
    <cellStyle name="40% - Accent3 8 3" xfId="596" xr:uid="{CEB90470-ABBB-426E-8276-6B2502E6D749}"/>
    <cellStyle name="40% - Accent3 8 4" xfId="10684" xr:uid="{C9538DDA-51BE-46CE-8544-3E399748B157}"/>
    <cellStyle name="40% - Accent3 8 5" xfId="10984" xr:uid="{F6457A4F-9BD2-4D4F-B3D9-09E3247AF148}"/>
    <cellStyle name="40% - Accent3 8 6" xfId="10406" xr:uid="{6C99F524-96C6-4306-9F04-65FE0C3A70BC}"/>
    <cellStyle name="40% - Accent3 9" xfId="597" xr:uid="{A5FCC246-B5B9-4356-A1EC-4C11019C78C3}"/>
    <cellStyle name="40% - Accent3 9 2" xfId="598" xr:uid="{D4C2E7F1-A9F9-4299-99DE-706F91B47364}"/>
    <cellStyle name="40% - Accent3 9 3" xfId="10554" xr:uid="{12DF7A00-57D8-40DD-887C-D5DF6BAF9FD7}"/>
    <cellStyle name="40% - Accent3 9 4" xfId="10886" xr:uid="{56B682A0-1E77-4E07-92F9-833FA107C8CB}"/>
    <cellStyle name="40% - Accent3 9 5" xfId="10683" xr:uid="{B6B750C3-90B9-4830-9627-438608B34285}"/>
    <cellStyle name="40% - Accent3 9 6" xfId="8689" xr:uid="{CB1BDA24-8A8F-44A5-BC5C-AE29606CD038}"/>
    <cellStyle name="40% - Accent4 10" xfId="599" xr:uid="{E2B55B83-3602-4F0A-AC08-956E248C225A}"/>
    <cellStyle name="40% - Accent4 10 2" xfId="600" xr:uid="{9235F784-A6F0-4E78-ACAC-316ED41D046B}"/>
    <cellStyle name="40% - Accent4 10 3" xfId="10553" xr:uid="{E4142241-BD30-4A60-A4F1-38D24507B5EE}"/>
    <cellStyle name="40% - Accent4 10 4" xfId="10885" xr:uid="{201C1B9F-88F9-49DA-9900-F8292B3C976A}"/>
    <cellStyle name="40% - Accent4 10 5" xfId="10681" xr:uid="{AFFFA945-BD3B-4EC8-869F-BAF7E0A87CD9}"/>
    <cellStyle name="40% - Accent4 10 6" xfId="10682" xr:uid="{43DB9629-3628-4275-962E-98DD06D80E58}"/>
    <cellStyle name="40% - Accent4 11" xfId="601" xr:uid="{E890D17F-5E80-4163-ADC2-6DBCCD3456C5}"/>
    <cellStyle name="40% - Accent4 11 2" xfId="10983" xr:uid="{372CA7BE-BD97-4005-B0B9-B6253B89DBF3}"/>
    <cellStyle name="40% - Accent4 12" xfId="602" xr:uid="{C621DB65-E1B1-45AF-92A3-1493814768F9}"/>
    <cellStyle name="40% - Accent4 12 2" xfId="10405" xr:uid="{441417BA-408D-4330-8ED2-CE25FB80EFEB}"/>
    <cellStyle name="40% - Accent4 13" xfId="603" xr:uid="{E64A9BB7-C456-44A5-910A-03ABA26138CE}"/>
    <cellStyle name="40% - Accent4 13 2" xfId="8937" xr:uid="{100FC02F-9E01-4F61-BC8E-C5B97A715F3B}"/>
    <cellStyle name="40% - Accent4 14" xfId="604" xr:uid="{53B59226-BB55-4936-92A2-72C512C70EDC}"/>
    <cellStyle name="40% - Accent4 14 2" xfId="8933" xr:uid="{CE9789BD-3779-4FDE-B6FA-F5C7C56FD1D6}"/>
    <cellStyle name="40% - Accent4 15" xfId="605" xr:uid="{259047D6-72E6-405E-8D05-776F0BD595CE}"/>
    <cellStyle name="40% - Accent4 15 2" xfId="16213" xr:uid="{5C72323A-5837-46FF-9A75-F26250A92375}"/>
    <cellStyle name="40% - Accent4 16" xfId="606" xr:uid="{DD8051D9-8477-4C9D-A8B5-329DEFD4FEA0}"/>
    <cellStyle name="40% - Accent4 16 2" xfId="16214" xr:uid="{1C369DCC-9D44-4848-81D9-CC4B9E03CC75}"/>
    <cellStyle name="40% - Accent4 17" xfId="607" xr:uid="{9C7AD72D-2DE6-4134-BD41-3E64777D481C}"/>
    <cellStyle name="40% - Accent4 17 2" xfId="16215" xr:uid="{99EC32CD-E0CD-4C88-9F2E-B69C09AB77BF}"/>
    <cellStyle name="40% - Accent4 18" xfId="608" xr:uid="{670C6169-026C-4CD8-A3D2-93742D9D9C8D}"/>
    <cellStyle name="40% - Accent4 18 2" xfId="16216" xr:uid="{61BCCDBA-A653-41A1-B335-71F946E456F4}"/>
    <cellStyle name="40% - Accent4 19" xfId="609" xr:uid="{CD73B855-3BF8-44D3-95C5-DAA228400411}"/>
    <cellStyle name="40% - Accent4 19 2" xfId="16217" xr:uid="{FCAD7BC0-4E9C-4346-ADDE-63C18D8BB7D8}"/>
    <cellStyle name="40% - Accent4 2" xfId="610" xr:uid="{75324776-399F-4324-BB54-4694183F3450}"/>
    <cellStyle name="40% - Accent4 2 10" xfId="8932" xr:uid="{511A6A2D-F0A7-42E4-B5CA-5CBF7A193F1E}"/>
    <cellStyle name="40% - Accent4 2 11" xfId="10404" xr:uid="{B2560CFD-F8B3-48D2-BBE4-3D00BD6A1481}"/>
    <cellStyle name="40% - Accent4 2 12" xfId="8688" xr:uid="{C6991293-5772-493B-B737-909A30D6C418}"/>
    <cellStyle name="40% - Accent4 2 13" xfId="10552" xr:uid="{9800E8CB-3412-488A-9CCA-219DB6DF63E5}"/>
    <cellStyle name="40% - Accent4 2 14" xfId="10884" xr:uid="{01DC026C-A39D-4F44-A316-3D978CB1D5EA}"/>
    <cellStyle name="40% - Accent4 2 15" xfId="10678" xr:uid="{521F07DF-B2DF-4E3E-85B0-9F9235E939AF}"/>
    <cellStyle name="40% - Accent4 2 16" xfId="15664" xr:uid="{7BDA331B-951D-4C20-8E8C-A98C6428A604}"/>
    <cellStyle name="40% - Accent4 2 17" xfId="15665" xr:uid="{7C28FD3E-AC45-40D9-A68E-7EC22BDD26DB}"/>
    <cellStyle name="40% - Accent4 2 18" xfId="15666" xr:uid="{C75BAA21-7D70-42BF-AD81-02F5A19C15EB}"/>
    <cellStyle name="40% - Accent4 2 19" xfId="15667" xr:uid="{B9A19C15-3FDC-45E3-A779-F2FF9CE2B658}"/>
    <cellStyle name="40% - Accent4 2 2" xfId="611" xr:uid="{0D4BF15A-E9AE-4D59-BC0D-D6AD50986D78}"/>
    <cellStyle name="40% - Accent4 2 2 10" xfId="15668" xr:uid="{7EE60047-8D00-4B22-AFEA-432211A3A9B5}"/>
    <cellStyle name="40% - Accent4 2 2 11" xfId="15669" xr:uid="{E92AC339-714C-4CB4-BEA4-2FA9A5514495}"/>
    <cellStyle name="40% - Accent4 2 2 12" xfId="15670" xr:uid="{7BE2044E-D88B-4667-AC5F-11CC9D6599B6}"/>
    <cellStyle name="40% - Accent4 2 2 13" xfId="15671" xr:uid="{B59973A1-775F-4992-8EB5-D0BDECE15B22}"/>
    <cellStyle name="40% - Accent4 2 2 14" xfId="15672" xr:uid="{FC48843B-DCF8-4013-ADE8-9FAB7C39FE9B}"/>
    <cellStyle name="40% - Accent4 2 2 2" xfId="612" xr:uid="{06D17194-EF5E-4CEB-AA7B-61F24C2426A5}"/>
    <cellStyle name="40% - Accent4 2 2 3" xfId="613" xr:uid="{8DAA0767-B20A-48DA-9B6B-5D4D6BC874E3}"/>
    <cellStyle name="40% - Accent4 2 2 4" xfId="10680" xr:uid="{BF971DF8-E5A2-41E1-A9E7-6331DED6FD70}"/>
    <cellStyle name="40% - Accent4 2 2 5" xfId="10982" xr:uid="{3F907E36-5152-4FEB-BC52-DFC9710CD3D0}"/>
    <cellStyle name="40% - Accent4 2 2 6" xfId="10403" xr:uid="{D0FB7FC5-BC95-4D2F-8225-1E8B91620E71}"/>
    <cellStyle name="40% - Accent4 2 2 7" xfId="15673" xr:uid="{4B1CAE1F-1963-4877-8EAC-845F7D30296F}"/>
    <cellStyle name="40% - Accent4 2 2 8" xfId="15674" xr:uid="{9E4052F2-CA38-45A7-8358-D8153D9D86A4}"/>
    <cellStyle name="40% - Accent4 2 2 9" xfId="15675" xr:uid="{90F3CFB0-09A6-4E28-BEC8-E2C512FF107B}"/>
    <cellStyle name="40% - Accent4 2 20" xfId="23463" xr:uid="{88867A94-E090-4C16-B305-A536991AE7AB}"/>
    <cellStyle name="40% - Accent4 2 3" xfId="614" xr:uid="{AC809369-5691-4CB4-BC98-475438BE0639}"/>
    <cellStyle name="40% - Accent4 2 3 2" xfId="10679" xr:uid="{974CC8D2-F6FB-4FBA-8AB1-2E6C7CD1AE0A}"/>
    <cellStyle name="40% - Accent4 2 3 3" xfId="10981" xr:uid="{C4CE1BAC-D89E-4A11-9728-B7C5115C223D}"/>
    <cellStyle name="40% - Accent4 2 3 4" xfId="10402" xr:uid="{C1967565-C705-4FDD-89D3-8D726D5062CB}"/>
    <cellStyle name="40% - Accent4 2 3 5" xfId="8687" xr:uid="{A95E4F22-51AB-4422-B934-FD0D6994CCA6}"/>
    <cellStyle name="40% - Accent4 2 3 6" xfId="10551" xr:uid="{7B1AE344-BA2D-408D-890A-1193FEB4FA34}"/>
    <cellStyle name="40% - Accent4 2 4" xfId="615" xr:uid="{B2A96364-9397-48AC-8828-43418839EAD5}"/>
    <cellStyle name="40% - Accent4 2 4 2" xfId="10883" xr:uid="{B1A9D7DD-555B-4746-9CAF-BCE2A08EBF8A}"/>
    <cellStyle name="40% - Accent4 2 4 3" xfId="8686" xr:uid="{C06FDD5B-D8E8-4E51-836E-FB81B1A3F606}"/>
    <cellStyle name="40% - Accent4 2 4 4" xfId="10547" xr:uid="{032DA939-BE06-4954-99E4-8CDA6F424764}"/>
    <cellStyle name="40% - Accent4 2 4 5" xfId="10879" xr:uid="{6A98A69E-F0C0-49D2-93E0-0CE58F412A32}"/>
    <cellStyle name="40% - Accent4 2 4 6" xfId="10673" xr:uid="{9637781A-4299-4551-A3BB-25109A0DD41E}"/>
    <cellStyle name="40% - Accent4 2 5" xfId="616" xr:uid="{C292B559-ED56-439A-9659-14C3251A4320}"/>
    <cellStyle name="40% - Accent4 2 5 2" xfId="10550" xr:uid="{9AFBA8A1-2F4E-47B3-8292-863C3EC39B15}"/>
    <cellStyle name="40% - Accent4 2 5 3" xfId="10882" xr:uid="{5FD9D41F-E49A-49EE-A831-01977F26BE4C}"/>
    <cellStyle name="40% - Accent4 2 5 4" xfId="10676" xr:uid="{5EE28DBD-2AD5-4CF6-9812-FECE72D2467E}"/>
    <cellStyle name="40% - Accent4 2 5 5" xfId="8685" xr:uid="{78E59DF2-EFBB-41AB-9E2B-BE5665D31AB1}"/>
    <cellStyle name="40% - Accent4 2 5 6" xfId="10549" xr:uid="{2D4ED628-6BCB-4D22-8CA8-CC4D69EF0D1D}"/>
    <cellStyle name="40% - Accent4 2 6" xfId="617" xr:uid="{C7CF327D-EAEC-40FE-86EC-6E8645E2ED77}"/>
    <cellStyle name="40% - Accent4 2 6 2" xfId="10881" xr:uid="{CA2F7289-1527-4E58-8407-FF82C11EB104}"/>
    <cellStyle name="40% - Accent4 2 6 3" xfId="10675" xr:uid="{92AC7BE9-E2A7-4B81-996B-B3728EC3AAF9}"/>
    <cellStyle name="40% - Accent4 2 6 4" xfId="8684" xr:uid="{1B78B7B9-8449-4088-9161-D6E1632B4625}"/>
    <cellStyle name="40% - Accent4 2 6 5" xfId="10548" xr:uid="{FF4DDA5C-4F02-4AA5-9674-BD7E249C9C90}"/>
    <cellStyle name="40% - Accent4 2 6 6" xfId="10880" xr:uid="{2FA45485-F37B-4EF8-BEEB-74EF4A681CB8}"/>
    <cellStyle name="40% - Accent4 2 7" xfId="618" xr:uid="{A0EA49B4-C280-46F5-B3FC-E4D324DD3996}"/>
    <cellStyle name="40% - Accent4 2 7 2" xfId="10674" xr:uid="{4EDA720E-87A7-4479-B7E4-C5BD959BA8F4}"/>
    <cellStyle name="40% - Accent4 2 7 3" xfId="8683" xr:uid="{478D9DE1-C32C-4B45-8208-34280E41A7C6}"/>
    <cellStyle name="40% - Accent4 2 7 4" xfId="8682" xr:uid="{83AE6FD1-524C-4230-B00C-E9C0C610B1C8}"/>
    <cellStyle name="40% - Accent4 2 7 5" xfId="10543" xr:uid="{5E5FC950-EBE2-49C7-9469-7F26A95C46BC}"/>
    <cellStyle name="40% - Accent4 2 7 6" xfId="10875" xr:uid="{654746FC-C128-479D-A090-73972BB4D724}"/>
    <cellStyle name="40% - Accent4 2 8" xfId="619" xr:uid="{446632AB-0145-4E49-8CE9-7FF0F94CD6FD}"/>
    <cellStyle name="40% - Accent4 2 9" xfId="620" xr:uid="{1D518A1B-F638-4BAD-A5B1-3F557A067AF2}"/>
    <cellStyle name="40% - Accent4 20" xfId="621" xr:uid="{901EA282-80A0-4C38-A033-33BB968D173A}"/>
    <cellStyle name="40% - Accent4 20 2" xfId="16218" xr:uid="{C6F75264-2839-4C8F-9896-687AF0CA25F8}"/>
    <cellStyle name="40% - Accent4 21" xfId="16219" xr:uid="{82AEC73F-2290-432B-B6E7-9394EB3F0791}"/>
    <cellStyle name="40% - Accent4 22" xfId="15150" xr:uid="{6316344B-B6D6-4FFE-9F6B-E550D4E75C3F}"/>
    <cellStyle name="40% - Accent4 3" xfId="622" xr:uid="{D09272CE-3F7F-491A-B950-400AB5FF1880}"/>
    <cellStyle name="40% - Accent4 3 10" xfId="623" xr:uid="{B2B3C035-DDB8-4EF5-8305-0FD8F72C1E82}"/>
    <cellStyle name="40% - Accent4 3 11" xfId="624" xr:uid="{ACDA0E96-C022-4C10-88AF-36247E0FBD61}"/>
    <cellStyle name="40% - Accent4 3 12" xfId="625" xr:uid="{ECE51E16-1509-4826-ABBF-D9BDB7927B14}"/>
    <cellStyle name="40% - Accent4 3 13" xfId="626" xr:uid="{B791B559-443D-431C-BA87-6A07C92B2EB6}"/>
    <cellStyle name="40% - Accent4 3 14" xfId="627" xr:uid="{D66F8883-0BCD-4BA0-8533-EA19E372CA97}"/>
    <cellStyle name="40% - Accent4 3 15" xfId="15676" xr:uid="{42A90CB7-A448-412C-9EB1-A39CDB677F4F}"/>
    <cellStyle name="40% - Accent4 3 2" xfId="628" xr:uid="{D09CB54F-CE55-49F1-A60A-A020218B04A7}"/>
    <cellStyle name="40% - Accent4 3 3" xfId="629" xr:uid="{19C42B26-2E14-463C-BA47-00779C588497}"/>
    <cellStyle name="40% - Accent4 3 4" xfId="630" xr:uid="{421DCF68-8EDE-4E66-A8EA-697D8558B657}"/>
    <cellStyle name="40% - Accent4 3 5" xfId="631" xr:uid="{4145D78C-10E1-4648-9E6C-6A105BAC279B}"/>
    <cellStyle name="40% - Accent4 3 6" xfId="632" xr:uid="{C13DAEF6-C3FD-42AB-BEDC-C85DE5811B2C}"/>
    <cellStyle name="40% - Accent4 3 7" xfId="633" xr:uid="{9F5E1931-D818-4C07-9444-831D873423D4}"/>
    <cellStyle name="40% - Accent4 3 8" xfId="634" xr:uid="{7E1E2857-758D-4357-9FB5-AF1478EFEDC9}"/>
    <cellStyle name="40% - Accent4 3 9" xfId="635" xr:uid="{13A8E958-A090-4520-AAD8-12F81AC4C099}"/>
    <cellStyle name="40% - Accent4 4" xfId="636" xr:uid="{DB2A190A-8393-4236-AFFD-078FC254350B}"/>
    <cellStyle name="40% - Accent4 4 10" xfId="15677" xr:uid="{04E6FE9D-F925-4705-9D85-3BB8EEFADD96}"/>
    <cellStyle name="40% - Accent4 4 11" xfId="15678" xr:uid="{F33A2428-026C-435E-95DE-8907A4937D84}"/>
    <cellStyle name="40% - Accent4 4 12" xfId="15679" xr:uid="{A8B4BB52-FE1B-4DB3-991C-BCDAF473E524}"/>
    <cellStyle name="40% - Accent4 4 13" xfId="15680" xr:uid="{AAC7DAAD-06A9-4645-89E0-5843333CE3A1}"/>
    <cellStyle name="40% - Accent4 4 14" xfId="15681" xr:uid="{7D9173B0-C362-49DB-B0E6-8CBF7ABADCC4}"/>
    <cellStyle name="40% - Accent4 4 15" xfId="15682" xr:uid="{5F22AD3E-88D1-4ACE-BF0F-891CA33BD07D}"/>
    <cellStyle name="40% - Accent4 4 2" xfId="637" xr:uid="{1A0F310A-3A18-47C7-A73B-6CD690BFE0E1}"/>
    <cellStyle name="40% - Accent4 4 3" xfId="638" xr:uid="{075D9700-D9F4-4DD6-8EE8-F5E6C3ACB63B}"/>
    <cellStyle name="40% - Accent4 4 4" xfId="639" xr:uid="{66FFEB35-B6E0-489A-8C99-80444BF1A436}"/>
    <cellStyle name="40% - Accent4 4 5" xfId="640" xr:uid="{3520734A-7FA9-4ED9-906B-1F2B786A8556}"/>
    <cellStyle name="40% - Accent4 4 6" xfId="641" xr:uid="{019767E9-F234-4934-BEAA-165B5434210B}"/>
    <cellStyle name="40% - Accent4 4 7" xfId="10669" xr:uid="{3781404B-B2F2-42F2-A3C8-E6E5C0ADDF05}"/>
    <cellStyle name="40% - Accent4 4 8" xfId="10546" xr:uid="{74D25780-9879-4910-B219-6BD63A235A2C}"/>
    <cellStyle name="40% - Accent4 4 9" xfId="10878" xr:uid="{3275B0CD-72E5-42A9-9A3D-D132DD0C4574}"/>
    <cellStyle name="40% - Accent4 5" xfId="642" xr:uid="{79F76343-E3C6-4078-9FA2-7F91C2C73BAC}"/>
    <cellStyle name="40% - Accent4 5 10" xfId="15683" xr:uid="{D1CB57FF-CF76-4148-B727-E8BE850E8986}"/>
    <cellStyle name="40% - Accent4 5 11" xfId="15684" xr:uid="{C5210F0F-7F13-4F98-8395-325DE847837F}"/>
    <cellStyle name="40% - Accent4 5 12" xfId="15685" xr:uid="{68DBB2B4-4242-4F4B-80D2-C4115DFC8E62}"/>
    <cellStyle name="40% - Accent4 5 13" xfId="15686" xr:uid="{AB30C45E-6BFC-4BD1-A3D5-B4FF778C904D}"/>
    <cellStyle name="40% - Accent4 5 14" xfId="15687" xr:uid="{398DDE20-E108-4228-B1F1-EBF02FEB18ED}"/>
    <cellStyle name="40% - Accent4 5 15" xfId="15688" xr:uid="{4F2B6ED4-E501-462B-A227-B210DD97FCE1}"/>
    <cellStyle name="40% - Accent4 5 2" xfId="643" xr:uid="{29C1B90D-5A39-42D4-960E-405F858F6EBE}"/>
    <cellStyle name="40% - Accent4 5 3" xfId="644" xr:uid="{2D887428-4472-4E85-AF80-7344CB920B67}"/>
    <cellStyle name="40% - Accent4 5 4" xfId="645" xr:uid="{32CE22A3-BC5E-49CE-A6F1-B2A8C74924A2}"/>
    <cellStyle name="40% - Accent4 5 5" xfId="646" xr:uid="{7A4BD75B-27AB-41B5-87FA-6E8823C48EF4}"/>
    <cellStyle name="40% - Accent4 5 6" xfId="647" xr:uid="{58D24937-8B7A-4058-AE66-D005404F3FC2}"/>
    <cellStyle name="40% - Accent4 5 7" xfId="10672" xr:uid="{26526CD4-4015-42D1-B499-CFD232F07C36}"/>
    <cellStyle name="40% - Accent4 5 8" xfId="8681" xr:uid="{80F66ED1-6467-430C-ADB3-2612D117AE21}"/>
    <cellStyle name="40% - Accent4 5 9" xfId="10545" xr:uid="{14DB83E9-DC47-44EA-94BA-0A5E18208856}"/>
    <cellStyle name="40% - Accent4 6" xfId="648" xr:uid="{3A586437-D761-466F-9B14-2E40E3C82ED7}"/>
    <cellStyle name="40% - Accent4 6 2" xfId="649" xr:uid="{895C1DCA-C4BB-4BE0-A9D6-3B935DE374F3}"/>
    <cellStyle name="40% - Accent4 6 3" xfId="650" xr:uid="{3F667126-9385-4724-9DEB-EF2DAB88D61B}"/>
    <cellStyle name="40% - Accent4 6 4" xfId="10877" xr:uid="{25EEF595-9603-4928-B635-39E57B8AAD80}"/>
    <cellStyle name="40% - Accent4 6 5" xfId="10671" xr:uid="{06F6BE6C-80D9-4F46-AEB7-4D56C5BB9B1D}"/>
    <cellStyle name="40% - Accent4 6 6" xfId="8680" xr:uid="{23C2EA2C-DC30-410C-B1FA-6ABB1AEA5214}"/>
    <cellStyle name="40% - Accent4 7" xfId="651" xr:uid="{41E3D545-C55C-42CD-8D44-54B5D4E8E06B}"/>
    <cellStyle name="40% - Accent4 7 2" xfId="652" xr:uid="{1DF5B4CD-EB72-4465-A0B1-F655CB46B977}"/>
    <cellStyle name="40% - Accent4 7 3" xfId="653" xr:uid="{ECA44B4A-0216-487C-9E2C-C02E48CC2F0B}"/>
    <cellStyle name="40% - Accent4 7 4" xfId="10544" xr:uid="{1C5284BD-654C-45BE-99F7-572AA86E9649}"/>
    <cellStyle name="40% - Accent4 7 5" xfId="10876" xr:uid="{404A26E1-10C6-4778-8D3D-DAD92F8EE8CA}"/>
    <cellStyle name="40% - Accent4 7 6" xfId="10670" xr:uid="{6D03EB5D-9363-4075-A061-2EE726CB3B97}"/>
    <cellStyle name="40% - Accent4 8" xfId="654" xr:uid="{BAECC605-7618-4F18-9054-5FDDEBBA26AF}"/>
    <cellStyle name="40% - Accent4 8 2" xfId="655" xr:uid="{0F879486-D9AB-4D76-8C95-EAAB7CFE7132}"/>
    <cellStyle name="40% - Accent4 8 3" xfId="656" xr:uid="{B2FD9E88-0DAB-430F-9C0E-B6E9228F56A8}"/>
    <cellStyle name="40% - Accent4 8 4" xfId="8679" xr:uid="{83FDD7F1-BC16-43C9-999D-1790B1B23567}"/>
    <cellStyle name="40% - Accent4 8 5" xfId="8678" xr:uid="{36FEC083-D8DB-4BA1-B98C-70D12BBAF816}"/>
    <cellStyle name="40% - Accent4 8 6" xfId="10540" xr:uid="{54F9AF1C-095B-4850-8056-4040C9674DAE}"/>
    <cellStyle name="40% - Accent4 9" xfId="657" xr:uid="{4FA789CC-0AB2-48F6-876A-DFA962CF5D58}"/>
    <cellStyle name="40% - Accent4 9 2" xfId="658" xr:uid="{1B13856E-EA7C-44D1-B0EF-D4998BD748D0}"/>
    <cellStyle name="40% - Accent4 9 3" xfId="10872" xr:uid="{C83A5FF8-47FC-41C9-80EC-B644B5A6D4A2}"/>
    <cellStyle name="40% - Accent4 9 4" xfId="10665" xr:uid="{493E56A5-3CC6-48C4-8021-56ECFE43E56F}"/>
    <cellStyle name="40% - Accent4 9 5" xfId="10542" xr:uid="{2B20ACEF-E2B4-45B9-B90F-5E52ECF6E6E7}"/>
    <cellStyle name="40% - Accent4 9 6" xfId="10874" xr:uid="{0D5FED14-70B7-4DD1-9E92-9E3B4EAFD9BE}"/>
    <cellStyle name="40% - Accent5 10" xfId="659" xr:uid="{B19837A2-AB2B-4861-81F1-E8BA0349B40F}"/>
    <cellStyle name="40% - Accent5 10 2" xfId="660" xr:uid="{06A4CB5F-136F-4AE1-9FA8-549417B762DF}"/>
    <cellStyle name="40% - Accent5 10 3" xfId="10668" xr:uid="{F82BA9AE-9ED5-4EF7-ABCE-F6633B246FF7}"/>
    <cellStyle name="40% - Accent5 10 4" xfId="8677" xr:uid="{935954B2-9B6B-409F-8670-2F58A7059E6E}"/>
    <cellStyle name="40% - Accent5 10 5" xfId="10541" xr:uid="{2FF1308D-29E4-4C58-9ABA-C1697ADADD5D}"/>
    <cellStyle name="40% - Accent5 10 6" xfId="10873" xr:uid="{1D8AC7DA-51A2-4767-AA4E-A89DFCF26CA5}"/>
    <cellStyle name="40% - Accent5 11" xfId="661" xr:uid="{D38C74C4-7D1D-4034-8B03-B7E37A3165C1}"/>
    <cellStyle name="40% - Accent5 11 2" xfId="10667" xr:uid="{92BBE42D-7412-4119-8AA8-0FE0029C9B35}"/>
    <cellStyle name="40% - Accent5 12" xfId="662" xr:uid="{CE3055E6-4B6F-4EC6-A879-CF9E5582DE0D}"/>
    <cellStyle name="40% - Accent5 12 2" xfId="8676" xr:uid="{65C7EA82-B23F-471D-BE23-C87A974C81D6}"/>
    <cellStyle name="40% - Accent5 13" xfId="663" xr:uid="{38886E63-F166-41F0-9BAF-D0FE1D96BF3C}"/>
    <cellStyle name="40% - Accent5 13 2" xfId="8871" xr:uid="{C99800CC-DF9B-4781-8706-1A4EFB701335}"/>
    <cellStyle name="40% - Accent5 14" xfId="664" xr:uid="{79FAEC38-2BA3-41A9-836B-DDC8E581A464}"/>
    <cellStyle name="40% - Accent5 14 2" xfId="8868" xr:uid="{7D9C727D-F7C8-4263-B3E7-47FC33AB9336}"/>
    <cellStyle name="40% - Accent5 15" xfId="665" xr:uid="{11AA8436-AFE8-40C5-A487-9AAF4C863FFB}"/>
    <cellStyle name="40% - Accent5 15 2" xfId="16220" xr:uid="{6E86C0F4-FD08-4FAC-AB1E-D200666B0964}"/>
    <cellStyle name="40% - Accent5 16" xfId="666" xr:uid="{85471808-14FD-4F47-B564-0847FCF7FAE6}"/>
    <cellStyle name="40% - Accent5 16 2" xfId="16221" xr:uid="{C77AF11B-4C78-4430-891F-A0194C80B2DC}"/>
    <cellStyle name="40% - Accent5 17" xfId="667" xr:uid="{6C4B7C74-48AE-4D6C-9BE1-2A518E7FD256}"/>
    <cellStyle name="40% - Accent5 17 2" xfId="16222" xr:uid="{0ECCED07-B162-403B-81D3-DE5C9EA1A90C}"/>
    <cellStyle name="40% - Accent5 18" xfId="668" xr:uid="{C5F91837-9642-4EA3-8A0A-4D69F59695DA}"/>
    <cellStyle name="40% - Accent5 18 2" xfId="16223" xr:uid="{F0DD8C67-DA51-492C-8911-DE8BAF47AAA7}"/>
    <cellStyle name="40% - Accent5 19" xfId="669" xr:uid="{08B464FA-AD82-4E9A-BC78-E222FDDE4026}"/>
    <cellStyle name="40% - Accent5 19 2" xfId="16224" xr:uid="{B0289A08-1862-4472-9327-06F21C50AF78}"/>
    <cellStyle name="40% - Accent5 2" xfId="670" xr:uid="{C323348B-0FCE-45EA-8CAC-7304AB117AFD}"/>
    <cellStyle name="40% - Accent5 2 10" xfId="8865" xr:uid="{CC0B466B-6734-4CB2-9D09-DE97BC72A657}"/>
    <cellStyle name="40% - Accent5 2 11" xfId="10666" xr:uid="{39D8C5AF-3F5A-41E5-BD27-77720AE55E95}"/>
    <cellStyle name="40% - Accent5 2 12" xfId="8675" xr:uid="{7752B634-0E94-4426-89E0-7F0087575EC0}"/>
    <cellStyle name="40% - Accent5 2 13" xfId="8674" xr:uid="{688C7ECA-729B-468A-B4DC-7B2C7DC0F18D}"/>
    <cellStyle name="40% - Accent5 2 14" xfId="10536" xr:uid="{342B83A8-12EA-405E-BC97-D3A74EB3232B}"/>
    <cellStyle name="40% - Accent5 2 15" xfId="10868" xr:uid="{CB872D80-C09C-4217-81FE-A722E6978DC4}"/>
    <cellStyle name="40% - Accent5 2 16" xfId="15689" xr:uid="{56B82E57-ED09-4525-8B38-A474613C03C6}"/>
    <cellStyle name="40% - Accent5 2 17" xfId="15690" xr:uid="{8F659E90-5C09-46EB-9CBF-C6B94DB119D5}"/>
    <cellStyle name="40% - Accent5 2 18" xfId="15691" xr:uid="{3266F270-87B7-4292-8A3F-64EA1F651976}"/>
    <cellStyle name="40% - Accent5 2 19" xfId="15692" xr:uid="{3DF9279C-82C7-4829-B912-F0E9786A58BF}"/>
    <cellStyle name="40% - Accent5 2 2" xfId="671" xr:uid="{D8D07628-1767-4BF3-BF8D-28263925D766}"/>
    <cellStyle name="40% - Accent5 2 2 10" xfId="15693" xr:uid="{ACEC219F-C4DF-454C-8EE6-2CE8DBB94D9D}"/>
    <cellStyle name="40% - Accent5 2 2 11" xfId="15694" xr:uid="{8C134710-565C-4A3C-A8D7-ACDD49432226}"/>
    <cellStyle name="40% - Accent5 2 2 12" xfId="15695" xr:uid="{E5B33489-51C8-414A-BEE6-5AD5D4BCE957}"/>
    <cellStyle name="40% - Accent5 2 2 13" xfId="15696" xr:uid="{B6F77FBE-2765-49DF-8E22-457F810B29C0}"/>
    <cellStyle name="40% - Accent5 2 2 14" xfId="15697" xr:uid="{F1B72C95-FBAC-4A2B-9D72-D24DB2EA01AF}"/>
    <cellStyle name="40% - Accent5 2 2 2" xfId="672" xr:uid="{C6B037F5-5732-402E-B13F-C6520F052550}"/>
    <cellStyle name="40% - Accent5 2 2 3" xfId="673" xr:uid="{1F15CDD4-C6EA-43CD-BC9A-301928DB178E}"/>
    <cellStyle name="40% - Accent5 2 2 4" xfId="10661" xr:uid="{16FB37DA-52B8-4B0A-8615-AED386B13E5E}"/>
    <cellStyle name="40% - Accent5 2 2 5" xfId="10539" xr:uid="{44268182-BDE6-44BB-AEDA-D7EB60850377}"/>
    <cellStyle name="40% - Accent5 2 2 6" xfId="10871" xr:uid="{52B15CB7-8F28-429B-BF38-FC9216FC1872}"/>
    <cellStyle name="40% - Accent5 2 2 7" xfId="15698" xr:uid="{890BC214-CA95-499C-ACE7-79ECFE66AE52}"/>
    <cellStyle name="40% - Accent5 2 2 8" xfId="15699" xr:uid="{2CB8818B-6538-46E8-8501-B5CCED51BF23}"/>
    <cellStyle name="40% - Accent5 2 2 9" xfId="15700" xr:uid="{66D25E6F-F7CE-47F6-B339-ADB8C4CFD6D5}"/>
    <cellStyle name="40% - Accent5 2 20" xfId="23464" xr:uid="{2F0CAE94-5A93-437F-A6E8-C47FED8F0EEB}"/>
    <cellStyle name="40% - Accent5 2 3" xfId="674" xr:uid="{CFB026F1-78DE-448E-9546-D7974EF62DF5}"/>
    <cellStyle name="40% - Accent5 2 3 2" xfId="10664" xr:uid="{BFFCE149-7BD6-4DFC-A6C7-36C7BFC2B125}"/>
    <cellStyle name="40% - Accent5 2 3 3" xfId="8673" xr:uid="{66EE942E-ACE5-4177-A4F7-32553F10E14A}"/>
    <cellStyle name="40% - Accent5 2 3 4" xfId="10538" xr:uid="{C251E97E-AC9D-4AAC-A1A9-C24F3EA8712B}"/>
    <cellStyle name="40% - Accent5 2 3 5" xfId="10870" xr:uid="{E5BB5E45-1313-43EB-BEB4-EE3D620D4B1B}"/>
    <cellStyle name="40% - Accent5 2 3 6" xfId="10663" xr:uid="{1C511B60-5BD0-43A6-B73D-982230A0205F}"/>
    <cellStyle name="40% - Accent5 2 4" xfId="675" xr:uid="{79B2ACAB-DEF3-4CF8-9F1F-F541E44EB105}"/>
    <cellStyle name="40% - Accent5 2 4 2" xfId="8672" xr:uid="{5C9B3472-FEF1-4B4B-AC16-0D5C519FB981}"/>
    <cellStyle name="40% - Accent5 2 4 3" xfId="10537" xr:uid="{17D35999-AD8E-4F2D-8A27-0FA24865C986}"/>
    <cellStyle name="40% - Accent5 2 4 4" xfId="10869" xr:uid="{50145016-B9F3-4A38-8EAA-78AB31EE2208}"/>
    <cellStyle name="40% - Accent5 2 4 5" xfId="10662" xr:uid="{C2113D8B-FB26-4F84-8915-A88AD123D44F}"/>
    <cellStyle name="40% - Accent5 2 4 6" xfId="8671" xr:uid="{C5AF5F1A-476B-4BC2-84E9-F7BAAFEE4CA7}"/>
    <cellStyle name="40% - Accent5 2 5" xfId="676" xr:uid="{9F267339-2E28-40FC-B7C9-3BCBF65BFD24}"/>
    <cellStyle name="40% - Accent5 2 5 2" xfId="8670" xr:uid="{A127CCB0-605D-42C3-AA87-4A2249AA22C3}"/>
    <cellStyle name="40% - Accent5 2 5 3" xfId="10532" xr:uid="{7CCB54EC-B5FE-4795-99FB-A934F6E979D8}"/>
    <cellStyle name="40% - Accent5 2 5 4" xfId="10864" xr:uid="{E7CCF753-10E2-45C3-81E2-F7D30A838C2E}"/>
    <cellStyle name="40% - Accent5 2 5 5" xfId="10657" xr:uid="{0F597A09-27DE-48A7-B8F8-AEA899676F4C}"/>
    <cellStyle name="40% - Accent5 2 5 6" xfId="10535" xr:uid="{0B3D083F-5171-432D-B0EA-9FE09A3BEF40}"/>
    <cellStyle name="40% - Accent5 2 6" xfId="677" xr:uid="{4882A707-C10A-4866-8D58-44A8913D74D3}"/>
    <cellStyle name="40% - Accent5 2 6 2" xfId="10867" xr:uid="{819E4620-D6F5-4C12-B55E-2B1CAB473406}"/>
    <cellStyle name="40% - Accent5 2 6 3" xfId="10660" xr:uid="{04BD0F26-B434-4C0F-A88D-4531BECF7E25}"/>
    <cellStyle name="40% - Accent5 2 6 4" xfId="8669" xr:uid="{85F0B190-19DB-4877-9599-E01BD3FFED1E}"/>
    <cellStyle name="40% - Accent5 2 6 5" xfId="10534" xr:uid="{9DADBBDC-527F-4658-9D35-39FE5A0DC5EF}"/>
    <cellStyle name="40% - Accent5 2 6 6" xfId="10866" xr:uid="{3956E355-9440-476F-B855-BD3719E9F229}"/>
    <cellStyle name="40% - Accent5 2 7" xfId="678" xr:uid="{17DFD840-1A6F-4549-BB02-70435AEA6331}"/>
    <cellStyle name="40% - Accent5 2 7 2" xfId="10659" xr:uid="{4C8052E8-C846-457C-A4CF-DD6E1ADA56D4}"/>
    <cellStyle name="40% - Accent5 2 7 3" xfId="8668" xr:uid="{1A034FEE-787D-47F1-AD62-C1C6916A88C6}"/>
    <cellStyle name="40% - Accent5 2 7 4" xfId="10533" xr:uid="{9D4D09B1-CFF4-4D94-9323-43819356C8AD}"/>
    <cellStyle name="40% - Accent5 2 7 5" xfId="10865" xr:uid="{AB16C0E3-D2CB-4C07-BAB2-377B671C3DAF}"/>
    <cellStyle name="40% - Accent5 2 7 6" xfId="10658" xr:uid="{009705C6-7392-4FDA-8E82-78C6367B50FF}"/>
    <cellStyle name="40% - Accent5 2 8" xfId="679" xr:uid="{939899D1-5628-4D0C-B796-8C08B727E3D0}"/>
    <cellStyle name="40% - Accent5 2 9" xfId="680" xr:uid="{5C24B41B-7E6F-4D85-8DA9-342925B84D05}"/>
    <cellStyle name="40% - Accent5 20" xfId="681" xr:uid="{5744AAD2-9D64-4309-B4B9-5A3A7EF1406E}"/>
    <cellStyle name="40% - Accent5 20 2" xfId="16226" xr:uid="{1EAD50AB-C3BF-47C9-ABBB-6978F1772005}"/>
    <cellStyle name="40% - Accent5 21" xfId="16227" xr:uid="{F3E75232-48D8-45DB-BF44-67664D88FE62}"/>
    <cellStyle name="40% - Accent5 22" xfId="15151" xr:uid="{54F765EC-DDB0-4A8B-B959-B8C51D21D09D}"/>
    <cellStyle name="40% - Accent5 3" xfId="682" xr:uid="{CA6EEDE6-D2FE-401E-91A9-3539F5C1B74A}"/>
    <cellStyle name="40% - Accent5 3 10" xfId="683" xr:uid="{DFB39D40-9F27-4779-A348-1BFFBFABB293}"/>
    <cellStyle name="40% - Accent5 3 11" xfId="684" xr:uid="{6F2DA8BB-2BA6-4A78-830B-EA475D557C60}"/>
    <cellStyle name="40% - Accent5 3 12" xfId="685" xr:uid="{333BC834-B973-45FD-A9B5-45C2F48C1F88}"/>
    <cellStyle name="40% - Accent5 3 13" xfId="686" xr:uid="{25892454-A3F8-4AFD-8B53-630861C9550C}"/>
    <cellStyle name="40% - Accent5 3 14" xfId="687" xr:uid="{8FF0E704-A55F-4131-B1BE-15DFFF51EB11}"/>
    <cellStyle name="40% - Accent5 3 15" xfId="15701" xr:uid="{D7C55746-3C29-4AD0-84C5-262B7A1E5283}"/>
    <cellStyle name="40% - Accent5 3 2" xfId="688" xr:uid="{4D18ED2F-30BC-4AC8-8A25-3C8B5C8BF532}"/>
    <cellStyle name="40% - Accent5 3 3" xfId="689" xr:uid="{902E75CA-317F-4692-A59C-A701BA591A47}"/>
    <cellStyle name="40% - Accent5 3 4" xfId="690" xr:uid="{08F3A1AE-DCF9-4F8A-B9FB-35337552197B}"/>
    <cellStyle name="40% - Accent5 3 5" xfId="691" xr:uid="{76D210B7-B2B0-40D7-9739-472769478CB9}"/>
    <cellStyle name="40% - Accent5 3 6" xfId="692" xr:uid="{28E3AB10-4753-4816-8244-36BA0233B5F9}"/>
    <cellStyle name="40% - Accent5 3 7" xfId="693" xr:uid="{E44FC47E-2148-4F70-93CC-13007DDF2067}"/>
    <cellStyle name="40% - Accent5 3 8" xfId="694" xr:uid="{7C028B5E-2C6D-49EF-AC38-4B02D252F940}"/>
    <cellStyle name="40% - Accent5 3 9" xfId="695" xr:uid="{8B3CDCB8-BB8C-4C50-84D7-F0144C00319E}"/>
    <cellStyle name="40% - Accent5 4" xfId="696" xr:uid="{CC5BBACD-8D7D-4A38-895B-35CFAF1252DE}"/>
    <cellStyle name="40% - Accent5 4 10" xfId="15702" xr:uid="{C1CEAA49-FB67-4BDA-A604-4B08E6A8EB41}"/>
    <cellStyle name="40% - Accent5 4 11" xfId="15703" xr:uid="{40F66EE1-914B-430E-969D-D3C1E76050A2}"/>
    <cellStyle name="40% - Accent5 4 12" xfId="15704" xr:uid="{E5E18343-3A9F-459F-AFAA-B4A30ECDC8D2}"/>
    <cellStyle name="40% - Accent5 4 13" xfId="15705" xr:uid="{9D5521D9-4687-4C06-B9C3-9498E7D260BE}"/>
    <cellStyle name="40% - Accent5 4 14" xfId="15706" xr:uid="{A23CA4E4-22DC-4EB5-9726-7CE5C3FA71B8}"/>
    <cellStyle name="40% - Accent5 4 15" xfId="15707" xr:uid="{E55A3386-0BC1-4CDC-857B-FD43213401F2}"/>
    <cellStyle name="40% - Accent5 4 2" xfId="697" xr:uid="{2D22DC92-5492-445A-BB3E-914926D9E601}"/>
    <cellStyle name="40% - Accent5 4 3" xfId="698" xr:uid="{57025559-DCC7-4195-AEBF-66CD4AE81480}"/>
    <cellStyle name="40% - Accent5 4 4" xfId="699" xr:uid="{A1E1BE8B-72E9-4B87-86AD-99366CB43B5F}"/>
    <cellStyle name="40% - Accent5 4 5" xfId="700" xr:uid="{103713F7-0048-4157-8E43-82FA682D614C}"/>
    <cellStyle name="40% - Accent5 4 6" xfId="701" xr:uid="{78A18C96-BBE9-407D-ACC2-8398310485B1}"/>
    <cellStyle name="40% - Accent5 4 7" xfId="8667" xr:uid="{D6E52334-3EB4-41DA-8ECA-7BC59D768905}"/>
    <cellStyle name="40% - Accent5 4 8" xfId="8666" xr:uid="{FE1D6AC4-7B90-4815-B453-82CF640FCCEA}"/>
    <cellStyle name="40% - Accent5 4 9" xfId="10528" xr:uid="{14EDDB9D-E035-4189-9461-1FE93B113BED}"/>
    <cellStyle name="40% - Accent5 5" xfId="702" xr:uid="{E70BAACC-6376-433E-9E60-F7071DDAC0CB}"/>
    <cellStyle name="40% - Accent5 5 10" xfId="15708" xr:uid="{A9B5DF54-CE8B-4711-B65E-66E2529E433B}"/>
    <cellStyle name="40% - Accent5 5 11" xfId="15709" xr:uid="{D03F7059-AAB7-4F93-BC69-A3C36D56792C}"/>
    <cellStyle name="40% - Accent5 5 12" xfId="15710" xr:uid="{6186D588-CD11-4383-A54E-201B57FA68CE}"/>
    <cellStyle name="40% - Accent5 5 13" xfId="15711" xr:uid="{6FE96465-9DAA-4B0A-A0B4-7E98036FEF74}"/>
    <cellStyle name="40% - Accent5 5 14" xfId="15712" xr:uid="{33535D3A-4CCB-439A-AD6F-3FBE09E111D9}"/>
    <cellStyle name="40% - Accent5 5 15" xfId="15713" xr:uid="{F821A7D7-7D5D-4C58-AB17-FB14245B8FF0}"/>
    <cellStyle name="40% - Accent5 5 2" xfId="703" xr:uid="{20EF5877-8482-4421-BBE0-29F49CA5C2CF}"/>
    <cellStyle name="40% - Accent5 5 3" xfId="704" xr:uid="{D8742AED-53C2-4E9B-9A85-C7FAA59E8491}"/>
    <cellStyle name="40% - Accent5 5 4" xfId="705" xr:uid="{EB24DB54-0920-4840-BA00-7B9347A1DF67}"/>
    <cellStyle name="40% - Accent5 5 5" xfId="706" xr:uid="{39537DC1-B32A-4B87-86A0-96D7DCD2BEF3}"/>
    <cellStyle name="40% - Accent5 5 6" xfId="707" xr:uid="{58F7FE6E-C029-4F42-A2F0-3D7B0F0A2BC3}"/>
    <cellStyle name="40% - Accent5 5 7" xfId="10860" xr:uid="{B31C85F6-FC68-4C09-8B37-9CDF7278DF2A}"/>
    <cellStyle name="40% - Accent5 5 8" xfId="10653" xr:uid="{4A85F412-49C5-4888-A31E-3BBBFA63FA36}"/>
    <cellStyle name="40% - Accent5 5 9" xfId="10531" xr:uid="{4747EC4F-25DD-46C5-A1C5-61A56986F738}"/>
    <cellStyle name="40% - Accent5 6" xfId="708" xr:uid="{2C4229B6-FD22-463D-B2A4-E6C3CEDDFED9}"/>
    <cellStyle name="40% - Accent5 6 2" xfId="709" xr:uid="{142FA481-4D2F-484A-8842-D99484341846}"/>
    <cellStyle name="40% - Accent5 6 3" xfId="710" xr:uid="{FC23161E-9555-4100-AF8D-296045F801C4}"/>
    <cellStyle name="40% - Accent5 6 4" xfId="10863" xr:uid="{4CD4679F-0917-4DB8-8C10-4F1F0F35458E}"/>
    <cellStyle name="40% - Accent5 6 5" xfId="10656" xr:uid="{ED4141C0-A734-4D1C-860D-2C694871E189}"/>
    <cellStyle name="40% - Accent5 6 6" xfId="8665" xr:uid="{E5566D56-BD19-4070-8864-24E59452BF5C}"/>
    <cellStyle name="40% - Accent5 7" xfId="711" xr:uid="{47CAF943-816D-492E-ADDB-9804D467D970}"/>
    <cellStyle name="40% - Accent5 7 2" xfId="712" xr:uid="{5DDB5D10-EF17-4FF1-B108-53270C7752B1}"/>
    <cellStyle name="40% - Accent5 7 3" xfId="713" xr:uid="{8891C62F-86D3-4221-BD34-967AB5D1E85C}"/>
    <cellStyle name="40% - Accent5 7 4" xfId="10530" xr:uid="{F74B35BE-D1B0-405D-A32F-3160DCEED509}"/>
    <cellStyle name="40% - Accent5 7 5" xfId="10862" xr:uid="{9F67E4C8-A4B9-438C-A6D7-507FB13BEB90}"/>
    <cellStyle name="40% - Accent5 7 6" xfId="10655" xr:uid="{E978BCF6-E013-42F0-94C3-2ED95A77331F}"/>
    <cellStyle name="40% - Accent5 8" xfId="714" xr:uid="{AFFB6469-119D-4312-878A-E28284872D3A}"/>
    <cellStyle name="40% - Accent5 8 2" xfId="715" xr:uid="{72DA864B-1126-406B-AC39-25251620BD8F}"/>
    <cellStyle name="40% - Accent5 8 3" xfId="716" xr:uid="{490D8A3A-2C65-4D02-A197-239A6A92DBDF}"/>
    <cellStyle name="40% - Accent5 8 4" xfId="8664" xr:uid="{CF283170-24BC-470F-8BFC-FD1F580247C9}"/>
    <cellStyle name="40% - Accent5 8 5" xfId="10529" xr:uid="{E10FAF91-8057-4D42-91B8-470E5A9BE45D}"/>
    <cellStyle name="40% - Accent5 8 6" xfId="10861" xr:uid="{5AC92A25-5C08-493D-8B62-131D54DA514B}"/>
    <cellStyle name="40% - Accent5 9" xfId="717" xr:uid="{BF66E3A1-4078-4819-951F-95D78F982F25}"/>
    <cellStyle name="40% - Accent5 9 2" xfId="718" xr:uid="{6B958EE9-67F2-4B77-AFD9-95E500AF4E62}"/>
    <cellStyle name="40% - Accent5 9 3" xfId="10654" xr:uid="{B14EC90D-EBDD-418C-BD8B-C45A1AAFE413}"/>
    <cellStyle name="40% - Accent5 9 4" xfId="8663" xr:uid="{568F3667-1441-4743-8D93-FE0102F8B09A}"/>
    <cellStyle name="40% - Accent5 9 5" xfId="8662" xr:uid="{42049B5D-5422-4A22-AE9F-186AA2ADC135}"/>
    <cellStyle name="40% - Accent5 9 6" xfId="10525" xr:uid="{DAF7EECD-EBB0-46D0-8EE0-F6B3FE4F854D}"/>
    <cellStyle name="40% - Accent6 10" xfId="719" xr:uid="{9F0C1792-1EFF-427D-8850-952D8242A030}"/>
    <cellStyle name="40% - Accent6 10 2" xfId="720" xr:uid="{FEECF0E4-5C48-4725-BA1A-CE0CE9540088}"/>
    <cellStyle name="40% - Accent6 10 3" xfId="10857" xr:uid="{E608A7EE-C97C-4D29-A26C-55E438A6A6AC}"/>
    <cellStyle name="40% - Accent6 10 4" xfId="10649" xr:uid="{CA307B1C-3642-4B37-A5FA-395EBF243123}"/>
    <cellStyle name="40% - Accent6 10 5" xfId="10527" xr:uid="{E9797478-B2C1-4153-BC83-2BD47DD5CB0E}"/>
    <cellStyle name="40% - Accent6 10 6" xfId="10859" xr:uid="{DD6B178F-0B1C-4843-A691-B641AFF16F5F}"/>
    <cellStyle name="40% - Accent6 11" xfId="721" xr:uid="{11636EA2-8149-4E51-8FD9-F0FF7250E44D}"/>
    <cellStyle name="40% - Accent6 11 2" xfId="10652" xr:uid="{DBB9B57F-2308-4773-BD56-AF4A0C730983}"/>
    <cellStyle name="40% - Accent6 12" xfId="722" xr:uid="{5CA2B02F-652D-459F-8482-FD3DAB3B9835}"/>
    <cellStyle name="40% - Accent6 12 2" xfId="8661" xr:uid="{FE86E7D6-3F9D-4273-8E51-F62C2F73FA19}"/>
    <cellStyle name="40% - Accent6 13" xfId="723" xr:uid="{AC66DA83-1E76-4754-81A4-597FFD2E47C7}"/>
    <cellStyle name="40% - Accent6 13 2" xfId="8825" xr:uid="{ED76A37A-A97B-465C-B5B1-F9F2438C9A56}"/>
    <cellStyle name="40% - Accent6 14" xfId="724" xr:uid="{26EB9569-8824-41A9-9CBB-16F7C6D1108F}"/>
    <cellStyle name="40% - Accent6 14 2" xfId="8824" xr:uid="{163D3896-A23D-4BCC-986C-10789CF7FD46}"/>
    <cellStyle name="40% - Accent6 15" xfId="725" xr:uid="{17B926C3-499A-439B-8A60-B5BD0CCA6241}"/>
    <cellStyle name="40% - Accent6 15 2" xfId="16228" xr:uid="{D0B2731B-8EAC-4CA3-86AE-FE47BA1A55A0}"/>
    <cellStyle name="40% - Accent6 16" xfId="726" xr:uid="{CFB07910-F207-47D5-9FE1-6B0EA7F83E24}"/>
    <cellStyle name="40% - Accent6 16 2" xfId="16229" xr:uid="{AC11410D-E6D5-4DC7-BA99-48843AB8155D}"/>
    <cellStyle name="40% - Accent6 17" xfId="727" xr:uid="{757DBC71-38F6-4971-84BA-D6C2E586AC44}"/>
    <cellStyle name="40% - Accent6 17 2" xfId="16230" xr:uid="{0B37E35F-8FD8-418E-987D-55B4A207FF5C}"/>
    <cellStyle name="40% - Accent6 18" xfId="728" xr:uid="{4A479F72-2F7E-414D-AA6A-CDBD89FD0FAA}"/>
    <cellStyle name="40% - Accent6 18 2" xfId="16231" xr:uid="{EFC374B6-4509-4BA9-A9EA-1CD19EBC67AE}"/>
    <cellStyle name="40% - Accent6 19" xfId="729" xr:uid="{EF4941F8-7C34-4EF5-8E28-437CBE5FDB72}"/>
    <cellStyle name="40% - Accent6 19 2" xfId="16232" xr:uid="{20731617-EEBC-48F3-A7E6-83D5C67E2B60}"/>
    <cellStyle name="40% - Accent6 2" xfId="730" xr:uid="{88155523-630F-4413-939B-B939D147BF96}"/>
    <cellStyle name="40% - Accent6 2 10" xfId="8821" xr:uid="{68FF7869-7334-4FFD-8894-C879DC42DA2B}"/>
    <cellStyle name="40% - Accent6 2 11" xfId="10651" xr:uid="{BEB9B5D1-B1D8-4F21-9EB7-429A380EF504}"/>
    <cellStyle name="40% - Accent6 2 12" xfId="8660" xr:uid="{24C15A05-B99D-4227-861F-CFD9216EC965}"/>
    <cellStyle name="40% - Accent6 2 13" xfId="10526" xr:uid="{E6E5B289-1437-4680-A758-5907B0BA6E45}"/>
    <cellStyle name="40% - Accent6 2 14" xfId="10858" xr:uid="{A534F685-4F18-4B6F-800A-0F214C1CCBD5}"/>
    <cellStyle name="40% - Accent6 2 15" xfId="10650" xr:uid="{FC01CE1B-2ADF-4D2F-A431-9EB780DA042B}"/>
    <cellStyle name="40% - Accent6 2 16" xfId="15714" xr:uid="{3C1D1754-C756-4219-AD2D-FED69F04A445}"/>
    <cellStyle name="40% - Accent6 2 17" xfId="15715" xr:uid="{24CEAD82-93EE-44CB-8F4E-F1D5AD801DEF}"/>
    <cellStyle name="40% - Accent6 2 18" xfId="15716" xr:uid="{79EB24BA-0BC2-4D53-BABB-BD1D4ACEB14D}"/>
    <cellStyle name="40% - Accent6 2 19" xfId="15717" xr:uid="{DCECCC5C-9C3D-431E-8DD8-68A64D094893}"/>
    <cellStyle name="40% - Accent6 2 2" xfId="731" xr:uid="{39D110D6-55C5-4B3C-B660-D1B452D0B383}"/>
    <cellStyle name="40% - Accent6 2 2 10" xfId="15718" xr:uid="{0B669E20-51A1-4272-BB1E-BA59BAA12108}"/>
    <cellStyle name="40% - Accent6 2 2 11" xfId="15719" xr:uid="{A840965E-7461-4C0F-BB3E-A810B01AE383}"/>
    <cellStyle name="40% - Accent6 2 2 12" xfId="15720" xr:uid="{F7650BAF-7715-43EF-B3F3-53C8739B644F}"/>
    <cellStyle name="40% - Accent6 2 2 13" xfId="15721" xr:uid="{17515E31-F1F3-46A5-86D2-5591D574CD4E}"/>
    <cellStyle name="40% - Accent6 2 2 14" xfId="15722" xr:uid="{0B3BA3D9-88BF-4C1B-BD34-5ACA1B3DB050}"/>
    <cellStyle name="40% - Accent6 2 2 2" xfId="732" xr:uid="{37C3209D-A5F0-41A5-B8EC-718C72B9541B}"/>
    <cellStyle name="40% - Accent6 2 2 3" xfId="733" xr:uid="{4C551298-56AF-49F8-86ED-CFE73A1E18E4}"/>
    <cellStyle name="40% - Accent6 2 2 4" xfId="8659" xr:uid="{E668F40B-B850-418E-9792-C8369B280734}"/>
    <cellStyle name="40% - Accent6 2 2 5" xfId="8658" xr:uid="{CD5A26EF-547D-4243-8B14-0D3754354E3C}"/>
    <cellStyle name="40% - Accent6 2 2 6" xfId="10521" xr:uid="{7FA97FE0-BA96-4D4B-AA2F-7BEF88C4077A}"/>
    <cellStyle name="40% - Accent6 2 2 7" xfId="15723" xr:uid="{ADD50464-B24B-49F3-8C17-6D7FF2786000}"/>
    <cellStyle name="40% - Accent6 2 2 8" xfId="15724" xr:uid="{1C3808BA-C325-4CFF-BA84-59F29CC02268}"/>
    <cellStyle name="40% - Accent6 2 2 9" xfId="15725" xr:uid="{763225CA-4749-4B31-91EF-7BE2FA0FCDF8}"/>
    <cellStyle name="40% - Accent6 2 20" xfId="23465" xr:uid="{609423C4-A530-427F-9704-C492C7D56C45}"/>
    <cellStyle name="40% - Accent6 2 3" xfId="734" xr:uid="{8BCC1CFA-8DA4-4B04-AC76-1A0D9CB64795}"/>
    <cellStyle name="40% - Accent6 2 3 2" xfId="10853" xr:uid="{A2902F3D-66C1-4870-95FE-4492FFFBD3C2}"/>
    <cellStyle name="40% - Accent6 2 3 3" xfId="10645" xr:uid="{12B97C76-EDE9-4853-9FE1-888FEF616BF8}"/>
    <cellStyle name="40% - Accent6 2 3 4" xfId="10524" xr:uid="{2DC60EF7-9096-4ECA-9CD0-10C996B64C34}"/>
    <cellStyle name="40% - Accent6 2 3 5" xfId="10856" xr:uid="{265ECD51-2A58-4F1C-9775-816917601428}"/>
    <cellStyle name="40% - Accent6 2 3 6" xfId="10648" xr:uid="{A44977DD-85B2-45BB-9DFF-6D9195AF9571}"/>
    <cellStyle name="40% - Accent6 2 4" xfId="735" xr:uid="{53D815F6-750D-475F-9B99-980709779FCB}"/>
    <cellStyle name="40% - Accent6 2 4 2" xfId="8657" xr:uid="{1CFC8464-2F7B-498A-B839-758FE13747DE}"/>
    <cellStyle name="40% - Accent6 2 4 3" xfId="10523" xr:uid="{2BC4475F-6CD2-4BA5-8F47-B403118A52BF}"/>
    <cellStyle name="40% - Accent6 2 4 4" xfId="10855" xr:uid="{FE8E76E0-4284-4ABF-8684-71DB94F53E08}"/>
    <cellStyle name="40% - Accent6 2 4 5" xfId="10647" xr:uid="{D9AEBD4B-3C03-43BD-970D-648BBDA92EB1}"/>
    <cellStyle name="40% - Accent6 2 4 6" xfId="8656" xr:uid="{F380FF23-7A05-4D98-8F8F-FBEEDB2ADDE9}"/>
    <cellStyle name="40% - Accent6 2 5" xfId="736" xr:uid="{068A381E-4EFE-4751-A1EF-4D058B2ACEDC}"/>
    <cellStyle name="40% - Accent6 2 5 2" xfId="10522" xr:uid="{51D66B76-1C3A-48A5-92DF-8C07D603F8D4}"/>
    <cellStyle name="40% - Accent6 2 5 3" xfId="10854" xr:uid="{FF283F4B-4B45-439F-B169-96E0614A46BF}"/>
    <cellStyle name="40% - Accent6 2 5 4" xfId="10646" xr:uid="{A66BF11F-4E26-4541-B064-23CA7E6C6436}"/>
    <cellStyle name="40% - Accent6 2 5 5" xfId="8655" xr:uid="{92684B4B-2B35-4C04-87D4-88D3E010ADE3}"/>
    <cellStyle name="40% - Accent6 2 5 6" xfId="8654" xr:uid="{DF1CE662-0A55-43A6-BE34-43356B685BA9}"/>
    <cellStyle name="40% - Accent6 2 6" xfId="737" xr:uid="{BA7B55F9-1399-48D6-B276-2F30DC4AC5E7}"/>
    <cellStyle name="40% - Accent6 2 6 2" xfId="8652" xr:uid="{3A19B213-CFA7-4FE0-85E5-AF1C12D9D075}"/>
    <cellStyle name="40% - Accent6 2 6 3" xfId="8650" xr:uid="{B437677F-B2BD-4E0B-8635-BC96EEFF5CC0}"/>
    <cellStyle name="40% - Accent6 2 6 4" xfId="8648" xr:uid="{D3071BD5-5C7B-4FF0-A7FD-9D7E3AA0C1AB}"/>
    <cellStyle name="40% - Accent6 2 6 5" xfId="8647" xr:uid="{6F8A25F3-4ADD-4FBC-8515-2C643A7EEC08}"/>
    <cellStyle name="40% - Accent6 2 6 6" xfId="8646" xr:uid="{54117C11-C971-4118-A999-B68CDA9FEA15}"/>
    <cellStyle name="40% - Accent6 2 7" xfId="738" xr:uid="{155A8E83-5B6A-4548-9F99-80BBF929F25F}"/>
    <cellStyle name="40% - Accent6 2 7 2" xfId="8645" xr:uid="{6321D1E8-2520-4F1E-9531-EFF9D6A65A61}"/>
    <cellStyle name="40% - Accent6 2 7 3" xfId="8644" xr:uid="{7AFA81AE-85A7-48BC-B502-664A282336FB}"/>
    <cellStyle name="40% - Accent6 2 7 4" xfId="8643" xr:uid="{6883F666-8CC1-45D8-AA54-4BA5F39D993C}"/>
    <cellStyle name="40% - Accent6 2 7 5" xfId="8642" xr:uid="{E11D291B-BA82-44C8-B8B8-1E38D37D1AB7}"/>
    <cellStyle name="40% - Accent6 2 7 6" xfId="8641" xr:uid="{3EC86317-3F06-4633-9DC5-450104F31EA8}"/>
    <cellStyle name="40% - Accent6 2 8" xfId="739" xr:uid="{59613275-17DE-4824-A618-A72392A9B654}"/>
    <cellStyle name="40% - Accent6 2 9" xfId="740" xr:uid="{EDA837F7-28EF-49B3-A457-9B5CE53B4B84}"/>
    <cellStyle name="40% - Accent6 20" xfId="741" xr:uid="{DB7EAAAB-18B4-48DB-9C54-58D47ED598F6}"/>
    <cellStyle name="40% - Accent6 20 2" xfId="16233" xr:uid="{235BFA5B-CBC2-4677-B477-89E0CA50F1FF}"/>
    <cellStyle name="40% - Accent6 21" xfId="16234" xr:uid="{92C26EB3-08DF-41DD-B186-29281C1B8F9D}"/>
    <cellStyle name="40% - Accent6 22" xfId="15152" xr:uid="{264D1D4E-CE40-4A9A-99A6-D8CA43DA9EAD}"/>
    <cellStyle name="40% - Accent6 3" xfId="742" xr:uid="{5AB33696-05DA-4AD8-A8CE-720340A73F55}"/>
    <cellStyle name="40% - Accent6 3 10" xfId="743" xr:uid="{6EE6848B-AA15-471E-B00A-D97A4EA598BA}"/>
    <cellStyle name="40% - Accent6 3 11" xfId="744" xr:uid="{D6282914-54D8-4375-A8A7-17E38A55B513}"/>
    <cellStyle name="40% - Accent6 3 12" xfId="745" xr:uid="{EE30ADF4-960F-4875-A39C-3B834E59478C}"/>
    <cellStyle name="40% - Accent6 3 13" xfId="746" xr:uid="{1F2D7E49-7C27-4268-8890-3CD7917153B8}"/>
    <cellStyle name="40% - Accent6 3 14" xfId="747" xr:uid="{4DA4CA79-445B-4AB6-86C9-1AFCC51B2362}"/>
    <cellStyle name="40% - Accent6 3 15" xfId="15726" xr:uid="{27FFB924-7D4B-4BFE-95B8-82F76249D4F2}"/>
    <cellStyle name="40% - Accent6 3 2" xfId="748" xr:uid="{8CBFC352-CADB-4476-A5E5-2FE000453BC8}"/>
    <cellStyle name="40% - Accent6 3 3" xfId="749" xr:uid="{5F8ED7A7-31AB-46B4-A1FC-98B922409EDB}"/>
    <cellStyle name="40% - Accent6 3 4" xfId="750" xr:uid="{DA1524BB-BBCA-4844-8E8E-8FBE1F330CFB}"/>
    <cellStyle name="40% - Accent6 3 5" xfId="751" xr:uid="{577E8526-AAB1-454A-831D-435CA2625AF7}"/>
    <cellStyle name="40% - Accent6 3 6" xfId="752" xr:uid="{D44F33DE-8372-4F36-91A7-C56C9C918395}"/>
    <cellStyle name="40% - Accent6 3 7" xfId="753" xr:uid="{06994BA1-50C5-4C97-8A9B-6EAC9209A3E7}"/>
    <cellStyle name="40% - Accent6 3 8" xfId="754" xr:uid="{51A7A21E-0F6B-454C-934A-64B1972452BD}"/>
    <cellStyle name="40% - Accent6 3 9" xfId="755" xr:uid="{588226AD-EE5E-4C30-B98C-1F7BB6E92419}"/>
    <cellStyle name="40% - Accent6 4" xfId="756" xr:uid="{6180D16F-72DC-4CAE-AEDF-8904E88C9825}"/>
    <cellStyle name="40% - Accent6 4 10" xfId="15727" xr:uid="{07989385-7840-4E02-B2C7-BE0F032E5E1A}"/>
    <cellStyle name="40% - Accent6 4 11" xfId="15728" xr:uid="{70CAC7D8-C51A-4416-BE23-3C457A7DE8CB}"/>
    <cellStyle name="40% - Accent6 4 12" xfId="15729" xr:uid="{8837EE96-3459-4421-A27D-6ECDFFF75E03}"/>
    <cellStyle name="40% - Accent6 4 13" xfId="15730" xr:uid="{6984D59F-9159-4B14-A9D6-52AFF018CDE4}"/>
    <cellStyle name="40% - Accent6 4 14" xfId="15731" xr:uid="{56FF9436-C2F7-4DDE-B36E-05D6634E0BCE}"/>
    <cellStyle name="40% - Accent6 4 15" xfId="15732" xr:uid="{A216D615-998E-420C-B72A-1797E4475990}"/>
    <cellStyle name="40% - Accent6 4 2" xfId="757" xr:uid="{CA7BBDC8-36F4-418C-9F71-41373BFA7DD9}"/>
    <cellStyle name="40% - Accent6 4 3" xfId="758" xr:uid="{B115FF23-4D3C-4540-9B88-385225C1FF08}"/>
    <cellStyle name="40% - Accent6 4 4" xfId="759" xr:uid="{05A4E24F-4C43-46A4-BFA5-1DD8BB32621C}"/>
    <cellStyle name="40% - Accent6 4 5" xfId="760" xr:uid="{BDBAFF28-39F9-4C38-9D1A-CB286080FE7E}"/>
    <cellStyle name="40% - Accent6 4 6" xfId="761" xr:uid="{A46259C9-C586-4B5A-8369-B399C21DDDE2}"/>
    <cellStyle name="40% - Accent6 4 7" xfId="8640" xr:uid="{2A02D88E-B0AD-4D60-92B7-F5F6B79ABD24}"/>
    <cellStyle name="40% - Accent6 4 8" xfId="8639" xr:uid="{4ADA880E-3AE7-42C3-BA06-925BC97F7546}"/>
    <cellStyle name="40% - Accent6 4 9" xfId="8638" xr:uid="{FAE4DFCA-5B97-48B6-B00F-8A48DA91AE3C}"/>
    <cellStyle name="40% - Accent6 5" xfId="762" xr:uid="{927DDCE9-FF3D-44A6-92E0-37FF5084DB89}"/>
    <cellStyle name="40% - Accent6 5 10" xfId="15733" xr:uid="{A3CBDC28-AD1A-4192-A77F-92A0CB8D50BE}"/>
    <cellStyle name="40% - Accent6 5 11" xfId="15734" xr:uid="{C1FE92CD-BF72-4BE6-BDEF-7010CAE15FE9}"/>
    <cellStyle name="40% - Accent6 5 12" xfId="15735" xr:uid="{B8B0AD28-B81B-4E25-A6F5-C4553DB0CC34}"/>
    <cellStyle name="40% - Accent6 5 13" xfId="15736" xr:uid="{F8C9E2E4-1CEA-41D7-8A59-35D51A5492E6}"/>
    <cellStyle name="40% - Accent6 5 14" xfId="15737" xr:uid="{E30F0630-3D60-4888-AA4B-D532DE1657C0}"/>
    <cellStyle name="40% - Accent6 5 15" xfId="15738" xr:uid="{3A7418B4-C8A1-4BE8-9E41-E747A81BA4CD}"/>
    <cellStyle name="40% - Accent6 5 2" xfId="763" xr:uid="{ED2FA411-FDF4-43FF-8AFD-1429574E8D2F}"/>
    <cellStyle name="40% - Accent6 5 3" xfId="764" xr:uid="{48C9E043-BBCA-4E0A-B282-3186A8693C9F}"/>
    <cellStyle name="40% - Accent6 5 4" xfId="765" xr:uid="{ABC9C149-C123-4846-8E15-8EE22F521491}"/>
    <cellStyle name="40% - Accent6 5 5" xfId="766" xr:uid="{0C1EBFD7-8C2C-44F6-8188-4F956B0B7D0E}"/>
    <cellStyle name="40% - Accent6 5 6" xfId="767" xr:uid="{5D076FFF-274E-4C43-A9F7-1C576C3C287D}"/>
    <cellStyle name="40% - Accent6 5 7" xfId="8637" xr:uid="{DFF59CC0-9D43-42AE-BD1A-D38E5A3E68D8}"/>
    <cellStyle name="40% - Accent6 5 8" xfId="11085" xr:uid="{F72C7D51-3BB6-4777-8C72-6E4720E65B02}"/>
    <cellStyle name="40% - Accent6 5 9" xfId="10642" xr:uid="{53131B30-EF81-4729-A065-32C4A3F8FFB4}"/>
    <cellStyle name="40% - Accent6 6" xfId="768" xr:uid="{3CBD34D7-575C-4C07-BB66-AB5A6EBE7D91}"/>
    <cellStyle name="40% - Accent6 6 2" xfId="769" xr:uid="{F8191521-B898-4893-BE3F-E99E1A94C8DE}"/>
    <cellStyle name="40% - Accent6 6 3" xfId="770" xr:uid="{36C5658D-89AD-440C-B414-90E5BFEE706B}"/>
    <cellStyle name="40% - Accent6 6 4" xfId="11206" xr:uid="{59D75F1E-6B80-4CD8-A95C-0B6EDB3EF81C}"/>
    <cellStyle name="40% - Accent6 6 5" xfId="10844" xr:uid="{D5AE1F6E-A49C-46FA-B5E3-7D85A3E759A9}"/>
    <cellStyle name="40% - Accent6 6 6" xfId="10978" xr:uid="{05028F6E-9110-4300-B9E2-4A1D0D83048A}"/>
    <cellStyle name="40% - Accent6 7" xfId="771" xr:uid="{3A434022-44A3-41AB-8241-627F76062F76}"/>
    <cellStyle name="40% - Accent6 7 2" xfId="772" xr:uid="{073A2F07-C13B-498B-AD5E-F4AE1AEF13B1}"/>
    <cellStyle name="40% - Accent6 7 3" xfId="773" xr:uid="{53360DAE-47C8-4284-9225-90E1DE12E97C}"/>
    <cellStyle name="40% - Accent6 7 4" xfId="10500" xr:uid="{2C8CB6A3-3ACA-4D2E-8F73-B3817A8EA0FF}"/>
    <cellStyle name="40% - Accent6 7 5" xfId="11179" xr:uid="{A6D04215-DB0D-47E8-95C2-5C92E0D901BC}"/>
    <cellStyle name="40% - Accent6 7 6" xfId="10644" xr:uid="{0482AA6E-8F23-472A-9771-16B7CB78F1D9}"/>
    <cellStyle name="40% - Accent6 8" xfId="774" xr:uid="{EA6BD209-D4E3-48F6-89E2-AE42E71186EC}"/>
    <cellStyle name="40% - Accent6 8 2" xfId="775" xr:uid="{DD49A612-80A3-4B30-A96A-094540166831}"/>
    <cellStyle name="40% - Accent6 8 3" xfId="776" xr:uid="{D672D2A7-F873-4953-9C3F-77650106C4FA}"/>
    <cellStyle name="40% - Accent6 8 4" xfId="10846" xr:uid="{140F26C2-9DAD-42AE-A8B4-2ABA1AA93BF7}"/>
    <cellStyle name="40% - Accent6 8 5" xfId="11254" xr:uid="{A9F9D656-862E-4F59-BCD0-C8D4E04E9393}"/>
    <cellStyle name="40% - Accent6 8 6" xfId="10980" xr:uid="{54F77075-7A73-4CBF-9987-C1A14196773B}"/>
    <cellStyle name="40% - Accent6 9" xfId="777" xr:uid="{A370DCDF-3314-4054-8E4E-FF3DF32F7B14}"/>
    <cellStyle name="40% - Accent6 9 2" xfId="778" xr:uid="{8AA3BA66-F83A-49CF-9D2C-A909D74EA6A5}"/>
    <cellStyle name="40% - Accent6 9 3" xfId="10507" xr:uid="{E2F9E20C-D324-4273-A295-61BD33A67773}"/>
    <cellStyle name="40% - Accent6 9 4" xfId="11178" xr:uid="{D04C2F7E-C761-4AC6-B3A7-948EF0CADB1D}"/>
    <cellStyle name="40% - Accent6 9 5" xfId="10643" xr:uid="{C6223239-FA94-4161-B327-B1351F9E998F}"/>
    <cellStyle name="40% - Accent6 9 6" xfId="10845" xr:uid="{130A3F95-27D4-4E30-9C25-1877BD1B43E9}"/>
    <cellStyle name="40% - Cor1" xfId="779" xr:uid="{5A5DF865-57D2-4EEE-B0D9-073F1D79658F}"/>
    <cellStyle name="40% - Cor1 10" xfId="15739" xr:uid="{41FE5E07-EC7C-4BFA-97AC-C885DC39C73B}"/>
    <cellStyle name="40% - Cor1 11" xfId="15740" xr:uid="{1D3823B6-F032-4BFC-81B8-B984001A497D}"/>
    <cellStyle name="40% - Cor1 12" xfId="15741" xr:uid="{A9437F92-899E-4C6F-9ADC-0AF1A4EF9A3E}"/>
    <cellStyle name="40% - Cor1 13" xfId="15742" xr:uid="{6AB78808-A042-461E-8EF5-C03F0C1CEF09}"/>
    <cellStyle name="40% - Cor1 14" xfId="15743" xr:uid="{F2679794-0CB3-4910-BA0F-401E8BC43B34}"/>
    <cellStyle name="40% - Cor1 15" xfId="15744" xr:uid="{86DB7C12-F947-42D1-9FBC-C826E4DB187A}"/>
    <cellStyle name="40% - Cor1 16" xfId="15745" xr:uid="{4D14B81D-5BF6-4C68-92CA-09F0389728FE}"/>
    <cellStyle name="40% - Cor1 17" xfId="15746" xr:uid="{0FEA1D07-602C-4D44-986F-E7FAE564094A}"/>
    <cellStyle name="40% - Cor1 18" xfId="23466" xr:uid="{4A2542C0-1ECC-4A6F-A997-71971594FAB1}"/>
    <cellStyle name="40% - Cor1 2" xfId="780" xr:uid="{5C57A563-A718-459D-94C1-FCF412605B0C}"/>
    <cellStyle name="40% - Cor1 3" xfId="781" xr:uid="{921E83AB-E723-44BD-8C41-878F96A1BEC6}"/>
    <cellStyle name="40% - Cor1 4" xfId="782" xr:uid="{47901B27-B2A0-453B-ADDB-0351CE165F1C}"/>
    <cellStyle name="40% - Cor1 5" xfId="783" xr:uid="{60437523-18E9-4DE0-8592-7CDF66D0C387}"/>
    <cellStyle name="40% - Cor1 6" xfId="784" xr:uid="{3B693042-3C85-49BE-95D4-588A6BD1E5D1}"/>
    <cellStyle name="40% - Cor1 7" xfId="785" xr:uid="{4D7F598A-290E-4061-A6EF-893D5E271D64}"/>
    <cellStyle name="40% - Cor1 8" xfId="786" xr:uid="{194DF822-E117-44DE-AEBE-6C67E39A9C79}"/>
    <cellStyle name="40% - Cor1 9" xfId="10979" xr:uid="{158FB261-D37D-4599-B7E2-7D20F73C844C}"/>
    <cellStyle name="40% - Cor2" xfId="787" xr:uid="{B38AA291-F699-4F1B-AA36-53E3BD680381}"/>
    <cellStyle name="40% - Cor2 10" xfId="15747" xr:uid="{DB2DDF1B-39E2-495A-8A97-447C677B4838}"/>
    <cellStyle name="40% - Cor2 11" xfId="15748" xr:uid="{1E6BD2D1-1E15-4E45-A646-E4DFE9A9AA2A}"/>
    <cellStyle name="40% - Cor2 12" xfId="15749" xr:uid="{EE71538D-C3A1-4FFE-819F-2E7F40CAEC8A}"/>
    <cellStyle name="40% - Cor2 13" xfId="15750" xr:uid="{6F424B76-C32B-44E4-8556-AFEB3B8531D0}"/>
    <cellStyle name="40% - Cor2 14" xfId="15751" xr:uid="{2B390BDD-88FE-4515-AC3F-4EC40EC59319}"/>
    <cellStyle name="40% - Cor2 15" xfId="15752" xr:uid="{1DD418F2-C6AD-478C-979D-99C164602B60}"/>
    <cellStyle name="40% - Cor2 16" xfId="15753" xr:uid="{7D4BBE77-C436-4674-ADB3-7FFCE85FF68F}"/>
    <cellStyle name="40% - Cor2 17" xfId="15754" xr:uid="{E5250641-7C4B-4D65-8431-9D91BA4A166C}"/>
    <cellStyle name="40% - Cor2 18" xfId="23467" xr:uid="{FA399135-4C64-4AA9-9CD6-867722942FA4}"/>
    <cellStyle name="40% - Cor2 2" xfId="788" xr:uid="{A8D9D03C-B9E1-4E8D-BE26-962350A51C2B}"/>
    <cellStyle name="40% - Cor2 3" xfId="789" xr:uid="{CC5AE7B2-D2AE-4B55-90EA-2ECF8732181C}"/>
    <cellStyle name="40% - Cor2 4" xfId="790" xr:uid="{F239F7DC-4C05-4FC1-ADAB-63D7715E635C}"/>
    <cellStyle name="40% - Cor2 5" xfId="791" xr:uid="{30519A70-92ED-4C02-AA9A-BF509CA64E4A}"/>
    <cellStyle name="40% - Cor2 6" xfId="792" xr:uid="{E3747700-6691-43B5-B72E-A489A229E20C}"/>
    <cellStyle name="40% - Cor2 7" xfId="793" xr:uid="{51C6C3DC-87A7-4A3A-9B8B-0752B213F6A1}"/>
    <cellStyle name="40% - Cor2 8" xfId="794" xr:uid="{F613BF50-D215-4B39-8571-969185B872C3}"/>
    <cellStyle name="40% - Cor2 9" xfId="10501" xr:uid="{0FC1C4D7-BD75-4546-BB67-03ABFAFF09B5}"/>
    <cellStyle name="40% - Cor3" xfId="795" xr:uid="{F381DA28-0340-46D6-BEE6-C600ADEFF7BD}"/>
    <cellStyle name="40% - Cor3 10" xfId="15755" xr:uid="{84A3E8F6-45F8-4A85-9944-19A12FA4CD7D}"/>
    <cellStyle name="40% - Cor3 11" xfId="15756" xr:uid="{8B1437EF-609A-4E06-A7CA-4A1FEACF407D}"/>
    <cellStyle name="40% - Cor3 12" xfId="15757" xr:uid="{B1260004-54E5-4E7E-9C02-6A29353A2663}"/>
    <cellStyle name="40% - Cor3 13" xfId="15758" xr:uid="{72277867-2E3F-471E-B5DB-48526BD6DDB8}"/>
    <cellStyle name="40% - Cor3 14" xfId="15759" xr:uid="{D3A5B5EE-164E-4199-9B3E-EFC0F21CB6B8}"/>
    <cellStyle name="40% - Cor3 15" xfId="15760" xr:uid="{08DE3AE8-3C27-4F19-9BB6-05BAF1E82126}"/>
    <cellStyle name="40% - Cor3 16" xfId="15761" xr:uid="{E2891644-B4A8-4ADC-8831-9DC5CD108BEF}"/>
    <cellStyle name="40% - Cor3 17" xfId="15762" xr:uid="{BDF91797-B335-47C5-AC2D-0934FA362D6C}"/>
    <cellStyle name="40% - Cor3 18" xfId="23468" xr:uid="{785A7CB5-7FA1-47CF-9495-46B0D0382BCD}"/>
    <cellStyle name="40% - Cor3 2" xfId="796" xr:uid="{AB939ED8-8B04-4644-B3ED-B3E0B56271A6}"/>
    <cellStyle name="40% - Cor3 3" xfId="797" xr:uid="{83DDFC27-3401-4933-A067-199354463510}"/>
    <cellStyle name="40% - Cor3 4" xfId="798" xr:uid="{E9556EBA-29F3-46DD-AE26-F80DEFE776C3}"/>
    <cellStyle name="40% - Cor3 5" xfId="799" xr:uid="{5F0EF615-DECA-4D29-84D6-4CE6B8E162E2}"/>
    <cellStyle name="40% - Cor3 6" xfId="800" xr:uid="{75EC13AD-197B-4667-8DE3-6401C9CC2801}"/>
    <cellStyle name="40% - Cor3 7" xfId="801" xr:uid="{3361824A-CFDE-48D6-A125-FEA82CD06CCA}"/>
    <cellStyle name="40% - Cor3 8" xfId="802" xr:uid="{3005FFC4-3531-4EB9-8B11-60C64E4B002B}"/>
    <cellStyle name="40% - Cor3 9" xfId="10401" xr:uid="{170E448A-7F64-43AA-8C08-04AC8BFB5E17}"/>
    <cellStyle name="40% - Cor4" xfId="803" xr:uid="{06F272A8-0087-439A-BF18-C26B0EF39D3D}"/>
    <cellStyle name="40% - Cor4 10" xfId="15763" xr:uid="{4038CCB0-B5D9-41C7-8966-9317A9EC862C}"/>
    <cellStyle name="40% - Cor4 11" xfId="15764" xr:uid="{7FC8AE7D-8BBC-4C8F-9722-15A3D5691636}"/>
    <cellStyle name="40% - Cor4 12" xfId="15765" xr:uid="{8D3525E8-0FAF-451A-9FD0-4F5987855BCD}"/>
    <cellStyle name="40% - Cor4 13" xfId="15766" xr:uid="{378E69F5-40F4-407D-8E7D-A16E25208800}"/>
    <cellStyle name="40% - Cor4 14" xfId="15767" xr:uid="{4A1FD375-AED2-4727-B696-4E8F51E5F6AA}"/>
    <cellStyle name="40% - Cor4 15" xfId="15768" xr:uid="{433C0271-780B-4623-81B6-C273A44DA280}"/>
    <cellStyle name="40% - Cor4 16" xfId="15769" xr:uid="{AFE4B3CF-80F0-4D9C-9666-3CFD44FB16F9}"/>
    <cellStyle name="40% - Cor4 17" xfId="15770" xr:uid="{EBC96365-EE7A-4E65-8538-0C8504105313}"/>
    <cellStyle name="40% - Cor4 18" xfId="23469" xr:uid="{A3B458AD-04B9-4778-9D2C-F5F636086440}"/>
    <cellStyle name="40% - Cor4 2" xfId="804" xr:uid="{153CFC47-AF81-4C59-8CED-500DD722E2FC}"/>
    <cellStyle name="40% - Cor4 3" xfId="805" xr:uid="{026CF902-90F6-4AA2-8B3D-E2EB6AAC839E}"/>
    <cellStyle name="40% - Cor4 4" xfId="806" xr:uid="{7E7F9935-A8F6-4BEF-9930-ADEA9AE983B7}"/>
    <cellStyle name="40% - Cor4 5" xfId="807" xr:uid="{E8ADFE9B-A0AB-47C2-AF20-6B0249536B88}"/>
    <cellStyle name="40% - Cor4 6" xfId="808" xr:uid="{E55F3716-8430-4ACF-96A0-2EFF66797973}"/>
    <cellStyle name="40% - Cor4 7" xfId="809" xr:uid="{DB36D0CB-1A15-481D-969A-4E9FB2F35F40}"/>
    <cellStyle name="40% - Cor4 8" xfId="810" xr:uid="{B4168E03-284D-4137-9603-570ECEC1B00D}"/>
    <cellStyle name="40% - Cor4 9" xfId="10400" xr:uid="{61167403-A2DE-43EF-BCEF-B3714AEF9FD1}"/>
    <cellStyle name="40% - Cor5" xfId="811" xr:uid="{0B209EEC-7CCC-45F4-AA4F-DEDD08B6B6AE}"/>
    <cellStyle name="40% - Cor5 10" xfId="15771" xr:uid="{1E7C2D96-12DE-4F13-9EB9-F80083A19E4B}"/>
    <cellStyle name="40% - Cor5 11" xfId="15772" xr:uid="{DF608E1C-272D-4E36-80D0-354C09C8C386}"/>
    <cellStyle name="40% - Cor5 12" xfId="15773" xr:uid="{9E389A68-3B44-4844-BC59-149B53C873BF}"/>
    <cellStyle name="40% - Cor5 13" xfId="15774" xr:uid="{CBB5D7D7-7FBD-4AB8-A17F-9E5F0E2B9295}"/>
    <cellStyle name="40% - Cor5 14" xfId="15775" xr:uid="{9AF9B105-47E0-44A9-BE77-1CF27C03B7C7}"/>
    <cellStyle name="40% - Cor5 15" xfId="15776" xr:uid="{AD50A493-BA9E-46E7-85D3-C71B5A25EF4E}"/>
    <cellStyle name="40% - Cor5 16" xfId="15777" xr:uid="{F0D13FB3-0998-48E7-8553-3DAD0658ABDD}"/>
    <cellStyle name="40% - Cor5 17" xfId="15778" xr:uid="{A9F1AB4C-371F-4429-B66F-2FF6E0F5FE66}"/>
    <cellStyle name="40% - Cor5 18" xfId="23470" xr:uid="{7668E4E8-3767-44D6-9336-24C366E0BED2}"/>
    <cellStyle name="40% - Cor5 2" xfId="812" xr:uid="{61C7B3FC-A68A-4D37-9DA2-A35F51F5C619}"/>
    <cellStyle name="40% - Cor5 3" xfId="813" xr:uid="{2881863C-053C-4321-A5DB-C0793C935E7B}"/>
    <cellStyle name="40% - Cor5 4" xfId="814" xr:uid="{AA1D4FBE-777F-4EC8-AB52-5EC685EBAE7A}"/>
    <cellStyle name="40% - Cor5 5" xfId="815" xr:uid="{9979067A-EA03-4A2E-B869-5999E7DB3057}"/>
    <cellStyle name="40% - Cor5 6" xfId="816" xr:uid="{8ACCA786-0630-4E5C-A52C-4361A4C4D6E8}"/>
    <cellStyle name="40% - Cor5 7" xfId="817" xr:uid="{5C60A12F-C8AC-45F3-9E5C-DC95D1919AF3}"/>
    <cellStyle name="40% - Cor5 8" xfId="818" xr:uid="{459EF611-5233-4121-9E15-B12693327648}"/>
    <cellStyle name="40% - Cor5 9" xfId="11205" xr:uid="{58FC3589-BF4F-41EB-8891-44951FE534E4}"/>
    <cellStyle name="40% - Cor6" xfId="819" xr:uid="{16AF4E44-47B7-452B-B318-FD3AECCFAE3D}"/>
    <cellStyle name="40% - Cor6 10" xfId="15779" xr:uid="{8114BBED-3BA5-4D5F-97E7-0BD05BFF57AF}"/>
    <cellStyle name="40% - Cor6 11" xfId="15780" xr:uid="{EA55375A-4DF7-4FE2-94C2-7D73F0E14C1D}"/>
    <cellStyle name="40% - Cor6 12" xfId="15781" xr:uid="{C1C64ED6-9527-460B-8712-7B965044C3C0}"/>
    <cellStyle name="40% - Cor6 13" xfId="15782" xr:uid="{1EE76865-B324-430E-A797-54B8CFF7FCEA}"/>
    <cellStyle name="40% - Cor6 14" xfId="15783" xr:uid="{C78B105A-F022-45BB-A684-B8FA46B8850E}"/>
    <cellStyle name="40% - Cor6 15" xfId="15784" xr:uid="{3C9B86FF-8439-405A-A82C-7C756194EC04}"/>
    <cellStyle name="40% - Cor6 16" xfId="15785" xr:uid="{20E8AF41-B213-411F-9B88-998F55615AB1}"/>
    <cellStyle name="40% - Cor6 17" xfId="15786" xr:uid="{85DB0EA9-8B47-4B2C-83BE-6D1347AB394E}"/>
    <cellStyle name="40% - Cor6 18" xfId="23471" xr:uid="{5BEBF1A1-58BC-4480-9CA7-0C38B83C8B45}"/>
    <cellStyle name="40% - Cor6 2" xfId="820" xr:uid="{3196E934-BC90-41E6-8029-1ED468573271}"/>
    <cellStyle name="40% - Cor6 3" xfId="821" xr:uid="{69DB3738-3D94-485D-A595-8FF5EF7A22DD}"/>
    <cellStyle name="40% - Cor6 4" xfId="822" xr:uid="{C6B40446-07BA-4B77-8FB1-C88846F5ECD2}"/>
    <cellStyle name="40% - Cor6 5" xfId="823" xr:uid="{D9A8BBF4-550E-41AB-A0D4-D247264E0C58}"/>
    <cellStyle name="40% - Cor6 6" xfId="824" xr:uid="{A16811CD-58EA-44CB-BEFC-1E51B26EF372}"/>
    <cellStyle name="40% - Cor6 7" xfId="825" xr:uid="{B78D97B7-D5ED-4E0F-BDE5-A437341DAF6A}"/>
    <cellStyle name="40% - Cor6 8" xfId="826" xr:uid="{8714C3AB-7D8E-47F2-B781-21EC922D8850}"/>
    <cellStyle name="40% - Cor6 9" xfId="10841" xr:uid="{E29F1D0F-4734-4284-9433-AF05B11BC7F6}"/>
    <cellStyle name="5x indented GHG Textfiels" xfId="827" xr:uid="{878AF237-6EE5-405C-B80C-77F8A48B86F7}"/>
    <cellStyle name="60% - Accent1 10" xfId="828" xr:uid="{9550BCD6-D589-48D8-8747-3EA06C5AB8DB}"/>
    <cellStyle name="60% - Accent1 10 2" xfId="829" xr:uid="{0F72AAF9-11ED-4A76-8324-481DD7387A6F}"/>
    <cellStyle name="60% - Accent1 11" xfId="830" xr:uid="{2C8491F7-1FCE-422E-AE80-0EF9F660F86D}"/>
    <cellStyle name="60% - Accent1 11 2" xfId="10972" xr:uid="{CB4F8AB7-BBE3-4587-9F5C-9F0328BD24C0}"/>
    <cellStyle name="60% - Accent1 12" xfId="831" xr:uid="{1C18B3B1-20DF-4A4B-BF0D-C2645BA8389D}"/>
    <cellStyle name="60% - Accent1 12 2" xfId="10496" xr:uid="{A5334E0A-2E30-40B0-8658-EB31A3941218}"/>
    <cellStyle name="60% - Accent1 13" xfId="832" xr:uid="{0483585C-71D8-425C-94C1-D64FA6588C99}"/>
    <cellStyle name="60% - Accent1 13 2" xfId="8798" xr:uid="{36DE12FE-E133-4CD5-8783-A689ABA56E33}"/>
    <cellStyle name="60% - Accent1 14" xfId="833" xr:uid="{0B5A7749-51A4-4476-9C1D-8DB1760456E3}"/>
    <cellStyle name="60% - Accent1 14 2" xfId="8797" xr:uid="{4AB371D8-7D5D-4B06-B02A-8AB591AE65B2}"/>
    <cellStyle name="60% - Accent1 15" xfId="834" xr:uid="{DFFF64DE-EEDF-4494-939F-624A9D19E9BD}"/>
    <cellStyle name="60% - Accent1 15 2" xfId="16236" xr:uid="{18671320-056E-4617-9E0A-DCD22E973B08}"/>
    <cellStyle name="60% - Accent1 16" xfId="835" xr:uid="{0E8AA7F9-6068-4214-9D4A-B40678C28CBC}"/>
    <cellStyle name="60% - Accent1 16 2" xfId="16237" xr:uid="{45718443-A8CF-4F74-88C1-BBD2B73E5BC2}"/>
    <cellStyle name="60% - Accent1 17" xfId="836" xr:uid="{E2EEE43C-A866-4FFB-A1BC-A9D1E255A9E2}"/>
    <cellStyle name="60% - Accent1 17 2" xfId="16238" xr:uid="{627CA784-84F9-4952-826D-987C9F35EDC1}"/>
    <cellStyle name="60% - Accent1 18" xfId="837" xr:uid="{572B10E5-E811-4759-AB2A-B72AB59B59E5}"/>
    <cellStyle name="60% - Accent1 18 2" xfId="16239" xr:uid="{A493C8F3-2F17-4DC8-99D2-91B930681829}"/>
    <cellStyle name="60% - Accent1 19" xfId="838" xr:uid="{BC8039C5-3483-4902-8AA1-A3D4D34485E3}"/>
    <cellStyle name="60% - Accent1 19 2" xfId="16240" xr:uid="{7B8F95FE-42AD-4422-9649-4E7B966188F9}"/>
    <cellStyle name="60% - Accent1 2" xfId="839" xr:uid="{3189903D-3EFE-4020-995C-B236B9DDFD88}"/>
    <cellStyle name="60% - Accent1 2 10" xfId="8796" xr:uid="{B9E10A1E-F160-48B1-9921-257CBB2F3323}"/>
    <cellStyle name="60% - Accent1 2 2" xfId="840" xr:uid="{B016E820-B43F-4EC5-A383-73F6C9DD08DF}"/>
    <cellStyle name="60% - Accent1 2 3" xfId="841" xr:uid="{4D33CB1E-80C0-4DC1-9DF7-03303CCD07DD}"/>
    <cellStyle name="60% - Accent1 2 4" xfId="842" xr:uid="{5EAA38CA-4592-4CC5-AE96-E71DF09859F2}"/>
    <cellStyle name="60% - Accent1 2 5" xfId="843" xr:uid="{C23FABA2-E3E1-44EE-941E-671F7251E145}"/>
    <cellStyle name="60% - Accent1 2 6" xfId="844" xr:uid="{8A3FCD8A-4546-451F-8DEE-94BBBBF7E7D1}"/>
    <cellStyle name="60% - Accent1 2 7" xfId="845" xr:uid="{35222455-8314-4A15-A666-6BD5654F6548}"/>
    <cellStyle name="60% - Accent1 2 8" xfId="846" xr:uid="{A3C8ACC3-F0AF-4F18-AC75-4D5828F4424D}"/>
    <cellStyle name="60% - Accent1 2 9" xfId="847" xr:uid="{984B6AE4-C29C-40D4-922A-4339386875A0}"/>
    <cellStyle name="60% - Accent1 20" xfId="848" xr:uid="{8933FE8C-FDFD-4E1A-8110-EA387AEADF82}"/>
    <cellStyle name="60% - Accent1 20 2" xfId="16241" xr:uid="{2160EF25-D7A4-4102-98DD-8A0CFFE02BCB}"/>
    <cellStyle name="60% - Accent1 21" xfId="16242" xr:uid="{A7D6B337-8AC4-4205-8B41-E12852744B75}"/>
    <cellStyle name="60% - Accent1 22" xfId="15153" xr:uid="{B38A796C-D991-4C6C-9BF8-AAB496D2D894}"/>
    <cellStyle name="60% - Accent1 3" xfId="849" xr:uid="{22A1FC87-6196-4739-AD34-2D6F40667CB1}"/>
    <cellStyle name="60% - Accent1 3 10" xfId="850" xr:uid="{12707A84-775D-4ABB-B3E8-05DCAB7378BD}"/>
    <cellStyle name="60% - Accent1 3 11" xfId="851" xr:uid="{FD00FA2F-2E27-4A4C-94BA-4022A9559921}"/>
    <cellStyle name="60% - Accent1 3 12" xfId="852" xr:uid="{EF3DCDB1-E957-4457-9AF6-17EE3F52CFED}"/>
    <cellStyle name="60% - Accent1 3 13" xfId="853" xr:uid="{B89BC9EC-A288-4B86-ABE1-2A262FF1C1F5}"/>
    <cellStyle name="60% - Accent1 3 14" xfId="854" xr:uid="{F32F8BE8-ADCD-4D07-A945-DADCC677D921}"/>
    <cellStyle name="60% - Accent1 3 15" xfId="16243" xr:uid="{F4D78F64-F95E-4845-83E4-327A4754DF01}"/>
    <cellStyle name="60% - Accent1 3 2" xfId="855" xr:uid="{E1D803C5-E692-407C-A46F-B004CAD68101}"/>
    <cellStyle name="60% - Accent1 3 3" xfId="856" xr:uid="{C7FCDAC5-235E-4C0F-896E-76B9625F8C70}"/>
    <cellStyle name="60% - Accent1 3 4" xfId="857" xr:uid="{8D64DEBF-0AA6-4355-A851-8CFC0373D664}"/>
    <cellStyle name="60% - Accent1 3 5" xfId="858" xr:uid="{5F8B2C75-41A5-4687-B896-B18D1D171724}"/>
    <cellStyle name="60% - Accent1 3 6" xfId="859" xr:uid="{DF2FD070-13FC-4056-9F50-18608CEA6B4C}"/>
    <cellStyle name="60% - Accent1 3 7" xfId="860" xr:uid="{9686DCEF-3251-4FFA-8808-D47145088A85}"/>
    <cellStyle name="60% - Accent1 3 8" xfId="861" xr:uid="{ED9D20CE-EDE6-4407-B697-9140B992FB9F}"/>
    <cellStyle name="60% - Accent1 3 9" xfId="862" xr:uid="{0A052F49-B2BE-4B36-A478-DD3644ACDC30}"/>
    <cellStyle name="60% - Accent1 4" xfId="863" xr:uid="{422BBA58-B64D-47CC-9080-B43529AD35B5}"/>
    <cellStyle name="60% - Accent1 4 2" xfId="864" xr:uid="{A943926C-19E1-4688-AF1B-CEB8E3751C5B}"/>
    <cellStyle name="60% - Accent1 5" xfId="865" xr:uid="{9773F3AF-757A-46CA-BCEC-2C748179B645}"/>
    <cellStyle name="60% - Accent1 5 2" xfId="866" xr:uid="{2090A27D-E369-4444-A6B2-E7FB2E063E4F}"/>
    <cellStyle name="60% - Accent1 6" xfId="867" xr:uid="{E18F2119-D94B-46D0-99FB-0E4D6E76736A}"/>
    <cellStyle name="60% - Accent1 6 2" xfId="868" xr:uid="{3FF2D437-306C-456C-A6C2-ECC1DA835010}"/>
    <cellStyle name="60% - Accent1 6 3" xfId="869" xr:uid="{72DA26DC-3713-4E26-BFBF-161A92D23D4D}"/>
    <cellStyle name="60% - Accent1 7" xfId="870" xr:uid="{901DF7DC-2130-44A9-9D95-2A082D466F0C}"/>
    <cellStyle name="60% - Accent1 7 2" xfId="871" xr:uid="{DDA2D8D4-CAAA-466F-BA31-B0F8C0F6970F}"/>
    <cellStyle name="60% - Accent1 7 3" xfId="872" xr:uid="{EED34D9A-BFA6-4F9D-A4BE-F0034ADC2516}"/>
    <cellStyle name="60% - Accent1 8" xfId="873" xr:uid="{99E12EF6-F8FF-42C3-8150-888B948F0652}"/>
    <cellStyle name="60% - Accent1 8 2" xfId="874" xr:uid="{26F361AF-2B0B-46E9-A241-FBB68A412925}"/>
    <cellStyle name="60% - Accent1 8 3" xfId="875" xr:uid="{49049A7B-1B48-4439-A865-4BDEFD63ED69}"/>
    <cellStyle name="60% - Accent1 9" xfId="876" xr:uid="{6B9CBC14-708D-47CB-92EF-1FE47BA1A0FA}"/>
    <cellStyle name="60% - Accent1 9 2" xfId="877" xr:uid="{1A94F7E7-43FE-49F6-9C60-DA8251146503}"/>
    <cellStyle name="60% - Accent2 10" xfId="878" xr:uid="{A67B661C-EB90-4B7B-86CC-6A8DE982DF6F}"/>
    <cellStyle name="60% - Accent2 10 2" xfId="879" xr:uid="{36AEC5D0-5CBA-4ACF-986C-18AB57BB9875}"/>
    <cellStyle name="60% - Accent2 11" xfId="880" xr:uid="{E7156E55-6598-4E00-AC08-E77A29FB9AD4}"/>
    <cellStyle name="60% - Accent2 11 2" xfId="10843" xr:uid="{416A45F1-D400-4C0C-9D46-1B6C0403C0D0}"/>
    <cellStyle name="60% - Accent2 12" xfId="881" xr:uid="{9FAB1F10-7546-44CE-84AC-3B18419A607E}"/>
    <cellStyle name="60% - Accent2 12 2" xfId="10977" xr:uid="{D0158AE4-429E-4ECD-82D3-1359C486D5BB}"/>
    <cellStyle name="60% - Accent2 13" xfId="882" xr:uid="{8E1F1718-6339-4885-9C01-097063CBA8B9}"/>
    <cellStyle name="60% - Accent2 13 2" xfId="8795" xr:uid="{8F1391E1-8536-4A17-8C70-B6821B9DAE71}"/>
    <cellStyle name="60% - Accent2 14" xfId="883" xr:uid="{D0D62713-B2FF-43AB-9BF6-9D3447780EFA}"/>
    <cellStyle name="60% - Accent2 14 2" xfId="8794" xr:uid="{C7DE8F5A-EF39-40C7-A827-C313D83B204F}"/>
    <cellStyle name="60% - Accent2 15" xfId="884" xr:uid="{D66EE6E0-F0A9-463C-B5AE-F8B557B7C74C}"/>
    <cellStyle name="60% - Accent2 15 2" xfId="16244" xr:uid="{0C737EFF-8855-4FE8-93FD-C134987DCCD7}"/>
    <cellStyle name="60% - Accent2 16" xfId="885" xr:uid="{97F8D22B-465E-48C7-B9BA-AA75256183D5}"/>
    <cellStyle name="60% - Accent2 16 2" xfId="16245" xr:uid="{81A980AB-75FA-4901-A5D7-25EB605E2507}"/>
    <cellStyle name="60% - Accent2 17" xfId="886" xr:uid="{EF719944-DD94-4B8A-BC5A-B76DD9D724F8}"/>
    <cellStyle name="60% - Accent2 17 2" xfId="16246" xr:uid="{A170343D-F7D8-4B5D-B5C1-D0E983BC2A0E}"/>
    <cellStyle name="60% - Accent2 18" xfId="887" xr:uid="{D01B9A2A-2DAE-4265-BB6A-76C8966C4EA3}"/>
    <cellStyle name="60% - Accent2 18 2" xfId="16247" xr:uid="{3E091171-9F79-4ABD-9F62-F8E34F0FFB9D}"/>
    <cellStyle name="60% - Accent2 19" xfId="888" xr:uid="{6183D8B3-37B2-4EA2-AA7C-C890A7786C50}"/>
    <cellStyle name="60% - Accent2 19 2" xfId="16248" xr:uid="{D40B51EB-621D-4C65-9122-2535859D7FCA}"/>
    <cellStyle name="60% - Accent2 2" xfId="889" xr:uid="{CBEAC392-0E27-4AB9-8CD3-3D203D85DE0C}"/>
    <cellStyle name="60% - Accent2 2 10" xfId="8793" xr:uid="{BCFD024F-13E9-4115-BC10-362A2F283CAC}"/>
    <cellStyle name="60% - Accent2 2 2" xfId="890" xr:uid="{EB714AA0-68CA-4BD3-ACAF-8C729DB2C76F}"/>
    <cellStyle name="60% - Accent2 2 3" xfId="891" xr:uid="{D3A44F3B-623C-467F-84E8-EF870FA9DBA7}"/>
    <cellStyle name="60% - Accent2 2 4" xfId="892" xr:uid="{5B715C7E-07DC-4FAA-AC9B-9B9B72D91FC1}"/>
    <cellStyle name="60% - Accent2 2 5" xfId="893" xr:uid="{64B39AB6-3FFB-4A98-828E-31F5CF53C191}"/>
    <cellStyle name="60% - Accent2 2 6" xfId="894" xr:uid="{1712E9E4-D233-4705-9CE8-69EEAA104C2A}"/>
    <cellStyle name="60% - Accent2 2 7" xfId="895" xr:uid="{63AE81E1-41F2-4612-8BC2-29929CA0D96B}"/>
    <cellStyle name="60% - Accent2 2 8" xfId="896" xr:uid="{5DD9CBD3-FD8B-42EC-9E45-D0537590599C}"/>
    <cellStyle name="60% - Accent2 2 9" xfId="897" xr:uid="{24CF405E-281F-46BA-90D3-2C2A69C329D7}"/>
    <cellStyle name="60% - Accent2 20" xfId="898" xr:uid="{3E86A3B1-B37F-405A-A9AC-CB3BA9D9F3BA}"/>
    <cellStyle name="60% - Accent2 20 2" xfId="16249" xr:uid="{D90E299E-44AC-43A2-B872-8BB425175D9E}"/>
    <cellStyle name="60% - Accent2 21" xfId="16250" xr:uid="{8E4CE255-92D6-4C92-A6FE-910441B618E9}"/>
    <cellStyle name="60% - Accent2 22" xfId="15154" xr:uid="{6D6BC0DA-6DF9-4AEA-A712-972980CD1D58}"/>
    <cellStyle name="60% - Accent2 3" xfId="899" xr:uid="{75BF5C0A-C763-4FF2-BA73-156506406FE4}"/>
    <cellStyle name="60% - Accent2 3 10" xfId="900" xr:uid="{9340E47F-52CF-4CF6-8532-2054F53B46A9}"/>
    <cellStyle name="60% - Accent2 3 11" xfId="901" xr:uid="{C752BFBD-D68B-4927-B74F-39631F344A1E}"/>
    <cellStyle name="60% - Accent2 3 12" xfId="902" xr:uid="{1B206FCE-D090-4502-A050-BC6F4DFB5AA5}"/>
    <cellStyle name="60% - Accent2 3 13" xfId="903" xr:uid="{D3FC66C1-1B09-4647-AFD3-81E6C35845C7}"/>
    <cellStyle name="60% - Accent2 3 14" xfId="904" xr:uid="{8C35D42E-B3B0-41C1-830C-20351C38DDE4}"/>
    <cellStyle name="60% - Accent2 3 15" xfId="16251" xr:uid="{83C7E609-A817-41E7-89FA-DF4A8C8FD891}"/>
    <cellStyle name="60% - Accent2 3 2" xfId="905" xr:uid="{8618BBD0-846E-4257-A64C-EC4B3CFC50FC}"/>
    <cellStyle name="60% - Accent2 3 3" xfId="906" xr:uid="{2C88B672-6438-42FD-88EB-8CE0248AA935}"/>
    <cellStyle name="60% - Accent2 3 4" xfId="907" xr:uid="{924E5F54-1B25-48E5-AA34-9754A28EFC07}"/>
    <cellStyle name="60% - Accent2 3 5" xfId="908" xr:uid="{D168666D-CC71-4A25-A3F5-58DAFD092EA8}"/>
    <cellStyle name="60% - Accent2 3 6" xfId="909" xr:uid="{19741C9A-020F-4E6F-9025-C8BBD9F6FF33}"/>
    <cellStyle name="60% - Accent2 3 7" xfId="910" xr:uid="{0622E554-4C72-4B42-91D0-B572DAE4C50B}"/>
    <cellStyle name="60% - Accent2 3 8" xfId="911" xr:uid="{377ABA86-0885-488A-95F5-C1865F24F5BF}"/>
    <cellStyle name="60% - Accent2 3 9" xfId="912" xr:uid="{FB21DFEC-CA39-4F9E-A27B-8C349480C21B}"/>
    <cellStyle name="60% - Accent2 4" xfId="913" xr:uid="{F55CFEAD-546B-42D9-AF3E-72F9283D77FF}"/>
    <cellStyle name="60% - Accent2 4 2" xfId="914" xr:uid="{5E55F0B4-E508-4EA1-BDDE-115394E4EB1D}"/>
    <cellStyle name="60% - Accent2 5" xfId="915" xr:uid="{18D1F172-6D60-4DC1-8DFD-9CE7DECEC3F3}"/>
    <cellStyle name="60% - Accent2 5 2" xfId="916" xr:uid="{F8825462-A824-4763-B7FF-8BEEADFA561D}"/>
    <cellStyle name="60% - Accent2 6" xfId="917" xr:uid="{3B759267-07BE-400C-AAB8-1DF037EE8FA0}"/>
    <cellStyle name="60% - Accent2 6 2" xfId="918" xr:uid="{E6535805-7F8D-48A1-9F89-5552FD0933CA}"/>
    <cellStyle name="60% - Accent2 6 3" xfId="919" xr:uid="{A795CC2A-50D7-4CDA-833B-4BE7FEA31B1B}"/>
    <cellStyle name="60% - Accent2 7" xfId="920" xr:uid="{C04D7716-2AE0-40A9-A07A-9BEC0D5AEB71}"/>
    <cellStyle name="60% - Accent2 7 2" xfId="921" xr:uid="{7D48B615-C7C9-489D-975B-9B113C57C090}"/>
    <cellStyle name="60% - Accent2 7 3" xfId="922" xr:uid="{744A2ED1-C001-4DCD-9C58-2AADF4425A78}"/>
    <cellStyle name="60% - Accent2 8" xfId="923" xr:uid="{A677119B-871F-4545-9FC9-ABB368AC0B59}"/>
    <cellStyle name="60% - Accent2 8 2" xfId="924" xr:uid="{F640C0A1-6330-425E-8A37-BB231F718E9F}"/>
    <cellStyle name="60% - Accent2 8 3" xfId="925" xr:uid="{439CA923-A988-46D1-87FF-BE05324DE45E}"/>
    <cellStyle name="60% - Accent2 9" xfId="926" xr:uid="{2BC541E9-DEB8-47C9-B249-C99E446CE797}"/>
    <cellStyle name="60% - Accent2 9 2" xfId="927" xr:uid="{F9AA07E1-4239-45F5-952D-D557A144E811}"/>
    <cellStyle name="60% - Accent3 10" xfId="928" xr:uid="{5E7F2338-F400-4750-9CBF-EA98CD8C0112}"/>
    <cellStyle name="60% - Accent3 10 2" xfId="929" xr:uid="{46F7E571-CE0E-4C83-BC34-FF1E8EC4BFC9}"/>
    <cellStyle name="60% - Accent3 11" xfId="930" xr:uid="{BE134E0A-6461-42DF-A146-49FD276DE490}"/>
    <cellStyle name="60% - Accent3 11 2" xfId="11175" xr:uid="{49CA55A1-0225-4DEE-93B9-B9718EA7A124}"/>
    <cellStyle name="60% - Accent3 12" xfId="931" xr:uid="{EA1CD61A-A36B-4513-A7BE-19003CE0F6B5}"/>
    <cellStyle name="60% - Accent3 12 2" xfId="10641" xr:uid="{C442E523-2080-4B66-A74A-4D726BC69131}"/>
    <cellStyle name="60% - Accent3 13" xfId="932" xr:uid="{E4435096-B7DB-4104-B5F0-165D787E6330}"/>
    <cellStyle name="60% - Accent3 13 2" xfId="8792" xr:uid="{7E0D1053-E987-491A-97AD-300C84AAA6FA}"/>
    <cellStyle name="60% - Accent3 14" xfId="933" xr:uid="{155EA499-C44D-495E-80A3-49FF7C750217}"/>
    <cellStyle name="60% - Accent3 14 2" xfId="8791" xr:uid="{E466EE8F-802C-4DF0-9012-E0D5D3997DB4}"/>
    <cellStyle name="60% - Accent3 15" xfId="934" xr:uid="{DBD5A7AA-71D4-487A-8AF6-DBE83CE2CCE6}"/>
    <cellStyle name="60% - Accent3 15 2" xfId="16252" xr:uid="{37FEEF26-B1E0-411E-9E04-3375A0FD3945}"/>
    <cellStyle name="60% - Accent3 16" xfId="935" xr:uid="{B252C688-4E99-4F43-B529-EE213EE37C66}"/>
    <cellStyle name="60% - Accent3 16 2" xfId="16253" xr:uid="{549FDFE4-157D-4984-BAD8-741319FA692F}"/>
    <cellStyle name="60% - Accent3 17" xfId="936" xr:uid="{0EF4EAA8-1EAA-4876-B575-519DD98441B4}"/>
    <cellStyle name="60% - Accent3 17 2" xfId="16254" xr:uid="{01BFCB44-B786-4AAE-85F0-7EA094CA3986}"/>
    <cellStyle name="60% - Accent3 18" xfId="937" xr:uid="{6130586C-67D6-4F6A-97F9-12F1D796A0B0}"/>
    <cellStyle name="60% - Accent3 18 2" xfId="16255" xr:uid="{FD05B499-A765-4557-9070-7A521070426D}"/>
    <cellStyle name="60% - Accent3 19" xfId="938" xr:uid="{DF20C1C4-7B8E-411B-8699-BEAC248030B1}"/>
    <cellStyle name="60% - Accent3 19 2" xfId="16256" xr:uid="{6BA584B1-EEE7-40E7-A60E-12D99DD494E4}"/>
    <cellStyle name="60% - Accent3 2" xfId="939" xr:uid="{BEF4DBB5-C634-4920-BEB3-D750FC3E116E}"/>
    <cellStyle name="60% - Accent3 2 10" xfId="8790" xr:uid="{0BAB86D3-AFD1-45F6-90FD-2EA1FECE23F5}"/>
    <cellStyle name="60% - Accent3 2 2" xfId="940" xr:uid="{86CD764D-B386-4954-8704-4EEA04895691}"/>
    <cellStyle name="60% - Accent3 2 3" xfId="941" xr:uid="{26FAB646-65FE-4283-900E-2ADF3594940A}"/>
    <cellStyle name="60% - Accent3 2 4" xfId="942" xr:uid="{009F566C-0DE7-4CC8-A76E-18FF0F27341F}"/>
    <cellStyle name="60% - Accent3 2 5" xfId="943" xr:uid="{22C62B20-E8DE-449B-979A-44E8A0CB6E46}"/>
    <cellStyle name="60% - Accent3 2 6" xfId="944" xr:uid="{3D0E1F9E-753F-4F19-ADAC-1E0D47D0E432}"/>
    <cellStyle name="60% - Accent3 2 7" xfId="945" xr:uid="{8D212DCD-984C-493B-847B-83C356633E92}"/>
    <cellStyle name="60% - Accent3 2 8" xfId="946" xr:uid="{51D4B1B7-0D66-4B18-B127-28EF2F7E460B}"/>
    <cellStyle name="60% - Accent3 2 9" xfId="947" xr:uid="{416BD0B2-7222-4A77-946E-5BA3E669CB52}"/>
    <cellStyle name="60% - Accent3 20" xfId="948" xr:uid="{A8EA85F0-F4EC-4ADE-8170-132BCB8C1641}"/>
    <cellStyle name="60% - Accent3 20 2" xfId="16257" xr:uid="{4C1A5995-FD40-4D99-B523-3DC64A3258CB}"/>
    <cellStyle name="60% - Accent3 21" xfId="16258" xr:uid="{503CD531-5465-4265-87FF-D28952501185}"/>
    <cellStyle name="60% - Accent3 22" xfId="15155" xr:uid="{B500E728-D5A5-41DA-A3DD-696F19746C34}"/>
    <cellStyle name="60% - Accent3 3" xfId="949" xr:uid="{171749E3-D5B3-491D-ABCC-F370C10A9A69}"/>
    <cellStyle name="60% - Accent3 3 10" xfId="950" xr:uid="{B1F5F718-D888-4837-B50C-6C6F363AC6EA}"/>
    <cellStyle name="60% - Accent3 3 11" xfId="951" xr:uid="{29F989F2-BE75-49E9-8352-541515C7BC99}"/>
    <cellStyle name="60% - Accent3 3 12" xfId="952" xr:uid="{CC459DA9-0104-49B6-9DDD-52BC5A775595}"/>
    <cellStyle name="60% - Accent3 3 13" xfId="953" xr:uid="{63921FFD-9010-4FC5-9A61-0CE0747CF72D}"/>
    <cellStyle name="60% - Accent3 3 14" xfId="954" xr:uid="{185587CE-DC6A-467B-94E4-A83EB2B24B43}"/>
    <cellStyle name="60% - Accent3 3 15" xfId="16259" xr:uid="{8D1254FF-BDB9-4F96-B237-E79813ABDFCD}"/>
    <cellStyle name="60% - Accent3 3 2" xfId="955" xr:uid="{5A0EAA94-648B-4515-A1BD-90FD8745B8A4}"/>
    <cellStyle name="60% - Accent3 3 3" xfId="956" xr:uid="{95399CB6-9F84-48DE-BA58-EAA42FA45B14}"/>
    <cellStyle name="60% - Accent3 3 4" xfId="957" xr:uid="{04A732C1-D251-4B75-81D1-F83EC061D47A}"/>
    <cellStyle name="60% - Accent3 3 5" xfId="958" xr:uid="{FA7A8A0C-7FE5-480C-B12A-72FBD240063A}"/>
    <cellStyle name="60% - Accent3 3 6" xfId="959" xr:uid="{5F9577C0-414E-42BC-9342-1E5C9AC9F6D3}"/>
    <cellStyle name="60% - Accent3 3 7" xfId="960" xr:uid="{BE024E1F-0C36-4719-B769-D07034A65371}"/>
    <cellStyle name="60% - Accent3 3 8" xfId="961" xr:uid="{A810442D-BB5B-4472-868E-A2E0B7E4DCFC}"/>
    <cellStyle name="60% - Accent3 3 9" xfId="962" xr:uid="{3308B6D9-D2CE-4AFE-8212-0FC939F90362}"/>
    <cellStyle name="60% - Accent3 4" xfId="963" xr:uid="{D81B11B9-0F40-47EF-A5FF-F83AD8FAC18D}"/>
    <cellStyle name="60% - Accent3 4 2" xfId="964" xr:uid="{A6ACB84F-656D-4545-8A59-BC63BE248FA4}"/>
    <cellStyle name="60% - Accent3 5" xfId="965" xr:uid="{725EBF14-AC58-48A2-96E5-D7D25879B799}"/>
    <cellStyle name="60% - Accent3 5 2" xfId="966" xr:uid="{AAD01DD6-0150-4B88-A8EE-20F701AA1C26}"/>
    <cellStyle name="60% - Accent3 6" xfId="967" xr:uid="{4FC64C1F-BACD-4175-9373-0BEA424C9137}"/>
    <cellStyle name="60% - Accent3 6 2" xfId="968" xr:uid="{CC56C872-8518-4974-A6AB-5A3CEAECB9B5}"/>
    <cellStyle name="60% - Accent3 6 3" xfId="969" xr:uid="{1E8C9F44-3D51-42D9-8688-021066662FA5}"/>
    <cellStyle name="60% - Accent3 7" xfId="970" xr:uid="{1A1D5441-30AC-4204-839A-AF35C6A6BC7D}"/>
    <cellStyle name="60% - Accent3 7 2" xfId="971" xr:uid="{802756BF-E8B6-4BBA-B5B5-CA49CA17A831}"/>
    <cellStyle name="60% - Accent3 7 3" xfId="972" xr:uid="{ACC95EDF-6A96-452D-805E-46076C781383}"/>
    <cellStyle name="60% - Accent3 8" xfId="973" xr:uid="{3D2AF596-9AC7-4606-B7B3-3C8CC1835680}"/>
    <cellStyle name="60% - Accent3 8 2" xfId="974" xr:uid="{514D2E2C-A0F3-4C6D-BC5B-E27376F3B422}"/>
    <cellStyle name="60% - Accent3 8 3" xfId="975" xr:uid="{97933838-D4D6-4788-BE04-E80C341F87A5}"/>
    <cellStyle name="60% - Accent3 9" xfId="976" xr:uid="{60208FF9-8C38-4859-94D2-5F5ECE4BB7ED}"/>
    <cellStyle name="60% - Accent3 9 2" xfId="977" xr:uid="{C8FA77DD-D442-401B-A80F-4D39A5AC37FC}"/>
    <cellStyle name="60% - Accent4 10" xfId="978" xr:uid="{788A0567-8C84-4234-B18D-876C6A0717F3}"/>
    <cellStyle name="60% - Accent4 10 2" xfId="979" xr:uid="{1EE69F35-1C17-4799-9B2D-473FE3F08E30}"/>
    <cellStyle name="60% - Accent4 11" xfId="980" xr:uid="{A29B2E3D-CB87-4E5C-B0CB-23F705A00513}"/>
    <cellStyle name="60% - Accent4 11 2" xfId="10499" xr:uid="{4F340112-220C-490D-AFD5-FD1AB76C2ABF}"/>
    <cellStyle name="60% - Accent4 12" xfId="981" xr:uid="{371F953E-6B00-4A32-9F8A-081615832EFF}"/>
    <cellStyle name="60% - Accent4 12 2" xfId="11176" xr:uid="{9873DC6D-3517-4844-9C5A-0E0FC5A1EA29}"/>
    <cellStyle name="60% - Accent4 13" xfId="982" xr:uid="{6A3BF55B-2BB8-48A9-AE5B-AD3E5333FB56}"/>
    <cellStyle name="60% - Accent4 13 2" xfId="8789" xr:uid="{DCD4ADB5-9752-4FA7-BC27-AE0466A8C56E}"/>
    <cellStyle name="60% - Accent4 14" xfId="983" xr:uid="{60725ED7-9759-4A02-8DDE-5F4945614FF9}"/>
    <cellStyle name="60% - Accent4 14 2" xfId="8788" xr:uid="{31DC4B4C-CF22-47DF-975D-8F13E5E5B649}"/>
    <cellStyle name="60% - Accent4 15" xfId="984" xr:uid="{764F1F1C-60B7-4077-BE3E-168F879CF052}"/>
    <cellStyle name="60% - Accent4 15 2" xfId="16260" xr:uid="{06AC7CB4-7EEE-4817-90FB-0428959CABEF}"/>
    <cellStyle name="60% - Accent4 16" xfId="985" xr:uid="{8C017CBD-F58A-4278-8DF6-5E457822B529}"/>
    <cellStyle name="60% - Accent4 16 2" xfId="16261" xr:uid="{57A4D41E-6AB1-43AB-980F-2E9849A94801}"/>
    <cellStyle name="60% - Accent4 17" xfId="986" xr:uid="{ED4E5DFD-6329-4B40-A6E7-83FF8E126200}"/>
    <cellStyle name="60% - Accent4 17 2" xfId="16262" xr:uid="{42CD2579-187D-40D3-992E-D00E4F1259BE}"/>
    <cellStyle name="60% - Accent4 18" xfId="987" xr:uid="{7B07D888-04E6-414F-928C-A5C75174E700}"/>
    <cellStyle name="60% - Accent4 18 2" xfId="16263" xr:uid="{5940FFDC-80E3-4A5F-8B4F-C5014A4A1145}"/>
    <cellStyle name="60% - Accent4 19" xfId="988" xr:uid="{53C4AD4C-E161-43D4-B628-730CE47D4082}"/>
    <cellStyle name="60% - Accent4 19 2" xfId="16264" xr:uid="{61509379-DC80-4490-BFFE-894ECC3FB5E6}"/>
    <cellStyle name="60% - Accent4 2" xfId="989" xr:uid="{4FAC6068-B30E-48BC-A1A8-421FD427C41B}"/>
    <cellStyle name="60% - Accent4 2 10" xfId="8787" xr:uid="{4BFE4251-C4F4-41B3-A082-BC3CA39DB0DD}"/>
    <cellStyle name="60% - Accent4 2 2" xfId="990" xr:uid="{DF62CA25-A2DA-4689-9A15-E300A4715528}"/>
    <cellStyle name="60% - Accent4 2 3" xfId="991" xr:uid="{2D319A1F-C034-4FB8-B5BA-9AC79676B3E4}"/>
    <cellStyle name="60% - Accent4 2 4" xfId="992" xr:uid="{137260AD-B342-42DF-9743-ECC3697652B0}"/>
    <cellStyle name="60% - Accent4 2 5" xfId="993" xr:uid="{4FF4A14E-1962-4192-94A5-BC088072D709}"/>
    <cellStyle name="60% - Accent4 2 6" xfId="994" xr:uid="{128F5B8D-7370-4F9C-B4D7-2C4A235391DB}"/>
    <cellStyle name="60% - Accent4 2 7" xfId="995" xr:uid="{FDD456B7-431C-4D1E-BB3F-2FF617FF3022}"/>
    <cellStyle name="60% - Accent4 2 8" xfId="996" xr:uid="{77F557BC-1240-41C0-9883-F1297F62098F}"/>
    <cellStyle name="60% - Accent4 2 9" xfId="997" xr:uid="{340550F7-6FFE-41D7-8DE3-5857813CC34A}"/>
    <cellStyle name="60% - Accent4 20" xfId="998" xr:uid="{A289E4B9-F286-4FCF-A406-6524FF72047C}"/>
    <cellStyle name="60% - Accent4 20 2" xfId="16265" xr:uid="{6F79E438-0FF6-456B-B61E-915967D46EB3}"/>
    <cellStyle name="60% - Accent4 21" xfId="16266" xr:uid="{3D65E109-558E-4847-B021-E94C9BBF9094}"/>
    <cellStyle name="60% - Accent4 22" xfId="15156" xr:uid="{74A0B439-22F8-4E13-845B-FEF3ECDAB83B}"/>
    <cellStyle name="60% - Accent4 3" xfId="999" xr:uid="{809FAF09-671D-4211-8656-4552DF6929AD}"/>
    <cellStyle name="60% - Accent4 3 10" xfId="1000" xr:uid="{E4639BFC-383B-4AC4-848C-71AE606129FF}"/>
    <cellStyle name="60% - Accent4 3 11" xfId="1001" xr:uid="{7910FCCF-1A08-4F3D-91F3-20A44DA09DC5}"/>
    <cellStyle name="60% - Accent4 3 12" xfId="1002" xr:uid="{86F13633-15A7-4261-902D-1D8F33E9821D}"/>
    <cellStyle name="60% - Accent4 3 13" xfId="1003" xr:uid="{DC752866-326D-41CE-B6F2-AA7DBDCCBC6A}"/>
    <cellStyle name="60% - Accent4 3 14" xfId="1004" xr:uid="{1F663716-8E96-442E-B441-6508CA7F9AE6}"/>
    <cellStyle name="60% - Accent4 3 15" xfId="16267" xr:uid="{6B393C85-7017-41E7-8267-6847CFACC1BB}"/>
    <cellStyle name="60% - Accent4 3 2" xfId="1005" xr:uid="{A3B44364-373B-44DC-A5DB-AAE2E9E89BCA}"/>
    <cellStyle name="60% - Accent4 3 3" xfId="1006" xr:uid="{817D4BC8-3BAE-4B94-A7A8-990428738A4B}"/>
    <cellStyle name="60% - Accent4 3 4" xfId="1007" xr:uid="{63068449-6876-4222-BCF5-4B58D628CE39}"/>
    <cellStyle name="60% - Accent4 3 5" xfId="1008" xr:uid="{DF1FEE9D-B276-4E05-9C69-B64A2C679824}"/>
    <cellStyle name="60% - Accent4 3 6" xfId="1009" xr:uid="{5A9FBB6C-BAE1-43D6-A850-D4194715624A}"/>
    <cellStyle name="60% - Accent4 3 7" xfId="1010" xr:uid="{9DE7D1F6-0EDA-42A8-8987-A1FA25390F00}"/>
    <cellStyle name="60% - Accent4 3 8" xfId="1011" xr:uid="{3B84729B-A914-4D58-B9CE-5B73CE18D305}"/>
    <cellStyle name="60% - Accent4 3 9" xfId="1012" xr:uid="{AD82D7ED-F05A-440D-8E21-352D2704C9D2}"/>
    <cellStyle name="60% - Accent4 4" xfId="1013" xr:uid="{A339066D-2DA7-4197-87EE-733EC5EC8DCB}"/>
    <cellStyle name="60% - Accent4 4 2" xfId="1014" xr:uid="{15736E0E-41D5-40C4-BB51-FE23A40D2BE5}"/>
    <cellStyle name="60% - Accent4 5" xfId="1015" xr:uid="{18E4C7DE-D254-47BC-B93B-48C76798BFD6}"/>
    <cellStyle name="60% - Accent4 5 2" xfId="1016" xr:uid="{AD3D5007-CE1E-45E7-B9D6-7E72BB3A9F1D}"/>
    <cellStyle name="60% - Accent4 6" xfId="1017" xr:uid="{43A8CC99-5999-4015-893C-6F4842B0E2B4}"/>
    <cellStyle name="60% - Accent4 6 2" xfId="1018" xr:uid="{B1C67478-DD74-42B6-9F15-9B5406B8CE06}"/>
    <cellStyle name="60% - Accent4 6 3" xfId="1019" xr:uid="{62971C5F-DE0B-44BC-B2FC-C2D005FC4C1F}"/>
    <cellStyle name="60% - Accent4 7" xfId="1020" xr:uid="{6F4B4810-E186-402E-B145-A8AD90178514}"/>
    <cellStyle name="60% - Accent4 7 2" xfId="1021" xr:uid="{4272965B-6FB8-4637-B856-73234ECD386D}"/>
    <cellStyle name="60% - Accent4 7 3" xfId="1022" xr:uid="{8C3600D6-DA3D-4AB1-BE96-43C2949E62CC}"/>
    <cellStyle name="60% - Accent4 8" xfId="1023" xr:uid="{C83A8585-E812-480A-8821-8380A9CD7C86}"/>
    <cellStyle name="60% - Accent4 8 2" xfId="1024" xr:uid="{AE3F0A55-A23F-4BC2-8356-C212E377EA53}"/>
    <cellStyle name="60% - Accent4 8 3" xfId="1025" xr:uid="{6C5A7253-6E77-4A0B-A6FD-0A2146F56814}"/>
    <cellStyle name="60% - Accent4 9" xfId="1026" xr:uid="{DF651EEF-FB4C-4193-B904-A1E996292957}"/>
    <cellStyle name="60% - Accent4 9 2" xfId="1027" xr:uid="{22618C25-AA3E-45FC-832C-6C36B0F72F81}"/>
    <cellStyle name="60% - Accent5 10" xfId="1028" xr:uid="{1A804000-0FD2-4198-9B57-C0AB20A8A750}"/>
    <cellStyle name="60% - Accent5 10 2" xfId="1029" xr:uid="{E6152E9B-F847-4FEA-A534-385063294C74}"/>
    <cellStyle name="60% - Accent5 11" xfId="1030" xr:uid="{855980B3-69D1-455E-8E5A-AB033057B7CE}"/>
    <cellStyle name="60% - Accent5 11 2" xfId="11251" xr:uid="{3D4341EB-A2B0-46A4-9049-FFE97627BB75}"/>
    <cellStyle name="60% - Accent5 12" xfId="1031" xr:uid="{E8DEBF14-E314-4E6A-96B0-D54A7343E5FC}"/>
    <cellStyle name="60% - Accent5 12 2" xfId="10976" xr:uid="{CA3B903B-6F6C-4E36-B5E7-18473B0F3480}"/>
    <cellStyle name="60% - Accent5 13" xfId="1032" xr:uid="{A31F8E83-BB7F-4789-B19B-BEF75EC0FDE6}"/>
    <cellStyle name="60% - Accent5 13 2" xfId="8786" xr:uid="{3382AF5F-9BDA-4A8E-8EA8-6ED382101BD8}"/>
    <cellStyle name="60% - Accent5 14" xfId="1033" xr:uid="{7670C1FF-DDAC-4CEC-B4EB-5FBC3543386D}"/>
    <cellStyle name="60% - Accent5 14 2" xfId="8785" xr:uid="{DF71D08E-688D-484A-B712-2A100BC054EB}"/>
    <cellStyle name="60% - Accent5 15" xfId="1034" xr:uid="{158DED4C-13F5-4896-8C64-26CF9F0EB76B}"/>
    <cellStyle name="60% - Accent5 15 2" xfId="16269" xr:uid="{733E47BA-FC54-4A8E-95C1-DEF30FCD1429}"/>
    <cellStyle name="60% - Accent5 16" xfId="1035" xr:uid="{8FD1FC87-48EA-4A31-881A-99CE8DAFC295}"/>
    <cellStyle name="60% - Accent5 16 2" xfId="16270" xr:uid="{673FE4E6-2923-47A4-8903-66EBD1CA86D3}"/>
    <cellStyle name="60% - Accent5 17" xfId="1036" xr:uid="{7CCA7A25-840B-4D56-A301-6B4C64105A97}"/>
    <cellStyle name="60% - Accent5 17 2" xfId="16271" xr:uid="{00F170B9-D42C-4147-BE5F-677061466FCA}"/>
    <cellStyle name="60% - Accent5 18" xfId="1037" xr:uid="{6E7FD05F-D24B-4D16-A205-7317A4168039}"/>
    <cellStyle name="60% - Accent5 18 2" xfId="16272" xr:uid="{670CE67C-2DD5-47CB-8151-DBD6822CB079}"/>
    <cellStyle name="60% - Accent5 19" xfId="1038" xr:uid="{A940DA83-3017-4D67-A279-5D27AE4A6849}"/>
    <cellStyle name="60% - Accent5 19 2" xfId="16273" xr:uid="{E4CE780C-482D-4485-9E71-C0F1FF9D6F39}"/>
    <cellStyle name="60% - Accent5 2" xfId="1039" xr:uid="{6E2996D5-2E80-4F69-AAE1-311CDEBE043D}"/>
    <cellStyle name="60% - Accent5 2 10" xfId="8784" xr:uid="{556C78CF-1B04-4A84-A655-CE9013057E8B}"/>
    <cellStyle name="60% - Accent5 2 2" xfId="1040" xr:uid="{1F67D4F9-532C-4362-9D2C-40A6562BCD67}"/>
    <cellStyle name="60% - Accent5 2 3" xfId="1041" xr:uid="{A42751ED-C932-4A52-BD06-46BF3CDD64F0}"/>
    <cellStyle name="60% - Accent5 2 4" xfId="1042" xr:uid="{29FD2DE8-94C1-4107-A9CE-007091E116D6}"/>
    <cellStyle name="60% - Accent5 2 5" xfId="1043" xr:uid="{39AB9376-7552-44F5-B592-03F9C97664AA}"/>
    <cellStyle name="60% - Accent5 2 6" xfId="1044" xr:uid="{8882818F-E2D5-4151-A859-421015A1EDA8}"/>
    <cellStyle name="60% - Accent5 2 7" xfId="1045" xr:uid="{83DC759E-6CE3-4552-AFCC-030E683B04AF}"/>
    <cellStyle name="60% - Accent5 2 8" xfId="1046" xr:uid="{FE4A44DE-7452-4AA6-BB35-3BD99ECD7B7D}"/>
    <cellStyle name="60% - Accent5 2 9" xfId="1047" xr:uid="{471AB16D-E0EC-43BB-AD85-0F704116A00F}"/>
    <cellStyle name="60% - Accent5 20" xfId="1048" xr:uid="{1B1FC8B3-7269-4E2D-8260-A927F185AAFA}"/>
    <cellStyle name="60% - Accent5 20 2" xfId="16274" xr:uid="{3DD1EE27-3BB2-401E-9121-7174B29254CC}"/>
    <cellStyle name="60% - Accent5 21" xfId="16275" xr:uid="{664E985E-F447-45A0-96C9-016429C4F960}"/>
    <cellStyle name="60% - Accent5 22" xfId="15157" xr:uid="{827D0CE1-618F-470A-917F-473B5C658729}"/>
    <cellStyle name="60% - Accent5 3" xfId="1049" xr:uid="{9A34936C-39E3-4763-8A33-91ECFFED4102}"/>
    <cellStyle name="60% - Accent5 3 10" xfId="1050" xr:uid="{4E112E2D-4459-41A1-B13E-E9879B8D9A7A}"/>
    <cellStyle name="60% - Accent5 3 11" xfId="1051" xr:uid="{CB5173AC-2FE3-4E39-9BD5-7EC367B70C3F}"/>
    <cellStyle name="60% - Accent5 3 12" xfId="1052" xr:uid="{128B3186-49E5-4234-B75E-DD6E56FF441C}"/>
    <cellStyle name="60% - Accent5 3 13" xfId="1053" xr:uid="{BC29B4B9-14EA-44BC-BB7E-CDB224F826A6}"/>
    <cellStyle name="60% - Accent5 3 14" xfId="1054" xr:uid="{1A0C7411-CA55-4315-92B4-4EB808EF21D1}"/>
    <cellStyle name="60% - Accent5 3 15" xfId="16276" xr:uid="{245E0118-9387-4968-B78F-3041F3606118}"/>
    <cellStyle name="60% - Accent5 3 2" xfId="1055" xr:uid="{FAF0E39E-1B6C-4F85-921C-78CBE90601ED}"/>
    <cellStyle name="60% - Accent5 3 3" xfId="1056" xr:uid="{701CC717-0BD9-40E2-84EF-841EE9C6B75C}"/>
    <cellStyle name="60% - Accent5 3 4" xfId="1057" xr:uid="{491127B1-8CC4-49B3-90E9-78852CE43A1D}"/>
    <cellStyle name="60% - Accent5 3 5" xfId="1058" xr:uid="{E4EBC044-9AEC-484F-BC76-E28432C02094}"/>
    <cellStyle name="60% - Accent5 3 6" xfId="1059" xr:uid="{C249791A-6424-4248-AD29-69FB5C113216}"/>
    <cellStyle name="60% - Accent5 3 7" xfId="1060" xr:uid="{4D0EEDF6-8854-48FF-8229-619354931ABA}"/>
    <cellStyle name="60% - Accent5 3 8" xfId="1061" xr:uid="{E722C56E-7512-47CE-B741-4797CD5B8F71}"/>
    <cellStyle name="60% - Accent5 3 9" xfId="1062" xr:uid="{6C2C15F6-D9D7-4195-9756-3DF7DAD7B1F6}"/>
    <cellStyle name="60% - Accent5 4" xfId="1063" xr:uid="{62B8BB47-C0CB-46A2-83E3-4002DB703047}"/>
    <cellStyle name="60% - Accent5 4 2" xfId="1064" xr:uid="{90587DDE-F723-4560-96AD-CC691BA96EFE}"/>
    <cellStyle name="60% - Accent5 5" xfId="1065" xr:uid="{4335B07B-A7C3-4F1A-9DE9-2CA144ADA54F}"/>
    <cellStyle name="60% - Accent5 5 2" xfId="1066" xr:uid="{891B1AF4-1CE5-4309-8020-F4CB9FE8DF83}"/>
    <cellStyle name="60% - Accent5 6" xfId="1067" xr:uid="{6B8AE049-C2B8-4A02-9ED4-D8EBA9D645A8}"/>
    <cellStyle name="60% - Accent5 6 2" xfId="1068" xr:uid="{289E906C-76A6-485C-BAA3-20EF61A99263}"/>
    <cellStyle name="60% - Accent5 6 3" xfId="1069" xr:uid="{94341BA6-AFC4-42FA-8BDB-9FE91F952829}"/>
    <cellStyle name="60% - Accent5 7" xfId="1070" xr:uid="{0DD834EA-4CD4-4FED-94D0-ED14ED280203}"/>
    <cellStyle name="60% - Accent5 7 2" xfId="1071" xr:uid="{34FC24A7-6B26-4EE3-9A9B-6B805C2FC7B1}"/>
    <cellStyle name="60% - Accent5 7 3" xfId="1072" xr:uid="{DC642304-3DAE-43BA-B2FF-166774C7FA90}"/>
    <cellStyle name="60% - Accent5 8" xfId="1073" xr:uid="{12A223CD-AD14-4349-A74B-C9ADC76D52D5}"/>
    <cellStyle name="60% - Accent5 8 2" xfId="1074" xr:uid="{DBD82C72-AA7B-473F-AD6C-57A259175070}"/>
    <cellStyle name="60% - Accent5 8 3" xfId="1075" xr:uid="{A2511FE5-F171-4806-8F96-98EBD4004A28}"/>
    <cellStyle name="60% - Accent5 9" xfId="1076" xr:uid="{F5E437E5-0FE5-493C-9F10-15EAF4792805}"/>
    <cellStyle name="60% - Accent5 9 2" xfId="1077" xr:uid="{DFE9290B-4296-4F19-A2C5-957EBD39E59E}"/>
    <cellStyle name="60% - Accent6 10" xfId="1078" xr:uid="{CA02E68E-158C-40BB-B9B3-C77CC911BCC0}"/>
    <cellStyle name="60% - Accent6 10 2" xfId="1079" xr:uid="{4EF05D6B-F083-4CD6-9B34-86E5B7CC9FE1}"/>
    <cellStyle name="60% - Accent6 11" xfId="1080" xr:uid="{071FB4FF-A3F7-4F12-BBD3-2A5E6038F368}"/>
    <cellStyle name="60% - Accent6 11 2" xfId="11084" xr:uid="{8DF694C8-AA9D-460A-9629-EED1EBEDA431}"/>
    <cellStyle name="60% - Accent6 12" xfId="1081" xr:uid="{E5C790B0-FCB1-4249-AA9C-66E85ACFBC3F}"/>
    <cellStyle name="60% - Accent6 12 2" xfId="10520" xr:uid="{40114DF8-A3E6-4DB6-8B58-53079559FF8B}"/>
    <cellStyle name="60% - Accent6 13" xfId="1082" xr:uid="{B29C1E30-7753-4DBA-A3C5-AD528FCB2874}"/>
    <cellStyle name="60% - Accent6 13 2" xfId="8783" xr:uid="{1E923B1B-8863-4D28-B91D-A0A036F5C4A6}"/>
    <cellStyle name="60% - Accent6 14" xfId="1083" xr:uid="{8B9050D6-AA2D-4909-8589-FE369A347B23}"/>
    <cellStyle name="60% - Accent6 14 2" xfId="8782" xr:uid="{E397D9B4-AACE-4158-93B4-A55E9A6FB98E}"/>
    <cellStyle name="60% - Accent6 15" xfId="1084" xr:uid="{A5EC679C-4DB2-4D4C-8B47-E1AAFCF168F6}"/>
    <cellStyle name="60% - Accent6 15 2" xfId="16277" xr:uid="{AEF34F2B-9934-44D2-9274-04F77DA9B670}"/>
    <cellStyle name="60% - Accent6 16" xfId="1085" xr:uid="{E0AD19FF-3B7D-4339-B94A-CE005864356C}"/>
    <cellStyle name="60% - Accent6 16 2" xfId="16278" xr:uid="{525BAF5A-0E92-4DD7-A90A-1D2609F7F2B7}"/>
    <cellStyle name="60% - Accent6 17" xfId="1086" xr:uid="{9E20BCCB-6AFC-4115-A576-076CAB9F818E}"/>
    <cellStyle name="60% - Accent6 17 2" xfId="16279" xr:uid="{03F712D4-3F99-4BFF-8761-A9718F186BE8}"/>
    <cellStyle name="60% - Accent6 18" xfId="1087" xr:uid="{121F0669-9DF6-425C-A722-78FC720B7AD9}"/>
    <cellStyle name="60% - Accent6 18 2" xfId="16280" xr:uid="{02BB46E8-4FF4-4192-832B-61A6748E0634}"/>
    <cellStyle name="60% - Accent6 19" xfId="1088" xr:uid="{30EB45CD-E32C-4CE5-8BC0-DACE73EA9AD9}"/>
    <cellStyle name="60% - Accent6 19 2" xfId="16281" xr:uid="{B5C4CC3A-BB4E-4949-A6BF-FB5534CD4580}"/>
    <cellStyle name="60% - Accent6 2" xfId="1089" xr:uid="{AB1D8171-1FC0-46FD-AD5B-B12103557526}"/>
    <cellStyle name="60% - Accent6 2 10" xfId="8781" xr:uid="{0D0CD147-7FFD-46A4-B566-DF1B47C018E2}"/>
    <cellStyle name="60% - Accent6 2 2" xfId="1090" xr:uid="{E7B603DE-5B26-4DA2-B555-47C886E3DDE1}"/>
    <cellStyle name="60% - Accent6 2 3" xfId="1091" xr:uid="{174679E8-542E-4580-9DFA-AB65E640BED8}"/>
    <cellStyle name="60% - Accent6 2 4" xfId="1092" xr:uid="{B50D59D4-3D8C-4865-86A4-57FA823473BA}"/>
    <cellStyle name="60% - Accent6 2 5" xfId="1093" xr:uid="{6F65E6F6-B1A8-4272-B86C-53938E04492C}"/>
    <cellStyle name="60% - Accent6 2 6" xfId="1094" xr:uid="{169316E9-22DD-4230-917D-4177746DFB49}"/>
    <cellStyle name="60% - Accent6 2 7" xfId="1095" xr:uid="{104DA816-C078-412D-B059-47E5269CA744}"/>
    <cellStyle name="60% - Accent6 2 8" xfId="1096" xr:uid="{446A674B-E7C3-43FC-BF7D-E6362F4D6ACC}"/>
    <cellStyle name="60% - Accent6 2 9" xfId="1097" xr:uid="{77DBC42F-0D63-4FEE-9F2D-E47A13432B61}"/>
    <cellStyle name="60% - Accent6 20" xfId="1098" xr:uid="{E97C53AF-9440-46D1-9D97-EC804AE6FB0A}"/>
    <cellStyle name="60% - Accent6 20 2" xfId="16282" xr:uid="{E7C1AFE7-2C1C-4326-87CE-894F9DE1605E}"/>
    <cellStyle name="60% - Accent6 21" xfId="16283" xr:uid="{AF36BD41-5B2B-473E-910F-AADA8533F17D}"/>
    <cellStyle name="60% - Accent6 22" xfId="15158" xr:uid="{7CB2F15C-6177-4E55-8B2E-4250743A0B15}"/>
    <cellStyle name="60% - Accent6 3" xfId="1099" xr:uid="{91CFCA64-3D9E-48D4-92F4-73C26CBC4F1E}"/>
    <cellStyle name="60% - Accent6 3 10" xfId="1100" xr:uid="{7C3F30BB-779E-4DBF-9512-F275E648E5F6}"/>
    <cellStyle name="60% - Accent6 3 11" xfId="1101" xr:uid="{024D94C5-0EF5-4FED-AD71-41BC88EE2B1F}"/>
    <cellStyle name="60% - Accent6 3 12" xfId="1102" xr:uid="{3F94F7D7-2750-49EE-9955-941CEAE23A21}"/>
    <cellStyle name="60% - Accent6 3 13" xfId="1103" xr:uid="{EC33245D-DBAE-41B6-9738-C447ED59FC13}"/>
    <cellStyle name="60% - Accent6 3 14" xfId="1104" xr:uid="{93BDBAD6-0C7E-4AF4-8011-EA17F1F66035}"/>
    <cellStyle name="60% - Accent6 3 15" xfId="16284" xr:uid="{81B70B79-5CCC-4FE7-9D84-9EBFFE5E2240}"/>
    <cellStyle name="60% - Accent6 3 2" xfId="1105" xr:uid="{E0D13675-7764-472A-A155-E2A87CE5BC02}"/>
    <cellStyle name="60% - Accent6 3 3" xfId="1106" xr:uid="{1818C01E-3E00-4B96-9461-A92A37B68D09}"/>
    <cellStyle name="60% - Accent6 3 4" xfId="1107" xr:uid="{0199B187-058F-4637-9B48-11A19D698EE1}"/>
    <cellStyle name="60% - Accent6 3 5" xfId="1108" xr:uid="{70555AAA-5718-4680-AD29-4B6C1BC16A4B}"/>
    <cellStyle name="60% - Accent6 3 6" xfId="1109" xr:uid="{178025FD-D51F-4B65-937F-72CD85982BCE}"/>
    <cellStyle name="60% - Accent6 3 7" xfId="1110" xr:uid="{79F5C366-6D10-472C-A8D0-4994E4ABA254}"/>
    <cellStyle name="60% - Accent6 3 8" xfId="1111" xr:uid="{7D5502CB-B1BB-4E9B-A1E0-3A83A4DA3F60}"/>
    <cellStyle name="60% - Accent6 3 9" xfId="1112" xr:uid="{1E5FE92F-9A94-47D1-ABED-EDECB99777DD}"/>
    <cellStyle name="60% - Accent6 4" xfId="1113" xr:uid="{B4552E6D-EBB3-477E-83DB-5B566C4325E1}"/>
    <cellStyle name="60% - Accent6 4 2" xfId="1114" xr:uid="{51973D23-9B20-4475-8C54-5371ADAC8EB0}"/>
    <cellStyle name="60% - Accent6 5" xfId="1115" xr:uid="{24019D90-73DB-4B5F-82EC-60FAE33492F9}"/>
    <cellStyle name="60% - Accent6 5 2" xfId="1116" xr:uid="{CA82679B-BB0F-4810-B877-8BC9952E5E37}"/>
    <cellStyle name="60% - Accent6 6" xfId="1117" xr:uid="{EF63FF52-9573-4B92-8555-DF29473B35F9}"/>
    <cellStyle name="60% - Accent6 6 2" xfId="1118" xr:uid="{69D5D6F0-AB55-460F-98B7-A60BD4A5955C}"/>
    <cellStyle name="60% - Accent6 6 3" xfId="1119" xr:uid="{C1709353-6F72-4541-BB05-48F4C1172360}"/>
    <cellStyle name="60% - Accent6 7" xfId="1120" xr:uid="{21B1F647-64BB-477D-834A-839A4E0A455C}"/>
    <cellStyle name="60% - Accent6 7 2" xfId="1121" xr:uid="{7CA1423C-560D-4636-9680-0616DE01D04C}"/>
    <cellStyle name="60% - Accent6 7 3" xfId="1122" xr:uid="{5F8736BB-98B9-4FAB-A010-C19F0E954B19}"/>
    <cellStyle name="60% - Accent6 8" xfId="1123" xr:uid="{9091DED0-CEF4-446F-AF7F-0CBBC4AC0634}"/>
    <cellStyle name="60% - Accent6 8 2" xfId="1124" xr:uid="{056456FC-4811-4CB3-85F7-9FDDAD1A081F}"/>
    <cellStyle name="60% - Accent6 8 3" xfId="1125" xr:uid="{9F291C0F-3CD1-4A86-A4EE-C233DCED32F5}"/>
    <cellStyle name="60% - Accent6 9" xfId="1126" xr:uid="{60344364-4D10-44FD-B892-0B84A893DB0F}"/>
    <cellStyle name="60% - Accent6 9 2" xfId="1127" xr:uid="{733C281D-556D-49A0-94DA-3A5966CA91C8}"/>
    <cellStyle name="60% - Cor1" xfId="1128" xr:uid="{719161EB-1737-4AD7-8C1F-0A2D2C4894D2}"/>
    <cellStyle name="60% - Cor2" xfId="1129" xr:uid="{F4006C0A-787E-4029-B367-02F6BAD3435E}"/>
    <cellStyle name="60% - Cor3" xfId="1130" xr:uid="{FE1DD102-1EB3-477D-9711-5490B8003A3A}"/>
    <cellStyle name="60% - Cor4" xfId="1131" xr:uid="{56BA1D3A-D300-4C13-A487-880920DC4C85}"/>
    <cellStyle name="60% - Cor5" xfId="1132" xr:uid="{63317804-EC45-45FB-A0F0-AF5D13DE3F16}"/>
    <cellStyle name="60% - Cor6" xfId="1133" xr:uid="{D8DEC8EE-85E1-4D58-B405-E236F24BA654}"/>
    <cellStyle name="Accent1 10" xfId="1134" xr:uid="{3C30F2D2-A96D-40B1-91F3-AED7E0E1417F}"/>
    <cellStyle name="Accent1 10 2" xfId="1135" xr:uid="{F67FA71B-E82D-4D97-B8BA-FB7B084CA596}"/>
    <cellStyle name="Accent1 11" xfId="1136" xr:uid="{196B2156-F4C6-40D7-BC85-7B4FD2B04EE1}"/>
    <cellStyle name="Accent1 11 2" xfId="11104" xr:uid="{8B1401BF-43C6-455F-94CA-03038933B8B5}"/>
    <cellStyle name="Accent1 12" xfId="1137" xr:uid="{49440DA6-1B74-4B20-8252-FFAFDF39D2E5}"/>
    <cellStyle name="Accent1 12 2" xfId="10852" xr:uid="{DD9C092C-3E50-4EA1-B59A-2EB124FB4692}"/>
    <cellStyle name="Accent1 13" xfId="1138" xr:uid="{91275F0D-705A-4E13-929E-D1D9FAB46B7E}"/>
    <cellStyle name="Accent1 13 2" xfId="8780" xr:uid="{65C471EC-0698-484E-9046-45BC3817BC57}"/>
    <cellStyle name="Accent1 14" xfId="1139" xr:uid="{1198FB2C-FD51-45E2-98BA-1C634589B28B}"/>
    <cellStyle name="Accent1 14 2" xfId="8779" xr:uid="{E312B443-C23D-4995-9F7E-65A735D181B3}"/>
    <cellStyle name="Accent1 15" xfId="1140" xr:uid="{57DC95FF-5DA9-47D3-8E57-17B01F69DC45}"/>
    <cellStyle name="Accent1 15 2" xfId="16286" xr:uid="{4C87D651-998D-4F5D-8D08-21A9B7F18A39}"/>
    <cellStyle name="Accent1 16" xfId="1141" xr:uid="{D2CCC084-00C9-4531-9956-CD0CEE5A11F6}"/>
    <cellStyle name="Accent1 16 2" xfId="16287" xr:uid="{0B193E70-B51B-49EA-9942-88D9C80B6060}"/>
    <cellStyle name="Accent1 17" xfId="1142" xr:uid="{83DCBF49-C0E7-4772-89CF-3757109432C2}"/>
    <cellStyle name="Accent1 17 2" xfId="16288" xr:uid="{4025720B-E809-4C49-AF1F-D036F44AD476}"/>
    <cellStyle name="Accent1 18" xfId="1143" xr:uid="{2738832D-9016-446F-B3B7-F80CD6B2C369}"/>
    <cellStyle name="Accent1 18 2" xfId="16289" xr:uid="{8D9B0830-FA38-448B-9A5B-521ECB987379}"/>
    <cellStyle name="Accent1 19" xfId="1144" xr:uid="{9A1A75F8-0AD4-4373-96CF-5C1AFA3D3352}"/>
    <cellStyle name="Accent1 19 2" xfId="16290" xr:uid="{01714717-768E-4EBC-B286-53AFFB773F0D}"/>
    <cellStyle name="Accent1 2" xfId="1145" xr:uid="{27A060C9-E092-4B70-B7AA-6B6BD51AE72B}"/>
    <cellStyle name="Accent1 2 10" xfId="8778" xr:uid="{1265516C-5344-41C8-84FB-D6E0F46FAF1E}"/>
    <cellStyle name="Accent1 2 2" xfId="1146" xr:uid="{C22ADB32-FE20-4384-B34C-7EC1518326C3}"/>
    <cellStyle name="Accent1 2 3" xfId="1147" xr:uid="{62167050-CF6E-44B2-A64D-4FA8A3F8C1BF}"/>
    <cellStyle name="Accent1 2 4" xfId="1148" xr:uid="{9BF0DCD2-CA95-45E2-BD99-EF5994EDA503}"/>
    <cellStyle name="Accent1 2 5" xfId="1149" xr:uid="{2E5ADAB5-7715-41F0-9A9C-61A05D0FBFEA}"/>
    <cellStyle name="Accent1 2 6" xfId="1150" xr:uid="{1CC70584-7F7F-45E3-B38D-63989B357BE4}"/>
    <cellStyle name="Accent1 2 7" xfId="1151" xr:uid="{1834694F-7CE4-4DC3-98C1-1E23A4E2A3EA}"/>
    <cellStyle name="Accent1 2 8" xfId="1152" xr:uid="{6CA1EA4D-5687-4662-B10F-5070EC5F5571}"/>
    <cellStyle name="Accent1 2 9" xfId="1153" xr:uid="{9024F8B3-605F-44A7-859D-17FBB42EB27E}"/>
    <cellStyle name="Accent1 20" xfId="1154" xr:uid="{8693A066-FCDE-41EB-93CC-CDEA78A3D1BF}"/>
    <cellStyle name="Accent1 20 2" xfId="16291" xr:uid="{F9321FC4-5BA7-4CBB-A31A-71DDEE530432}"/>
    <cellStyle name="Accent1 21" xfId="16292" xr:uid="{DB340253-4A17-4F0B-98A2-0A8093E977AB}"/>
    <cellStyle name="Accent1 22" xfId="15159" xr:uid="{E4799FBA-0AEA-437B-BFF4-2CBF236E7C10}"/>
    <cellStyle name="Accent1 3" xfId="1155" xr:uid="{48405862-7783-4101-9623-9E613D08C1A8}"/>
    <cellStyle name="Accent1 3 10" xfId="1156" xr:uid="{35053200-D632-4EE7-A860-C5CBDF72EBD4}"/>
    <cellStyle name="Accent1 3 11" xfId="1157" xr:uid="{7A01E2A5-0356-4BAB-97A8-46DC176D135C}"/>
    <cellStyle name="Accent1 3 12" xfId="1158" xr:uid="{CBEDFD48-99B4-4796-8E6E-3871330569F5}"/>
    <cellStyle name="Accent1 3 13" xfId="1159" xr:uid="{EB2200CE-CD76-4B7F-9AF0-9B98116772F4}"/>
    <cellStyle name="Accent1 3 14" xfId="1160" xr:uid="{7A683D49-9A6C-4FB2-BDFA-9CEF63A0061C}"/>
    <cellStyle name="Accent1 3 15" xfId="16294" xr:uid="{1CF8C53A-080C-48F7-84E5-C1C8CC9DDB35}"/>
    <cellStyle name="Accent1 3 2" xfId="1161" xr:uid="{3A46D6BE-323B-4754-A5DB-9BDEFBF9EB9A}"/>
    <cellStyle name="Accent1 3 3" xfId="1162" xr:uid="{95037B33-FC9B-4046-B4CE-E334DB51100E}"/>
    <cellStyle name="Accent1 3 4" xfId="1163" xr:uid="{D175F5F9-2D94-4D0B-AACF-AC987C8E8B06}"/>
    <cellStyle name="Accent1 3 5" xfId="1164" xr:uid="{110CA973-E34A-45A7-B1E5-7397FF89675A}"/>
    <cellStyle name="Accent1 3 6" xfId="1165" xr:uid="{26FE324D-8413-454C-B8C0-5D915225A8B7}"/>
    <cellStyle name="Accent1 3 7" xfId="1166" xr:uid="{CE70D952-6D05-4157-9D09-5FED80A1CED3}"/>
    <cellStyle name="Accent1 3 8" xfId="1167" xr:uid="{06720A52-5E1C-4CF5-9BD4-D5054897FE8F}"/>
    <cellStyle name="Accent1 3 9" xfId="1168" xr:uid="{33C6AA1B-30FB-4C9F-AA7A-220C7C2B22E2}"/>
    <cellStyle name="Accent1 4" xfId="1169" xr:uid="{F9EF5220-B074-446A-A202-67A843235F92}"/>
    <cellStyle name="Accent1 4 2" xfId="1170" xr:uid="{86402F3B-B385-4471-A045-1BEEA779C46E}"/>
    <cellStyle name="Accent1 5" xfId="1171" xr:uid="{C0F658A0-2D4F-4246-A467-C21209620CBF}"/>
    <cellStyle name="Accent1 5 2" xfId="1172" xr:uid="{7B0ED3ED-574E-4619-A041-349164AA32B1}"/>
    <cellStyle name="Accent1 6" xfId="1173" xr:uid="{6E0AAC0A-747D-4441-A40D-39C8E902831A}"/>
    <cellStyle name="Accent1 6 2" xfId="1174" xr:uid="{9F8CA0E9-4285-4AC5-9E7F-A87902EA5E46}"/>
    <cellStyle name="Accent1 6 3" xfId="1175" xr:uid="{465BF5AC-9B0F-43EC-8E7F-99E3273F6325}"/>
    <cellStyle name="Accent1 7" xfId="1176" xr:uid="{15F259BC-5598-45D4-A63A-3F701ACDF67A}"/>
    <cellStyle name="Accent1 7 2" xfId="1177" xr:uid="{3F970B80-6538-4699-8F95-658B42B6B399}"/>
    <cellStyle name="Accent1 7 3" xfId="1178" xr:uid="{EE6B9CA5-E9A8-45FC-9289-89C4E58602FB}"/>
    <cellStyle name="Accent1 8" xfId="1179" xr:uid="{1553C9C7-4E9A-4830-B2D9-7465B6BE645F}"/>
    <cellStyle name="Accent1 8 2" xfId="1180" xr:uid="{36733963-091E-4A5A-8658-70DD1DB767CF}"/>
    <cellStyle name="Accent1 8 3" xfId="1181" xr:uid="{F24F6235-7231-49DF-84FA-8494500F3B7C}"/>
    <cellStyle name="Accent1 9" xfId="1182" xr:uid="{A7F8518D-EFE7-4DB5-9DBE-25529FFB8E5C}"/>
    <cellStyle name="Accent1 9 2" xfId="1183" xr:uid="{3D34296E-CFAA-4FD2-BE72-D87AE4C01780}"/>
    <cellStyle name="Accent2 10" xfId="1184" xr:uid="{4454989A-C8E5-4241-BB4D-70A9679741BB}"/>
    <cellStyle name="Accent2 10 2" xfId="1185" xr:uid="{01815D6C-A2B3-4026-9383-C86E146D2055}"/>
    <cellStyle name="Accent2 11" xfId="1186" xr:uid="{A4E277CD-C8D0-42A8-B340-D3308BD9C61F}"/>
    <cellStyle name="Accent2 11 2" xfId="10498" xr:uid="{3D4C75D9-1842-4C43-8506-5902FACFFB6D}"/>
    <cellStyle name="Accent2 12" xfId="1187" xr:uid="{984F96F6-0082-4FC1-AEC2-F5904995F558}"/>
    <cellStyle name="Accent2 12 2" xfId="11174" xr:uid="{B51B1DED-E529-4C0E-A001-111B56973FD4}"/>
    <cellStyle name="Accent2 13" xfId="1188" xr:uid="{8D89449C-E1C6-460F-A2D8-7E467B67F67B}"/>
    <cellStyle name="Accent2 13 2" xfId="8777" xr:uid="{B3C20492-7C36-4523-9382-ACB1F6C96728}"/>
    <cellStyle name="Accent2 14" xfId="1189" xr:uid="{6B82D44B-1925-46D2-B920-D9A9F3A5C298}"/>
    <cellStyle name="Accent2 14 2" xfId="8776" xr:uid="{FC2D0B00-C503-479C-A23E-BAEB6F423F02}"/>
    <cellStyle name="Accent2 15" xfId="1190" xr:uid="{9854794F-5CB8-47DD-B7CC-0FF10957DA05}"/>
    <cellStyle name="Accent2 15 2" xfId="16297" xr:uid="{9E6477D6-E6D4-4483-975E-E6AEF30E6BE7}"/>
    <cellStyle name="Accent2 16" xfId="1191" xr:uid="{532BBF53-C83E-4C90-B87B-EB3783F5DBA6}"/>
    <cellStyle name="Accent2 16 2" xfId="16298" xr:uid="{33DC1CD3-7B2E-4626-9027-949E55D89C18}"/>
    <cellStyle name="Accent2 17" xfId="1192" xr:uid="{6F3B7227-FABA-4CD6-9838-0535083B61DE}"/>
    <cellStyle name="Accent2 17 2" xfId="16299" xr:uid="{3F832EDA-93AF-4017-93D4-D8F1159D1AAB}"/>
    <cellStyle name="Accent2 18" xfId="1193" xr:uid="{130037AB-A5F7-4120-AF65-D8ED2839994D}"/>
    <cellStyle name="Accent2 18 2" xfId="16300" xr:uid="{AC496A59-7572-4E53-9038-7E9D62B11901}"/>
    <cellStyle name="Accent2 19" xfId="1194" xr:uid="{84C3B547-FFD8-4E7B-9FEC-496F61F65BE4}"/>
    <cellStyle name="Accent2 19 2" xfId="16301" xr:uid="{F861383F-06FE-4F56-AD24-B9501EA45E5F}"/>
    <cellStyle name="Accent2 2" xfId="1195" xr:uid="{2D027C7B-6D9A-4DBC-AB66-EACA88D533F1}"/>
    <cellStyle name="Accent2 2 10" xfId="8775" xr:uid="{F5F0536F-DD43-4ABF-AA8E-DA24AB39073F}"/>
    <cellStyle name="Accent2 2 2" xfId="1196" xr:uid="{8010E7BD-D745-401F-A3FF-5A053B02F780}"/>
    <cellStyle name="Accent2 2 3" xfId="1197" xr:uid="{426F7D30-8913-4837-8F3E-14AC0FBCB39D}"/>
    <cellStyle name="Accent2 2 4" xfId="1198" xr:uid="{9D2E922A-BEF3-45DD-8BE6-16595C15E4D6}"/>
    <cellStyle name="Accent2 2 5" xfId="1199" xr:uid="{49A7357F-0DDE-4087-A815-120FD651ED6B}"/>
    <cellStyle name="Accent2 2 6" xfId="1200" xr:uid="{0852D798-4D30-4EBC-87D8-E5C43889E186}"/>
    <cellStyle name="Accent2 2 7" xfId="1201" xr:uid="{9EA8BF06-28EE-4216-A509-5374F4CB7C0D}"/>
    <cellStyle name="Accent2 2 8" xfId="1202" xr:uid="{A4C2684F-E63C-45A1-BAA7-C49AED4B8B51}"/>
    <cellStyle name="Accent2 2 9" xfId="1203" xr:uid="{CE31B7B9-F80B-4B64-A71E-D6CF8A3C2918}"/>
    <cellStyle name="Accent2 20" xfId="1204" xr:uid="{252D7350-5A06-4E39-87A0-F5CA975E1D26}"/>
    <cellStyle name="Accent2 20 2" xfId="16302" xr:uid="{390E62CF-92F8-4CED-AA4C-74A9DEA26BD0}"/>
    <cellStyle name="Accent2 21" xfId="16303" xr:uid="{0D7690EB-4F58-4138-9A57-89D97F62777A}"/>
    <cellStyle name="Accent2 22" xfId="15160" xr:uid="{7159393E-8ACF-4CE0-B068-043CFB17FE40}"/>
    <cellStyle name="Accent2 3" xfId="1205" xr:uid="{CBD1279B-8A68-40B8-A9CF-536F90CA65D5}"/>
    <cellStyle name="Accent2 3 10" xfId="1206" xr:uid="{1264D8CE-BCB8-433F-867B-B344046B94A7}"/>
    <cellStyle name="Accent2 3 11" xfId="1207" xr:uid="{8FCD15AF-D654-4C36-9EA5-8B56CB644772}"/>
    <cellStyle name="Accent2 3 12" xfId="1208" xr:uid="{CC68463D-DCDF-4991-8FDE-9301EBA2B16E}"/>
    <cellStyle name="Accent2 3 13" xfId="1209" xr:uid="{50E89768-7F02-4AB3-BEB8-41BA6C0B93D9}"/>
    <cellStyle name="Accent2 3 14" xfId="1210" xr:uid="{78083824-43C9-4BAD-B8A2-67A80232CF88}"/>
    <cellStyle name="Accent2 3 15" xfId="16304" xr:uid="{987B7BA1-4B61-4C05-81CC-3503BA01FFA0}"/>
    <cellStyle name="Accent2 3 2" xfId="1211" xr:uid="{ADAD98C7-35A7-4C8D-A77B-D37A1E906E8E}"/>
    <cellStyle name="Accent2 3 3" xfId="1212" xr:uid="{A6A4C50D-F586-40B9-93AE-B0BDC4A966B7}"/>
    <cellStyle name="Accent2 3 4" xfId="1213" xr:uid="{F9502BC5-601C-4EA4-8659-1F3DD5F8F2F8}"/>
    <cellStyle name="Accent2 3 5" xfId="1214" xr:uid="{257E1A51-50A2-4A47-88C3-689802B4A3E2}"/>
    <cellStyle name="Accent2 3 6" xfId="1215" xr:uid="{31FF8BB5-C1AD-4598-8BF3-4E957E2E758A}"/>
    <cellStyle name="Accent2 3 7" xfId="1216" xr:uid="{1B65696E-5F88-43B1-8D1A-9A98174C7032}"/>
    <cellStyle name="Accent2 3 8" xfId="1217" xr:uid="{A853C703-B9EB-4DE5-9FF8-8DA8695142E5}"/>
    <cellStyle name="Accent2 3 9" xfId="1218" xr:uid="{65483509-18A6-4BF2-9668-79F224443AFD}"/>
    <cellStyle name="Accent2 4" xfId="1219" xr:uid="{78369991-9802-4269-825C-ADF565177062}"/>
    <cellStyle name="Accent2 4 2" xfId="1220" xr:uid="{4C1B9BFB-0948-4112-ADBB-F575B21EB8CD}"/>
    <cellStyle name="Accent2 5" xfId="1221" xr:uid="{EFD208A4-8B17-4286-971E-290E9BCD5902}"/>
    <cellStyle name="Accent2 5 2" xfId="1222" xr:uid="{60277ADD-CB2A-412A-BE81-9DA450C85FF1}"/>
    <cellStyle name="Accent2 6" xfId="1223" xr:uid="{796C87DF-2D8E-4BED-917F-F5533301286D}"/>
    <cellStyle name="Accent2 6 2" xfId="1224" xr:uid="{38BBAD32-DB31-4B98-A6AD-939AAD32DCE0}"/>
    <cellStyle name="Accent2 6 3" xfId="1225" xr:uid="{4D28FCB8-296B-4AB8-81D9-75D0175E18F6}"/>
    <cellStyle name="Accent2 6 4" xfId="1226" xr:uid="{D59C9EC8-5F2B-403F-8509-F7904D36D879}"/>
    <cellStyle name="Accent2 6 5" xfId="1227" xr:uid="{D0E5795D-6620-41C9-BD85-0D5A1A5CD54A}"/>
    <cellStyle name="Accent2 6 6" xfId="1228" xr:uid="{3445B084-8EA2-496B-B9E8-91CD57024FF4}"/>
    <cellStyle name="Accent2 6_ELC" xfId="15161" xr:uid="{2471B47D-B167-487B-BADE-FE0EEC8E52BA}"/>
    <cellStyle name="Accent2 7" xfId="1229" xr:uid="{A778D4F3-707C-49ED-8932-D34D71774010}"/>
    <cellStyle name="Accent2 7 2" xfId="1230" xr:uid="{B90F08BB-0165-4F53-B376-5963C5FB81D3}"/>
    <cellStyle name="Accent2 7 3" xfId="1231" xr:uid="{EE559DEF-10F3-4CDF-A523-F07B0813B4A3}"/>
    <cellStyle name="Accent2 7 4" xfId="1232" xr:uid="{8FE2AEDB-3A3F-4D3E-8AE9-CDC026B28CC8}"/>
    <cellStyle name="Accent2 7 5" xfId="1233" xr:uid="{96309FD9-4D4C-4FD9-A4F5-74D6F2A7F8D9}"/>
    <cellStyle name="Accent2 7 6" xfId="1234" xr:uid="{A58932BB-2DFE-4FD1-8D52-FF9933C1A2E9}"/>
    <cellStyle name="Accent2 7_ELC" xfId="15162" xr:uid="{6CE0E24B-4B65-4B28-9F42-1D24A743854D}"/>
    <cellStyle name="Accent2 8" xfId="1235" xr:uid="{44930FAD-74FE-40CA-A37E-78AB8C0C8103}"/>
    <cellStyle name="Accent2 8 2" xfId="1236" xr:uid="{55596EFA-F745-4CD3-BC53-EB112ED70044}"/>
    <cellStyle name="Accent2 8 3" xfId="1237" xr:uid="{70763BDA-22CF-43CF-BB49-57F048E82144}"/>
    <cellStyle name="Accent2 9" xfId="1238" xr:uid="{8BBDB08E-4AE7-416C-920F-AB42090923EC}"/>
    <cellStyle name="Accent2 9 2" xfId="1239" xr:uid="{17FBE878-632C-43EA-9A3E-41CCFD213537}"/>
    <cellStyle name="Accent3 10" xfId="1240" xr:uid="{923651AE-3F1A-472C-B38C-63EA71CBC328}"/>
    <cellStyle name="Accent3 10 2" xfId="1241" xr:uid="{1222C691-9BF2-4232-88AF-4FBE1ACE84A5}"/>
    <cellStyle name="Accent3 11" xfId="1242" xr:uid="{F56F97C0-95F9-4C7A-9B03-3457A7913A45}"/>
    <cellStyle name="Accent3 11 2" xfId="11249" xr:uid="{E32FD881-3FE1-4C4E-BE8C-2061FE85F955}"/>
    <cellStyle name="Accent3 12" xfId="1243" xr:uid="{86FD2976-0009-4850-802C-7C3615A8D1BC}"/>
    <cellStyle name="Accent3 12 2" xfId="10975" xr:uid="{E3C39498-4C8A-4B2E-9EAE-9583BE8691D9}"/>
    <cellStyle name="Accent3 13" xfId="1244" xr:uid="{E3F084AC-813C-4684-920A-AFF9FCC0DB37}"/>
    <cellStyle name="Accent3 13 2" xfId="8774" xr:uid="{3FD50007-EA3F-407C-B677-E64BA1F17403}"/>
    <cellStyle name="Accent3 14" xfId="1245" xr:uid="{0B866D19-BED4-43FD-BF65-278470131470}"/>
    <cellStyle name="Accent3 14 2" xfId="8773" xr:uid="{08F23ABF-9139-4CCB-B2E2-F51D287BA224}"/>
    <cellStyle name="Accent3 15" xfId="1246" xr:uid="{0A6BE1F0-9D0B-4997-843A-13E9FEB7509B}"/>
    <cellStyle name="Accent3 15 2" xfId="16305" xr:uid="{F58664D7-CBCF-407E-A7C9-1B9C8493A692}"/>
    <cellStyle name="Accent3 16" xfId="1247" xr:uid="{32992EB4-872C-4DCF-B4DE-6017BF3E2E9F}"/>
    <cellStyle name="Accent3 16 2" xfId="16306" xr:uid="{86D18868-E414-4F87-8CF1-D3959210C3C6}"/>
    <cellStyle name="Accent3 17" xfId="1248" xr:uid="{60791BD7-C077-4534-A2C3-97035212A8BE}"/>
    <cellStyle name="Accent3 17 2" xfId="16307" xr:uid="{3190BBAF-5E0F-48EF-9883-6A6DD868260C}"/>
    <cellStyle name="Accent3 18" xfId="1249" xr:uid="{4B2472A5-2142-4375-B6C5-061032474511}"/>
    <cellStyle name="Accent3 18 2" xfId="16308" xr:uid="{1C36BD47-AD01-40DF-A978-64A637FE94CB}"/>
    <cellStyle name="Accent3 19" xfId="1250" xr:uid="{4AC1C9FA-8569-437B-A8E8-629BB27F6C2C}"/>
    <cellStyle name="Accent3 19 2" xfId="16309" xr:uid="{8D3D6F86-89BA-4CB2-8121-48ECC7CF29DC}"/>
    <cellStyle name="Accent3 2" xfId="1251" xr:uid="{216261E7-6519-4ACC-B699-E0C9BB85517F}"/>
    <cellStyle name="Accent3 2 10" xfId="8772" xr:uid="{36F27F47-8155-4FD1-9C04-5963F46F62D4}"/>
    <cellStyle name="Accent3 2 2" xfId="1252" xr:uid="{38BA210A-C230-48A8-891E-78B1F7668F47}"/>
    <cellStyle name="Accent3 2 3" xfId="1253" xr:uid="{6FD4A18F-85D1-42FF-8854-59C9DD6655B2}"/>
    <cellStyle name="Accent3 2 4" xfId="1254" xr:uid="{48DBE727-93FC-4CFE-9D75-6E8673A37DFE}"/>
    <cellStyle name="Accent3 2 5" xfId="1255" xr:uid="{57E146F6-9130-4819-AF45-AB833D2A8270}"/>
    <cellStyle name="Accent3 2 6" xfId="1256" xr:uid="{E22D0E05-6A57-4CE9-B385-5763B5461663}"/>
    <cellStyle name="Accent3 2 7" xfId="1257" xr:uid="{BB84FF51-8EAC-4D51-AD63-D3AC5CB80359}"/>
    <cellStyle name="Accent3 2 8" xfId="1258" xr:uid="{F7373371-32B4-4673-8254-DF1FC51651B9}"/>
    <cellStyle name="Accent3 2 9" xfId="1259" xr:uid="{DEC6798B-ACF7-496B-8DCC-A666797AD9F3}"/>
    <cellStyle name="Accent3 20" xfId="1260" xr:uid="{461B78E7-AE43-42FA-BFBD-70FAB4025B1C}"/>
    <cellStyle name="Accent3 20 2" xfId="16310" xr:uid="{2B869459-7995-427F-9B13-D6155EDE2402}"/>
    <cellStyle name="Accent3 21" xfId="16311" xr:uid="{9DC89882-5420-4E34-A517-9D2C407C23B0}"/>
    <cellStyle name="Accent3 22" xfId="15163" xr:uid="{559D9ED0-0450-4606-88D9-6CCAC67BB3A4}"/>
    <cellStyle name="Accent3 3" xfId="1261" xr:uid="{FC570014-9938-40E1-B64B-E7E72104388D}"/>
    <cellStyle name="Accent3 3 10" xfId="1262" xr:uid="{9ADC6FD0-DABE-459D-B899-F1371C1582D4}"/>
    <cellStyle name="Accent3 3 11" xfId="1263" xr:uid="{FFF7F4D8-44FE-458C-8351-FE8804298C17}"/>
    <cellStyle name="Accent3 3 12" xfId="1264" xr:uid="{646EF41D-CA9E-4064-899C-BB3BAECE600A}"/>
    <cellStyle name="Accent3 3 13" xfId="1265" xr:uid="{8DA97755-38FF-4AB2-8D0D-486CC42B3104}"/>
    <cellStyle name="Accent3 3 14" xfId="1266" xr:uid="{4A3E16EA-D349-46C0-80BF-0C8427B905E6}"/>
    <cellStyle name="Accent3 3 15" xfId="16312" xr:uid="{10D7BE3C-BD52-4739-87E4-3F87BD1ECF33}"/>
    <cellStyle name="Accent3 3 2" xfId="1267" xr:uid="{60A14689-DD71-479D-B00B-853A26ADBE7A}"/>
    <cellStyle name="Accent3 3 3" xfId="1268" xr:uid="{2FD69A51-80FF-47EF-891C-44EDCE88A7D8}"/>
    <cellStyle name="Accent3 3 4" xfId="1269" xr:uid="{2254669E-836B-4E74-87F3-FCAEDE380A86}"/>
    <cellStyle name="Accent3 3 5" xfId="1270" xr:uid="{E96E1D38-4851-423B-8348-E66CF192946F}"/>
    <cellStyle name="Accent3 3 6" xfId="1271" xr:uid="{04DCF526-0F7A-44E0-9CDA-0CA1D4636941}"/>
    <cellStyle name="Accent3 3 7" xfId="1272" xr:uid="{E4316451-94D4-4BA4-927D-3615DF659D64}"/>
    <cellStyle name="Accent3 3 8" xfId="1273" xr:uid="{D857AA85-2B5A-44B7-A245-EAB8EF221A9D}"/>
    <cellStyle name="Accent3 3 9" xfId="1274" xr:uid="{AE14947D-F50D-4B22-9801-E99EC2D87D12}"/>
    <cellStyle name="Accent3 4" xfId="1275" xr:uid="{E13DF80E-B249-4E92-8934-D96562862DC7}"/>
    <cellStyle name="Accent3 4 2" xfId="1276" xr:uid="{1EC3A62B-DE10-40A3-8A96-952397C291BE}"/>
    <cellStyle name="Accent3 5" xfId="1277" xr:uid="{9B91A5F9-DC9B-44FB-8006-5C1FC2A0B713}"/>
    <cellStyle name="Accent3 5 2" xfId="1278" xr:uid="{7FFB6B84-3FE4-4D23-9971-3F8757BD13CE}"/>
    <cellStyle name="Accent3 6" xfId="1279" xr:uid="{70F60230-929E-42AF-8DA3-5D0762A06A88}"/>
    <cellStyle name="Accent3 6 2" xfId="1280" xr:uid="{15A195DF-CA0B-4652-84EC-7943904D1B20}"/>
    <cellStyle name="Accent3 6 3" xfId="1281" xr:uid="{3D4B3C76-2D5C-4D1F-B99C-2A5CD8CFBB31}"/>
    <cellStyle name="Accent3 7" xfId="1282" xr:uid="{0C37C393-B288-4910-8E5D-7BEB4E0D5462}"/>
    <cellStyle name="Accent3 7 2" xfId="1283" xr:uid="{F50B9527-33DB-4BB4-A685-D943BE0E8983}"/>
    <cellStyle name="Accent3 7 3" xfId="1284" xr:uid="{0080CE63-3A08-4A32-8D44-258C7454C479}"/>
    <cellStyle name="Accent3 8" xfId="1285" xr:uid="{45C2937E-50D5-42FB-80D8-33F5F1ED1931}"/>
    <cellStyle name="Accent3 8 2" xfId="1286" xr:uid="{E6AAEC8D-065A-4599-B5AC-89002E489174}"/>
    <cellStyle name="Accent3 8 3" xfId="1287" xr:uid="{0FFD1823-A5B3-44B5-8EAD-56A8EE9E8C5F}"/>
    <cellStyle name="Accent3 9" xfId="1288" xr:uid="{FD31B94C-A946-4F44-AE8A-EDC0FDE89F62}"/>
    <cellStyle name="Accent3 9 2" xfId="1289" xr:uid="{A115CC90-3162-431B-A166-D17EA2385A23}"/>
    <cellStyle name="Accent4 10" xfId="1290" xr:uid="{1EA54CA4-EA4B-4372-B49F-1D7F5639DF4E}"/>
    <cellStyle name="Accent4 10 2" xfId="1291" xr:uid="{78DEE54F-02F5-4E83-9929-85F21F35AD62}"/>
    <cellStyle name="Accent4 11" xfId="1292" xr:uid="{ECD42022-C148-4FC8-829A-8FFE7E818E38}"/>
    <cellStyle name="Accent4 11 2" xfId="11083" xr:uid="{2EC6E0FA-4D86-4F1F-94C9-0C4877F10970}"/>
    <cellStyle name="Accent4 12" xfId="1293" xr:uid="{850D1FD9-00F5-4BC8-981A-871BB64718DA}"/>
    <cellStyle name="Accent4 12 2" xfId="10519" xr:uid="{C2A3B995-F3F9-499E-8D91-4AB4A061B109}"/>
    <cellStyle name="Accent4 13" xfId="1294" xr:uid="{3BEC3A40-A959-468B-91F2-45AB19D77BD1}"/>
    <cellStyle name="Accent4 13 2" xfId="8771" xr:uid="{418C7744-A7DA-4883-B2DA-9ED0C2F2378E}"/>
    <cellStyle name="Accent4 14" xfId="1295" xr:uid="{3357F3CB-294B-4002-99FC-E418B615EBB5}"/>
    <cellStyle name="Accent4 14 2" xfId="8770" xr:uid="{73C71AFB-25A0-4373-961F-C9900667AF9B}"/>
    <cellStyle name="Accent4 15" xfId="1296" xr:uid="{8B7A33FA-3F8F-4549-AB7D-23A727F72E19}"/>
    <cellStyle name="Accent4 15 2" xfId="16313" xr:uid="{DEB43F8F-0482-4299-8558-551FCC7B2A26}"/>
    <cellStyle name="Accent4 16" xfId="1297" xr:uid="{C255C642-9772-4CCF-94E4-016A0B5CB9D2}"/>
    <cellStyle name="Accent4 16 2" xfId="16314" xr:uid="{37567D56-9AAB-4322-8E12-9939A1BDA7F2}"/>
    <cellStyle name="Accent4 17" xfId="1298" xr:uid="{77AB5079-50A0-4DAB-AD2B-B79AC7D3D12E}"/>
    <cellStyle name="Accent4 17 2" xfId="16315" xr:uid="{B7B58FD8-1433-4E0C-B30A-903A90E23522}"/>
    <cellStyle name="Accent4 18" xfId="1299" xr:uid="{B2F7FEF6-0976-4C69-AAB7-5DAA61C2D6AF}"/>
    <cellStyle name="Accent4 18 2" xfId="16316" xr:uid="{37F5F82D-B321-4410-BE18-38CB68F31EF1}"/>
    <cellStyle name="Accent4 19" xfId="1300" xr:uid="{C3C7F68E-A3C5-45B2-A79F-1B3E219B4C6A}"/>
    <cellStyle name="Accent4 19 2" xfId="16317" xr:uid="{916A4CD0-F249-4F64-9551-EBD4931A2ABA}"/>
    <cellStyle name="Accent4 2" xfId="1301" xr:uid="{321FE0BE-73AF-472D-8A6C-19A3238974F7}"/>
    <cellStyle name="Accent4 2 10" xfId="8769" xr:uid="{CA28AC62-F8BC-4F34-B1EA-B225A061B3F8}"/>
    <cellStyle name="Accent4 2 2" xfId="1302" xr:uid="{941C1A02-A4CE-48C6-B286-E33084D67FBF}"/>
    <cellStyle name="Accent4 2 3" xfId="1303" xr:uid="{7A1D360C-2F10-4E94-9EEC-EA7B15C7E8CF}"/>
    <cellStyle name="Accent4 2 4" xfId="1304" xr:uid="{786DBE33-16BC-4B0D-A5D6-0B11820D4370}"/>
    <cellStyle name="Accent4 2 5" xfId="1305" xr:uid="{0D095510-39DF-4C1F-AE4F-2C901EABD812}"/>
    <cellStyle name="Accent4 2 6" xfId="1306" xr:uid="{9FE3E7A3-1568-44A5-BA83-E49AF162E329}"/>
    <cellStyle name="Accent4 2 7" xfId="1307" xr:uid="{F441B852-0E5B-4E73-B18C-99A67CAE9076}"/>
    <cellStyle name="Accent4 2 8" xfId="1308" xr:uid="{39724DF6-D67D-4FAD-9C04-E9AF3D78B1E8}"/>
    <cellStyle name="Accent4 2 9" xfId="1309" xr:uid="{2C4BCF61-AF7E-4452-8A52-DA91A7C6EEA8}"/>
    <cellStyle name="Accent4 20" xfId="1310" xr:uid="{4DD598AB-5F92-4D6A-9FEC-3F45A2DF6559}"/>
    <cellStyle name="Accent4 20 2" xfId="16318" xr:uid="{1568C811-EF6F-423E-99B2-D2F887185BD4}"/>
    <cellStyle name="Accent4 21" xfId="16319" xr:uid="{270A9298-C623-41B5-AA7C-36F5389801C1}"/>
    <cellStyle name="Accent4 22" xfId="15164" xr:uid="{2578AE2F-6B4E-4C33-B754-681415A30DDF}"/>
    <cellStyle name="Accent4 3" xfId="1311" xr:uid="{1038466D-EB1D-40FB-92CF-E522F04FC1F5}"/>
    <cellStyle name="Accent4 3 10" xfId="1312" xr:uid="{5A64BB87-2A93-4E70-A0B2-025479AFD4E9}"/>
    <cellStyle name="Accent4 3 11" xfId="1313" xr:uid="{3DC18E3B-2321-41FC-93B8-22AAA8FE66E0}"/>
    <cellStyle name="Accent4 3 12" xfId="1314" xr:uid="{05265C7E-8CD2-468A-9D88-CEF50E9806FE}"/>
    <cellStyle name="Accent4 3 13" xfId="1315" xr:uid="{C6E4F4CB-7C51-4FF1-BA70-9FB0155767F9}"/>
    <cellStyle name="Accent4 3 14" xfId="1316" xr:uid="{864D63F3-3DC4-45E0-9DD4-8C1862CB2DD0}"/>
    <cellStyle name="Accent4 3 15" xfId="16320" xr:uid="{92AA5439-AE29-4F53-9700-9EA62F838751}"/>
    <cellStyle name="Accent4 3 2" xfId="1317" xr:uid="{11FB5A7F-1EB1-41B7-BDB1-635E36FA5E13}"/>
    <cellStyle name="Accent4 3 3" xfId="1318" xr:uid="{3D76DA70-61F8-4757-8C42-C766589DC6D4}"/>
    <cellStyle name="Accent4 3 4" xfId="1319" xr:uid="{DB5719B9-202C-482E-ABD5-440FBA245A21}"/>
    <cellStyle name="Accent4 3 5" xfId="1320" xr:uid="{6CEEE19F-FE4B-4B99-ACF6-48601D9F995B}"/>
    <cellStyle name="Accent4 3 6" xfId="1321" xr:uid="{789F87DC-DB57-4326-99BB-A39EC14221C0}"/>
    <cellStyle name="Accent4 3 7" xfId="1322" xr:uid="{E5001116-3C40-402E-BE70-40C74DE1F802}"/>
    <cellStyle name="Accent4 3 8" xfId="1323" xr:uid="{1D9FE468-AF71-4859-8EF5-F12799D244BC}"/>
    <cellStyle name="Accent4 3 9" xfId="1324" xr:uid="{997E3E03-82D3-4970-9459-3EA30BEF2DB4}"/>
    <cellStyle name="Accent4 4" xfId="1325" xr:uid="{15A48226-FC1B-46BF-B087-F8EF647759FE}"/>
    <cellStyle name="Accent4 4 2" xfId="1326" xr:uid="{4E44FEA4-9EC7-42B2-B946-AE088ACF5D5A}"/>
    <cellStyle name="Accent4 5" xfId="1327" xr:uid="{4CF3EBF5-D215-43C7-9195-CAF488F8ECDA}"/>
    <cellStyle name="Accent4 5 2" xfId="1328" xr:uid="{A7923236-3FA0-46E1-9DEE-15C0752A89C4}"/>
    <cellStyle name="Accent4 6" xfId="1329" xr:uid="{19E6B6AB-74E4-4417-9745-288C0ABEABD5}"/>
    <cellStyle name="Accent4 6 2" xfId="1330" xr:uid="{C25F34F3-C7F4-45FC-9B19-EC0DA85B5A48}"/>
    <cellStyle name="Accent4 6 3" xfId="1331" xr:uid="{D124B3AD-CD04-4ABC-937D-F04EF1EC428E}"/>
    <cellStyle name="Accent4 6 4" xfId="1332" xr:uid="{E91DCAFA-01AE-45AB-92D0-E8E6C418838F}"/>
    <cellStyle name="Accent4 6 5" xfId="1333" xr:uid="{EE423527-9F14-4D11-87FE-5EE959A59501}"/>
    <cellStyle name="Accent4 6 6" xfId="1334" xr:uid="{074DE370-18CB-403D-A2CE-52D3BC3467B9}"/>
    <cellStyle name="Accent4 6 7" xfId="1335" xr:uid="{B546CE50-81FA-44B2-98CF-D94B8C9C0B8D}"/>
    <cellStyle name="Accent4 6 8" xfId="16628" xr:uid="{10D9B58F-D747-45C9-8BBA-C202B00511E9}"/>
    <cellStyle name="Accent4 6 9" xfId="16886" xr:uid="{4F2B897E-7BD7-4508-99B1-C276F52F81A4}"/>
    <cellStyle name="Accent4 6_ELC" xfId="15165" xr:uid="{313211E7-0163-4EFD-B695-F5BBA26AE1B9}"/>
    <cellStyle name="Accent4 7" xfId="1336" xr:uid="{C80EDFBF-439A-4F36-8539-1FC5FB131E5B}"/>
    <cellStyle name="Accent4 7 2" xfId="1337" xr:uid="{9B40EC98-804C-466E-BD7E-10ACFFAC8ACF}"/>
    <cellStyle name="Accent4 7 3" xfId="1338" xr:uid="{AFA62117-3998-450D-81DD-92B55E25F749}"/>
    <cellStyle name="Accent4 7 4" xfId="1339" xr:uid="{B9CE88F2-A9E8-4CD8-A3BB-9B62A176E883}"/>
    <cellStyle name="Accent4 7 5" xfId="1340" xr:uid="{D32CD47A-A59F-44C0-A34C-5AA7C8E1AD1F}"/>
    <cellStyle name="Accent4 7 6" xfId="1341" xr:uid="{0C01EB53-8415-4965-9D96-DF0AFF1F13EF}"/>
    <cellStyle name="Accent4 7 7" xfId="1342" xr:uid="{A736881B-22D9-4845-B359-F61AD0B18372}"/>
    <cellStyle name="Accent4 7 8" xfId="16629" xr:uid="{C5C18E2B-8DB9-41F6-B54D-6253BA393832}"/>
    <cellStyle name="Accent4 7 9" xfId="16887" xr:uid="{DF52CEE5-8AB9-4CED-8273-C14E88AF8FD4}"/>
    <cellStyle name="Accent4 7_ELC" xfId="15166" xr:uid="{152F23A3-4810-40C7-9577-E6CDC891F5BF}"/>
    <cellStyle name="Accent4 8" xfId="1343" xr:uid="{ADCFF2D1-2EF8-41F3-83E9-7C5E8B62D106}"/>
    <cellStyle name="Accent4 8 2" xfId="1344" xr:uid="{41560B7B-8C40-4F2F-B97C-1DE80BCE3661}"/>
    <cellStyle name="Accent4 8 3" xfId="1345" xr:uid="{F3643107-8794-4731-B552-1A8443EA0ADD}"/>
    <cellStyle name="Accent4 9" xfId="1346" xr:uid="{4E1C17D5-589B-4EB4-B07D-E072ECC82EDE}"/>
    <cellStyle name="Accent4 9 2" xfId="1347" xr:uid="{5610B000-382E-4ECD-956C-EC1179755C9C}"/>
    <cellStyle name="Accent5 10" xfId="1348" xr:uid="{05C8885E-8F0A-446B-A5DF-E46AD7CEB76B}"/>
    <cellStyle name="Accent5 10 2" xfId="1349" xr:uid="{6B867B8E-9A75-439B-8165-A633EB931F3D}"/>
    <cellStyle name="Accent5 11" xfId="1350" xr:uid="{80CA919B-3383-4063-B93E-86854F8D8B13}"/>
    <cellStyle name="Accent5 11 2" xfId="11103" xr:uid="{C55974C7-46CA-4906-9490-EC99E04FBBF0}"/>
    <cellStyle name="Accent5 12" xfId="1351" xr:uid="{29CC434D-29DA-4C36-A4DB-23923B1BAA01}"/>
    <cellStyle name="Accent5 12 2" xfId="10851" xr:uid="{7F1C532A-A8BF-4306-82D3-4660A9704F5D}"/>
    <cellStyle name="Accent5 13" xfId="1352" xr:uid="{9EFD1D59-33C6-4DA7-845C-652FAA7AF72A}"/>
    <cellStyle name="Accent5 13 2" xfId="8768" xr:uid="{07A10904-5B7D-41B9-A1AD-6CC30B554E3A}"/>
    <cellStyle name="Accent5 14" xfId="1353" xr:uid="{B231E3CB-2A67-4989-9ACA-E49C4E30D1A2}"/>
    <cellStyle name="Accent5 14 2" xfId="8767" xr:uid="{AE438B8D-243C-4731-9C95-5110F9B9F8DF}"/>
    <cellStyle name="Accent5 15" xfId="1354" xr:uid="{FE3434AD-AC60-42E0-B749-0C641550D417}"/>
    <cellStyle name="Accent5 15 2" xfId="16321" xr:uid="{B1D4590E-D725-4A15-8C01-2F56C84F4C40}"/>
    <cellStyle name="Accent5 16" xfId="1355" xr:uid="{883BE972-0F5C-444F-B158-CEF630A88793}"/>
    <cellStyle name="Accent5 16 2" xfId="16322" xr:uid="{26484208-BE50-4EC7-A097-4A514BDB1E8A}"/>
    <cellStyle name="Accent5 17" xfId="1356" xr:uid="{899810F3-4BBE-4A02-A6D1-5EB04A30DCA2}"/>
    <cellStyle name="Accent5 17 2" xfId="16323" xr:uid="{3FD736EC-A9FF-484E-ADF1-F43086A7686A}"/>
    <cellStyle name="Accent5 18" xfId="1357" xr:uid="{E80FB76F-25DC-40BC-B5AD-C65DA21E3690}"/>
    <cellStyle name="Accent5 18 2" xfId="16324" xr:uid="{29D90276-51D4-4318-97C4-D2C255C67AA6}"/>
    <cellStyle name="Accent5 19" xfId="1358" xr:uid="{28E3A6CA-C5F0-4910-8523-1CB6A103E02B}"/>
    <cellStyle name="Accent5 19 2" xfId="16325" xr:uid="{6B84DC32-822B-4B58-9D17-AF54385B3C7D}"/>
    <cellStyle name="Accent5 2" xfId="1359" xr:uid="{C279A4DB-F6A9-443C-9BBC-F2F1667FECE5}"/>
    <cellStyle name="Accent5 2 10" xfId="8766" xr:uid="{3DB807C9-EBFB-432C-A3F8-DE695658E99A}"/>
    <cellStyle name="Accent5 2 2" xfId="1360" xr:uid="{2AC3FFE5-07E6-4DFF-A390-5D8368AEEB58}"/>
    <cellStyle name="Accent5 2 3" xfId="1361" xr:uid="{87E26477-89AA-426F-96EF-1DB1AEC6C036}"/>
    <cellStyle name="Accent5 2 4" xfId="1362" xr:uid="{D64D82C3-9E36-484E-82C0-5257AC310F05}"/>
    <cellStyle name="Accent5 2 5" xfId="1363" xr:uid="{6A374E2C-336E-4494-99AB-A93ECAFDD20B}"/>
    <cellStyle name="Accent5 2 6" xfId="1364" xr:uid="{E87EEEE5-C94E-47FD-9CCE-46FC8058EFC7}"/>
    <cellStyle name="Accent5 2 7" xfId="1365" xr:uid="{DED7B84A-9938-4891-8D4F-557A04364A1B}"/>
    <cellStyle name="Accent5 2 8" xfId="1366" xr:uid="{CF856AD8-3A56-4F59-A81A-0624D0BAAAB4}"/>
    <cellStyle name="Accent5 2 9" xfId="1367" xr:uid="{DBA3C229-9D95-499A-B0B4-DD33E6DA565A}"/>
    <cellStyle name="Accent5 20" xfId="1368" xr:uid="{8924A259-2267-44C4-972E-B7791AE09223}"/>
    <cellStyle name="Accent5 20 2" xfId="16326" xr:uid="{3B19596D-EA02-4A21-B5DD-00A6193646E4}"/>
    <cellStyle name="Accent5 21" xfId="16327" xr:uid="{1FB52031-9473-4C2C-ABAD-207CDA0803C3}"/>
    <cellStyle name="Accent5 22" xfId="15167" xr:uid="{6E32E320-B11F-4F2C-9788-B2C422E881CB}"/>
    <cellStyle name="Accent5 3" xfId="1369" xr:uid="{F0FC7BB6-75E1-42F5-B99E-C6A172A235BA}"/>
    <cellStyle name="Accent5 3 10" xfId="1370" xr:uid="{E4FD6FCA-49F8-4865-9B89-21EA6542F9CA}"/>
    <cellStyle name="Accent5 3 11" xfId="1371" xr:uid="{62297191-7500-4E48-892C-21E732AED2A4}"/>
    <cellStyle name="Accent5 3 12" xfId="1372" xr:uid="{84AD5C19-B037-498C-9E24-C197C5134725}"/>
    <cellStyle name="Accent5 3 13" xfId="1373" xr:uid="{B1F9B85F-D6EC-4556-B5EF-203139D8CC79}"/>
    <cellStyle name="Accent5 3 14" xfId="1374" xr:uid="{F9435804-5423-4348-9E06-93F02FDF2E1D}"/>
    <cellStyle name="Accent5 3 15" xfId="16329" xr:uid="{BAE9BD6A-5BF5-42EF-916F-A488202BC8F5}"/>
    <cellStyle name="Accent5 3 2" xfId="1375" xr:uid="{D627B608-2AB1-4149-BEC4-C193ECBBA0BB}"/>
    <cellStyle name="Accent5 3 3" xfId="1376" xr:uid="{0849A6E9-4356-4C9B-8F90-D7D4E6A6B5FD}"/>
    <cellStyle name="Accent5 3 4" xfId="1377" xr:uid="{A395AE16-5C18-48EA-9434-45355FB51CDB}"/>
    <cellStyle name="Accent5 3 5" xfId="1378" xr:uid="{02FD6426-E225-4764-AFA2-1AB7A797CCC4}"/>
    <cellStyle name="Accent5 3 6" xfId="1379" xr:uid="{CE4001EE-F965-49F9-9FC6-B87DBB9DA3F9}"/>
    <cellStyle name="Accent5 3 7" xfId="1380" xr:uid="{735E2673-8488-46D4-9A0D-CECBD0888FBB}"/>
    <cellStyle name="Accent5 3 8" xfId="1381" xr:uid="{9A59B23C-FACF-4A21-9276-7DEA29DE351E}"/>
    <cellStyle name="Accent5 3 9" xfId="1382" xr:uid="{4FAD937D-4C85-4D60-A710-8A2A56C56349}"/>
    <cellStyle name="Accent5 4" xfId="1383" xr:uid="{76078294-48F0-4DBD-A04E-F616CE27C863}"/>
    <cellStyle name="Accent5 4 2" xfId="1384" xr:uid="{D4100D8B-F622-4BC2-A44C-1D1E16159D41}"/>
    <cellStyle name="Accent5 5" xfId="1385" xr:uid="{09A89512-90DF-4C1D-A2A4-B315341C878B}"/>
    <cellStyle name="Accent5 5 2" xfId="1386" xr:uid="{5F692696-5059-4F87-A069-4710A2A2BDD1}"/>
    <cellStyle name="Accent5 6" xfId="1387" xr:uid="{A2191D5C-7CB0-4849-AC50-DDB5BA4CE69C}"/>
    <cellStyle name="Accent5 6 2" xfId="1388" xr:uid="{48EFA00B-6058-4521-BE55-CB345EB712AF}"/>
    <cellStyle name="Accent5 6 3" xfId="1389" xr:uid="{A71BD25B-83C3-413A-BE2A-738D840B7482}"/>
    <cellStyle name="Accent5 7" xfId="1390" xr:uid="{6A47AFA6-968C-45EF-AB2B-AA0D002F37FA}"/>
    <cellStyle name="Accent5 7 2" xfId="1391" xr:uid="{AC4CEE51-BC1B-4409-B47C-0F02384E6B66}"/>
    <cellStyle name="Accent5 7 3" xfId="1392" xr:uid="{3555CF19-833C-4841-85E7-B19ED29D7CA7}"/>
    <cellStyle name="Accent5 8" xfId="1393" xr:uid="{15CD44B1-5FA1-453A-AF5E-A88DE9E07D71}"/>
    <cellStyle name="Accent5 8 2" xfId="1394" xr:uid="{904999A1-7B3D-44A8-824D-7CD7DE83A82B}"/>
    <cellStyle name="Accent5 8 3" xfId="1395" xr:uid="{9D2E1896-DD9C-4633-BCC1-EA51D5AA7D3E}"/>
    <cellStyle name="Accent5 9" xfId="1396" xr:uid="{CBCE2B16-EB84-4AA7-B64D-87E887FB5A06}"/>
    <cellStyle name="Accent5 9 2" xfId="1397" xr:uid="{D3F9F01B-171A-4C45-93A3-79E8D5741811}"/>
    <cellStyle name="Accent6 10" xfId="1398" xr:uid="{C1BE22ED-EA74-4B35-BE8D-7C7D9A644735}"/>
    <cellStyle name="Accent6 10 2" xfId="1399" xr:uid="{88D3532E-4D23-408C-9303-1602904226AE}"/>
    <cellStyle name="Accent6 11" xfId="1400" xr:uid="{130B9B33-EF28-441C-A1E8-E13F2DEF4F78}"/>
    <cellStyle name="Accent6 11 2" xfId="10497" xr:uid="{2D692847-4E5F-4EC0-BC35-705E7045B27E}"/>
    <cellStyle name="Accent6 12" xfId="1401" xr:uid="{3F69913C-8980-495C-9FCF-4451B8666651}"/>
    <cellStyle name="Accent6 12 2" xfId="11172" xr:uid="{E4B160D3-FD06-4CEC-8B2E-314DDA772D9E}"/>
    <cellStyle name="Accent6 13" xfId="1402" xr:uid="{C65822C2-C5BE-4D06-91E4-FF4E75A8BD01}"/>
    <cellStyle name="Accent6 13 2" xfId="8765" xr:uid="{3E590F05-E58D-412C-92EB-2F9D22520AB0}"/>
    <cellStyle name="Accent6 14" xfId="1403" xr:uid="{AF56ED16-7AC9-4C76-83F4-8C13C85EC671}"/>
    <cellStyle name="Accent6 14 2" xfId="8764" xr:uid="{6034CFA7-B770-499B-9F50-B5CE80249109}"/>
    <cellStyle name="Accent6 15" xfId="1404" xr:uid="{164E6BAB-F6E6-458D-9728-3E81D8F1FD4D}"/>
    <cellStyle name="Accent6 15 2" xfId="16331" xr:uid="{F2C1B6FB-34F9-4AC0-B5D1-2231033A6E6D}"/>
    <cellStyle name="Accent6 16" xfId="1405" xr:uid="{A26593BA-F9D8-4DC6-A5DB-22689417989C}"/>
    <cellStyle name="Accent6 16 2" xfId="16332" xr:uid="{DDB6D284-6236-4B06-84CD-E084316E1985}"/>
    <cellStyle name="Accent6 17" xfId="1406" xr:uid="{01CFD1D8-C12E-420F-9A73-CAED61B2D05D}"/>
    <cellStyle name="Accent6 17 2" xfId="16333" xr:uid="{21A12611-7F05-40C8-86EE-7028E89CE25A}"/>
    <cellStyle name="Accent6 18" xfId="1407" xr:uid="{6115C2A3-32A0-47E6-8094-138B72A4D1E9}"/>
    <cellStyle name="Accent6 18 2" xfId="16334" xr:uid="{78D16E46-B1F8-4185-B3A0-6BC66EBA5A76}"/>
    <cellStyle name="Accent6 19" xfId="1408" xr:uid="{B199E649-EA08-4370-9C5A-155E325B2D8D}"/>
    <cellStyle name="Accent6 19 2" xfId="16335" xr:uid="{3255A25B-0D3B-4405-A6A2-6F522F5D7E89}"/>
    <cellStyle name="Accent6 2" xfId="1409" xr:uid="{2A6C315A-F286-4889-8767-3A593C928F2E}"/>
    <cellStyle name="Accent6 2 10" xfId="8763" xr:uid="{A434E00B-7076-4830-910F-6D806535D7CF}"/>
    <cellStyle name="Accent6 2 2" xfId="1410" xr:uid="{256DFCFF-3B8E-43D6-A6BA-6C197DDAE8E5}"/>
    <cellStyle name="Accent6 2 3" xfId="1411" xr:uid="{08A2039F-9F2D-4831-A9E7-AD11FC078BC9}"/>
    <cellStyle name="Accent6 2 4" xfId="1412" xr:uid="{AD3CD592-029E-4A3A-B81B-FDC38C614148}"/>
    <cellStyle name="Accent6 2 5" xfId="1413" xr:uid="{7A96A4BB-A61A-495C-B2E5-F943763580BC}"/>
    <cellStyle name="Accent6 2 6" xfId="1414" xr:uid="{656B417C-9B5F-4B6C-8DD7-666B5334A6A9}"/>
    <cellStyle name="Accent6 2 7" xfId="1415" xr:uid="{DD77A625-CB71-4008-9B2E-6420A0B478B9}"/>
    <cellStyle name="Accent6 2 8" xfId="1416" xr:uid="{92549569-5F46-4653-9C4A-8017D02B0BCC}"/>
    <cellStyle name="Accent6 2 9" xfId="1417" xr:uid="{7DBB9E34-D9B9-4D6A-91B6-40E379C9F50E}"/>
    <cellStyle name="Accent6 20" xfId="1418" xr:uid="{C430FE3F-63C4-49E6-92F5-B75270286822}"/>
    <cellStyle name="Accent6 20 2" xfId="16336" xr:uid="{5C4D4886-140B-4365-80B6-326FE7AEC509}"/>
    <cellStyle name="Accent6 21" xfId="16337" xr:uid="{F915F7CE-A055-4918-AA1B-0099F1F43C56}"/>
    <cellStyle name="Accent6 22" xfId="15168" xr:uid="{7AE91047-97A5-409E-886A-93F16430D42D}"/>
    <cellStyle name="Accent6 3" xfId="1419" xr:uid="{16080C05-C660-4AFF-A84B-23BBEBAF2468}"/>
    <cellStyle name="Accent6 3 10" xfId="1420" xr:uid="{414595A0-3C92-4EE6-B5BD-435DCE315514}"/>
    <cellStyle name="Accent6 3 11" xfId="1421" xr:uid="{1EEBC01A-1810-4B55-B6DB-08A43C4ABABD}"/>
    <cellStyle name="Accent6 3 12" xfId="1422" xr:uid="{7620C454-AD18-4BC6-AAA0-03680A1DB4FA}"/>
    <cellStyle name="Accent6 3 13" xfId="1423" xr:uid="{9627E691-5E14-4A7A-8DE9-641CD1CFA2D5}"/>
    <cellStyle name="Accent6 3 14" xfId="1424" xr:uid="{A95C5360-D4A9-48A8-B245-7B122B6AE689}"/>
    <cellStyle name="Accent6 3 15" xfId="16338" xr:uid="{E5A2E277-1783-4436-8C08-9386B481F38C}"/>
    <cellStyle name="Accent6 3 2" xfId="1425" xr:uid="{D090D0CD-7E01-48DC-9F17-172AB2A132E2}"/>
    <cellStyle name="Accent6 3 3" xfId="1426" xr:uid="{BD832E1F-7E39-4EEB-9055-51CF5371AE5B}"/>
    <cellStyle name="Accent6 3 4" xfId="1427" xr:uid="{2F6ABC95-4B3D-49A4-96A5-E1E433CEB34D}"/>
    <cellStyle name="Accent6 3 5" xfId="1428" xr:uid="{82465510-306D-4814-B68A-B8ACD1891A4D}"/>
    <cellStyle name="Accent6 3 6" xfId="1429" xr:uid="{7273DB83-159E-402D-8A14-63F8456B8C16}"/>
    <cellStyle name="Accent6 3 7" xfId="1430" xr:uid="{2B22914B-8098-4351-BC05-30F3AD8F3104}"/>
    <cellStyle name="Accent6 3 8" xfId="1431" xr:uid="{9E072A18-2F52-4E2D-A99D-7D8888EFDF1F}"/>
    <cellStyle name="Accent6 3 9" xfId="1432" xr:uid="{CF8BD66A-6579-41B6-BDF4-E5803995ACEF}"/>
    <cellStyle name="Accent6 4" xfId="1433" xr:uid="{7A51DAB2-DF34-4625-84BD-283EB2F11719}"/>
    <cellStyle name="Accent6 4 2" xfId="1434" xr:uid="{CA375576-D09A-40E6-BAE5-AE3207895AD4}"/>
    <cellStyle name="Accent6 5" xfId="1435" xr:uid="{4650FF14-CDD0-4FF7-B899-E1F608A8A508}"/>
    <cellStyle name="Accent6 5 2" xfId="1436" xr:uid="{AEAB508F-FADA-4F99-8083-F6222EF2D35B}"/>
    <cellStyle name="Accent6 6" xfId="1437" xr:uid="{F423B87D-327D-40FD-8E09-AFE3D1D27637}"/>
    <cellStyle name="Accent6 6 2" xfId="1438" xr:uid="{9697B80A-CF1B-4B77-A98D-AD564DD42C93}"/>
    <cellStyle name="Accent6 6 3" xfId="1439" xr:uid="{9ED47C18-0244-49DB-96B5-79651CD390CD}"/>
    <cellStyle name="Accent6 7" xfId="1440" xr:uid="{D2D30DF5-6294-4158-B859-916E7CB7D6DA}"/>
    <cellStyle name="Accent6 7 2" xfId="1441" xr:uid="{13D52125-DA68-44FE-86D8-1E47FE9C4AF4}"/>
    <cellStyle name="Accent6 7 3" xfId="1442" xr:uid="{B17D12CA-8551-4522-B80A-AC2B464F6322}"/>
    <cellStyle name="Accent6 8" xfId="1443" xr:uid="{91E3ABC9-D617-4C3D-9486-831C335E2391}"/>
    <cellStyle name="Accent6 8 2" xfId="1444" xr:uid="{6673AB25-6563-4260-BCFB-2BA7901C063F}"/>
    <cellStyle name="Accent6 8 3" xfId="1445" xr:uid="{085A328F-331A-48E7-8912-5D52107F98B6}"/>
    <cellStyle name="Accent6 9" xfId="1446" xr:uid="{4B0FF8F5-DC0E-4BF3-A78A-0407268ADF3F}"/>
    <cellStyle name="Accent6 9 2" xfId="1447" xr:uid="{33154377-324C-4E7C-8944-C15FCAC326F2}"/>
    <cellStyle name="AggBoldCells" xfId="1448" xr:uid="{17E6F847-709E-4E37-97C8-1AE36648823F}"/>
    <cellStyle name="AggCels" xfId="1449" xr:uid="{D2158A28-4859-4445-AB46-680B17A20043}"/>
    <cellStyle name="AggOrange_CRFReport-template" xfId="1450" xr:uid="{7670D28E-7FCA-4A99-A83E-91284378F3DA}"/>
    <cellStyle name="Bad 10" xfId="1451" xr:uid="{BD73C992-FC34-46CE-9E6F-9A1B5416F59D}"/>
    <cellStyle name="Bad 10 2" xfId="1452" xr:uid="{FD8A7EC7-6F5B-416B-B8EC-18A9696AB673}"/>
    <cellStyle name="Bad 10 3" xfId="1453" xr:uid="{CCF56C1E-5E06-45A4-A2DD-CA498B3B4D63}"/>
    <cellStyle name="Bad 10 4" xfId="1454" xr:uid="{52265795-9D5C-415A-9ABE-D6E37D67B44B}"/>
    <cellStyle name="Bad 10_IND_UC" xfId="15170" xr:uid="{0A590DB6-8D59-4D7B-861C-DB3963F08EEF}"/>
    <cellStyle name="Bad 11" xfId="1455" xr:uid="{AC55114B-1B01-4927-A41D-DF71C1E474DB}"/>
    <cellStyle name="Bad 11 2" xfId="1456" xr:uid="{BBD62F77-2E2E-49F4-A798-63FC3CF7CBBE}"/>
    <cellStyle name="Bad 11 3" xfId="1457" xr:uid="{C629F42D-D63D-42F7-95DC-9CA004AD61BA}"/>
    <cellStyle name="Bad 11 4" xfId="1458" xr:uid="{AA53D4A0-5C15-4D62-BBE8-C593F9A48815}"/>
    <cellStyle name="Bad 11_IND_UC" xfId="15171" xr:uid="{1D5579E6-BE30-4061-BEDD-435A6A28842D}"/>
    <cellStyle name="Bad 12" xfId="1459" xr:uid="{23B0D0E2-7A3E-4A0F-A598-F862A3A08201}"/>
    <cellStyle name="Bad 12 2" xfId="1460" xr:uid="{632D7C07-8474-4EDA-A99D-C17B35CC062F}"/>
    <cellStyle name="Bad 12 3" xfId="1461" xr:uid="{8DC00CE8-BE7F-480E-ACF1-97C070A14855}"/>
    <cellStyle name="Bad 12 4" xfId="1462" xr:uid="{631F449C-B79F-4DAA-8F05-7C37BD261F3A}"/>
    <cellStyle name="Bad 12_IND_UC" xfId="15172" xr:uid="{FBCBC4DC-F149-4DBE-AF9E-F648CFCFD9EB}"/>
    <cellStyle name="Bad 13" xfId="1463" xr:uid="{AF35D5C9-1BF3-43A2-89B3-8DD9FF9AA699}"/>
    <cellStyle name="Bad 13 2" xfId="1464" xr:uid="{BD895F9D-520C-4C24-AD8F-3D57A7C2728C}"/>
    <cellStyle name="Bad 13 3" xfId="1465" xr:uid="{7C891831-5620-4EF2-8162-8E9D508E070C}"/>
    <cellStyle name="Bad 13 4" xfId="1466" xr:uid="{666F0DC3-9C82-464F-BDC2-4E39EA33980A}"/>
    <cellStyle name="Bad 13 4 2" xfId="16784" xr:uid="{B5AF9D7C-9B20-49EA-A561-8F34A4942530}"/>
    <cellStyle name="Bad 13 4 3" xfId="16340" xr:uid="{B8DF7D95-2204-4E80-9023-4FDFE8CC8EA7}"/>
    <cellStyle name="Bad 13 5" xfId="16888" xr:uid="{05C439B2-577C-4312-9F9F-7BED3668283F}"/>
    <cellStyle name="Bad 14" xfId="1467" xr:uid="{8C5D15D9-5552-4406-AB86-8E629926FFE7}"/>
    <cellStyle name="Bad 14 2" xfId="1468" xr:uid="{EF65DBA0-A370-4D28-B419-C2193C9ECCE1}"/>
    <cellStyle name="Bad 14 3" xfId="1469" xr:uid="{7508D96F-3837-4D9D-9AD5-58E9361C60A5}"/>
    <cellStyle name="Bad 14 4" xfId="1470" xr:uid="{FF7F8EC3-28F8-4953-8B4B-FD8D0388AB43}"/>
    <cellStyle name="Bad 14 4 2" xfId="16489" xr:uid="{D6F394DE-B139-47BF-93D6-9AF31EA3A949}"/>
    <cellStyle name="Bad 14 4 3" xfId="16341" xr:uid="{9BFCA85C-ED4E-4159-B2AE-3E7C529C7B9D}"/>
    <cellStyle name="Bad 15" xfId="1471" xr:uid="{CD6C3D52-58C4-4486-80EC-E374EC8324D4}"/>
    <cellStyle name="Bad 15 2" xfId="1472" xr:uid="{94ED06B0-ACA9-49B8-B601-0F930C9C5AFA}"/>
    <cellStyle name="Bad 15 3" xfId="1473" xr:uid="{39F81CDC-3C83-4407-A8C0-BCC0785EC801}"/>
    <cellStyle name="Bad 16" xfId="1474" xr:uid="{68CFD75B-4A55-45E9-BEB5-4AAA92C466A8}"/>
    <cellStyle name="Bad 16 2" xfId="1475" xr:uid="{4DC8D589-6E39-41A1-A9F3-6BB1D8AC02ED}"/>
    <cellStyle name="Bad 16 3" xfId="1476" xr:uid="{77324E3B-F9CB-4375-9078-8AFF81FF60C8}"/>
    <cellStyle name="Bad 17" xfId="1477" xr:uid="{D2D2DA50-1CC8-427B-9D5C-A871B7A09C6A}"/>
    <cellStyle name="Bad 17 2" xfId="1478" xr:uid="{C8664B92-E78C-4DCC-8045-52D4766407EB}"/>
    <cellStyle name="Bad 17 3" xfId="1479" xr:uid="{DA1B65A5-81FA-4B39-AEE4-F9FAAC476B64}"/>
    <cellStyle name="Bad 18" xfId="1480" xr:uid="{BE76C9EB-B772-4D9B-97A5-F787B2D326F1}"/>
    <cellStyle name="Bad 18 2" xfId="1481" xr:uid="{A8AD34F4-1985-4580-9450-9F4A3098E185}"/>
    <cellStyle name="Bad 18 3" xfId="1482" xr:uid="{D0E87347-8677-46D5-9C3D-74E291ABF4A2}"/>
    <cellStyle name="Bad 19" xfId="1483" xr:uid="{23716DD6-063E-4FFC-9197-23CA3338F940}"/>
    <cellStyle name="Bad 19 2" xfId="1484" xr:uid="{AC4495D6-0542-4CB4-A879-97F3180D54A1}"/>
    <cellStyle name="Bad 19 3" xfId="1485" xr:uid="{CA2BCCDB-A55A-40D3-BFB5-49808B3565AC}"/>
    <cellStyle name="Bad 2" xfId="1486" xr:uid="{EEDD2DDB-E9ED-48DC-86CA-A342C3A2334C}"/>
    <cellStyle name="Bad 2 10" xfId="8740" xr:uid="{9B95DF61-377B-48CD-A947-AA04BAC9CC73}"/>
    <cellStyle name="Bad 2 2" xfId="1487" xr:uid="{F1245D41-6463-45D3-9986-E63ECB0695A0}"/>
    <cellStyle name="Bad 2 3" xfId="1488" xr:uid="{293D53CA-487E-4BC0-9DF5-D62E9D807D67}"/>
    <cellStyle name="Bad 2 4" xfId="1489" xr:uid="{A8044C80-2A00-40F0-A421-5CE724335BA8}"/>
    <cellStyle name="Bad 2 5" xfId="1490" xr:uid="{278A5799-3A04-44E9-A8F5-F2153D7796E6}"/>
    <cellStyle name="Bad 2 6" xfId="1491" xr:uid="{6742111E-6778-42BC-8551-0BE14C73216A}"/>
    <cellStyle name="Bad 2 7" xfId="1492" xr:uid="{BA3833DA-FADA-4BDC-A23A-090A6C106E13}"/>
    <cellStyle name="Bad 2 8" xfId="1493" xr:uid="{99277ACF-4C5D-413B-A947-F19FBB144C1B}"/>
    <cellStyle name="Bad 2 9" xfId="1494" xr:uid="{3F0CAF60-1262-4EBC-B8E3-926E418E4563}"/>
    <cellStyle name="Bad 20" xfId="1495" xr:uid="{7778BED9-C788-4232-9ADB-CCBF7744D102}"/>
    <cellStyle name="Bad 20 2" xfId="1496" xr:uid="{E24AF607-6D16-473A-A89A-00299404918F}"/>
    <cellStyle name="Bad 20 3" xfId="1497" xr:uid="{9BD4C859-B815-4820-8366-53EF2BDF034B}"/>
    <cellStyle name="Bad 21" xfId="1498" xr:uid="{7810B6C5-210D-4825-B18A-B67BFFE23824}"/>
    <cellStyle name="Bad 21 2" xfId="15270" xr:uid="{A8B6796A-AC6D-44DC-A7E2-F09F19081306}"/>
    <cellStyle name="Bad 21 3" xfId="16631" xr:uid="{37516506-0FBF-4435-BA96-6FCA19BAC26F}"/>
    <cellStyle name="Bad 22" xfId="1499" xr:uid="{CF80762C-2C88-454E-B1A8-EFEE70C593CF}"/>
    <cellStyle name="Bad 22 2" xfId="15271" xr:uid="{213B2221-88F0-45E2-843C-9CF63E1E51F5}"/>
    <cellStyle name="Bad 23" xfId="1500" xr:uid="{176C8684-78D6-4824-8EB0-7D64D8C78CDB}"/>
    <cellStyle name="Bad 23 2" xfId="15272" xr:uid="{3AD86064-EF03-4C62-8D09-E4120490615D}"/>
    <cellStyle name="Bad 24" xfId="1501" xr:uid="{332D6D74-572B-467B-93DE-644D06CC8DBC}"/>
    <cellStyle name="Bad 24 2" xfId="15273" xr:uid="{5E7F6EFF-D5B9-4EF5-AEA3-539B53A3C169}"/>
    <cellStyle name="Bad 25" xfId="1502" xr:uid="{5E195ABB-F419-4AE2-B28B-0B75991C26A8}"/>
    <cellStyle name="Bad 25 2" xfId="15274" xr:uid="{6EAD7204-5DA1-44D6-93DA-C841637E517E}"/>
    <cellStyle name="Bad 26" xfId="1503" xr:uid="{FA66747E-1E8D-432E-8AF3-D45E8D612D04}"/>
    <cellStyle name="Bad 26 2" xfId="15275" xr:uid="{803F82B4-BDC9-497A-AF77-12EA2014C0CF}"/>
    <cellStyle name="Bad 27" xfId="1504" xr:uid="{CC5572DA-AE94-447D-A9B3-C18FCAE5E2F1}"/>
    <cellStyle name="Bad 27 2" xfId="15276" xr:uid="{CF61F1ED-16E3-47A4-B1DD-389ADEB877B6}"/>
    <cellStyle name="Bad 28" xfId="1505" xr:uid="{F341B70D-6F7F-40CE-A427-8AEDCD293EE8}"/>
    <cellStyle name="Bad 28 2" xfId="15277" xr:uid="{E99BCBB0-D384-4AB6-88C3-139116503216}"/>
    <cellStyle name="Bad 29" xfId="1506" xr:uid="{68199A95-7F83-45D4-8A8E-545CAC075E48}"/>
    <cellStyle name="Bad 29 2" xfId="15278" xr:uid="{6272C2A9-00AE-430F-9BB2-5C8FE4FD0501}"/>
    <cellStyle name="Bad 3" xfId="1507" xr:uid="{19130842-47D0-4D44-AD65-5B6D8B4696A7}"/>
    <cellStyle name="Bad 3 10" xfId="1508" xr:uid="{507D6BBE-CF0E-4BAD-BC05-64734DCC0DA0}"/>
    <cellStyle name="Bad 3 11" xfId="1509" xr:uid="{A93F54C2-1915-47F4-ABF4-2C5FD0E0AB7E}"/>
    <cellStyle name="Bad 3 12" xfId="1510" xr:uid="{7054229B-A71F-428B-9B4B-6F8F358B19A8}"/>
    <cellStyle name="Bad 3 13" xfId="1511" xr:uid="{BFC10B81-847E-4C7B-89A8-B66121B3570F}"/>
    <cellStyle name="Bad 3 14" xfId="1512" xr:uid="{9DC19600-8A5E-4EED-BADF-5FDAE1EFE1B7}"/>
    <cellStyle name="Bad 3 15" xfId="1513" xr:uid="{3DB2CE2D-6D03-4CAE-BF59-5D64F906C857}"/>
    <cellStyle name="Bad 3 16" xfId="1514" xr:uid="{741D9036-9FDF-4E1E-BD81-0F99E31BC4C5}"/>
    <cellStyle name="Bad 3 17" xfId="1515" xr:uid="{8F93689B-8CFE-4B57-BC4D-A053C4B1A10C}"/>
    <cellStyle name="Bad 3 18" xfId="1516" xr:uid="{9B17084B-B959-4844-82B0-26A9203DA5AA}"/>
    <cellStyle name="Bad 3 19" xfId="1517" xr:uid="{76E6A0D2-B586-4ECC-83E2-BF493B3B4357}"/>
    <cellStyle name="Bad 3 2" xfId="1518" xr:uid="{B6C9777B-B943-4A6D-B5FD-94F676508AF9}"/>
    <cellStyle name="Bad 3 20" xfId="1519" xr:uid="{15F87F85-984B-4E46-AFF9-258C6AB648E1}"/>
    <cellStyle name="Bad 3 21" xfId="1520" xr:uid="{739C7449-5849-4722-BADB-9F126B23E54D}"/>
    <cellStyle name="Bad 3 22" xfId="1521" xr:uid="{48BBE256-BFE3-4A1F-948D-745E644DF6B9}"/>
    <cellStyle name="Bad 3 23" xfId="1522" xr:uid="{3F2C58C5-B76F-4B74-A47A-570285FFB9B3}"/>
    <cellStyle name="Bad 3 24" xfId="1523" xr:uid="{E93A32AE-3CAF-4F21-8CE7-7D29E1F09C10}"/>
    <cellStyle name="Bad 3 25" xfId="1524" xr:uid="{F4365A89-8E87-42C8-90CB-5A0B09004F1B}"/>
    <cellStyle name="Bad 3 26" xfId="1525" xr:uid="{EED3C20F-0ECD-486F-A740-EF32919ED4AD}"/>
    <cellStyle name="Bad 3 27" xfId="1526" xr:uid="{43749107-3D61-41A2-8976-23F31E4B3571}"/>
    <cellStyle name="Bad 3 28" xfId="1527" xr:uid="{58C6E23C-B160-4179-AD34-2F0F0401C716}"/>
    <cellStyle name="Bad 3 29" xfId="1528" xr:uid="{18F93806-C02C-4E1F-BFF7-EA9B6AC8BD68}"/>
    <cellStyle name="Bad 3 3" xfId="1529" xr:uid="{2CC9A3F2-E382-4D9C-B272-37E86CED21B8}"/>
    <cellStyle name="Bad 3 30" xfId="1530" xr:uid="{7B047651-B0DA-4EBC-B03F-DD64598F0C2E}"/>
    <cellStyle name="Bad 3 31" xfId="1531" xr:uid="{D91AE93A-8EB0-47A8-95BF-8BF7A3DE93FB}"/>
    <cellStyle name="Bad 3 32" xfId="1532" xr:uid="{7B8FE37B-FA3C-4C99-AA8A-BFB1C84FE3E6}"/>
    <cellStyle name="Bad 3 33" xfId="1533" xr:uid="{3AF9B01E-B532-4B4A-8919-6F4F2A293EE5}"/>
    <cellStyle name="Bad 3 34" xfId="1534" xr:uid="{42DF8C5C-3440-4E5D-9011-BBB674990C7D}"/>
    <cellStyle name="Bad 3 35" xfId="1535" xr:uid="{BAC2F351-9042-4120-BF09-7F1CD853A951}"/>
    <cellStyle name="Bad 3 36" xfId="1536" xr:uid="{444458EA-3A28-4E8A-AA54-B85BE0D0B90E}"/>
    <cellStyle name="Bad 3 4" xfId="1537" xr:uid="{1D23E545-6878-420C-9CEE-1E970AC3B297}"/>
    <cellStyle name="Bad 3 5" xfId="1538" xr:uid="{238282FE-AB05-4AFA-964D-A9914C7FA9F2}"/>
    <cellStyle name="Bad 3 6" xfId="1539" xr:uid="{5EF9F1F4-FF94-4A9B-8B29-B78612D95842}"/>
    <cellStyle name="Bad 3 7" xfId="1540" xr:uid="{DCE3F88F-D5AD-4EA6-B322-E29C82738132}"/>
    <cellStyle name="Bad 3 8" xfId="1541" xr:uid="{DA0A4857-A3E1-40AE-AB31-0E4E8F412204}"/>
    <cellStyle name="Bad 3 9" xfId="1542" xr:uid="{7555B0A8-7C74-45B7-A546-BF59C00E21EE}"/>
    <cellStyle name="Bad 3_ELC" xfId="15173" xr:uid="{CAE8C237-C68C-452C-B59D-2BC2FFC76C72}"/>
    <cellStyle name="Bad 30" xfId="1543" xr:uid="{A0873695-E3CD-4D53-B883-CC6DE718DB24}"/>
    <cellStyle name="Bad 30 2" xfId="15279" xr:uid="{B349D129-BE3C-41AE-885B-3846A396785D}"/>
    <cellStyle name="Bad 31" xfId="1544" xr:uid="{E4232BFE-C57E-40E7-8C8E-57338C988416}"/>
    <cellStyle name="Bad 31 2" xfId="15280" xr:uid="{128F6D28-80BE-4C75-8BCA-AB2E9C6948F5}"/>
    <cellStyle name="Bad 32" xfId="1545" xr:uid="{242D9372-9976-48CE-8255-8106A7D9C2F7}"/>
    <cellStyle name="Bad 32 2" xfId="15281" xr:uid="{9005AADF-6038-474C-9172-46332008629D}"/>
    <cellStyle name="Bad 33" xfId="1546" xr:uid="{286AD47A-7154-4B2B-9426-0E9115C29D56}"/>
    <cellStyle name="Bad 33 2" xfId="15282" xr:uid="{100E0BF8-61AA-467C-8071-2FB3B118B30C}"/>
    <cellStyle name="Bad 34" xfId="1547" xr:uid="{5879D50C-3C82-47D5-9AC0-5C3B9A1317CF}"/>
    <cellStyle name="Bad 34 2" xfId="15283" xr:uid="{E6D848C7-A354-4D0C-96DB-1178102CD3E9}"/>
    <cellStyle name="Bad 35" xfId="1548" xr:uid="{2127302F-81FC-4B3C-8747-5CA5ABFF013B}"/>
    <cellStyle name="Bad 35 2" xfId="15284" xr:uid="{E295067F-50BC-4C30-B5C9-1EC7D8D3679A}"/>
    <cellStyle name="Bad 36" xfId="1549" xr:uid="{0776632C-AC28-4AD6-AD1B-3D498A54FADB}"/>
    <cellStyle name="Bad 36 2" xfId="15285" xr:uid="{04249104-859A-4EB0-A85C-3A74A53ED5D8}"/>
    <cellStyle name="Bad 37" xfId="1550" xr:uid="{8E693DE9-4795-4197-9FE4-30E09C8C4AAE}"/>
    <cellStyle name="Bad 37 2" xfId="15286" xr:uid="{506CD5BD-E132-4578-A369-321C214B6B0C}"/>
    <cellStyle name="Bad 38" xfId="1551" xr:uid="{EDD03CA1-1E7E-4FCF-A1D3-E1224BB3C4FD}"/>
    <cellStyle name="Bad 38 2" xfId="15287" xr:uid="{E1F9CA15-AFF9-4F44-B7C0-6DADD2B40A95}"/>
    <cellStyle name="Bad 39" xfId="1552" xr:uid="{78D2E3FF-E90F-4EC5-B3D0-C0E09B6A9854}"/>
    <cellStyle name="Bad 39 2" xfId="15288" xr:uid="{A9177ED4-160B-43F8-8E30-56DEB3F224EE}"/>
    <cellStyle name="Bad 4" xfId="1553" xr:uid="{6AF2F871-8756-4997-AB98-95AF6DC1D99A}"/>
    <cellStyle name="Bad 4 10" xfId="1554" xr:uid="{0695E6D0-F248-422A-A760-F8E8589F0E28}"/>
    <cellStyle name="Bad 4 11" xfId="1555" xr:uid="{3D77A9F4-65B1-4892-8A77-20D22130B3A4}"/>
    <cellStyle name="Bad 4 12" xfId="1556" xr:uid="{6E5A5517-6158-4D35-BD77-FD0DD5249C0D}"/>
    <cellStyle name="Bad 4 13" xfId="1557" xr:uid="{779A292B-8253-46E9-83A2-4090E871179E}"/>
    <cellStyle name="Bad 4 14" xfId="1558" xr:uid="{ED7FA768-65C8-4A09-8B61-87F184C888A0}"/>
    <cellStyle name="Bad 4 15" xfId="1559" xr:uid="{C45C2CE8-0D22-4940-A68D-630C04DA29A6}"/>
    <cellStyle name="Bad 4 16" xfId="1560" xr:uid="{6DDFED53-0658-450C-9044-AB6A0EA3B102}"/>
    <cellStyle name="Bad 4 17" xfId="1561" xr:uid="{4D9534E8-3839-42B6-A30C-D3E38C9ED088}"/>
    <cellStyle name="Bad 4 18" xfId="1562" xr:uid="{9061001F-0620-464B-B872-339EC94202DE}"/>
    <cellStyle name="Bad 4 19" xfId="1563" xr:uid="{8AD1A2DA-4BDD-4566-AFA8-A14D398B017A}"/>
    <cellStyle name="Bad 4 2" xfId="1564" xr:uid="{D3E6D9BD-D335-4DC9-B2E4-8E266B135782}"/>
    <cellStyle name="Bad 4 20" xfId="1565" xr:uid="{C293C55F-4F88-4814-80B2-AA2EEEE02A7B}"/>
    <cellStyle name="Bad 4 21" xfId="1566" xr:uid="{8D0B1A81-6D1C-4BE8-A83B-65031B254786}"/>
    <cellStyle name="Bad 4 22" xfId="1567" xr:uid="{12A9161F-32CA-4D1B-817E-6435C53E56EC}"/>
    <cellStyle name="Bad 4 23" xfId="1568" xr:uid="{39DE1D7F-F1EC-46A7-ABBC-D9FAC7CB21C1}"/>
    <cellStyle name="Bad 4 24" xfId="1569" xr:uid="{E28304E6-9AD6-4C98-B229-608C75243812}"/>
    <cellStyle name="Bad 4 25" xfId="1570" xr:uid="{A849A62D-829D-46E9-9BBB-AB6CA309E79B}"/>
    <cellStyle name="Bad 4 26" xfId="1571" xr:uid="{566DC6A0-917B-407E-B45E-75ACB9F51C48}"/>
    <cellStyle name="Bad 4 27" xfId="1572" xr:uid="{057B6DAC-45AC-4FC4-8289-E555C1920914}"/>
    <cellStyle name="Bad 4 28" xfId="1573" xr:uid="{7AAF8A30-1F7C-424E-9EDE-0232088BD25C}"/>
    <cellStyle name="Bad 4 29" xfId="1574" xr:uid="{4305B71C-CEF4-48EE-B0B2-9D14162978F6}"/>
    <cellStyle name="Bad 4 3" xfId="1575" xr:uid="{FA10F46A-42AE-4B3A-A704-B49F8F84FF3F}"/>
    <cellStyle name="Bad 4 30" xfId="1576" xr:uid="{2E8CDD53-CA92-402F-B261-A645660F18FE}"/>
    <cellStyle name="Bad 4 31" xfId="1577" xr:uid="{57D99663-D1AD-4FB7-AAE6-24FA3E6E703E}"/>
    <cellStyle name="Bad 4 32" xfId="1578" xr:uid="{64C09A65-3024-48D7-AE82-4E75E1E271F9}"/>
    <cellStyle name="Bad 4 33" xfId="1579" xr:uid="{55345406-8229-49FD-976F-C2815067776B}"/>
    <cellStyle name="Bad 4 34" xfId="1580" xr:uid="{F792982B-B7B9-4315-883D-2E3C4B86E90A}"/>
    <cellStyle name="Bad 4 35" xfId="1581" xr:uid="{BEDE82D8-5B97-44EA-9FF1-B3A0239E738A}"/>
    <cellStyle name="Bad 4 36" xfId="1582" xr:uid="{6FC65C40-4C28-4A53-8D0A-16C39C8A9D05}"/>
    <cellStyle name="Bad 4 4" xfId="1583" xr:uid="{E1943CF9-B3DA-4174-B394-1C70DE5B2C10}"/>
    <cellStyle name="Bad 4 5" xfId="1584" xr:uid="{5C18BF7E-FC99-496B-8252-6F563E208752}"/>
    <cellStyle name="Bad 4 6" xfId="1585" xr:uid="{723EBE25-F073-4256-A142-1E330E5C175D}"/>
    <cellStyle name="Bad 4 7" xfId="1586" xr:uid="{3A9D27D7-45F9-4F42-8896-C4828EB506F0}"/>
    <cellStyle name="Bad 4 8" xfId="1587" xr:uid="{2D428FAE-B403-4776-991A-C5F7674F888A}"/>
    <cellStyle name="Bad 4 9" xfId="1588" xr:uid="{04A17688-CC35-47D9-8C9A-6C8EA0B72DE1}"/>
    <cellStyle name="Bad 4_ELC" xfId="15174" xr:uid="{F167F31A-2C9A-454B-9C4A-12DC8C6F7896}"/>
    <cellStyle name="Bad 40" xfId="1589" xr:uid="{B54BB4C2-B6A5-40A9-91B6-4C392BB97D1F}"/>
    <cellStyle name="Bad 40 2" xfId="15289" xr:uid="{EC0E7B47-AF45-4424-910E-51D975FD084E}"/>
    <cellStyle name="Bad 41" xfId="1590" xr:uid="{95BB203B-9619-4772-B4C6-6195611BDC36}"/>
    <cellStyle name="Bad 41 2" xfId="15290" xr:uid="{53BD0C41-40D5-46A8-88A3-FF59F854D134}"/>
    <cellStyle name="Bad 42" xfId="15169" xr:uid="{32368AD6-8654-46EA-9EAA-1E56A5A0FB02}"/>
    <cellStyle name="Bad 5" xfId="1591" xr:uid="{D3C3AF61-0A07-42D5-9B07-A136237D3C34}"/>
    <cellStyle name="Bad 5 2" xfId="1592" xr:uid="{5861731B-1598-4C7D-ACF3-35EDF2A38DC4}"/>
    <cellStyle name="Bad 6" xfId="1593" xr:uid="{63E050E9-CB49-4E58-86DA-B1F03F145943}"/>
    <cellStyle name="Bad 6 2" xfId="1594" xr:uid="{15521FBC-7793-4B1F-9EB6-7CFEABB4413B}"/>
    <cellStyle name="Bad 6 3" xfId="1595" xr:uid="{98D81896-0217-4842-9A02-991EDD637E1A}"/>
    <cellStyle name="Bad 6 4" xfId="1596" xr:uid="{C6D60BA5-24DF-42C8-995B-4CEB040B3428}"/>
    <cellStyle name="Bad 6 5" xfId="1597" xr:uid="{718FBC68-EFC9-462D-8D55-F72D58BA4501}"/>
    <cellStyle name="Bad 6 6" xfId="1598" xr:uid="{51E05AAE-D0F3-49DA-A748-7D97489A0656}"/>
    <cellStyle name="Bad 6_ELC" xfId="15175" xr:uid="{9A3ED71D-8371-4959-B264-33DDD41D1AA3}"/>
    <cellStyle name="Bad 7" xfId="1599" xr:uid="{482B57A3-52C2-4AE2-89B4-F268D3140681}"/>
    <cellStyle name="Bad 7 2" xfId="1600" xr:uid="{EBBA2BEC-558E-4C1D-9DD4-4DAB06333D4B}"/>
    <cellStyle name="Bad 7 3" xfId="1601" xr:uid="{1658C4F6-B220-4E57-9E35-0FEB2857AF49}"/>
    <cellStyle name="Bad 7 4" xfId="1602" xr:uid="{0B19DEDF-EFAC-42BF-994E-0B4B76A52F90}"/>
    <cellStyle name="Bad 7 5" xfId="1603" xr:uid="{229239B0-214A-4A8C-AC93-EEFC7C0C3686}"/>
    <cellStyle name="Bad 7 6" xfId="1604" xr:uid="{89A1EAF1-D0D8-42AA-9C6A-0D85D3D9413F}"/>
    <cellStyle name="Bad 7_ELC" xfId="15176" xr:uid="{F788B27B-530F-40F9-A952-6EFA9C465B73}"/>
    <cellStyle name="Bad 8" xfId="1605" xr:uid="{46DE84F7-B9E8-4E95-BA98-1670D88A9DF5}"/>
    <cellStyle name="Bad 8 2" xfId="1606" xr:uid="{CC50DCD1-5D8E-4583-A9E2-9638A73F8917}"/>
    <cellStyle name="Bad 8 3" xfId="1607" xr:uid="{F6AA7C39-368F-49D9-85B5-C06C59FB5698}"/>
    <cellStyle name="Bad 8 4" xfId="1608" xr:uid="{1BDE0B69-70EE-4735-A48A-67DF384C8477}"/>
    <cellStyle name="Bad 8 5" xfId="1609" xr:uid="{630865C4-8A50-40D3-8987-183FEC76C462}"/>
    <cellStyle name="Bad 8 6" xfId="1610" xr:uid="{BEF8A93B-DC7E-4DC4-81AA-C473B197BE4F}"/>
    <cellStyle name="Bad 8_ELC" xfId="15177" xr:uid="{DA36B3BE-AC38-4AC4-A14A-CE7558D9D80E}"/>
    <cellStyle name="Bad 9" xfId="1611" xr:uid="{386068EF-A0FC-4EED-B60C-0D8FEA04A07B}"/>
    <cellStyle name="Bad 9 2" xfId="1612" xr:uid="{E360B86F-C5CB-4DBC-BCB5-ADD196D302B4}"/>
    <cellStyle name="Bad 9 3" xfId="1613" xr:uid="{09055B46-5DD4-4CF8-9B6C-79B887FB677D}"/>
    <cellStyle name="Bad 9 4" xfId="1614" xr:uid="{9B075BD6-F46C-4512-865E-2D18BAEF0D8A}"/>
    <cellStyle name="Bad 9_IND_UC" xfId="15178" xr:uid="{EF0277C0-00DF-49F7-87C3-419D74B75C5C}"/>
    <cellStyle name="Bold GHG Numbers (0.00)" xfId="1615" xr:uid="{53AF497B-F9D8-40D9-9270-3F9CAC3BD26C}"/>
    <cellStyle name="CABECALHO" xfId="1616" xr:uid="{293CF509-D21A-4FBF-AD04-EE3F1A3661D1}"/>
    <cellStyle name="Cabeçalho 1" xfId="1617" xr:uid="{8EFBEF35-49D2-49B3-B266-5EBF897AD042}"/>
    <cellStyle name="Cabeçalho 2" xfId="1618" xr:uid="{29C49D6B-4C1B-43BF-B4ED-7676BE213E96}"/>
    <cellStyle name="Cabeçalho 3" xfId="1619" xr:uid="{62C8DACC-1914-49FC-997F-BB99E2A7DE7F}"/>
    <cellStyle name="Cabeçalho 4" xfId="1620" xr:uid="{2308C097-920E-4EAC-8AAA-452D04DB4A17}"/>
    <cellStyle name="Calculation 10" xfId="1621" xr:uid="{4D639B1B-B04C-48CF-A90C-F30F7F4B621B}"/>
    <cellStyle name="Calculation 10 2" xfId="1622" xr:uid="{570CC493-A92D-4901-A455-352F2C0D7E7B}"/>
    <cellStyle name="Calculation 11" xfId="1623" xr:uid="{5F4D63A8-2DA5-41F2-B40E-BEEF54719351}"/>
    <cellStyle name="Calculation 11 2" xfId="10974" xr:uid="{A944D003-44B1-46FB-8482-B3F29ADD93D4}"/>
    <cellStyle name="Calculation 12" xfId="1624" xr:uid="{E24B94CF-4A40-4A87-981E-3D85FDC47ED5}"/>
    <cellStyle name="Calculation 12 2" xfId="10504" xr:uid="{B0292849-07C3-488C-84DA-E58599F0F0E6}"/>
    <cellStyle name="Calculation 13" xfId="1625" xr:uid="{25386CE1-08B3-450B-980C-FCB32B978177}"/>
    <cellStyle name="Calculation 13 2" xfId="8653" xr:uid="{FA830CD5-6140-441C-B2EF-38A7A67489ED}"/>
    <cellStyle name="Calculation 14" xfId="1626" xr:uid="{E734E1D7-93AB-437C-9138-7F84691F0B3B}"/>
    <cellStyle name="Calculation 14 2" xfId="8651" xr:uid="{991F37BF-EEB1-41E0-948B-084581834588}"/>
    <cellStyle name="Calculation 15" xfId="1627" xr:uid="{C7AD7F70-9B14-425D-82C5-DD1692C1CBAF}"/>
    <cellStyle name="Calculation 15 2" xfId="16343" xr:uid="{49DF5681-886C-423B-AA54-12A8B56FA76D}"/>
    <cellStyle name="Calculation 16" xfId="1628" xr:uid="{5D332E6B-4306-430E-9C38-581842ECC5BF}"/>
    <cellStyle name="Calculation 16 2" xfId="16344" xr:uid="{6A437C55-4660-4FE6-A827-379FB5FBFA2C}"/>
    <cellStyle name="Calculation 17" xfId="1629" xr:uid="{95F7ADE0-63D7-4F9E-8F4A-6D5DA6CCE4D5}"/>
    <cellStyle name="Calculation 17 2" xfId="16345" xr:uid="{B2E35EB6-5D8E-49A7-85BF-E9E9C745CF7E}"/>
    <cellStyle name="Calculation 18" xfId="1630" xr:uid="{820B64A8-859F-458F-A000-0A588DDE6FC0}"/>
    <cellStyle name="Calculation 18 2" xfId="16346" xr:uid="{90DB3D52-04C1-429F-A26E-51B0C24B70EE}"/>
    <cellStyle name="Calculation 19" xfId="1631" xr:uid="{432DAC83-C499-4C13-8BE9-E92BF661BDE7}"/>
    <cellStyle name="Calculation 19 2" xfId="16347" xr:uid="{1EC48594-1063-45DE-8034-C36E1E399A8B}"/>
    <cellStyle name="Calculation 2" xfId="1632" xr:uid="{42731406-F26B-4C6B-81D2-ADB73542F23D}"/>
    <cellStyle name="Calculation 2 10" xfId="8649" xr:uid="{8BEA641A-2684-4525-A85B-5452D4C83E1D}"/>
    <cellStyle name="Calculation 2 2" xfId="1633" xr:uid="{D0AF07C9-CF8F-42B0-89CE-E22BAF6188CF}"/>
    <cellStyle name="Calculation 2 3" xfId="1634" xr:uid="{3DFF79F7-733D-4BEB-AAB5-37E187312767}"/>
    <cellStyle name="Calculation 2 4" xfId="1635" xr:uid="{EA92041F-351B-40D7-96D3-CD30C946CC99}"/>
    <cellStyle name="Calculation 2 5" xfId="1636" xr:uid="{20A7F472-BC83-4358-9DEB-856A4A3CCDDF}"/>
    <cellStyle name="Calculation 2 6" xfId="1637" xr:uid="{EEBF08B7-74B2-4B92-B520-7467C5512F09}"/>
    <cellStyle name="Calculation 2 7" xfId="1638" xr:uid="{B86F23E4-46B0-41BF-AB42-478E57D6E964}"/>
    <cellStyle name="Calculation 2 8" xfId="1639" xr:uid="{EF8BD4BC-D8A8-4460-86CE-4836C6B24236}"/>
    <cellStyle name="Calculation 2 9" xfId="1640" xr:uid="{88ACFC53-22CD-469D-8CC2-2794D1CB4823}"/>
    <cellStyle name="Calculation 2_ELC" xfId="15180" xr:uid="{FFE77D51-3172-46D1-9E8C-1DDC9174EAF4}"/>
    <cellStyle name="Calculation 20" xfId="1641" xr:uid="{98C5A702-84F6-4633-A5A4-1CEB406D5FB5}"/>
    <cellStyle name="Calculation 20 2" xfId="16348" xr:uid="{84664FBA-12B4-45B9-98FD-61C7259346CE}"/>
    <cellStyle name="Calculation 21" xfId="16349" xr:uid="{98D6B068-F9E9-456B-9DE1-DA14BD8E90D5}"/>
    <cellStyle name="Calculation 22" xfId="15179" xr:uid="{18265815-0E9C-44B3-A49C-D57A5735CE2E}"/>
    <cellStyle name="Calculation 3" xfId="1642" xr:uid="{E481D29C-42EB-4D66-A7D4-4DB1184D4ECF}"/>
    <cellStyle name="Calculation 3 10" xfId="1643" xr:uid="{40FB2500-80EF-4F68-952E-F57A280EA610}"/>
    <cellStyle name="Calculation 3 11" xfId="1644" xr:uid="{3C498D49-D0D2-4787-9051-F734C99C12C2}"/>
    <cellStyle name="Calculation 3 12" xfId="1645" xr:uid="{24E53D8F-5F10-4A09-B071-BCAA57B0B7EC}"/>
    <cellStyle name="Calculation 3 13" xfId="1646" xr:uid="{18621CE0-F073-47C1-9354-AC416E37F7D3}"/>
    <cellStyle name="Calculation 3 14" xfId="1647" xr:uid="{87C33B5B-2BDF-47BF-9A30-CB8943642893}"/>
    <cellStyle name="Calculation 3 15" xfId="16350" xr:uid="{3D77BBB9-46C9-4BAE-A9D7-25F843AB2979}"/>
    <cellStyle name="Calculation 3 2" xfId="1648" xr:uid="{359589D2-639F-4004-920F-2CB2E85BE3EF}"/>
    <cellStyle name="Calculation 3 3" xfId="1649" xr:uid="{3723AE74-312D-4947-A06C-7FCF675BE937}"/>
    <cellStyle name="Calculation 3 4" xfId="1650" xr:uid="{70B0E409-0E63-44DC-96B5-C1698C540EB3}"/>
    <cellStyle name="Calculation 3 5" xfId="1651" xr:uid="{29213357-F92D-4DA1-8DA9-517F8F7CCC11}"/>
    <cellStyle name="Calculation 3 6" xfId="1652" xr:uid="{AF1B50C1-C52D-4F45-A5FA-A8F40DFFCDAE}"/>
    <cellStyle name="Calculation 3 7" xfId="1653" xr:uid="{61D18A75-2FF9-4778-AA76-D65454391B83}"/>
    <cellStyle name="Calculation 3 8" xfId="1654" xr:uid="{405E8954-4AC2-4E23-9D21-C347C2CAC0E9}"/>
    <cellStyle name="Calculation 3 9" xfId="1655" xr:uid="{AF1C9870-20C7-4A54-AE74-EACEF0B5F08B}"/>
    <cellStyle name="Calculation 3_ELC" xfId="11067" xr:uid="{B1105E1A-FEC4-4C15-8AF8-78534697B5C1}"/>
    <cellStyle name="Calculation 4" xfId="1656" xr:uid="{C95C5206-F736-4582-A838-68FC3C4F31BC}"/>
    <cellStyle name="Calculation 4 2" xfId="1657" xr:uid="{35876ED6-8145-405B-9E80-EDEFF231D9E4}"/>
    <cellStyle name="Calculation 5" xfId="1658" xr:uid="{9125AC05-470E-4734-B4FF-BFFBA4E77780}"/>
    <cellStyle name="Calculation 5 2" xfId="1659" xr:uid="{20914739-20BE-4261-ADCE-A4DC35838798}"/>
    <cellStyle name="Calculation 6" xfId="1660" xr:uid="{4ED508FD-095C-4047-AA53-03743185B1A5}"/>
    <cellStyle name="Calculation 6 2" xfId="1661" xr:uid="{264DED21-AB6C-4EFF-AF1B-FFE242CAE4FB}"/>
    <cellStyle name="Calculation 6 3" xfId="1662" xr:uid="{BF1735C1-57AB-4631-B957-307DC43E9244}"/>
    <cellStyle name="Calculation 6_ELC" xfId="15181" xr:uid="{2DCE79D6-3A8F-44A0-B72C-9362D3BF2B1B}"/>
    <cellStyle name="Calculation 7" xfId="1663" xr:uid="{FBF8EF8C-DB08-49C5-BD40-2C42AEE584E4}"/>
    <cellStyle name="Calculation 7 2" xfId="1664" xr:uid="{D33C6B50-F79D-4C43-B76F-4B079DF9E8E4}"/>
    <cellStyle name="Calculation 7 3" xfId="1665" xr:uid="{F1338052-F2F4-4A82-9ED9-5A2924E3C0E6}"/>
    <cellStyle name="Calculation 7_ELC" xfId="15182" xr:uid="{37EF3074-1323-4220-9530-0BD990F3F42B}"/>
    <cellStyle name="Calculation 8" xfId="1666" xr:uid="{037AFC30-E934-4167-8BC7-298D869A5678}"/>
    <cellStyle name="Calculation 8 2" xfId="1667" xr:uid="{A4AEBDBF-7021-4FB0-B610-01415F1CE18E}"/>
    <cellStyle name="Calculation 8 3" xfId="1668" xr:uid="{14C2EFDA-A5E9-43C7-9433-C9CC0C2B07B7}"/>
    <cellStyle name="Calculation 8_ELC" xfId="15183" xr:uid="{D9D2D0BC-9C43-4D13-A13A-C3376DA13EF2}"/>
    <cellStyle name="Calculation 9" xfId="1669" xr:uid="{93D1988A-0244-4233-9E10-B73DE1EA006B}"/>
    <cellStyle name="Calculation 9 2" xfId="1670" xr:uid="{3B8455D5-1A43-4C95-8D6E-D59E76288C61}"/>
    <cellStyle name="Cálculo" xfId="1671" xr:uid="{1588E190-DBFA-4FFA-B298-85D72D075522}"/>
    <cellStyle name="Cálculo 2" xfId="1672" xr:uid="{2A1C44C2-D515-412C-8D85-25DE1B95878E}"/>
    <cellStyle name="Célula Ligada" xfId="1673" xr:uid="{8DC1E4E1-EECD-4A8A-A5C1-5DBD9583CF5E}"/>
    <cellStyle name="Check Cell 10" xfId="1674" xr:uid="{D40005B1-4D6D-47A6-A825-C08E5B5FEE96}"/>
    <cellStyle name="Check Cell 10 2" xfId="1675" xr:uid="{5513527F-683C-4DCB-B864-2F06B5C9D17D}"/>
    <cellStyle name="Check Cell 11" xfId="1676" xr:uid="{2627D96D-1B0C-4CF9-AF2F-F6760512433A}"/>
    <cellStyle name="Check Cell 11 2" xfId="10842" xr:uid="{B933FC8B-72E1-4718-BBA3-360264DFC4B5}"/>
    <cellStyle name="Check Cell 12" xfId="1677" xr:uid="{F19AF7B4-F105-4CF3-964F-B0767A6A2005}"/>
    <cellStyle name="Check Cell 12 2" xfId="10973" xr:uid="{F565E5E6-A730-4C1C-8515-9443C2F6DF02}"/>
    <cellStyle name="Check Cell 13" xfId="1678" xr:uid="{98785342-C6D4-4F8B-8B86-49243AF72AE3}"/>
    <cellStyle name="Check Cell 13 2" xfId="8633" xr:uid="{702F6865-961F-4D4A-9B7D-6D14188DF102}"/>
    <cellStyle name="Check Cell 14" xfId="1679" xr:uid="{1E6E88A0-39F7-41D6-B16B-FB8BAAB97330}"/>
    <cellStyle name="Check Cell 14 2" xfId="8632" xr:uid="{96962F70-57D3-456D-AF59-212B5F51CA8A}"/>
    <cellStyle name="Check Cell 15" xfId="1680" xr:uid="{415A9EAD-8566-49CE-AC1A-09CBBD8FD7C4}"/>
    <cellStyle name="Check Cell 15 2" xfId="16351" xr:uid="{66DD213A-55AA-4B7F-84A6-714BD25BECF8}"/>
    <cellStyle name="Check Cell 16" xfId="1681" xr:uid="{AC0F3C5B-8F18-4978-9EB5-8FF9D5A7DDA8}"/>
    <cellStyle name="Check Cell 16 2" xfId="16352" xr:uid="{649EB800-7AE0-4BD2-81AD-26723F5E1220}"/>
    <cellStyle name="Check Cell 17" xfId="1682" xr:uid="{92149C42-01B2-407C-8E93-CBC73D609613}"/>
    <cellStyle name="Check Cell 17 2" xfId="16353" xr:uid="{71B97180-61DB-4C2C-9865-16A52A9BD92C}"/>
    <cellStyle name="Check Cell 18" xfId="1683" xr:uid="{574E76A4-5D91-45D0-BE59-82BE6A1C49B0}"/>
    <cellStyle name="Check Cell 18 2" xfId="16354" xr:uid="{397E8630-B0B8-40A7-8550-5B5C8305B789}"/>
    <cellStyle name="Check Cell 19" xfId="1684" xr:uid="{7ED0C01C-F0E6-4851-9D09-3646DD9458A1}"/>
    <cellStyle name="Check Cell 19 2" xfId="16355" xr:uid="{153681E6-E370-4C36-B034-9A00C24A3431}"/>
    <cellStyle name="Check Cell 2" xfId="1685" xr:uid="{6D98727A-79D6-482D-AD78-EF2BF5540726}"/>
    <cellStyle name="Check Cell 2 10" xfId="8448" xr:uid="{A61484C9-C391-48E3-B61C-E9F6EFD67E16}"/>
    <cellStyle name="Check Cell 2 2" xfId="1686" xr:uid="{174A5735-7B0C-4065-BE49-891E978F6C3D}"/>
    <cellStyle name="Check Cell 2 3" xfId="1687" xr:uid="{ECCA0F65-1C6A-4A10-BECA-707DAF748C07}"/>
    <cellStyle name="Check Cell 2 4" xfId="1688" xr:uid="{2DFA422F-B471-4EAB-847C-856D62DC7945}"/>
    <cellStyle name="Check Cell 2 5" xfId="1689" xr:uid="{0662ECAB-4E2A-4436-9CEC-BEED8D84DFE0}"/>
    <cellStyle name="Check Cell 2 6" xfId="1690" xr:uid="{58D28BFD-00AE-41E8-A5F2-745B21300C06}"/>
    <cellStyle name="Check Cell 2 7" xfId="1691" xr:uid="{570848F9-E458-49BF-AAC4-C502B38E9E05}"/>
    <cellStyle name="Check Cell 2 8" xfId="1692" xr:uid="{8B618C49-B93D-44C4-B2C0-59AB44376B19}"/>
    <cellStyle name="Check Cell 2 9" xfId="1693" xr:uid="{2A3E3EE8-28AD-410F-91A9-37A59096BC26}"/>
    <cellStyle name="Check Cell 2_ELC" xfId="15185" xr:uid="{02728D2D-635B-473E-9E05-A6A13D7E76A0}"/>
    <cellStyle name="Check Cell 20" xfId="1694" xr:uid="{EBFC0B0D-CEF8-438B-981E-0D293687EC98}"/>
    <cellStyle name="Check Cell 20 2" xfId="16356" xr:uid="{D1106B7E-B206-4FC3-97B2-D6CFCF078C34}"/>
    <cellStyle name="Check Cell 21" xfId="16357" xr:uid="{59B95942-3D58-4D55-A8AD-441655D5F2ED}"/>
    <cellStyle name="Check Cell 22" xfId="15184" xr:uid="{AFB192A6-5235-49CC-88F5-EC77A6E20953}"/>
    <cellStyle name="Check Cell 3" xfId="1695" xr:uid="{A06D06ED-2AF9-4BD6-8297-E0C3CC0694A6}"/>
    <cellStyle name="Check Cell 3 10" xfId="1696" xr:uid="{1F036FEF-25F6-41B1-B77C-F6080E67D858}"/>
    <cellStyle name="Check Cell 3 11" xfId="1697" xr:uid="{C1FEFC39-B4F6-45EB-99EB-2DBA6A022C95}"/>
    <cellStyle name="Check Cell 3 12" xfId="1698" xr:uid="{C6774862-E00A-487F-99FD-DAABBCDC6449}"/>
    <cellStyle name="Check Cell 3 13" xfId="1699" xr:uid="{48DCC01A-E5F6-470A-B383-7042CD39A63A}"/>
    <cellStyle name="Check Cell 3 14" xfId="1700" xr:uid="{DBD9278D-D5AC-4FDF-B0F0-4E1A427DE337}"/>
    <cellStyle name="Check Cell 3 15" xfId="16358" xr:uid="{A683FA04-7BAA-4594-8476-306CBC15BD0B}"/>
    <cellStyle name="Check Cell 3 2" xfId="1701" xr:uid="{3A3A2205-B1CF-40D9-8785-17FFE60E219E}"/>
    <cellStyle name="Check Cell 3 3" xfId="1702" xr:uid="{2B427614-A8C8-4F5B-9FC1-2B733BC08092}"/>
    <cellStyle name="Check Cell 3 4" xfId="1703" xr:uid="{7E40DBD1-0287-4171-AB5A-04436003E652}"/>
    <cellStyle name="Check Cell 3 5" xfId="1704" xr:uid="{A46C55A2-E0EB-4F69-B92F-2D6E516022F6}"/>
    <cellStyle name="Check Cell 3 6" xfId="1705" xr:uid="{D4B96BB1-6765-4807-9AB3-79D1A7640224}"/>
    <cellStyle name="Check Cell 3 7" xfId="1706" xr:uid="{CCA36EBA-570E-4EB0-BEE7-7121ECED6B3D}"/>
    <cellStyle name="Check Cell 3 8" xfId="1707" xr:uid="{937F5137-628E-4373-89F3-8A8582FAB05D}"/>
    <cellStyle name="Check Cell 3 9" xfId="1708" xr:uid="{EC1B391B-7029-4446-BB2A-16373E8ED595}"/>
    <cellStyle name="Check Cell 3_ELC" xfId="11068" xr:uid="{AC798283-ED4E-4CA0-80F6-558A1D972271}"/>
    <cellStyle name="Check Cell 4" xfId="1709" xr:uid="{AEDAD1A2-517A-4A36-B52B-67A70E7F7EA1}"/>
    <cellStyle name="Check Cell 4 2" xfId="1710" xr:uid="{04724B3D-FE6D-44B2-B221-19F03994D759}"/>
    <cellStyle name="Check Cell 5" xfId="1711" xr:uid="{8C610A54-E514-4B22-8A75-799D1B0E70E6}"/>
    <cellStyle name="Check Cell 5 2" xfId="1712" xr:uid="{3766B067-A313-4BD4-9F8D-96F75663BE5B}"/>
    <cellStyle name="Check Cell 6" xfId="1713" xr:uid="{9EBD9B24-CC03-4174-838F-C06B7468A51E}"/>
    <cellStyle name="Check Cell 6 2" xfId="1714" xr:uid="{CC1E04FA-8A5E-49B5-AF79-4F97866C2600}"/>
    <cellStyle name="Check Cell 6 3" xfId="1715" xr:uid="{83FC2B97-49DE-4648-A69B-05CCC1255601}"/>
    <cellStyle name="Check Cell 6_ELC" xfId="15186" xr:uid="{B55D6710-BB86-4CA9-BCDD-EEB3CD3137DC}"/>
    <cellStyle name="Check Cell 7" xfId="1716" xr:uid="{441257E5-A9D7-4896-9020-11E8DC9CBDCB}"/>
    <cellStyle name="Check Cell 7 2" xfId="1717" xr:uid="{DC11D0EE-3960-4B80-AAD7-B52CA2F96727}"/>
    <cellStyle name="Check Cell 7 3" xfId="1718" xr:uid="{44F68117-BA7F-4FF1-8EF2-CAAAF6563ABC}"/>
    <cellStyle name="Check Cell 7_ELC" xfId="15187" xr:uid="{569ABED1-1E34-4422-8338-C45652A84450}"/>
    <cellStyle name="Check Cell 8" xfId="1719" xr:uid="{949575E7-A818-4E52-9C54-A06D69D08662}"/>
    <cellStyle name="Check Cell 8 2" xfId="1720" xr:uid="{69A7C034-CDA0-4D5B-A989-BF3534F6B030}"/>
    <cellStyle name="Check Cell 8 3" xfId="1721" xr:uid="{A03CC39E-8F9B-42AA-9DA4-A529EAF39B7E}"/>
    <cellStyle name="Check Cell 8_ELC" xfId="15188" xr:uid="{3A1B6CDD-B5E4-4DA8-9198-3F96BA9F375F}"/>
    <cellStyle name="Check Cell 9" xfId="1722" xr:uid="{F3CF11BC-68AA-4319-89A7-D9E8ABFFC00C}"/>
    <cellStyle name="Check Cell 9 2" xfId="1723" xr:uid="{C6A6FEBC-C028-4E64-8949-3A87F83A8CF3}"/>
    <cellStyle name="Comma" xfId="8" builtinId="3"/>
    <cellStyle name="Comma 10" xfId="1724" xr:uid="{2CBB0EF5-A2D6-4EAD-B408-568D2302A4E4}"/>
    <cellStyle name="Comma 10 10" xfId="38610" xr:uid="{C0FD8495-C8DF-4B4B-94EA-58AE5279CDF7}"/>
    <cellStyle name="Comma 10 11" xfId="39792" xr:uid="{0A58D031-C750-43CE-AE22-23ECC07B0A15}"/>
    <cellStyle name="Comma 10 12" xfId="40434" xr:uid="{8959ACA4-D2CA-4712-B7BA-4F42430627F5}"/>
    <cellStyle name="Comma 10 13" xfId="41646" xr:uid="{0C2B77DD-90B3-4D7C-9CDD-F662BB50A344}"/>
    <cellStyle name="Comma 10 14" xfId="42287" xr:uid="{968ABB13-26D5-4BB6-8FD2-DC65BA46C453}"/>
    <cellStyle name="Comma 10 15" xfId="43497" xr:uid="{731E53DE-634E-4E50-B5E8-C150522A6DE8}"/>
    <cellStyle name="Comma 10 16" xfId="44360" xr:uid="{BD9431DD-5770-4BDC-B446-99E71722F5FD}"/>
    <cellStyle name="Comma 10 17" xfId="45602" xr:uid="{EDA5A5BE-ED2E-457C-98E2-B85DAD8B6005}"/>
    <cellStyle name="Comma 10 18" xfId="49231" xr:uid="{2ED9A7B6-F46A-4634-AEF4-1D19FCD32177}"/>
    <cellStyle name="Comma 10 19" xfId="51864" xr:uid="{F6E70625-8622-4349-83DC-F81C92ED93BC}"/>
    <cellStyle name="Comma 10 2" xfId="4400" xr:uid="{22B0102D-8D5A-484D-B348-04CE3F6B75C4}"/>
    <cellStyle name="Comma 10 2 10" xfId="40435" xr:uid="{91865546-7A41-4654-BEFC-F39C46334A66}"/>
    <cellStyle name="Comma 10 2 11" xfId="41647" xr:uid="{E9729BDC-6042-42BF-B1E3-8C055791C1D7}"/>
    <cellStyle name="Comma 10 2 12" xfId="42325" xr:uid="{F0EC2AC5-2E08-4274-ABED-309E4BFC2B26}"/>
    <cellStyle name="Comma 10 2 13" xfId="44201" xr:uid="{ADAA5690-C21F-47EF-ABB2-3BF4D3FD75F4}"/>
    <cellStyle name="Comma 10 2 14" xfId="44501" xr:uid="{36614E23-02F0-4EA0-9074-4FD5CFC82040}"/>
    <cellStyle name="Comma 10 2 15" xfId="45676" xr:uid="{CAF57149-10DD-4A8F-A929-5B7F65367F43}"/>
    <cellStyle name="Comma 10 2 16" xfId="49304" xr:uid="{D0EDC619-6FA6-4BAF-A212-BBB86A8AE5E4}"/>
    <cellStyle name="Comma 10 2 17" xfId="51865" xr:uid="{1838797C-B707-4427-B71C-033FC532B57A}"/>
    <cellStyle name="Comma 10 2 18" xfId="15291" xr:uid="{0009DA69-4E22-4E42-93DD-F4849FCD8610}"/>
    <cellStyle name="Comma 10 2 19" xfId="14194" xr:uid="{B0CA91D4-FAB5-4F33-94F1-4CEDE347FE8A}"/>
    <cellStyle name="Comma 10 2 2" xfId="5657" xr:uid="{7D76BCF4-FCA9-4DEA-8C5F-7E3F5D4F810B}"/>
    <cellStyle name="Comma 10 2 2 10" xfId="41648" xr:uid="{738D8990-F704-415B-A26A-FC6FB93C8138}"/>
    <cellStyle name="Comma 10 2 2 11" xfId="42477" xr:uid="{7067FA7F-DC3B-49CB-B023-C5F482A8F2FC}"/>
    <cellStyle name="Comma 10 2 2 12" xfId="44666" xr:uid="{542C08AC-4E45-4E9E-94D4-AC77B35B34EE}"/>
    <cellStyle name="Comma 10 2 2 13" xfId="46669" xr:uid="{4CD75904-23D8-4C1F-8A0C-AD637E1D6121}"/>
    <cellStyle name="Comma 10 2 2 14" xfId="49701" xr:uid="{79A19D49-50CF-40AF-B703-7C4480734BD2}"/>
    <cellStyle name="Comma 10 2 2 15" xfId="51866" xr:uid="{3F52948B-D9DC-4369-BD4C-C6927001E4A0}"/>
    <cellStyle name="Comma 10 2 2 16" xfId="16740" xr:uid="{61936538-0CA5-4058-B8B0-D93A283C1FF6}"/>
    <cellStyle name="Comma 10 2 2 17" xfId="14686" xr:uid="{ACB3DE67-0F8A-42A5-96A5-1D65A4758304}"/>
    <cellStyle name="Comma 10 2 2 2" xfId="10251" xr:uid="{82E7F2C9-ADEF-4FCC-87E6-94F5DC098EA2}"/>
    <cellStyle name="Comma 10 2 2 2 10" xfId="42538" xr:uid="{6A1435FF-7679-43B6-AB36-F103714D14BB}"/>
    <cellStyle name="Comma 10 2 2 2 11" xfId="44705" xr:uid="{10B39FFA-9ED8-4D73-B4B7-CCAB15F7B7B2}"/>
    <cellStyle name="Comma 10 2 2 2 12" xfId="48211" xr:uid="{96C463BD-2B92-4584-B01B-3761DD79B959}"/>
    <cellStyle name="Comma 10 2 2 2 13" xfId="51029" xr:uid="{02DAA5E8-4033-4DA7-8744-F9A3C81BA9ED}"/>
    <cellStyle name="Comma 10 2 2 2 14" xfId="51867" xr:uid="{F09340C9-B1FF-44AA-83D0-3E6D10A2EF6C}"/>
    <cellStyle name="Comma 10 2 2 2 15" xfId="16891" xr:uid="{50D36501-F653-4D31-BFFB-94F5468EE3A5}"/>
    <cellStyle name="Comma 10 2 2 2 2" xfId="13557" xr:uid="{BEB5409E-36C2-454E-94C8-6EFCE1ECAB66}"/>
    <cellStyle name="Comma 10 2 2 2 2 2" xfId="39452" xr:uid="{7C55A8D4-AEA1-4698-9559-F1555C40C27F}"/>
    <cellStyle name="Comma 10 2 2 2 2 3" xfId="41306" xr:uid="{4CF87654-1689-415D-B543-66B35539BDFB}"/>
    <cellStyle name="Comma 10 2 2 2 2 4" xfId="43129" xr:uid="{E4BD4E86-5125-4E8A-8E91-AF172AE1B388}"/>
    <cellStyle name="Comma 10 2 2 2 2 5" xfId="45226" xr:uid="{4614CD83-8B36-41AB-AC4B-4224C6379E0E}"/>
    <cellStyle name="Comma 10 2 2 2 2 6" xfId="20886" xr:uid="{977595FC-8BC7-4CB7-AAD8-E39D3E55F05E}"/>
    <cellStyle name="Comma 10 2 2 2 3" xfId="20105" xr:uid="{64865478-5D7A-42B8-9159-4441A56B7864}"/>
    <cellStyle name="Comma 10 2 2 2 4" xfId="23475" xr:uid="{77CCA5DB-9415-4041-9BA2-A5998D2BC245}"/>
    <cellStyle name="Comma 10 2 2 2 5" xfId="37972" xr:uid="{ED52189F-5D2E-4CA8-9270-9B1D59F819BB}"/>
    <cellStyle name="Comma 10 2 2 2 6" xfId="38861" xr:uid="{77532B92-3F47-44E6-8A46-1FEBE69163E9}"/>
    <cellStyle name="Comma 10 2 2 2 7" xfId="39795" xr:uid="{A0773D18-CE07-472B-85C1-6B4213AAF35E}"/>
    <cellStyle name="Comma 10 2 2 2 8" xfId="40437" xr:uid="{B96FECF2-BAF8-4F67-B276-2FF4AC7FFDED}"/>
    <cellStyle name="Comma 10 2 2 2 9" xfId="41649" xr:uid="{1EA78C1E-08F0-4197-A39A-5E9679970A28}"/>
    <cellStyle name="Comma 10 2 2 3" xfId="7759" xr:uid="{A923C67A-6CA9-4A75-AC87-32D73C7F95F7}"/>
    <cellStyle name="Comma 10 2 2 3 2" xfId="39391" xr:uid="{A9BED6EE-E5C4-4142-A5A8-C232C51D238A}"/>
    <cellStyle name="Comma 10 2 2 3 3" xfId="41247" xr:uid="{AD85EA89-E05B-4005-881B-A85E10782C5F}"/>
    <cellStyle name="Comma 10 2 2 3 4" xfId="43068" xr:uid="{C2EE1BFF-B87F-41C7-BEE8-2ECDC0D870B7}"/>
    <cellStyle name="Comma 10 2 2 3 5" xfId="45167" xr:uid="{A3554CAA-E9DF-4A1F-8C08-C14D299C160C}"/>
    <cellStyle name="Comma 10 2 2 3 6" xfId="20766" xr:uid="{2000695C-F459-49D6-A4D6-7B998BEBB2B4}"/>
    <cellStyle name="Comma 10 2 2 4" xfId="12272" xr:uid="{1886D95A-437D-4241-900D-104673357BF7}"/>
    <cellStyle name="Comma 10 2 2 4 2" xfId="20044" xr:uid="{342E7833-8D89-4385-8E06-4DFBF6A3328D}"/>
    <cellStyle name="Comma 10 2 2 5" xfId="23474" xr:uid="{78724956-D578-448C-9399-220D3F467E8E}"/>
    <cellStyle name="Comma 10 2 2 6" xfId="37971" xr:uid="{D9153AA2-5179-4726-8EA3-6C37A1EB3497}"/>
    <cellStyle name="Comma 10 2 2 7" xfId="38800" xr:uid="{D4D2DA78-CD2A-4856-8811-0DB68791A511}"/>
    <cellStyle name="Comma 10 2 2 8" xfId="39794" xr:uid="{2DB6AD21-89D3-4E91-88C0-26E7A6C471F6}"/>
    <cellStyle name="Comma 10 2 2 9" xfId="40436" xr:uid="{5CDA0D52-0DEF-4D00-A50C-7F2CDEB16264}"/>
    <cellStyle name="Comma 10 2 3" xfId="11106" xr:uid="{58D4DD2A-0DCA-4894-B22C-D9479600F1DE}"/>
    <cellStyle name="Comma 10 2 3 10" xfId="42537" xr:uid="{43CDBB8A-7C4D-4BF4-94BD-CA9D95A97842}"/>
    <cellStyle name="Comma 10 2 3 11" xfId="44704" xr:uid="{B055FBF0-53D6-4DCD-A35D-CA02AA99C105}"/>
    <cellStyle name="Comma 10 2 3 12" xfId="46889" xr:uid="{78A60446-068F-41C6-9B6D-7D41671DFD7A}"/>
    <cellStyle name="Comma 10 2 3 13" xfId="49908" xr:uid="{0ECDE956-79F6-4943-8892-FCD858E45DB8}"/>
    <cellStyle name="Comma 10 2 3 14" xfId="51868" xr:uid="{DFE4C876-6805-4AE9-8C73-2372615F42A9}"/>
    <cellStyle name="Comma 10 2 3 15" xfId="16890" xr:uid="{540BC6A7-BFEF-4ED7-92BD-E4AEB1429FED}"/>
    <cellStyle name="Comma 10 2 3 16" xfId="15001" xr:uid="{6B5C1D4C-9E6B-4789-B5CF-1189716AA78E}"/>
    <cellStyle name="Comma 10 2 3 2" xfId="13703" xr:uid="{93989FA9-D0D6-4D3F-83BE-02674F0246F1}"/>
    <cellStyle name="Comma 10 2 3 2 2" xfId="39451" xr:uid="{6DC3D69E-0C55-4885-8CC3-72D9EC58A791}"/>
    <cellStyle name="Comma 10 2 3 2 3" xfId="41305" xr:uid="{5C0C6542-450F-4060-8347-DAB2DC9736AA}"/>
    <cellStyle name="Comma 10 2 3 2 4" xfId="43128" xr:uid="{4B1E6B09-0037-46B0-B825-7DBEF7C85EBC}"/>
    <cellStyle name="Comma 10 2 3 2 5" xfId="45225" xr:uid="{101148F5-5361-4402-9EBD-FDBC2292F9FB}"/>
    <cellStyle name="Comma 10 2 3 2 6" xfId="48450" xr:uid="{9B75FA00-F256-468B-ABFA-154E5CBDDBED}"/>
    <cellStyle name="Comma 10 2 3 2 7" xfId="51236" xr:uid="{5CF3FE87-6EBB-4B84-8112-35CEAC71B1A6}"/>
    <cellStyle name="Comma 10 2 3 2 8" xfId="51869" xr:uid="{D0F6C293-08FE-40C9-B0F6-1B181116AB94}"/>
    <cellStyle name="Comma 10 2 3 2 9" xfId="20885" xr:uid="{90033D64-866C-427C-BD12-E8D2A5F72932}"/>
    <cellStyle name="Comma 10 2 3 3" xfId="20104" xr:uid="{05313CBF-DD9C-4713-AC06-52E31C03B474}"/>
    <cellStyle name="Comma 10 2 3 4" xfId="23476" xr:uid="{3C2E4A9E-9F8E-410E-8926-6E73BC1E11E5}"/>
    <cellStyle name="Comma 10 2 3 5" xfId="37973" xr:uid="{01425B19-5C9B-4A54-9C09-DACA83C013B6}"/>
    <cellStyle name="Comma 10 2 3 6" xfId="38860" xr:uid="{6FF4C5E3-ACB5-4132-96CB-953D92830FC5}"/>
    <cellStyle name="Comma 10 2 3 7" xfId="39796" xr:uid="{68249D5F-BA59-432D-8B63-2CBD2506464B}"/>
    <cellStyle name="Comma 10 2 3 8" xfId="40438" xr:uid="{429035E9-9792-4540-806A-2553D4E6E37A}"/>
    <cellStyle name="Comma 10 2 3 9" xfId="41650" xr:uid="{495B3230-71AF-415F-BB55-E05C7035C219}"/>
    <cellStyle name="Comma 10 2 4" xfId="9757" xr:uid="{F29C0F5C-ECBD-4B1E-8F14-7233BBD97067}"/>
    <cellStyle name="Comma 10 2 4 2" xfId="13063" xr:uid="{5509D0C3-64A3-4488-A81C-01D68BD85F3B}"/>
    <cellStyle name="Comma 10 2 4 2 2" xfId="49067" xr:uid="{D51A9115-D97D-47B2-8BFC-E7A5C83A42CA}"/>
    <cellStyle name="Comma 10 2 4 2 3" xfId="51747" xr:uid="{84B77228-7E2A-4EF0-9669-43D61A271FF0}"/>
    <cellStyle name="Comma 10 2 4 2 4" xfId="51870" xr:uid="{19354B3D-AB72-49F9-8C54-DCC35EB75406}"/>
    <cellStyle name="Comma 10 2 4 2 5" xfId="39239" xr:uid="{C8D2ED0C-E4B8-43E8-A8D4-FF386E5A0610}"/>
    <cellStyle name="Comma 10 2 4 3" xfId="41108" xr:uid="{6DDEF05B-B3B7-486D-B6B6-03E9160C2467}"/>
    <cellStyle name="Comma 10 2 4 4" xfId="42916" xr:uid="{0BBF1DC6-3D1C-49F2-958A-8BF1B1777B79}"/>
    <cellStyle name="Comma 10 2 4 5" xfId="45023" xr:uid="{48A39AF4-4754-4A8D-AFBB-AE179D82CACB}"/>
    <cellStyle name="Comma 10 2 4 6" xfId="47484" xr:uid="{3D130EDD-1A4C-4A49-B3AC-8C3E3E38157E}"/>
    <cellStyle name="Comma 10 2 4 7" xfId="50419" xr:uid="{3AB98D5A-22AA-4781-A9D2-08CF12856971}"/>
    <cellStyle name="Comma 10 2 4 8" xfId="51871" xr:uid="{97D15B02-0017-465D-BDE7-EBEF3D44511A}"/>
    <cellStyle name="Comma 10 2 4 9" xfId="20484" xr:uid="{6AE29A6D-4E3F-483B-B7EE-C7E9320CB6F3}"/>
    <cellStyle name="Comma 10 2 5" xfId="7255" xr:uid="{ACB04061-DC67-4CC1-B45F-7A668C595EC3}"/>
    <cellStyle name="Comma 10 2 5 2" xfId="47733" xr:uid="{7077BC91-8F97-48B3-8407-073607CE828F}"/>
    <cellStyle name="Comma 10 2 5 3" xfId="50632" xr:uid="{53CB4DE9-4A93-48C9-A951-5C9A9C69D1CD}"/>
    <cellStyle name="Comma 10 2 5 4" xfId="51872" xr:uid="{B60C7740-F3F1-4BCC-9C6D-846838AD5F0F}"/>
    <cellStyle name="Comma 10 2 5 5" xfId="19891" xr:uid="{D45A8E15-58A8-4780-9628-568C8901EAB2}"/>
    <cellStyle name="Comma 10 2 6" xfId="11778" xr:uid="{58A4F093-FAD4-4F04-A5E3-59C09C683CA5}"/>
    <cellStyle name="Comma 10 2 6 2" xfId="23473" xr:uid="{9F7C7FD8-A5F1-42F2-96DA-803BB1B80BCC}"/>
    <cellStyle name="Comma 10 2 7" xfId="37970" xr:uid="{6D4C5165-F2B1-456B-B46C-25314A7030B1}"/>
    <cellStyle name="Comma 10 2 8" xfId="38648" xr:uid="{11B3DCD2-2B07-41BB-9EC2-E54ADD273CCE}"/>
    <cellStyle name="Comma 10 2 9" xfId="39793" xr:uid="{29A144B8-9062-4A50-88C7-68EC64C18F76}"/>
    <cellStyle name="Comma 10 20" xfId="15189" xr:uid="{24E4F504-1EEE-47DA-B992-2432285119AD}"/>
    <cellStyle name="Comma 10 21" xfId="13880" xr:uid="{A49089D3-737B-40D7-9581-B28543594C3B}"/>
    <cellStyle name="Comma 10 3" xfId="5481" xr:uid="{A067550E-2524-4A80-B69F-7C23F3ACC9E6}"/>
    <cellStyle name="Comma 10 3 10" xfId="41651" xr:uid="{4A691B8F-3F08-4AE9-8268-E9B26D1ED964}"/>
    <cellStyle name="Comma 10 3 11" xfId="42438" xr:uid="{CDEBE12F-3436-4DF4-8BDF-2793792FD092}"/>
    <cellStyle name="Comma 10 3 12" xfId="43770" xr:uid="{8CE92A22-2D51-4021-80F1-70EDC062EEA4}"/>
    <cellStyle name="Comma 10 3 13" xfId="44642" xr:uid="{FB2A6E6B-351D-4123-B098-14E46CE60DD5}"/>
    <cellStyle name="Comma 10 3 14" xfId="46528" xr:uid="{A08AD833-4D47-45FD-8F10-1B95FBB8BDB2}"/>
    <cellStyle name="Comma 10 3 15" xfId="49561" xr:uid="{8E47E898-86F8-4B21-9657-CB48CE903C1F}"/>
    <cellStyle name="Comma 10 3 16" xfId="51873" xr:uid="{A796E1D8-BC23-452D-9A02-52017EFC174E}"/>
    <cellStyle name="Comma 10 3 17" xfId="16632" xr:uid="{939A4C3C-93D0-40BB-B9B7-E7EC10632564}"/>
    <cellStyle name="Comma 10 3 18" xfId="14018" xr:uid="{8927E955-AF4D-4B8E-9F27-1C3ACCF1F74F}"/>
    <cellStyle name="Comma 10 3 2" xfId="7583" xr:uid="{66EA4572-BC29-40E4-AB58-037BC546ADE7}"/>
    <cellStyle name="Comma 10 3 2 10" xfId="42539" xr:uid="{7BB2FF30-4CBF-44F0-804F-713C7F501E32}"/>
    <cellStyle name="Comma 10 3 2 11" xfId="44706" xr:uid="{377EF393-2C96-4340-A646-F215D49174FD}"/>
    <cellStyle name="Comma 10 3 2 12" xfId="47022" xr:uid="{FA0B82DC-D9DF-4126-9EE3-16A5C2959389}"/>
    <cellStyle name="Comma 10 3 2 13" xfId="50023" xr:uid="{284A8267-164F-40AC-A782-9FE120B1AA2E}"/>
    <cellStyle name="Comma 10 3 2 14" xfId="51874" xr:uid="{C0BE3C84-CA9A-4FA9-8BF7-E4951968E257}"/>
    <cellStyle name="Comma 10 3 2 15" xfId="16892" xr:uid="{A8DBF402-9252-4247-8AC2-4B09853C892F}"/>
    <cellStyle name="Comma 10 3 2 16" xfId="14510" xr:uid="{0F6F2619-10CE-4247-A289-5ED782482941}"/>
    <cellStyle name="Comma 10 3 2 2" xfId="10075" xr:uid="{68262305-02FA-47C9-9E60-5E8C117B5421}"/>
    <cellStyle name="Comma 10 3 2 2 2" xfId="13381" xr:uid="{2B219040-2801-437E-B314-C6D275BE42DC}"/>
    <cellStyle name="Comma 10 3 2 2 2 2" xfId="39453" xr:uid="{3BE70F1C-4DE0-412F-94B0-E4A57EAFFB10}"/>
    <cellStyle name="Comma 10 3 2 2 3" xfId="41307" xr:uid="{FB3FCB1B-D3FB-43F8-8CFE-01E592BAABA9}"/>
    <cellStyle name="Comma 10 3 2 2 4" xfId="43130" xr:uid="{0EC0044F-4816-431F-84D7-ECB0E69D1B46}"/>
    <cellStyle name="Comma 10 3 2 2 5" xfId="45227" xr:uid="{E627D20B-9F68-4BBE-BABF-1BEBB2C53BCF}"/>
    <cellStyle name="Comma 10 3 2 2 6" xfId="48588" xr:uid="{1C658750-9E8E-40E4-BCF8-505487933A29}"/>
    <cellStyle name="Comma 10 3 2 2 7" xfId="51351" xr:uid="{3901AC8B-6666-4208-8F75-015238F0D4A8}"/>
    <cellStyle name="Comma 10 3 2 2 8" xfId="51875" xr:uid="{03FD108B-08CE-4581-92D0-551849DA117B}"/>
    <cellStyle name="Comma 10 3 2 2 9" xfId="20887" xr:uid="{7688DCBF-571B-4C69-BDEC-B37818A8B0A5}"/>
    <cellStyle name="Comma 10 3 2 3" xfId="12096" xr:uid="{0002FB2B-82BE-4AF1-9C2D-9B44CE5FDAAC}"/>
    <cellStyle name="Comma 10 3 2 3 2" xfId="20106" xr:uid="{CF0FF77E-8284-4AD1-9158-A2CECD01269C}"/>
    <cellStyle name="Comma 10 3 2 4" xfId="23478" xr:uid="{A29EE36B-E231-47B6-B2D9-5BD13636F081}"/>
    <cellStyle name="Comma 10 3 2 5" xfId="37975" xr:uid="{ACC3DC1E-76B7-40CC-BD2A-FD514A449B54}"/>
    <cellStyle name="Comma 10 3 2 6" xfId="38862" xr:uid="{23FE8D72-C7E5-40E2-B7D3-CDA0E71518A3}"/>
    <cellStyle name="Comma 10 3 2 7" xfId="39798" xr:uid="{BD44E46E-ADC1-4519-9FAF-FB6C4191341D}"/>
    <cellStyle name="Comma 10 3 2 8" xfId="40440" xr:uid="{A8BB0803-9959-47CD-B32B-B00E3470D2A1}"/>
    <cellStyle name="Comma 10 3 2 9" xfId="41652" xr:uid="{7CB09F5E-1663-4AFF-976F-00AC253984E4}"/>
    <cellStyle name="Comma 10 3 3" xfId="9581" xr:uid="{98066EB8-67F9-4FB3-B210-E3B69EA68F4B}"/>
    <cellStyle name="Comma 10 3 3 2" xfId="12887" xr:uid="{B44CA928-8220-41B9-BACA-9DA7918CCD35}"/>
    <cellStyle name="Comma 10 3 3 2 2" xfId="48895" xr:uid="{D5A6BAB1-0A10-42E8-9774-A861F59BF939}"/>
    <cellStyle name="Comma 10 3 3 2 3" xfId="51607" xr:uid="{951E987F-A35A-4115-98D5-165D1B03BB8F}"/>
    <cellStyle name="Comma 10 3 3 2 4" xfId="51876" xr:uid="{CD885F39-ED5A-4BA8-9E5D-2FADB33E4FCB}"/>
    <cellStyle name="Comma 10 3 3 2 5" xfId="39352" xr:uid="{2C5116E8-51E5-4732-BFBA-D44BCAAC7799}"/>
    <cellStyle name="Comma 10 3 3 3" xfId="41210" xr:uid="{51301D71-DCAD-4F90-B674-519E096B02CA}"/>
    <cellStyle name="Comma 10 3 3 4" xfId="43029" xr:uid="{259C731F-058B-4726-B5D7-3A907EB57CCD}"/>
    <cellStyle name="Comma 10 3 3 5" xfId="45130" xr:uid="{0D0B5AF3-6CFA-494A-8ECA-01A3E9E97564}"/>
    <cellStyle name="Comma 10 3 3 6" xfId="47319" xr:uid="{55776FDD-7549-4D80-AB06-10DACD543DC3}"/>
    <cellStyle name="Comma 10 3 3 7" xfId="50279" xr:uid="{FF4C9F0A-0231-47B0-8128-3E8B1E8A4148}"/>
    <cellStyle name="Comma 10 3 3 8" xfId="51877" xr:uid="{8E56C419-2C5B-48AC-B89A-BD5B1BB75B81}"/>
    <cellStyle name="Comma 10 3 3 9" xfId="20726" xr:uid="{4FD7EC1A-C2C0-4637-AB75-06537F8674E7}"/>
    <cellStyle name="Comma 10 3 4" xfId="7077" xr:uid="{AA45DB31-3F60-46D5-8AEA-B5897E68873F}"/>
    <cellStyle name="Comma 10 3 4 2" xfId="48040" xr:uid="{5E20F559-6BF2-42AC-A2C4-306839FDE330}"/>
    <cellStyle name="Comma 10 3 4 3" xfId="50889" xr:uid="{566805A3-18A5-47C8-9562-21E5E655C14D}"/>
    <cellStyle name="Comma 10 3 4 4" xfId="51878" xr:uid="{70F3F4D5-77B1-45D7-9502-A3DA54E84E4B}"/>
    <cellStyle name="Comma 10 3 4 5" xfId="20005" xr:uid="{93FF2EAB-002A-48EB-A23F-14B4879A8C8A}"/>
    <cellStyle name="Comma 10 3 5" xfId="11602" xr:uid="{7C6B58BB-99C0-42F2-844F-360D6F13A19E}"/>
    <cellStyle name="Comma 10 3 5 2" xfId="23477" xr:uid="{23DB4AE4-C078-4ECE-8520-C574299369DB}"/>
    <cellStyle name="Comma 10 3 6" xfId="37974" xr:uid="{DB9D8DD9-F464-469F-B29C-0447DD1AD149}"/>
    <cellStyle name="Comma 10 3 7" xfId="38761" xr:uid="{55718A34-09CE-4701-AE83-D7971BAE0DFD}"/>
    <cellStyle name="Comma 10 3 8" xfId="39797" xr:uid="{D3166380-DD06-4F26-9D8A-0CD046D33B69}"/>
    <cellStyle name="Comma 10 3 9" xfId="40439" xr:uid="{9477ECFB-543D-413D-8D4A-D0244B017E38}"/>
    <cellStyle name="Comma 10 4" xfId="6471" xr:uid="{51727026-F87A-41EE-9967-0C60E0D3F290}"/>
    <cellStyle name="Comma 10 4 10" xfId="42536" xr:uid="{C307816C-B807-446F-A722-F3FC86AB9309}"/>
    <cellStyle name="Comma 10 4 11" xfId="44703" xr:uid="{D6AB9452-F7AE-4457-A079-829841F31BEF}"/>
    <cellStyle name="Comma 10 4 12" xfId="46110" xr:uid="{21A4C8B4-5A7F-484A-ABD9-B8CA28BB8555}"/>
    <cellStyle name="Comma 10 4 13" xfId="49446" xr:uid="{0E77C8A3-803F-4316-8E1F-5FC8ACF16BEA}"/>
    <cellStyle name="Comma 10 4 14" xfId="51879" xr:uid="{3AF559BB-6308-45DE-810C-35E36B303C09}"/>
    <cellStyle name="Comma 10 4 15" xfId="16889" xr:uid="{75E43B16-B64A-427B-832C-4B85861486B5}"/>
    <cellStyle name="Comma 10 4 16" xfId="14372" xr:uid="{BBCBEC1C-1908-4980-8C29-714E1C6EE866}"/>
    <cellStyle name="Comma 10 4 2" xfId="9443" xr:uid="{BB15D26C-E3B8-4A2B-9359-12075AA382FC}"/>
    <cellStyle name="Comma 10 4 2 2" xfId="12749" xr:uid="{585D0765-56B0-43C9-838B-531FF635E392}"/>
    <cellStyle name="Comma 10 4 2 2 2" xfId="39450" xr:uid="{2D96C5F4-9D12-431A-AFFE-008B82CA8ED9}"/>
    <cellStyle name="Comma 10 4 2 3" xfId="41304" xr:uid="{4C11ED7D-8C1B-48B3-B72F-E812C3BE4FF2}"/>
    <cellStyle name="Comma 10 4 2 4" xfId="43127" xr:uid="{E665CC4E-6548-450E-B372-B31E23242041}"/>
    <cellStyle name="Comma 10 4 2 5" xfId="45224" xr:uid="{845BFE61-B5DB-4D1D-B760-03E0388C0B31}"/>
    <cellStyle name="Comma 10 4 2 6" xfId="47905" xr:uid="{E26100D7-4E5B-4D79-9006-258CC34EE135}"/>
    <cellStyle name="Comma 10 4 2 7" xfId="50774" xr:uid="{E6A68301-EE8C-448F-8715-321BFCEAB884}"/>
    <cellStyle name="Comma 10 4 2 8" xfId="51880" xr:uid="{7FDDDEFD-9842-42E8-9B53-98A6482630E7}"/>
    <cellStyle name="Comma 10 4 2 9" xfId="20884" xr:uid="{05265850-7F6C-4EF8-B8EF-F930A87081BB}"/>
    <cellStyle name="Comma 10 4 3" xfId="11464" xr:uid="{EADFDCAB-3D2F-46B4-ACF4-030C7F00EFE0}"/>
    <cellStyle name="Comma 10 4 3 2" xfId="20103" xr:uid="{C2F3A8DB-620F-49F5-8447-4E9CC9F88398}"/>
    <cellStyle name="Comma 10 4 4" xfId="23479" xr:uid="{72C9CDC9-A734-400B-B017-2FA3F1847B2A}"/>
    <cellStyle name="Comma 10 4 5" xfId="37976" xr:uid="{458EA0CD-69EC-4846-AE4A-70B1FCFDCDC5}"/>
    <cellStyle name="Comma 10 4 6" xfId="38859" xr:uid="{15386D89-6E02-46E3-9AC8-9E2EE7D1886C}"/>
    <cellStyle name="Comma 10 4 7" xfId="39799" xr:uid="{D6352F05-5242-4D9C-AB5E-5F9EF6F56FCC}"/>
    <cellStyle name="Comma 10 4 8" xfId="40441" xr:uid="{FB3A4F5B-850C-49F9-AA47-DE9CB6DEB28C}"/>
    <cellStyle name="Comma 10 4 9" xfId="41653" xr:uid="{555CC4AF-29B8-4AEE-B593-B7C578C2F7F3}"/>
    <cellStyle name="Comma 10 5" xfId="7445" xr:uid="{A3063C60-93BB-4105-A3D4-039E6F0F0685}"/>
    <cellStyle name="Comma 10 5 10" xfId="42802" xr:uid="{69DA22FD-2CED-41E1-B88C-8B829FB25B08}"/>
    <cellStyle name="Comma 10 5 11" xfId="44929" xr:uid="{A642AB10-E972-44D8-A4E7-6626FE110B5F}"/>
    <cellStyle name="Comma 10 5 12" xfId="46793" xr:uid="{90A5DBFE-5EF7-4205-BA30-80182B07ACE5}"/>
    <cellStyle name="Comma 10 5 13" xfId="49817" xr:uid="{F6D320FA-AE38-4247-9E86-E2969D4B7507}"/>
    <cellStyle name="Comma 10 5 14" xfId="51881" xr:uid="{5B65CD4D-1FD2-42AA-8152-4F496B499899}"/>
    <cellStyle name="Comma 10 5 15" xfId="19708" xr:uid="{C8FD0D13-26FF-4AB5-8528-6FC88DF4D54A}"/>
    <cellStyle name="Comma 10 5 16" xfId="14825" xr:uid="{6E181575-9C18-4082-8E24-DF3EDE4F51ED}"/>
    <cellStyle name="Comma 10 5 2" xfId="9937" xr:uid="{D907E8EC-58AB-40C1-B9F4-CC4A153A27D1}"/>
    <cellStyle name="Comma 10 5 2 2" xfId="13243" xr:uid="{D1D22C88-23EA-4CD7-AB3E-9A48B557BC9D}"/>
    <cellStyle name="Comma 10 5 2 2 2" xfId="39716" xr:uid="{8D7C8A74-7682-482A-B919-FA22CD5F6BC0}"/>
    <cellStyle name="Comma 10 5 2 3" xfId="41569" xr:uid="{AE349F7A-726A-4969-8339-6AF12272AF97}"/>
    <cellStyle name="Comma 10 5 2 4" xfId="43393" xr:uid="{ACEAE5EE-3783-4F64-881D-984A14D0CFD2}"/>
    <cellStyle name="Comma 10 5 2 5" xfId="45472" xr:uid="{5DC47D86-D61F-4C2D-BCDD-FC6469A4FC86}"/>
    <cellStyle name="Comma 10 5 2 6" xfId="48344" xr:uid="{D478CD99-5772-45EE-8ADE-61E62FBF10AE}"/>
    <cellStyle name="Comma 10 5 2 7" xfId="51145" xr:uid="{D3084F73-9DC6-46DB-9651-990588D40111}"/>
    <cellStyle name="Comma 10 5 2 8" xfId="51882" xr:uid="{52AC4E62-EC76-4D5C-BC28-5D544B6BA515}"/>
    <cellStyle name="Comma 10 5 2 9" xfId="23325" xr:uid="{6D61A0B8-C045-4BFF-AB39-849EC8ABD3ED}"/>
    <cellStyle name="Comma 10 5 3" xfId="11958" xr:uid="{D69176F0-6B90-4612-9BF4-BD25718FB5D9}"/>
    <cellStyle name="Comma 10 5 3 2" xfId="20369" xr:uid="{8E55F9F4-CEDB-4F1E-88A1-8F17ADEF9DC1}"/>
    <cellStyle name="Comma 10 5 4" xfId="23480" xr:uid="{EA91B4D2-80F1-462E-9538-A804777A1161}"/>
    <cellStyle name="Comma 10 5 5" xfId="37977" xr:uid="{81408903-8A9B-4885-AA08-B11F7F7155D3}"/>
    <cellStyle name="Comma 10 5 6" xfId="39125" xr:uid="{D893D50E-49BB-483B-9C69-DC8927034DEE}"/>
    <cellStyle name="Comma 10 5 7" xfId="39800" xr:uid="{E2BACE45-612D-4AB7-B8AF-034310A8A531}"/>
    <cellStyle name="Comma 10 5 8" xfId="40442" xr:uid="{92B07F3A-85ED-42FE-8C4F-57B67D594C51}"/>
    <cellStyle name="Comma 10 5 9" xfId="41654" xr:uid="{6012065F-2D19-44C0-B0EF-D79A7FFE2748}"/>
    <cellStyle name="Comma 10 6" xfId="8111" xr:uid="{1E4B6E22-3AA8-4AD4-A3FB-7695A3FCC743}"/>
    <cellStyle name="Comma 10 6 2" xfId="12567" xr:uid="{1A58A008-B493-4519-A26C-87A4CDAC9E6C}"/>
    <cellStyle name="Comma 10 6 2 2" xfId="48757" xr:uid="{987F36A5-78F3-4E73-83A6-8100FD9BBB6B}"/>
    <cellStyle name="Comma 10 6 2 3" xfId="51492" xr:uid="{6B73E5B4-F374-427A-927B-46BF97277D57}"/>
    <cellStyle name="Comma 10 6 2 4" xfId="51883" xr:uid="{318CD927-C151-4B19-BF0D-761B33B08F76}"/>
    <cellStyle name="Comma 10 6 2 5" xfId="39201" xr:uid="{34D494C0-FAE5-44C4-8532-80E49DE0B455}"/>
    <cellStyle name="Comma 10 6 3" xfId="41076" xr:uid="{6C9E3B1F-72C2-4E69-920F-1BF5D0E66C62}"/>
    <cellStyle name="Comma 10 6 4" xfId="42878" xr:uid="{320F8822-8505-4990-8D4A-0B61D7E94E62}"/>
    <cellStyle name="Comma 10 6 5" xfId="44985" xr:uid="{B8CF2130-007B-4DC3-93DF-3C88F87822BD}"/>
    <cellStyle name="Comma 10 6 6" xfId="47186" xr:uid="{AC8D867E-80E7-46A7-9569-5A8DB7D90862}"/>
    <cellStyle name="Comma 10 6 7" xfId="50164" xr:uid="{E4B12EFC-A2B4-4D81-920E-97766F588CDC}"/>
    <cellStyle name="Comma 10 6 8" xfId="51884" xr:uid="{F7784E28-8BCE-41CE-B25E-70D96BF39BFD}"/>
    <cellStyle name="Comma 10 6 9" xfId="20446" xr:uid="{D1F70C30-0DC9-490D-B14B-D276DD49AB99}"/>
    <cellStyle name="Comma 10 7" xfId="7898" xr:uid="{36946461-537F-418D-9918-F6B95A93AAAB}"/>
    <cellStyle name="Comma 10 7 2" xfId="12411" xr:uid="{3FA70A43-F78F-4729-B9E0-AB55C599FBBF}"/>
    <cellStyle name="Comma 10 7 2 2" xfId="47651" xr:uid="{B47391E8-F330-4562-8BCB-7C35CACD3AF6}"/>
    <cellStyle name="Comma 10 7 3" xfId="50559" xr:uid="{F6011325-AB19-4641-B2D9-545F09B808E0}"/>
    <cellStyle name="Comma 10 7 4" xfId="51885" xr:uid="{E5D7198C-E212-47F8-BEA3-E59843122F41}"/>
    <cellStyle name="Comma 10 7 5" xfId="19852" xr:uid="{0832B62E-222C-4E99-87E7-BDB660D2DE2A}"/>
    <cellStyle name="Comma 10 8" xfId="5795" xr:uid="{B735BA5C-1E56-4F07-BB23-5CFA1F9C58E8}"/>
    <cellStyle name="Comma 10 8 2" xfId="23472" xr:uid="{38922AAE-F94C-4E96-8B38-C6179949D92C}"/>
    <cellStyle name="Comma 10 9" xfId="11283" xr:uid="{87211BAD-D013-4357-9DA1-EAF52A87CDEF}"/>
    <cellStyle name="Comma 10 9 2" xfId="37969" xr:uid="{154594BF-AE48-45F4-A430-55E0913883C4}"/>
    <cellStyle name="Comma 11" xfId="1725" xr:uid="{6C05AB0B-E208-467F-9791-3C93AE503C20}"/>
    <cellStyle name="Comma 11 10" xfId="38611" xr:uid="{1C320F83-8D26-4262-9C23-42A7BDFAA3EE}"/>
    <cellStyle name="Comma 11 11" xfId="39801" xr:uid="{5202BF7D-9397-450A-8D73-723C9760749B}"/>
    <cellStyle name="Comma 11 12" xfId="40443" xr:uid="{E57D20F5-F1B5-4FFC-A331-375E73BBC85D}"/>
    <cellStyle name="Comma 11 13" xfId="41655" xr:uid="{84C290C0-A405-43DA-9685-E6FBC210356A}"/>
    <cellStyle name="Comma 11 14" xfId="42288" xr:uid="{9CE2EAE5-1979-4010-89C0-C3C0635500ED}"/>
    <cellStyle name="Comma 11 15" xfId="43498" xr:uid="{2F9DD95A-94A8-4492-8F64-D0868FDFCCE2}"/>
    <cellStyle name="Comma 11 16" xfId="44361" xr:uid="{6EBD8471-1B68-4FE5-AF48-621B5378AF34}"/>
    <cellStyle name="Comma 11 17" xfId="45603" xr:uid="{13963452-DF80-422B-873F-3136E275AB83}"/>
    <cellStyle name="Comma 11 18" xfId="49232" xr:uid="{55A0F42B-84DA-4EC0-89CB-D8344CE5C454}"/>
    <cellStyle name="Comma 11 19" xfId="51886" xr:uid="{016C717F-6416-4D6E-AD2D-D675002B27FF}"/>
    <cellStyle name="Comma 11 2" xfId="4401" xr:uid="{337DC651-7110-49C6-9A8A-B01C5BAC2CE6}"/>
    <cellStyle name="Comma 11 2 10" xfId="40444" xr:uid="{5604B217-4D1C-4B5D-A6EA-AACA4DF7F6A3}"/>
    <cellStyle name="Comma 11 2 11" xfId="41656" xr:uid="{50CE0574-3BEE-4387-97AB-6E48226F2AAA}"/>
    <cellStyle name="Comma 11 2 12" xfId="42326" xr:uid="{C561A354-A92D-439B-97E9-0B56F54D7448}"/>
    <cellStyle name="Comma 11 2 13" xfId="44202" xr:uid="{E22D1AA5-5C42-4512-9877-AA99CDD32048}"/>
    <cellStyle name="Comma 11 2 14" xfId="44502" xr:uid="{60F4D880-6FEB-43FC-B33E-FD2020CE5C75}"/>
    <cellStyle name="Comma 11 2 15" xfId="45677" xr:uid="{7725FD35-6800-4F67-9AE2-CC55E2774396}"/>
    <cellStyle name="Comma 11 2 16" xfId="49305" xr:uid="{9FD0B6FC-4ABE-4AD1-8811-6EC6DC35300F}"/>
    <cellStyle name="Comma 11 2 17" xfId="51887" xr:uid="{A4D98291-3110-4732-9DB2-A66D60E3EB39}"/>
    <cellStyle name="Comma 11 2 18" xfId="15292" xr:uid="{AB47DD7B-6A97-44DB-9EEC-88478EE40D81}"/>
    <cellStyle name="Comma 11 2 19" xfId="14195" xr:uid="{75E11261-79E1-4CB3-A1AC-4102287F244C}"/>
    <cellStyle name="Comma 11 2 2" xfId="5658" xr:uid="{8AB5FB0C-76CC-4CF6-8364-1F69BBA13017}"/>
    <cellStyle name="Comma 11 2 2 10" xfId="41657" xr:uid="{9A70ABC1-3697-4C8C-ABDC-93577D74C313}"/>
    <cellStyle name="Comma 11 2 2 11" xfId="42478" xr:uid="{4B2DC3C9-C8AB-4703-8325-398F123975E3}"/>
    <cellStyle name="Comma 11 2 2 12" xfId="44667" xr:uid="{CC3A98BE-8BBD-43B9-92A0-1776864C2FF6}"/>
    <cellStyle name="Comma 11 2 2 13" xfId="46670" xr:uid="{537B75C7-B16E-4D3F-A6A2-3B8AB449F5CA}"/>
    <cellStyle name="Comma 11 2 2 14" xfId="49702" xr:uid="{99907432-7CD2-4707-96A6-7A284700469E}"/>
    <cellStyle name="Comma 11 2 2 15" xfId="51888" xr:uid="{B1365B94-A546-4BB8-B2B3-94703A7C4EE2}"/>
    <cellStyle name="Comma 11 2 2 16" xfId="16741" xr:uid="{6697BD9F-C425-4E23-A1E0-5AEE0404D284}"/>
    <cellStyle name="Comma 11 2 2 17" xfId="14687" xr:uid="{766BFA74-376A-4821-AB28-F00EB1CF30E6}"/>
    <cellStyle name="Comma 11 2 2 2" xfId="10252" xr:uid="{A2515F41-5AB3-46A1-8219-235ABC5AE24A}"/>
    <cellStyle name="Comma 11 2 2 2 10" xfId="42542" xr:uid="{3A4ED458-70DE-4363-89A3-6AD20AFAA5E7}"/>
    <cellStyle name="Comma 11 2 2 2 11" xfId="44709" xr:uid="{4D54FFAD-02BC-4FA1-AAD2-418E48F3DD98}"/>
    <cellStyle name="Comma 11 2 2 2 12" xfId="48212" xr:uid="{7AACBB0E-D6D0-476D-A1D5-262D25EF7B40}"/>
    <cellStyle name="Comma 11 2 2 2 13" xfId="51030" xr:uid="{08F2247D-7358-4463-8DAF-6A595F7A2AB9}"/>
    <cellStyle name="Comma 11 2 2 2 14" xfId="51889" xr:uid="{FAEC17E9-20EE-49D7-AD3D-4C950FA04D80}"/>
    <cellStyle name="Comma 11 2 2 2 15" xfId="16895" xr:uid="{6AEAE957-9AD9-4260-8B2F-CA4DDFECD29D}"/>
    <cellStyle name="Comma 11 2 2 2 2" xfId="13558" xr:uid="{A5788B3D-AA79-4D3E-AA32-7832C1310807}"/>
    <cellStyle name="Comma 11 2 2 2 2 2" xfId="39456" xr:uid="{189FEBF9-16E7-4A12-AD92-D53370C1CE8D}"/>
    <cellStyle name="Comma 11 2 2 2 2 3" xfId="41310" xr:uid="{A8E78534-02A4-4661-B0FA-DBD5AD1C820C}"/>
    <cellStyle name="Comma 11 2 2 2 2 4" xfId="43133" xr:uid="{394C85D2-5D52-4098-A0B1-70D031502865}"/>
    <cellStyle name="Comma 11 2 2 2 2 5" xfId="45230" xr:uid="{B23DFA12-9309-4623-AB31-EE2D8D1ADF61}"/>
    <cellStyle name="Comma 11 2 2 2 2 6" xfId="20890" xr:uid="{2899E508-C5C4-45E0-BAE8-441B7F8D5D25}"/>
    <cellStyle name="Comma 11 2 2 2 3" xfId="20109" xr:uid="{852953E3-9009-4641-9BD8-184F53AD1557}"/>
    <cellStyle name="Comma 11 2 2 2 4" xfId="23484" xr:uid="{A1D01A79-AF14-4B56-9ABD-481553656E27}"/>
    <cellStyle name="Comma 11 2 2 2 5" xfId="37981" xr:uid="{BB9BE39C-47D0-40FB-8E91-634178465CB9}"/>
    <cellStyle name="Comma 11 2 2 2 6" xfId="38865" xr:uid="{F385345B-CDC0-4B27-B990-6C4249EEA9D5}"/>
    <cellStyle name="Comma 11 2 2 2 7" xfId="39804" xr:uid="{AFFAFB29-67C0-4143-9BD4-16B38E2F09AC}"/>
    <cellStyle name="Comma 11 2 2 2 8" xfId="40446" xr:uid="{75E9E1A9-0195-45EB-B82F-1857F39A8A81}"/>
    <cellStyle name="Comma 11 2 2 2 9" xfId="41658" xr:uid="{4C5C9BA8-83B0-4D4F-AF5E-34600669379F}"/>
    <cellStyle name="Comma 11 2 2 3" xfId="7760" xr:uid="{A197DA71-4C45-4313-9405-50373D48E4E9}"/>
    <cellStyle name="Comma 11 2 2 3 2" xfId="39392" xr:uid="{B3FC0050-8370-41A9-8628-18E51FDDE2F6}"/>
    <cellStyle name="Comma 11 2 2 3 3" xfId="41248" xr:uid="{07B53CB8-B1E2-402F-AD5C-E543B6D98A07}"/>
    <cellStyle name="Comma 11 2 2 3 4" xfId="43069" xr:uid="{14D813E8-6EA1-4E8F-BCCB-D8A8FE16B325}"/>
    <cellStyle name="Comma 11 2 2 3 5" xfId="45168" xr:uid="{2492B201-ACCD-4603-9B47-8816D81EF1AE}"/>
    <cellStyle name="Comma 11 2 2 3 6" xfId="20767" xr:uid="{9D172756-70CA-4AF8-B299-382966D80D45}"/>
    <cellStyle name="Comma 11 2 2 4" xfId="12273" xr:uid="{AC5D1887-D9A2-4057-9B0F-4603E360A114}"/>
    <cellStyle name="Comma 11 2 2 4 2" xfId="20045" xr:uid="{352A7B4F-29A6-49E3-B411-85A322BDD4CD}"/>
    <cellStyle name="Comma 11 2 2 5" xfId="23483" xr:uid="{09226FD6-4E7A-4062-AFCD-D84431374213}"/>
    <cellStyle name="Comma 11 2 2 6" xfId="37980" xr:uid="{1496AE72-C25A-4FB1-800D-26A6DA4D3AF2}"/>
    <cellStyle name="Comma 11 2 2 7" xfId="38801" xr:uid="{AB79D13D-0D80-4EF8-91D4-22CCEBB3F046}"/>
    <cellStyle name="Comma 11 2 2 8" xfId="39803" xr:uid="{C18F240A-BA51-42E5-9D42-280BC02E53E5}"/>
    <cellStyle name="Comma 11 2 2 9" xfId="40445" xr:uid="{4EE3DA98-AFC7-4A8D-98F4-F2CF6B63AE46}"/>
    <cellStyle name="Comma 11 2 3" xfId="11107" xr:uid="{73FA28DB-A28E-43F8-AAD6-8D116C6235D6}"/>
    <cellStyle name="Comma 11 2 3 10" xfId="42541" xr:uid="{985C889C-6E3C-4B37-930E-BFDB750097E9}"/>
    <cellStyle name="Comma 11 2 3 11" xfId="44708" xr:uid="{8EA3A57F-3317-4EC9-8178-675E8865FCB8}"/>
    <cellStyle name="Comma 11 2 3 12" xfId="46890" xr:uid="{79D65F15-A2A9-4E1D-88FD-1FDA4E05770C}"/>
    <cellStyle name="Comma 11 2 3 13" xfId="49909" xr:uid="{70114EC1-00B5-4D96-B07C-CA426FCF6B3A}"/>
    <cellStyle name="Comma 11 2 3 14" xfId="51890" xr:uid="{50C85249-6939-4769-A1F7-95EBDDB65E7C}"/>
    <cellStyle name="Comma 11 2 3 15" xfId="16894" xr:uid="{4E95EB46-499D-4D49-8273-A173B9C3C459}"/>
    <cellStyle name="Comma 11 2 3 16" xfId="15002" xr:uid="{95BCA89C-95D1-4BFA-A5A4-0A41BFABC46D}"/>
    <cellStyle name="Comma 11 2 3 2" xfId="13704" xr:uid="{D2AF483C-F58D-4E20-AC01-0DDCE64E5610}"/>
    <cellStyle name="Comma 11 2 3 2 2" xfId="39455" xr:uid="{8D4ED7C5-EDE0-4285-920A-F22850AE7AD6}"/>
    <cellStyle name="Comma 11 2 3 2 3" xfId="41309" xr:uid="{DEBCFFB9-F277-462B-BB85-EE77D58BCE7E}"/>
    <cellStyle name="Comma 11 2 3 2 4" xfId="43132" xr:uid="{50BCA844-FFE4-4275-8C7D-EA08488E8CA3}"/>
    <cellStyle name="Comma 11 2 3 2 5" xfId="45229" xr:uid="{F0936FD8-336A-491C-A890-2BD40CA6EA04}"/>
    <cellStyle name="Comma 11 2 3 2 6" xfId="48451" xr:uid="{24E5D1FB-150E-4C01-88D1-D00ACBCDF493}"/>
    <cellStyle name="Comma 11 2 3 2 7" xfId="51237" xr:uid="{188487B3-6332-4477-891A-FF7624718D0E}"/>
    <cellStyle name="Comma 11 2 3 2 8" xfId="51891" xr:uid="{E5D60287-98FC-4340-B0AF-19C0B146D33D}"/>
    <cellStyle name="Comma 11 2 3 2 9" xfId="20889" xr:uid="{9C21DF0D-75F9-4467-9EFB-12CC70C6F923}"/>
    <cellStyle name="Comma 11 2 3 3" xfId="20108" xr:uid="{A999DA56-C6A6-4F94-9A37-844DE16EA89A}"/>
    <cellStyle name="Comma 11 2 3 4" xfId="23485" xr:uid="{756596DD-5758-417D-A79A-0FA018833008}"/>
    <cellStyle name="Comma 11 2 3 5" xfId="37982" xr:uid="{C09A4A96-DC73-486C-8784-4DDD4794A4B5}"/>
    <cellStyle name="Comma 11 2 3 6" xfId="38864" xr:uid="{7FD9CFBD-1837-4C9E-9C64-2151F930A1CD}"/>
    <cellStyle name="Comma 11 2 3 7" xfId="39805" xr:uid="{05018E9B-D5CF-45DD-AA13-9A669E730699}"/>
    <cellStyle name="Comma 11 2 3 8" xfId="40447" xr:uid="{B824527A-8B71-4CDC-8562-F0ADCAFCFA70}"/>
    <cellStyle name="Comma 11 2 3 9" xfId="41659" xr:uid="{82F52312-F0B3-4497-838D-08DAE01FCEB6}"/>
    <cellStyle name="Comma 11 2 4" xfId="9758" xr:uid="{FA11C764-28CF-47E3-AB09-B47413736E74}"/>
    <cellStyle name="Comma 11 2 4 2" xfId="13064" xr:uid="{BAA9517C-D3DA-4E6C-9220-8C78091602D4}"/>
    <cellStyle name="Comma 11 2 4 2 2" xfId="49068" xr:uid="{0D67E51E-1DEA-4ED5-8AE7-A5E5CD8472CB}"/>
    <cellStyle name="Comma 11 2 4 2 3" xfId="51748" xr:uid="{87FAD8A2-CC60-4906-92EB-135336E325A6}"/>
    <cellStyle name="Comma 11 2 4 2 4" xfId="51892" xr:uid="{C2B5188F-F199-49A4-8217-7775A070AEAE}"/>
    <cellStyle name="Comma 11 2 4 2 5" xfId="39240" xr:uid="{98ACBC18-D55C-4A4F-87B6-A12048118C1C}"/>
    <cellStyle name="Comma 11 2 4 3" xfId="41109" xr:uid="{923066AD-41E0-4B04-8F97-FF6752575D93}"/>
    <cellStyle name="Comma 11 2 4 4" xfId="42917" xr:uid="{8778EB98-4B38-4B0C-97E4-E2D2399C3224}"/>
    <cellStyle name="Comma 11 2 4 5" xfId="45024" xr:uid="{021A59CB-CA1A-4725-9A25-FE9A1E71CD2C}"/>
    <cellStyle name="Comma 11 2 4 6" xfId="47485" xr:uid="{DFCD8362-A7C7-4128-845D-0D718BA837B7}"/>
    <cellStyle name="Comma 11 2 4 7" xfId="50420" xr:uid="{C41A7163-3FEB-4C6E-9E97-5E04BC66A144}"/>
    <cellStyle name="Comma 11 2 4 8" xfId="51893" xr:uid="{5498F7D3-C606-4330-B681-F64BB96800AA}"/>
    <cellStyle name="Comma 11 2 4 9" xfId="20485" xr:uid="{2532729F-3742-42C1-8B37-596797E1CF1D}"/>
    <cellStyle name="Comma 11 2 5" xfId="7256" xr:uid="{AB8F5092-4842-46F8-ADFF-BF776E74B628}"/>
    <cellStyle name="Comma 11 2 5 2" xfId="47734" xr:uid="{020C472C-BAF5-40F2-B086-E1C63DFD4F77}"/>
    <cellStyle name="Comma 11 2 5 3" xfId="50633" xr:uid="{3807F964-7EDF-44CE-A5CC-698DBA8F024F}"/>
    <cellStyle name="Comma 11 2 5 4" xfId="51894" xr:uid="{AD145D61-32E6-4F28-9DEC-29244250E54B}"/>
    <cellStyle name="Comma 11 2 5 5" xfId="19892" xr:uid="{9E508DBB-5497-4F0C-BB43-99BBBCB9B7D7}"/>
    <cellStyle name="Comma 11 2 6" xfId="11779" xr:uid="{D942D80F-8BA2-41FA-B932-F69204208719}"/>
    <cellStyle name="Comma 11 2 6 2" xfId="23482" xr:uid="{F9868909-604F-4675-88C6-717527A4EFE7}"/>
    <cellStyle name="Comma 11 2 7" xfId="37979" xr:uid="{DA545685-9556-4333-BAB4-4503A93C1CD2}"/>
    <cellStyle name="Comma 11 2 8" xfId="38649" xr:uid="{C9E7BF80-AFAA-484E-8993-935C65BB2C5F}"/>
    <cellStyle name="Comma 11 2 9" xfId="39802" xr:uid="{170433C3-FAC2-4434-8094-F2B7511D4D8A}"/>
    <cellStyle name="Comma 11 20" xfId="15190" xr:uid="{04F2B581-1FBF-4CC5-84BB-0907CE83BA5E}"/>
    <cellStyle name="Comma 11 21" xfId="13881" xr:uid="{6FA88166-1990-4DBB-990C-6F8559A9568B}"/>
    <cellStyle name="Comma 11 3" xfId="5482" xr:uid="{D52251F5-B9FC-4F38-88C2-2F89971B0CC6}"/>
    <cellStyle name="Comma 11 3 10" xfId="41660" xr:uid="{853D7F90-7176-473C-AC33-3A47039776EE}"/>
    <cellStyle name="Comma 11 3 11" xfId="42439" xr:uid="{854F034B-35B2-4F77-ACBA-DB89DB64693B}"/>
    <cellStyle name="Comma 11 3 12" xfId="43771" xr:uid="{FC06C87A-CA0D-448A-BE02-05D6C3620578}"/>
    <cellStyle name="Comma 11 3 13" xfId="44643" xr:uid="{D3DB1705-67AA-4722-854B-4A8848DCA06F}"/>
    <cellStyle name="Comma 11 3 14" xfId="46529" xr:uid="{C178005A-22B8-40C6-998D-AD91C172A862}"/>
    <cellStyle name="Comma 11 3 15" xfId="49562" xr:uid="{B0380552-15FB-42E7-8B4C-B3BE0CAE5E88}"/>
    <cellStyle name="Comma 11 3 16" xfId="51895" xr:uid="{1A3DCC30-225C-487E-AFDE-26530A386A91}"/>
    <cellStyle name="Comma 11 3 17" xfId="16633" xr:uid="{6BDED6D8-34AB-45BB-B18B-F6B68ABBA3DD}"/>
    <cellStyle name="Comma 11 3 18" xfId="14019" xr:uid="{F7572187-7F8F-45FA-AF20-8D33D00E93C3}"/>
    <cellStyle name="Comma 11 3 2" xfId="7584" xr:uid="{E40932FF-1A84-4BE3-BDFC-7F951104ED57}"/>
    <cellStyle name="Comma 11 3 2 10" xfId="42543" xr:uid="{7DCEA7D6-30D6-40C5-B422-DB69B4BC485E}"/>
    <cellStyle name="Comma 11 3 2 11" xfId="44710" xr:uid="{E066272F-4BF4-4AF5-8C82-F363FFF28813}"/>
    <cellStyle name="Comma 11 3 2 12" xfId="47023" xr:uid="{8F3091BA-2A05-4F21-AD06-DE0ADD2A958D}"/>
    <cellStyle name="Comma 11 3 2 13" xfId="50024" xr:uid="{2C2F11CA-8E14-4431-8CC9-0C7C50FB8A8F}"/>
    <cellStyle name="Comma 11 3 2 14" xfId="51896" xr:uid="{C24C45B9-D85F-4A90-BA55-BEF7F44F19F6}"/>
    <cellStyle name="Comma 11 3 2 15" xfId="16896" xr:uid="{B3C77857-9DCE-400E-9205-695BFECB23BB}"/>
    <cellStyle name="Comma 11 3 2 16" xfId="14511" xr:uid="{A58C2D33-B140-466F-8D71-8477956FB32C}"/>
    <cellStyle name="Comma 11 3 2 2" xfId="10076" xr:uid="{24E39248-EAA0-4EE9-8005-D9026FDD215D}"/>
    <cellStyle name="Comma 11 3 2 2 2" xfId="13382" xr:uid="{C791707E-27FE-4DA1-A77C-A280238935A7}"/>
    <cellStyle name="Comma 11 3 2 2 2 2" xfId="39457" xr:uid="{7B661F6B-4E55-4E3A-A592-01922BE74A25}"/>
    <cellStyle name="Comma 11 3 2 2 3" xfId="41311" xr:uid="{5D179084-753B-4BD4-B210-E4417ACC676D}"/>
    <cellStyle name="Comma 11 3 2 2 4" xfId="43134" xr:uid="{7AC90624-A585-4F56-B687-8481B731CF3E}"/>
    <cellStyle name="Comma 11 3 2 2 5" xfId="45231" xr:uid="{D3E8DB52-6D0D-46E4-893D-74A401373B5E}"/>
    <cellStyle name="Comma 11 3 2 2 6" xfId="48589" xr:uid="{43D7C9F7-7E63-4C2B-9730-2FA717DA87D4}"/>
    <cellStyle name="Comma 11 3 2 2 7" xfId="51352" xr:uid="{2EC62926-0A8B-47E1-9AE0-4F76FDC78FBC}"/>
    <cellStyle name="Comma 11 3 2 2 8" xfId="51897" xr:uid="{81F867D1-A25E-405A-87B6-D72FD5463AE5}"/>
    <cellStyle name="Comma 11 3 2 2 9" xfId="20891" xr:uid="{BB67BF83-1C3A-44F8-B6E0-9A9C2A705900}"/>
    <cellStyle name="Comma 11 3 2 3" xfId="12097" xr:uid="{E775FF79-E078-4638-B3B5-583FF6645CCF}"/>
    <cellStyle name="Comma 11 3 2 3 2" xfId="20110" xr:uid="{079DDB89-0CC2-4C72-B926-026496F3CCAE}"/>
    <cellStyle name="Comma 11 3 2 4" xfId="23487" xr:uid="{DFD1E994-7C46-46E5-9F7F-21CF7C1E5DEE}"/>
    <cellStyle name="Comma 11 3 2 5" xfId="37984" xr:uid="{2809BC9A-D7C5-45E6-8124-0E3181F98CCB}"/>
    <cellStyle name="Comma 11 3 2 6" xfId="38866" xr:uid="{8C8542CA-A147-4D74-B69E-A6D71342CF95}"/>
    <cellStyle name="Comma 11 3 2 7" xfId="39807" xr:uid="{E997C520-64E0-43CD-82C4-22DE9CA53F5A}"/>
    <cellStyle name="Comma 11 3 2 8" xfId="40449" xr:uid="{D6D15994-C7AB-4653-A45D-0F18DF517837}"/>
    <cellStyle name="Comma 11 3 2 9" xfId="41661" xr:uid="{BCD3198C-39E2-4238-B50A-EB613905DFBE}"/>
    <cellStyle name="Comma 11 3 3" xfId="9582" xr:uid="{C8DFC67E-1FC2-492C-86A7-214BFDF6D984}"/>
    <cellStyle name="Comma 11 3 3 2" xfId="12888" xr:uid="{01F35A46-D965-48C4-94CA-C325DC5E3E15}"/>
    <cellStyle name="Comma 11 3 3 2 2" xfId="48896" xr:uid="{E00B7647-8B4B-43F8-B992-F8B742721BA6}"/>
    <cellStyle name="Comma 11 3 3 2 3" xfId="51608" xr:uid="{C0315019-7C9A-4401-A5C3-96B8F917CBD7}"/>
    <cellStyle name="Comma 11 3 3 2 4" xfId="51898" xr:uid="{4D60DF08-8459-400B-A853-07AA79D81F58}"/>
    <cellStyle name="Comma 11 3 3 2 5" xfId="39353" xr:uid="{EB7BC254-CAA0-4FE9-88B7-B50A95E50891}"/>
    <cellStyle name="Comma 11 3 3 3" xfId="41211" xr:uid="{47A41F66-70E0-4C97-8373-0ED073A67A4C}"/>
    <cellStyle name="Comma 11 3 3 4" xfId="43030" xr:uid="{B2B2EDAD-0836-48C5-A8AB-1C1CFAA389D4}"/>
    <cellStyle name="Comma 11 3 3 5" xfId="45131" xr:uid="{8544D880-C4F4-44E8-A839-C20E0D05A370}"/>
    <cellStyle name="Comma 11 3 3 6" xfId="47320" xr:uid="{8158815A-894F-4BA3-BEE2-DC3BF58D703D}"/>
    <cellStyle name="Comma 11 3 3 7" xfId="50280" xr:uid="{B93ED2DA-34F4-4BF3-8CC0-24DF71B11059}"/>
    <cellStyle name="Comma 11 3 3 8" xfId="51899" xr:uid="{230D9308-CB64-474E-A6E1-69F022997434}"/>
    <cellStyle name="Comma 11 3 3 9" xfId="20727" xr:uid="{9C391CD2-E32D-43C9-93C9-6CB4486F69EC}"/>
    <cellStyle name="Comma 11 3 4" xfId="7078" xr:uid="{6934D402-3425-4E63-A55A-DF32B366F3F4}"/>
    <cellStyle name="Comma 11 3 4 2" xfId="48041" xr:uid="{A2F973AC-BA0D-44C8-8919-0110844AD151}"/>
    <cellStyle name="Comma 11 3 4 3" xfId="50890" xr:uid="{F48C567C-0A66-4335-8298-AF981E796F82}"/>
    <cellStyle name="Comma 11 3 4 4" xfId="51900" xr:uid="{B1159A56-910C-4933-B820-8A2F173C1F87}"/>
    <cellStyle name="Comma 11 3 4 5" xfId="20006" xr:uid="{52CEBB20-3CBF-4661-932F-2CBE1BBC6161}"/>
    <cellStyle name="Comma 11 3 5" xfId="11603" xr:uid="{7131CCA0-C02A-4C2E-970A-5D729969D236}"/>
    <cellStyle name="Comma 11 3 5 2" xfId="23486" xr:uid="{C2EA7D2F-6AD4-43AA-A4E5-7DA32730B96D}"/>
    <cellStyle name="Comma 11 3 6" xfId="37983" xr:uid="{67B22DFC-AB3D-4E8F-82FD-CD99A6A03141}"/>
    <cellStyle name="Comma 11 3 7" xfId="38762" xr:uid="{E7C2E913-2C80-440F-BF93-813C0478BB1E}"/>
    <cellStyle name="Comma 11 3 8" xfId="39806" xr:uid="{2E55A80D-DD35-44E7-88C7-1FA3182919EA}"/>
    <cellStyle name="Comma 11 3 9" xfId="40448" xr:uid="{3E84435E-5D72-43D0-B8AA-B006A2D2C301}"/>
    <cellStyle name="Comma 11 4" xfId="6472" xr:uid="{D7654DAE-2DC5-471A-9427-F8B8FFFD0B40}"/>
    <cellStyle name="Comma 11 4 10" xfId="42540" xr:uid="{19E7CACC-A1B1-4D7B-B8B5-341A3E6E4DEF}"/>
    <cellStyle name="Comma 11 4 11" xfId="44707" xr:uid="{20B0AB7B-6522-4ECF-8B43-C4524B1282AF}"/>
    <cellStyle name="Comma 11 4 12" xfId="46111" xr:uid="{D02E5D96-329F-459A-8E2C-3406E7D911CE}"/>
    <cellStyle name="Comma 11 4 13" xfId="49447" xr:uid="{7F3385AC-55CF-4584-A58B-5F45F89125EE}"/>
    <cellStyle name="Comma 11 4 14" xfId="51901" xr:uid="{7228F23A-715F-46F0-AE67-403818637D74}"/>
    <cellStyle name="Comma 11 4 15" xfId="16893" xr:uid="{C3DAB392-0B2B-47A0-B000-2D6C4688CA49}"/>
    <cellStyle name="Comma 11 4 16" xfId="14373" xr:uid="{90DF78E0-ED39-4AC0-BFAC-954FF4F87664}"/>
    <cellStyle name="Comma 11 4 2" xfId="9444" xr:uid="{2AFCF450-16D2-4272-B3F5-279D17B2348F}"/>
    <cellStyle name="Comma 11 4 2 2" xfId="12750" xr:uid="{BDE367F4-4609-4128-99DB-FBADC97D8CED}"/>
    <cellStyle name="Comma 11 4 2 2 2" xfId="39454" xr:uid="{6C203FCD-AE23-4570-86AC-88550AB24628}"/>
    <cellStyle name="Comma 11 4 2 3" xfId="41308" xr:uid="{A876BA90-D993-498E-9532-89F5CABE0F2A}"/>
    <cellStyle name="Comma 11 4 2 4" xfId="43131" xr:uid="{A29536E8-B197-4248-A4DC-3D102A6BA0D9}"/>
    <cellStyle name="Comma 11 4 2 5" xfId="45228" xr:uid="{9C9680D6-5E03-4533-9A47-F482ED3915A6}"/>
    <cellStyle name="Comma 11 4 2 6" xfId="47906" xr:uid="{6A8F58D9-67F3-47F0-A364-2ACCB27C2EFC}"/>
    <cellStyle name="Comma 11 4 2 7" xfId="50775" xr:uid="{78F4C35F-8A0A-4ADB-A129-31CE552B1181}"/>
    <cellStyle name="Comma 11 4 2 8" xfId="51902" xr:uid="{CB90F723-66A7-4333-A14E-B3701B055012}"/>
    <cellStyle name="Comma 11 4 2 9" xfId="20888" xr:uid="{FFAB7610-F606-45CB-8A57-7E31B4B89E51}"/>
    <cellStyle name="Comma 11 4 3" xfId="11465" xr:uid="{A81903E8-8B27-4705-954F-50D834232EA0}"/>
    <cellStyle name="Comma 11 4 3 2" xfId="20107" xr:uid="{A50D38DC-79B8-4A37-81D1-C877BC76AE65}"/>
    <cellStyle name="Comma 11 4 4" xfId="23488" xr:uid="{CD121884-4D27-4212-830B-399648B54DE7}"/>
    <cellStyle name="Comma 11 4 5" xfId="37985" xr:uid="{472C30D4-950C-423C-8B44-8A29A1D8A6D8}"/>
    <cellStyle name="Comma 11 4 6" xfId="38863" xr:uid="{7EC99CF3-FFAD-40CE-B69F-F2471FF95CA3}"/>
    <cellStyle name="Comma 11 4 7" xfId="39808" xr:uid="{53739309-6021-4335-8477-8AB6B33A3597}"/>
    <cellStyle name="Comma 11 4 8" xfId="40450" xr:uid="{AD19DB4F-330F-4741-8A63-6FDB0A88B056}"/>
    <cellStyle name="Comma 11 4 9" xfId="41662" xr:uid="{9153072D-9511-47AA-809F-6EE5830FA151}"/>
    <cellStyle name="Comma 11 5" xfId="7446" xr:uid="{B2BEB860-4135-476A-8EFB-0922EECEF642}"/>
    <cellStyle name="Comma 11 5 10" xfId="42803" xr:uid="{19EDEB7E-01FD-42AC-9243-930572D000BE}"/>
    <cellStyle name="Comma 11 5 11" xfId="44930" xr:uid="{1EB08715-114E-484F-A702-6B4C5ADD5B33}"/>
    <cellStyle name="Comma 11 5 12" xfId="46794" xr:uid="{8E94B761-EA66-476E-9BDE-F7D361BCE0E6}"/>
    <cellStyle name="Comma 11 5 13" xfId="49818" xr:uid="{D7422C89-0138-4D3E-9C8C-E988CCEC1DE4}"/>
    <cellStyle name="Comma 11 5 14" xfId="51903" xr:uid="{F28F0DC3-D8C6-49F0-882A-4E6ADBFFEC6A}"/>
    <cellStyle name="Comma 11 5 15" xfId="19709" xr:uid="{4A239F3A-E285-49A6-BD1E-840E7F67C732}"/>
    <cellStyle name="Comma 11 5 16" xfId="14826" xr:uid="{1A2030DE-9F1C-41F3-BFE6-F53D4387C720}"/>
    <cellStyle name="Comma 11 5 2" xfId="9938" xr:uid="{11D7A4BA-3F44-423A-853C-A2D406D4D7A1}"/>
    <cellStyle name="Comma 11 5 2 2" xfId="13244" xr:uid="{4BEC011B-CB4C-4289-964C-23A6800DDB64}"/>
    <cellStyle name="Comma 11 5 2 2 2" xfId="39717" xr:uid="{104AA725-BF07-4BF6-AB95-D41BD9D86116}"/>
    <cellStyle name="Comma 11 5 2 3" xfId="41570" xr:uid="{B137C323-5728-4447-8BDC-D7BE0F491A92}"/>
    <cellStyle name="Comma 11 5 2 4" xfId="43394" xr:uid="{C0BA8C6D-04B2-4440-AD32-495AE4C4D8D7}"/>
    <cellStyle name="Comma 11 5 2 5" xfId="45473" xr:uid="{3334F55B-97BF-41B8-BA1B-392F741BD700}"/>
    <cellStyle name="Comma 11 5 2 6" xfId="48345" xr:uid="{8CD22BAE-7B7B-4EF2-AE2D-599DF1402DB6}"/>
    <cellStyle name="Comma 11 5 2 7" xfId="51146" xr:uid="{6D886038-4FC5-4651-B700-C3FFEE83777A}"/>
    <cellStyle name="Comma 11 5 2 8" xfId="51904" xr:uid="{C0F62B57-185F-4B5B-AED6-2187AF937FA3}"/>
    <cellStyle name="Comma 11 5 2 9" xfId="23326" xr:uid="{A121112F-F5FF-427F-9114-B8B1444D3141}"/>
    <cellStyle name="Comma 11 5 3" xfId="11959" xr:uid="{BBAC07D5-11B4-4A09-83C7-AC0C0A1A700C}"/>
    <cellStyle name="Comma 11 5 3 2" xfId="20370" xr:uid="{6023BA3A-42A0-4D04-957A-0931E9B3CAC7}"/>
    <cellStyle name="Comma 11 5 4" xfId="23489" xr:uid="{8B8C345A-83DB-436A-93BD-1C1BE7AA50E6}"/>
    <cellStyle name="Comma 11 5 5" xfId="37986" xr:uid="{4B3C724C-B9D9-4DE8-B806-7F83711EC939}"/>
    <cellStyle name="Comma 11 5 6" xfId="39126" xr:uid="{6537F1D8-8DFC-4078-96F7-E22CFC96494F}"/>
    <cellStyle name="Comma 11 5 7" xfId="39809" xr:uid="{FA79B304-E79B-47FA-89A2-308A35E2CAAA}"/>
    <cellStyle name="Comma 11 5 8" xfId="40451" xr:uid="{7F94EFB5-3A06-471B-986C-151CA1D2E6B7}"/>
    <cellStyle name="Comma 11 5 9" xfId="41663" xr:uid="{9CA15182-CB1B-4C23-8A33-17C8FC36CB96}"/>
    <cellStyle name="Comma 11 6" xfId="8112" xr:uid="{0B467E7D-9673-4D3B-BF15-C12213ECA5F7}"/>
    <cellStyle name="Comma 11 6 2" xfId="12568" xr:uid="{362A25AE-FB1A-468A-A497-8DEC90E7FF23}"/>
    <cellStyle name="Comma 11 6 2 2" xfId="48758" xr:uid="{CFA5DF9B-A035-4428-936A-0F58B7EF659E}"/>
    <cellStyle name="Comma 11 6 2 3" xfId="51493" xr:uid="{D1B71209-30C1-45B8-819A-6B8899F8B922}"/>
    <cellStyle name="Comma 11 6 2 4" xfId="51905" xr:uid="{77B8DE6D-D6E6-4365-8014-7F882FEFFCB2}"/>
    <cellStyle name="Comma 11 6 2 5" xfId="39202" xr:uid="{031B15D1-E6BF-45D8-B51E-DAD5274DB21A}"/>
    <cellStyle name="Comma 11 6 3" xfId="41077" xr:uid="{679E6C82-EE1B-4431-B7BC-82F2FF748A35}"/>
    <cellStyle name="Comma 11 6 4" xfId="42879" xr:uid="{D70E9DDD-CCFD-445D-9107-F8B3F3C35574}"/>
    <cellStyle name="Comma 11 6 5" xfId="44986" xr:uid="{B3B094A9-3D32-4296-A535-814AA211A157}"/>
    <cellStyle name="Comma 11 6 6" xfId="47187" xr:uid="{190BF083-D757-489D-9BEA-13DDED49A15D}"/>
    <cellStyle name="Comma 11 6 7" xfId="50165" xr:uid="{9F4E674A-9F8B-4E30-9006-094AC85C4F41}"/>
    <cellStyle name="Comma 11 6 8" xfId="51906" xr:uid="{E3596E97-6CDC-452B-BC30-D07E44A66C4E}"/>
    <cellStyle name="Comma 11 6 9" xfId="20447" xr:uid="{B46E9B6B-4EB9-4DF6-9EDC-3F1B43676447}"/>
    <cellStyle name="Comma 11 7" xfId="7899" xr:uid="{327A14F0-DF96-4494-8692-A514EC5F1505}"/>
    <cellStyle name="Comma 11 7 2" xfId="12412" xr:uid="{501B02ED-D426-418C-85FA-EADEFF779704}"/>
    <cellStyle name="Comma 11 7 2 2" xfId="47652" xr:uid="{90FDE1DA-2ECA-4F2F-A40E-302C79FAC327}"/>
    <cellStyle name="Comma 11 7 3" xfId="50560" xr:uid="{88EE2E46-2357-49E3-9E6A-A9EAADFA4724}"/>
    <cellStyle name="Comma 11 7 4" xfId="51907" xr:uid="{EEE27395-68BC-41B5-A4FB-CF33F564FAFF}"/>
    <cellStyle name="Comma 11 7 5" xfId="19853" xr:uid="{E07B1CBF-6AA6-469D-BC2D-040B2C9EE4D2}"/>
    <cellStyle name="Comma 11 8" xfId="5796" xr:uid="{EACE618F-FA29-4261-B7C2-20C94ACBBDF9}"/>
    <cellStyle name="Comma 11 8 2" xfId="23481" xr:uid="{B1A9A133-1303-442B-B94B-6809FF31B4A4}"/>
    <cellStyle name="Comma 11 9" xfId="11284" xr:uid="{765C297D-E25A-48A5-A33B-FC664A4663A4}"/>
    <cellStyle name="Comma 11 9 2" xfId="37978" xr:uid="{784A8595-BBAE-4680-A8AA-3E90D3565995}"/>
    <cellStyle name="Comma 12" xfId="1726" xr:uid="{F4A26D9E-F4FB-40CE-A187-E82DF7395066}"/>
    <cellStyle name="Comma 12 10" xfId="38612" xr:uid="{4671D27F-691B-45AA-8344-99BA47EA27EF}"/>
    <cellStyle name="Comma 12 11" xfId="39810" xr:uid="{F89193FC-A1D6-445F-8EDE-F802854EA8A5}"/>
    <cellStyle name="Comma 12 12" xfId="40452" xr:uid="{1295AE08-4E17-47CA-BE2F-095DB63DB276}"/>
    <cellStyle name="Comma 12 13" xfId="41664" xr:uid="{4673B9E2-76F8-4D3A-9910-2CEC7955F6F0}"/>
    <cellStyle name="Comma 12 14" xfId="42289" xr:uid="{ECAAAAF6-15D3-4964-8B90-E7274A231B37}"/>
    <cellStyle name="Comma 12 15" xfId="43499" xr:uid="{395A995F-1EE9-4F6D-A0B0-7E7BC67D06B3}"/>
    <cellStyle name="Comma 12 16" xfId="44362" xr:uid="{0271E6B5-1962-40C9-8A59-44570FAC2314}"/>
    <cellStyle name="Comma 12 17" xfId="45604" xr:uid="{A96040CE-7A3A-4A33-AE3E-4FEB1033ED07}"/>
    <cellStyle name="Comma 12 18" xfId="49233" xr:uid="{23F02C4E-EB3C-4CA6-8339-D2C2063BA783}"/>
    <cellStyle name="Comma 12 19" xfId="51908" xr:uid="{D5025C4A-B96D-49FF-B5AA-97B883947548}"/>
    <cellStyle name="Comma 12 2" xfId="4402" xr:uid="{9F69BDE0-433D-4CF6-8658-FE6A0214FC38}"/>
    <cellStyle name="Comma 12 2 10" xfId="40453" xr:uid="{0E045129-357C-40CF-8454-2FE23C469752}"/>
    <cellStyle name="Comma 12 2 11" xfId="41665" xr:uid="{F4704579-421A-4330-B8A7-30D8D7DE8D36}"/>
    <cellStyle name="Comma 12 2 12" xfId="42327" xr:uid="{33E7F638-53BD-4AB2-A4E3-5C1F10C55D8D}"/>
    <cellStyle name="Comma 12 2 13" xfId="44203" xr:uid="{21E90D19-E4A2-4CD6-BA27-292929E6975B}"/>
    <cellStyle name="Comma 12 2 14" xfId="44503" xr:uid="{CA8CE6BD-3723-481E-B2DD-CF0C6D531FAA}"/>
    <cellStyle name="Comma 12 2 15" xfId="45678" xr:uid="{E13EBFD2-18DF-49EA-86DF-ED0C2731C57E}"/>
    <cellStyle name="Comma 12 2 16" xfId="49306" xr:uid="{2F395F43-1840-47BF-9010-D63BA6D911C7}"/>
    <cellStyle name="Comma 12 2 17" xfId="51909" xr:uid="{E6CFF126-DBD5-4491-B9C6-CDF7292CADAF}"/>
    <cellStyle name="Comma 12 2 18" xfId="15293" xr:uid="{A085D1B1-BED0-42EE-B0C0-73B469AA9318}"/>
    <cellStyle name="Comma 12 2 19" xfId="14196" xr:uid="{D232F969-09D3-4BEF-B79B-DBBE2D43FA63}"/>
    <cellStyle name="Comma 12 2 2" xfId="5659" xr:uid="{B1803ED8-F37B-4920-B783-5C7BF7BB36F4}"/>
    <cellStyle name="Comma 12 2 2 10" xfId="41666" xr:uid="{2A5EEEF4-94AF-43D5-8DB6-AAD331A70AB3}"/>
    <cellStyle name="Comma 12 2 2 11" xfId="42479" xr:uid="{06F9DB25-C824-44D2-B6F3-35BEB2BAC4C8}"/>
    <cellStyle name="Comma 12 2 2 12" xfId="44668" xr:uid="{63D1B3E9-7E67-47AB-91D1-6610B52B9D90}"/>
    <cellStyle name="Comma 12 2 2 13" xfId="46671" xr:uid="{7BFE7C72-62E3-4BD7-BDC8-2F97471E1425}"/>
    <cellStyle name="Comma 12 2 2 14" xfId="49703" xr:uid="{F6E0B088-4F84-4416-B627-99956B8AC90D}"/>
    <cellStyle name="Comma 12 2 2 15" xfId="51910" xr:uid="{8838E23B-94F0-49CD-9F34-48BA1458C119}"/>
    <cellStyle name="Comma 12 2 2 16" xfId="16742" xr:uid="{0F85FF10-F368-4848-84AF-3A4C4B1D0328}"/>
    <cellStyle name="Comma 12 2 2 17" xfId="14688" xr:uid="{82D26E45-4FB9-42DE-B886-8AEE36168869}"/>
    <cellStyle name="Comma 12 2 2 2" xfId="10253" xr:uid="{F3BF18DD-2AF8-4609-AD63-17FD25D9D28D}"/>
    <cellStyle name="Comma 12 2 2 2 10" xfId="42546" xr:uid="{CA39B95F-EA6B-4F33-A5E0-8A0304B40EE4}"/>
    <cellStyle name="Comma 12 2 2 2 11" xfId="44713" xr:uid="{67F4AE83-D8C1-4467-ABF9-D1A0EA2BEC78}"/>
    <cellStyle name="Comma 12 2 2 2 12" xfId="48213" xr:uid="{6CF9F0C0-D7DF-480B-A4BC-7714CFCF5C89}"/>
    <cellStyle name="Comma 12 2 2 2 13" xfId="51031" xr:uid="{55293864-1E63-40F2-A519-B0BE376BE21B}"/>
    <cellStyle name="Comma 12 2 2 2 14" xfId="51911" xr:uid="{04329343-46F1-4439-9C75-0031FBB01242}"/>
    <cellStyle name="Comma 12 2 2 2 15" xfId="16899" xr:uid="{4A1E80A9-136B-4C4E-B2DC-1BBFC80130C1}"/>
    <cellStyle name="Comma 12 2 2 2 2" xfId="13559" xr:uid="{695A3422-159E-413C-9974-079373A372E5}"/>
    <cellStyle name="Comma 12 2 2 2 2 2" xfId="39460" xr:uid="{8B2A59C6-DF5F-49B5-9881-5EC7076C55D0}"/>
    <cellStyle name="Comma 12 2 2 2 2 3" xfId="41314" xr:uid="{D572E216-C2BD-4C3D-B31F-6D54FEF1CD74}"/>
    <cellStyle name="Comma 12 2 2 2 2 4" xfId="43137" xr:uid="{2185BE96-612A-4A86-BD39-654CA72998C9}"/>
    <cellStyle name="Comma 12 2 2 2 2 5" xfId="45234" xr:uid="{0A21B667-2D35-409E-9362-9F704E8E9718}"/>
    <cellStyle name="Comma 12 2 2 2 2 6" xfId="20894" xr:uid="{1A509592-CF90-4471-8703-5097D264373D}"/>
    <cellStyle name="Comma 12 2 2 2 3" xfId="20113" xr:uid="{AAC89DA3-6980-43DA-81AB-4AD2E9DED732}"/>
    <cellStyle name="Comma 12 2 2 2 4" xfId="23493" xr:uid="{E9972944-374A-475B-81AD-BC653062D0F2}"/>
    <cellStyle name="Comma 12 2 2 2 5" xfId="37990" xr:uid="{5CF31B05-486A-4B3D-A41E-3D4FBC482F30}"/>
    <cellStyle name="Comma 12 2 2 2 6" xfId="38869" xr:uid="{2EA4400E-7BB0-41DF-9F39-E775516667DA}"/>
    <cellStyle name="Comma 12 2 2 2 7" xfId="39813" xr:uid="{E25BB783-6777-48D8-A8AB-7725B4920BC8}"/>
    <cellStyle name="Comma 12 2 2 2 8" xfId="40455" xr:uid="{31FCFBD4-41B2-4331-9172-6EB020C0391F}"/>
    <cellStyle name="Comma 12 2 2 2 9" xfId="41667" xr:uid="{67D00829-752C-45ED-BECE-ADAC2F3A7DC0}"/>
    <cellStyle name="Comma 12 2 2 3" xfId="7761" xr:uid="{BD125139-FDAE-42FC-B053-ACAAEEC5BE36}"/>
    <cellStyle name="Comma 12 2 2 3 2" xfId="39393" xr:uid="{C7859401-B347-47D0-ADFE-A9BC4A049A71}"/>
    <cellStyle name="Comma 12 2 2 3 3" xfId="41249" xr:uid="{B09DB3FC-1BB5-414D-802A-B3031580B652}"/>
    <cellStyle name="Comma 12 2 2 3 4" xfId="43070" xr:uid="{F3D6E710-DFC3-49FF-8EEF-2562207FAE52}"/>
    <cellStyle name="Comma 12 2 2 3 5" xfId="45169" xr:uid="{5CFB60B1-376F-4505-ADDB-4C9C631F3A45}"/>
    <cellStyle name="Comma 12 2 2 3 6" xfId="20768" xr:uid="{37961D92-C078-4768-AD1B-7A3898360242}"/>
    <cellStyle name="Comma 12 2 2 4" xfId="12274" xr:uid="{2D8800FA-919C-4464-A5B5-E9728FBDC9E8}"/>
    <cellStyle name="Comma 12 2 2 4 2" xfId="20046" xr:uid="{B0AD0F56-D5A9-4DCD-BF59-A832D373B73E}"/>
    <cellStyle name="Comma 12 2 2 5" xfId="23492" xr:uid="{C7EB30A6-37C9-4C71-8E50-E8DE349D350C}"/>
    <cellStyle name="Comma 12 2 2 6" xfId="37989" xr:uid="{47A826E6-EE89-4938-914A-7328B007CF2A}"/>
    <cellStyle name="Comma 12 2 2 7" xfId="38802" xr:uid="{1DAFB478-1DB2-4D4D-8BDD-2699AA7DDDA2}"/>
    <cellStyle name="Comma 12 2 2 8" xfId="39812" xr:uid="{8AC0F514-1B65-45E1-B304-80EAB8FB0156}"/>
    <cellStyle name="Comma 12 2 2 9" xfId="40454" xr:uid="{828EBC08-2D8B-4119-B7FE-DC95020113DD}"/>
    <cellStyle name="Comma 12 2 3" xfId="11108" xr:uid="{AB5DEF31-55D2-4164-9AC3-02D239696489}"/>
    <cellStyle name="Comma 12 2 3 10" xfId="42545" xr:uid="{62DA9580-7EF1-4632-A493-C7A70FAEACFE}"/>
    <cellStyle name="Comma 12 2 3 11" xfId="44712" xr:uid="{7AEDE049-70E9-4C43-9347-31819C51733F}"/>
    <cellStyle name="Comma 12 2 3 12" xfId="46891" xr:uid="{C1D97796-526F-4E3F-9D74-A57C6735703C}"/>
    <cellStyle name="Comma 12 2 3 13" xfId="49910" xr:uid="{6377A301-34E2-4D0B-958F-7BC9AD8B81CA}"/>
    <cellStyle name="Comma 12 2 3 14" xfId="51912" xr:uid="{0EBFBF33-4DFD-4E3D-9510-192EE5D4476C}"/>
    <cellStyle name="Comma 12 2 3 15" xfId="16898" xr:uid="{622BF2E7-C12B-4406-A5ED-603B0DAA5090}"/>
    <cellStyle name="Comma 12 2 3 16" xfId="15003" xr:uid="{CF855B2C-B729-4B7B-BDE8-98B5056A14D6}"/>
    <cellStyle name="Comma 12 2 3 2" xfId="13705" xr:uid="{43586F5E-3878-4EF9-B656-B982EED58C66}"/>
    <cellStyle name="Comma 12 2 3 2 2" xfId="39459" xr:uid="{9780650D-762E-4E87-928F-6B333727E10F}"/>
    <cellStyle name="Comma 12 2 3 2 3" xfId="41313" xr:uid="{2B966103-E473-4238-BC99-7D624E91AD53}"/>
    <cellStyle name="Comma 12 2 3 2 4" xfId="43136" xr:uid="{7569FBA2-5398-4BFA-B7B5-05DDF8E3A0ED}"/>
    <cellStyle name="Comma 12 2 3 2 5" xfId="45233" xr:uid="{7661BB7E-02B4-497C-A874-85D2D025F844}"/>
    <cellStyle name="Comma 12 2 3 2 6" xfId="48452" xr:uid="{873373F3-4B07-44E4-82F9-BD7A1A32EA2A}"/>
    <cellStyle name="Comma 12 2 3 2 7" xfId="51238" xr:uid="{9E34A528-D0EE-4B86-8CC4-916061C251A3}"/>
    <cellStyle name="Comma 12 2 3 2 8" xfId="51913" xr:uid="{93D1EB7A-22FA-49D2-A886-13D07B340E71}"/>
    <cellStyle name="Comma 12 2 3 2 9" xfId="20893" xr:uid="{4AA78205-4A4D-4EE2-A7AD-8D86108F4A74}"/>
    <cellStyle name="Comma 12 2 3 3" xfId="20112" xr:uid="{2C166E5C-F04F-48C6-A400-B49DF1BE8FB1}"/>
    <cellStyle name="Comma 12 2 3 4" xfId="23494" xr:uid="{1ED5D0E3-A9EF-4194-BFCD-66140B6A5A76}"/>
    <cellStyle name="Comma 12 2 3 5" xfId="37991" xr:uid="{0D64EDDA-AE3A-4F13-9D70-67309B89306A}"/>
    <cellStyle name="Comma 12 2 3 6" xfId="38868" xr:uid="{8CFB7B7D-E389-4896-8D39-F99F912045E9}"/>
    <cellStyle name="Comma 12 2 3 7" xfId="39814" xr:uid="{9EBACBAB-0D6D-46DC-9213-D038EC458080}"/>
    <cellStyle name="Comma 12 2 3 8" xfId="40456" xr:uid="{34CBE261-81B8-4A41-951C-7DF064367D7E}"/>
    <cellStyle name="Comma 12 2 3 9" xfId="41668" xr:uid="{29EEF01F-6B06-49D8-8AF1-674B4ED7BC88}"/>
    <cellStyle name="Comma 12 2 4" xfId="9759" xr:uid="{416214A8-4092-468E-B0D6-A67AA41B2810}"/>
    <cellStyle name="Comma 12 2 4 2" xfId="13065" xr:uid="{C4E8A654-DC12-40A1-BE49-BA843897631C}"/>
    <cellStyle name="Comma 12 2 4 2 2" xfId="49069" xr:uid="{8E64C795-EB0B-47BB-8A00-747D2C4B678C}"/>
    <cellStyle name="Comma 12 2 4 2 3" xfId="51749" xr:uid="{F00F50C5-F78A-4FFF-A60C-65B1B427B983}"/>
    <cellStyle name="Comma 12 2 4 2 4" xfId="51914" xr:uid="{41C81C86-10AC-4283-BB9A-F7D1A44315D6}"/>
    <cellStyle name="Comma 12 2 4 2 5" xfId="39241" xr:uid="{8BFF16EC-A058-4BD8-AB36-BD5D6A2AB3E8}"/>
    <cellStyle name="Comma 12 2 4 3" xfId="41110" xr:uid="{DE088603-6097-4743-97EC-7640F1D86D8C}"/>
    <cellStyle name="Comma 12 2 4 4" xfId="42918" xr:uid="{25CCC867-6C89-40CF-A34E-34E50E207D8B}"/>
    <cellStyle name="Comma 12 2 4 5" xfId="45025" xr:uid="{F0CAD5E2-F5F5-4915-91C1-90F9C615DC2C}"/>
    <cellStyle name="Comma 12 2 4 6" xfId="47486" xr:uid="{019017C5-B1D2-402D-8DD8-D316DB792B96}"/>
    <cellStyle name="Comma 12 2 4 7" xfId="50421" xr:uid="{1F08BFAC-5321-4FFC-B60E-16F61ABEF3F7}"/>
    <cellStyle name="Comma 12 2 4 8" xfId="51915" xr:uid="{4EB504AD-DE42-4758-9313-41E739BCC637}"/>
    <cellStyle name="Comma 12 2 4 9" xfId="20486" xr:uid="{51AF51AD-EB83-4547-84F3-9A7265F2BA5A}"/>
    <cellStyle name="Comma 12 2 5" xfId="7257" xr:uid="{1C21176A-5525-4660-AAFF-8E66366352CA}"/>
    <cellStyle name="Comma 12 2 5 2" xfId="47735" xr:uid="{ED6B8A12-A871-4AB3-B558-F861A30C7443}"/>
    <cellStyle name="Comma 12 2 5 3" xfId="50634" xr:uid="{C2D6711B-DD98-4CAF-8B1B-F0C8C4B3D0BB}"/>
    <cellStyle name="Comma 12 2 5 4" xfId="51916" xr:uid="{ED06690C-75EB-464F-AED0-919BDD7D45C0}"/>
    <cellStyle name="Comma 12 2 5 5" xfId="19893" xr:uid="{054B2016-161F-46E8-8820-0E8138074ADB}"/>
    <cellStyle name="Comma 12 2 6" xfId="11780" xr:uid="{762F0B13-58BF-4D88-ADCB-E7FAAB857692}"/>
    <cellStyle name="Comma 12 2 6 2" xfId="23491" xr:uid="{6C501818-8F85-45A0-A31F-3036C09A51C4}"/>
    <cellStyle name="Comma 12 2 7" xfId="37988" xr:uid="{A5DFA6EF-F3A0-4966-A5EB-6DFB000DEB25}"/>
    <cellStyle name="Comma 12 2 8" xfId="38650" xr:uid="{F64015BA-F645-4DCB-9079-E26586FD27A0}"/>
    <cellStyle name="Comma 12 2 9" xfId="39811" xr:uid="{AFF49474-4BE3-4BDE-9E47-FE3709E1DBF7}"/>
    <cellStyle name="Comma 12 20" xfId="15191" xr:uid="{F2D68521-7404-46B0-AABA-907388554263}"/>
    <cellStyle name="Comma 12 21" xfId="13882" xr:uid="{D0375B23-9DE1-4506-BB22-7A00357408B8}"/>
    <cellStyle name="Comma 12 3" xfId="5483" xr:uid="{FF4579CF-F6E6-4BCA-A871-209AEAE75AED}"/>
    <cellStyle name="Comma 12 3 10" xfId="41669" xr:uid="{45CA53D5-13F5-4AB8-945C-6183069A46CC}"/>
    <cellStyle name="Comma 12 3 11" xfId="42440" xr:uid="{B927AA71-A12E-4F3C-8F18-33571C6E16CE}"/>
    <cellStyle name="Comma 12 3 12" xfId="43772" xr:uid="{6E2CA511-5933-427D-AD15-DD0FD532D65A}"/>
    <cellStyle name="Comma 12 3 13" xfId="44644" xr:uid="{47F5CB73-97FD-4019-A1FB-4C117FFAF538}"/>
    <cellStyle name="Comma 12 3 14" xfId="46530" xr:uid="{F8DAA7C4-4DA5-4BD9-8640-24647640CDFD}"/>
    <cellStyle name="Comma 12 3 15" xfId="49563" xr:uid="{6FE94D3B-C185-4195-ACAF-A79806DE525E}"/>
    <cellStyle name="Comma 12 3 16" xfId="51917" xr:uid="{1C2EC8D5-78A7-4770-9BA5-EABA190E91C6}"/>
    <cellStyle name="Comma 12 3 17" xfId="16634" xr:uid="{F8AE9FA8-08BD-4592-BC32-A3403A2EF1CF}"/>
    <cellStyle name="Comma 12 3 18" xfId="14020" xr:uid="{60B12B4D-3E26-463A-9CFC-2854544A0BC0}"/>
    <cellStyle name="Comma 12 3 2" xfId="7585" xr:uid="{CD7036A9-ABEC-4C23-9821-C1AE0585817C}"/>
    <cellStyle name="Comma 12 3 2 10" xfId="42547" xr:uid="{964669FE-39D6-4E01-8905-AC5AE8A40C61}"/>
    <cellStyle name="Comma 12 3 2 11" xfId="44714" xr:uid="{78353C63-D35E-45DF-8EC4-40EB7480789E}"/>
    <cellStyle name="Comma 12 3 2 12" xfId="47024" xr:uid="{DB1F6A3D-21E5-4C65-9643-F4BE34C2099D}"/>
    <cellStyle name="Comma 12 3 2 13" xfId="50025" xr:uid="{F4B75BE7-0A78-4685-8970-9C0FA31BD94E}"/>
    <cellStyle name="Comma 12 3 2 14" xfId="51918" xr:uid="{A1A3B9E7-F2A1-4F2C-B6B9-1F39D2BA6ACF}"/>
    <cellStyle name="Comma 12 3 2 15" xfId="16900" xr:uid="{B27BD1A9-FCEE-4D5D-9A40-C1AA84F54ACD}"/>
    <cellStyle name="Comma 12 3 2 16" xfId="14512" xr:uid="{01A20571-9C16-4B79-9521-67D341527085}"/>
    <cellStyle name="Comma 12 3 2 2" xfId="10077" xr:uid="{97E89B59-FA17-43CD-8B71-38A18B32E618}"/>
    <cellStyle name="Comma 12 3 2 2 2" xfId="13383" xr:uid="{AF188713-1677-43F7-B96E-90E755464F19}"/>
    <cellStyle name="Comma 12 3 2 2 2 2" xfId="39461" xr:uid="{BB072D65-7980-42C2-885B-77F393766C05}"/>
    <cellStyle name="Comma 12 3 2 2 3" xfId="41315" xr:uid="{DD0E8961-29C7-4E61-B60B-342A15F60006}"/>
    <cellStyle name="Comma 12 3 2 2 4" xfId="43138" xr:uid="{7A44640C-6E02-407F-9703-2739D6F27087}"/>
    <cellStyle name="Comma 12 3 2 2 5" xfId="45235" xr:uid="{B546CD07-FA34-4D06-A3DB-7389240017F9}"/>
    <cellStyle name="Comma 12 3 2 2 6" xfId="48590" xr:uid="{33537DFC-1556-44B3-8E1D-6026A6D726A7}"/>
    <cellStyle name="Comma 12 3 2 2 7" xfId="51353" xr:uid="{374878ED-C787-4B00-B96C-97EE15EB5F71}"/>
    <cellStyle name="Comma 12 3 2 2 8" xfId="51919" xr:uid="{4D9F088C-47D5-4140-8BE5-6E1C61BC24F9}"/>
    <cellStyle name="Comma 12 3 2 2 9" xfId="20895" xr:uid="{9006B727-6773-482A-A63C-5A206DFD6120}"/>
    <cellStyle name="Comma 12 3 2 3" xfId="12098" xr:uid="{A8C26E18-091A-4F9B-B08D-63332600278D}"/>
    <cellStyle name="Comma 12 3 2 3 2" xfId="20114" xr:uid="{45BB739E-AE4C-42F6-BDAB-5E9A6E8389DE}"/>
    <cellStyle name="Comma 12 3 2 4" xfId="23496" xr:uid="{06E61E5E-6FAB-493D-B766-FEA719B9B26D}"/>
    <cellStyle name="Comma 12 3 2 5" xfId="37993" xr:uid="{2929B0CD-1B97-49E4-B608-F6D82BB76ABD}"/>
    <cellStyle name="Comma 12 3 2 6" xfId="38870" xr:uid="{9CAEFD0C-7A60-4543-9A7B-AB831166EBAB}"/>
    <cellStyle name="Comma 12 3 2 7" xfId="39816" xr:uid="{84347DE7-EF14-49D3-8683-FE405DD95778}"/>
    <cellStyle name="Comma 12 3 2 8" xfId="40458" xr:uid="{AEFD0D17-4A46-4273-9B99-CA97F3FD4971}"/>
    <cellStyle name="Comma 12 3 2 9" xfId="41670" xr:uid="{A837E12A-6CA6-4130-BBC4-08E71308E96F}"/>
    <cellStyle name="Comma 12 3 3" xfId="9583" xr:uid="{F19B35C0-89F9-49FF-AA2D-F34E51A54F55}"/>
    <cellStyle name="Comma 12 3 3 2" xfId="12889" xr:uid="{15ED9919-5B58-46FD-AFED-2AD84132B945}"/>
    <cellStyle name="Comma 12 3 3 2 2" xfId="48897" xr:uid="{7F0A99A3-1493-4F6C-8EAE-71521734F1BA}"/>
    <cellStyle name="Comma 12 3 3 2 3" xfId="51609" xr:uid="{5A537160-D2B8-44D8-977F-11A995CFCB4C}"/>
    <cellStyle name="Comma 12 3 3 2 4" xfId="51920" xr:uid="{ECB28CF6-9CB1-4B57-A6F7-F4F1D8B530E1}"/>
    <cellStyle name="Comma 12 3 3 2 5" xfId="39354" xr:uid="{AE8F37D3-C139-4C52-A6A4-CB30E6890687}"/>
    <cellStyle name="Comma 12 3 3 3" xfId="41212" xr:uid="{0CDC3F9B-F26D-4641-A5FC-974609F7AFFE}"/>
    <cellStyle name="Comma 12 3 3 4" xfId="43031" xr:uid="{5C7284F0-AC1C-467C-80C3-8897FD954E9C}"/>
    <cellStyle name="Comma 12 3 3 5" xfId="45132" xr:uid="{F21D2CEA-052A-435C-A379-693195BE0E47}"/>
    <cellStyle name="Comma 12 3 3 6" xfId="47321" xr:uid="{6499B1B1-3B07-40EE-A04D-86BBBFBA9ECA}"/>
    <cellStyle name="Comma 12 3 3 7" xfId="50281" xr:uid="{8F7CD6C1-D9A1-471B-8A79-4998B327D093}"/>
    <cellStyle name="Comma 12 3 3 8" xfId="51921" xr:uid="{217FF816-73EF-4DE6-AECD-C809FB52FB8E}"/>
    <cellStyle name="Comma 12 3 3 9" xfId="20728" xr:uid="{3E559ABB-4565-4E65-8393-EF2BBF049941}"/>
    <cellStyle name="Comma 12 3 4" xfId="7079" xr:uid="{C491BFB0-D501-44B2-BC92-52E4BDF3F24C}"/>
    <cellStyle name="Comma 12 3 4 2" xfId="48042" xr:uid="{C9554989-1D2D-414A-A419-2C93411AF706}"/>
    <cellStyle name="Comma 12 3 4 3" xfId="50891" xr:uid="{1CB2A7CB-8B90-462B-BEEF-0715073233AF}"/>
    <cellStyle name="Comma 12 3 4 4" xfId="51922" xr:uid="{9E3F1444-1453-4F0B-BCA2-F7DC6F24FDAB}"/>
    <cellStyle name="Comma 12 3 4 5" xfId="20007" xr:uid="{ADFB4CAC-BC91-4CBF-989C-F1E67F1BCF2C}"/>
    <cellStyle name="Comma 12 3 5" xfId="11604" xr:uid="{E62D408F-3AB8-4AA3-99A5-9D743CD7734C}"/>
    <cellStyle name="Comma 12 3 5 2" xfId="23495" xr:uid="{E5333DC1-E5FF-4708-8158-DC711E00D5D6}"/>
    <cellStyle name="Comma 12 3 6" xfId="37992" xr:uid="{51226729-41BE-4E07-9188-051EC6723658}"/>
    <cellStyle name="Comma 12 3 7" xfId="38763" xr:uid="{315609F4-CDDF-4A36-A155-807EA52016A5}"/>
    <cellStyle name="Comma 12 3 8" xfId="39815" xr:uid="{BB6C1CFB-468A-4A59-9E15-CF63DD621747}"/>
    <cellStyle name="Comma 12 3 9" xfId="40457" xr:uid="{28F34EDC-1B3F-4381-B2C4-2D492BA6811D}"/>
    <cellStyle name="Comma 12 4" xfId="6473" xr:uid="{65BE30DF-E57A-4892-AFA3-8B37EC65458E}"/>
    <cellStyle name="Comma 12 4 10" xfId="42544" xr:uid="{75A80501-FED8-4DDE-BD91-46E8E9B9F5F4}"/>
    <cellStyle name="Comma 12 4 11" xfId="44711" xr:uid="{AB109E67-2482-4A46-86A2-9F985E871049}"/>
    <cellStyle name="Comma 12 4 12" xfId="46112" xr:uid="{B3359EBC-D0C7-4DAD-B9AB-7EE576B77F08}"/>
    <cellStyle name="Comma 12 4 13" xfId="49448" xr:uid="{6B808B75-DD05-47E0-993D-3BEA0E397B27}"/>
    <cellStyle name="Comma 12 4 14" xfId="51923" xr:uid="{ED420194-4497-40CB-9A58-8173428DB359}"/>
    <cellStyle name="Comma 12 4 15" xfId="16897" xr:uid="{B7594675-5726-4178-8FD3-6802A8C9F0CA}"/>
    <cellStyle name="Comma 12 4 16" xfId="14374" xr:uid="{C5970509-00A0-4F86-B609-0B95A0C975A8}"/>
    <cellStyle name="Comma 12 4 2" xfId="9445" xr:uid="{97D56AAB-C13F-4790-BB8B-101D7F37E33B}"/>
    <cellStyle name="Comma 12 4 2 2" xfId="12751" xr:uid="{510E12C7-926D-443D-9147-988B811B2D1F}"/>
    <cellStyle name="Comma 12 4 2 2 2" xfId="39458" xr:uid="{FDEC78EA-803F-463A-A606-37CDCCEBE542}"/>
    <cellStyle name="Comma 12 4 2 3" xfId="41312" xr:uid="{A3DDACC7-53BA-459F-A5A8-C3CD2730EFAD}"/>
    <cellStyle name="Comma 12 4 2 4" xfId="43135" xr:uid="{3E413B22-0579-42F9-BD02-5CF5765C90D2}"/>
    <cellStyle name="Comma 12 4 2 5" xfId="45232" xr:uid="{EEAAAEDE-CD8D-453E-BE69-6B3F3D1C24A8}"/>
    <cellStyle name="Comma 12 4 2 6" xfId="47907" xr:uid="{D636BDDE-AC46-41E9-92C8-28EF78B06127}"/>
    <cellStyle name="Comma 12 4 2 7" xfId="50776" xr:uid="{0D7082E1-C5DB-4B36-99BD-D7C4409D5F3A}"/>
    <cellStyle name="Comma 12 4 2 8" xfId="51924" xr:uid="{588A3E51-5678-4469-9026-8F47793E7426}"/>
    <cellStyle name="Comma 12 4 2 9" xfId="20892" xr:uid="{C52FF002-B8A5-4A15-96B2-68934CD9195B}"/>
    <cellStyle name="Comma 12 4 3" xfId="11466" xr:uid="{6E4A1D3C-7039-4365-A272-8DE1237BF88A}"/>
    <cellStyle name="Comma 12 4 3 2" xfId="20111" xr:uid="{016385A8-ED10-4F73-85CC-D53CDD146793}"/>
    <cellStyle name="Comma 12 4 4" xfId="23497" xr:uid="{05837DED-79AB-4167-84F0-8C1CDACDC31F}"/>
    <cellStyle name="Comma 12 4 5" xfId="37994" xr:uid="{8929B0C4-139C-40AD-8F06-FDD3ABE1528D}"/>
    <cellStyle name="Comma 12 4 6" xfId="38867" xr:uid="{800113FE-FBAB-4E35-A7FD-017C31DAACA6}"/>
    <cellStyle name="Comma 12 4 7" xfId="39817" xr:uid="{6E397D70-80C7-4E32-8F57-59D67F57FFA9}"/>
    <cellStyle name="Comma 12 4 8" xfId="40459" xr:uid="{608A5979-FB8C-4E1B-80E4-9AE7A3CF34D1}"/>
    <cellStyle name="Comma 12 4 9" xfId="41671" xr:uid="{4E84C42C-C300-4032-8267-D9E95B5AC5F5}"/>
    <cellStyle name="Comma 12 5" xfId="7447" xr:uid="{3C6A4DB0-DA10-4137-9019-80FBF96937E3}"/>
    <cellStyle name="Comma 12 5 10" xfId="42804" xr:uid="{E040EAF8-F68E-4FB0-A99A-42D0A0C4FB38}"/>
    <cellStyle name="Comma 12 5 11" xfId="44931" xr:uid="{DB880E23-E71C-4911-B346-B70F3F229D6D}"/>
    <cellStyle name="Comma 12 5 12" xfId="46795" xr:uid="{775717D6-88A1-42A3-A66E-7FCF1B28C694}"/>
    <cellStyle name="Comma 12 5 13" xfId="49819" xr:uid="{46564A5B-A8D6-43F4-89A1-AA914CCB3D94}"/>
    <cellStyle name="Comma 12 5 14" xfId="51925" xr:uid="{A7AB2988-D328-493C-8D8C-6383F58C8AC9}"/>
    <cellStyle name="Comma 12 5 15" xfId="19710" xr:uid="{78C9D8F5-DD11-46B6-B732-F85AD21C291C}"/>
    <cellStyle name="Comma 12 5 16" xfId="14827" xr:uid="{BCB1F23E-3F34-4D58-AEE7-F190FD49BB08}"/>
    <cellStyle name="Comma 12 5 2" xfId="9939" xr:uid="{88985FFD-18D4-4EAC-9DB9-7A0B06BD6549}"/>
    <cellStyle name="Comma 12 5 2 2" xfId="13245" xr:uid="{69CD99C8-9A63-4D6A-97A9-1FC1E00D6220}"/>
    <cellStyle name="Comma 12 5 2 2 2" xfId="39718" xr:uid="{B5A854D4-9BC3-4F61-86EB-E6FC0BF9973D}"/>
    <cellStyle name="Comma 12 5 2 3" xfId="41571" xr:uid="{C30BE6C6-13FA-455B-A4EB-A130295B4E7A}"/>
    <cellStyle name="Comma 12 5 2 4" xfId="43395" xr:uid="{0BDFA424-65D4-44D4-B5A7-D650E60A465B}"/>
    <cellStyle name="Comma 12 5 2 5" xfId="45474" xr:uid="{F1B861EB-3596-48F0-860B-67C73E01B293}"/>
    <cellStyle name="Comma 12 5 2 6" xfId="48346" xr:uid="{F1005B78-5CC8-4519-B982-6B8AA84758DB}"/>
    <cellStyle name="Comma 12 5 2 7" xfId="51147" xr:uid="{B5FBF75E-4993-4EF7-BB2C-E282A3BDC632}"/>
    <cellStyle name="Comma 12 5 2 8" xfId="51926" xr:uid="{CB4B198B-FD5D-4104-9B23-6BF6334C1D55}"/>
    <cellStyle name="Comma 12 5 2 9" xfId="23327" xr:uid="{0D304842-0C1F-45B1-AEAC-8AFF2AAEB97A}"/>
    <cellStyle name="Comma 12 5 3" xfId="11960" xr:uid="{D350981C-24FF-4895-A050-90FF19E370F8}"/>
    <cellStyle name="Comma 12 5 3 2" xfId="20371" xr:uid="{AA718261-447B-4F8B-85EF-F644296F3548}"/>
    <cellStyle name="Comma 12 5 4" xfId="23498" xr:uid="{B1CAF0CE-A322-4677-953E-8BA432FC6B55}"/>
    <cellStyle name="Comma 12 5 5" xfId="37995" xr:uid="{506A9E4B-6E84-457B-A676-D72EC2C4C2C0}"/>
    <cellStyle name="Comma 12 5 6" xfId="39127" xr:uid="{E0C6712A-A4CF-4C75-A5CC-CA35EA97EB18}"/>
    <cellStyle name="Comma 12 5 7" xfId="39818" xr:uid="{349CB8A6-CE09-4465-94FF-AE9F83741061}"/>
    <cellStyle name="Comma 12 5 8" xfId="40460" xr:uid="{54C7C210-CAD4-494D-B092-18296294E3D2}"/>
    <cellStyle name="Comma 12 5 9" xfId="41672" xr:uid="{2A59D15B-DC07-4FB2-B713-FCB49ADAFB99}"/>
    <cellStyle name="Comma 12 6" xfId="8113" xr:uid="{7E7BA4D5-1C56-48B8-970C-02FBDDF1F663}"/>
    <cellStyle name="Comma 12 6 2" xfId="12569" xr:uid="{CB3F7F66-4D03-4C4E-953D-2E084BBD755A}"/>
    <cellStyle name="Comma 12 6 2 2" xfId="48759" xr:uid="{70E146F8-4277-441C-8D4D-BBB1AF491F8D}"/>
    <cellStyle name="Comma 12 6 2 3" xfId="51494" xr:uid="{9C437B13-9FE7-4BB4-9214-24F8868D77F1}"/>
    <cellStyle name="Comma 12 6 2 4" xfId="51927" xr:uid="{2F44952F-E35A-4FBE-91BD-C8933A569598}"/>
    <cellStyle name="Comma 12 6 2 5" xfId="39203" xr:uid="{B6C3F58E-943B-4118-8C5F-417AA331518E}"/>
    <cellStyle name="Comma 12 6 3" xfId="41078" xr:uid="{F1B4BA12-E141-43D5-8240-03A3BF301692}"/>
    <cellStyle name="Comma 12 6 4" xfId="42880" xr:uid="{504C818E-90B8-4B0E-AAEA-550505EF505E}"/>
    <cellStyle name="Comma 12 6 5" xfId="44987" xr:uid="{86FC14E6-21D9-4869-9A94-E9370660A045}"/>
    <cellStyle name="Comma 12 6 6" xfId="47188" xr:uid="{5CB97773-E6EB-463F-82AF-37FEA199C56E}"/>
    <cellStyle name="Comma 12 6 7" xfId="50166" xr:uid="{6E57F79D-498F-4589-907E-32F66E787938}"/>
    <cellStyle name="Comma 12 6 8" xfId="51928" xr:uid="{D1EE9C95-9ADE-4048-A054-0E06E0B76AA2}"/>
    <cellStyle name="Comma 12 6 9" xfId="20448" xr:uid="{930B39BE-C1CA-4758-A9E0-29AC67C47E7B}"/>
    <cellStyle name="Comma 12 7" xfId="7900" xr:uid="{C5F7B05F-8F0B-42B4-83DD-E68377604C56}"/>
    <cellStyle name="Comma 12 7 2" xfId="12413" xr:uid="{AE41115A-26B6-47B2-A096-86C792C33455}"/>
    <cellStyle name="Comma 12 7 2 2" xfId="47653" xr:uid="{44921974-025B-486C-BD1E-A6CE949E9096}"/>
    <cellStyle name="Comma 12 7 3" xfId="50561" xr:uid="{DE906BB7-71C7-448B-B4E3-3406FD45AB22}"/>
    <cellStyle name="Comma 12 7 4" xfId="51929" xr:uid="{259E238E-377A-4455-A173-7E8B903D258D}"/>
    <cellStyle name="Comma 12 7 5" xfId="19854" xr:uid="{0B30B305-73BB-40D4-942D-AF640EC03BA1}"/>
    <cellStyle name="Comma 12 8" xfId="5797" xr:uid="{D180EEB9-4948-4812-BF4E-DF82D3CC8E63}"/>
    <cellStyle name="Comma 12 8 2" xfId="23490" xr:uid="{9B1461AF-5538-45B9-AE27-ED973EBAF865}"/>
    <cellStyle name="Comma 12 9" xfId="11285" xr:uid="{38081208-EBB0-4F9B-A60D-B97C01FB097B}"/>
    <cellStyle name="Comma 12 9 2" xfId="37987" xr:uid="{0A53F6D0-271F-417C-B379-E933E63B329D}"/>
    <cellStyle name="Comma 13" xfId="1727" xr:uid="{2622B60C-34DA-4E5C-AD6D-69799AE4E1C4}"/>
    <cellStyle name="Comma 13 10" xfId="38613" xr:uid="{E0A995DA-E4AC-432F-BE0B-115680C90CB8}"/>
    <cellStyle name="Comma 13 11" xfId="39819" xr:uid="{29AD01F3-0833-4DE4-A7BE-92050A8EC363}"/>
    <cellStyle name="Comma 13 12" xfId="40461" xr:uid="{D6CE3C5F-E3B2-4F02-BB89-1B8CFDC068A4}"/>
    <cellStyle name="Comma 13 13" xfId="41673" xr:uid="{1F2AC9F2-7A40-4558-A92E-7CCA471E5296}"/>
    <cellStyle name="Comma 13 14" xfId="42290" xr:uid="{CA7757F4-5526-4E06-B83A-78A3626AF3C4}"/>
    <cellStyle name="Comma 13 15" xfId="43500" xr:uid="{5B3D25DF-ABDE-40BD-9BC6-7D528A23701E}"/>
    <cellStyle name="Comma 13 16" xfId="44363" xr:uid="{5E6F4198-0B1C-41AD-BEA9-F0CE467FF163}"/>
    <cellStyle name="Comma 13 17" xfId="45605" xr:uid="{A705A16A-06A4-4E5B-9802-BEF972BB601E}"/>
    <cellStyle name="Comma 13 18" xfId="49234" xr:uid="{4E20AF97-3991-4397-BB06-0961AA52D492}"/>
    <cellStyle name="Comma 13 19" xfId="51930" xr:uid="{54C43266-F6EE-4441-8B72-0D30F9561B71}"/>
    <cellStyle name="Comma 13 2" xfId="4403" xr:uid="{DA1AE3F7-2686-41CF-B75E-3AB3937EB2C6}"/>
    <cellStyle name="Comma 13 2 10" xfId="40462" xr:uid="{64DC0F16-8B6F-45FB-88D7-F7D708418673}"/>
    <cellStyle name="Comma 13 2 11" xfId="41674" xr:uid="{C6BADAF7-8533-4E1D-B98E-38AF36493B3F}"/>
    <cellStyle name="Comma 13 2 12" xfId="42328" xr:uid="{6D3E63E7-7532-40CF-80E8-306CC4467949}"/>
    <cellStyle name="Comma 13 2 13" xfId="44204" xr:uid="{8D3065E9-7BE8-4386-B99A-F14C8382A307}"/>
    <cellStyle name="Comma 13 2 14" xfId="44504" xr:uid="{DB78C16D-5A9E-45D2-8D28-FEFA4D73C575}"/>
    <cellStyle name="Comma 13 2 15" xfId="45679" xr:uid="{CA91906C-AA75-41DB-8CE7-15A76EB3DB6D}"/>
    <cellStyle name="Comma 13 2 16" xfId="49307" xr:uid="{3F4D50D3-FC1F-41F6-802B-6E1C029D53F9}"/>
    <cellStyle name="Comma 13 2 17" xfId="51931" xr:uid="{3636AB20-A322-4396-8277-DBB5A935AC1B}"/>
    <cellStyle name="Comma 13 2 18" xfId="15294" xr:uid="{1CA571E2-8A65-403E-BF57-A1C159826100}"/>
    <cellStyle name="Comma 13 2 19" xfId="14197" xr:uid="{85A72F81-EA7C-4B1E-8840-ECD8578781B5}"/>
    <cellStyle name="Comma 13 2 2" xfId="5660" xr:uid="{1222FF4A-A1D9-4DBC-BEA1-E13769B35254}"/>
    <cellStyle name="Comma 13 2 2 10" xfId="41675" xr:uid="{CFD94F3E-5576-4B24-8A78-790C668946AE}"/>
    <cellStyle name="Comma 13 2 2 11" xfId="42480" xr:uid="{AF46B5F6-9287-4FEC-8EB0-533BA48CB64B}"/>
    <cellStyle name="Comma 13 2 2 12" xfId="44669" xr:uid="{22781C57-0964-4E24-A859-48847C035136}"/>
    <cellStyle name="Comma 13 2 2 13" xfId="46672" xr:uid="{1F761D2C-9F33-4018-98D3-8BA390FA5C8E}"/>
    <cellStyle name="Comma 13 2 2 14" xfId="49704" xr:uid="{E1794576-9B60-42E9-B161-9CF16D9047CA}"/>
    <cellStyle name="Comma 13 2 2 15" xfId="51932" xr:uid="{069AEC7B-F805-4533-ABC5-1E67DE493619}"/>
    <cellStyle name="Comma 13 2 2 16" xfId="16743" xr:uid="{D39ACE8D-0312-411E-8C38-F72E96EB5D3D}"/>
    <cellStyle name="Comma 13 2 2 17" xfId="14689" xr:uid="{50A1B8C3-D421-4BA2-BD83-D9518C0C898E}"/>
    <cellStyle name="Comma 13 2 2 2" xfId="10254" xr:uid="{E0CC00BC-0E49-46D0-BDFA-4174F73880BE}"/>
    <cellStyle name="Comma 13 2 2 2 10" xfId="42550" xr:uid="{C4850025-385B-4EFD-A1C8-4F1E6C3B9348}"/>
    <cellStyle name="Comma 13 2 2 2 11" xfId="44717" xr:uid="{6E7C2BBB-F455-481E-9416-491971098BB6}"/>
    <cellStyle name="Comma 13 2 2 2 12" xfId="48214" xr:uid="{C3979666-4776-4243-8217-8A042484A1D0}"/>
    <cellStyle name="Comma 13 2 2 2 13" xfId="51032" xr:uid="{85FE2CAE-DEA8-4223-80A3-0F256139CA53}"/>
    <cellStyle name="Comma 13 2 2 2 14" xfId="51933" xr:uid="{CCBD78C2-A32E-4836-957E-7632C05E8467}"/>
    <cellStyle name="Comma 13 2 2 2 15" xfId="16903" xr:uid="{C322DA26-35B2-44E8-B030-27DC8AF29E88}"/>
    <cellStyle name="Comma 13 2 2 2 2" xfId="13560" xr:uid="{B6889536-F001-4A56-AACE-50FA59E98BAC}"/>
    <cellStyle name="Comma 13 2 2 2 2 2" xfId="39464" xr:uid="{6EF05B19-8FC3-456D-AD7A-D2695FA22BD9}"/>
    <cellStyle name="Comma 13 2 2 2 2 3" xfId="41318" xr:uid="{E3ECB7A4-6CBB-4307-8BE7-6778F1415CF9}"/>
    <cellStyle name="Comma 13 2 2 2 2 4" xfId="43141" xr:uid="{80B9E820-639E-416A-9514-A5D380ACB7C0}"/>
    <cellStyle name="Comma 13 2 2 2 2 5" xfId="45238" xr:uid="{1EE25BA9-B693-4EC6-95A5-CDAD6C0C1404}"/>
    <cellStyle name="Comma 13 2 2 2 2 6" xfId="20898" xr:uid="{2AC1B885-2445-4004-9651-C4374CB06A8F}"/>
    <cellStyle name="Comma 13 2 2 2 3" xfId="20117" xr:uid="{66065385-3222-43A5-A53E-71BDB31EBDCA}"/>
    <cellStyle name="Comma 13 2 2 2 4" xfId="23502" xr:uid="{18E4D44D-5F5A-424E-B4E5-8DB93D06C91D}"/>
    <cellStyle name="Comma 13 2 2 2 5" xfId="37999" xr:uid="{242A1FC2-67BE-4847-9A99-61AFC47EC559}"/>
    <cellStyle name="Comma 13 2 2 2 6" xfId="38873" xr:uid="{0AEE7FF6-F4A5-42A7-8487-F397BFAE412F}"/>
    <cellStyle name="Comma 13 2 2 2 7" xfId="39822" xr:uid="{EC30C803-8C11-4F39-8828-32A19FA3E7CF}"/>
    <cellStyle name="Comma 13 2 2 2 8" xfId="40464" xr:uid="{0D164660-301E-432A-BB4B-A7400333DA3B}"/>
    <cellStyle name="Comma 13 2 2 2 9" xfId="41676" xr:uid="{52274927-F264-4232-AFDA-25F609EBC9C1}"/>
    <cellStyle name="Comma 13 2 2 3" xfId="7762" xr:uid="{34DCBE1E-7A6F-4581-B9F1-9265579668E7}"/>
    <cellStyle name="Comma 13 2 2 3 2" xfId="39394" xr:uid="{623BF17D-D443-4931-A699-2E3AC74818A3}"/>
    <cellStyle name="Comma 13 2 2 3 3" xfId="41250" xr:uid="{4FA2122A-D61F-49C8-9EE4-F109A21173A5}"/>
    <cellStyle name="Comma 13 2 2 3 4" xfId="43071" xr:uid="{977E6A80-C6F5-4E2D-8259-D8A617A55F87}"/>
    <cellStyle name="Comma 13 2 2 3 5" xfId="45170" xr:uid="{4316C7C4-DA72-403A-AE34-5E668EBB8DBA}"/>
    <cellStyle name="Comma 13 2 2 3 6" xfId="20769" xr:uid="{BCB5A607-A5AB-48AB-91B6-4C213A1CB6D6}"/>
    <cellStyle name="Comma 13 2 2 4" xfId="12275" xr:uid="{49357125-EF38-4672-A820-33DD9C0EFF4E}"/>
    <cellStyle name="Comma 13 2 2 4 2" xfId="20047" xr:uid="{4573CCD7-5DDC-40A0-9694-047C291F2B56}"/>
    <cellStyle name="Comma 13 2 2 5" xfId="23501" xr:uid="{ADDBD335-5139-4FB6-B8D8-8A96C088E09F}"/>
    <cellStyle name="Comma 13 2 2 6" xfId="37998" xr:uid="{C953A72F-251F-4AF1-A0E6-ACFFFEF1C86E}"/>
    <cellStyle name="Comma 13 2 2 7" xfId="38803" xr:uid="{A27AC490-023C-44CF-992E-7704CBDEFD12}"/>
    <cellStyle name="Comma 13 2 2 8" xfId="39821" xr:uid="{4B9E5755-B887-4E41-BD48-079446C6193D}"/>
    <cellStyle name="Comma 13 2 2 9" xfId="40463" xr:uid="{C0EC5CC8-CD43-444D-8D6B-90FD0F5AE36D}"/>
    <cellStyle name="Comma 13 2 3" xfId="11109" xr:uid="{0FAF98DA-9077-4CC4-A25C-514EA53E77D5}"/>
    <cellStyle name="Comma 13 2 3 10" xfId="42549" xr:uid="{6C792AD5-79F7-4EF7-8AA6-D4DB7722E58E}"/>
    <cellStyle name="Comma 13 2 3 11" xfId="44716" xr:uid="{337491FF-2EEA-4793-92A9-B89DF0773D27}"/>
    <cellStyle name="Comma 13 2 3 12" xfId="46892" xr:uid="{C564577D-DEBA-44DB-82F3-03A975CC526A}"/>
    <cellStyle name="Comma 13 2 3 13" xfId="49911" xr:uid="{241ED11C-D648-4D24-AB7B-41C2C1590A40}"/>
    <cellStyle name="Comma 13 2 3 14" xfId="51934" xr:uid="{34CB344B-22D1-4814-B5FD-26163F7F1742}"/>
    <cellStyle name="Comma 13 2 3 15" xfId="16902" xr:uid="{489C1E13-2DBB-4D1F-84C6-C80E5CFC0044}"/>
    <cellStyle name="Comma 13 2 3 16" xfId="15004" xr:uid="{5ED15569-F17D-4A42-A7DD-EAC09CDDC2BD}"/>
    <cellStyle name="Comma 13 2 3 2" xfId="13706" xr:uid="{A5689598-128E-498B-A3D0-EF4F95006245}"/>
    <cellStyle name="Comma 13 2 3 2 2" xfId="39463" xr:uid="{64A4C00E-2E00-4EBB-8649-A774135EA33C}"/>
    <cellStyle name="Comma 13 2 3 2 3" xfId="41317" xr:uid="{62C3E8C9-7A33-4FBF-A6C9-EA6AC5B79E03}"/>
    <cellStyle name="Comma 13 2 3 2 4" xfId="43140" xr:uid="{DBA18466-F5DF-465E-8726-22CB5D5131C0}"/>
    <cellStyle name="Comma 13 2 3 2 5" xfId="45237" xr:uid="{FB7D55E1-215D-4BF4-B98D-DF8E1AFC032E}"/>
    <cellStyle name="Comma 13 2 3 2 6" xfId="48453" xr:uid="{C382F0D0-A50C-4D77-A779-5740735F7321}"/>
    <cellStyle name="Comma 13 2 3 2 7" xfId="51239" xr:uid="{0EDA0BA1-D82F-4ADD-A992-3D30043998D1}"/>
    <cellStyle name="Comma 13 2 3 2 8" xfId="51935" xr:uid="{F04166A5-C1AF-4512-8213-9A16663A130D}"/>
    <cellStyle name="Comma 13 2 3 2 9" xfId="20897" xr:uid="{7376E82D-F580-49DA-A520-AC56058AD020}"/>
    <cellStyle name="Comma 13 2 3 3" xfId="20116" xr:uid="{A430D481-87C3-4BFA-AAAA-AB99918DDF76}"/>
    <cellStyle name="Comma 13 2 3 4" xfId="23503" xr:uid="{C517C250-CDCC-46EF-A969-98E843913C72}"/>
    <cellStyle name="Comma 13 2 3 5" xfId="38000" xr:uid="{BB724DC5-B25E-446A-A9D0-9CAFF1B3C6CE}"/>
    <cellStyle name="Comma 13 2 3 6" xfId="38872" xr:uid="{E1BB540E-5E5A-4628-B4BA-2B158C8D3B5A}"/>
    <cellStyle name="Comma 13 2 3 7" xfId="39823" xr:uid="{7614EBA1-432F-4AF7-8011-3EA7379A1A59}"/>
    <cellStyle name="Comma 13 2 3 8" xfId="40465" xr:uid="{DB6B94AE-51CF-420E-932D-56AED1FAD87B}"/>
    <cellStyle name="Comma 13 2 3 9" xfId="41677" xr:uid="{A9E660B3-F7ED-4956-9569-4E2CB6B8328D}"/>
    <cellStyle name="Comma 13 2 4" xfId="9760" xr:uid="{9EE9A931-2F99-4BEF-B704-F7FCABD1AA7B}"/>
    <cellStyle name="Comma 13 2 4 2" xfId="13066" xr:uid="{431762E4-EF82-4099-BDD9-23F3B57FC6BC}"/>
    <cellStyle name="Comma 13 2 4 2 2" xfId="49070" xr:uid="{8953FC89-48B7-439C-A909-DB19BED3C62A}"/>
    <cellStyle name="Comma 13 2 4 2 3" xfId="51750" xr:uid="{9B7EF97E-8A38-4E44-BFFC-DE2CC5E98414}"/>
    <cellStyle name="Comma 13 2 4 2 4" xfId="51936" xr:uid="{310DD014-D399-46E0-90D1-003FCE213774}"/>
    <cellStyle name="Comma 13 2 4 2 5" xfId="39242" xr:uid="{179B4CD3-70C7-4B92-B40D-714061ED9852}"/>
    <cellStyle name="Comma 13 2 4 3" xfId="41111" xr:uid="{0C4E2B35-4ECB-4746-9CD5-F9A0A3E3B189}"/>
    <cellStyle name="Comma 13 2 4 4" xfId="42919" xr:uid="{D7D7C805-25F4-401E-8371-AD196CE3A1AB}"/>
    <cellStyle name="Comma 13 2 4 5" xfId="45026" xr:uid="{5DB52DC9-F0BF-4A19-BCEA-28D2124BA120}"/>
    <cellStyle name="Comma 13 2 4 6" xfId="47487" xr:uid="{2AB8208D-6692-42C0-921D-2FCB6E13948D}"/>
    <cellStyle name="Comma 13 2 4 7" xfId="50422" xr:uid="{AF2F7C73-31B3-4D5D-BEBD-0D5BB09C6B40}"/>
    <cellStyle name="Comma 13 2 4 8" xfId="51937" xr:uid="{0E9015AB-BAB3-4719-978E-9C2FACEE05CF}"/>
    <cellStyle name="Comma 13 2 4 9" xfId="20487" xr:uid="{3F9BB1AB-CFC1-4ED1-9E7F-F599BC1195F6}"/>
    <cellStyle name="Comma 13 2 5" xfId="7258" xr:uid="{166F75D3-082F-4D94-AD84-AEF8C247F7B6}"/>
    <cellStyle name="Comma 13 2 5 2" xfId="47736" xr:uid="{871FB595-7B7F-4FB0-82A8-278BD1BF35B4}"/>
    <cellStyle name="Comma 13 2 5 3" xfId="50635" xr:uid="{C401870B-DE4E-4013-A5E1-2AC1FDDFC88F}"/>
    <cellStyle name="Comma 13 2 5 4" xfId="51938" xr:uid="{E656B546-32C2-4415-94A9-1CA341B79FE5}"/>
    <cellStyle name="Comma 13 2 5 5" xfId="19894" xr:uid="{B2ACDEBB-97AE-4507-81C2-6BC42CE76DBC}"/>
    <cellStyle name="Comma 13 2 6" xfId="11781" xr:uid="{0F27664F-E4C1-4DFD-BCD8-F39D5768A4E6}"/>
    <cellStyle name="Comma 13 2 6 2" xfId="23500" xr:uid="{E7204666-88A8-42AE-83F9-7A7C2FDA546B}"/>
    <cellStyle name="Comma 13 2 7" xfId="37997" xr:uid="{5B8136DB-902D-4878-9CCC-A56F9B7105D0}"/>
    <cellStyle name="Comma 13 2 8" xfId="38651" xr:uid="{ADCB88EF-50F4-4F41-BABE-E427AD866467}"/>
    <cellStyle name="Comma 13 2 9" xfId="39820" xr:uid="{7B5B8150-73FF-4386-BFE6-B98CFD64FE2F}"/>
    <cellStyle name="Comma 13 20" xfId="15192" xr:uid="{8026C0AE-555F-450B-AA7E-807C2A60F7D9}"/>
    <cellStyle name="Comma 13 21" xfId="13883" xr:uid="{CDD24F93-BD23-4CCB-A978-7D9F3E0AE6AB}"/>
    <cellStyle name="Comma 13 3" xfId="5484" xr:uid="{445267D7-9A33-4BF0-8748-E4D95D9296B7}"/>
    <cellStyle name="Comma 13 3 10" xfId="41678" xr:uid="{3AE0CD14-AB03-41CF-9B62-BD4CE15380FA}"/>
    <cellStyle name="Comma 13 3 11" xfId="42441" xr:uid="{AF4FB932-BADB-404C-AA04-6888EAA5336A}"/>
    <cellStyle name="Comma 13 3 12" xfId="43773" xr:uid="{12688A89-1660-4547-928C-49F722833E5B}"/>
    <cellStyle name="Comma 13 3 13" xfId="44645" xr:uid="{51A2FDD4-0E96-4DE5-89D4-8BE4DAF0015B}"/>
    <cellStyle name="Comma 13 3 14" xfId="46531" xr:uid="{93645477-4410-4BA7-8DEB-4BEA1AB369FA}"/>
    <cellStyle name="Comma 13 3 15" xfId="49564" xr:uid="{EB53250D-D2FD-4230-B636-44BA04D1E0C5}"/>
    <cellStyle name="Comma 13 3 16" xfId="51939" xr:uid="{ADF1E5B2-D877-406D-8877-540330876F54}"/>
    <cellStyle name="Comma 13 3 17" xfId="16635" xr:uid="{E0C73A98-2BE4-4969-BA6B-C7FC85E1934B}"/>
    <cellStyle name="Comma 13 3 18" xfId="14021" xr:uid="{DD0CDDF6-CC93-4EC1-B182-F2699AEE4824}"/>
    <cellStyle name="Comma 13 3 2" xfId="7586" xr:uid="{214CC1A7-9F60-4BFE-AAB5-24A77A4B8F85}"/>
    <cellStyle name="Comma 13 3 2 10" xfId="42551" xr:uid="{7E3F6E5A-F98F-4E6F-A464-A6D75D4B72AD}"/>
    <cellStyle name="Comma 13 3 2 11" xfId="44718" xr:uid="{12351EAE-4095-48A5-BE95-83A47A077F44}"/>
    <cellStyle name="Comma 13 3 2 12" xfId="47025" xr:uid="{9EB2358C-0B0F-4097-9085-8151225E278C}"/>
    <cellStyle name="Comma 13 3 2 13" xfId="50026" xr:uid="{FF390964-8A1E-45FE-9791-4C0327334B08}"/>
    <cellStyle name="Comma 13 3 2 14" xfId="51940" xr:uid="{D366308D-68B6-4A04-8AC9-8C3E2F58655E}"/>
    <cellStyle name="Comma 13 3 2 15" xfId="16904" xr:uid="{EFC2E5B7-D73B-4252-BCDB-DEB1CC091A02}"/>
    <cellStyle name="Comma 13 3 2 16" xfId="14513" xr:uid="{AAF69CE8-711F-4879-A886-F69B24AE1ECB}"/>
    <cellStyle name="Comma 13 3 2 2" xfId="10078" xr:uid="{1C7AF17F-CE6F-45BD-B60C-FE661BE0B437}"/>
    <cellStyle name="Comma 13 3 2 2 2" xfId="13384" xr:uid="{9522499F-32CA-46A5-886C-0117664E4278}"/>
    <cellStyle name="Comma 13 3 2 2 2 2" xfId="39465" xr:uid="{FA539B72-5F02-4C42-88EE-ABDE5492761B}"/>
    <cellStyle name="Comma 13 3 2 2 3" xfId="41319" xr:uid="{2265884B-1076-47CB-BAE7-237F4AAC2E1E}"/>
    <cellStyle name="Comma 13 3 2 2 4" xfId="43142" xr:uid="{DB3E01B0-E049-45FC-8146-8771587766E4}"/>
    <cellStyle name="Comma 13 3 2 2 5" xfId="45239" xr:uid="{6F0B5F8E-9EFE-4B35-B808-DB6D82F4DC4C}"/>
    <cellStyle name="Comma 13 3 2 2 6" xfId="48591" xr:uid="{2F601959-C34E-4839-AB8E-C13DC4966A6A}"/>
    <cellStyle name="Comma 13 3 2 2 7" xfId="51354" xr:uid="{675DAACE-A603-4C69-86E7-9ABF44270835}"/>
    <cellStyle name="Comma 13 3 2 2 8" xfId="51941" xr:uid="{A0BA2E99-1818-443C-AD92-6291ED62D2C6}"/>
    <cellStyle name="Comma 13 3 2 2 9" xfId="20899" xr:uid="{9250D87E-221A-4D6C-8044-2F434FABBCF5}"/>
    <cellStyle name="Comma 13 3 2 3" xfId="12099" xr:uid="{25156B95-1806-4A9C-A790-D4F32A18FBCB}"/>
    <cellStyle name="Comma 13 3 2 3 2" xfId="20118" xr:uid="{D0BC7653-1C10-4C82-B89E-C788ECDD5564}"/>
    <cellStyle name="Comma 13 3 2 4" xfId="23505" xr:uid="{A3061DD5-D43E-4E5D-9BD9-C4C297E1349B}"/>
    <cellStyle name="Comma 13 3 2 5" xfId="38002" xr:uid="{0EAFCD92-2647-4FB7-AF8A-6F573D4646FF}"/>
    <cellStyle name="Comma 13 3 2 6" xfId="38874" xr:uid="{257D5BED-6DD1-4090-A988-70544C15361B}"/>
    <cellStyle name="Comma 13 3 2 7" xfId="39825" xr:uid="{85FAF9A8-B2F7-423B-B771-51EC1F9EBE4D}"/>
    <cellStyle name="Comma 13 3 2 8" xfId="40467" xr:uid="{F8C66FBA-F156-479D-AFED-086DA130D367}"/>
    <cellStyle name="Comma 13 3 2 9" xfId="41679" xr:uid="{C10A0983-0743-4A2D-B8CF-D0DE5E39B03C}"/>
    <cellStyle name="Comma 13 3 3" xfId="9584" xr:uid="{F0F27CEB-83DE-4E84-88C6-474A0BE03D14}"/>
    <cellStyle name="Comma 13 3 3 2" xfId="12890" xr:uid="{E76EF3D0-0FEC-44E1-AE19-D77F2404964C}"/>
    <cellStyle name="Comma 13 3 3 2 2" xfId="48898" xr:uid="{78E8EB94-B718-4E44-87FC-A96B2A8BE3AF}"/>
    <cellStyle name="Comma 13 3 3 2 3" xfId="51610" xr:uid="{BDF8C183-BE3E-4932-A368-03F6C408AEA4}"/>
    <cellStyle name="Comma 13 3 3 2 4" xfId="51942" xr:uid="{2F0FCE9C-93DB-403E-B699-F8B7B4BA206B}"/>
    <cellStyle name="Comma 13 3 3 2 5" xfId="39355" xr:uid="{7A0343EB-E59C-4178-A06B-15FB167C42AB}"/>
    <cellStyle name="Comma 13 3 3 3" xfId="41213" xr:uid="{3A9D56A5-3A07-4869-B371-AD68D76709F0}"/>
    <cellStyle name="Comma 13 3 3 4" xfId="43032" xr:uid="{71267C5E-6AEF-4D06-946A-F22643717E16}"/>
    <cellStyle name="Comma 13 3 3 5" xfId="45133" xr:uid="{264A9A2B-7F5C-4163-ACAD-17350D6050A3}"/>
    <cellStyle name="Comma 13 3 3 6" xfId="47322" xr:uid="{BDC0CBE0-9094-43DA-ADB0-67E52A217316}"/>
    <cellStyle name="Comma 13 3 3 7" xfId="50282" xr:uid="{37A4DDC3-4FF0-40CC-BDC2-4FA7C2DFAF95}"/>
    <cellStyle name="Comma 13 3 3 8" xfId="51943" xr:uid="{865258F7-D3C1-4E59-BBB1-3A9A7A6563CF}"/>
    <cellStyle name="Comma 13 3 3 9" xfId="20729" xr:uid="{4A5B6E0E-EFFE-4113-B2B7-B2CD6420164E}"/>
    <cellStyle name="Comma 13 3 4" xfId="7080" xr:uid="{E1D5CD1F-EB8F-4CD2-B607-E64B3701BC85}"/>
    <cellStyle name="Comma 13 3 4 2" xfId="48043" xr:uid="{E66E0B18-463B-4D3D-B980-400AE5C826D8}"/>
    <cellStyle name="Comma 13 3 4 3" xfId="50892" xr:uid="{234C4F24-A45A-46E1-A789-BE8F94D1CC1E}"/>
    <cellStyle name="Comma 13 3 4 4" xfId="51944" xr:uid="{4228B19C-251B-4856-A6D7-080CAB6165C3}"/>
    <cellStyle name="Comma 13 3 4 5" xfId="20008" xr:uid="{1F6CB4EE-7327-4053-A083-DF9AC8B17D7F}"/>
    <cellStyle name="Comma 13 3 5" xfId="11605" xr:uid="{15BF2C29-57BB-4A5D-9337-4C0CEA427A3F}"/>
    <cellStyle name="Comma 13 3 5 2" xfId="23504" xr:uid="{9534844A-A54B-467B-A942-00C1305F112E}"/>
    <cellStyle name="Comma 13 3 6" xfId="38001" xr:uid="{DD5ACF79-2BA3-426F-BDCF-2BB9218DCBF4}"/>
    <cellStyle name="Comma 13 3 7" xfId="38764" xr:uid="{F4A5ACA8-654E-469F-AF2F-AAC53A64CFD8}"/>
    <cellStyle name="Comma 13 3 8" xfId="39824" xr:uid="{EDB4412F-434D-4B75-A2B1-B364E0BCA50A}"/>
    <cellStyle name="Comma 13 3 9" xfId="40466" xr:uid="{3C8EC590-B706-4AD4-8AA6-3DF21E354ACE}"/>
    <cellStyle name="Comma 13 4" xfId="6474" xr:uid="{427D9C5B-5CBD-4932-B1CA-F67BB68A8E57}"/>
    <cellStyle name="Comma 13 4 10" xfId="42548" xr:uid="{9A50DF1E-6647-4D65-8F7B-E88B97B07B6C}"/>
    <cellStyle name="Comma 13 4 11" xfId="44715" xr:uid="{4CAEB66F-0085-4C71-987F-E0CFD44DBBD4}"/>
    <cellStyle name="Comma 13 4 12" xfId="46113" xr:uid="{3BF05891-75FC-4CFB-A8E9-9A7C6609D22B}"/>
    <cellStyle name="Comma 13 4 13" xfId="49449" xr:uid="{E4DF2BD6-C12B-4473-BAB9-8FFCBEB3094A}"/>
    <cellStyle name="Comma 13 4 14" xfId="51945" xr:uid="{50C65B7B-515B-4986-9040-E4B3D9AB0F69}"/>
    <cellStyle name="Comma 13 4 15" xfId="16901" xr:uid="{71065338-F92B-44E2-8167-C3AF0AB0D171}"/>
    <cellStyle name="Comma 13 4 16" xfId="14375" xr:uid="{880B1DD3-97FC-4394-9339-36D59AB34051}"/>
    <cellStyle name="Comma 13 4 2" xfId="9446" xr:uid="{BA8B09E3-096C-4CD6-A8F2-FBAE36470F05}"/>
    <cellStyle name="Comma 13 4 2 2" xfId="12752" xr:uid="{5F5F40E2-5775-4D61-BDE3-1B0530B42909}"/>
    <cellStyle name="Comma 13 4 2 2 2" xfId="39462" xr:uid="{D3694A82-B500-4098-B688-E016F8C56616}"/>
    <cellStyle name="Comma 13 4 2 3" xfId="41316" xr:uid="{4220CE51-C1E4-40E0-913D-0D30C10E9DA3}"/>
    <cellStyle name="Comma 13 4 2 4" xfId="43139" xr:uid="{6DAB5B3F-CC2D-45BC-A9E4-254D25FBEC80}"/>
    <cellStyle name="Comma 13 4 2 5" xfId="45236" xr:uid="{051AA9CF-D48B-417A-9604-C10CE719DDED}"/>
    <cellStyle name="Comma 13 4 2 6" xfId="47908" xr:uid="{694C390B-7798-4FBD-BFEC-B6402260616D}"/>
    <cellStyle name="Comma 13 4 2 7" xfId="50777" xr:uid="{3B611467-EC7C-4416-A739-B654FF714F37}"/>
    <cellStyle name="Comma 13 4 2 8" xfId="51946" xr:uid="{51944B03-8762-4D2B-8DBE-87E081EE4E48}"/>
    <cellStyle name="Comma 13 4 2 9" xfId="20896" xr:uid="{7CFBEB47-2C80-4E9B-88D4-9BB1E6EF4477}"/>
    <cellStyle name="Comma 13 4 3" xfId="11467" xr:uid="{D135AE38-9664-4305-B133-5536BE2BB136}"/>
    <cellStyle name="Comma 13 4 3 2" xfId="20115" xr:uid="{7209AD2D-E252-42B4-A59E-F49F98DFC948}"/>
    <cellStyle name="Comma 13 4 4" xfId="23506" xr:uid="{FFEE2A33-3E9C-4AF5-B980-AAE919DB5C21}"/>
    <cellStyle name="Comma 13 4 5" xfId="38003" xr:uid="{D1B60629-447D-4E3E-BA88-15779F980ED9}"/>
    <cellStyle name="Comma 13 4 6" xfId="38871" xr:uid="{689CEA92-667F-491F-94FC-2F57D23285D2}"/>
    <cellStyle name="Comma 13 4 7" xfId="39826" xr:uid="{DB7E0366-AEA5-47D3-A518-2955AB1AC057}"/>
    <cellStyle name="Comma 13 4 8" xfId="40468" xr:uid="{8D333A94-C37C-47F6-BEF5-50650444A0B3}"/>
    <cellStyle name="Comma 13 4 9" xfId="41680" xr:uid="{64140B6F-6BCA-4FD5-A4BC-309E43B72996}"/>
    <cellStyle name="Comma 13 5" xfId="7448" xr:uid="{7D62028A-AB94-42CD-9927-F9F3D32EEAB3}"/>
    <cellStyle name="Comma 13 5 10" xfId="42805" xr:uid="{20E53A03-F936-438E-BA53-C6D8E3641442}"/>
    <cellStyle name="Comma 13 5 11" xfId="44932" xr:uid="{D43D5E59-3701-4927-94C5-DC34E4D35855}"/>
    <cellStyle name="Comma 13 5 12" xfId="46796" xr:uid="{E72548D5-8B18-4745-AC2D-86F4E0A8398D}"/>
    <cellStyle name="Comma 13 5 13" xfId="49820" xr:uid="{54E7D7D0-0631-4434-94D8-932025E4620E}"/>
    <cellStyle name="Comma 13 5 14" xfId="51947" xr:uid="{4C4C9198-BB49-45B5-ADF8-0FDF66D5B9E3}"/>
    <cellStyle name="Comma 13 5 15" xfId="19711" xr:uid="{400D8477-7EDE-4ED7-B9A5-BA9927B11196}"/>
    <cellStyle name="Comma 13 5 16" xfId="14828" xr:uid="{A3AECAEC-7A70-4C4B-9A98-2A27A33E5E06}"/>
    <cellStyle name="Comma 13 5 2" xfId="9940" xr:uid="{96D8DEEE-D1D9-4A00-923E-3056BAEC22D0}"/>
    <cellStyle name="Comma 13 5 2 2" xfId="13246" xr:uid="{8AD3D73F-BC32-4EDC-B212-48151CAB4AE1}"/>
    <cellStyle name="Comma 13 5 2 2 2" xfId="39719" xr:uid="{CD21544A-B0D6-478F-BF89-01BC87B9E416}"/>
    <cellStyle name="Comma 13 5 2 3" xfId="41572" xr:uid="{88C23185-EA16-446F-BC68-0689F3AC4974}"/>
    <cellStyle name="Comma 13 5 2 4" xfId="43396" xr:uid="{915B3A94-6719-4A2D-8718-27D96795DA92}"/>
    <cellStyle name="Comma 13 5 2 5" xfId="45475" xr:uid="{0E45EEE1-16EC-49AF-9CA3-E6437FAD693E}"/>
    <cellStyle name="Comma 13 5 2 6" xfId="48347" xr:uid="{61D1BC64-1412-48D2-BCE6-0F430C29DB22}"/>
    <cellStyle name="Comma 13 5 2 7" xfId="51148" xr:uid="{78BA5D42-C0E3-4C8D-B718-B6E831E0E9A3}"/>
    <cellStyle name="Comma 13 5 2 8" xfId="51948" xr:uid="{D5E12E06-14C9-44F8-9CBB-09B50F62B75F}"/>
    <cellStyle name="Comma 13 5 2 9" xfId="23328" xr:uid="{85954578-5BBC-4AF1-B53C-F417EF722C96}"/>
    <cellStyle name="Comma 13 5 3" xfId="11961" xr:uid="{54CBE434-6A42-4760-B4E5-874266474F38}"/>
    <cellStyle name="Comma 13 5 3 2" xfId="20372" xr:uid="{163A7396-1DED-402D-AEC6-B848B83417BA}"/>
    <cellStyle name="Comma 13 5 4" xfId="23507" xr:uid="{9EE68F81-0950-4D38-88BE-0A10C9448358}"/>
    <cellStyle name="Comma 13 5 5" xfId="38004" xr:uid="{D0884CDD-656D-4E6C-87E3-A9B27F9A0621}"/>
    <cellStyle name="Comma 13 5 6" xfId="39128" xr:uid="{3F5729E2-ED9F-4EB1-859A-799717B72BD2}"/>
    <cellStyle name="Comma 13 5 7" xfId="39827" xr:uid="{A4477382-95FA-401D-9D45-B78B77BA316E}"/>
    <cellStyle name="Comma 13 5 8" xfId="40469" xr:uid="{5ABDD02D-D7E7-41E5-AF5A-E8518CDE34D2}"/>
    <cellStyle name="Comma 13 5 9" xfId="41681" xr:uid="{163BACF5-20B8-4192-9809-8E18C117F745}"/>
    <cellStyle name="Comma 13 6" xfId="8114" xr:uid="{82D58A7E-E7F7-4984-B184-4FF8F3E03191}"/>
    <cellStyle name="Comma 13 6 2" xfId="12570" xr:uid="{1562B151-C811-4CA8-A1CC-FEF3CCF3AB62}"/>
    <cellStyle name="Comma 13 6 2 2" xfId="48760" xr:uid="{374A75D4-6C6B-4276-BDE2-345DB6A4C479}"/>
    <cellStyle name="Comma 13 6 2 3" xfId="51495" xr:uid="{33EAB2EC-94AA-4A2C-9890-B5AF24D34804}"/>
    <cellStyle name="Comma 13 6 2 4" xfId="51949" xr:uid="{E1E88B21-6430-4298-9920-AECE6B0823C4}"/>
    <cellStyle name="Comma 13 6 2 5" xfId="39204" xr:uid="{03EEA894-B379-402D-B7C2-F523C803E67E}"/>
    <cellStyle name="Comma 13 6 3" xfId="41079" xr:uid="{D6B31FFC-9078-4F95-9040-A41D36824E88}"/>
    <cellStyle name="Comma 13 6 4" xfId="42881" xr:uid="{3C90FD59-9BC5-4BA2-BE5E-42A8F4A4FE0F}"/>
    <cellStyle name="Comma 13 6 5" xfId="44988" xr:uid="{97A38042-CAAA-48A3-B8BA-2D0B3E9B7B24}"/>
    <cellStyle name="Comma 13 6 6" xfId="47189" xr:uid="{BB22B7DB-E37E-4FDB-883A-63750C816320}"/>
    <cellStyle name="Comma 13 6 7" xfId="50167" xr:uid="{09A2C199-9C0C-4DD8-924B-800C247CF720}"/>
    <cellStyle name="Comma 13 6 8" xfId="51950" xr:uid="{AE11CF16-B390-4061-B68B-D414799AB533}"/>
    <cellStyle name="Comma 13 6 9" xfId="20449" xr:uid="{5C611821-2D13-4639-8993-BC4A916C05F2}"/>
    <cellStyle name="Comma 13 7" xfId="7901" xr:uid="{F0D8904F-F892-4EEB-8988-1653E2BA7B34}"/>
    <cellStyle name="Comma 13 7 2" xfId="12414" xr:uid="{65A8D616-1472-423E-BD92-069DAB416423}"/>
    <cellStyle name="Comma 13 7 2 2" xfId="47654" xr:uid="{43C9FF36-3FDD-49B5-96E6-70A7E0C5950D}"/>
    <cellStyle name="Comma 13 7 3" xfId="50562" xr:uid="{BE7C43D0-F5FB-4BD4-9C34-FCB1CF618163}"/>
    <cellStyle name="Comma 13 7 4" xfId="51951" xr:uid="{61CF89EB-C32F-482F-A068-FF9A07515F88}"/>
    <cellStyle name="Comma 13 7 5" xfId="19855" xr:uid="{C74A0B56-5037-4415-9CCE-46A5018DF2E3}"/>
    <cellStyle name="Comma 13 8" xfId="5798" xr:uid="{7BBDDACF-5CA1-4263-8759-B5B02B4D505A}"/>
    <cellStyle name="Comma 13 8 2" xfId="23499" xr:uid="{FDAE601A-5CBB-4B08-9537-A477DBE7E440}"/>
    <cellStyle name="Comma 13 9" xfId="11286" xr:uid="{3748BDD3-ED99-4A31-99FC-E3BEC441511B}"/>
    <cellStyle name="Comma 13 9 2" xfId="37996" xr:uid="{CDFC133A-AB8E-4134-9C8B-70177989DC67}"/>
    <cellStyle name="Comma 14" xfId="1728" xr:uid="{3D665B73-47AA-4314-AC3A-67B1B5B7E337}"/>
    <cellStyle name="Comma 14 10" xfId="38614" xr:uid="{A89D4930-017B-474F-98DB-94CC8DDFE3EB}"/>
    <cellStyle name="Comma 14 11" xfId="39828" xr:uid="{1EFD57A9-CC7C-487C-899C-266B27FC1E76}"/>
    <cellStyle name="Comma 14 12" xfId="40470" xr:uid="{AE611B96-B772-4DE7-ACB9-EBAA8CEE5F3C}"/>
    <cellStyle name="Comma 14 13" xfId="41682" xr:uid="{2DABC74C-A1DB-4698-9313-FABF7CD7CF69}"/>
    <cellStyle name="Comma 14 14" xfId="42291" xr:uid="{22E84C6A-A74E-4D73-A7B9-0EA65F12084A}"/>
    <cellStyle name="Comma 14 15" xfId="43501" xr:uid="{BB28897A-0A2F-4B68-A961-F8D406E1BF9F}"/>
    <cellStyle name="Comma 14 16" xfId="44364" xr:uid="{0B346621-C31E-451F-822D-676B9397A0E9}"/>
    <cellStyle name="Comma 14 17" xfId="45606" xr:uid="{2FF98802-A521-49F0-B776-C060A753DF7F}"/>
    <cellStyle name="Comma 14 18" xfId="49235" xr:uid="{3474AC32-6DE5-4775-B625-D8572E2D56B1}"/>
    <cellStyle name="Comma 14 19" xfId="51952" xr:uid="{75A463C5-8306-4608-9A13-04323CC0F344}"/>
    <cellStyle name="Comma 14 2" xfId="4404" xr:uid="{B1B888A4-7502-4C2F-99E5-34BA5B4C91FE}"/>
    <cellStyle name="Comma 14 2 10" xfId="40471" xr:uid="{895C5732-5694-4F8A-92A7-F9912AFFE3C9}"/>
    <cellStyle name="Comma 14 2 11" xfId="41683" xr:uid="{D1F76CBD-DC03-4F57-ACAE-CCA49CA1E182}"/>
    <cellStyle name="Comma 14 2 12" xfId="42329" xr:uid="{2D32DFE7-910C-4FEE-96D8-0D65233BB7F5}"/>
    <cellStyle name="Comma 14 2 13" xfId="44205" xr:uid="{B9D23A3B-7120-48D0-BA33-573FFC1A7305}"/>
    <cellStyle name="Comma 14 2 14" xfId="44505" xr:uid="{9AF578B7-9981-4E5F-B6E1-49EC942E6668}"/>
    <cellStyle name="Comma 14 2 15" xfId="45680" xr:uid="{F8E402EA-53FD-41B3-8B23-F0C996A1B353}"/>
    <cellStyle name="Comma 14 2 16" xfId="49308" xr:uid="{69B91CEC-B595-4130-8881-ABA821F522B7}"/>
    <cellStyle name="Comma 14 2 17" xfId="51953" xr:uid="{21B744FC-E619-47B3-B111-1B2949953D99}"/>
    <cellStyle name="Comma 14 2 18" xfId="15295" xr:uid="{C57536C3-C008-472D-B7B2-E06F6198A5AC}"/>
    <cellStyle name="Comma 14 2 19" xfId="14198" xr:uid="{477AD093-2131-4E03-99E3-808ACF40877C}"/>
    <cellStyle name="Comma 14 2 2" xfId="5661" xr:uid="{94731F58-8943-4A3C-B22D-2B2DA0D42482}"/>
    <cellStyle name="Comma 14 2 2 10" xfId="41684" xr:uid="{A1264F3A-3DC0-441F-AB98-1BEC252F39BC}"/>
    <cellStyle name="Comma 14 2 2 11" xfId="42481" xr:uid="{615804A4-5B3C-4088-ABB3-AC374E9ABAB8}"/>
    <cellStyle name="Comma 14 2 2 12" xfId="44670" xr:uid="{95CF43CE-FC7B-4DA5-9D30-6FF4B70608AA}"/>
    <cellStyle name="Comma 14 2 2 13" xfId="46673" xr:uid="{C85BB601-622E-4147-9B73-4DAA32AFD4B1}"/>
    <cellStyle name="Comma 14 2 2 14" xfId="49705" xr:uid="{B59DBC41-7A8F-4511-8887-62529B087CC5}"/>
    <cellStyle name="Comma 14 2 2 15" xfId="51954" xr:uid="{F9A8F19D-C7E9-4531-BDA9-22646ACAE1A6}"/>
    <cellStyle name="Comma 14 2 2 16" xfId="16744" xr:uid="{CE2685EA-9AFB-41AA-8009-CA7E30426A94}"/>
    <cellStyle name="Comma 14 2 2 17" xfId="14690" xr:uid="{B043F4E6-3BD8-4C7F-A5EB-6BAC0C815EC8}"/>
    <cellStyle name="Comma 14 2 2 2" xfId="10255" xr:uid="{9FC97CAF-7326-43DE-8248-77FC5C76C622}"/>
    <cellStyle name="Comma 14 2 2 2 10" xfId="42554" xr:uid="{FE0B953A-1988-4568-9932-7F9B93AE4AEA}"/>
    <cellStyle name="Comma 14 2 2 2 11" xfId="44721" xr:uid="{EF6AE3F2-3F16-4F8A-8922-ED858AEFCCB1}"/>
    <cellStyle name="Comma 14 2 2 2 12" xfId="48215" xr:uid="{6ACDC09A-BC7C-4174-9D3B-F03F40389B0C}"/>
    <cellStyle name="Comma 14 2 2 2 13" xfId="51033" xr:uid="{82445D4F-DF3A-45A8-B1A9-DCFB2EE6EAE3}"/>
    <cellStyle name="Comma 14 2 2 2 14" xfId="51955" xr:uid="{9D288C34-ADDA-4DA2-86D3-2124393A4A64}"/>
    <cellStyle name="Comma 14 2 2 2 15" xfId="16907" xr:uid="{64B6CC50-18C1-459D-9A0D-5B8186D72312}"/>
    <cellStyle name="Comma 14 2 2 2 2" xfId="13561" xr:uid="{D003FF15-E213-4E0D-94C4-E2DBC9640C45}"/>
    <cellStyle name="Comma 14 2 2 2 2 2" xfId="39468" xr:uid="{EE6F6996-022C-467E-82C9-DA85D1A5B8DD}"/>
    <cellStyle name="Comma 14 2 2 2 2 3" xfId="41322" xr:uid="{CEE15C2D-34F1-4149-B372-1235DA654E5E}"/>
    <cellStyle name="Comma 14 2 2 2 2 4" xfId="43145" xr:uid="{8FC1AF66-A45A-40ED-B013-16ADF3DDD50F}"/>
    <cellStyle name="Comma 14 2 2 2 2 5" xfId="45242" xr:uid="{A27F4D32-A58F-44EE-9268-CC45CBEBBA3B}"/>
    <cellStyle name="Comma 14 2 2 2 2 6" xfId="20902" xr:uid="{46918CBD-74FB-49A3-B352-C21EE60ACA4B}"/>
    <cellStyle name="Comma 14 2 2 2 3" xfId="20121" xr:uid="{65D235F2-2CFD-4523-9678-8677EF0C30A1}"/>
    <cellStyle name="Comma 14 2 2 2 4" xfId="23511" xr:uid="{F9B3723B-D5F9-4B68-8B8C-BB2A63DE0494}"/>
    <cellStyle name="Comma 14 2 2 2 5" xfId="38008" xr:uid="{63632681-EAA8-4A72-B265-0599902ABEAB}"/>
    <cellStyle name="Comma 14 2 2 2 6" xfId="38877" xr:uid="{E26625F8-6C90-4C6A-B554-19C6BDFB6D93}"/>
    <cellStyle name="Comma 14 2 2 2 7" xfId="39831" xr:uid="{348C4425-EC22-4978-A363-946A00775D8F}"/>
    <cellStyle name="Comma 14 2 2 2 8" xfId="40473" xr:uid="{F1FB58BA-BC50-4CD6-88B5-D8FE849F75E1}"/>
    <cellStyle name="Comma 14 2 2 2 9" xfId="41685" xr:uid="{5A0B1D9D-F888-4569-A054-B4634E0AC645}"/>
    <cellStyle name="Comma 14 2 2 3" xfId="7763" xr:uid="{04454F7C-8256-40C3-AFB4-A89B711FD66F}"/>
    <cellStyle name="Comma 14 2 2 3 2" xfId="39395" xr:uid="{8CE68E3E-6498-412C-A46A-125BA1A3A114}"/>
    <cellStyle name="Comma 14 2 2 3 3" xfId="41251" xr:uid="{9EA5C5EC-E3D1-4B7A-86E1-E76C9E8DA5FD}"/>
    <cellStyle name="Comma 14 2 2 3 4" xfId="43072" xr:uid="{18273EEB-F8A1-4810-AD92-34D723A98C43}"/>
    <cellStyle name="Comma 14 2 2 3 5" xfId="45171" xr:uid="{CD6DACE3-346A-4E40-8DDF-4F120BAAE944}"/>
    <cellStyle name="Comma 14 2 2 3 6" xfId="20770" xr:uid="{916DA13A-4095-4686-820E-AE97ECA90F42}"/>
    <cellStyle name="Comma 14 2 2 4" xfId="12276" xr:uid="{9CE4ACB8-2CB1-4CFA-9F95-7145DB2BD184}"/>
    <cellStyle name="Comma 14 2 2 4 2" xfId="20048" xr:uid="{542AE1B7-B884-4693-A9F4-F98E60517CD0}"/>
    <cellStyle name="Comma 14 2 2 5" xfId="23510" xr:uid="{9CD86EC7-051C-45F3-BBB5-0CD68449C0F3}"/>
    <cellStyle name="Comma 14 2 2 6" xfId="38007" xr:uid="{263CAD4C-EEBB-41B0-9D39-BA6A30FF9151}"/>
    <cellStyle name="Comma 14 2 2 7" xfId="38804" xr:uid="{B3CC0D0C-E4F2-440F-916D-B0D01F5C56EA}"/>
    <cellStyle name="Comma 14 2 2 8" xfId="39830" xr:uid="{646F2F7E-9190-486C-90EF-1116738B1FF9}"/>
    <cellStyle name="Comma 14 2 2 9" xfId="40472" xr:uid="{268AEBAF-AAAA-47F1-B8A1-1BDF17E93FA5}"/>
    <cellStyle name="Comma 14 2 3" xfId="11110" xr:uid="{F928755C-2256-4F84-9027-1EBF850FF381}"/>
    <cellStyle name="Comma 14 2 3 10" xfId="42553" xr:uid="{E2A91282-A6BA-4EA9-9416-5E0E6A85C114}"/>
    <cellStyle name="Comma 14 2 3 11" xfId="44720" xr:uid="{5EBC0AC6-02E5-4B87-9629-75B57E15CE9C}"/>
    <cellStyle name="Comma 14 2 3 12" xfId="46893" xr:uid="{9D6F6627-51A9-40C3-867A-86721D98CB50}"/>
    <cellStyle name="Comma 14 2 3 13" xfId="49912" xr:uid="{3BC19A63-B235-4ECD-ADD2-1E026708C2EE}"/>
    <cellStyle name="Comma 14 2 3 14" xfId="51956" xr:uid="{2D2A820A-8580-41E6-A858-64C71A1F993C}"/>
    <cellStyle name="Comma 14 2 3 15" xfId="16906" xr:uid="{68405706-55C1-4B16-8882-0896CD553EB9}"/>
    <cellStyle name="Comma 14 2 3 16" xfId="15005" xr:uid="{F3F46169-3F1A-4BE2-A827-70C917F6DB73}"/>
    <cellStyle name="Comma 14 2 3 2" xfId="13707" xr:uid="{7BEE210A-7214-4F51-8BBB-5CF5353C215F}"/>
    <cellStyle name="Comma 14 2 3 2 2" xfId="39467" xr:uid="{B5E97B74-2DB5-42D4-BFEC-8C72D3EF8626}"/>
    <cellStyle name="Comma 14 2 3 2 3" xfId="41321" xr:uid="{A9752489-67D8-4ED4-9441-BBDC667DC05E}"/>
    <cellStyle name="Comma 14 2 3 2 4" xfId="43144" xr:uid="{23AABD5F-88AF-4E43-BCE5-4A3888CBF158}"/>
    <cellStyle name="Comma 14 2 3 2 5" xfId="45241" xr:uid="{4311A09E-DF1F-40DE-B325-9430B1986821}"/>
    <cellStyle name="Comma 14 2 3 2 6" xfId="48454" xr:uid="{FB48D26A-A110-4590-AAC7-A612DFDE7543}"/>
    <cellStyle name="Comma 14 2 3 2 7" xfId="51240" xr:uid="{EB7EBD5C-3535-40C4-89CE-A260039E7824}"/>
    <cellStyle name="Comma 14 2 3 2 8" xfId="51957" xr:uid="{256D712E-2F2A-4781-91C4-F342FD017350}"/>
    <cellStyle name="Comma 14 2 3 2 9" xfId="20901" xr:uid="{F83F254A-8E31-459B-AC67-BC23BBA9FE32}"/>
    <cellStyle name="Comma 14 2 3 3" xfId="20120" xr:uid="{5709AAF2-D6E8-4E5F-88C8-B030C5A2EFFF}"/>
    <cellStyle name="Comma 14 2 3 4" xfId="23512" xr:uid="{1D3ADD41-E095-4B7A-BDE0-F21ABEAC0A70}"/>
    <cellStyle name="Comma 14 2 3 5" xfId="38009" xr:uid="{01E1C909-DB0C-4876-89C8-6CB3382CB3D2}"/>
    <cellStyle name="Comma 14 2 3 6" xfId="38876" xr:uid="{82BEEDE9-95A3-45E8-A450-94AEB23B2809}"/>
    <cellStyle name="Comma 14 2 3 7" xfId="39832" xr:uid="{0D3BE401-75F8-4E12-A926-33A7589DFA34}"/>
    <cellStyle name="Comma 14 2 3 8" xfId="40474" xr:uid="{1964FED8-B6CC-4984-B5F1-20B4406BA06E}"/>
    <cellStyle name="Comma 14 2 3 9" xfId="41686" xr:uid="{C15192F3-D68B-4950-9BBD-F4EB40E5668A}"/>
    <cellStyle name="Comma 14 2 4" xfId="9761" xr:uid="{FBC791EC-D6E3-4B19-813F-29D472838908}"/>
    <cellStyle name="Comma 14 2 4 2" xfId="13067" xr:uid="{DEA65B90-C39E-45F7-8178-3352D574B714}"/>
    <cellStyle name="Comma 14 2 4 2 2" xfId="49071" xr:uid="{DC58A415-9462-4CCF-A224-65BC6D44DBDF}"/>
    <cellStyle name="Comma 14 2 4 2 3" xfId="51751" xr:uid="{AE574689-F7B7-4C92-90CE-7374706F2931}"/>
    <cellStyle name="Comma 14 2 4 2 4" xfId="51958" xr:uid="{9F2FC508-95E1-425A-B480-41F960C80832}"/>
    <cellStyle name="Comma 14 2 4 2 5" xfId="39243" xr:uid="{23CD120E-CB73-44FF-A404-3D8A805CD84C}"/>
    <cellStyle name="Comma 14 2 4 3" xfId="41112" xr:uid="{9B6A2F61-1970-4D19-8951-8C5029ABA3BD}"/>
    <cellStyle name="Comma 14 2 4 4" xfId="42920" xr:uid="{E403F370-084A-4F86-BEF8-250782BBFEA1}"/>
    <cellStyle name="Comma 14 2 4 5" xfId="45027" xr:uid="{C081D062-5D7E-4C3D-9FB3-94E3D1D0DDC1}"/>
    <cellStyle name="Comma 14 2 4 6" xfId="47488" xr:uid="{D7A3F7DE-DEBE-47FF-8736-07451D803A37}"/>
    <cellStyle name="Comma 14 2 4 7" xfId="50423" xr:uid="{D591F3B9-8F35-40E8-81C8-9B0AABC648C5}"/>
    <cellStyle name="Comma 14 2 4 8" xfId="51959" xr:uid="{72C691CD-D371-40C8-B7E8-6EAF13F0E9C9}"/>
    <cellStyle name="Comma 14 2 4 9" xfId="20488" xr:uid="{693E1A3E-E6E2-41AF-86CA-720461C9FDA7}"/>
    <cellStyle name="Comma 14 2 5" xfId="7259" xr:uid="{2935308E-B3EF-4F83-83D9-9FE210DEDCCA}"/>
    <cellStyle name="Comma 14 2 5 2" xfId="47737" xr:uid="{B4476954-470A-455E-86AD-70E6265F2F04}"/>
    <cellStyle name="Comma 14 2 5 3" xfId="50636" xr:uid="{082D4165-9BE7-4945-9379-E6C37BF9A4ED}"/>
    <cellStyle name="Comma 14 2 5 4" xfId="51960" xr:uid="{63ACB765-1664-4BAC-97EC-5DE202C3A4BA}"/>
    <cellStyle name="Comma 14 2 5 5" xfId="19895" xr:uid="{82D91341-A3DD-4856-A689-3B7698F7B897}"/>
    <cellStyle name="Comma 14 2 6" xfId="11782" xr:uid="{E5E11A62-71C3-40EA-9F0B-C56D0AE1FE2C}"/>
    <cellStyle name="Comma 14 2 6 2" xfId="23509" xr:uid="{FBBDA442-ED8E-41EE-9A53-23FEBF1892C4}"/>
    <cellStyle name="Comma 14 2 7" xfId="38006" xr:uid="{0F8CB010-D405-4C3D-BA3C-B36C6A8BFE5F}"/>
    <cellStyle name="Comma 14 2 8" xfId="38652" xr:uid="{B0810E13-019B-4BF6-BDDB-4FE882DFF656}"/>
    <cellStyle name="Comma 14 2 9" xfId="39829" xr:uid="{9C89D9CF-B2DA-4080-8C92-99E767D23891}"/>
    <cellStyle name="Comma 14 20" xfId="15193" xr:uid="{7AF7CC87-C7AB-44A6-B4F0-3802B00290C4}"/>
    <cellStyle name="Comma 14 21" xfId="13884" xr:uid="{94A5554C-FD25-4B16-80BE-3FF789305FDC}"/>
    <cellStyle name="Comma 14 3" xfId="5485" xr:uid="{400342D2-2270-4796-885A-94F206A9FAF2}"/>
    <cellStyle name="Comma 14 3 10" xfId="41687" xr:uid="{46F98291-DD8A-4CAC-A25E-B6ED10F36A00}"/>
    <cellStyle name="Comma 14 3 11" xfId="42442" xr:uid="{1D95873D-04AC-4DF5-865C-D68ED2B72F82}"/>
    <cellStyle name="Comma 14 3 12" xfId="43774" xr:uid="{07BECF37-E8A9-4956-ABA3-AD888FCB7A79}"/>
    <cellStyle name="Comma 14 3 13" xfId="44646" xr:uid="{EF7A75C9-E4AB-4741-9564-21E6C4EFB2E5}"/>
    <cellStyle name="Comma 14 3 14" xfId="46532" xr:uid="{226DF2CD-0496-4A52-A140-1DF1C07ED1CB}"/>
    <cellStyle name="Comma 14 3 15" xfId="49565" xr:uid="{08B90BC8-EC1E-4F0A-BD3F-B0154E6FAA57}"/>
    <cellStyle name="Comma 14 3 16" xfId="51961" xr:uid="{EFB2950C-CA5C-4B67-BEDE-373190AD2F3C}"/>
    <cellStyle name="Comma 14 3 17" xfId="16636" xr:uid="{0362ACEF-171F-47E6-9887-0CA3E437871D}"/>
    <cellStyle name="Comma 14 3 18" xfId="14022" xr:uid="{11F4E9DE-835A-453D-908B-71CE9AD888D4}"/>
    <cellStyle name="Comma 14 3 2" xfId="7587" xr:uid="{57CC1558-502E-4075-8A3E-4BA4F9199350}"/>
    <cellStyle name="Comma 14 3 2 10" xfId="42555" xr:uid="{3D4FEFF7-47F0-47F5-A492-8E2A1942112E}"/>
    <cellStyle name="Comma 14 3 2 11" xfId="44722" xr:uid="{06343AF2-5EB6-4E54-ABCA-5869EA9E9F5B}"/>
    <cellStyle name="Comma 14 3 2 12" xfId="47026" xr:uid="{712DDC4F-99F6-4382-A6D2-B8AB037C7D9D}"/>
    <cellStyle name="Comma 14 3 2 13" xfId="50027" xr:uid="{6CCC1C40-FBC6-4D8C-9BC5-27AF11D66F70}"/>
    <cellStyle name="Comma 14 3 2 14" xfId="51962" xr:uid="{DC104C41-7F81-4663-BED8-2C1EC79DC78E}"/>
    <cellStyle name="Comma 14 3 2 15" xfId="16908" xr:uid="{03052CC2-8AE3-4972-A3E3-5C325490DA9F}"/>
    <cellStyle name="Comma 14 3 2 16" xfId="14514" xr:uid="{52BF3B7B-D5C1-400A-A592-71911ED2E01B}"/>
    <cellStyle name="Comma 14 3 2 2" xfId="10079" xr:uid="{705B1F85-8E43-4B7D-B2FF-7400169A1B8E}"/>
    <cellStyle name="Comma 14 3 2 2 2" xfId="13385" xr:uid="{B5081F2B-1C30-4A42-818F-9FCD068242C1}"/>
    <cellStyle name="Comma 14 3 2 2 2 2" xfId="39469" xr:uid="{78822AB8-8426-4610-9145-B562C5DDFD4C}"/>
    <cellStyle name="Comma 14 3 2 2 3" xfId="41323" xr:uid="{77B84D95-0807-483D-8D0E-F1F437F905C1}"/>
    <cellStyle name="Comma 14 3 2 2 4" xfId="43146" xr:uid="{C64E1D04-8ED9-47E1-9841-76933F4315FE}"/>
    <cellStyle name="Comma 14 3 2 2 5" xfId="45243" xr:uid="{7155B1A2-37FA-4D21-B2C7-095202185C60}"/>
    <cellStyle name="Comma 14 3 2 2 6" xfId="48592" xr:uid="{4E4E0371-9089-47F6-A515-779F341B061F}"/>
    <cellStyle name="Comma 14 3 2 2 7" xfId="51355" xr:uid="{7A07B314-0BCF-4785-9154-7BA854BF4C96}"/>
    <cellStyle name="Comma 14 3 2 2 8" xfId="51963" xr:uid="{9C009D98-A88E-46D6-A12B-E90C8E1D2373}"/>
    <cellStyle name="Comma 14 3 2 2 9" xfId="20903" xr:uid="{C80F2DD3-1742-4E66-9CA7-9DC4BEDB4671}"/>
    <cellStyle name="Comma 14 3 2 3" xfId="12100" xr:uid="{40B5C628-0E91-45C9-8E3C-62838EE88065}"/>
    <cellStyle name="Comma 14 3 2 3 2" xfId="20122" xr:uid="{0D8C08B3-925F-4CBE-8668-75157663C6E2}"/>
    <cellStyle name="Comma 14 3 2 4" xfId="23514" xr:uid="{517CCAC2-40CB-4C99-B640-4EC173B3B508}"/>
    <cellStyle name="Comma 14 3 2 5" xfId="38011" xr:uid="{001632CB-E1E1-48A7-89BA-F987321FEE3D}"/>
    <cellStyle name="Comma 14 3 2 6" xfId="38878" xr:uid="{A609BE46-05C7-4180-9CD2-980EC6162E74}"/>
    <cellStyle name="Comma 14 3 2 7" xfId="39834" xr:uid="{8A104B5C-6E5E-49BA-9512-D6AA7637ECD8}"/>
    <cellStyle name="Comma 14 3 2 8" xfId="40476" xr:uid="{930B3281-B491-4D02-8907-439437223BCC}"/>
    <cellStyle name="Comma 14 3 2 9" xfId="41688" xr:uid="{DC233BBB-E466-44B5-A7E7-13732A9BE993}"/>
    <cellStyle name="Comma 14 3 3" xfId="9585" xr:uid="{3BFF3F82-9C57-4307-B42B-2EB37CBF32C1}"/>
    <cellStyle name="Comma 14 3 3 2" xfId="12891" xr:uid="{E7D04425-4D82-4667-8135-ED1F712E6A1D}"/>
    <cellStyle name="Comma 14 3 3 2 2" xfId="48899" xr:uid="{CCA9C096-5AAF-42DF-9FD1-86F14C4C50F8}"/>
    <cellStyle name="Comma 14 3 3 2 3" xfId="51611" xr:uid="{B1F5E021-A6AA-4F38-91EA-536BF50951B4}"/>
    <cellStyle name="Comma 14 3 3 2 4" xfId="51964" xr:uid="{970B8F1C-2770-4FBD-9A98-5319A31E9025}"/>
    <cellStyle name="Comma 14 3 3 2 5" xfId="39356" xr:uid="{B5C2CEA4-90ED-448F-B3CA-82026D6CAFFD}"/>
    <cellStyle name="Comma 14 3 3 3" xfId="41214" xr:uid="{6BFE8A4E-897C-4B49-9120-9869EA2DC0CE}"/>
    <cellStyle name="Comma 14 3 3 4" xfId="43033" xr:uid="{1CF913FE-B33A-419D-A755-DB0FC2546891}"/>
    <cellStyle name="Comma 14 3 3 5" xfId="45134" xr:uid="{AB95DBAA-2DA9-4F77-B838-23F1476F9B4C}"/>
    <cellStyle name="Comma 14 3 3 6" xfId="47323" xr:uid="{B8DEDBED-1558-4656-B244-DA981DA13DD6}"/>
    <cellStyle name="Comma 14 3 3 7" xfId="50283" xr:uid="{CABE19BB-7FE5-4492-91BF-67A11834C540}"/>
    <cellStyle name="Comma 14 3 3 8" xfId="51965" xr:uid="{2F6D306F-088E-4C5B-BB4F-0A54E390F2EA}"/>
    <cellStyle name="Comma 14 3 3 9" xfId="20730" xr:uid="{57C30F48-82BA-438F-B3E4-27A35E7A2A51}"/>
    <cellStyle name="Comma 14 3 4" xfId="7081" xr:uid="{DE10C4D8-C481-4882-A10F-49FCEE97588C}"/>
    <cellStyle name="Comma 14 3 4 2" xfId="48044" xr:uid="{8D278B53-001D-4D29-8F91-063F188B63B2}"/>
    <cellStyle name="Comma 14 3 4 3" xfId="50893" xr:uid="{E016AA1B-6ED8-4268-9C70-37A7D24A75BE}"/>
    <cellStyle name="Comma 14 3 4 4" xfId="51966" xr:uid="{16BE2F21-2331-4CD4-9C56-A9551E4A7166}"/>
    <cellStyle name="Comma 14 3 4 5" xfId="20009" xr:uid="{BA941EC4-F964-486B-B03B-9A8FBDECE023}"/>
    <cellStyle name="Comma 14 3 5" xfId="11606" xr:uid="{F41418C3-91FD-4F47-A7E2-A4A221D0FDBC}"/>
    <cellStyle name="Comma 14 3 5 2" xfId="23513" xr:uid="{2CB595B7-A718-42EC-87E7-E5589D041D1E}"/>
    <cellStyle name="Comma 14 3 6" xfId="38010" xr:uid="{FDCD5373-849F-4381-AE4F-F10F9FB40CED}"/>
    <cellStyle name="Comma 14 3 7" xfId="38765" xr:uid="{935D0CC8-8280-46AA-9E95-FF5DAB6AFE36}"/>
    <cellStyle name="Comma 14 3 8" xfId="39833" xr:uid="{65EB9080-58E2-4937-8AC9-B655D6A0C98B}"/>
    <cellStyle name="Comma 14 3 9" xfId="40475" xr:uid="{AF31059E-337E-4BB9-BFE0-67A5CEBD3ADB}"/>
    <cellStyle name="Comma 14 4" xfId="6475" xr:uid="{B4F1C6F8-7AB7-4405-9B23-29BB622451BE}"/>
    <cellStyle name="Comma 14 4 10" xfId="42552" xr:uid="{5CD9B916-CC2D-4224-B281-DDAD5C3BA35E}"/>
    <cellStyle name="Comma 14 4 11" xfId="44719" xr:uid="{C6EAC53D-74CA-4385-B71F-AE36A94CBA70}"/>
    <cellStyle name="Comma 14 4 12" xfId="46114" xr:uid="{9B6E1BEB-615C-4E4B-A309-2C5118ABBE3B}"/>
    <cellStyle name="Comma 14 4 13" xfId="49450" xr:uid="{3002D390-71E4-4D82-A137-25BAC5B70122}"/>
    <cellStyle name="Comma 14 4 14" xfId="51967" xr:uid="{B663A634-E78C-4A4C-B634-AD342A29CAF4}"/>
    <cellStyle name="Comma 14 4 15" xfId="16905" xr:uid="{9BC3A59D-E251-48D9-A75D-EF06B0D4E666}"/>
    <cellStyle name="Comma 14 4 16" xfId="14376" xr:uid="{74C8EBA9-8AD8-428C-8E23-90242F6231A1}"/>
    <cellStyle name="Comma 14 4 2" xfId="9447" xr:uid="{5C1CAD6A-FCA4-45DF-A39C-5EA191D44C95}"/>
    <cellStyle name="Comma 14 4 2 2" xfId="12753" xr:uid="{6FAC662A-0A40-4528-930A-DEECC6D6C3EF}"/>
    <cellStyle name="Comma 14 4 2 2 2" xfId="39466" xr:uid="{F33FDD16-6F97-4BA6-9673-5D078DE4BA41}"/>
    <cellStyle name="Comma 14 4 2 3" xfId="41320" xr:uid="{5C8315DB-BFBA-407E-900E-A365F554C47E}"/>
    <cellStyle name="Comma 14 4 2 4" xfId="43143" xr:uid="{2FF1E4EC-A6E6-4630-B9D1-6BE237F27DFB}"/>
    <cellStyle name="Comma 14 4 2 5" xfId="45240" xr:uid="{9FAF6F87-01F9-4C01-9333-F1986EFE6398}"/>
    <cellStyle name="Comma 14 4 2 6" xfId="47909" xr:uid="{299830F2-9124-4605-B445-715B035567D6}"/>
    <cellStyle name="Comma 14 4 2 7" xfId="50778" xr:uid="{A2A9467F-E7D6-4F54-AC49-956BDE9BE5F4}"/>
    <cellStyle name="Comma 14 4 2 8" xfId="51968" xr:uid="{46D40CB1-39C4-422C-AE87-DDB637ECCC65}"/>
    <cellStyle name="Comma 14 4 2 9" xfId="20900" xr:uid="{2E6623F2-4CEE-4509-AB10-87E94CCD4318}"/>
    <cellStyle name="Comma 14 4 3" xfId="11468" xr:uid="{8E8813A5-1065-4930-A5D0-60AB5FBFB800}"/>
    <cellStyle name="Comma 14 4 3 2" xfId="20119" xr:uid="{84DD96D9-02F6-429C-8E58-15F6F092BCC4}"/>
    <cellStyle name="Comma 14 4 4" xfId="23515" xr:uid="{D24DEA8E-2060-4C28-8358-9A3A98104E2D}"/>
    <cellStyle name="Comma 14 4 5" xfId="38012" xr:uid="{D66B3E9D-1FF2-4C83-897A-A4C645BA8094}"/>
    <cellStyle name="Comma 14 4 6" xfId="38875" xr:uid="{81A4D119-92A3-4929-B7B9-DAB5C1C22D62}"/>
    <cellStyle name="Comma 14 4 7" xfId="39835" xr:uid="{2DE3FF7D-B5CC-4CFA-8561-8C4CB9F4EF3C}"/>
    <cellStyle name="Comma 14 4 8" xfId="40477" xr:uid="{9EAFFA39-15F5-45B0-8CC1-BE8F25399749}"/>
    <cellStyle name="Comma 14 4 9" xfId="41689" xr:uid="{C4759ECD-0957-4D95-B893-A47C4E0257B9}"/>
    <cellStyle name="Comma 14 5" xfId="7449" xr:uid="{7069FCC1-4699-4EE3-B606-4B946A761733}"/>
    <cellStyle name="Comma 14 5 10" xfId="42806" xr:uid="{2470245E-5366-4D27-ABC6-C4E4A68BCDC2}"/>
    <cellStyle name="Comma 14 5 11" xfId="44933" xr:uid="{E6B31F5C-864F-45AA-BCE6-7E50D415C4B4}"/>
    <cellStyle name="Comma 14 5 12" xfId="46797" xr:uid="{A72A3195-A3F8-49E0-80F3-26EFBE62DA16}"/>
    <cellStyle name="Comma 14 5 13" xfId="49821" xr:uid="{4847C0AA-CCEE-4E56-AAF9-ED320237E6E2}"/>
    <cellStyle name="Comma 14 5 14" xfId="51969" xr:uid="{7AF301AA-421D-42E0-AA75-3261EC552141}"/>
    <cellStyle name="Comma 14 5 15" xfId="19712" xr:uid="{C0486D58-868B-4C22-9A38-37C1EC353955}"/>
    <cellStyle name="Comma 14 5 16" xfId="14829" xr:uid="{C6BEF769-6C93-4F44-A1A7-1E142A1B3E3F}"/>
    <cellStyle name="Comma 14 5 2" xfId="9941" xr:uid="{47C76271-D087-4AD7-8C32-21848CD2AD03}"/>
    <cellStyle name="Comma 14 5 2 2" xfId="13247" xr:uid="{60654C5E-56F8-4147-8970-E5A4D8907014}"/>
    <cellStyle name="Comma 14 5 2 2 2" xfId="39720" xr:uid="{61D0FCBD-6BCD-4378-9714-126B3A8081EA}"/>
    <cellStyle name="Comma 14 5 2 3" xfId="41573" xr:uid="{28B071C6-69AE-4230-95F6-08BCECC4BF40}"/>
    <cellStyle name="Comma 14 5 2 4" xfId="43397" xr:uid="{D49D3F7D-EA94-4727-9F78-FCC2DFA3C3BC}"/>
    <cellStyle name="Comma 14 5 2 5" xfId="45476" xr:uid="{CB22D85B-2677-4002-9E77-87786966F198}"/>
    <cellStyle name="Comma 14 5 2 6" xfId="48348" xr:uid="{4F24B6EB-F15C-4C36-9DCA-D6FA25F6CE1C}"/>
    <cellStyle name="Comma 14 5 2 7" xfId="51149" xr:uid="{7C7EFD8C-2EEF-4451-B9A0-5E764E1DA2FC}"/>
    <cellStyle name="Comma 14 5 2 8" xfId="51970" xr:uid="{AD06E3F9-D443-4131-B294-6428E311C8F9}"/>
    <cellStyle name="Comma 14 5 2 9" xfId="23329" xr:uid="{BD8ED5A9-89DE-40E9-871D-E614B27BB6E9}"/>
    <cellStyle name="Comma 14 5 3" xfId="11962" xr:uid="{15DADDD5-A7F7-4FBA-85A5-AEF4094AD032}"/>
    <cellStyle name="Comma 14 5 3 2" xfId="20373" xr:uid="{4ECE5C06-0FBA-4D8C-9D0B-61790ADDAA2E}"/>
    <cellStyle name="Comma 14 5 4" xfId="23516" xr:uid="{BFFEC1F5-53D7-4977-A3D1-234058D9467A}"/>
    <cellStyle name="Comma 14 5 5" xfId="38013" xr:uid="{D3F3F4C4-AAE8-41A0-A641-5F5A0D2DD70F}"/>
    <cellStyle name="Comma 14 5 6" xfId="39129" xr:uid="{88D9302E-2447-4104-BC41-F4E160E7781C}"/>
    <cellStyle name="Comma 14 5 7" xfId="39836" xr:uid="{D3A6BB09-367B-4490-8196-45E3E6E46269}"/>
    <cellStyle name="Comma 14 5 8" xfId="40478" xr:uid="{0E906204-489C-4E82-8641-3208911CC7D5}"/>
    <cellStyle name="Comma 14 5 9" xfId="41690" xr:uid="{7B363125-2020-4BBB-AAC4-0275833EF72F}"/>
    <cellStyle name="Comma 14 6" xfId="8115" xr:uid="{8A904444-A3C4-4A66-A8DF-F73F0B66AA85}"/>
    <cellStyle name="Comma 14 6 2" xfId="12571" xr:uid="{A37894AD-5F6A-4D9C-92FB-D162C4D39547}"/>
    <cellStyle name="Comma 14 6 2 2" xfId="48761" xr:uid="{DE5B6FB9-5739-4AE7-BCAE-6E7C22109E85}"/>
    <cellStyle name="Comma 14 6 2 3" xfId="51496" xr:uid="{F233B424-6BD7-451F-9167-120E2C094269}"/>
    <cellStyle name="Comma 14 6 2 4" xfId="51971" xr:uid="{7DE1C3A5-A5FC-4B9D-99BF-6B13AD333366}"/>
    <cellStyle name="Comma 14 6 2 5" xfId="39205" xr:uid="{35870E97-27A5-4CBC-BFC0-C3A236898D54}"/>
    <cellStyle name="Comma 14 6 3" xfId="41080" xr:uid="{5C6B368A-2BC3-4DFA-B6B6-4724083798C8}"/>
    <cellStyle name="Comma 14 6 4" xfId="42882" xr:uid="{A847E474-7FE6-4F9C-A4DF-BC21EB982968}"/>
    <cellStyle name="Comma 14 6 5" xfId="44989" xr:uid="{9268FFA8-46C4-4558-A6C1-BC60393B01ED}"/>
    <cellStyle name="Comma 14 6 6" xfId="47190" xr:uid="{EEE7402C-51AB-40DD-94F2-F9C2F0EB47A4}"/>
    <cellStyle name="Comma 14 6 7" xfId="50168" xr:uid="{3FB0158A-BC5B-4A7C-90B7-0BE348A28A2E}"/>
    <cellStyle name="Comma 14 6 8" xfId="51972" xr:uid="{7294686B-0492-4972-96F8-866024EB9C41}"/>
    <cellStyle name="Comma 14 6 9" xfId="20450" xr:uid="{4B5F2599-F12E-415C-A2F3-6394C9392A82}"/>
    <cellStyle name="Comma 14 7" xfId="7902" xr:uid="{4DC8B8D7-A644-4180-8DD3-8FE8061C314B}"/>
    <cellStyle name="Comma 14 7 2" xfId="12415" xr:uid="{B6415B12-EBFE-4B4A-83F5-1017E52BA290}"/>
    <cellStyle name="Comma 14 7 2 2" xfId="47655" xr:uid="{D98661E7-7B7F-4447-8EB4-1BC722516629}"/>
    <cellStyle name="Comma 14 7 3" xfId="50563" xr:uid="{FC407A4F-AE76-4116-BE35-24B829EE08BD}"/>
    <cellStyle name="Comma 14 7 4" xfId="51973" xr:uid="{1E4D5467-95E9-4FC6-8546-44DE3B571638}"/>
    <cellStyle name="Comma 14 7 5" xfId="19856" xr:uid="{BAAB15CD-42C0-42F3-A9FF-C50F4CA61DB3}"/>
    <cellStyle name="Comma 14 8" xfId="5799" xr:uid="{C4E172E6-E7AD-40EA-8CA5-48B690300213}"/>
    <cellStyle name="Comma 14 8 2" xfId="23508" xr:uid="{D9B49840-D375-4AD3-B96F-8248837A0A24}"/>
    <cellStyle name="Comma 14 9" xfId="11287" xr:uid="{5C6AA40C-4F68-4475-B196-B09399459084}"/>
    <cellStyle name="Comma 14 9 2" xfId="38005" xr:uid="{42864A1B-A6D2-40A0-BFED-548532D46FA8}"/>
    <cellStyle name="Comma 15" xfId="1729" xr:uid="{BA399DA8-0A70-4013-A9C2-840D15555397}"/>
    <cellStyle name="Comma 15 10" xfId="38615" xr:uid="{773626AA-03B1-402D-8931-2237F63E500C}"/>
    <cellStyle name="Comma 15 11" xfId="39837" xr:uid="{5ADCAB51-FD14-4CE6-ADBE-1C6A60564D5B}"/>
    <cellStyle name="Comma 15 12" xfId="40479" xr:uid="{15E2DD97-487D-4D0E-B8CC-E65FAEC6B2AB}"/>
    <cellStyle name="Comma 15 13" xfId="41691" xr:uid="{F4387CAE-06CD-42BB-A7D3-3AF0A7C834C1}"/>
    <cellStyle name="Comma 15 14" xfId="42292" xr:uid="{A508BE01-D22F-49D3-80BE-36F2192886C0}"/>
    <cellStyle name="Comma 15 15" xfId="43502" xr:uid="{6542CD8C-AAC1-4139-BA49-526AF7CA42CC}"/>
    <cellStyle name="Comma 15 16" xfId="44365" xr:uid="{D8891AD8-CCCC-4456-A1EF-7811E1B4AE85}"/>
    <cellStyle name="Comma 15 17" xfId="45607" xr:uid="{EA472919-93C7-438D-AC19-F01573EFC323}"/>
    <cellStyle name="Comma 15 18" xfId="49236" xr:uid="{76F96EB5-7A4A-4740-9D73-D5D9083FEEB2}"/>
    <cellStyle name="Comma 15 19" xfId="51974" xr:uid="{65E14C08-FE9F-4EAA-8AD4-F53A9A479292}"/>
    <cellStyle name="Comma 15 2" xfId="4405" xr:uid="{A7A09718-7C65-4855-8923-E830B61AF282}"/>
    <cellStyle name="Comma 15 2 10" xfId="40480" xr:uid="{293185D6-353C-471C-9DA4-73E3739FEBF8}"/>
    <cellStyle name="Comma 15 2 11" xfId="41692" xr:uid="{97B2469E-182C-49DE-9D39-492B23EA9337}"/>
    <cellStyle name="Comma 15 2 12" xfId="42330" xr:uid="{8A985A8E-53DA-4077-B75A-0E225FCE0390}"/>
    <cellStyle name="Comma 15 2 13" xfId="44206" xr:uid="{A9B8A309-800D-45FB-992D-BD50ECED3158}"/>
    <cellStyle name="Comma 15 2 14" xfId="44506" xr:uid="{5DFF5AFD-0D63-490D-9206-28D96C4AE644}"/>
    <cellStyle name="Comma 15 2 15" xfId="45681" xr:uid="{4BE92706-0B04-413A-9DB2-C68A02654511}"/>
    <cellStyle name="Comma 15 2 16" xfId="49309" xr:uid="{D97207EB-FDEA-4E3C-BD6C-35C8268BC6AA}"/>
    <cellStyle name="Comma 15 2 17" xfId="51975" xr:uid="{8B3384A2-4DC2-4C44-A270-24B316E4F863}"/>
    <cellStyle name="Comma 15 2 18" xfId="15296" xr:uid="{8C2021D2-C062-49B0-AC34-AE57ECFC3824}"/>
    <cellStyle name="Comma 15 2 19" xfId="14199" xr:uid="{1DEA6331-324F-4047-BA8D-2021CF3DC8D1}"/>
    <cellStyle name="Comma 15 2 2" xfId="5662" xr:uid="{6BC7E1D4-C1A8-4FE0-AC7F-B25A49B55891}"/>
    <cellStyle name="Comma 15 2 2 10" xfId="41693" xr:uid="{63443D6B-BEAC-4A8B-8BCF-89DD1842F7A9}"/>
    <cellStyle name="Comma 15 2 2 11" xfId="42482" xr:uid="{B7880F95-C4F8-4473-87AC-F755E2C60FD6}"/>
    <cellStyle name="Comma 15 2 2 12" xfId="44671" xr:uid="{7D96B6EA-3186-4891-AA85-A485EA22588D}"/>
    <cellStyle name="Comma 15 2 2 13" xfId="46674" xr:uid="{3216AD88-A24C-4063-B37F-AAC166C567BE}"/>
    <cellStyle name="Comma 15 2 2 14" xfId="49706" xr:uid="{971212F2-B6CC-48D1-85EC-ED4890CF028C}"/>
    <cellStyle name="Comma 15 2 2 15" xfId="51976" xr:uid="{AB91C4F7-8B12-4983-8BCA-0EC95B5564D9}"/>
    <cellStyle name="Comma 15 2 2 16" xfId="16745" xr:uid="{79D19331-68E2-4E9D-B889-E0D44DAFE8B7}"/>
    <cellStyle name="Comma 15 2 2 17" xfId="14691" xr:uid="{D36BD5DC-4556-40C7-A716-DF9B62F30048}"/>
    <cellStyle name="Comma 15 2 2 2" xfId="10256" xr:uid="{BD2F5317-0680-400A-B4CF-E902AF13F7EB}"/>
    <cellStyle name="Comma 15 2 2 2 10" xfId="42558" xr:uid="{27F4B378-40EF-4A9C-AB23-3771B5D1FA19}"/>
    <cellStyle name="Comma 15 2 2 2 11" xfId="44725" xr:uid="{1D584510-ADAC-4919-B526-5539103BF2E0}"/>
    <cellStyle name="Comma 15 2 2 2 12" xfId="48216" xr:uid="{2807542A-B339-4BB7-98D1-CE0A40238185}"/>
    <cellStyle name="Comma 15 2 2 2 13" xfId="51034" xr:uid="{A405171B-55A8-49B9-AC92-C6DAC70A9338}"/>
    <cellStyle name="Comma 15 2 2 2 14" xfId="51977" xr:uid="{135CBEC7-8A2A-44B4-8D33-E238D0D7FF6E}"/>
    <cellStyle name="Comma 15 2 2 2 15" xfId="16911" xr:uid="{DE80E870-ABB8-475B-8720-CD57D696AB88}"/>
    <cellStyle name="Comma 15 2 2 2 2" xfId="13562" xr:uid="{479FCA70-759F-4F8A-891F-4AB7AB92FA3A}"/>
    <cellStyle name="Comma 15 2 2 2 2 2" xfId="39472" xr:uid="{AD797341-D032-45C5-884B-14CD7A45E444}"/>
    <cellStyle name="Comma 15 2 2 2 2 3" xfId="41326" xr:uid="{2C16E7C5-557D-4B33-8484-2F0E29AAB10B}"/>
    <cellStyle name="Comma 15 2 2 2 2 4" xfId="43149" xr:uid="{CFCB99D4-76AE-4810-91F1-4704802F241B}"/>
    <cellStyle name="Comma 15 2 2 2 2 5" xfId="45246" xr:uid="{29883FB4-F1E6-46E5-A889-788422CBA276}"/>
    <cellStyle name="Comma 15 2 2 2 2 6" xfId="20906" xr:uid="{70FD247A-0AD2-4810-9B50-E5EFF317FA75}"/>
    <cellStyle name="Comma 15 2 2 2 3" xfId="20125" xr:uid="{965F8ACC-4471-4C59-8E97-DEE84D67995B}"/>
    <cellStyle name="Comma 15 2 2 2 4" xfId="23520" xr:uid="{AA03D730-E26D-4BF1-AC86-F80B8FEEC12C}"/>
    <cellStyle name="Comma 15 2 2 2 5" xfId="38017" xr:uid="{51ADB597-2DC3-43B2-8A5E-DC444E34A62D}"/>
    <cellStyle name="Comma 15 2 2 2 6" xfId="38881" xr:uid="{58AC7AE8-36FC-4B2D-8974-9FB3CFDD217D}"/>
    <cellStyle name="Comma 15 2 2 2 7" xfId="39840" xr:uid="{7E127545-4B1C-42B9-B4A8-91AAEEAE8738}"/>
    <cellStyle name="Comma 15 2 2 2 8" xfId="40482" xr:uid="{CBFC0CC0-C5BF-4448-B31F-AA7CF93453F2}"/>
    <cellStyle name="Comma 15 2 2 2 9" xfId="41694" xr:uid="{909F73B5-2D50-41CF-88D1-F067BCECA567}"/>
    <cellStyle name="Comma 15 2 2 3" xfId="7764" xr:uid="{7454185F-6992-401B-B46D-286B95073B29}"/>
    <cellStyle name="Comma 15 2 2 3 2" xfId="39396" xr:uid="{50882243-12AE-4C75-8357-1BB421C56F32}"/>
    <cellStyle name="Comma 15 2 2 3 3" xfId="41252" xr:uid="{6A80595D-9986-47BA-A58E-9066D7BC1A3A}"/>
    <cellStyle name="Comma 15 2 2 3 4" xfId="43073" xr:uid="{7F48DF5D-373F-46DA-84B1-C77A45DBE86E}"/>
    <cellStyle name="Comma 15 2 2 3 5" xfId="45172" xr:uid="{58621C38-4DF3-4C61-8A15-C9BB837B4511}"/>
    <cellStyle name="Comma 15 2 2 3 6" xfId="20771" xr:uid="{DE0E7FF9-05A0-4F19-80F9-C58731C5C494}"/>
    <cellStyle name="Comma 15 2 2 4" xfId="12277" xr:uid="{7505F259-C675-430A-AE1E-762DB6B0EBEF}"/>
    <cellStyle name="Comma 15 2 2 4 2" xfId="20049" xr:uid="{4E2C2647-765C-4421-A3BB-E7BF978D81FF}"/>
    <cellStyle name="Comma 15 2 2 5" xfId="23519" xr:uid="{8E70CE4E-3073-4D34-8443-EB5D258C295B}"/>
    <cellStyle name="Comma 15 2 2 6" xfId="38016" xr:uid="{1B29CE53-E1AE-49D7-ACE9-9485D9435E6E}"/>
    <cellStyle name="Comma 15 2 2 7" xfId="38805" xr:uid="{0A8563CA-0A57-4E81-BCDD-81F7F6101558}"/>
    <cellStyle name="Comma 15 2 2 8" xfId="39839" xr:uid="{28B0ECD2-92C3-4AF2-82A1-748BFEBBA614}"/>
    <cellStyle name="Comma 15 2 2 9" xfId="40481" xr:uid="{A16506A2-89D6-4EB3-98B0-6CCB5A07C1A5}"/>
    <cellStyle name="Comma 15 2 3" xfId="11111" xr:uid="{DDB94176-7387-410B-AD57-9B5AD46CD069}"/>
    <cellStyle name="Comma 15 2 3 10" xfId="42557" xr:uid="{F6FF1CB9-4366-485C-95F8-391ED09992F7}"/>
    <cellStyle name="Comma 15 2 3 11" xfId="44724" xr:uid="{B0C27BE6-8CA9-4B0B-9274-AAEE4309E4F8}"/>
    <cellStyle name="Comma 15 2 3 12" xfId="46894" xr:uid="{D8A89177-F2C2-4EBD-B85C-346E25C571BE}"/>
    <cellStyle name="Comma 15 2 3 13" xfId="49913" xr:uid="{B4B8EA46-2239-4A24-A2D2-6624BEC063EE}"/>
    <cellStyle name="Comma 15 2 3 14" xfId="51978" xr:uid="{749288D8-666C-431D-9551-E004F161770C}"/>
    <cellStyle name="Comma 15 2 3 15" xfId="16910" xr:uid="{10E32802-9DD7-4515-B2F8-832ED745BCAA}"/>
    <cellStyle name="Comma 15 2 3 16" xfId="15006" xr:uid="{4D364B07-6FB1-433E-A65A-5EC5681B30AB}"/>
    <cellStyle name="Comma 15 2 3 2" xfId="13708" xr:uid="{1162B208-EF3E-45CD-A0AD-6A5A5B19A126}"/>
    <cellStyle name="Comma 15 2 3 2 2" xfId="39471" xr:uid="{4456F802-697D-40D0-A380-362D32F39C06}"/>
    <cellStyle name="Comma 15 2 3 2 3" xfId="41325" xr:uid="{9611C9F2-B7F8-4AFD-984D-C070488BB289}"/>
    <cellStyle name="Comma 15 2 3 2 4" xfId="43148" xr:uid="{C5E67854-1E6C-4633-975E-FD81DA5B2B97}"/>
    <cellStyle name="Comma 15 2 3 2 5" xfId="45245" xr:uid="{4F05BC1F-CD35-45E8-91BC-665A43909734}"/>
    <cellStyle name="Comma 15 2 3 2 6" xfId="48455" xr:uid="{C27A80D6-0B9C-41D0-8D52-290DB8537CC7}"/>
    <cellStyle name="Comma 15 2 3 2 7" xfId="51241" xr:uid="{CCE12550-E2DC-418D-BE7B-4D6725EE5C02}"/>
    <cellStyle name="Comma 15 2 3 2 8" xfId="51979" xr:uid="{FD425EE3-EF30-4FE1-A6EE-C99793144F25}"/>
    <cellStyle name="Comma 15 2 3 2 9" xfId="20905" xr:uid="{CD8A1158-FA19-45FF-AD32-B43F937CD0A9}"/>
    <cellStyle name="Comma 15 2 3 3" xfId="20124" xr:uid="{952DE00E-A157-4DF3-8E78-E5866C557E96}"/>
    <cellStyle name="Comma 15 2 3 4" xfId="23521" xr:uid="{35553057-E32A-4DCD-9803-F002C5C3EE3A}"/>
    <cellStyle name="Comma 15 2 3 5" xfId="38018" xr:uid="{D90A5B25-270C-4384-A23B-906A8CD83BD4}"/>
    <cellStyle name="Comma 15 2 3 6" xfId="38880" xr:uid="{0FE6EC5B-DAFF-4E29-AA21-F17C9674C8CF}"/>
    <cellStyle name="Comma 15 2 3 7" xfId="39841" xr:uid="{D31E3B85-5888-4B50-8B73-15E07BFDDC26}"/>
    <cellStyle name="Comma 15 2 3 8" xfId="40483" xr:uid="{F52E7F8B-94C9-4134-B067-8B383F92F47B}"/>
    <cellStyle name="Comma 15 2 3 9" xfId="41695" xr:uid="{5669F5AF-2293-4921-96AF-F317B8FEA334}"/>
    <cellStyle name="Comma 15 2 4" xfId="9762" xr:uid="{3B786A43-83D6-48C7-BD37-BF3115E7F8C2}"/>
    <cellStyle name="Comma 15 2 4 2" xfId="13068" xr:uid="{0B44ED09-F454-4D81-9F0B-8FE04491E73E}"/>
    <cellStyle name="Comma 15 2 4 2 2" xfId="49072" xr:uid="{6B05FFA2-F395-4580-A533-74F83282C3E5}"/>
    <cellStyle name="Comma 15 2 4 2 3" xfId="51752" xr:uid="{0A423A6A-8805-4C5B-8CD3-AB9335340397}"/>
    <cellStyle name="Comma 15 2 4 2 4" xfId="51980" xr:uid="{D4327F5D-41F2-4E73-A717-41A9B75DF3C6}"/>
    <cellStyle name="Comma 15 2 4 2 5" xfId="39244" xr:uid="{40D69E12-4F6F-4005-8791-772A452B74E5}"/>
    <cellStyle name="Comma 15 2 4 3" xfId="41113" xr:uid="{D073BC34-CAD7-4F87-B36A-ED0D7DBF43F8}"/>
    <cellStyle name="Comma 15 2 4 4" xfId="42921" xr:uid="{EE74AACF-97CF-4679-988C-5056C7BB2DFA}"/>
    <cellStyle name="Comma 15 2 4 5" xfId="45028" xr:uid="{80FAAA06-DC4D-4745-B7F1-CBCF1AA9209C}"/>
    <cellStyle name="Comma 15 2 4 6" xfId="47489" xr:uid="{B2BB725F-0C9F-407B-8AB4-52E99A099F1C}"/>
    <cellStyle name="Comma 15 2 4 7" xfId="50424" xr:uid="{7D87E34B-AE5F-48DD-9C7D-B9E98A20CE06}"/>
    <cellStyle name="Comma 15 2 4 8" xfId="51981" xr:uid="{D82D3338-7C05-4051-B004-D8AE50CACACD}"/>
    <cellStyle name="Comma 15 2 4 9" xfId="20489" xr:uid="{97B40241-9634-4873-9E48-186A3CE5BDFE}"/>
    <cellStyle name="Comma 15 2 5" xfId="7260" xr:uid="{9252B2F6-AB86-47ED-9E62-B655F9F0952E}"/>
    <cellStyle name="Comma 15 2 5 2" xfId="47738" xr:uid="{CE065339-4F19-4C8B-A261-3104FFA14013}"/>
    <cellStyle name="Comma 15 2 5 3" xfId="50637" xr:uid="{A771179F-E037-48AD-BF9C-4C279150D22E}"/>
    <cellStyle name="Comma 15 2 5 4" xfId="51982" xr:uid="{6CE1FD82-C075-4EBE-913F-4A3208A02304}"/>
    <cellStyle name="Comma 15 2 5 5" xfId="19896" xr:uid="{E6EF8E05-BF72-4498-BF38-BE3E932214C0}"/>
    <cellStyle name="Comma 15 2 6" xfId="11783" xr:uid="{DCF481D2-37A0-47A7-BA28-7A6FE02FB16B}"/>
    <cellStyle name="Comma 15 2 6 2" xfId="23518" xr:uid="{178AC79D-EBF7-4211-B63B-A23C27F2CE98}"/>
    <cellStyle name="Comma 15 2 7" xfId="38015" xr:uid="{09C731A7-909F-4A2F-806C-0BCE3500C6CF}"/>
    <cellStyle name="Comma 15 2 8" xfId="38653" xr:uid="{4B188E55-1F35-402F-97B8-D70036102FBA}"/>
    <cellStyle name="Comma 15 2 9" xfId="39838" xr:uid="{9569E08A-628E-47DA-BE3B-1C3105CF97FF}"/>
    <cellStyle name="Comma 15 20" xfId="15194" xr:uid="{0B375704-AE53-492D-BD2E-5EAAC173989D}"/>
    <cellStyle name="Comma 15 21" xfId="13885" xr:uid="{2ECB2F14-9B56-4E04-9808-8530F0D347C7}"/>
    <cellStyle name="Comma 15 3" xfId="5486" xr:uid="{11853FF9-F306-4B1F-9B04-4E9C28A9B09A}"/>
    <cellStyle name="Comma 15 3 10" xfId="41696" xr:uid="{8EC3D2D4-A553-4CA5-B7ED-0CC3B21F4F64}"/>
    <cellStyle name="Comma 15 3 11" xfId="42443" xr:uid="{5E65DCE4-EE14-4178-9A12-AE62C9082029}"/>
    <cellStyle name="Comma 15 3 12" xfId="43775" xr:uid="{5B06FFB3-69DA-4AEE-9E78-CCC869837053}"/>
    <cellStyle name="Comma 15 3 13" xfId="44647" xr:uid="{969C1590-0E69-44D4-83AB-F9146647F459}"/>
    <cellStyle name="Comma 15 3 14" xfId="46533" xr:uid="{59A5073A-EF26-4777-BD8A-07AD9CF40221}"/>
    <cellStyle name="Comma 15 3 15" xfId="49566" xr:uid="{C83FC4B2-59E6-4308-866F-2574782A8748}"/>
    <cellStyle name="Comma 15 3 16" xfId="51983" xr:uid="{A9488B0B-2D64-475F-B0CA-0A04C49936F1}"/>
    <cellStyle name="Comma 15 3 17" xfId="16637" xr:uid="{A02A395A-23BF-414F-914B-9D69E6EC7476}"/>
    <cellStyle name="Comma 15 3 18" xfId="14023" xr:uid="{2FB0379A-A4A4-4511-92FF-3940A5BC8233}"/>
    <cellStyle name="Comma 15 3 2" xfId="7588" xr:uid="{C81667A7-D1C5-41E5-B573-2C77010F37CF}"/>
    <cellStyle name="Comma 15 3 2 10" xfId="42559" xr:uid="{2AE84F7E-DB47-4C07-BDC1-907E7A231B69}"/>
    <cellStyle name="Comma 15 3 2 11" xfId="44726" xr:uid="{E722599B-2B9C-48E4-AE03-9645EABCF33A}"/>
    <cellStyle name="Comma 15 3 2 12" xfId="47027" xr:uid="{944D2118-5AC8-4C0C-BD6E-18C75A26E36B}"/>
    <cellStyle name="Comma 15 3 2 13" xfId="50028" xr:uid="{736B9529-1953-48DA-BE26-3E2ABD387DC3}"/>
    <cellStyle name="Comma 15 3 2 14" xfId="51984" xr:uid="{0EB30572-1EF0-4CE3-8FF0-6747AF6C571E}"/>
    <cellStyle name="Comma 15 3 2 15" xfId="16912" xr:uid="{498D1251-E98A-4FDC-B22F-90F4BF7B2044}"/>
    <cellStyle name="Comma 15 3 2 16" xfId="14515" xr:uid="{3C47DE9F-0114-4679-8049-A1D840C77D23}"/>
    <cellStyle name="Comma 15 3 2 2" xfId="10080" xr:uid="{3A006B4A-2886-4BB1-A265-ECF00F4E2F2F}"/>
    <cellStyle name="Comma 15 3 2 2 2" xfId="13386" xr:uid="{3F8C1BA9-82C8-4444-BAB2-C887C68307C1}"/>
    <cellStyle name="Comma 15 3 2 2 2 2" xfId="39473" xr:uid="{E9CA3F8A-42AE-41B3-AAB7-EAFE63BF3771}"/>
    <cellStyle name="Comma 15 3 2 2 3" xfId="41327" xr:uid="{7E7251A4-91A3-4A14-85AF-7A3923AF240D}"/>
    <cellStyle name="Comma 15 3 2 2 4" xfId="43150" xr:uid="{34C7D399-06E6-4B08-9F3E-24EFF0B15075}"/>
    <cellStyle name="Comma 15 3 2 2 5" xfId="45247" xr:uid="{F4032EE2-00A8-450B-BA17-0D9F1F66A38B}"/>
    <cellStyle name="Comma 15 3 2 2 6" xfId="48593" xr:uid="{B43BBC72-8378-4199-9C29-9C16BB129BC9}"/>
    <cellStyle name="Comma 15 3 2 2 7" xfId="51356" xr:uid="{A0FE93D3-2EDF-45C1-888C-8C819BDEDEDB}"/>
    <cellStyle name="Comma 15 3 2 2 8" xfId="51985" xr:uid="{C9223C8E-EF86-472C-BEF0-1A82A929A1E4}"/>
    <cellStyle name="Comma 15 3 2 2 9" xfId="20907" xr:uid="{80CFF8B1-56EF-4BD1-820F-A9555BBC03AA}"/>
    <cellStyle name="Comma 15 3 2 3" xfId="12101" xr:uid="{28DA402F-2BC5-4DA2-87F8-E44E8F2912A4}"/>
    <cellStyle name="Comma 15 3 2 3 2" xfId="20126" xr:uid="{9AB076E8-C389-42FC-95CA-3A17FC88FDB2}"/>
    <cellStyle name="Comma 15 3 2 4" xfId="23523" xr:uid="{0ABAFFD8-C91D-4239-A549-BAC546CD5718}"/>
    <cellStyle name="Comma 15 3 2 5" xfId="38020" xr:uid="{A5322390-439D-465C-ADF2-14C106BB0DB9}"/>
    <cellStyle name="Comma 15 3 2 6" xfId="38882" xr:uid="{AEBDBB55-A4B3-4680-926B-746BA4D061E0}"/>
    <cellStyle name="Comma 15 3 2 7" xfId="39843" xr:uid="{009E59B9-D8A3-4222-91F4-DBFBC857E721}"/>
    <cellStyle name="Comma 15 3 2 8" xfId="40485" xr:uid="{4D371B71-2959-4DD0-BEB4-679D00535DC6}"/>
    <cellStyle name="Comma 15 3 2 9" xfId="41697" xr:uid="{FD0A35BF-E86A-422D-9BD5-9D4AEDD67A15}"/>
    <cellStyle name="Comma 15 3 3" xfId="9586" xr:uid="{382E5FC5-5F45-4DC2-BF6B-9AE0C8CEC3F3}"/>
    <cellStyle name="Comma 15 3 3 2" xfId="12892" xr:uid="{B5E00FFD-0D7B-43AD-8534-7C34A7B98CB2}"/>
    <cellStyle name="Comma 15 3 3 2 2" xfId="48900" xr:uid="{6D6E0ADB-F1C6-4956-AB5C-0D6D411C86F0}"/>
    <cellStyle name="Comma 15 3 3 2 3" xfId="51612" xr:uid="{41CF5DF1-F0B6-4036-A266-35225C727084}"/>
    <cellStyle name="Comma 15 3 3 2 4" xfId="51986" xr:uid="{34F1BEBC-C171-42D7-A342-98BFD398ABD7}"/>
    <cellStyle name="Comma 15 3 3 2 5" xfId="39357" xr:uid="{794C11ED-CF02-485B-91B1-D76E4A90E7B1}"/>
    <cellStyle name="Comma 15 3 3 3" xfId="41215" xr:uid="{3EA086CF-CFF5-41A5-9A64-D08D8413FF74}"/>
    <cellStyle name="Comma 15 3 3 4" xfId="43034" xr:uid="{1B675C1C-368C-447F-891E-3B92E6D55EB5}"/>
    <cellStyle name="Comma 15 3 3 5" xfId="45135" xr:uid="{001A8F2D-57EA-4B88-89D6-851D29678965}"/>
    <cellStyle name="Comma 15 3 3 6" xfId="47324" xr:uid="{F48E9F70-0A1D-43E8-819D-11B5D76C096F}"/>
    <cellStyle name="Comma 15 3 3 7" xfId="50284" xr:uid="{8C7519B8-86A5-42FD-82E3-EDDF1D9C7705}"/>
    <cellStyle name="Comma 15 3 3 8" xfId="51987" xr:uid="{416A39D4-6096-4467-AA1D-7FE53768BED2}"/>
    <cellStyle name="Comma 15 3 3 9" xfId="20731" xr:uid="{1E43BB7E-E2E6-4230-B9C8-30F7D8D589EA}"/>
    <cellStyle name="Comma 15 3 4" xfId="7082" xr:uid="{D7BF2B9D-5A77-4846-8A1A-45341A8CFA1D}"/>
    <cellStyle name="Comma 15 3 4 2" xfId="48045" xr:uid="{85C72FA9-F19F-4187-BDA0-0B2ADC3C0525}"/>
    <cellStyle name="Comma 15 3 4 3" xfId="50894" xr:uid="{7BC573F5-A0C2-4875-ADE5-C9921B36BA94}"/>
    <cellStyle name="Comma 15 3 4 4" xfId="51988" xr:uid="{E3D2A504-1D11-4537-91B0-381839A5773B}"/>
    <cellStyle name="Comma 15 3 4 5" xfId="20010" xr:uid="{12EF8E11-8EF5-42F6-A47C-9C2A2DA4E5A8}"/>
    <cellStyle name="Comma 15 3 5" xfId="11607" xr:uid="{5F8B72DA-F51D-406D-BB85-1EB4BFBFB3F1}"/>
    <cellStyle name="Comma 15 3 5 2" xfId="23522" xr:uid="{08B5B62F-43F9-4B54-BF59-0FE6F17117B8}"/>
    <cellStyle name="Comma 15 3 6" xfId="38019" xr:uid="{B2708A3A-4391-48FC-BB24-5C716513C68C}"/>
    <cellStyle name="Comma 15 3 7" xfId="38766" xr:uid="{B32157AA-5C6A-4236-88B2-FF9257D7DC8C}"/>
    <cellStyle name="Comma 15 3 8" xfId="39842" xr:uid="{70410D62-4FD9-4DEA-AC1C-8A31CE8BF451}"/>
    <cellStyle name="Comma 15 3 9" xfId="40484" xr:uid="{AD97072E-197F-4FA8-A444-F726323CD1B6}"/>
    <cellStyle name="Comma 15 4" xfId="6476" xr:uid="{F899B6DF-5F6B-40D2-B4C8-F94BDEC85F2E}"/>
    <cellStyle name="Comma 15 4 10" xfId="42556" xr:uid="{6438B996-6679-498A-93A3-D4F92A082C65}"/>
    <cellStyle name="Comma 15 4 11" xfId="44723" xr:uid="{7E74E623-38D4-4C96-AD7A-B3C387C262A2}"/>
    <cellStyle name="Comma 15 4 12" xfId="46115" xr:uid="{FDBBC25D-8EB4-43CB-A017-0DB9D0AA9751}"/>
    <cellStyle name="Comma 15 4 13" xfId="49451" xr:uid="{08A09D4F-FCCB-4AB1-B5D2-31EA984371D1}"/>
    <cellStyle name="Comma 15 4 14" xfId="51989" xr:uid="{0B5E5954-3487-4912-88E5-20A3EFD2C8F8}"/>
    <cellStyle name="Comma 15 4 15" xfId="16909" xr:uid="{FC8158E7-D326-4980-809D-BE9514A35D82}"/>
    <cellStyle name="Comma 15 4 16" xfId="14377" xr:uid="{969A7A9E-99EC-4CCD-B8D6-1B87F69707E7}"/>
    <cellStyle name="Comma 15 4 2" xfId="9448" xr:uid="{81D07EB2-4630-4011-94A4-5D60886AC8E1}"/>
    <cellStyle name="Comma 15 4 2 2" xfId="12754" xr:uid="{06616F00-94B2-48D2-9246-8D936A524086}"/>
    <cellStyle name="Comma 15 4 2 2 2" xfId="39470" xr:uid="{DD8DDB36-8ACD-41E8-845F-563E1496CF10}"/>
    <cellStyle name="Comma 15 4 2 3" xfId="41324" xr:uid="{84C3B67A-EB02-4EEF-B857-1DACF8E35F94}"/>
    <cellStyle name="Comma 15 4 2 4" xfId="43147" xr:uid="{EE39867F-0779-4259-BEE8-A8A10AC3B725}"/>
    <cellStyle name="Comma 15 4 2 5" xfId="45244" xr:uid="{8E224A45-1E29-462A-B0E4-02A710E62727}"/>
    <cellStyle name="Comma 15 4 2 6" xfId="47910" xr:uid="{5914FC16-77E0-454A-9C62-88E5D9DC95E0}"/>
    <cellStyle name="Comma 15 4 2 7" xfId="50779" xr:uid="{5C7DDCA3-7789-4367-B12A-197D156A8186}"/>
    <cellStyle name="Comma 15 4 2 8" xfId="51990" xr:uid="{4EDA5DFA-121B-45C6-BDAF-E23AA129C784}"/>
    <cellStyle name="Comma 15 4 2 9" xfId="20904" xr:uid="{AA8C1224-47BE-4F76-9EF1-706286DD2FB4}"/>
    <cellStyle name="Comma 15 4 3" xfId="11469" xr:uid="{7456655C-2D00-4881-B2ED-3EF887BAF0DF}"/>
    <cellStyle name="Comma 15 4 3 2" xfId="20123" xr:uid="{11D14436-2B65-4776-A209-E6A1D04BD656}"/>
    <cellStyle name="Comma 15 4 4" xfId="23524" xr:uid="{9CF85491-E17C-4715-BCEB-550F8143C2BA}"/>
    <cellStyle name="Comma 15 4 5" xfId="38021" xr:uid="{C58B8141-7973-440D-A6F4-7C9F48F34965}"/>
    <cellStyle name="Comma 15 4 6" xfId="38879" xr:uid="{5B65028B-B4A5-4DE9-93D1-2DA65EE99784}"/>
    <cellStyle name="Comma 15 4 7" xfId="39844" xr:uid="{0BBF8E36-ADC4-48F0-BA38-DAEDCAB694AF}"/>
    <cellStyle name="Comma 15 4 8" xfId="40486" xr:uid="{21F7DBB0-B3D5-434C-A31F-CD1284487900}"/>
    <cellStyle name="Comma 15 4 9" xfId="41698" xr:uid="{50CBBB35-C360-44FA-A6E2-8192F1024A98}"/>
    <cellStyle name="Comma 15 5" xfId="7450" xr:uid="{9AD2024E-0C75-4D42-907B-2EF5B789727C}"/>
    <cellStyle name="Comma 15 5 10" xfId="42807" xr:uid="{6831A7F0-21F2-46D9-87EC-83740953E3CF}"/>
    <cellStyle name="Comma 15 5 11" xfId="44934" xr:uid="{589C47A0-4141-4DF0-98C1-8B7518D35F86}"/>
    <cellStyle name="Comma 15 5 12" xfId="46798" xr:uid="{E4B2D65E-6915-4C33-8636-BF8D42C1C3C6}"/>
    <cellStyle name="Comma 15 5 13" xfId="49822" xr:uid="{552863EF-17E7-4EBD-B6BF-0C71CE9BF2DC}"/>
    <cellStyle name="Comma 15 5 14" xfId="51991" xr:uid="{22D56E34-6E58-4B3B-93A1-FAC75B0534E1}"/>
    <cellStyle name="Comma 15 5 15" xfId="19713" xr:uid="{6758F454-77C8-4250-8DB5-D717DFEA8863}"/>
    <cellStyle name="Comma 15 5 16" xfId="14830" xr:uid="{AE1807A9-1C2B-4C72-BE2A-028F3B2AD6CD}"/>
    <cellStyle name="Comma 15 5 2" xfId="9942" xr:uid="{C983A002-C481-4937-8287-6A806E13CB8D}"/>
    <cellStyle name="Comma 15 5 2 2" xfId="13248" xr:uid="{BA5B0F9A-858A-40F8-9EFC-A5B89BE900EF}"/>
    <cellStyle name="Comma 15 5 2 2 2" xfId="39721" xr:uid="{39C1E039-A48C-4A5F-8644-6A45C0BCE34B}"/>
    <cellStyle name="Comma 15 5 2 3" xfId="41574" xr:uid="{02EF16E5-6497-469C-976A-A608CFCB07AD}"/>
    <cellStyle name="Comma 15 5 2 4" xfId="43398" xr:uid="{E3E30129-0F06-4C83-869C-AEC27CA54CF1}"/>
    <cellStyle name="Comma 15 5 2 5" xfId="45477" xr:uid="{C639942B-A16A-4E33-8E85-61454AF9E433}"/>
    <cellStyle name="Comma 15 5 2 6" xfId="48349" xr:uid="{0290F204-2E44-4AF7-B58D-A97D03D5CA84}"/>
    <cellStyle name="Comma 15 5 2 7" xfId="51150" xr:uid="{45C43386-B9CC-44F5-B1D8-BB138F80E693}"/>
    <cellStyle name="Comma 15 5 2 8" xfId="51992" xr:uid="{B876F886-9AE6-49F7-A361-9BA172D9891E}"/>
    <cellStyle name="Comma 15 5 2 9" xfId="23330" xr:uid="{B1504F7F-6546-41C4-B661-07BA872F19DE}"/>
    <cellStyle name="Comma 15 5 3" xfId="11963" xr:uid="{C79FB3FF-67FF-4F8C-810A-930BBF79FF32}"/>
    <cellStyle name="Comma 15 5 3 2" xfId="20374" xr:uid="{8830CF82-6D5E-4A5D-B536-E9F0FB362296}"/>
    <cellStyle name="Comma 15 5 4" xfId="23525" xr:uid="{1D1190D2-8158-4D74-9FDB-F0B82456BA45}"/>
    <cellStyle name="Comma 15 5 5" xfId="38022" xr:uid="{4335F42E-13CF-49FA-A637-A7BBC50AAE54}"/>
    <cellStyle name="Comma 15 5 6" xfId="39130" xr:uid="{BAF3EE8C-9841-43E2-B531-D697C09C280B}"/>
    <cellStyle name="Comma 15 5 7" xfId="39845" xr:uid="{3C5A2BC9-7323-4DC1-8796-EA7076D3D13B}"/>
    <cellStyle name="Comma 15 5 8" xfId="40487" xr:uid="{E425AEA5-59F5-425E-851C-15B1187B077B}"/>
    <cellStyle name="Comma 15 5 9" xfId="41699" xr:uid="{E00D6FAB-AC82-4A38-AE1F-7AD929C18E86}"/>
    <cellStyle name="Comma 15 6" xfId="8116" xr:uid="{F61208E6-701F-429D-B31E-A2F84BB4656B}"/>
    <cellStyle name="Comma 15 6 2" xfId="12572" xr:uid="{AA49E7B0-2B94-4AA2-A7CE-F63790234244}"/>
    <cellStyle name="Comma 15 6 2 2" xfId="48762" xr:uid="{6C622D0C-AD30-4016-8401-70BB8F02AC0E}"/>
    <cellStyle name="Comma 15 6 2 3" xfId="51497" xr:uid="{3DDFAACE-4C06-4156-935B-3FE6A20E2B97}"/>
    <cellStyle name="Comma 15 6 2 4" xfId="51993" xr:uid="{3914AC55-EBEC-4A57-8824-BE2FF4A5951E}"/>
    <cellStyle name="Comma 15 6 2 5" xfId="39206" xr:uid="{240A665B-B6A6-4F6C-814A-108526D2D383}"/>
    <cellStyle name="Comma 15 6 3" xfId="41081" xr:uid="{28BCD0C9-3B66-4207-83D5-C0D114B2BF90}"/>
    <cellStyle name="Comma 15 6 4" xfId="42883" xr:uid="{05CE07DB-9927-4943-89E7-BE929D4EA675}"/>
    <cellStyle name="Comma 15 6 5" xfId="44990" xr:uid="{B24C24F0-FFEB-4B4A-91A1-B0326CA7E20D}"/>
    <cellStyle name="Comma 15 6 6" xfId="47191" xr:uid="{4567A1C1-A756-428C-9359-17C51EB72F4A}"/>
    <cellStyle name="Comma 15 6 7" xfId="50169" xr:uid="{67D67AF7-FFD3-4370-B799-17A451D5AED2}"/>
    <cellStyle name="Comma 15 6 8" xfId="51994" xr:uid="{FE340E4C-6F67-448B-899C-507A1193E6B7}"/>
    <cellStyle name="Comma 15 6 9" xfId="20451" xr:uid="{D5F78F38-83A6-4D66-82B7-AEDA2E5CA2A3}"/>
    <cellStyle name="Comma 15 7" xfId="7903" xr:uid="{B8D05770-46E1-40BD-AD2F-177630D06212}"/>
    <cellStyle name="Comma 15 7 2" xfId="12416" xr:uid="{1470DC59-6CB6-48B2-9FD9-C48C8E8A4AE2}"/>
    <cellStyle name="Comma 15 7 2 2" xfId="47656" xr:uid="{C3A9B33D-11A5-4F66-9219-9F880FB42507}"/>
    <cellStyle name="Comma 15 7 3" xfId="50564" xr:uid="{4C9D4630-92B1-4D7C-B601-1EDA1664C659}"/>
    <cellStyle name="Comma 15 7 4" xfId="51995" xr:uid="{67B29CD9-8F9D-4B6E-A440-107597FA35E6}"/>
    <cellStyle name="Comma 15 7 5" xfId="19857" xr:uid="{34FAFB8F-1532-4DE3-91DD-0E91483139A3}"/>
    <cellStyle name="Comma 15 8" xfId="5800" xr:uid="{193FBD65-2F27-4C6D-807F-55F527EEF46E}"/>
    <cellStyle name="Comma 15 8 2" xfId="23517" xr:uid="{1F396498-E125-4E52-AE5F-35ACBA06035E}"/>
    <cellStyle name="Comma 15 9" xfId="11288" xr:uid="{B72F9A1A-ADAC-4F72-B7BB-95EBEDD443A6}"/>
    <cellStyle name="Comma 15 9 2" xfId="38014" xr:uid="{F7AF0EBF-32E7-4D6D-961A-9082AAFED934}"/>
    <cellStyle name="Comma 16" xfId="3878" xr:uid="{AC5FBD91-3615-402B-988E-FE80C8E1F405}"/>
    <cellStyle name="Comma 16 10" xfId="51996" xr:uid="{6E6116B6-2518-4737-8444-4210EEDF02B8}"/>
    <cellStyle name="Comma 16 11" xfId="23526" xr:uid="{447D37EF-2C62-48E3-A7D5-B4C14C5CF5B3}"/>
    <cellStyle name="Comma 16 12" xfId="14157" xr:uid="{5C834B5E-63E9-47A7-80D2-1D194099F562}"/>
    <cellStyle name="Comma 16 2" xfId="5620" xr:uid="{AD992E8F-7D32-4DC2-93A9-84EF51A1DD4D}"/>
    <cellStyle name="Comma 16 2 2" xfId="10214" xr:uid="{E667D265-6D1A-4147-A2D4-EB6F2B7274E0}"/>
    <cellStyle name="Comma 16 2 2 2" xfId="13520" xr:uid="{BC6AC374-32F6-401E-9AAB-C1E38F478270}"/>
    <cellStyle name="Comma 16 2 2 2 2" xfId="51004" xr:uid="{3D14280C-E4E6-4DFC-B3A4-077CBF9C9B05}"/>
    <cellStyle name="Comma 16 2 2 3" xfId="51997" xr:uid="{559A524C-2C63-47B5-AF8A-340AE45494F2}"/>
    <cellStyle name="Comma 16 2 2 4" xfId="48177" xr:uid="{653E1BFC-71FA-4FFE-8E4B-FCE088558EF5}"/>
    <cellStyle name="Comma 16 2 3" xfId="7722" xr:uid="{5F5FA152-9602-47A0-A803-D97EAE50C4F8}"/>
    <cellStyle name="Comma 16 2 3 2" xfId="46643" xr:uid="{E9AB905F-44D2-4A9B-8A3F-A5DAA4904E5D}"/>
    <cellStyle name="Comma 16 2 4" xfId="12235" xr:uid="{39D886A8-2AA2-4A8E-93AC-257A3009C573}"/>
    <cellStyle name="Comma 16 2 4 2" xfId="49676" xr:uid="{4D2E283D-B6D3-43D1-BC5B-575B5C6A8BDD}"/>
    <cellStyle name="Comma 16 2 5" xfId="51998" xr:uid="{0D7C8B25-8500-4F08-93B9-3B1E197777F3}"/>
    <cellStyle name="Comma 16 2 6" xfId="38023" xr:uid="{9D7F44A2-6DA6-429E-82CB-955099350863}"/>
    <cellStyle name="Comma 16 2 7" xfId="14649" xr:uid="{787389DA-3A27-4866-8BF8-7FE7209EEA9B}"/>
    <cellStyle name="Comma 16 3" xfId="11099" xr:uid="{9941EDFC-C961-4255-8F13-0DF5D759195F}"/>
    <cellStyle name="Comma 16 3 2" xfId="13702" xr:uid="{759CD69F-7C15-490D-B989-EB1DDD7C818F}"/>
    <cellStyle name="Comma 16 3 2 2" xfId="51211" xr:uid="{769F068A-7B8D-4EBE-A8C1-DE8162154001}"/>
    <cellStyle name="Comma 16 3 2 3" xfId="51999" xr:uid="{D7DC1E04-B23F-4F68-8D8F-2377ACEEB4A7}"/>
    <cellStyle name="Comma 16 3 2 4" xfId="48417" xr:uid="{38E9ACD5-66D9-40C9-88B1-8C0E6E2388CA}"/>
    <cellStyle name="Comma 16 3 3" xfId="46861" xr:uid="{ED679F37-415C-4089-BBFD-E05917BF0CA5}"/>
    <cellStyle name="Comma 16 3 4" xfId="49883" xr:uid="{99881E31-A9BA-44BF-8A2E-7DDAB8B8D881}"/>
    <cellStyle name="Comma 16 3 5" xfId="52000" xr:uid="{9228DB70-8088-4059-A81A-B481D01B87B1}"/>
    <cellStyle name="Comma 16 3 6" xfId="39846" xr:uid="{582CE8D5-BA7F-4E46-BAAC-1E8425CF6805}"/>
    <cellStyle name="Comma 16 3 7" xfId="14964" xr:uid="{F911EF6E-24DD-4C5E-8887-A2454BEB6F54}"/>
    <cellStyle name="Comma 16 4" xfId="9720" xr:uid="{AF382B62-D17A-4B3C-B4B7-A926DCD26817}"/>
    <cellStyle name="Comma 16 4 2" xfId="13026" xr:uid="{FE1516E4-B0A0-4569-9D46-DB410365EF57}"/>
    <cellStyle name="Comma 16 4 2 2" xfId="51722" xr:uid="{EE80F431-C45C-43A3-A268-EDEC0EADFF35}"/>
    <cellStyle name="Comma 16 4 2 3" xfId="52001" xr:uid="{F8EC1843-D983-4447-9720-FA5A72759121}"/>
    <cellStyle name="Comma 16 4 2 4" xfId="49032" xr:uid="{855C7E50-9BFE-4233-A19D-4B4350340AA0}"/>
    <cellStyle name="Comma 16 4 3" xfId="47451" xr:uid="{3165F076-7941-4BC5-B01E-B1C984753ACF}"/>
    <cellStyle name="Comma 16 4 4" xfId="50394" xr:uid="{133CB82F-CE58-41F0-B831-D06677E4F7EF}"/>
    <cellStyle name="Comma 16 4 5" xfId="52002" xr:uid="{8883BBBB-B452-4CE5-B130-38CA0B2DA97C}"/>
    <cellStyle name="Comma 16 4 6" xfId="40488" xr:uid="{A5816EFD-2D0A-4814-895B-F7F8D253C084}"/>
    <cellStyle name="Comma 16 5" xfId="7216" xr:uid="{E54B5A9C-3731-4370-A59C-51197AA91360}"/>
    <cellStyle name="Comma 16 5 2" xfId="47868" xr:uid="{737908A2-4978-464A-B366-14DF582C034B}"/>
    <cellStyle name="Comma 16 5 3" xfId="50747" xr:uid="{342EB43B-BD70-411F-A789-BE20E0CB5610}"/>
    <cellStyle name="Comma 16 5 4" xfId="52003" xr:uid="{082A944C-3117-41F7-870C-E61D2BE2A440}"/>
    <cellStyle name="Comma 16 5 5" xfId="41700" xr:uid="{794EC9D1-CBBD-465D-8E79-9D3FB00426FD}"/>
    <cellStyle name="Comma 16 6" xfId="11741" xr:uid="{1745D7EE-2FDD-4A58-B62C-73E6F22D5BEE}"/>
    <cellStyle name="Comma 16 6 2" xfId="43889" xr:uid="{BC3E12B5-468F-4D39-9BDF-B492FC1BD842}"/>
    <cellStyle name="Comma 16 7" xfId="44476" xr:uid="{9F6E80E1-B965-47CB-95B8-61DF227E3D45}"/>
    <cellStyle name="Comma 16 8" xfId="45791" xr:uid="{DC7D2F78-0364-45CE-8A2B-7E602988A2D6}"/>
    <cellStyle name="Comma 16 9" xfId="49419" xr:uid="{F70B1798-F3DA-4FBA-B11E-5125FB48B50C}"/>
    <cellStyle name="Comma 17" xfId="5945" xr:uid="{5EE0A75B-CE95-4581-957C-75400B473570}"/>
    <cellStyle name="Comma 17 2" xfId="7408" xr:uid="{8B902AD6-C22A-4992-86C2-91B7DB7A2315}"/>
    <cellStyle name="Comma 17 2 2" xfId="9900" xr:uid="{6CE6C5FC-7C5D-4E34-B26C-34299BEA7984}"/>
    <cellStyle name="Comma 17 2 2 2" xfId="13206" xr:uid="{81A8FB88-3BEF-4A5A-9B4B-8E6481A42184}"/>
    <cellStyle name="Comma 17 2 2 2 2" xfId="51467" xr:uid="{F912A684-655E-4F46-B230-EA4628961F27}"/>
    <cellStyle name="Comma 17 2 2 3" xfId="52004" xr:uid="{E1F60815-E25F-4E77-AD46-EB846436FABD}"/>
    <cellStyle name="Comma 17 2 2 4" xfId="48723" xr:uid="{2789B19B-0EBF-4988-B111-21A0AEE999D1}"/>
    <cellStyle name="Comma 17 2 3" xfId="11921" xr:uid="{BFD03B36-8608-4C0A-A4F9-BE4D5D8AF449}"/>
    <cellStyle name="Comma 17 2 3 2" xfId="50139" xr:uid="{B8C24977-ED2C-4CA5-A03A-BE16AD5A8DD5}"/>
    <cellStyle name="Comma 17 2 4" xfId="52005" xr:uid="{18E9A18E-6C11-4130-823E-207248F9B79E}"/>
    <cellStyle name="Comma 17 2 5" xfId="47158" xr:uid="{CD346B8E-490F-4898-9C9D-3D644CA9852C}"/>
    <cellStyle name="Comma 17 3" xfId="9403" xr:uid="{3083BEB5-E38D-4AE4-A820-DB8F15CC1326}"/>
    <cellStyle name="Comma 17 3 2" xfId="12709" xr:uid="{5E5EBF82-0312-4F4E-89B2-E73444E7085D}"/>
    <cellStyle name="Comma 17 3 2 2" xfId="50749" xr:uid="{9E718DD7-9544-4E30-94D4-38BDE190DAAA}"/>
    <cellStyle name="Comma 17 3 3" xfId="52006" xr:uid="{9AAB07AB-9FE8-4127-819D-72D68003B9D7}"/>
    <cellStyle name="Comma 17 3 4" xfId="47872" xr:uid="{8836C168-4CAE-49A5-B7EF-99D5E3643E2C}"/>
    <cellStyle name="Comma 17 4" xfId="11424" xr:uid="{89FCBB61-4FEF-4761-BDED-1D52DEC17276}"/>
    <cellStyle name="Comma 17 4 2" xfId="45799" xr:uid="{76DFEFBA-7FC0-42FF-9B19-ED8E2D8284AA}"/>
    <cellStyle name="Comma 17 5" xfId="49421" xr:uid="{3D2B4812-4417-4C78-BA3F-732A9BF14BEE}"/>
    <cellStyle name="Comma 17 6" xfId="52007" xr:uid="{3563F73A-09B4-4AF4-BBFD-EE1743741080}"/>
    <cellStyle name="Comma 17 7" xfId="43470" xr:uid="{610941F8-BD43-48A3-91C5-9B50DC66EDCC}"/>
    <cellStyle name="Comma 17 8" xfId="14335" xr:uid="{1D846688-C25E-4B21-A0F1-14D13D81B255}"/>
    <cellStyle name="Comma 18" xfId="7396" xr:uid="{870D2319-FEBC-4636-94EF-813A53E990FF}"/>
    <cellStyle name="Comma 18 2" xfId="7897" xr:uid="{FA65611D-F537-4BE9-8562-214CF5528BC5}"/>
    <cellStyle name="Comma 18 2 2" xfId="10389" xr:uid="{5752A54F-1D76-4E92-9448-0F491763BBD4}"/>
    <cellStyle name="Comma 18 2 2 2" xfId="13695" xr:uid="{FF9E940B-ED59-414F-9428-EC8D9EF83583}"/>
    <cellStyle name="Comma 18 2 2 2 2" xfId="51862" xr:uid="{46A357C7-FBF1-458E-B74D-B822D896674A}"/>
    <cellStyle name="Comma 18 2 2 3" xfId="52008" xr:uid="{A2C4E2E7-BA00-4B39-B178-5CC913AA97B7}"/>
    <cellStyle name="Comma 18 2 2 4" xfId="49204" xr:uid="{6304EA0B-13D4-4456-BF86-ADBE6A7C38AB}"/>
    <cellStyle name="Comma 18 2 3" xfId="12410" xr:uid="{5533A0CC-3699-4A97-AF7A-464672CC1B8A}"/>
    <cellStyle name="Comma 18 2 3 2" xfId="50534" xr:uid="{43E2B640-AD2A-4902-A519-AF4D4729B78D}"/>
    <cellStyle name="Comma 18 2 4" xfId="52009" xr:uid="{5D5CC0DC-2FAA-48BC-A5D0-FDF22C602607}"/>
    <cellStyle name="Comma 18 2 5" xfId="47617" xr:uid="{5BC3BFB0-E245-4D3C-BD59-2BEE3FC26B1F}"/>
    <cellStyle name="Comma 18 3" xfId="9895" xr:uid="{A280A2F9-13E2-4059-BAE0-801E01E72FE1}"/>
    <cellStyle name="Comma 18 3 2" xfId="13201" xr:uid="{B3E2FB6F-82AC-4A34-A4B4-73FF59F964FF}"/>
    <cellStyle name="Comma 18 3 2 2" xfId="51144" xr:uid="{421008E1-F9E6-4DC3-97A1-E83CD9C79D5B}"/>
    <cellStyle name="Comma 18 3 3" xfId="52010" xr:uid="{488AD270-705A-4EE4-99D6-D7CB9D27403C}"/>
    <cellStyle name="Comma 18 3 4" xfId="48343" xr:uid="{291C3FEE-1AFF-4CB8-905B-65B3491E0D3D}"/>
    <cellStyle name="Comma 18 4" xfId="11916" xr:uid="{B61421E8-A7BD-4F22-AD3D-EE66C60E6096}"/>
    <cellStyle name="Comma 18 4 2" xfId="49816" xr:uid="{FBA2D46F-96B9-46FB-960F-9DCDDD79F03F}"/>
    <cellStyle name="Comma 18 5" xfId="52011" xr:uid="{3B762512-07A6-49A6-81E2-150349CD9B7A}"/>
    <cellStyle name="Comma 18 6" xfId="46790" xr:uid="{79A6611A-8A5C-4531-91C5-0008D48E5340}"/>
    <cellStyle name="Comma 18 7" xfId="14824" xr:uid="{AF141096-59C8-4F68-94CB-F933C4057AF4}"/>
    <cellStyle name="Comma 19" xfId="5933" xr:uid="{472683D5-EDE8-4A58-BF7E-1B381643E806}"/>
    <cellStyle name="Comma 19 2" xfId="9400" xr:uid="{744EA1A2-4B18-4286-94CC-ED1D51F5A834}"/>
    <cellStyle name="Comma 19 2 2" xfId="12706" xr:uid="{16D8A9A7-F4F2-41BB-95CB-EA81C4C5A419}"/>
    <cellStyle name="Comma 19 2 2 2" xfId="50748" xr:uid="{E37B3484-F08A-4D44-9595-BEC7DF6BE1F5}"/>
    <cellStyle name="Comma 19 2 3" xfId="52012" xr:uid="{B223A746-967A-4292-8278-EFED2CE46921}"/>
    <cellStyle name="Comma 19 2 4" xfId="47870" xr:uid="{5ABA5742-13EF-4261-B104-C2E9878C1939}"/>
    <cellStyle name="Comma 19 3" xfId="11421" xr:uid="{94D5B687-51D9-4F3D-9134-F191C6031F57}"/>
    <cellStyle name="Comma 19 3 2" xfId="49420" xr:uid="{82B643AF-9138-49BE-B390-44B5CCB6B965}"/>
    <cellStyle name="Comma 19 4" xfId="52013" xr:uid="{951A8F44-D852-4672-BEEF-9ED5B2ABA686}"/>
    <cellStyle name="Comma 19 5" xfId="45795" xr:uid="{CEBC9AE5-777D-45DF-AC2D-698686D789CF}"/>
    <cellStyle name="Comma 19 6" xfId="14332" xr:uid="{42788DF3-A83C-471B-911F-6DABA47B3039}"/>
    <cellStyle name="Comma 2" xfId="1730" xr:uid="{016D8871-85E9-481A-9069-28FF7EAD3AAE}"/>
    <cellStyle name="Comma 2 10" xfId="1731" xr:uid="{FB1C0A67-1B68-47DB-970C-4CA8866EFE2F}"/>
    <cellStyle name="Comma 2 10 10" xfId="39848" xr:uid="{EA9C4272-1AF8-414D-885D-7A889B0D18ED}"/>
    <cellStyle name="Comma 2 10 11" xfId="40490" xr:uid="{3FFD3CAA-26B8-4F60-9A86-C2F445AA82CE}"/>
    <cellStyle name="Comma 2 10 12" xfId="41702" xr:uid="{2926BF31-DCEB-49A6-A1AD-C606E73FD976}"/>
    <cellStyle name="Comma 2 10 13" xfId="42331" xr:uid="{23C3ED6F-DF18-4EF8-A56B-85B09CD79C09}"/>
    <cellStyle name="Comma 2 10 14" xfId="43504" xr:uid="{5FBE304A-DBCE-4CCD-971A-AC7F9ACAD919}"/>
    <cellStyle name="Comma 2 10 15" xfId="44367" xr:uid="{A7A50088-CAA7-4227-8E13-31CE1A9865F9}"/>
    <cellStyle name="Comma 2 10 16" xfId="45609" xr:uid="{AF7A4771-DD88-491F-8748-B3BFE2375BE1}"/>
    <cellStyle name="Comma 2 10 17" xfId="49238" xr:uid="{942BEDE9-4406-4E90-B63C-D0E8A4FA85D6}"/>
    <cellStyle name="Comma 2 10 18" xfId="52014" xr:uid="{F12D747D-E94C-4ADE-BA53-06294F476146}"/>
    <cellStyle name="Comma 2 10 19" xfId="15297" xr:uid="{B9844F7D-3D96-4EDC-AC69-EA22EE852ECF}"/>
    <cellStyle name="Comma 2 10 2" xfId="4407" xr:uid="{648912BD-3A32-4B2E-BB17-2CFF54E07253}"/>
    <cellStyle name="Comma 2 10 2 10" xfId="41703" xr:uid="{A5A3BA18-8185-41B7-BE15-A90FAEF067BF}"/>
    <cellStyle name="Comma 2 10 2 11" xfId="42483" xr:uid="{0C95E8BC-1F38-4F90-BA4D-5BC45F2E0D4F}"/>
    <cellStyle name="Comma 2 10 2 12" xfId="44208" xr:uid="{F246C1F3-2777-45FB-A996-C915E76D8AD6}"/>
    <cellStyle name="Comma 2 10 2 13" xfId="44508" xr:uid="{4A9E7586-258B-4320-BBBE-633104237E57}"/>
    <cellStyle name="Comma 2 10 2 14" xfId="45683" xr:uid="{7D43C492-2664-4552-BF9E-D1F03CD54EAA}"/>
    <cellStyle name="Comma 2 10 2 15" xfId="49311" xr:uid="{0A9D2354-0B33-4D5A-A041-774401671231}"/>
    <cellStyle name="Comma 2 10 2 16" xfId="52015" xr:uid="{BE03998F-5B37-4263-ACB3-986FD1A461F2}"/>
    <cellStyle name="Comma 2 10 2 17" xfId="16746" xr:uid="{680AC46C-BE82-4BB1-AE84-A66F7C0E0224}"/>
    <cellStyle name="Comma 2 10 2 18" xfId="14201" xr:uid="{6B8B478F-1A9C-4989-9033-26A8F3FF4C88}"/>
    <cellStyle name="Comma 2 10 2 2" xfId="5664" xr:uid="{E9DA2008-1B1A-4576-AB70-FA6055F0597C}"/>
    <cellStyle name="Comma 2 10 2 2 10" xfId="42562" xr:uid="{26C8097E-0FDA-40C3-9874-9D6C5B9BCB07}"/>
    <cellStyle name="Comma 2 10 2 2 11" xfId="44729" xr:uid="{1A863EC3-82FB-42E8-A2D7-A1994524C639}"/>
    <cellStyle name="Comma 2 10 2 2 12" xfId="46676" xr:uid="{57C8BF19-3C5B-43C7-8B46-ED8F4CA8A57C}"/>
    <cellStyle name="Comma 2 10 2 2 13" xfId="49708" xr:uid="{8932BF05-D864-4EDF-A20B-B31B8D2B9636}"/>
    <cellStyle name="Comma 2 10 2 2 14" xfId="52016" xr:uid="{01E33EFE-8F25-4D60-B2F2-5B33CF7A9819}"/>
    <cellStyle name="Comma 2 10 2 2 15" xfId="16915" xr:uid="{E71EEDCF-54C3-4B56-A645-5A368DA0D89E}"/>
    <cellStyle name="Comma 2 10 2 2 16" xfId="14693" xr:uid="{428D0768-25FC-4E21-8B35-FC0FD580CE83}"/>
    <cellStyle name="Comma 2 10 2 2 2" xfId="10258" xr:uid="{1F50A656-B525-4343-A6B9-F27FED11ECD3}"/>
    <cellStyle name="Comma 2 10 2 2 2 2" xfId="13564" xr:uid="{065E288A-2872-4AAC-B237-FDCE2E671134}"/>
    <cellStyle name="Comma 2 10 2 2 2 2 2" xfId="39476" xr:uid="{519DD781-7596-4CB5-9E27-C4FE37E38263}"/>
    <cellStyle name="Comma 2 10 2 2 2 3" xfId="41330" xr:uid="{6D6A4DA1-A6B7-4CBD-8264-BAB81C2F46FF}"/>
    <cellStyle name="Comma 2 10 2 2 2 4" xfId="43153" xr:uid="{53C83BC0-2CE5-4F0E-BE0A-A809FFE53F82}"/>
    <cellStyle name="Comma 2 10 2 2 2 5" xfId="45250" xr:uid="{76E55330-4236-4F8C-B950-2B9E54AC79F8}"/>
    <cellStyle name="Comma 2 10 2 2 2 6" xfId="48218" xr:uid="{52846187-1A90-4417-B0AA-002FB4D45720}"/>
    <cellStyle name="Comma 2 10 2 2 2 7" xfId="51036" xr:uid="{EE124A24-84B4-422C-B6FA-06CD0AEF3972}"/>
    <cellStyle name="Comma 2 10 2 2 2 8" xfId="52017" xr:uid="{190445EB-7F5E-4589-919C-E90B906AA978}"/>
    <cellStyle name="Comma 2 10 2 2 2 9" xfId="20910" xr:uid="{44CB6DA6-4F49-43F8-A77C-27D260387A47}"/>
    <cellStyle name="Comma 2 10 2 2 3" xfId="7766" xr:uid="{AD4090EB-AD64-43BB-9B53-049B43D88A15}"/>
    <cellStyle name="Comma 2 10 2 2 3 2" xfId="20129" xr:uid="{AA3C93EB-48ED-48C5-AC05-926C9FE19085}"/>
    <cellStyle name="Comma 2 10 2 2 4" xfId="12279" xr:uid="{14E3F9C1-1607-40F1-9469-E0CE0387E211}"/>
    <cellStyle name="Comma 2 10 2 2 4 2" xfId="23530" xr:uid="{B4D54A61-A69C-41FF-8755-CC4F85DFEA51}"/>
    <cellStyle name="Comma 2 10 2 2 5" xfId="38027" xr:uid="{170F7F33-AC64-40A5-BB8E-328B1B2A4289}"/>
    <cellStyle name="Comma 2 10 2 2 6" xfId="38885" xr:uid="{0CD8BC18-61F8-472C-9BBA-CF6269191D62}"/>
    <cellStyle name="Comma 2 10 2 2 7" xfId="39850" xr:uid="{6F725C37-A0BC-427B-8504-50230DF37B30}"/>
    <cellStyle name="Comma 2 10 2 2 8" xfId="40492" xr:uid="{94DD1092-FD29-4D64-9F3B-3C561347B97B}"/>
    <cellStyle name="Comma 2 10 2 2 9" xfId="41704" xr:uid="{D1C8BA51-5CC3-42A6-BE3A-5BA797EF9A70}"/>
    <cellStyle name="Comma 2 10 2 3" xfId="11113" xr:uid="{CD88EC59-E976-4039-A55F-B2EA5FA5C093}"/>
    <cellStyle name="Comma 2 10 2 3 10" xfId="15008" xr:uid="{70EA283F-7BB3-485C-AE95-E3BFDAC3DAC9}"/>
    <cellStyle name="Comma 2 10 2 3 2" xfId="13710" xr:uid="{D4A6E1A4-2BD3-4861-A5AF-9FDD09612003}"/>
    <cellStyle name="Comma 2 10 2 3 2 2" xfId="48457" xr:uid="{36991490-61F3-4FCC-A65E-946577A2538D}"/>
    <cellStyle name="Comma 2 10 2 3 2 3" xfId="51243" xr:uid="{3FED5C7A-EAF3-4505-9B73-099EB20FB78F}"/>
    <cellStyle name="Comma 2 10 2 3 2 4" xfId="52018" xr:uid="{8EE7B1E1-2362-453A-9EAF-0ACAED28C228}"/>
    <cellStyle name="Comma 2 10 2 3 2 5" xfId="39397" xr:uid="{222293DC-4C8F-4D9F-9ED1-C63D3A668206}"/>
    <cellStyle name="Comma 2 10 2 3 3" xfId="41253" xr:uid="{C8D9AB9E-8669-4F1B-B0E7-6F5150EB5589}"/>
    <cellStyle name="Comma 2 10 2 3 4" xfId="43074" xr:uid="{70459E09-01FB-4630-A9CE-B3FD124BBCFD}"/>
    <cellStyle name="Comma 2 10 2 3 5" xfId="45173" xr:uid="{628C0151-69C2-4435-BBC4-63156EAFD75C}"/>
    <cellStyle name="Comma 2 10 2 3 6" xfId="46896" xr:uid="{8DC883A2-02DA-4370-AB02-BBDCDFDC2C59}"/>
    <cellStyle name="Comma 2 10 2 3 7" xfId="49915" xr:uid="{687DCB16-8FF5-486E-8C68-F4ED4E1FD566}"/>
    <cellStyle name="Comma 2 10 2 3 8" xfId="52019" xr:uid="{F7D33062-DC02-49A5-9B9D-1D2E4A3F3EDF}"/>
    <cellStyle name="Comma 2 10 2 3 9" xfId="20772" xr:uid="{BF7ED7FF-8049-434C-BABC-11B506CCB22C}"/>
    <cellStyle name="Comma 2 10 2 4" xfId="9764" xr:uid="{5C1498E7-773F-465D-B395-0B37B79A8AB6}"/>
    <cellStyle name="Comma 2 10 2 4 2" xfId="13070" xr:uid="{1368EC78-0E42-46D0-A28A-1FD0BA96E146}"/>
    <cellStyle name="Comma 2 10 2 4 2 2" xfId="51754" xr:uid="{6A63303F-DCA0-4E95-97D8-F0114C9B7BFB}"/>
    <cellStyle name="Comma 2 10 2 4 2 3" xfId="52020" xr:uid="{09B7AFAA-488F-4690-B673-AC8B621537B7}"/>
    <cellStyle name="Comma 2 10 2 4 2 4" xfId="49074" xr:uid="{35620BE0-9D19-4821-8EE6-C0FDA2A19381}"/>
    <cellStyle name="Comma 2 10 2 4 3" xfId="47491" xr:uid="{B648B075-56F4-4FDE-B7AD-107AE9F4E077}"/>
    <cellStyle name="Comma 2 10 2 4 4" xfId="50426" xr:uid="{599499C1-00F7-465E-A5CE-EC52B2A38FA6}"/>
    <cellStyle name="Comma 2 10 2 4 5" xfId="52021" xr:uid="{38CB52E5-58A1-433B-8ACD-4A4D90C530EC}"/>
    <cellStyle name="Comma 2 10 2 4 6" xfId="20050" xr:uid="{93C2D496-454F-4339-89C2-CFE0B68E657F}"/>
    <cellStyle name="Comma 2 10 2 5" xfId="7262" xr:uid="{10EABED4-644A-46F7-8830-FD7A0C674E19}"/>
    <cellStyle name="Comma 2 10 2 5 2" xfId="47740" xr:uid="{ED838DCF-1FED-45EB-BF52-B3E0CB627F8F}"/>
    <cellStyle name="Comma 2 10 2 5 3" xfId="50639" xr:uid="{D06AD2B8-A22C-45BF-9606-DECC3264DBFC}"/>
    <cellStyle name="Comma 2 10 2 5 4" xfId="52022" xr:uid="{832B532A-1198-4CEE-ADEF-A4A5A906BA8C}"/>
    <cellStyle name="Comma 2 10 2 5 5" xfId="23529" xr:uid="{67BC34C6-2F69-43EE-BE9C-DF7101403996}"/>
    <cellStyle name="Comma 2 10 2 6" xfId="11785" xr:uid="{4606F6A8-0171-4206-9558-4861379E7586}"/>
    <cellStyle name="Comma 2 10 2 6 2" xfId="38026" xr:uid="{359D2FEC-E2FE-4C37-8D87-42619F3B8481}"/>
    <cellStyle name="Comma 2 10 2 7" xfId="38806" xr:uid="{3D51AEB9-6A95-467F-B7CE-7FB059108A1F}"/>
    <cellStyle name="Comma 2 10 2 8" xfId="39849" xr:uid="{652E7365-229A-4234-BE45-7331DF2B0C6E}"/>
    <cellStyle name="Comma 2 10 2 9" xfId="40491" xr:uid="{D05C1180-AE2C-44A6-ACDC-E438F069AE0D}"/>
    <cellStyle name="Comma 2 10 20" xfId="13887" xr:uid="{82641391-ABD2-47CD-8364-77319FEEC177}"/>
    <cellStyle name="Comma 2 10 3" xfId="5488" xr:uid="{841FA39B-2737-4F06-AAB4-CE743B983CD2}"/>
    <cellStyle name="Comma 2 10 3 10" xfId="42561" xr:uid="{058B63DF-5CF5-4222-BCFA-42FDBD61E7A6}"/>
    <cellStyle name="Comma 2 10 3 11" xfId="43777" xr:uid="{165E4774-FA3D-4E34-A342-E99A6ECC0E17}"/>
    <cellStyle name="Comma 2 10 3 12" xfId="44728" xr:uid="{6ECD84CA-7A75-4370-9C68-B840A732F2C9}"/>
    <cellStyle name="Comma 2 10 3 13" xfId="46535" xr:uid="{E3CC0F0E-70C7-4148-8DA6-B7ECD71A47E4}"/>
    <cellStyle name="Comma 2 10 3 14" xfId="49568" xr:uid="{AAEABCCE-3C36-4662-AD33-49894097705A}"/>
    <cellStyle name="Comma 2 10 3 15" xfId="52023" xr:uid="{89F0B654-2398-4F46-81EA-74F6AF26F995}"/>
    <cellStyle name="Comma 2 10 3 16" xfId="16914" xr:uid="{2B6658C9-0F07-41C6-9174-DFA9676FDBAF}"/>
    <cellStyle name="Comma 2 10 3 17" xfId="14025" xr:uid="{F1DD383A-8F82-44FB-8049-9AF3E30F8EDF}"/>
    <cellStyle name="Comma 2 10 3 2" xfId="7590" xr:uid="{DA2D5B9C-8B49-4B05-A3FE-A31D242CCB05}"/>
    <cellStyle name="Comma 2 10 3 2 10" xfId="14517" xr:uid="{EEF767D1-F90A-475F-BAF6-2AE3449E51E1}"/>
    <cellStyle name="Comma 2 10 3 2 2" xfId="10082" xr:uid="{65A19F80-63E4-4885-BF45-A51CD71DE298}"/>
    <cellStyle name="Comma 2 10 3 2 2 2" xfId="13388" xr:uid="{94BE9149-8053-49BD-A08F-1C3686231371}"/>
    <cellStyle name="Comma 2 10 3 2 2 2 2" xfId="48595" xr:uid="{61B21656-4DF0-4CEA-8EFD-903BBC208B14}"/>
    <cellStyle name="Comma 2 10 3 2 2 3" xfId="51358" xr:uid="{C56F38B4-2AE9-4F3E-97C7-CABFED1B3C39}"/>
    <cellStyle name="Comma 2 10 3 2 2 4" xfId="52024" xr:uid="{B221AA4F-7C71-4C2A-B73F-44DA679479E5}"/>
    <cellStyle name="Comma 2 10 3 2 2 5" xfId="39475" xr:uid="{1BEF8C7D-76C1-4650-8A47-5CD166FD8443}"/>
    <cellStyle name="Comma 2 10 3 2 3" xfId="12103" xr:uid="{5C64E0F0-ED1C-4AB2-8635-1C151E2D5326}"/>
    <cellStyle name="Comma 2 10 3 2 3 2" xfId="41329" xr:uid="{A3B3EBF0-CDB1-43F1-A64F-7FE4F07CC552}"/>
    <cellStyle name="Comma 2 10 3 2 4" xfId="43152" xr:uid="{8A8C20CC-C3CF-4310-89B8-A867C01D4621}"/>
    <cellStyle name="Comma 2 10 3 2 5" xfId="45249" xr:uid="{F8066EB3-B074-4D66-9C90-DC7D275E9CF3}"/>
    <cellStyle name="Comma 2 10 3 2 6" xfId="47029" xr:uid="{31F18641-F459-436F-88C1-10F78AE528BB}"/>
    <cellStyle name="Comma 2 10 3 2 7" xfId="50030" xr:uid="{AC25FD9B-9389-4D95-B0D2-406700D4A8F1}"/>
    <cellStyle name="Comma 2 10 3 2 8" xfId="52025" xr:uid="{9EA325CD-9879-4339-ADC7-288ECEE0A4C3}"/>
    <cellStyle name="Comma 2 10 3 2 9" xfId="20909" xr:uid="{EB2979A2-C353-4E67-8435-77DC4D5783B1}"/>
    <cellStyle name="Comma 2 10 3 3" xfId="9588" xr:uid="{B19CD693-195D-4792-9F08-42B9D865A6F6}"/>
    <cellStyle name="Comma 2 10 3 3 2" xfId="12894" xr:uid="{FF1FA9E8-829A-4D12-8835-5B7850A9269F}"/>
    <cellStyle name="Comma 2 10 3 3 2 2" xfId="51614" xr:uid="{BBFF47FD-5164-443D-BA67-47F37C4B6EB2}"/>
    <cellStyle name="Comma 2 10 3 3 2 3" xfId="52026" xr:uid="{943E1397-036B-4C72-8850-C93857EB5031}"/>
    <cellStyle name="Comma 2 10 3 3 2 4" xfId="48902" xr:uid="{0C063B95-34E9-4CB5-8C5D-88CCC7952414}"/>
    <cellStyle name="Comma 2 10 3 3 3" xfId="47326" xr:uid="{8C84CEAC-4770-4D68-83ED-3BB015333C82}"/>
    <cellStyle name="Comma 2 10 3 3 4" xfId="50286" xr:uid="{47A4D3DD-E72E-4ADF-800A-3A5B21843928}"/>
    <cellStyle name="Comma 2 10 3 3 5" xfId="52027" xr:uid="{60301A03-19E6-4B6E-9EDA-ADCF31E82176}"/>
    <cellStyle name="Comma 2 10 3 3 6" xfId="20128" xr:uid="{FCEEE1EE-C99F-4858-8D5C-9F0BC4C9ECFE}"/>
    <cellStyle name="Comma 2 10 3 4" xfId="7084" xr:uid="{1B7A1D4A-67F2-4AB6-AF7C-DA7A6AD3049C}"/>
    <cellStyle name="Comma 2 10 3 4 2" xfId="48047" xr:uid="{37B65388-FF9D-4BE1-86F1-C6A1CEDD3E82}"/>
    <cellStyle name="Comma 2 10 3 4 3" xfId="50896" xr:uid="{7F5C2EA6-FEE9-4C18-8872-194051CA059F}"/>
    <cellStyle name="Comma 2 10 3 4 4" xfId="52028" xr:uid="{87EC211C-B1E2-4E23-A2AD-823E65AAF97B}"/>
    <cellStyle name="Comma 2 10 3 4 5" xfId="23531" xr:uid="{84D25E1B-2F16-4442-913F-9257D1FDDF8A}"/>
    <cellStyle name="Comma 2 10 3 5" xfId="11609" xr:uid="{E71504D0-8C07-412B-8311-C47CB9CC59E6}"/>
    <cellStyle name="Comma 2 10 3 5 2" xfId="38028" xr:uid="{7D41D82A-B668-4058-B982-7E4BDCF82DBC}"/>
    <cellStyle name="Comma 2 10 3 6" xfId="38884" xr:uid="{E1626262-3530-4672-BE48-FEA6872B9065}"/>
    <cellStyle name="Comma 2 10 3 7" xfId="39851" xr:uid="{96BC3D02-B81A-46E6-9AA0-BCB6E19F1F85}"/>
    <cellStyle name="Comma 2 10 3 8" xfId="40493" xr:uid="{72C38AA5-3769-406D-8FB7-F3C032BCB32A}"/>
    <cellStyle name="Comma 2 10 3 9" xfId="41705" xr:uid="{99660218-3055-4FAD-900C-E6457780AD46}"/>
    <cellStyle name="Comma 2 10 4" xfId="6478" xr:uid="{7C9A3292-41F9-4FA2-88E7-D64A8D8C15DF}"/>
    <cellStyle name="Comma 2 10 4 10" xfId="42809" xr:uid="{0A71D5AF-FF02-4491-A910-0BDAD0909023}"/>
    <cellStyle name="Comma 2 10 4 11" xfId="44936" xr:uid="{61DA201B-DF6A-4AD2-9DDD-2A6FBACBC457}"/>
    <cellStyle name="Comma 2 10 4 12" xfId="46117" xr:uid="{E25CED0C-062C-4BE6-98A8-2A7A62188E4E}"/>
    <cellStyle name="Comma 2 10 4 13" xfId="49453" xr:uid="{C399BC16-6A51-4F08-8DA6-3FE3FAB42CAC}"/>
    <cellStyle name="Comma 2 10 4 14" xfId="52029" xr:uid="{FE5C3E01-B3B8-4587-B142-B6D28130E0AF}"/>
    <cellStyle name="Comma 2 10 4 15" xfId="19715" xr:uid="{7688E421-96F5-4DCF-A5BB-4A1396719752}"/>
    <cellStyle name="Comma 2 10 4 16" xfId="14379" xr:uid="{C123B9F1-AE47-4EB0-AE88-E19A38CCA06B}"/>
    <cellStyle name="Comma 2 10 4 2" xfId="9450" xr:uid="{7A92E7FA-37BF-4DA0-AF76-F5D1B3CECAB3}"/>
    <cellStyle name="Comma 2 10 4 2 2" xfId="12756" xr:uid="{E65E0070-3CAA-4E33-8CF4-25BB49AE1AE5}"/>
    <cellStyle name="Comma 2 10 4 2 2 2" xfId="39723" xr:uid="{C5014638-158D-404C-B883-D729777DCC5D}"/>
    <cellStyle name="Comma 2 10 4 2 3" xfId="41576" xr:uid="{1A690155-7E30-4C98-9D68-776B0FA9B15E}"/>
    <cellStyle name="Comma 2 10 4 2 4" xfId="43400" xr:uid="{77D43AE9-BB48-4CB3-80EC-64F4ECCAA042}"/>
    <cellStyle name="Comma 2 10 4 2 5" xfId="45479" xr:uid="{929070B3-F832-4DD7-8E26-0F7752ED983D}"/>
    <cellStyle name="Comma 2 10 4 2 6" xfId="47912" xr:uid="{B5843294-26B7-435D-AAA9-C4560BDECD6E}"/>
    <cellStyle name="Comma 2 10 4 2 7" xfId="50781" xr:uid="{D948EA47-EB18-490B-8F9C-A63D6142FF12}"/>
    <cellStyle name="Comma 2 10 4 2 8" xfId="52030" xr:uid="{D25D4BD1-FE87-4ECC-9F93-A8233BBA1B81}"/>
    <cellStyle name="Comma 2 10 4 2 9" xfId="23332" xr:uid="{DA95BDD9-DF04-4284-A747-98536D1DB30F}"/>
    <cellStyle name="Comma 2 10 4 3" xfId="11471" xr:uid="{3A7A0E7D-A892-4619-89B2-8ACBBF25328C}"/>
    <cellStyle name="Comma 2 10 4 3 2" xfId="20376" xr:uid="{8CF8CF3F-838A-4623-B878-8334A4FC520C}"/>
    <cellStyle name="Comma 2 10 4 4" xfId="23532" xr:uid="{10DD4F51-19DC-4138-A800-9BC8B96DEF6C}"/>
    <cellStyle name="Comma 2 10 4 5" xfId="38029" xr:uid="{1A73B637-3EE2-4F8C-979A-9C119732EE40}"/>
    <cellStyle name="Comma 2 10 4 6" xfId="39132" xr:uid="{BD6E3E96-51B4-4212-AD24-3742D2305117}"/>
    <cellStyle name="Comma 2 10 4 7" xfId="39852" xr:uid="{54EDA369-47C8-4AF1-B8C1-5FD60A980332}"/>
    <cellStyle name="Comma 2 10 4 8" xfId="40494" xr:uid="{FB0D686D-87B1-423B-A657-0691FA548A34}"/>
    <cellStyle name="Comma 2 10 4 9" xfId="41706" xr:uid="{7F79997C-5822-4E6B-8D1C-339960E60B82}"/>
    <cellStyle name="Comma 2 10 5" xfId="7452" xr:uid="{DA49F981-FEF2-4AEC-9C37-5048DDAECC1E}"/>
    <cellStyle name="Comma 2 10 5 10" xfId="14832" xr:uid="{41FFA095-F55F-45E6-B328-29F4E74F5764}"/>
    <cellStyle name="Comma 2 10 5 2" xfId="9944" xr:uid="{A351D1D6-5283-43AB-BCCF-C65D6A381237}"/>
    <cellStyle name="Comma 2 10 5 2 2" xfId="13250" xr:uid="{CA268124-0309-4F75-B9D3-FEEE6A930A91}"/>
    <cellStyle name="Comma 2 10 5 2 2 2" xfId="48351" xr:uid="{3F7D5475-AF1F-498D-AD72-E93EC32C7996}"/>
    <cellStyle name="Comma 2 10 5 2 3" xfId="51152" xr:uid="{41B9BFF1-71EF-4FE0-AFF4-020575AF5CD2}"/>
    <cellStyle name="Comma 2 10 5 2 4" xfId="52031" xr:uid="{28B40C48-CA37-4E09-9FE6-814A90A9125F}"/>
    <cellStyle name="Comma 2 10 5 2 5" xfId="39245" xr:uid="{A2585551-238C-4F80-8DE1-3720A664F012}"/>
    <cellStyle name="Comma 2 10 5 3" xfId="11965" xr:uid="{765A14EC-9FBB-4C0B-9C9D-E61CC404672E}"/>
    <cellStyle name="Comma 2 10 5 3 2" xfId="41114" xr:uid="{14509461-9FC9-4ECD-AB31-96F72C6CAF81}"/>
    <cellStyle name="Comma 2 10 5 4" xfId="42922" xr:uid="{8C3E998E-29D3-47D1-B848-8916175574E2}"/>
    <cellStyle name="Comma 2 10 5 5" xfId="45029" xr:uid="{99613C28-6D96-4F49-8A8D-DC92849F5268}"/>
    <cellStyle name="Comma 2 10 5 6" xfId="46800" xr:uid="{0D9E576C-0637-4C11-98AA-EA7B03F2730D}"/>
    <cellStyle name="Comma 2 10 5 7" xfId="49824" xr:uid="{2218415A-2B19-45FE-9FC1-46954F85A59B}"/>
    <cellStyle name="Comma 2 10 5 8" xfId="52032" xr:uid="{ADAD16A9-2D32-41AC-A4C7-CE459409AC1A}"/>
    <cellStyle name="Comma 2 10 5 9" xfId="20490" xr:uid="{BB7A2D2F-BED6-4519-A9C9-7D408B0301C6}"/>
    <cellStyle name="Comma 2 10 6" xfId="8118" xr:uid="{A05B0B86-293F-4235-99EC-CD8E99B987B6}"/>
    <cellStyle name="Comma 2 10 6 2" xfId="12574" xr:uid="{6AEE6D2D-EA30-4BE9-8579-7B3CD343ADCA}"/>
    <cellStyle name="Comma 2 10 6 2 2" xfId="51499" xr:uid="{B6161EB5-36B8-41EE-8FCB-034B6D8CDB61}"/>
    <cellStyle name="Comma 2 10 6 2 3" xfId="52033" xr:uid="{ADCC7C41-C04A-4B1E-A82A-E2D9E67200B7}"/>
    <cellStyle name="Comma 2 10 6 2 4" xfId="48764" xr:uid="{CFCB4E3C-7954-4F89-B5AD-639672326541}"/>
    <cellStyle name="Comma 2 10 6 3" xfId="47193" xr:uid="{9C9E5445-0203-4E76-BB44-2607599A1B99}"/>
    <cellStyle name="Comma 2 10 6 4" xfId="50171" xr:uid="{C163F92B-101C-4AD7-9ABA-AFCE1E83506E}"/>
    <cellStyle name="Comma 2 10 6 5" xfId="52034" xr:uid="{53418C19-0C4D-469C-948C-9F83E6AC7E29}"/>
    <cellStyle name="Comma 2 10 6 6" xfId="19897" xr:uid="{96972A71-21B4-4EEF-A122-5B4229651BB8}"/>
    <cellStyle name="Comma 2 10 7" xfId="7905" xr:uid="{FEB3A72E-9BBC-4395-A16B-E4D09C2E1872}"/>
    <cellStyle name="Comma 2 10 7 2" xfId="12418" xr:uid="{552CC75E-1FC3-45F8-A70C-3E0D4F0B321A}"/>
    <cellStyle name="Comma 2 10 7 2 2" xfId="47658" xr:uid="{63272B42-56CD-43E3-A02E-DF5805A171D2}"/>
    <cellStyle name="Comma 2 10 7 3" xfId="50566" xr:uid="{963B2444-D3A3-42AF-A660-B84EE4DF7569}"/>
    <cellStyle name="Comma 2 10 7 4" xfId="52035" xr:uid="{0A7522E7-C5D8-4FFE-B79D-27CF31E35161}"/>
    <cellStyle name="Comma 2 10 7 5" xfId="23528" xr:uid="{43B94FE0-B662-4F1D-A9F7-A82DA31C5C3C}"/>
    <cellStyle name="Comma 2 10 8" xfId="5802" xr:uid="{3C312C78-8173-417A-8EE9-12172EC6B707}"/>
    <cellStyle name="Comma 2 10 8 2" xfId="38025" xr:uid="{7BE9ACB5-50F2-4BCB-951D-3D7C2659BCEE}"/>
    <cellStyle name="Comma 2 10 9" xfId="11290" xr:uid="{18B04D17-D2D5-4F0F-A218-C272B041C994}"/>
    <cellStyle name="Comma 2 10 9 2" xfId="38654" xr:uid="{D34885B4-CC18-454B-8057-D6A009F39124}"/>
    <cellStyle name="Comma 2 11" xfId="4406" xr:uid="{232A3F86-073B-4E35-8403-9017D48FF7CB}"/>
    <cellStyle name="Comma 2 11 10" xfId="40495" xr:uid="{9B4D993D-AB39-4D0A-99F6-62929473BBC3}"/>
    <cellStyle name="Comma 2 11 11" xfId="41707" xr:uid="{457D569A-1CCF-4D71-9D93-6DE43F12C41D}"/>
    <cellStyle name="Comma 2 11 12" xfId="42363" xr:uid="{B1913828-2BD6-4412-877A-4D81947FD93F}"/>
    <cellStyle name="Comma 2 11 13" xfId="44207" xr:uid="{692D2D9F-40FF-4661-A2B1-7CB253FC6CE4}"/>
    <cellStyle name="Comma 2 11 14" xfId="44507" xr:uid="{D75D5C1F-44C5-41CD-A7DE-5454898042A9}"/>
    <cellStyle name="Comma 2 11 15" xfId="45682" xr:uid="{8EE42A9B-57D4-4699-9758-28C64109FF17}"/>
    <cellStyle name="Comma 2 11 16" xfId="49310" xr:uid="{8384A819-CCE6-4F3D-AEFB-3C7A44571C38}"/>
    <cellStyle name="Comma 2 11 17" xfId="52036" xr:uid="{66A7B909-E06E-4DB0-90E1-E8097CF1A738}"/>
    <cellStyle name="Comma 2 11 18" xfId="15787" xr:uid="{E0C1DAEF-21E5-4E30-8B96-524D14FA58FC}"/>
    <cellStyle name="Comma 2 11 19" xfId="14200" xr:uid="{44AD227C-F339-4BF7-8E75-DCA72F3CF97F}"/>
    <cellStyle name="Comma 2 11 2" xfId="5663" xr:uid="{185204D2-05F1-4C3C-8B99-BF38125AB75F}"/>
    <cellStyle name="Comma 2 11 2 10" xfId="41708" xr:uid="{3EBBCDBF-3FB2-4D04-A70D-CA5FC160261A}"/>
    <cellStyle name="Comma 2 11 2 11" xfId="42515" xr:uid="{A84C8033-2AFA-4963-8D4D-F69764FE6D67}"/>
    <cellStyle name="Comma 2 11 2 12" xfId="44690" xr:uid="{57C14EC7-C3A6-4B60-8B45-D84DB4068BC8}"/>
    <cellStyle name="Comma 2 11 2 13" xfId="46675" xr:uid="{1B566957-D1B9-471B-80F8-C93F719E0AFB}"/>
    <cellStyle name="Comma 2 11 2 14" xfId="49707" xr:uid="{5F4EBBCC-8C27-400D-BD55-A83C844A1FC3}"/>
    <cellStyle name="Comma 2 11 2 15" xfId="52037" xr:uid="{6B94BC94-7812-4987-A477-74F96E5AA086}"/>
    <cellStyle name="Comma 2 11 2 16" xfId="16805" xr:uid="{EF37147E-4546-4570-BD8B-DD4B7EF9B347}"/>
    <cellStyle name="Comma 2 11 2 17" xfId="14692" xr:uid="{D17250FA-4332-45F9-A877-92A5876ADCFF}"/>
    <cellStyle name="Comma 2 11 2 2" xfId="10257" xr:uid="{6396C033-0029-457C-93F2-89A781E92C5E}"/>
    <cellStyle name="Comma 2 11 2 2 10" xfId="42564" xr:uid="{4C85D24D-A475-4844-8A94-07EDB43744F0}"/>
    <cellStyle name="Comma 2 11 2 2 11" xfId="44731" xr:uid="{F492A7A5-2E86-4BD0-9985-934914B5DC7B}"/>
    <cellStyle name="Comma 2 11 2 2 12" xfId="48217" xr:uid="{2DA14226-13B3-4B59-8BF4-A1CBB41E043D}"/>
    <cellStyle name="Comma 2 11 2 2 13" xfId="51035" xr:uid="{C4D325C6-4A5A-4954-A36E-44D83A7EB508}"/>
    <cellStyle name="Comma 2 11 2 2 14" xfId="52038" xr:uid="{C3ACA12B-EDFB-4528-9723-7BE9155130D3}"/>
    <cellStyle name="Comma 2 11 2 2 15" xfId="16917" xr:uid="{38F6F799-42A4-4781-BE1A-C5658D904B24}"/>
    <cellStyle name="Comma 2 11 2 2 2" xfId="13563" xr:uid="{B539F1A6-29C0-4C0B-A340-2630D1CA5A06}"/>
    <cellStyle name="Comma 2 11 2 2 2 2" xfId="39478" xr:uid="{D77CAD6F-0D3D-47BC-90DE-EE71087A75F6}"/>
    <cellStyle name="Comma 2 11 2 2 2 3" xfId="41332" xr:uid="{BEA41E4E-C94D-472F-BC3B-1E8C81A8D43E}"/>
    <cellStyle name="Comma 2 11 2 2 2 4" xfId="43155" xr:uid="{97A100BA-D169-4324-837D-3DE0D67C1266}"/>
    <cellStyle name="Comma 2 11 2 2 2 5" xfId="45252" xr:uid="{334BA3D2-F3BF-422D-B94E-C2ABAA6D4CC1}"/>
    <cellStyle name="Comma 2 11 2 2 2 6" xfId="20912" xr:uid="{FDD40056-D938-44C2-8C46-2A11B62FF774}"/>
    <cellStyle name="Comma 2 11 2 2 3" xfId="20131" xr:uid="{26C5815B-FD40-4C94-B535-36B8E62ECB25}"/>
    <cellStyle name="Comma 2 11 2 2 4" xfId="23535" xr:uid="{DBED4A06-E623-409A-B94F-0333C16D8567}"/>
    <cellStyle name="Comma 2 11 2 2 5" xfId="38032" xr:uid="{90435443-367F-4B1B-9A8A-5C9202EBB5DA}"/>
    <cellStyle name="Comma 2 11 2 2 6" xfId="38887" xr:uid="{B75228D1-DDE9-4C28-820D-5B4B5D153E08}"/>
    <cellStyle name="Comma 2 11 2 2 7" xfId="39855" xr:uid="{DE07BFC9-F089-44F2-87CC-FE47CC606F22}"/>
    <cellStyle name="Comma 2 11 2 2 8" xfId="40497" xr:uid="{EF90FE25-8E4C-4BE6-AB39-ACE220EA0D32}"/>
    <cellStyle name="Comma 2 11 2 2 9" xfId="41709" xr:uid="{955E53D8-0E18-4762-BB99-F46180E32E87}"/>
    <cellStyle name="Comma 2 11 2 3" xfId="7765" xr:uid="{529E8E54-A4C7-4E2E-913A-6A650CE6BAB7}"/>
    <cellStyle name="Comma 2 11 2 3 2" xfId="39429" xr:uid="{D972B4A5-6008-4A3A-8FDA-3599E1A95953}"/>
    <cellStyle name="Comma 2 11 2 3 3" xfId="41283" xr:uid="{87EC381B-C062-4E02-AF80-083B9ECE6407}"/>
    <cellStyle name="Comma 2 11 2 3 4" xfId="43106" xr:uid="{42129AC9-43A1-4F68-9EEA-76DFD261D1B4}"/>
    <cellStyle name="Comma 2 11 2 3 5" xfId="45203" xr:uid="{4DA94EA7-6F39-4785-BCCD-142AB0B83503}"/>
    <cellStyle name="Comma 2 11 2 3 6" xfId="20807" xr:uid="{E688B2E7-BEED-4606-8299-F6212B054087}"/>
    <cellStyle name="Comma 2 11 2 4" xfId="12278" xr:uid="{6C8CFCBE-04B3-45E5-85AF-AB519E49CC47}"/>
    <cellStyle name="Comma 2 11 2 4 2" xfId="20082" xr:uid="{DA51D90D-7ECE-49B8-A8BA-AB9764E68221}"/>
    <cellStyle name="Comma 2 11 2 5" xfId="23534" xr:uid="{3E1C9D87-DE63-4E62-AB40-2D2E91488877}"/>
    <cellStyle name="Comma 2 11 2 6" xfId="38031" xr:uid="{8317C3D4-82ED-4BA5-AA98-5C7B535B4975}"/>
    <cellStyle name="Comma 2 11 2 7" xfId="38838" xr:uid="{5CBEC65A-CC4F-462F-9CA3-E2B9E909BE01}"/>
    <cellStyle name="Comma 2 11 2 8" xfId="39854" xr:uid="{888ACAA1-7B38-4B05-BAA0-26093D319977}"/>
    <cellStyle name="Comma 2 11 2 9" xfId="40496" xr:uid="{C2889414-2C6A-4D33-8E81-004EEC6FED7E}"/>
    <cellStyle name="Comma 2 11 3" xfId="11112" xr:uid="{2B85EB5F-2FBE-47AD-838A-74083439E2EF}"/>
    <cellStyle name="Comma 2 11 3 10" xfId="42563" xr:uid="{79DE5805-B26F-4B6D-8A5B-E8AA3476DE17}"/>
    <cellStyle name="Comma 2 11 3 11" xfId="44730" xr:uid="{F1E59662-4646-4154-9574-966A04FA0229}"/>
    <cellStyle name="Comma 2 11 3 12" xfId="46895" xr:uid="{B4A8791D-85FE-486F-ABB7-7FE91C37AB74}"/>
    <cellStyle name="Comma 2 11 3 13" xfId="49914" xr:uid="{2B09CEAA-514E-476F-8BE1-66793C397EBC}"/>
    <cellStyle name="Comma 2 11 3 14" xfId="52039" xr:uid="{E7096085-8C8C-4138-B44E-6CF522B9D76C}"/>
    <cellStyle name="Comma 2 11 3 15" xfId="16916" xr:uid="{0E3D7A07-744A-4FC3-B017-10D1D8297250}"/>
    <cellStyle name="Comma 2 11 3 16" xfId="15007" xr:uid="{C1CD95E7-BB97-46E5-8181-CD7664FC3F97}"/>
    <cellStyle name="Comma 2 11 3 2" xfId="13709" xr:uid="{A6CCF95B-8B4A-4E2A-816E-74AB9C138327}"/>
    <cellStyle name="Comma 2 11 3 2 2" xfId="39477" xr:uid="{7D1008CE-81FB-45C3-BCAB-20642DBD2B48}"/>
    <cellStyle name="Comma 2 11 3 2 3" xfId="41331" xr:uid="{9F748C47-5A8D-4C7C-8A32-566E71249CB4}"/>
    <cellStyle name="Comma 2 11 3 2 4" xfId="43154" xr:uid="{B28372DA-2ED7-46F6-9951-CE7682DA77C3}"/>
    <cellStyle name="Comma 2 11 3 2 5" xfId="45251" xr:uid="{A77117F6-A463-465C-98A1-62FFF0ED51A9}"/>
    <cellStyle name="Comma 2 11 3 2 6" xfId="48456" xr:uid="{77F5A229-B50E-4D9E-8144-A370F9AC6236}"/>
    <cellStyle name="Comma 2 11 3 2 7" xfId="51242" xr:uid="{CD883817-70DD-44FD-987A-B5B5F4BF4226}"/>
    <cellStyle name="Comma 2 11 3 2 8" xfId="52040" xr:uid="{8A3F53A6-A9CB-43DC-AB50-D11CC5B8C409}"/>
    <cellStyle name="Comma 2 11 3 2 9" xfId="20911" xr:uid="{2843DBFC-6DAA-419E-ADA8-61DA4A47397D}"/>
    <cellStyle name="Comma 2 11 3 3" xfId="20130" xr:uid="{3F46D61E-F657-48C1-A9EC-B97DCF4DB672}"/>
    <cellStyle name="Comma 2 11 3 4" xfId="23536" xr:uid="{9308646C-A7BE-490C-B122-F1FF949EB196}"/>
    <cellStyle name="Comma 2 11 3 5" xfId="38033" xr:uid="{00BB5922-C0FF-4332-8B01-C28C06766D3E}"/>
    <cellStyle name="Comma 2 11 3 6" xfId="38886" xr:uid="{9D90762C-9B32-4070-BDAD-D285C24743A7}"/>
    <cellStyle name="Comma 2 11 3 7" xfId="39856" xr:uid="{8397B640-1328-4890-8C0F-100402BB5DEF}"/>
    <cellStyle name="Comma 2 11 3 8" xfId="40498" xr:uid="{F00C3C69-4425-484A-9BB9-4123049FDBCC}"/>
    <cellStyle name="Comma 2 11 3 9" xfId="41710" xr:uid="{90DE30DC-32D7-47A4-846B-456A343D4936}"/>
    <cellStyle name="Comma 2 11 4" xfId="9763" xr:uid="{CD9A81F0-5192-4DF0-9107-CB231F203579}"/>
    <cellStyle name="Comma 2 11 4 2" xfId="13069" xr:uid="{E4BAE1F1-57B4-4FF8-8D59-2B2508A2E0BD}"/>
    <cellStyle name="Comma 2 11 4 2 2" xfId="49073" xr:uid="{ADF9DDCC-FE0B-4DF5-9AFB-B3752A627EB2}"/>
    <cellStyle name="Comma 2 11 4 2 3" xfId="51753" xr:uid="{D6954AC0-8D92-4554-A7BF-0B373A1A0A95}"/>
    <cellStyle name="Comma 2 11 4 2 4" xfId="52041" xr:uid="{F823824C-DFD9-4A88-BA47-9E33163B3C17}"/>
    <cellStyle name="Comma 2 11 4 2 5" xfId="39277" xr:uid="{FF3C897F-C6D9-453A-81D6-D8AF2A33713B}"/>
    <cellStyle name="Comma 2 11 4 3" xfId="41139" xr:uid="{317BA866-AC48-4F2C-9DF9-617A6DE105BA}"/>
    <cellStyle name="Comma 2 11 4 4" xfId="42954" xr:uid="{DD8B809B-8CE8-41C6-959B-2349D64E1AC7}"/>
    <cellStyle name="Comma 2 11 4 5" xfId="45059" xr:uid="{208FAA9F-0E8D-4438-B509-DD9406246D9E}"/>
    <cellStyle name="Comma 2 11 4 6" xfId="47490" xr:uid="{F21E8443-BF04-4EF1-9AE8-018B9AC18BE5}"/>
    <cellStyle name="Comma 2 11 4 7" xfId="50425" xr:uid="{1110A039-4B6A-431C-AA32-459048C95B7F}"/>
    <cellStyle name="Comma 2 11 4 8" xfId="52042" xr:uid="{62757E8A-A36F-418C-8121-A58332A5FCC8}"/>
    <cellStyle name="Comma 2 11 4 9" xfId="20523" xr:uid="{A6320D02-CBD8-4219-8990-C4E8E03E49FA}"/>
    <cellStyle name="Comma 2 11 5" xfId="7261" xr:uid="{BB5589A2-281A-45F7-AE0F-83C7AC2EDDAF}"/>
    <cellStyle name="Comma 2 11 5 2" xfId="47739" xr:uid="{56EDBFE5-6F76-4E1F-86A3-E4B956CBA1ED}"/>
    <cellStyle name="Comma 2 11 5 3" xfId="50638" xr:uid="{3AEACF0C-8269-433B-97E4-1145D9262B07}"/>
    <cellStyle name="Comma 2 11 5 4" xfId="52043" xr:uid="{D4EBFC9E-2499-4F25-8C07-571DFD8EFC5F}"/>
    <cellStyle name="Comma 2 11 5 5" xfId="19930" xr:uid="{766FFCA6-7E68-45FE-B637-DCDAF989BA7F}"/>
    <cellStyle name="Comma 2 11 6" xfId="11784" xr:uid="{C1DEF4A1-B790-4C5A-8A48-B951A9227179}"/>
    <cellStyle name="Comma 2 11 6 2" xfId="23533" xr:uid="{E7A2996F-401F-486F-95D5-70C7D39CF4ED}"/>
    <cellStyle name="Comma 2 11 7" xfId="38030" xr:uid="{A839B79D-B312-4E3A-BB61-DD95EC3A7AD9}"/>
    <cellStyle name="Comma 2 11 8" xfId="38686" xr:uid="{12C90621-BD74-42C1-99CC-5449825205F8}"/>
    <cellStyle name="Comma 2 11 9" xfId="39853" xr:uid="{400A0814-8099-401A-9486-4936511BE5B7}"/>
    <cellStyle name="Comma 2 12" xfId="5487" xr:uid="{939105E8-AF13-4876-A3BE-D2A4BE4FAF6A}"/>
    <cellStyle name="Comma 2 12 10" xfId="41711" xr:uid="{58476ACC-D1D4-449E-A21B-8BB823A239CA}"/>
    <cellStyle name="Comma 2 12 11" xfId="42444" xr:uid="{599A908F-97B5-4788-9B9D-B4DA7B464449}"/>
    <cellStyle name="Comma 2 12 12" xfId="43776" xr:uid="{2420E27B-3BBE-478A-B473-4D7B6E9CCCB3}"/>
    <cellStyle name="Comma 2 12 13" xfId="44648" xr:uid="{CCBCCE7B-6456-48FD-9D91-8E74782DE101}"/>
    <cellStyle name="Comma 2 12 14" xfId="46534" xr:uid="{9B9AF78F-F6FD-4766-8365-789F41B2D104}"/>
    <cellStyle name="Comma 2 12 15" xfId="49567" xr:uid="{2B68D487-1A0F-4EB9-B91A-603303D5DA2D}"/>
    <cellStyle name="Comma 2 12 16" xfId="52044" xr:uid="{257E24FA-2A28-4455-8695-4DDAD730DEA7}"/>
    <cellStyle name="Comma 2 12 17" xfId="16638" xr:uid="{699E0AB9-1C5E-47A6-9176-04541A6B1C24}"/>
    <cellStyle name="Comma 2 12 18" xfId="14024" xr:uid="{71F85DC8-A55E-4252-A74D-3B23001423D3}"/>
    <cellStyle name="Comma 2 12 2" xfId="7589" xr:uid="{6CD32460-2721-4AAF-92A8-ADCA26F9DBAC}"/>
    <cellStyle name="Comma 2 12 2 10" xfId="42565" xr:uid="{004E19ED-FC62-4C5C-A17A-9D87881B8B32}"/>
    <cellStyle name="Comma 2 12 2 11" xfId="44732" xr:uid="{7287E85C-9230-4B1A-912E-FCC82D5EC381}"/>
    <cellStyle name="Comma 2 12 2 12" xfId="47028" xr:uid="{CA88E772-2EBC-4551-B3DF-746D2683825C}"/>
    <cellStyle name="Comma 2 12 2 13" xfId="50029" xr:uid="{2A06BA5C-5A95-47D5-A86B-2E2EB5369243}"/>
    <cellStyle name="Comma 2 12 2 14" xfId="52045" xr:uid="{B00E63E0-F23B-4394-853F-5D7EE9735635}"/>
    <cellStyle name="Comma 2 12 2 15" xfId="16918" xr:uid="{23FF7C2E-2F66-45AF-AA53-83FCA1F0E750}"/>
    <cellStyle name="Comma 2 12 2 16" xfId="14516" xr:uid="{22DDBBBB-D116-421F-AF44-76DA3874C682}"/>
    <cellStyle name="Comma 2 12 2 2" xfId="10081" xr:uid="{DF49A2B8-AFDE-42D2-9770-FDA26543D86B}"/>
    <cellStyle name="Comma 2 12 2 2 2" xfId="13387" xr:uid="{50D4C46F-F492-4AC2-A7D7-8008CA6879D7}"/>
    <cellStyle name="Comma 2 12 2 2 2 2" xfId="39479" xr:uid="{F9008A07-0239-4781-8D94-F4F5B5FADF00}"/>
    <cellStyle name="Comma 2 12 2 2 3" xfId="41333" xr:uid="{018150AA-B868-4E5A-988B-5C2807FA19FA}"/>
    <cellStyle name="Comma 2 12 2 2 4" xfId="43156" xr:uid="{2244BA09-1CD9-4404-8E09-99CCDDF4EDCC}"/>
    <cellStyle name="Comma 2 12 2 2 5" xfId="45253" xr:uid="{B2B2ACB3-4DBA-42B7-803F-A8CFB8E8450F}"/>
    <cellStyle name="Comma 2 12 2 2 6" xfId="48594" xr:uid="{B76ACCF7-8D48-47C8-9734-987BAF7C5E59}"/>
    <cellStyle name="Comma 2 12 2 2 7" xfId="51357" xr:uid="{3ADAE698-923F-4169-8597-5655C81F2445}"/>
    <cellStyle name="Comma 2 12 2 2 8" xfId="52046" xr:uid="{DEC341BA-B76B-4CFF-B74E-92BC07D27951}"/>
    <cellStyle name="Comma 2 12 2 2 9" xfId="20913" xr:uid="{9CB535FD-F0BC-45DF-BEC0-61BF99873191}"/>
    <cellStyle name="Comma 2 12 2 3" xfId="12102" xr:uid="{5CBC4EF5-7638-40D1-872F-7F3B8BA1B368}"/>
    <cellStyle name="Comma 2 12 2 3 2" xfId="20132" xr:uid="{4675E565-90E6-4588-B426-192A9DA653A5}"/>
    <cellStyle name="Comma 2 12 2 4" xfId="23538" xr:uid="{45104ADA-CA50-4E8A-9842-9DEF1E5E4C7F}"/>
    <cellStyle name="Comma 2 12 2 5" xfId="38035" xr:uid="{64AFBDEC-2F0F-4BB6-ABEB-2F1C5DD1C39B}"/>
    <cellStyle name="Comma 2 12 2 6" xfId="38888" xr:uid="{760C35FF-EE1B-4C7F-BBBD-FE8647F5B922}"/>
    <cellStyle name="Comma 2 12 2 7" xfId="39858" xr:uid="{6D91E911-BB2F-4628-8572-B51CF97608F1}"/>
    <cellStyle name="Comma 2 12 2 8" xfId="40500" xr:uid="{558141D6-6377-4DF1-A4E4-925D99E9AB0A}"/>
    <cellStyle name="Comma 2 12 2 9" xfId="41712" xr:uid="{09E86EEB-D1A6-4F7F-99D4-ADE5E7A5E419}"/>
    <cellStyle name="Comma 2 12 3" xfId="9587" xr:uid="{50EE2D52-E9B1-4463-BE37-524707B8236F}"/>
    <cellStyle name="Comma 2 12 3 2" xfId="12893" xr:uid="{3C7A4D9B-45A5-4805-9634-7EEA2ADF45EF}"/>
    <cellStyle name="Comma 2 12 3 2 2" xfId="48901" xr:uid="{0C77250E-A1A1-4119-8DAE-9B249E476EC9}"/>
    <cellStyle name="Comma 2 12 3 2 3" xfId="51613" xr:uid="{0D2A91B4-75B1-4A6D-87A9-76588A1FA7DA}"/>
    <cellStyle name="Comma 2 12 3 2 4" xfId="52047" xr:uid="{7200A2E3-B252-400E-A467-482FBA79572C}"/>
    <cellStyle name="Comma 2 12 3 2 5" xfId="39358" xr:uid="{479CD225-EC8E-4B3F-8B63-F8814A4E1591}"/>
    <cellStyle name="Comma 2 12 3 3" xfId="41216" xr:uid="{AEB2454F-0639-4F8B-B3A4-538F900F73CB}"/>
    <cellStyle name="Comma 2 12 3 4" xfId="43035" xr:uid="{43AD421B-93A7-4632-92B4-DCF203835C60}"/>
    <cellStyle name="Comma 2 12 3 5" xfId="45136" xr:uid="{A3B9A6FF-629A-450B-BA0C-A353A94B452D}"/>
    <cellStyle name="Comma 2 12 3 6" xfId="47325" xr:uid="{FDC8E3D4-0E7E-4AEA-B860-D9AD9E8922B6}"/>
    <cellStyle name="Comma 2 12 3 7" xfId="50285" xr:uid="{CB74FFEE-BCB7-478C-9EE2-A4F4BDA30BFE}"/>
    <cellStyle name="Comma 2 12 3 8" xfId="52048" xr:uid="{B7169691-195E-4EEA-9E35-D5357B2F8673}"/>
    <cellStyle name="Comma 2 12 3 9" xfId="20732" xr:uid="{AFA7A99F-CE33-4333-B654-2211A1E05E3C}"/>
    <cellStyle name="Comma 2 12 4" xfId="7083" xr:uid="{61FE5A26-4A7C-4867-9FAC-1339AFDB6CAE}"/>
    <cellStyle name="Comma 2 12 4 2" xfId="48046" xr:uid="{0623E855-A318-4347-9C6B-EA6A602ED4F5}"/>
    <cellStyle name="Comma 2 12 4 3" xfId="50895" xr:uid="{9107D75F-88F9-4346-B4E5-65948F240B84}"/>
    <cellStyle name="Comma 2 12 4 4" xfId="52049" xr:uid="{8B56DE00-EF7C-4988-95BE-4B0DF58F6D02}"/>
    <cellStyle name="Comma 2 12 4 5" xfId="20011" xr:uid="{CF60A657-A4F2-42F3-A303-888C23067B95}"/>
    <cellStyle name="Comma 2 12 5" xfId="11608" xr:uid="{B14F481C-9DED-4BBC-814B-6D67C225C4E8}"/>
    <cellStyle name="Comma 2 12 5 2" xfId="23537" xr:uid="{FDD86D17-684E-49D6-A2FD-67AD9EF40A8F}"/>
    <cellStyle name="Comma 2 12 6" xfId="38034" xr:uid="{D1FA0F28-B85B-4600-838E-E975A53FE4E5}"/>
    <cellStyle name="Comma 2 12 7" xfId="38767" xr:uid="{CC9A2301-6F26-49BE-9AB8-C4D876F4C144}"/>
    <cellStyle name="Comma 2 12 8" xfId="39857" xr:uid="{D7BCF848-73D1-408B-B14E-B49740D156B1}"/>
    <cellStyle name="Comma 2 12 9" xfId="40499" xr:uid="{4CCBAB6E-15B9-49E0-8EE5-5B649E3E5C7F}"/>
    <cellStyle name="Comma 2 13" xfId="6477" xr:uid="{64545EBB-31D0-4AC1-AC7E-DD3FBE53DC4D}"/>
    <cellStyle name="Comma 2 13 10" xfId="41713" xr:uid="{C0442F0D-B69D-456C-B71E-5C89B9F0CDD2}"/>
    <cellStyle name="Comma 2 13 11" xfId="42384" xr:uid="{09034393-CC84-48E1-BC4E-5875B5706E10}"/>
    <cellStyle name="Comma 2 13 12" xfId="44617" xr:uid="{71D0D1C8-F37A-47E6-9D23-C0B98BFEFA23}"/>
    <cellStyle name="Comma 2 13 13" xfId="46116" xr:uid="{98E101B3-5931-4C33-BFB9-96ADEDEBCF7F}"/>
    <cellStyle name="Comma 2 13 14" xfId="49452" xr:uid="{B9C104DD-B56C-4C2D-8D06-F4EBFF29DB75}"/>
    <cellStyle name="Comma 2 13 15" xfId="52050" xr:uid="{73C24F5A-59C6-4E0D-8A27-EADF786333B8}"/>
    <cellStyle name="Comma 2 13 16" xfId="16359" xr:uid="{57C46FE8-6035-4255-AAF2-FEDD702656A8}"/>
    <cellStyle name="Comma 2 13 17" xfId="14378" xr:uid="{6501325A-5133-49FB-A448-9AC7FBA48C79}"/>
    <cellStyle name="Comma 2 13 2" xfId="9449" xr:uid="{4B697E97-97FF-4111-891A-5E5A60A65680}"/>
    <cellStyle name="Comma 2 13 2 10" xfId="42566" xr:uid="{58CBD554-63E4-4A0B-87E3-F6DE5004D8CB}"/>
    <cellStyle name="Comma 2 13 2 11" xfId="44733" xr:uid="{23F7D985-1F9E-4864-A6B4-B1CA74E676B6}"/>
    <cellStyle name="Comma 2 13 2 12" xfId="47911" xr:uid="{5FC28030-7178-4F09-A74C-C5D3773652F7}"/>
    <cellStyle name="Comma 2 13 2 13" xfId="50780" xr:uid="{D1B48E8C-77D0-47AB-902F-677233E3C1F8}"/>
    <cellStyle name="Comma 2 13 2 14" xfId="52051" xr:uid="{B23DA1A2-3C12-4B3C-904A-DD7D0564606D}"/>
    <cellStyle name="Comma 2 13 2 15" xfId="16919" xr:uid="{E68886D7-F986-495E-B147-B1498DEE202F}"/>
    <cellStyle name="Comma 2 13 2 2" xfId="12755" xr:uid="{E5251CBC-D682-4707-BD71-0843DDA5F14B}"/>
    <cellStyle name="Comma 2 13 2 2 2" xfId="39480" xr:uid="{57272D39-63DF-42E2-B901-7230853C8DEE}"/>
    <cellStyle name="Comma 2 13 2 2 3" xfId="41334" xr:uid="{92EDE7B9-2DE4-42FE-B5F8-C265B7006535}"/>
    <cellStyle name="Comma 2 13 2 2 4" xfId="43157" xr:uid="{C09BA44A-F68F-4981-B92B-D274830D175F}"/>
    <cellStyle name="Comma 2 13 2 2 5" xfId="45254" xr:uid="{888FF306-7B77-43B8-AD9B-239B2708A06B}"/>
    <cellStyle name="Comma 2 13 2 2 6" xfId="20914" xr:uid="{C1249362-CD6C-4101-AE3C-6D9CE492289B}"/>
    <cellStyle name="Comma 2 13 2 3" xfId="20133" xr:uid="{B33D2939-0E12-4CB7-8CBF-CA46ED02729E}"/>
    <cellStyle name="Comma 2 13 2 4" xfId="23540" xr:uid="{FF22E27A-478F-4BC8-92A3-72B73699E337}"/>
    <cellStyle name="Comma 2 13 2 5" xfId="38037" xr:uid="{96BFB263-7A95-4565-95F8-8588220CB6C9}"/>
    <cellStyle name="Comma 2 13 2 6" xfId="38889" xr:uid="{A97DE092-C200-4E5F-8EF0-964E253D62AF}"/>
    <cellStyle name="Comma 2 13 2 7" xfId="39860" xr:uid="{65DC8602-35C8-4584-9A29-49A1044F01D7}"/>
    <cellStyle name="Comma 2 13 2 8" xfId="40502" xr:uid="{91520C1D-5B0A-4CB3-8C19-049CA77244A5}"/>
    <cellStyle name="Comma 2 13 2 9" xfId="41714" xr:uid="{EF1FDDBE-1DF7-486D-B4CF-FAEEB416AF25}"/>
    <cellStyle name="Comma 2 13 3" xfId="11470" xr:uid="{799BBBC2-2527-4840-9679-E4CD2224790E}"/>
    <cellStyle name="Comma 2 13 3 2" xfId="39298" xr:uid="{D1812F2D-143E-40FF-8297-E3552A743BCF}"/>
    <cellStyle name="Comma 2 13 3 3" xfId="41160" xr:uid="{EB3DE19F-59CC-45E1-9F38-4DCC95206BCB}"/>
    <cellStyle name="Comma 2 13 3 4" xfId="42975" xr:uid="{129CBB0D-DB87-456A-8ABA-537C1F3E65A5}"/>
    <cellStyle name="Comma 2 13 3 5" xfId="45080" xr:uid="{0A04029E-45B5-4E2C-AE2C-DE5FB7EEADA5}"/>
    <cellStyle name="Comma 2 13 3 6" xfId="20604" xr:uid="{3B1B353B-89DF-4877-B3F1-CD1F33C93EC0}"/>
    <cellStyle name="Comma 2 13 4" xfId="19951" xr:uid="{6F48DB4D-EF9A-4E23-9B5C-D7E9113DE83F}"/>
    <cellStyle name="Comma 2 13 5" xfId="23539" xr:uid="{838C30AA-9891-47EA-A376-E4302987778E}"/>
    <cellStyle name="Comma 2 13 6" xfId="38036" xr:uid="{0FC753B5-C6E0-4B27-9443-586C22E19ED7}"/>
    <cellStyle name="Comma 2 13 7" xfId="38707" xr:uid="{F83BB3F4-2FDD-4BB0-9CB1-EF171820A1CD}"/>
    <cellStyle name="Comma 2 13 8" xfId="39859" xr:uid="{351F66A6-15D5-4A13-B397-B05C528B2D6D}"/>
    <cellStyle name="Comma 2 13 9" xfId="40501" xr:uid="{8120631F-4893-4B39-8D09-9B83F43885AA}"/>
    <cellStyle name="Comma 2 14" xfId="7451" xr:uid="{8D0AA683-4515-44B2-BD90-A9D4A69FC00E}"/>
    <cellStyle name="Comma 2 14 10" xfId="42567" xr:uid="{3F4FE40A-CA02-4AA2-A5E4-E7857211C96D}"/>
    <cellStyle name="Comma 2 14 11" xfId="44734" xr:uid="{C62A10B8-9F0C-4BB2-9F3D-8A10CA390BAD}"/>
    <cellStyle name="Comma 2 14 12" xfId="46799" xr:uid="{4C0B5021-78FF-4CCE-9567-5C404E581A52}"/>
    <cellStyle name="Comma 2 14 13" xfId="49823" xr:uid="{96630814-7496-4205-A92B-0EC32F762C66}"/>
    <cellStyle name="Comma 2 14 14" xfId="52052" xr:uid="{C91BA510-F5B8-4A34-99F6-D195DDF1F85B}"/>
    <cellStyle name="Comma 2 14 15" xfId="16920" xr:uid="{1EF4CBA5-7CD5-4CBB-B432-0A00452575BF}"/>
    <cellStyle name="Comma 2 14 16" xfId="14831" xr:uid="{4B409E51-8FFF-4492-89AA-824CE184E821}"/>
    <cellStyle name="Comma 2 14 2" xfId="9943" xr:uid="{3623734A-7CDA-44F1-A293-1F8CA9FD0475}"/>
    <cellStyle name="Comma 2 14 2 2" xfId="13249" xr:uid="{FACAFCD1-FD74-4EFE-9931-1649520CACC1}"/>
    <cellStyle name="Comma 2 14 2 2 2" xfId="39481" xr:uid="{D203BD7E-16EE-4B75-9225-C652905B058A}"/>
    <cellStyle name="Comma 2 14 2 3" xfId="41335" xr:uid="{0C148B18-5DBA-4D5A-932A-3C904B9D2BEC}"/>
    <cellStyle name="Comma 2 14 2 4" xfId="43158" xr:uid="{8E78A9F9-BAF0-48C7-8836-18116FD34145}"/>
    <cellStyle name="Comma 2 14 2 5" xfId="45255" xr:uid="{E8AA106C-B9C0-4C6E-97A6-D1FC8328E335}"/>
    <cellStyle name="Comma 2 14 2 6" xfId="48350" xr:uid="{BD6CA6BA-85C9-478C-962A-2CA9DFDFD800}"/>
    <cellStyle name="Comma 2 14 2 7" xfId="51151" xr:uid="{17EB16A3-0399-4463-941E-BABE98BC8A73}"/>
    <cellStyle name="Comma 2 14 2 8" xfId="52053" xr:uid="{9CEDB796-9C2E-4E60-B4C1-6DF8C851D3E8}"/>
    <cellStyle name="Comma 2 14 2 9" xfId="20915" xr:uid="{88B707BB-DF29-4B0C-B215-91874914BF7C}"/>
    <cellStyle name="Comma 2 14 3" xfId="11964" xr:uid="{963D11A1-8761-441F-92E4-9BBD62349395}"/>
    <cellStyle name="Comma 2 14 3 2" xfId="20134" xr:uid="{C0909C65-3D96-4193-87F7-E2E2BA146437}"/>
    <cellStyle name="Comma 2 14 4" xfId="23541" xr:uid="{F5EF02EF-5214-404F-9E9B-4034116E5E18}"/>
    <cellStyle name="Comma 2 14 5" xfId="38038" xr:uid="{EF082C68-912C-499C-9106-65EA10883782}"/>
    <cellStyle name="Comma 2 14 6" xfId="38890" xr:uid="{9DFC2DAA-473B-4086-A0AC-D2098537EEC1}"/>
    <cellStyle name="Comma 2 14 7" xfId="39861" xr:uid="{FC5C89DE-AAD3-457F-931C-BAB2B4CFAE96}"/>
    <cellStyle name="Comma 2 14 8" xfId="40503" xr:uid="{493412FD-117F-4A41-9EAA-E6AFC682D777}"/>
    <cellStyle name="Comma 2 14 9" xfId="41715" xr:uid="{6D074C2D-1CBC-470F-AC0A-B6412B1F268C}"/>
    <cellStyle name="Comma 2 15" xfId="8117" xr:uid="{C37077AE-79F1-44B7-BC1D-7A7289B3BBBC}"/>
    <cellStyle name="Comma 2 15 10" xfId="42560" xr:uid="{9BE85B06-CB8C-40FC-ABAD-5FAA59118E2C}"/>
    <cellStyle name="Comma 2 15 11" xfId="44727" xr:uid="{6AB121A1-6BA2-400A-BE7F-703C9CCEE175}"/>
    <cellStyle name="Comma 2 15 12" xfId="47192" xr:uid="{F456EA78-D308-4069-9846-94885BAD07BB}"/>
    <cellStyle name="Comma 2 15 13" xfId="50170" xr:uid="{B94CD820-401D-433A-8786-BD9EF2A36E78}"/>
    <cellStyle name="Comma 2 15 14" xfId="52054" xr:uid="{8DC56A90-A83C-4A89-8294-34A2193D69E2}"/>
    <cellStyle name="Comma 2 15 15" xfId="16913" xr:uid="{1DB91B49-163E-4C92-B960-DF09642C9049}"/>
    <cellStyle name="Comma 2 15 2" xfId="12573" xr:uid="{A0D284F3-01B3-43C8-AF99-95D5874E831F}"/>
    <cellStyle name="Comma 2 15 2 2" xfId="39474" xr:uid="{045925B4-763D-428D-B482-D893E37FF930}"/>
    <cellStyle name="Comma 2 15 2 3" xfId="41328" xr:uid="{F7A7653B-C79D-4B35-A1E4-3FF5F5B1CCD6}"/>
    <cellStyle name="Comma 2 15 2 4" xfId="43151" xr:uid="{0C2C46F1-CDC1-43DF-91C5-88CF0A3E1CD4}"/>
    <cellStyle name="Comma 2 15 2 5" xfId="45248" xr:uid="{03B06738-CCD1-4786-8E5A-7A0BCC2E9044}"/>
    <cellStyle name="Comma 2 15 2 6" xfId="48763" xr:uid="{DAF580B2-0F4E-4CC4-8909-C6327BF65D01}"/>
    <cellStyle name="Comma 2 15 2 7" xfId="51498" xr:uid="{D46573F5-B043-4403-9A3A-C6BD5B648686}"/>
    <cellStyle name="Comma 2 15 2 8" xfId="52055" xr:uid="{2340DA77-6EF4-4D78-9A07-B675352D3CB5}"/>
    <cellStyle name="Comma 2 15 2 9" xfId="20908" xr:uid="{F559E37E-93A3-4EAE-915D-DCADA6155CE2}"/>
    <cellStyle name="Comma 2 15 3" xfId="20127" xr:uid="{AB6959EB-8C73-4600-A5C6-27B0CCC22960}"/>
    <cellStyle name="Comma 2 15 4" xfId="23542" xr:uid="{F9DF03C7-CD85-4767-9790-252352494713}"/>
    <cellStyle name="Comma 2 15 5" xfId="38039" xr:uid="{10366C44-E77E-44BF-83A4-9FE4E584827C}"/>
    <cellStyle name="Comma 2 15 6" xfId="38883" xr:uid="{B5BAFAD0-E277-46FA-AFEF-DECE412A21FF}"/>
    <cellStyle name="Comma 2 15 7" xfId="39862" xr:uid="{91279D0F-6AC8-47BD-8F1E-A868CF050711}"/>
    <cellStyle name="Comma 2 15 8" xfId="40504" xr:uid="{D72CDCD0-945D-4FF2-9E4E-F6EA9F81F154}"/>
    <cellStyle name="Comma 2 15 9" xfId="41716" xr:uid="{FFB6AECE-4A83-40D5-BF49-65EB685E42E2}"/>
    <cellStyle name="Comma 2 16" xfId="8110" xr:uid="{AD4DA0D8-26A1-48A2-B9BA-865AE9179DAA}"/>
    <cellStyle name="Comma 2 16 10" xfId="42808" xr:uid="{FFDF6771-F7FE-4661-A053-610D04624B02}"/>
    <cellStyle name="Comma 2 16 11" xfId="44935" xr:uid="{7C098D93-AA70-43AD-B43E-8B866F406780}"/>
    <cellStyle name="Comma 2 16 12" xfId="47657" xr:uid="{438933C7-287B-4E9B-B53B-6520197B97F8}"/>
    <cellStyle name="Comma 2 16 13" xfId="50565" xr:uid="{2FF87505-E572-471E-BC17-569F25BA9DA3}"/>
    <cellStyle name="Comma 2 16 14" xfId="52056" xr:uid="{41BB353D-B58C-49AC-A588-898D7C5735E9}"/>
    <cellStyle name="Comma 2 16 15" xfId="19714" xr:uid="{782FC66A-6A07-44C8-965C-EB47F42806AC}"/>
    <cellStyle name="Comma 2 16 2" xfId="12566" xr:uid="{342FA28A-D28D-41A0-BA42-A7167CEF83C1}"/>
    <cellStyle name="Comma 2 16 2 2" xfId="39722" xr:uid="{05E6F41C-FA86-4BBB-862D-83E34FBAE73C}"/>
    <cellStyle name="Comma 2 16 2 3" xfId="41575" xr:uid="{BC3218A6-0D31-4219-99AF-570168808898}"/>
    <cellStyle name="Comma 2 16 2 4" xfId="43399" xr:uid="{FAA03A7E-0AC5-48BC-B0AA-98DC72A152CC}"/>
    <cellStyle name="Comma 2 16 2 5" xfId="45478" xr:uid="{99C964F8-54C8-49FD-ADD6-A0F0F8807288}"/>
    <cellStyle name="Comma 2 16 2 6" xfId="23331" xr:uid="{99ACFC5E-075E-45AF-94AD-E252CC5F3FE9}"/>
    <cellStyle name="Comma 2 16 3" xfId="20375" xr:uid="{92D9D2F9-6F3E-432E-A44D-2CCE6D4A9D70}"/>
    <cellStyle name="Comma 2 16 4" xfId="23543" xr:uid="{0039CE57-28F8-4FB2-A24E-EA6ADF70E7E9}"/>
    <cellStyle name="Comma 2 16 5" xfId="38040" xr:uid="{5E3592CF-4EC6-4CA7-B88F-F469FEE922AE}"/>
    <cellStyle name="Comma 2 16 6" xfId="39131" xr:uid="{682978E9-BA22-457B-82E6-D5249CF06DCE}"/>
    <cellStyle name="Comma 2 16 7" xfId="39863" xr:uid="{718B6A3B-6A53-4649-9338-2DE2D8D9D5EE}"/>
    <cellStyle name="Comma 2 16 8" xfId="40505" xr:uid="{FCD4F875-5F29-48EB-A3D2-497EB4134499}"/>
    <cellStyle name="Comma 2 16 9" xfId="41717" xr:uid="{63BB216B-B5B6-405F-A27B-67AF70C90A26}"/>
    <cellStyle name="Comma 2 17" xfId="7904" xr:uid="{8583E07D-15B3-4CB5-BC9B-6D13EA0A2574}"/>
    <cellStyle name="Comma 2 17 2" xfId="12417" xr:uid="{6C07ACF7-6A5F-4882-BF0E-33A3B0D4029A}"/>
    <cellStyle name="Comma 2 17 2 2" xfId="39786" xr:uid="{5A74EF02-548F-490B-A877-EC6483B725FE}"/>
    <cellStyle name="Comma 2 17 2 3" xfId="41639" xr:uid="{8D30E65B-1966-497E-9457-457182BC4BCF}"/>
    <cellStyle name="Comma 2 17 2 4" xfId="43463" xr:uid="{B76B46BD-B221-4D82-BB9D-55A387BAA331}"/>
    <cellStyle name="Comma 2 17 2 5" xfId="45536" xr:uid="{EAE8E561-B87A-4420-BA4C-00678DCDBF83}"/>
    <cellStyle name="Comma 2 17 2 6" xfId="23423" xr:uid="{DCD53C84-E812-4BAC-AA52-8CDD505866C9}"/>
    <cellStyle name="Comma 2 17 3" xfId="20440" xr:uid="{FA9A2492-8447-4F15-AD19-B11E35C3AFB5}"/>
    <cellStyle name="Comma 2 17 4" xfId="39195" xr:uid="{44DE148A-E232-4AE9-A9A6-EEE98CD6D7FC}"/>
    <cellStyle name="Comma 2 17 5" xfId="41074" xr:uid="{E8BC6AEC-8C84-4B2C-9046-03E21F778119}"/>
    <cellStyle name="Comma 2 17 6" xfId="42872" xr:uid="{4BF1AA3D-4B74-4D3C-8CC1-22DBB3FEE0D9}"/>
    <cellStyle name="Comma 2 17 7" xfId="44979" xr:uid="{2450D7DE-9F5D-4EE3-85EC-07D63FAFAC71}"/>
    <cellStyle name="Comma 2 17 8" xfId="19810" xr:uid="{9B221FB1-B50B-4269-8DEE-BEFEB23EAE27}"/>
    <cellStyle name="Comma 2 18" xfId="11266" xr:uid="{43BA30FA-5F0F-47A1-A230-9FCAA9F38689}"/>
    <cellStyle name="Comma 2 18 2" xfId="13825" xr:uid="{C1D025CD-3946-4A10-84A4-87E0016C6C65}"/>
    <cellStyle name="Comma 2 18 2 2" xfId="39207" xr:uid="{8A9FD96F-E406-4AAC-8D9C-F09004053DB6}"/>
    <cellStyle name="Comma 2 18 3" xfId="41082" xr:uid="{5D428370-FE0D-444D-8F41-B599D40EDC78}"/>
    <cellStyle name="Comma 2 18 4" xfId="42884" xr:uid="{D01D9A43-08B6-4737-8491-FCBDE4F74338}"/>
    <cellStyle name="Comma 2 18 5" xfId="44991" xr:uid="{4411D613-1A35-4D7E-B0CE-D168CC1C4588}"/>
    <cellStyle name="Comma 2 18 6" xfId="20452" xr:uid="{71368A72-12D5-45F2-8F44-E7D7A37BBBCB}"/>
    <cellStyle name="Comma 2 19" xfId="5801" xr:uid="{7D782045-3329-441D-A673-5701BEBF3477}"/>
    <cellStyle name="Comma 2 19 2" xfId="19858" xr:uid="{C140C42C-8949-4A3E-B58E-155E1FCC2EBF}"/>
    <cellStyle name="Comma 2 2" xfId="1732" xr:uid="{2D708678-B8EA-4507-9551-EBBA5E39284E}"/>
    <cellStyle name="Comma 2 2 10" xfId="1733" xr:uid="{8C41BFB3-ADF7-4A94-92B3-63AD8743D7E0}"/>
    <cellStyle name="Comma 2 2 10 10" xfId="40507" xr:uid="{A0018D3F-E0B1-46D7-8DD5-91960B67D5C5}"/>
    <cellStyle name="Comma 2 2 10 11" xfId="41719" xr:uid="{0F37158A-82D6-4554-BA07-F0F3E96A248E}"/>
    <cellStyle name="Comma 2 2 10 12" xfId="42364" xr:uid="{4016DB3F-F672-4134-B52F-DEEFE09929AB}"/>
    <cellStyle name="Comma 2 2 10 13" xfId="43506" xr:uid="{550E59C8-7814-47F9-AF4C-3398602048BC}"/>
    <cellStyle name="Comma 2 2 10 14" xfId="44369" xr:uid="{EF901B46-3136-4276-A312-6DF42A1FA223}"/>
    <cellStyle name="Comma 2 2 10 15" xfId="45610" xr:uid="{6B8F9F5B-78D7-4D69-B97A-20E39900482F}"/>
    <cellStyle name="Comma 2 2 10 16" xfId="49239" xr:uid="{DF022BCE-D79C-48D7-9C80-4CBDE6F29BF6}"/>
    <cellStyle name="Comma 2 2 10 17" xfId="52057" xr:uid="{03C5E2B4-1109-4D9B-8BA7-F2DDDF957055}"/>
    <cellStyle name="Comma 2 2 10 18" xfId="15788" xr:uid="{D79BD67A-9B78-40E1-8DC5-59236489352E}"/>
    <cellStyle name="Comma 2 2 10 19" xfId="13889" xr:uid="{151FCC31-151C-4C9B-A013-974825DCBFAA}"/>
    <cellStyle name="Comma 2 2 10 2" xfId="4409" xr:uid="{9454DA7F-4377-4E36-A99B-B991FD970595}"/>
    <cellStyle name="Comma 2 2 10 2 10" xfId="41720" xr:uid="{BCA92424-B010-4CC9-88BA-1A1B468A94FA}"/>
    <cellStyle name="Comma 2 2 10 2 11" xfId="42516" xr:uid="{3AF6E22C-40EE-405E-8E44-9EEFE6BCD57E}"/>
    <cellStyle name="Comma 2 2 10 2 12" xfId="44210" xr:uid="{05DEFACD-B7AE-44F1-8A2F-12D9A8782E3F}"/>
    <cellStyle name="Comma 2 2 10 2 13" xfId="44510" xr:uid="{F2F478BA-FECB-4BC8-A145-B71893ECFC36}"/>
    <cellStyle name="Comma 2 2 10 2 14" xfId="45758" xr:uid="{E3D7E6F1-FCD9-4A21-9F9F-BFF3825A21B7}"/>
    <cellStyle name="Comma 2 2 10 2 15" xfId="49386" xr:uid="{01F6B0B2-9E90-4D5E-A931-D6687A6B8048}"/>
    <cellStyle name="Comma 2 2 10 2 16" xfId="52058" xr:uid="{F4A985E7-915B-4B74-B5F3-7BB78B4791AA}"/>
    <cellStyle name="Comma 2 2 10 2 17" xfId="16806" xr:uid="{F1777DCA-9BDF-4109-B72B-E9906D31B062}"/>
    <cellStyle name="Comma 2 2 10 2 18" xfId="14203" xr:uid="{8C216E9E-27DC-4D70-992A-D10311BC88D4}"/>
    <cellStyle name="Comma 2 2 10 2 2" xfId="5666" xr:uid="{B3A9A9FA-0B9A-4FFE-AF7B-BB2FBA341BFB}"/>
    <cellStyle name="Comma 2 2 10 2 2 10" xfId="42570" xr:uid="{3A5D0EF0-6B61-4AED-82D0-BC02EA1015D4}"/>
    <cellStyle name="Comma 2 2 10 2 2 11" xfId="44737" xr:uid="{001D9534-24AB-443C-8087-1EA421D8DB44}"/>
    <cellStyle name="Comma 2 2 10 2 2 12" xfId="46678" xr:uid="{2AC4B150-6427-4197-AFE3-196FF05FC031}"/>
    <cellStyle name="Comma 2 2 10 2 2 13" xfId="49710" xr:uid="{C6DEB780-57DF-431E-B04B-FC768005774E}"/>
    <cellStyle name="Comma 2 2 10 2 2 14" xfId="52059" xr:uid="{E656AB32-6193-4436-B510-1A4231145BE8}"/>
    <cellStyle name="Comma 2 2 10 2 2 15" xfId="16923" xr:uid="{CD0AB061-B266-4B3C-A9F0-32D49BF87C64}"/>
    <cellStyle name="Comma 2 2 10 2 2 16" xfId="14695" xr:uid="{246C324B-ABA7-4973-9E7D-FC6165A8B3AB}"/>
    <cellStyle name="Comma 2 2 10 2 2 2" xfId="10260" xr:uid="{300017E3-3086-40AD-B94A-663CB1548BD0}"/>
    <cellStyle name="Comma 2 2 10 2 2 2 2" xfId="13566" xr:uid="{64AEF4C5-9043-44F5-AF83-DC5FF793B367}"/>
    <cellStyle name="Comma 2 2 10 2 2 2 2 2" xfId="39484" xr:uid="{647E8A6F-6732-4D60-9D29-C40E790F3F76}"/>
    <cellStyle name="Comma 2 2 10 2 2 2 3" xfId="41338" xr:uid="{9201171C-BBE1-4A96-AF97-A83264BB6715}"/>
    <cellStyle name="Comma 2 2 10 2 2 2 4" xfId="43161" xr:uid="{2D2055EF-8667-46B2-836C-BD7A5DC48435}"/>
    <cellStyle name="Comma 2 2 10 2 2 2 5" xfId="45258" xr:uid="{405E7F27-65C0-4F6D-A070-526A7CEC906D}"/>
    <cellStyle name="Comma 2 2 10 2 2 2 6" xfId="48220" xr:uid="{30793CFF-749A-4F68-8800-81DB98E21254}"/>
    <cellStyle name="Comma 2 2 10 2 2 2 7" xfId="51038" xr:uid="{247809CC-FCBE-4303-B13B-743C13EFA9C9}"/>
    <cellStyle name="Comma 2 2 10 2 2 2 8" xfId="52060" xr:uid="{F69B8380-13C4-49C4-A3F1-1E6A77DA7878}"/>
    <cellStyle name="Comma 2 2 10 2 2 2 9" xfId="20918" xr:uid="{5BC5BE68-0738-47FE-8C57-5734A6E609ED}"/>
    <cellStyle name="Comma 2 2 10 2 2 3" xfId="7768" xr:uid="{A3D08E8D-459D-4683-9339-F78189A542A7}"/>
    <cellStyle name="Comma 2 2 10 2 2 3 2" xfId="20137" xr:uid="{5A5B27A7-6BB3-4A28-BF5E-97464CEEBF2E}"/>
    <cellStyle name="Comma 2 2 10 2 2 4" xfId="12281" xr:uid="{7AAD7ED6-34F6-4438-BB71-FEB9899FE846}"/>
    <cellStyle name="Comma 2 2 10 2 2 4 2" xfId="23547" xr:uid="{ECD5B95B-40EC-4A6E-AD92-11BBA4659B8F}"/>
    <cellStyle name="Comma 2 2 10 2 2 5" xfId="38044" xr:uid="{93FE3950-5D38-4569-A29D-7D1C221ED66C}"/>
    <cellStyle name="Comma 2 2 10 2 2 6" xfId="38893" xr:uid="{76173D26-B62E-4FB0-9585-927D1074D2F1}"/>
    <cellStyle name="Comma 2 2 10 2 2 7" xfId="39867" xr:uid="{90A6C3AB-9D61-46C8-9CDA-1CB7973DAAD7}"/>
    <cellStyle name="Comma 2 2 10 2 2 8" xfId="40509" xr:uid="{655F4896-0823-4B1F-B16C-741AA5A42751}"/>
    <cellStyle name="Comma 2 2 10 2 2 9" xfId="41721" xr:uid="{FDF89258-9ECB-4927-B9AE-4AA414371783}"/>
    <cellStyle name="Comma 2 2 10 2 3" xfId="11220" xr:uid="{D9943DE4-9CF0-47B8-BE61-2FB710697181}"/>
    <cellStyle name="Comma 2 2 10 2 3 10" xfId="15010" xr:uid="{28E83A1A-C05C-43B4-81CC-A84E0D7C7023}"/>
    <cellStyle name="Comma 2 2 10 2 3 2" xfId="13783" xr:uid="{20F3AAE5-12F0-4AD0-B758-95821A8F6455}"/>
    <cellStyle name="Comma 2 2 10 2 3 2 2" xfId="48662" xr:uid="{E343B954-B9FA-4080-AE8C-43489295135B}"/>
    <cellStyle name="Comma 2 2 10 2 3 2 3" xfId="51417" xr:uid="{BD55B085-F0C4-4EB2-8BB5-310B990C8D11}"/>
    <cellStyle name="Comma 2 2 10 2 3 2 4" xfId="52061" xr:uid="{7E6A83DB-73F3-4D41-ABAE-87CCE8C43DDC}"/>
    <cellStyle name="Comma 2 2 10 2 3 2 5" xfId="39430" xr:uid="{3E31278B-5054-4DF7-976D-27A2BDB9ED91}"/>
    <cellStyle name="Comma 2 2 10 2 3 3" xfId="41284" xr:uid="{D147C728-B5EA-4B06-8C37-7C6CC96C6207}"/>
    <cellStyle name="Comma 2 2 10 2 3 4" xfId="43107" xr:uid="{EED9EA80-F70B-41CC-B869-417A43446BA1}"/>
    <cellStyle name="Comma 2 2 10 2 3 5" xfId="45204" xr:uid="{89AA4460-C536-475B-A9A4-1B49EEDF5391}"/>
    <cellStyle name="Comma 2 2 10 2 3 6" xfId="47099" xr:uid="{C8F28C67-6501-41B5-9F6D-131C1D228C82}"/>
    <cellStyle name="Comma 2 2 10 2 3 7" xfId="50089" xr:uid="{AA24A1D5-18A4-4E6E-B537-4DAFE5B222FA}"/>
    <cellStyle name="Comma 2 2 10 2 3 8" xfId="52062" xr:uid="{29BEC6C3-2730-4B4A-94E4-4E132303DBC8}"/>
    <cellStyle name="Comma 2 2 10 2 3 9" xfId="20808" xr:uid="{29D8D1EA-9284-4330-8802-4394DB626A7A}"/>
    <cellStyle name="Comma 2 2 10 2 4" xfId="9766" xr:uid="{6AD4F98A-759D-4B9F-978B-53A35F372704}"/>
    <cellStyle name="Comma 2 2 10 2 4 2" xfId="13072" xr:uid="{F8C653E8-7094-43D9-B0FB-7FEB91E331C5}"/>
    <cellStyle name="Comma 2 2 10 2 4 2 2" xfId="51756" xr:uid="{2A87C850-6280-435D-A18E-228790306982}"/>
    <cellStyle name="Comma 2 2 10 2 4 2 3" xfId="52063" xr:uid="{682C4A44-665E-4303-8A1E-ADC432AB5472}"/>
    <cellStyle name="Comma 2 2 10 2 4 2 4" xfId="49076" xr:uid="{9A28FAC8-0F99-4E9B-80AB-0FB954435AB7}"/>
    <cellStyle name="Comma 2 2 10 2 4 3" xfId="47493" xr:uid="{B6F95B46-F357-4A16-9D76-F03CE1EF9A77}"/>
    <cellStyle name="Comma 2 2 10 2 4 4" xfId="50428" xr:uid="{538BAE3E-F924-4FC4-A1EE-CC7DB21D01A3}"/>
    <cellStyle name="Comma 2 2 10 2 4 5" xfId="52064" xr:uid="{4E523A81-8E4B-4DE0-97CD-F9657EF3BA98}"/>
    <cellStyle name="Comma 2 2 10 2 4 6" xfId="20083" xr:uid="{0FA0E7C6-31AA-4737-B8FA-2993BE757829}"/>
    <cellStyle name="Comma 2 2 10 2 5" xfId="7264" xr:uid="{852387C8-4CBA-4DD9-84D4-C8528A8D4233}"/>
    <cellStyle name="Comma 2 2 10 2 5 2" xfId="47826" xr:uid="{3F2A45DF-B67F-4255-BBF5-DEC3939C6859}"/>
    <cellStyle name="Comma 2 2 10 2 5 3" xfId="50714" xr:uid="{879710B1-596E-4929-8642-FAA4000E5F87}"/>
    <cellStyle name="Comma 2 2 10 2 5 4" xfId="52065" xr:uid="{2DD4AE3E-7AD8-42BF-ABBE-AE9BC86F2419}"/>
    <cellStyle name="Comma 2 2 10 2 5 5" xfId="23546" xr:uid="{7E838790-69C8-4B00-8719-59157A1F6DBF}"/>
    <cellStyle name="Comma 2 2 10 2 6" xfId="11787" xr:uid="{9E1C4BE7-0E4E-4500-971A-06FB5F9341B6}"/>
    <cellStyle name="Comma 2 2 10 2 6 2" xfId="38043" xr:uid="{AEA9E450-F224-418D-9844-1D71C4256ED7}"/>
    <cellStyle name="Comma 2 2 10 2 7" xfId="38839" xr:uid="{BE073A7E-2FF1-4AC9-9CAA-D8CB6E2504AB}"/>
    <cellStyle name="Comma 2 2 10 2 8" xfId="39866" xr:uid="{9A188471-29C9-41B0-93F4-49845576078C}"/>
    <cellStyle name="Comma 2 2 10 2 9" xfId="40508" xr:uid="{A8BEFEC8-3912-4D06-87D6-89E64A977482}"/>
    <cellStyle name="Comma 2 2 10 3" xfId="5490" xr:uid="{3865CDE5-AF75-4D3B-A8D6-2DD716A55A75}"/>
    <cellStyle name="Comma 2 2 10 3 10" xfId="42569" xr:uid="{9ECB151A-6D8F-45B1-93FC-D8A649358AB3}"/>
    <cellStyle name="Comma 2 2 10 3 11" xfId="43779" xr:uid="{DEE102CE-FCC0-4D89-99BA-6B1A46D86C6B}"/>
    <cellStyle name="Comma 2 2 10 3 12" xfId="44736" xr:uid="{B2BBB754-EBC8-479C-8BB4-027DE087960B}"/>
    <cellStyle name="Comma 2 2 10 3 13" xfId="46537" xr:uid="{06BEFEA4-D76F-4548-96DD-A6E9FE62E8ED}"/>
    <cellStyle name="Comma 2 2 10 3 14" xfId="49570" xr:uid="{AE2F110C-0B87-439F-9951-5ABC253F694C}"/>
    <cellStyle name="Comma 2 2 10 3 15" xfId="52066" xr:uid="{4385BB5E-CECB-4F0A-AC9E-41E4AF45F0E3}"/>
    <cellStyle name="Comma 2 2 10 3 16" xfId="16922" xr:uid="{F0EF5DA4-4263-44D5-9481-550FC9E9F956}"/>
    <cellStyle name="Comma 2 2 10 3 17" xfId="14027" xr:uid="{38256D71-2E7A-4C53-92A3-E3FCD8405480}"/>
    <cellStyle name="Comma 2 2 10 3 2" xfId="7592" xr:uid="{20E9BBB6-82E8-4744-B525-D9467F92C831}"/>
    <cellStyle name="Comma 2 2 10 3 2 10" xfId="14519" xr:uid="{6DCBCE26-7BEB-4CBF-BC1B-607CB10EF496}"/>
    <cellStyle name="Comma 2 2 10 3 2 2" xfId="10084" xr:uid="{15DF8C86-194F-4ACC-99C8-0E24F705104E}"/>
    <cellStyle name="Comma 2 2 10 3 2 2 2" xfId="13390" xr:uid="{156713A1-92EC-440D-9589-F8B7075C7C34}"/>
    <cellStyle name="Comma 2 2 10 3 2 2 2 2" xfId="48904" xr:uid="{63CA75FF-DBE2-43E9-B680-B123A9687A38}"/>
    <cellStyle name="Comma 2 2 10 3 2 2 3" xfId="51616" xr:uid="{5AF5D8F1-8C74-47B9-B434-2DA61977C3F1}"/>
    <cellStyle name="Comma 2 2 10 3 2 2 4" xfId="52067" xr:uid="{082865AC-45C2-44B8-B959-02650934812E}"/>
    <cellStyle name="Comma 2 2 10 3 2 2 5" xfId="39483" xr:uid="{9125D373-11CA-4621-9ED2-F4B7C64882AD}"/>
    <cellStyle name="Comma 2 2 10 3 2 3" xfId="12105" xr:uid="{ED3E1B51-E107-46A6-9E42-F0AA79A90DEA}"/>
    <cellStyle name="Comma 2 2 10 3 2 3 2" xfId="41337" xr:uid="{E5B300AF-E4A1-4C09-AE4C-8DF130467CD8}"/>
    <cellStyle name="Comma 2 2 10 3 2 4" xfId="43160" xr:uid="{093A34AE-D7CB-4FB9-B95C-E4ED3D27E366}"/>
    <cellStyle name="Comma 2 2 10 3 2 5" xfId="45257" xr:uid="{25F01EBD-3952-40B6-B0AA-607C56D37AEF}"/>
    <cellStyle name="Comma 2 2 10 3 2 6" xfId="47328" xr:uid="{7AC42770-712E-4DF3-89A6-70AC4F4039A9}"/>
    <cellStyle name="Comma 2 2 10 3 2 7" xfId="50288" xr:uid="{68BACB2C-2BEF-4FAA-8364-382FF4F4E8B5}"/>
    <cellStyle name="Comma 2 2 10 3 2 8" xfId="52068" xr:uid="{5FD2C09F-ED1F-4E23-8F1A-9C9B9C0D4BBA}"/>
    <cellStyle name="Comma 2 2 10 3 2 9" xfId="20917" xr:uid="{3C2EA278-A825-461D-BD11-64BED3ED8E61}"/>
    <cellStyle name="Comma 2 2 10 3 3" xfId="9590" xr:uid="{DCB80201-731F-452E-9F1D-35AB02ABE513}"/>
    <cellStyle name="Comma 2 2 10 3 3 2" xfId="12896" xr:uid="{EAE96B9E-50C9-423A-B39D-D059D08BE94E}"/>
    <cellStyle name="Comma 2 2 10 3 3 2 2" xfId="48049" xr:uid="{C5C46413-F2EB-4E7C-810D-4F9C205C484A}"/>
    <cellStyle name="Comma 2 2 10 3 3 3" xfId="50898" xr:uid="{0D0C6AB1-6306-4388-A0D2-06C804377A75}"/>
    <cellStyle name="Comma 2 2 10 3 3 4" xfId="52069" xr:uid="{E80873F0-E7A6-4BF6-95B6-C7FFF65E5F2C}"/>
    <cellStyle name="Comma 2 2 10 3 3 5" xfId="20136" xr:uid="{D625BBF2-B826-47C5-A1E6-838C85DE8DB5}"/>
    <cellStyle name="Comma 2 2 10 3 4" xfId="7086" xr:uid="{566DCB66-8968-4D83-8339-AEE5A3D2D9FD}"/>
    <cellStyle name="Comma 2 2 10 3 4 2" xfId="23548" xr:uid="{0A197EB2-9C63-4393-9C0C-CA4B68016879}"/>
    <cellStyle name="Comma 2 2 10 3 5" xfId="11611" xr:uid="{33DACF93-ACDD-4655-ABAA-39A0D4B501C6}"/>
    <cellStyle name="Comma 2 2 10 3 5 2" xfId="38045" xr:uid="{135D6AB1-ACC7-4716-AD25-DE627E48D475}"/>
    <cellStyle name="Comma 2 2 10 3 6" xfId="38892" xr:uid="{1A2BD36D-4793-4A01-941A-801DF573D963}"/>
    <cellStyle name="Comma 2 2 10 3 7" xfId="39868" xr:uid="{2DB7583F-60DB-4203-A574-02AFAC204FA6}"/>
    <cellStyle name="Comma 2 2 10 3 8" xfId="40510" xr:uid="{BBA36123-81DB-4788-B421-DA0D638D737C}"/>
    <cellStyle name="Comma 2 2 10 3 9" xfId="41722" xr:uid="{C823874B-4E8C-4E01-8003-CC803105C6BC}"/>
    <cellStyle name="Comma 2 2 10 4" xfId="6480" xr:uid="{339FF4F6-52BB-40B1-82E2-F82BF734E0B7}"/>
    <cellStyle name="Comma 2 2 10 4 10" xfId="14381" xr:uid="{A55CE369-7C28-4F50-A628-B9F7B1B28AF4}"/>
    <cellStyle name="Comma 2 2 10 4 2" xfId="9452" xr:uid="{3CBE9BB8-3142-4D1C-8A60-F5694659260B}"/>
    <cellStyle name="Comma 2 2 10 4 2 2" xfId="12758" xr:uid="{9DA46C0F-C5DC-4D34-91FC-3B9E63937511}"/>
    <cellStyle name="Comma 2 2 10 4 2 2 2" xfId="47914" xr:uid="{B5C341C2-E976-44CE-9114-0ACF3C86EFDD}"/>
    <cellStyle name="Comma 2 2 10 4 2 3" xfId="50783" xr:uid="{F490AA92-9FD2-4BB0-8C2A-159FDD3FCC63}"/>
    <cellStyle name="Comma 2 2 10 4 2 4" xfId="52070" xr:uid="{44122B4F-6C5D-4942-B8C3-AFB58A9D6E4A}"/>
    <cellStyle name="Comma 2 2 10 4 2 5" xfId="39278" xr:uid="{14981CBC-2FFB-4396-9121-1D32CAB12BD6}"/>
    <cellStyle name="Comma 2 2 10 4 3" xfId="11473" xr:uid="{79E7F5E9-7992-476F-B95C-242670D29188}"/>
    <cellStyle name="Comma 2 2 10 4 3 2" xfId="41140" xr:uid="{154FB285-41D5-4224-A4A8-555F52277603}"/>
    <cellStyle name="Comma 2 2 10 4 4" xfId="42955" xr:uid="{DA7F56F9-FE7B-4025-AE4B-FE6628A05BAF}"/>
    <cellStyle name="Comma 2 2 10 4 5" xfId="45060" xr:uid="{50866AE9-D1DD-4B5A-A27C-84C25F3DFA65}"/>
    <cellStyle name="Comma 2 2 10 4 6" xfId="46119" xr:uid="{C4710466-AE06-4CBA-9CC8-6BC543D83B3D}"/>
    <cellStyle name="Comma 2 2 10 4 7" xfId="49455" xr:uid="{8A89DEF1-8B44-4E5C-8164-231AFD7A78BE}"/>
    <cellStyle name="Comma 2 2 10 4 8" xfId="52071" xr:uid="{F413BA2C-B812-4D90-8EE7-F1680DBF2C72}"/>
    <cellStyle name="Comma 2 2 10 4 9" xfId="20524" xr:uid="{DF281EBA-788A-41A1-851F-43C855475137}"/>
    <cellStyle name="Comma 2 2 10 5" xfId="7454" xr:uid="{6297FC89-CDEA-48C7-932E-F314DBBC1EA9}"/>
    <cellStyle name="Comma 2 2 10 5 2" xfId="9946" xr:uid="{0DC53C81-AA23-4E74-9C2B-54239F50ED94}"/>
    <cellStyle name="Comma 2 2 10 5 2 2" xfId="13252" xr:uid="{2D8CD33F-79D4-4BF0-A301-BEE8B374FCD5}"/>
    <cellStyle name="Comma 2 2 10 5 2 2 2" xfId="51245" xr:uid="{59C1142D-509D-4E83-8892-66492E96FDD4}"/>
    <cellStyle name="Comma 2 2 10 5 2 3" xfId="52072" xr:uid="{BB116334-B693-4B13-A434-15E4BD7809EA}"/>
    <cellStyle name="Comma 2 2 10 5 2 4" xfId="48459" xr:uid="{0EF9819A-2B88-4AB2-A913-C174C78B3FAE}"/>
    <cellStyle name="Comma 2 2 10 5 3" xfId="11967" xr:uid="{CF56AD6A-5019-479A-A4D1-DFD5B2BC3F08}"/>
    <cellStyle name="Comma 2 2 10 5 3 2" xfId="46898" xr:uid="{A9F9965E-F6C7-40F6-BF32-A2666D0FFC71}"/>
    <cellStyle name="Comma 2 2 10 5 4" xfId="49917" xr:uid="{61DE1836-56B4-419E-B315-04D9E842E367}"/>
    <cellStyle name="Comma 2 2 10 5 5" xfId="52073" xr:uid="{F01A080F-D896-4EE4-B72E-C90FF251641C}"/>
    <cellStyle name="Comma 2 2 10 5 6" xfId="19931" xr:uid="{36E64C33-CF06-45A8-A248-E74E648D1003}"/>
    <cellStyle name="Comma 2 2 10 5 7" xfId="14834" xr:uid="{5686A7D6-7850-453E-BC39-0E67136D95E9}"/>
    <cellStyle name="Comma 2 2 10 6" xfId="8120" xr:uid="{9D0B9C0E-E951-49B0-B2E5-0242838358A1}"/>
    <cellStyle name="Comma 2 2 10 6 2" xfId="12576" xr:uid="{276C66F8-3ABF-4ACA-A384-B00AF137BB7D}"/>
    <cellStyle name="Comma 2 2 10 6 2 2" xfId="51501" xr:uid="{767C8AFE-888A-4445-9AE9-5389F4D737EA}"/>
    <cellStyle name="Comma 2 2 10 6 2 3" xfId="52074" xr:uid="{BFA4C965-188A-4BC9-96D5-ED71D3AE9E8C}"/>
    <cellStyle name="Comma 2 2 10 6 2 4" xfId="48766" xr:uid="{0FC8888F-1815-42AE-94C0-352905775428}"/>
    <cellStyle name="Comma 2 2 10 6 3" xfId="47195" xr:uid="{EEAA40E3-7941-4BC9-9C44-99CE2C5FF95D}"/>
    <cellStyle name="Comma 2 2 10 6 4" xfId="50173" xr:uid="{4C3C3940-8D8D-4C6D-9067-7E1C2224A23B}"/>
    <cellStyle name="Comma 2 2 10 6 5" xfId="52075" xr:uid="{615786E4-DC19-4151-BFA4-B07F058CC29B}"/>
    <cellStyle name="Comma 2 2 10 6 6" xfId="23545" xr:uid="{779FB008-B63C-466D-9DA1-F866D9749BCF}"/>
    <cellStyle name="Comma 2 2 10 7" xfId="7907" xr:uid="{8F5A9B47-89B4-4E36-945F-3DEA28B7B042}"/>
    <cellStyle name="Comma 2 2 10 7 2" xfId="12420" xr:uid="{FFAA20D9-93CE-4176-BA43-9B06E118348C}"/>
    <cellStyle name="Comma 2 2 10 7 2 2" xfId="47659" xr:uid="{5C01707C-2AC4-4267-BFC8-3C877D3B3459}"/>
    <cellStyle name="Comma 2 2 10 7 3" xfId="50567" xr:uid="{58515D67-74AA-48B6-8A43-105773953A3C}"/>
    <cellStyle name="Comma 2 2 10 7 4" xfId="52076" xr:uid="{71A3BA98-7741-4A72-A4E1-0EB5BE2DB5F8}"/>
    <cellStyle name="Comma 2 2 10 7 5" xfId="38042" xr:uid="{0135DBE2-2734-4497-A2AA-07EDABBA6085}"/>
    <cellStyle name="Comma 2 2 10 8" xfId="5804" xr:uid="{C009537A-585C-4A86-8594-B3252DF01EB9}"/>
    <cellStyle name="Comma 2 2 10 8 2" xfId="38687" xr:uid="{1E956216-9A40-48A5-A19C-6D76A61F1423}"/>
    <cellStyle name="Comma 2 2 10 9" xfId="11292" xr:uid="{152AA981-8999-4236-B33F-3E1671E3CAD6}"/>
    <cellStyle name="Comma 2 2 10 9 2" xfId="39865" xr:uid="{4E831F91-7E49-4279-9970-20BE6C3455D0}"/>
    <cellStyle name="Comma 2 2 11" xfId="4408" xr:uid="{C23774A9-EFCE-4F7B-9BC8-2229308BFE71}"/>
    <cellStyle name="Comma 2 2 11 10" xfId="41723" xr:uid="{BDDEF6B6-D75F-4A23-8CDE-0BC95B73AFD2}"/>
    <cellStyle name="Comma 2 2 11 11" xfId="42445" xr:uid="{C1B8E5DC-7D01-4A5D-9205-F2F8931F8C3E}"/>
    <cellStyle name="Comma 2 2 11 12" xfId="43505" xr:uid="{D35B2534-C752-4F35-89C7-87A4ABDC6591}"/>
    <cellStyle name="Comma 2 2 11 13" xfId="44509" xr:uid="{3DF5FC04-051D-4F8E-8F45-262603AA4A7A}"/>
    <cellStyle name="Comma 2 2 11 14" xfId="45684" xr:uid="{9DDE9A6D-97A1-4196-BBCF-DB2A55F912FB}"/>
    <cellStyle name="Comma 2 2 11 15" xfId="49312" xr:uid="{20EF2F1E-903C-4521-B533-467C3E5B9F5B}"/>
    <cellStyle name="Comma 2 2 11 16" xfId="52077" xr:uid="{B52B71D1-C6A1-4BC1-B23A-C16C7FAD8501}"/>
    <cellStyle name="Comma 2 2 11 17" xfId="16639" xr:uid="{96F94860-66ED-4022-ADCB-02253E6CC875}"/>
    <cellStyle name="Comma 2 2 11 18" xfId="13888" xr:uid="{674269F0-88C8-41EB-B790-97A7255683C9}"/>
    <cellStyle name="Comma 2 2 11 2" xfId="5665" xr:uid="{352B2FC2-7C35-4875-920A-C3713E56BBA7}"/>
    <cellStyle name="Comma 2 2 11 2 10" xfId="42571" xr:uid="{1B604A99-4FE0-4437-8CC3-16EFF14BD79E}"/>
    <cellStyle name="Comma 2 2 11 2 11" xfId="44209" xr:uid="{2B0530A3-C19D-4E02-BDE1-5DA1CC184687}"/>
    <cellStyle name="Comma 2 2 11 2 12" xfId="44738" xr:uid="{35E3B7DC-80E7-4200-8289-69C0B0149FC4}"/>
    <cellStyle name="Comma 2 2 11 2 13" xfId="46677" xr:uid="{AB61F3AE-63E3-4C04-93A0-F1A883313FC1}"/>
    <cellStyle name="Comma 2 2 11 2 14" xfId="49709" xr:uid="{CBDD495D-014C-4325-90E4-2D9F23EBAA0B}"/>
    <cellStyle name="Comma 2 2 11 2 15" xfId="52078" xr:uid="{7AD9DCA6-472A-47C1-B78C-E49C47910841}"/>
    <cellStyle name="Comma 2 2 11 2 16" xfId="16924" xr:uid="{45E733C0-9BAB-4C7A-92D6-0CBB789C0785}"/>
    <cellStyle name="Comma 2 2 11 2 17" xfId="14202" xr:uid="{368A6AE0-9889-4CD5-BEE0-ECF81E2A9B58}"/>
    <cellStyle name="Comma 2 2 11 2 2" xfId="7767" xr:uid="{A59BC33E-98A9-41A6-9B1A-7A0FD6ED41E4}"/>
    <cellStyle name="Comma 2 2 11 2 2 10" xfId="14694" xr:uid="{64A232BD-D272-48DF-BAF7-3B4FEAB6F950}"/>
    <cellStyle name="Comma 2 2 11 2 2 2" xfId="10259" xr:uid="{B9297E0B-3F0A-4382-9090-063223B46C18}"/>
    <cellStyle name="Comma 2 2 11 2 2 2 2" xfId="13565" xr:uid="{9D5D344C-3B5D-47F8-BCA7-AD847140766A}"/>
    <cellStyle name="Comma 2 2 11 2 2 2 2 2" xfId="49075" xr:uid="{A9129BFA-2E54-458A-B868-D71CADB3179F}"/>
    <cellStyle name="Comma 2 2 11 2 2 2 3" xfId="51755" xr:uid="{523EB6DC-3688-469F-9233-9468B435EB51}"/>
    <cellStyle name="Comma 2 2 11 2 2 2 4" xfId="52079" xr:uid="{F84100D1-705D-4289-BCF8-3D218F8B97A8}"/>
    <cellStyle name="Comma 2 2 11 2 2 2 5" xfId="39485" xr:uid="{23802E66-E377-4A24-B51D-D9F815EA096B}"/>
    <cellStyle name="Comma 2 2 11 2 2 3" xfId="12280" xr:uid="{885A942F-E612-44D9-BA60-FA54E2296E21}"/>
    <cellStyle name="Comma 2 2 11 2 2 3 2" xfId="41339" xr:uid="{31FBC818-144D-439C-8111-0EBEC8491467}"/>
    <cellStyle name="Comma 2 2 11 2 2 4" xfId="43162" xr:uid="{BA38CD42-3D96-4835-B168-1F89FA8781A5}"/>
    <cellStyle name="Comma 2 2 11 2 2 5" xfId="45259" xr:uid="{A7310379-9399-467D-A73A-90CD8A3C0E5C}"/>
    <cellStyle name="Comma 2 2 11 2 2 6" xfId="47492" xr:uid="{B4488451-5B2F-4532-B2D3-280CD11EA140}"/>
    <cellStyle name="Comma 2 2 11 2 2 7" xfId="50427" xr:uid="{BFF107D5-BF3E-47EB-A8D8-A451C60380CA}"/>
    <cellStyle name="Comma 2 2 11 2 2 8" xfId="52080" xr:uid="{E37A4A6B-4A75-4892-9DE9-E65C27A70DD8}"/>
    <cellStyle name="Comma 2 2 11 2 2 9" xfId="20919" xr:uid="{35D64977-7D7F-44CE-937F-A7FF3D95498A}"/>
    <cellStyle name="Comma 2 2 11 2 3" xfId="9765" xr:uid="{13505FC1-88D0-40ED-8029-01498412F363}"/>
    <cellStyle name="Comma 2 2 11 2 3 2" xfId="13071" xr:uid="{760E27E5-1059-47B9-99D4-344D94A9BADE}"/>
    <cellStyle name="Comma 2 2 11 2 3 2 2" xfId="48219" xr:uid="{249A5271-C1AB-45C4-8596-BB0215CAF4A2}"/>
    <cellStyle name="Comma 2 2 11 2 3 3" xfId="51037" xr:uid="{627D4992-0A5E-422A-907A-F00B7A179BB7}"/>
    <cellStyle name="Comma 2 2 11 2 3 4" xfId="52081" xr:uid="{D78A19D9-E4EB-40BA-BBBA-9AB4033B5112}"/>
    <cellStyle name="Comma 2 2 11 2 3 5" xfId="20138" xr:uid="{549659A4-CC4A-438C-8EEA-2F4CDE1C9DBF}"/>
    <cellStyle name="Comma 2 2 11 2 4" xfId="7263" xr:uid="{E4C2A165-4283-4354-9DE4-2DFE49FE0020}"/>
    <cellStyle name="Comma 2 2 11 2 4 2" xfId="23550" xr:uid="{B278BBBE-C843-4358-ADF8-0B2C5E12EEBA}"/>
    <cellStyle name="Comma 2 2 11 2 5" xfId="11786" xr:uid="{E832810B-4102-4786-9D88-28314C77CC97}"/>
    <cellStyle name="Comma 2 2 11 2 5 2" xfId="38047" xr:uid="{5F48C9A0-F18C-4A9B-B184-B940D48CC829}"/>
    <cellStyle name="Comma 2 2 11 2 6" xfId="38894" xr:uid="{65362C6F-7231-4BA2-9B48-AD5B0887BED3}"/>
    <cellStyle name="Comma 2 2 11 2 7" xfId="39870" xr:uid="{DCDC5138-0B8D-4DEE-ADCA-B6B6EBDBB005}"/>
    <cellStyle name="Comma 2 2 11 2 8" xfId="40512" xr:uid="{5E0BDA10-3911-4370-BA6D-C2A2882F20F4}"/>
    <cellStyle name="Comma 2 2 11 2 9" xfId="41724" xr:uid="{9CC7655B-9633-4466-85C1-7D66769C73AD}"/>
    <cellStyle name="Comma 2 2 11 3" xfId="7453" xr:uid="{A850013D-0645-4378-B559-5A5355D5873D}"/>
    <cellStyle name="Comma 2 2 11 3 10" xfId="14380" xr:uid="{3E9E2278-D730-4C58-8E4F-CB0529C971EF}"/>
    <cellStyle name="Comma 2 2 11 3 2" xfId="9945" xr:uid="{23DC057D-C144-4E4F-AD7A-63BB0001836C}"/>
    <cellStyle name="Comma 2 2 11 3 2 2" xfId="13251" xr:uid="{32E4CEF4-433D-498B-8B58-D6CA53B8C36F}"/>
    <cellStyle name="Comma 2 2 11 3 2 2 2" xfId="47913" xr:uid="{F730FAA8-A85F-419C-836F-FBE32C4E0531}"/>
    <cellStyle name="Comma 2 2 11 3 2 3" xfId="50782" xr:uid="{C90F2695-63EB-41B9-A8A5-BE8BFC698B6C}"/>
    <cellStyle name="Comma 2 2 11 3 2 4" xfId="52082" xr:uid="{776EFB85-EE76-4CDE-80FC-80D5AFE4EF5F}"/>
    <cellStyle name="Comma 2 2 11 3 2 5" xfId="39359" xr:uid="{4CB2AEE3-3363-48E6-BADA-D83C2FB82619}"/>
    <cellStyle name="Comma 2 2 11 3 3" xfId="11966" xr:uid="{E4AD2AA0-2E3C-471E-9E26-137847353FAB}"/>
    <cellStyle name="Comma 2 2 11 3 3 2" xfId="41217" xr:uid="{8E24A815-F7CD-4475-B68E-4D091DBC2CF4}"/>
    <cellStyle name="Comma 2 2 11 3 4" xfId="43036" xr:uid="{93193D2E-1376-4F03-BE37-AA6817C2045C}"/>
    <cellStyle name="Comma 2 2 11 3 5" xfId="45137" xr:uid="{FBAA7EF6-B868-499A-8B73-3BC1E0CB44A3}"/>
    <cellStyle name="Comma 2 2 11 3 6" xfId="46118" xr:uid="{439A9FC7-48D1-4976-B7E4-315DDBC75670}"/>
    <cellStyle name="Comma 2 2 11 3 7" xfId="49454" xr:uid="{5AA564B9-E3E4-4F53-BFC6-B2D645C3E915}"/>
    <cellStyle name="Comma 2 2 11 3 8" xfId="52083" xr:uid="{B1BA1A39-A900-4DB0-B1B7-5C7D52F12817}"/>
    <cellStyle name="Comma 2 2 11 3 9" xfId="20733" xr:uid="{C60455BF-31E7-4ADA-8F7F-A777B351E763}"/>
    <cellStyle name="Comma 2 2 11 4" xfId="11114" xr:uid="{56C9C251-AA98-4D45-A919-4737CA0044E2}"/>
    <cellStyle name="Comma 2 2 11 4 2" xfId="13711" xr:uid="{76C3D59D-AE39-4CCB-AAF8-7A3BE46B7CC3}"/>
    <cellStyle name="Comma 2 2 11 4 2 2" xfId="51244" xr:uid="{D2D6145E-4D0C-47F5-9D29-36FF9EF4296D}"/>
    <cellStyle name="Comma 2 2 11 4 2 3" xfId="52084" xr:uid="{E4098F8B-1DF8-4DBC-B699-D506A22F0F17}"/>
    <cellStyle name="Comma 2 2 11 4 2 4" xfId="48458" xr:uid="{39DA6132-E6FA-4D88-B62D-E0D55EE96216}"/>
    <cellStyle name="Comma 2 2 11 4 3" xfId="46897" xr:uid="{4B3C0D07-C7F6-4C65-B1F1-CDE0B5E4377A}"/>
    <cellStyle name="Comma 2 2 11 4 4" xfId="49916" xr:uid="{5A396178-DCFD-471B-8F37-C07664485214}"/>
    <cellStyle name="Comma 2 2 11 4 5" xfId="52085" xr:uid="{68987AB4-BB75-4406-9337-13F83E447294}"/>
    <cellStyle name="Comma 2 2 11 4 6" xfId="20012" xr:uid="{71D6C516-4668-4B9A-9E35-F83A97A37659}"/>
    <cellStyle name="Comma 2 2 11 4 7" xfId="15009" xr:uid="{A750086C-3D1D-41C7-855A-CA16DEFD78EA}"/>
    <cellStyle name="Comma 2 2 11 5" xfId="9451" xr:uid="{9986206E-14D5-4E76-9171-7DF3C37B3FEF}"/>
    <cellStyle name="Comma 2 2 11 5 2" xfId="12757" xr:uid="{1B2645D2-1C22-4650-AD0C-5ADC86C4817D}"/>
    <cellStyle name="Comma 2 2 11 5 2 2" xfId="51500" xr:uid="{72E8C95F-16BE-4AE6-AB8A-B8FB2842C3E7}"/>
    <cellStyle name="Comma 2 2 11 5 2 3" xfId="52086" xr:uid="{DC0F9189-47CF-415E-97A8-C101EDE01AAA}"/>
    <cellStyle name="Comma 2 2 11 5 2 4" xfId="48765" xr:uid="{EEBFDB6C-EEF6-4ACD-9B38-21FD7B55FB16}"/>
    <cellStyle name="Comma 2 2 11 5 3" xfId="47194" xr:uid="{EC410731-961D-4663-9C5D-CFFB9AAB2302}"/>
    <cellStyle name="Comma 2 2 11 5 4" xfId="50172" xr:uid="{1635A456-EC4F-4BA1-A3B3-4DE7B63920FA}"/>
    <cellStyle name="Comma 2 2 11 5 5" xfId="52087" xr:uid="{C53A3FCA-F52E-4D3E-8A4B-9914AACB9898}"/>
    <cellStyle name="Comma 2 2 11 5 6" xfId="23549" xr:uid="{B649DC26-D868-4FEB-BFBD-EA955022180D}"/>
    <cellStyle name="Comma 2 2 11 6" xfId="6479" xr:uid="{2B96CA21-812D-4080-8203-7086C77FDD5B}"/>
    <cellStyle name="Comma 2 2 11 6 2" xfId="47741" xr:uid="{FDAE77AA-2C97-4036-9603-6998669FF101}"/>
    <cellStyle name="Comma 2 2 11 6 3" xfId="50640" xr:uid="{0288A864-14F7-4DA2-B9EA-40E71D348D16}"/>
    <cellStyle name="Comma 2 2 11 6 4" xfId="52088" xr:uid="{18B8FB40-17AA-46EA-A58A-38DDCA4BCA7F}"/>
    <cellStyle name="Comma 2 2 11 6 5" xfId="38046" xr:uid="{3FEDF131-85A0-4F12-BC8B-EDBB1D7A1E79}"/>
    <cellStyle name="Comma 2 2 11 7" xfId="11472" xr:uid="{D27A6780-9518-46FA-A600-552607360DE3}"/>
    <cellStyle name="Comma 2 2 11 7 2" xfId="38768" xr:uid="{E876C224-AE89-4C10-8FAE-3933C143B0D7}"/>
    <cellStyle name="Comma 2 2 11 8" xfId="39869" xr:uid="{B9B8F50C-1B10-40C0-A86B-00FC9ED1249D}"/>
    <cellStyle name="Comma 2 2 11 9" xfId="40511" xr:uid="{E3DE0A0C-B991-4D84-A294-EB46913C3E57}"/>
    <cellStyle name="Comma 2 2 12" xfId="3879" xr:uid="{91872E53-E699-4943-8256-8503597BE80F}"/>
    <cellStyle name="Comma 2 2 12 10" xfId="41725" xr:uid="{5C0C16E4-3C54-466C-8FEB-7D19EDAA8D6B}"/>
    <cellStyle name="Comma 2 2 12 11" xfId="42385" xr:uid="{54D6D731-76D8-4828-BA49-11608B59C935}"/>
    <cellStyle name="Comma 2 2 12 12" xfId="43890" xr:uid="{59395675-F897-46BA-B6F0-A1A34A66EEC2}"/>
    <cellStyle name="Comma 2 2 12 13" xfId="44477" xr:uid="{6469E47C-41D7-4956-8194-9B9FFAB6CDB3}"/>
    <cellStyle name="Comma 2 2 12 14" xfId="46644" xr:uid="{BC0BE35D-DBD0-4F17-B6D9-534CCFFC5360}"/>
    <cellStyle name="Comma 2 2 12 15" xfId="49677" xr:uid="{E99D0338-D2CE-4139-81DA-7ED2FAB985BC}"/>
    <cellStyle name="Comma 2 2 12 16" xfId="52089" xr:uid="{9FCB82B1-A9A2-4167-B33A-464AF3EF786D}"/>
    <cellStyle name="Comma 2 2 12 17" xfId="16360" xr:uid="{6254CBB5-7A73-4428-835E-59F4A07EB0B8}"/>
    <cellStyle name="Comma 2 2 12 18" xfId="14158" xr:uid="{764A55F9-8A36-4FA3-8226-FDF2EF0D0B37}"/>
    <cellStyle name="Comma 2 2 12 2" xfId="5621" xr:uid="{8897FA1C-3B3A-4DF6-80A4-1F2C5D739F73}"/>
    <cellStyle name="Comma 2 2 12 2 10" xfId="42572" xr:uid="{401C3171-A830-4BC7-9EF3-FD6A3A4B9A72}"/>
    <cellStyle name="Comma 2 2 12 2 11" xfId="44739" xr:uid="{45853394-F93A-4AC3-A228-2285B302C901}"/>
    <cellStyle name="Comma 2 2 12 2 12" xfId="46862" xr:uid="{B4F7F9B8-7027-4EE0-87BC-78272E46F111}"/>
    <cellStyle name="Comma 2 2 12 2 13" xfId="49884" xr:uid="{BA04F3EB-1C28-430E-BC44-76B0F610C318}"/>
    <cellStyle name="Comma 2 2 12 2 14" xfId="52090" xr:uid="{5999E1E9-5959-45F4-BD65-65E4FC054CD1}"/>
    <cellStyle name="Comma 2 2 12 2 15" xfId="16925" xr:uid="{5DCB9B49-0118-4335-B331-88A42FABC1B9}"/>
    <cellStyle name="Comma 2 2 12 2 16" xfId="14650" xr:uid="{5F1FF10A-39C3-4924-94D8-7436EC908B38}"/>
    <cellStyle name="Comma 2 2 12 2 2" xfId="10215" xr:uid="{60B8977B-D198-431C-A120-3C2CCCFA1E31}"/>
    <cellStyle name="Comma 2 2 12 2 2 2" xfId="13521" xr:uid="{98ED5FBD-C62E-42FD-BF65-AAAECF223EF7}"/>
    <cellStyle name="Comma 2 2 12 2 2 2 2" xfId="39486" xr:uid="{1F86B093-125F-497D-845B-42CC6DB2B039}"/>
    <cellStyle name="Comma 2 2 12 2 2 3" xfId="41340" xr:uid="{D75F0EB3-41B5-44C6-9739-C2BDB8707B8B}"/>
    <cellStyle name="Comma 2 2 12 2 2 4" xfId="43163" xr:uid="{7E8135F1-7EB3-42B1-96E6-FD8C52A7D63D}"/>
    <cellStyle name="Comma 2 2 12 2 2 5" xfId="45260" xr:uid="{8EA68954-6F5E-461D-B2EB-34B7F4A0E9C5}"/>
    <cellStyle name="Comma 2 2 12 2 2 6" xfId="48418" xr:uid="{0A49547E-96E8-4314-9E2B-6AF886B3D244}"/>
    <cellStyle name="Comma 2 2 12 2 2 7" xfId="51212" xr:uid="{A0EFC0E5-A8C4-490E-9DD3-E5FB0F33FBD1}"/>
    <cellStyle name="Comma 2 2 12 2 2 8" xfId="52091" xr:uid="{10E4EE7E-CA31-4F92-B48B-210C2298FAA2}"/>
    <cellStyle name="Comma 2 2 12 2 2 9" xfId="20920" xr:uid="{6B0B0FA5-3E78-41EC-A303-CB1710BE24C8}"/>
    <cellStyle name="Comma 2 2 12 2 3" xfId="7723" xr:uid="{81ABD382-904A-4BD6-ABFF-DE9B83BB32D0}"/>
    <cellStyle name="Comma 2 2 12 2 3 2" xfId="20139" xr:uid="{E8ED82DB-3984-4BEC-9ECF-7BBEAFE67234}"/>
    <cellStyle name="Comma 2 2 12 2 4" xfId="12236" xr:uid="{3BDDC32A-1A85-44CE-A88F-DA65532DAB53}"/>
    <cellStyle name="Comma 2 2 12 2 4 2" xfId="23552" xr:uid="{17008587-0C8C-45D1-86E5-8894D169A1C6}"/>
    <cellStyle name="Comma 2 2 12 2 5" xfId="38049" xr:uid="{49807456-BC25-4A1D-A8BF-9D3E264F24A1}"/>
    <cellStyle name="Comma 2 2 12 2 6" xfId="38895" xr:uid="{AFC6BCBB-E715-4971-84C6-883DE838C71C}"/>
    <cellStyle name="Comma 2 2 12 2 7" xfId="39872" xr:uid="{4CCBBDF0-9F90-4BA9-AFC0-8ED7E08E53B1}"/>
    <cellStyle name="Comma 2 2 12 2 8" xfId="40514" xr:uid="{DCCE64AE-CDDC-4B0E-B704-98CDFEFBEC4B}"/>
    <cellStyle name="Comma 2 2 12 2 9" xfId="41726" xr:uid="{90E952E5-D474-407D-A708-2D0FDFDAEE8A}"/>
    <cellStyle name="Comma 2 2 12 3" xfId="9721" xr:uid="{D3DAC69C-CC5A-4398-990A-99666CEB8479}"/>
    <cellStyle name="Comma 2 2 12 3 10" xfId="14965" xr:uid="{0C391D69-1A13-4F15-957A-76967728674D}"/>
    <cellStyle name="Comma 2 2 12 3 2" xfId="13027" xr:uid="{921122A0-3077-4BEE-AA52-C5A6EB02630A}"/>
    <cellStyle name="Comma 2 2 12 3 2 2" xfId="49033" xr:uid="{1BA35A11-EEA8-44DB-8FD6-6BFA54BD8F86}"/>
    <cellStyle name="Comma 2 2 12 3 2 3" xfId="51723" xr:uid="{2EF2AD70-7D2D-4F22-9A1C-FD9A25AA1CDD}"/>
    <cellStyle name="Comma 2 2 12 3 2 4" xfId="52092" xr:uid="{B43C050A-E82D-4CE4-8176-D7A6807536AA}"/>
    <cellStyle name="Comma 2 2 12 3 2 5" xfId="39299" xr:uid="{E7A96F8D-5BB6-4A2B-9798-FBC48826618C}"/>
    <cellStyle name="Comma 2 2 12 3 3" xfId="41161" xr:uid="{64DBE557-F33A-4799-8EE7-F02A5A8C109A}"/>
    <cellStyle name="Comma 2 2 12 3 4" xfId="42976" xr:uid="{4A120AA1-AC72-4A32-8ED3-FAD3FAB18A12}"/>
    <cellStyle name="Comma 2 2 12 3 5" xfId="45081" xr:uid="{830570DB-EB61-4357-A52D-C404F95CAE84}"/>
    <cellStyle name="Comma 2 2 12 3 6" xfId="47452" xr:uid="{671344C8-BB17-4831-B2D2-8D52D0813687}"/>
    <cellStyle name="Comma 2 2 12 3 7" xfId="50395" xr:uid="{E9AD9039-B280-4427-A3EA-0CE5434CE26B}"/>
    <cellStyle name="Comma 2 2 12 3 8" xfId="52093" xr:uid="{5DEB8B27-220D-4D9A-96E7-47999253421F}"/>
    <cellStyle name="Comma 2 2 12 3 9" xfId="20605" xr:uid="{A55FCE05-2F86-471E-BB19-93C94E5F494D}"/>
    <cellStyle name="Comma 2 2 12 4" xfId="7217" xr:uid="{11DE4FBA-65D7-4D25-AAF1-1F0421FE6FC6}"/>
    <cellStyle name="Comma 2 2 12 4 2" xfId="48178" xr:uid="{01134577-E663-4DA5-9102-1D52AD8E6DC3}"/>
    <cellStyle name="Comma 2 2 12 4 3" xfId="51005" xr:uid="{FD0ED99A-451B-413C-BB63-89BEEFA6AFA8}"/>
    <cellStyle name="Comma 2 2 12 4 4" xfId="52094" xr:uid="{B578C5F2-8306-4941-A808-09ECF69EDA68}"/>
    <cellStyle name="Comma 2 2 12 4 5" xfId="19952" xr:uid="{DDDF5117-027B-4879-8B4F-1D602728D3A7}"/>
    <cellStyle name="Comma 2 2 12 5" xfId="11742" xr:uid="{B21E82A4-D988-49E2-AC34-14F1C599A41B}"/>
    <cellStyle name="Comma 2 2 12 5 2" xfId="23551" xr:uid="{9F6FDDD7-71AF-495A-980A-58BC7AE36F8B}"/>
    <cellStyle name="Comma 2 2 12 6" xfId="38048" xr:uid="{F6B366A1-5A8E-4DCA-AA7C-CDE95EB1EB7A}"/>
    <cellStyle name="Comma 2 2 12 7" xfId="38708" xr:uid="{464735B7-A9BB-4091-A3F7-70F0982BA74E}"/>
    <cellStyle name="Comma 2 2 12 8" xfId="39871" xr:uid="{7B794167-B765-4B89-B8D3-92F20313D4D7}"/>
    <cellStyle name="Comma 2 2 12 9" xfId="40513" xr:uid="{AAE659FD-6BFA-40A3-905E-CCA94797BD6B}"/>
    <cellStyle name="Comma 2 2 13" xfId="5489" xr:uid="{C94ACEE6-7538-4AAD-B451-9EABEDA95B43}"/>
    <cellStyle name="Comma 2 2 13 10" xfId="42573" xr:uid="{13519FA5-F245-41A6-A979-2B57B9D20B27}"/>
    <cellStyle name="Comma 2 2 13 11" xfId="43778" xr:uid="{F02386C7-2B6A-48A2-86A4-C905B4314C5B}"/>
    <cellStyle name="Comma 2 2 13 12" xfId="44740" xr:uid="{4D9DBD5F-D60B-4908-BD60-CF1DC767D96C}"/>
    <cellStyle name="Comma 2 2 13 13" xfId="46536" xr:uid="{C3827997-1EE3-4E2E-A4E8-8F567F038058}"/>
    <cellStyle name="Comma 2 2 13 14" xfId="49569" xr:uid="{AD1C2AA1-3D99-4581-92BD-76EFF048B968}"/>
    <cellStyle name="Comma 2 2 13 15" xfId="52095" xr:uid="{EBB35FC4-F361-4062-B6A1-235D0EFDAF3A}"/>
    <cellStyle name="Comma 2 2 13 16" xfId="16926" xr:uid="{9CA9E941-9126-4427-B3B1-61B85DBF9592}"/>
    <cellStyle name="Comma 2 2 13 17" xfId="14026" xr:uid="{A83E9647-4FA5-45D6-B4F0-2D87F5845C43}"/>
    <cellStyle name="Comma 2 2 13 2" xfId="7591" xr:uid="{4E8BF0B9-B9E3-493C-8694-586E62170E08}"/>
    <cellStyle name="Comma 2 2 13 2 10" xfId="14518" xr:uid="{D0252BFB-8070-4722-AD8E-39E419AE19C2}"/>
    <cellStyle name="Comma 2 2 13 2 2" xfId="10083" xr:uid="{549346B6-4DE0-4226-ACB8-1A34DD9F72E1}"/>
    <cellStyle name="Comma 2 2 13 2 2 2" xfId="13389" xr:uid="{57AAD8DA-0269-46AE-A7B7-85B5E0164AAB}"/>
    <cellStyle name="Comma 2 2 13 2 2 2 2" xfId="48596" xr:uid="{E7892773-06E9-4399-AF44-3C3008C287E6}"/>
    <cellStyle name="Comma 2 2 13 2 2 3" xfId="51359" xr:uid="{DEC77CC5-9EA1-4DFB-8FF1-F664EC7C233C}"/>
    <cellStyle name="Comma 2 2 13 2 2 4" xfId="52096" xr:uid="{AB607BCC-561C-4614-B602-1EB5B5A8BF74}"/>
    <cellStyle name="Comma 2 2 13 2 2 5" xfId="39487" xr:uid="{948864AA-FB1A-49B1-90C6-CE6051C1D684}"/>
    <cellStyle name="Comma 2 2 13 2 3" xfId="12104" xr:uid="{048D1424-28AA-4432-926F-7CC27E07D1E2}"/>
    <cellStyle name="Comma 2 2 13 2 3 2" xfId="41341" xr:uid="{F31299F9-5648-4069-9E1B-DB2E78C481FC}"/>
    <cellStyle name="Comma 2 2 13 2 4" xfId="43164" xr:uid="{625A2B0B-9FEE-4F89-8ADF-3E20453F9F52}"/>
    <cellStyle name="Comma 2 2 13 2 5" xfId="45261" xr:uid="{8B3405AB-099A-44BD-96AE-5CD3D45110F0}"/>
    <cellStyle name="Comma 2 2 13 2 6" xfId="47030" xr:uid="{8403775E-30D9-4A9B-8DCE-D66EF4775DD9}"/>
    <cellStyle name="Comma 2 2 13 2 7" xfId="50031" xr:uid="{A2696DA6-46F4-4055-A8FD-1D8E6CC8FC46}"/>
    <cellStyle name="Comma 2 2 13 2 8" xfId="52097" xr:uid="{2D813EB9-35C1-41CE-A680-63363061DC2A}"/>
    <cellStyle name="Comma 2 2 13 2 9" xfId="20921" xr:uid="{38164BA2-6499-4B37-A76F-98A412821985}"/>
    <cellStyle name="Comma 2 2 13 3" xfId="9589" xr:uid="{C462BDB2-031A-41C6-8A1E-2C956C7CC89F}"/>
    <cellStyle name="Comma 2 2 13 3 2" xfId="12895" xr:uid="{1B3D1FF4-FCC2-455F-8842-588213C4ADA7}"/>
    <cellStyle name="Comma 2 2 13 3 2 2" xfId="51615" xr:uid="{601F37CB-287A-4DB8-AE9B-E9F12B24639E}"/>
    <cellStyle name="Comma 2 2 13 3 2 3" xfId="52098" xr:uid="{B8C44E24-08B7-41F6-9337-B5D7DFB41831}"/>
    <cellStyle name="Comma 2 2 13 3 2 4" xfId="48903" xr:uid="{C967CA63-A14C-4A37-8860-7E3B81A43C95}"/>
    <cellStyle name="Comma 2 2 13 3 3" xfId="47327" xr:uid="{E912614D-EF2F-47D1-BD82-59CE7317B9B9}"/>
    <cellStyle name="Comma 2 2 13 3 4" xfId="50287" xr:uid="{EFD0CDE7-4955-4692-ACE2-F2439AF7B7BB}"/>
    <cellStyle name="Comma 2 2 13 3 5" xfId="52099" xr:uid="{907FA436-B608-45FA-B604-AA01DEC25891}"/>
    <cellStyle name="Comma 2 2 13 3 6" xfId="20140" xr:uid="{BFB4A61C-0B25-44CC-9D02-F52035EBF290}"/>
    <cellStyle name="Comma 2 2 13 4" xfId="7085" xr:uid="{E201B006-A5FC-416E-ADB9-A94C6A9D364C}"/>
    <cellStyle name="Comma 2 2 13 4 2" xfId="48048" xr:uid="{B214C9CB-8F09-443B-B60D-3BACB3E6606E}"/>
    <cellStyle name="Comma 2 2 13 4 3" xfId="50897" xr:uid="{DB4966F8-A913-452C-BBDA-5F47E033B9F3}"/>
    <cellStyle name="Comma 2 2 13 4 4" xfId="52100" xr:uid="{7A3D71D9-6381-420C-B7B7-A32041EF1F19}"/>
    <cellStyle name="Comma 2 2 13 4 5" xfId="23553" xr:uid="{68AB9DD0-1FB9-4073-B42F-AE314C6D3D9B}"/>
    <cellStyle name="Comma 2 2 13 5" xfId="11610" xr:uid="{82D15B43-C821-45CC-BE4C-64B41011B78B}"/>
    <cellStyle name="Comma 2 2 13 5 2" xfId="38050" xr:uid="{E8A2A866-6260-4341-AA69-EE716490BD68}"/>
    <cellStyle name="Comma 2 2 13 6" xfId="38896" xr:uid="{C48A6B40-ECE1-4EB1-8DA4-81C769987048}"/>
    <cellStyle name="Comma 2 2 13 7" xfId="39873" xr:uid="{E1841DBF-3043-4A8B-8B55-C04FE423C87B}"/>
    <cellStyle name="Comma 2 2 13 8" xfId="40515" xr:uid="{366026A6-D8F3-4E57-9EC5-069500265915}"/>
    <cellStyle name="Comma 2 2 13 9" xfId="41727" xr:uid="{809458A2-1F90-4E8E-9FCF-9AEF8DD2E369}"/>
    <cellStyle name="Comma 2 2 14" xfId="5946" xr:uid="{94090438-D5B8-4365-A23C-F88B181672E7}"/>
    <cellStyle name="Comma 2 2 14 10" xfId="42568" xr:uid="{29CF38D6-686B-482E-93BD-8113E98ADA81}"/>
    <cellStyle name="Comma 2 2 14 11" xfId="44735" xr:uid="{2B8369E9-0845-47A9-BF6F-F95AA9FE672A}"/>
    <cellStyle name="Comma 2 2 14 12" xfId="45800" xr:uid="{CF7D7FB0-AFA3-425D-B3B0-8E118987E271}"/>
    <cellStyle name="Comma 2 2 14 13" xfId="49422" xr:uid="{C73D1586-33C4-4B54-91E4-A6D5758F8956}"/>
    <cellStyle name="Comma 2 2 14 14" xfId="52101" xr:uid="{394E93D3-1DCA-403E-B799-20B8824E7C1A}"/>
    <cellStyle name="Comma 2 2 14 15" xfId="16921" xr:uid="{6575683E-E65D-46D3-8B43-C19B8A24E2FB}"/>
    <cellStyle name="Comma 2 2 14 16" xfId="14336" xr:uid="{7B4C90B1-7E4E-40B2-8D3B-84000A8773E6}"/>
    <cellStyle name="Comma 2 2 14 2" xfId="9404" xr:uid="{A63F8FEF-B445-4D52-9F9C-30008C263F58}"/>
    <cellStyle name="Comma 2 2 14 2 2" xfId="12710" xr:uid="{5A59CF8F-463E-4E7A-8A26-9EC89F95900B}"/>
    <cellStyle name="Comma 2 2 14 2 2 2" xfId="39482" xr:uid="{8B92620A-D166-48E0-B611-2DB12D21E7B5}"/>
    <cellStyle name="Comma 2 2 14 2 3" xfId="41336" xr:uid="{B0214215-0ABA-4C50-8853-2A756C9C1CB3}"/>
    <cellStyle name="Comma 2 2 14 2 4" xfId="43159" xr:uid="{30D5A960-3D47-477B-9AFB-1CDCB9EACB1E}"/>
    <cellStyle name="Comma 2 2 14 2 5" xfId="45256" xr:uid="{AD01274E-6CCF-44FF-8198-07B74CA77AD0}"/>
    <cellStyle name="Comma 2 2 14 2 6" xfId="47873" xr:uid="{2C2F5227-E1C9-4591-B2F5-D262FEBBC746}"/>
    <cellStyle name="Comma 2 2 14 2 7" xfId="50750" xr:uid="{DE557B2B-9370-4EBB-BBA2-6E2ADA1727CF}"/>
    <cellStyle name="Comma 2 2 14 2 8" xfId="52102" xr:uid="{6111C953-408F-4AF1-906A-A13C08F2AD67}"/>
    <cellStyle name="Comma 2 2 14 2 9" xfId="20916" xr:uid="{7286C308-C752-42BA-9288-CBBFFC5FBA6A}"/>
    <cellStyle name="Comma 2 2 14 3" xfId="11425" xr:uid="{9D243186-F933-4DD8-B8B5-081B1FBB2ABB}"/>
    <cellStyle name="Comma 2 2 14 3 2" xfId="20135" xr:uid="{80A40AD9-970B-4078-8BC5-A7B116F55ED5}"/>
    <cellStyle name="Comma 2 2 14 4" xfId="23554" xr:uid="{3CE7C258-1440-438C-86C2-BAEAB96F7929}"/>
    <cellStyle name="Comma 2 2 14 5" xfId="38051" xr:uid="{34EE29B5-87CA-46B5-A66E-88002505CBEA}"/>
    <cellStyle name="Comma 2 2 14 6" xfId="38891" xr:uid="{21D42C29-07AA-4EEC-AD48-2622699FB2C8}"/>
    <cellStyle name="Comma 2 2 14 7" xfId="39874" xr:uid="{D8B8F8FD-1487-473A-B742-81112AF8FC17}"/>
    <cellStyle name="Comma 2 2 14 8" xfId="40516" xr:uid="{243A0C62-2AFD-400E-91FF-19EA7C041F06}"/>
    <cellStyle name="Comma 2 2 14 9" xfId="41728" xr:uid="{8ECB34B9-9CF5-4DD8-BDEF-4ABADFA11F1D}"/>
    <cellStyle name="Comma 2 2 15" xfId="7409" xr:uid="{FD3911F7-3756-40D4-8DC6-2BB5F651B4F0}"/>
    <cellStyle name="Comma 2 2 15 10" xfId="42810" xr:uid="{4AAB5A5F-987C-44A7-B3AF-B74D35172D53}"/>
    <cellStyle name="Comma 2 2 15 11" xfId="44937" xr:uid="{7EB1725F-ED0A-4E8A-AA50-C2468CF66160}"/>
    <cellStyle name="Comma 2 2 15 12" xfId="46801" xr:uid="{C2796911-C919-4CE6-B0D9-024F2628520A}"/>
    <cellStyle name="Comma 2 2 15 13" xfId="49825" xr:uid="{9B62B4A7-9D1B-46A1-948C-F32B43D2BC5A}"/>
    <cellStyle name="Comma 2 2 15 14" xfId="52103" xr:uid="{20B3AC5D-3845-4ABD-81DD-649D5C6DDDD4}"/>
    <cellStyle name="Comma 2 2 15 15" xfId="19716" xr:uid="{04673598-A03B-41C3-BDD3-828125E612D3}"/>
    <cellStyle name="Comma 2 2 15 16" xfId="14833" xr:uid="{6158D685-8B58-436E-B54A-9996E2FE37B0}"/>
    <cellStyle name="Comma 2 2 15 2" xfId="9901" xr:uid="{3CF1089A-067D-4E01-AF72-039C30DE5F8F}"/>
    <cellStyle name="Comma 2 2 15 2 2" xfId="13207" xr:uid="{581FA4AB-B122-4E35-AC60-114CB07CE230}"/>
    <cellStyle name="Comma 2 2 15 2 2 2" xfId="39724" xr:uid="{D6558413-C436-43C0-B947-1283A08C1793}"/>
    <cellStyle name="Comma 2 2 15 2 3" xfId="41577" xr:uid="{F293E3E3-6622-4FA3-8FB4-123459179790}"/>
    <cellStyle name="Comma 2 2 15 2 4" xfId="43401" xr:uid="{3930C8BA-69F3-4871-9876-7AB0847C8CAE}"/>
    <cellStyle name="Comma 2 2 15 2 5" xfId="45480" xr:uid="{E4FCBA4C-A31D-4D3E-9069-A3C8AB98F01E}"/>
    <cellStyle name="Comma 2 2 15 2 6" xfId="48352" xr:uid="{7E37E2EB-3229-4070-A602-9D4BB780DEF2}"/>
    <cellStyle name="Comma 2 2 15 2 7" xfId="51153" xr:uid="{E85A9410-E2B9-4C92-84C9-A43E9ECC2C9C}"/>
    <cellStyle name="Comma 2 2 15 2 8" xfId="52104" xr:uid="{F3BAFFB5-75C8-4995-AC77-A8A5EC85AE45}"/>
    <cellStyle name="Comma 2 2 15 2 9" xfId="23333" xr:uid="{2BB9B22D-E24E-4E02-ACE9-46B28AF3CCF7}"/>
    <cellStyle name="Comma 2 2 15 3" xfId="11922" xr:uid="{374E1500-4E50-4345-80EE-D8CF55EFD267}"/>
    <cellStyle name="Comma 2 2 15 3 2" xfId="20377" xr:uid="{44EF7210-2F58-413C-98F4-88879E3E44EA}"/>
    <cellStyle name="Comma 2 2 15 4" xfId="23555" xr:uid="{0454CB48-68D3-438C-9C39-EAFF80992B33}"/>
    <cellStyle name="Comma 2 2 15 5" xfId="38052" xr:uid="{4D94B46E-1926-4E34-A225-3111970F36B8}"/>
    <cellStyle name="Comma 2 2 15 6" xfId="39133" xr:uid="{0DFE9EFE-CB62-4871-8E96-EE36A78167F9}"/>
    <cellStyle name="Comma 2 2 15 7" xfId="39875" xr:uid="{AF5AE007-5F7E-42F0-9490-C8EE7F4BE29B}"/>
    <cellStyle name="Comma 2 2 15 8" xfId="40517" xr:uid="{B3BD5303-B895-4CCA-B741-A74A0D228CB4}"/>
    <cellStyle name="Comma 2 2 15 9" xfId="41729" xr:uid="{E586B927-B1CB-4DFB-ACB1-083987B53446}"/>
    <cellStyle name="Comma 2 2 16" xfId="8119" xr:uid="{5CCF50E0-9620-4A64-A578-B681679E39E4}"/>
    <cellStyle name="Comma 2 2 16 10" xfId="42873" xr:uid="{C233C48E-70E5-4912-B3D9-B3BAA3A24CF8}"/>
    <cellStyle name="Comma 2 2 16 11" xfId="44980" xr:uid="{AF7FC370-51E1-4419-A7EB-570B85DAF701}"/>
    <cellStyle name="Comma 2 2 16 12" xfId="47159" xr:uid="{75CE26DF-8B8F-4710-8C26-7DB10F3BCB46}"/>
    <cellStyle name="Comma 2 2 16 13" xfId="50140" xr:uid="{51DF1981-32C3-491B-B33B-2E2CE863E264}"/>
    <cellStyle name="Comma 2 2 16 14" xfId="52105" xr:uid="{0EF7505C-EAC5-4398-A247-AEE478AC4B40}"/>
    <cellStyle name="Comma 2 2 16 15" xfId="19811" xr:uid="{077C89C2-6EE8-47E7-AE38-7DB76BE62840}"/>
    <cellStyle name="Comma 2 2 16 2" xfId="12575" xr:uid="{3F2DDD1D-80FF-4B17-AB2C-C877719C843F}"/>
    <cellStyle name="Comma 2 2 16 2 2" xfId="39787" xr:uid="{983A151A-734E-4351-B165-90363077FF99}"/>
    <cellStyle name="Comma 2 2 16 2 3" xfId="41640" xr:uid="{D51A3015-19D9-4778-A852-A25C7186836B}"/>
    <cellStyle name="Comma 2 2 16 2 4" xfId="43464" xr:uid="{BABF2C51-1286-4501-BADF-6B894071DD7A}"/>
    <cellStyle name="Comma 2 2 16 2 5" xfId="45537" xr:uid="{75193B45-8DCF-412E-A63A-BC45FBE70B9A}"/>
    <cellStyle name="Comma 2 2 16 2 6" xfId="48724" xr:uid="{0957E2C1-3F96-4ED1-97A0-E4ACD94BA955}"/>
    <cellStyle name="Comma 2 2 16 2 7" xfId="51468" xr:uid="{564175D3-848B-4174-A321-FBCD673552AD}"/>
    <cellStyle name="Comma 2 2 16 2 8" xfId="52106" xr:uid="{24BF725A-AD2A-44BF-A803-5B97917CA0A8}"/>
    <cellStyle name="Comma 2 2 16 2 9" xfId="23424" xr:uid="{4CEA5491-64A7-4332-B3CB-D57316D3DB23}"/>
    <cellStyle name="Comma 2 2 16 3" xfId="20441" xr:uid="{805F653B-409A-4208-99D5-CDD9DC2E86EC}"/>
    <cellStyle name="Comma 2 2 16 4" xfId="23556" xr:uid="{A7094DBA-63E5-41A8-9EC4-10DDC573B9D7}"/>
    <cellStyle name="Comma 2 2 16 5" xfId="38053" xr:uid="{52302C44-3420-4A58-A64A-5AC3652BF106}"/>
    <cellStyle name="Comma 2 2 16 6" xfId="39196" xr:uid="{8270C410-8276-47A6-AFAB-0325D3DAE430}"/>
    <cellStyle name="Comma 2 2 16 7" xfId="39876" xr:uid="{2986C8CF-0414-4DA2-9659-63B7B5E9A73A}"/>
    <cellStyle name="Comma 2 2 16 8" xfId="40518" xr:uid="{CB9C14A1-1148-4389-8A5B-5941197AC8ED}"/>
    <cellStyle name="Comma 2 2 16 9" xfId="41730" xr:uid="{4D38C326-8A7A-4CD8-A807-84689E3CF349}"/>
    <cellStyle name="Comma 2 2 17" xfId="8109" xr:uid="{D2473DFE-E08F-4A62-8F2F-D69D95AB774C}"/>
    <cellStyle name="Comma 2 2 17 2" xfId="12565" xr:uid="{F34C49DD-16C2-42CA-865D-B12AFEB3B294}"/>
    <cellStyle name="Comma 2 2 17 2 2" xfId="39208" xr:uid="{E39165C8-0588-48ED-8D69-CCB360B84C2B}"/>
    <cellStyle name="Comma 2 2 17 3" xfId="41083" xr:uid="{6AFEE545-A82D-4E39-94E7-E7B84D45E78C}"/>
    <cellStyle name="Comma 2 2 17 4" xfId="42885" xr:uid="{57957540-98E0-4B94-8B83-63D3C3EA9845}"/>
    <cellStyle name="Comma 2 2 17 5" xfId="44992" xr:uid="{BE6ABB14-B3CB-4594-8D08-A6CE61DAFA8E}"/>
    <cellStyle name="Comma 2 2 17 6" xfId="47622" xr:uid="{44E2EE77-4855-4D53-8A08-0E81FE8BF1D5}"/>
    <cellStyle name="Comma 2 2 17 7" xfId="50535" xr:uid="{768ADB67-48C3-488C-8C6C-9EB7F3557536}"/>
    <cellStyle name="Comma 2 2 17 8" xfId="52107" xr:uid="{8EAF2983-9ACF-4C2B-A95F-0702B7E43897}"/>
    <cellStyle name="Comma 2 2 17 9" xfId="20453" xr:uid="{6CAA1DD6-9755-4DB2-AC3A-420DBA770726}"/>
    <cellStyle name="Comma 2 2 18" xfId="7906" xr:uid="{09C98F11-D8BE-437D-A393-A2FE636EE111}"/>
    <cellStyle name="Comma 2 2 18 2" xfId="12419" xr:uid="{307D5135-744C-4A90-9B0E-C696D216B1EC}"/>
    <cellStyle name="Comma 2 2 18 3" xfId="19859" xr:uid="{8B66D4CF-00A9-4E74-93B8-F912DB207B19}"/>
    <cellStyle name="Comma 2 2 19" xfId="11267" xr:uid="{33EC74CF-9941-463A-9636-AF3AFE65F122}"/>
    <cellStyle name="Comma 2 2 19 2" xfId="13826" xr:uid="{E894C549-9A7A-4345-823F-F097A676070E}"/>
    <cellStyle name="Comma 2 2 19 3" xfId="23544" xr:uid="{E38FDE66-AD3D-47E4-BE2C-FC62D224105D}"/>
    <cellStyle name="Comma 2 2 2" xfId="1734" xr:uid="{189F327F-C135-4B38-85CD-716D50E51685}"/>
    <cellStyle name="Comma 2 2 2 10" xfId="8121" xr:uid="{2F99B904-5D30-40D6-8D53-C6B05C0A51DF}"/>
    <cellStyle name="Comma 2 2 2 10 10" xfId="42874" xr:uid="{DF74D280-79E1-476B-AE48-F81E5796EE0E}"/>
    <cellStyle name="Comma 2 2 2 10 11" xfId="44981" xr:uid="{4A0CDF9E-FF48-4695-BD72-D5488DDE9CDF}"/>
    <cellStyle name="Comma 2 2 2 10 12" xfId="47160" xr:uid="{53968130-5D52-4BA9-95B2-8F94662E41D0}"/>
    <cellStyle name="Comma 2 2 2 10 13" xfId="50141" xr:uid="{05D5092A-DEAB-46F3-83DE-9C934F6BCD5C}"/>
    <cellStyle name="Comma 2 2 2 10 14" xfId="52108" xr:uid="{9420D8EA-EABC-4B2C-BE70-409F45AB0B87}"/>
    <cellStyle name="Comma 2 2 2 10 15" xfId="19812" xr:uid="{B48FCEF5-0608-4AC6-B8C5-6337F7F03156}"/>
    <cellStyle name="Comma 2 2 2 10 2" xfId="12577" xr:uid="{E6732A68-B163-46F8-B30D-17CDBAC7E7E8}"/>
    <cellStyle name="Comma 2 2 2 10 2 2" xfId="39788" xr:uid="{62CAB8DD-1DE5-451C-9EC7-333ACEBD7471}"/>
    <cellStyle name="Comma 2 2 2 10 2 3" xfId="41641" xr:uid="{665EF25A-4AA3-4687-912E-A02C02206B1B}"/>
    <cellStyle name="Comma 2 2 2 10 2 4" xfId="43465" xr:uid="{82DB477F-741E-4A32-B0E2-CCE3B7AFE700}"/>
    <cellStyle name="Comma 2 2 2 10 2 5" xfId="45538" xr:uid="{F4A488A4-7D6B-4B9B-B40E-38D3D39FB653}"/>
    <cellStyle name="Comma 2 2 2 10 2 6" xfId="48725" xr:uid="{5694FAF2-89A2-48BC-AB03-395FD98F47CB}"/>
    <cellStyle name="Comma 2 2 2 10 2 7" xfId="51469" xr:uid="{FBBB89FA-B001-4D77-B38D-E19CF5F379D0}"/>
    <cellStyle name="Comma 2 2 2 10 2 8" xfId="52109" xr:uid="{DADA694F-7925-48DB-BED0-DB74F361F191}"/>
    <cellStyle name="Comma 2 2 2 10 2 9" xfId="23425" xr:uid="{D5CB9709-7841-4E62-AD28-9C84BB564AE3}"/>
    <cellStyle name="Comma 2 2 2 10 3" xfId="20442" xr:uid="{E8ECF7D3-780F-41AA-847E-4000E4C4D483}"/>
    <cellStyle name="Comma 2 2 2 10 4" xfId="23558" xr:uid="{2D2EB8C8-7CA0-471D-9D04-E13ED6E19BB4}"/>
    <cellStyle name="Comma 2 2 2 10 5" xfId="38055" xr:uid="{DBDA86F7-65AA-47FE-8298-B0A1C7E6A290}"/>
    <cellStyle name="Comma 2 2 2 10 6" xfId="39197" xr:uid="{F5DA77BA-B516-42A6-A8D9-07E94D4986AC}"/>
    <cellStyle name="Comma 2 2 2 10 7" xfId="39878" xr:uid="{43E65337-51D5-421F-95C5-BD2C69F4F97B}"/>
    <cellStyle name="Comma 2 2 2 10 8" xfId="40520" xr:uid="{7C1BEFC4-B134-4D27-A9D9-44F2B554906D}"/>
    <cellStyle name="Comma 2 2 2 10 9" xfId="41732" xr:uid="{FDC4301E-AFF6-4470-991F-CF8B48CB70F2}"/>
    <cellStyle name="Comma 2 2 2 11" xfId="8108" xr:uid="{7967D2F3-CC35-4218-9935-5FDFD01938BD}"/>
    <cellStyle name="Comma 2 2 2 11 2" xfId="12564" xr:uid="{55BA4D56-FA75-429F-B160-FFCD77D0F6FC}"/>
    <cellStyle name="Comma 2 2 2 11 2 2" xfId="39209" xr:uid="{7E6340E7-5B9E-4852-9838-E3491DD94D06}"/>
    <cellStyle name="Comma 2 2 2 11 3" xfId="41084" xr:uid="{BF21DED7-D921-4B93-ABFC-76E430151446}"/>
    <cellStyle name="Comma 2 2 2 11 4" xfId="42886" xr:uid="{C55D0589-29AC-45D2-B704-6AC817490C38}"/>
    <cellStyle name="Comma 2 2 2 11 5" xfId="44993" xr:uid="{2E42E447-CF0F-44E9-8AD6-A51D1AC4EDB3}"/>
    <cellStyle name="Comma 2 2 2 11 6" xfId="47623" xr:uid="{78056639-DC4C-4BCD-ABEC-1994168187D0}"/>
    <cellStyle name="Comma 2 2 2 11 7" xfId="50536" xr:uid="{A245E8C6-DD52-40D3-AC78-DE35AF3E04AE}"/>
    <cellStyle name="Comma 2 2 2 11 8" xfId="52110" xr:uid="{EAF07029-EC9D-42DB-BE67-7029C830D3B3}"/>
    <cellStyle name="Comma 2 2 2 11 9" xfId="20454" xr:uid="{05A2B0C9-31C9-4DE2-AF5A-0442BA33E8C5}"/>
    <cellStyle name="Comma 2 2 2 12" xfId="7908" xr:uid="{026C3AB8-09BA-49C5-B0E1-F9354CF5B7B7}"/>
    <cellStyle name="Comma 2 2 2 12 2" xfId="12421" xr:uid="{026DC3FE-D4EE-4BC5-9B75-123FCD7D3817}"/>
    <cellStyle name="Comma 2 2 2 12 3" xfId="19860" xr:uid="{DB8DAD0F-05BF-4BD5-B36B-690D9CDC4C19}"/>
    <cellStyle name="Comma 2 2 2 13" xfId="11268" xr:uid="{4D81ADDB-25E5-4C1B-AA22-85AC240C7D67}"/>
    <cellStyle name="Comma 2 2 2 13 2" xfId="13827" xr:uid="{06066339-8565-4036-AEFB-590551A10C1E}"/>
    <cellStyle name="Comma 2 2 2 13 3" xfId="23557" xr:uid="{577FE14F-868E-492F-9B48-98FED02EF22C}"/>
    <cellStyle name="Comma 2 2 2 14" xfId="5805" xr:uid="{F63B6ED1-761A-43D4-8C23-DE783EEBACFA}"/>
    <cellStyle name="Comma 2 2 2 14 2" xfId="38054" xr:uid="{C038239C-EBF1-4A34-899D-10628AE73412}"/>
    <cellStyle name="Comma 2 2 2 15" xfId="11293" xr:uid="{B76B74CF-6377-44D0-9B09-145015AA6658}"/>
    <cellStyle name="Comma 2 2 2 15 2" xfId="38618" xr:uid="{B5DF6AF0-F319-4943-A546-151A18900F14}"/>
    <cellStyle name="Comma 2 2 2 16" xfId="39877" xr:uid="{53E5BA7E-F73E-4AD1-A48F-6C6C683EA4C8}"/>
    <cellStyle name="Comma 2 2 2 17" xfId="40519" xr:uid="{90AFAABF-155E-4530-9D17-11718B00BF08}"/>
    <cellStyle name="Comma 2 2 2 18" xfId="41731" xr:uid="{1BDB718F-072C-4532-BE15-B48BC4FB6E9F}"/>
    <cellStyle name="Comma 2 2 2 19" xfId="42295" xr:uid="{12907CD5-EA80-4311-A14D-9174F5DE833E}"/>
    <cellStyle name="Comma 2 2 2 2" xfId="1735" xr:uid="{72ECAB27-2CCA-47BB-A60E-4B86A5D15F52}"/>
    <cellStyle name="Comma 2 2 2 2 10" xfId="11294" xr:uid="{38A6DD40-FCDC-4C05-906C-E23E7F8FD53E}"/>
    <cellStyle name="Comma 2 2 2 2 10 2" xfId="19861" xr:uid="{483BA057-5967-46EB-A0C0-11D9255FB9B0}"/>
    <cellStyle name="Comma 2 2 2 2 11" xfId="23559" xr:uid="{7174A1F8-E560-4C59-AA75-4C055FD55ECC}"/>
    <cellStyle name="Comma 2 2 2 2 12" xfId="38056" xr:uid="{12AE07A2-E7E2-4CB4-A526-A75FB38BD790}"/>
    <cellStyle name="Comma 2 2 2 2 13" xfId="38619" xr:uid="{E6870743-E659-4D2E-9BA9-C4BC326926E2}"/>
    <cellStyle name="Comma 2 2 2 2 14" xfId="39879" xr:uid="{DE781350-08E6-4BD5-B4DE-9EF68FEA8E35}"/>
    <cellStyle name="Comma 2 2 2 2 15" xfId="40521" xr:uid="{13EBD133-8423-4817-ACA9-D1DD05ECF432}"/>
    <cellStyle name="Comma 2 2 2 2 16" xfId="41733" xr:uid="{C06C86B0-E548-4BD8-894C-87C8B525E8DB}"/>
    <cellStyle name="Comma 2 2 2 2 17" xfId="42296" xr:uid="{4E55905B-7BC6-46C0-A326-D46B686F5987}"/>
    <cellStyle name="Comma 2 2 2 2 18" xfId="43508" xr:uid="{20AD574F-89BB-4130-8EA9-744E12D8EC1B}"/>
    <cellStyle name="Comma 2 2 2 2 19" xfId="44371" xr:uid="{C49408C1-4D2A-45B8-BBD2-CBBA574F4A25}"/>
    <cellStyle name="Comma 2 2 2 2 2" xfId="1736" xr:uid="{E2FA6CE8-4F61-4BBC-AC63-B80052BC70D6}"/>
    <cellStyle name="Comma 2 2 2 2 2 10" xfId="38057" xr:uid="{F0CCF78F-907A-4A06-A5B4-62D2C90B1AF0}"/>
    <cellStyle name="Comma 2 2 2 2 2 11" xfId="38620" xr:uid="{B2682D39-FF68-477D-AC1C-C7301B9D02C7}"/>
    <cellStyle name="Comma 2 2 2 2 2 12" xfId="39880" xr:uid="{F0E91BD8-91C1-412E-80D9-F7EC6B4613B6}"/>
    <cellStyle name="Comma 2 2 2 2 2 13" xfId="40522" xr:uid="{FEC7A6B9-079F-4D2D-9025-8A2D16BEDECC}"/>
    <cellStyle name="Comma 2 2 2 2 2 14" xfId="41734" xr:uid="{10C883F5-52BB-474C-8805-EBA678B5D458}"/>
    <cellStyle name="Comma 2 2 2 2 2 15" xfId="42297" xr:uid="{A2995DD6-14E3-438F-B477-2FF7FC37E2EA}"/>
    <cellStyle name="Comma 2 2 2 2 2 16" xfId="43509" xr:uid="{7F7F1EBB-1851-4279-BE09-4D349ECE8112}"/>
    <cellStyle name="Comma 2 2 2 2 2 17" xfId="44372" xr:uid="{7EFD3DD9-9511-4BEF-A79A-E548DC02270F}"/>
    <cellStyle name="Comma 2 2 2 2 2 18" xfId="45613" xr:uid="{DA49D16A-48EF-465B-9C27-49435B625BD5}"/>
    <cellStyle name="Comma 2 2 2 2 2 19" xfId="49242" xr:uid="{63BED5F1-3CAD-419D-844E-AE4906F124FD}"/>
    <cellStyle name="Comma 2 2 2 2 2 2" xfId="4412" xr:uid="{8D4864F8-C77C-40F3-B427-B0284A4673DE}"/>
    <cellStyle name="Comma 2 2 2 2 2 2 10" xfId="40523" xr:uid="{C8FD9878-9328-4A38-A4AD-E950917EE116}"/>
    <cellStyle name="Comma 2 2 2 2 2 2 11" xfId="41735" xr:uid="{5E41DEC1-CC13-4915-A531-161399C822B2}"/>
    <cellStyle name="Comma 2 2 2 2 2 2 12" xfId="42335" xr:uid="{68103FC8-2E93-4166-B17E-E1AB872C2490}"/>
    <cellStyle name="Comma 2 2 2 2 2 2 13" xfId="44213" xr:uid="{6194F4C9-1E09-449C-92D4-BC8520EBFF6D}"/>
    <cellStyle name="Comma 2 2 2 2 2 2 14" xfId="44513" xr:uid="{6DCDBBE6-F792-4200-A5AD-7E0D36228DC2}"/>
    <cellStyle name="Comma 2 2 2 2 2 2 15" xfId="45687" xr:uid="{D3E54FC8-0727-4580-94AB-FB971FF9DE93}"/>
    <cellStyle name="Comma 2 2 2 2 2 2 16" xfId="49315" xr:uid="{B0A7905C-5EEE-4597-B7C2-C0CC2152B8AE}"/>
    <cellStyle name="Comma 2 2 2 2 2 2 17" xfId="52111" xr:uid="{00C82FB3-BAB9-462F-8F80-D32C160BB6A2}"/>
    <cellStyle name="Comma 2 2 2 2 2 2 18" xfId="15301" xr:uid="{61827CCD-1DA8-4254-A9EE-72B149F5F3F4}"/>
    <cellStyle name="Comma 2 2 2 2 2 2 19" xfId="14206" xr:uid="{EA9B2872-E4A4-4321-B7FA-4224E8CA0122}"/>
    <cellStyle name="Comma 2 2 2 2 2 2 2" xfId="5669" xr:uid="{712F453B-EC06-495E-BDE6-CB959979B8A9}"/>
    <cellStyle name="Comma 2 2 2 2 2 2 2 10" xfId="41736" xr:uid="{5E34A58C-EB48-4927-9C91-CB1EC3FFEBC3}"/>
    <cellStyle name="Comma 2 2 2 2 2 2 2 11" xfId="42487" xr:uid="{1C09C849-D77C-441E-AE52-9F3D109B1AF9}"/>
    <cellStyle name="Comma 2 2 2 2 2 2 2 12" xfId="44673" xr:uid="{0D4DDB45-C47B-40CA-A899-CEB9D2EC7A1E}"/>
    <cellStyle name="Comma 2 2 2 2 2 2 2 13" xfId="46681" xr:uid="{74114A69-9586-455F-BBC2-0A22F16F7D7B}"/>
    <cellStyle name="Comma 2 2 2 2 2 2 2 14" xfId="49713" xr:uid="{D1DC21A5-E12B-4861-9A9F-28EDD8553CA7}"/>
    <cellStyle name="Comma 2 2 2 2 2 2 2 15" xfId="52112" xr:uid="{D37A7FAF-33DA-4D38-98C9-42D6A6FA2FEC}"/>
    <cellStyle name="Comma 2 2 2 2 2 2 2 16" xfId="16750" xr:uid="{980D1A15-4782-4E96-93BA-DD45E1D274F5}"/>
    <cellStyle name="Comma 2 2 2 2 2 2 2 17" xfId="14698" xr:uid="{FAA50172-B6CD-4BDA-98C7-DD643E673FF3}"/>
    <cellStyle name="Comma 2 2 2 2 2 2 2 2" xfId="10263" xr:uid="{CD0DD18A-FD21-4817-825C-48521855E778}"/>
    <cellStyle name="Comma 2 2 2 2 2 2 2 2 10" xfId="42578" xr:uid="{23215E5E-A4F1-458E-BAB5-9DC5AE2A6AD5}"/>
    <cellStyle name="Comma 2 2 2 2 2 2 2 2 11" xfId="44745" xr:uid="{B8700EE6-C81E-4D42-A41A-625BE5603F20}"/>
    <cellStyle name="Comma 2 2 2 2 2 2 2 2 12" xfId="48223" xr:uid="{997A8E04-0A04-4A59-90BF-01308B57AE12}"/>
    <cellStyle name="Comma 2 2 2 2 2 2 2 2 13" xfId="51041" xr:uid="{79593051-5729-493F-B844-47BBDD52D7F7}"/>
    <cellStyle name="Comma 2 2 2 2 2 2 2 2 14" xfId="52113" xr:uid="{90A067C6-8DAB-4E69-931C-88A42E551A16}"/>
    <cellStyle name="Comma 2 2 2 2 2 2 2 2 15" xfId="16931" xr:uid="{7840F42C-FC17-4F61-B75C-2689DC9A5F67}"/>
    <cellStyle name="Comma 2 2 2 2 2 2 2 2 2" xfId="13569" xr:uid="{90B74AC4-D81F-46D2-9840-867B71D77CF8}"/>
    <cellStyle name="Comma 2 2 2 2 2 2 2 2 2 2" xfId="39492" xr:uid="{1E1095C8-1FAF-46FF-B9A6-F91687C9B227}"/>
    <cellStyle name="Comma 2 2 2 2 2 2 2 2 2 3" xfId="41346" xr:uid="{B33C8F04-08F1-4D4C-9ABC-DC52120C4D7F}"/>
    <cellStyle name="Comma 2 2 2 2 2 2 2 2 2 4" xfId="43169" xr:uid="{6DA71348-040F-413E-B8BB-E5FB18003D37}"/>
    <cellStyle name="Comma 2 2 2 2 2 2 2 2 2 5" xfId="45266" xr:uid="{7DE61556-FFEB-4971-8997-F573FCB72C1C}"/>
    <cellStyle name="Comma 2 2 2 2 2 2 2 2 2 6" xfId="20926" xr:uid="{1E5318A2-DF9E-4528-A58B-457D742E4B62}"/>
    <cellStyle name="Comma 2 2 2 2 2 2 2 2 3" xfId="20145" xr:uid="{7D386F45-6C6E-44BD-A7E8-15E55A7A367F}"/>
    <cellStyle name="Comma 2 2 2 2 2 2 2 2 4" xfId="23563" xr:uid="{CDAB728B-0A59-4865-8343-9AEADA2A0874}"/>
    <cellStyle name="Comma 2 2 2 2 2 2 2 2 5" xfId="38060" xr:uid="{76F27411-C285-424B-B3D7-AE4E0D83C873}"/>
    <cellStyle name="Comma 2 2 2 2 2 2 2 2 6" xfId="38901" xr:uid="{62AB6B4D-890E-438F-AF91-8A10934A44CD}"/>
    <cellStyle name="Comma 2 2 2 2 2 2 2 2 7" xfId="39883" xr:uid="{30A295F5-8753-40A9-9407-F32208851613}"/>
    <cellStyle name="Comma 2 2 2 2 2 2 2 2 8" xfId="40525" xr:uid="{EC130C27-7F51-41DF-8CD0-188EBE5CC976}"/>
    <cellStyle name="Comma 2 2 2 2 2 2 2 2 9" xfId="41737" xr:uid="{89703C82-7625-4796-A712-FF77E87B3A5C}"/>
    <cellStyle name="Comma 2 2 2 2 2 2 2 3" xfId="7771" xr:uid="{C25C7198-8AE9-4BB6-97F1-90DB314A2672}"/>
    <cellStyle name="Comma 2 2 2 2 2 2 2 3 2" xfId="39401" xr:uid="{28354DE6-B644-450C-9974-FD63AD134797}"/>
    <cellStyle name="Comma 2 2 2 2 2 2 2 3 3" xfId="41257" xr:uid="{5D5A7A3A-D0DA-4425-90A5-0651F46479C7}"/>
    <cellStyle name="Comma 2 2 2 2 2 2 2 3 4" xfId="43078" xr:uid="{9E483EFC-9AF8-49F6-9391-E2832D3C7CDA}"/>
    <cellStyle name="Comma 2 2 2 2 2 2 2 3 5" xfId="45177" xr:uid="{E996B491-3619-47E9-BF46-083AE6BACA02}"/>
    <cellStyle name="Comma 2 2 2 2 2 2 2 3 6" xfId="20776" xr:uid="{A17EB76E-7E72-4F05-AA1C-3E190CBFD4C3}"/>
    <cellStyle name="Comma 2 2 2 2 2 2 2 4" xfId="12284" xr:uid="{FF5087AD-CBD7-4047-B1DD-FF19AD8F0AEC}"/>
    <cellStyle name="Comma 2 2 2 2 2 2 2 4 2" xfId="20054" xr:uid="{B3867539-43E6-4973-9F45-1AA9068EEE49}"/>
    <cellStyle name="Comma 2 2 2 2 2 2 2 5" xfId="23562" xr:uid="{E40A8A1A-6982-40CC-B0C2-C81BA31CABD0}"/>
    <cellStyle name="Comma 2 2 2 2 2 2 2 6" xfId="38059" xr:uid="{A6E99C4B-5C08-447A-BE72-A40B8238DB4D}"/>
    <cellStyle name="Comma 2 2 2 2 2 2 2 7" xfId="38810" xr:uid="{6E18C261-F6AA-4542-B18D-1192BFD429C3}"/>
    <cellStyle name="Comma 2 2 2 2 2 2 2 8" xfId="39882" xr:uid="{D524679C-82C2-437D-8D5E-4F72EE5C6FA4}"/>
    <cellStyle name="Comma 2 2 2 2 2 2 2 9" xfId="40524" xr:uid="{9B3B2117-BD0A-4FB7-9BB5-1551241A7AD4}"/>
    <cellStyle name="Comma 2 2 2 2 2 2 3" xfId="11117" xr:uid="{AA3CF5B1-40AD-4CF4-83D7-4A2603DEC7E6}"/>
    <cellStyle name="Comma 2 2 2 2 2 2 3 10" xfId="42577" xr:uid="{F54CB0F6-F793-411D-B882-0D65972A4B5E}"/>
    <cellStyle name="Comma 2 2 2 2 2 2 3 11" xfId="44744" xr:uid="{48368699-A350-4227-A418-228F0CB5D8E5}"/>
    <cellStyle name="Comma 2 2 2 2 2 2 3 12" xfId="46901" xr:uid="{804B25D4-7462-4CDF-84EF-3C673E0AFF52}"/>
    <cellStyle name="Comma 2 2 2 2 2 2 3 13" xfId="49920" xr:uid="{DF915300-AC3B-4BE7-B643-0DD2E1B5F142}"/>
    <cellStyle name="Comma 2 2 2 2 2 2 3 14" xfId="52114" xr:uid="{C1666112-24D8-4834-AB24-5B429085BFBA}"/>
    <cellStyle name="Comma 2 2 2 2 2 2 3 15" xfId="16930" xr:uid="{681E8E56-F7C3-4ADA-B36B-F39B82041A16}"/>
    <cellStyle name="Comma 2 2 2 2 2 2 3 16" xfId="15013" xr:uid="{689B4F6F-7F56-47DE-B7B4-AEE55A9E81F6}"/>
    <cellStyle name="Comma 2 2 2 2 2 2 3 2" xfId="13714" xr:uid="{D1005E3B-D5D6-4366-B240-8E1E4DCD1C01}"/>
    <cellStyle name="Comma 2 2 2 2 2 2 3 2 2" xfId="39491" xr:uid="{9474C921-B87C-4DCF-96AD-2B161A380622}"/>
    <cellStyle name="Comma 2 2 2 2 2 2 3 2 3" xfId="41345" xr:uid="{972D6E94-E447-48A0-B6DC-DBE076955FD0}"/>
    <cellStyle name="Comma 2 2 2 2 2 2 3 2 4" xfId="43168" xr:uid="{D0C40A0E-70DA-4152-A0F0-A3362E0E39F0}"/>
    <cellStyle name="Comma 2 2 2 2 2 2 3 2 5" xfId="45265" xr:uid="{32064B5E-0BC5-4FB0-9A22-3234BC5AAAF0}"/>
    <cellStyle name="Comma 2 2 2 2 2 2 3 2 6" xfId="48462" xr:uid="{4925989D-B8B1-4790-A728-09E8F0495E86}"/>
    <cellStyle name="Comma 2 2 2 2 2 2 3 2 7" xfId="51248" xr:uid="{6C0D4717-280F-481B-B219-C1DABB6CC917}"/>
    <cellStyle name="Comma 2 2 2 2 2 2 3 2 8" xfId="52115" xr:uid="{F0FEB371-C68B-499F-943B-A4C7E035DFA0}"/>
    <cellStyle name="Comma 2 2 2 2 2 2 3 2 9" xfId="20925" xr:uid="{C7AFDAF9-7468-48B0-A000-E77730AF36C8}"/>
    <cellStyle name="Comma 2 2 2 2 2 2 3 3" xfId="20144" xr:uid="{A81D3B2C-436F-4AD9-8ABD-73D67EC83113}"/>
    <cellStyle name="Comma 2 2 2 2 2 2 3 4" xfId="23564" xr:uid="{0712BA3D-86D2-477E-90FA-16464E35B528}"/>
    <cellStyle name="Comma 2 2 2 2 2 2 3 5" xfId="38061" xr:uid="{C92E34A3-D207-4159-ACC9-484902194F8F}"/>
    <cellStyle name="Comma 2 2 2 2 2 2 3 6" xfId="38900" xr:uid="{20D3A357-0002-4CA4-983F-18D110DB58D9}"/>
    <cellStyle name="Comma 2 2 2 2 2 2 3 7" xfId="39884" xr:uid="{04C01E2B-5773-49B9-BE96-38DF8550790C}"/>
    <cellStyle name="Comma 2 2 2 2 2 2 3 8" xfId="40526" xr:uid="{3A765877-81B5-43A4-8632-D0D075A8D79E}"/>
    <cellStyle name="Comma 2 2 2 2 2 2 3 9" xfId="41738" xr:uid="{D92C21BB-B4F5-496E-AD6F-499C9A031D6D}"/>
    <cellStyle name="Comma 2 2 2 2 2 2 4" xfId="9769" xr:uid="{8F9BCC20-7B0B-4D85-9DB2-4F6ACEF109B1}"/>
    <cellStyle name="Comma 2 2 2 2 2 2 4 2" xfId="13075" xr:uid="{CBE6586E-FF09-424E-8DC8-473A39FD2D68}"/>
    <cellStyle name="Comma 2 2 2 2 2 2 4 2 2" xfId="49079" xr:uid="{1F0513CD-9969-4921-B4EF-30653FF7171B}"/>
    <cellStyle name="Comma 2 2 2 2 2 2 4 2 3" xfId="51759" xr:uid="{D3176BFB-0C4A-4311-9417-F6318EA37859}"/>
    <cellStyle name="Comma 2 2 2 2 2 2 4 2 4" xfId="52116" xr:uid="{6C48F5E5-6A27-4005-B6E9-F88A71F77DE9}"/>
    <cellStyle name="Comma 2 2 2 2 2 2 4 2 5" xfId="39249" xr:uid="{31A90131-3733-4B6D-9ED5-A6F4EC1826A3}"/>
    <cellStyle name="Comma 2 2 2 2 2 2 4 3" xfId="41117" xr:uid="{9D6A7503-9F2E-402F-A58C-DBCB2F44D33F}"/>
    <cellStyle name="Comma 2 2 2 2 2 2 4 4" xfId="42926" xr:uid="{F2CD2C6A-CD04-476E-9C27-39F127A397A9}"/>
    <cellStyle name="Comma 2 2 2 2 2 2 4 5" xfId="45033" xr:uid="{0C944EC6-5B2C-4912-B06B-0AABE104239D}"/>
    <cellStyle name="Comma 2 2 2 2 2 2 4 6" xfId="47496" xr:uid="{D7B112D6-FB0C-4187-91B8-4D95AF05A45F}"/>
    <cellStyle name="Comma 2 2 2 2 2 2 4 7" xfId="50431" xr:uid="{71C0A364-9AB1-4AC7-AB4D-0FFB4691B177}"/>
    <cellStyle name="Comma 2 2 2 2 2 2 4 8" xfId="52117" xr:uid="{A93C2840-CD66-49A2-B7AC-31D0BC23AA10}"/>
    <cellStyle name="Comma 2 2 2 2 2 2 4 9" xfId="20494" xr:uid="{A402F686-5B34-435E-873D-631C65D6E9BE}"/>
    <cellStyle name="Comma 2 2 2 2 2 2 5" xfId="7267" xr:uid="{2C7A87FD-5B02-43E4-BC41-C899BC7C0C94}"/>
    <cellStyle name="Comma 2 2 2 2 2 2 5 2" xfId="47744" xr:uid="{89A4505E-C17F-4AAC-9E39-19E8621DF206}"/>
    <cellStyle name="Comma 2 2 2 2 2 2 5 3" xfId="50643" xr:uid="{9AA619F8-919A-42D4-93BE-26756318FEBC}"/>
    <cellStyle name="Comma 2 2 2 2 2 2 5 4" xfId="52118" xr:uid="{C2F8033D-2F84-4CD8-9BAB-FA4ABCD6F35F}"/>
    <cellStyle name="Comma 2 2 2 2 2 2 5 5" xfId="19901" xr:uid="{407B858D-81BC-4C83-B412-79BEA7E8CBD9}"/>
    <cellStyle name="Comma 2 2 2 2 2 2 6" xfId="11790" xr:uid="{46A94BDB-A53C-444C-A0F2-E34BCF129D14}"/>
    <cellStyle name="Comma 2 2 2 2 2 2 6 2" xfId="23561" xr:uid="{37559D32-7322-4373-832C-25CC3F0F93B2}"/>
    <cellStyle name="Comma 2 2 2 2 2 2 7" xfId="38058" xr:uid="{6DDF8633-FE41-4900-9E43-BB469FD69404}"/>
    <cellStyle name="Comma 2 2 2 2 2 2 8" xfId="38658" xr:uid="{F7521279-66CA-4017-AC08-324020EE9317}"/>
    <cellStyle name="Comma 2 2 2 2 2 2 9" xfId="39881" xr:uid="{A810DD52-0CED-4106-AC3D-53CF5B3526B0}"/>
    <cellStyle name="Comma 2 2 2 2 2 20" xfId="52119" xr:uid="{DD6A29A9-4B97-454B-9E5C-33C16E21BB15}"/>
    <cellStyle name="Comma 2 2 2 2 2 21" xfId="15199" xr:uid="{FAB6CD98-50A5-4D95-B817-46C9F5006DD9}"/>
    <cellStyle name="Comma 2 2 2 2 2 22" xfId="13892" xr:uid="{B66842AE-1BA4-49B5-BF5C-3525B4315B1B}"/>
    <cellStyle name="Comma 2 2 2 2 2 3" xfId="5493" xr:uid="{C1BBA1AA-1874-4471-93EE-F89418797BC8}"/>
    <cellStyle name="Comma 2 2 2 2 2 3 10" xfId="41739" xr:uid="{3342CF54-0413-4404-956E-4A89259ACDA5}"/>
    <cellStyle name="Comma 2 2 2 2 2 3 11" xfId="42448" xr:uid="{78A05F98-95CE-4614-9618-B4267BBEE237}"/>
    <cellStyle name="Comma 2 2 2 2 2 3 12" xfId="43782" xr:uid="{FE968E23-ABD7-47E9-BE50-D314A5E95740}"/>
    <cellStyle name="Comma 2 2 2 2 2 3 13" xfId="44650" xr:uid="{6A4E26BD-1A5D-4C1A-A508-89C3E3F56ED0}"/>
    <cellStyle name="Comma 2 2 2 2 2 3 14" xfId="46540" xr:uid="{B7F678D5-D2BD-4B05-9805-C489DE1D23A0}"/>
    <cellStyle name="Comma 2 2 2 2 2 3 15" xfId="49573" xr:uid="{4D4CE0D9-5C28-4FC2-A885-417DB3D536AB}"/>
    <cellStyle name="Comma 2 2 2 2 2 3 16" xfId="52120" xr:uid="{25653741-F1CE-4CC7-8CFB-BE3CF4006D74}"/>
    <cellStyle name="Comma 2 2 2 2 2 3 17" xfId="16642" xr:uid="{6BD31C30-4C5A-4585-8956-6575DCFB1888}"/>
    <cellStyle name="Comma 2 2 2 2 2 3 18" xfId="14030" xr:uid="{7B5006D5-57AE-408A-9215-EDA031579705}"/>
    <cellStyle name="Comma 2 2 2 2 2 3 2" xfId="7595" xr:uid="{4A58619F-FCF2-400D-90A0-B73AA640404A}"/>
    <cellStyle name="Comma 2 2 2 2 2 3 2 10" xfId="42579" xr:uid="{134872E9-AE67-4688-B894-C948B02CDF8F}"/>
    <cellStyle name="Comma 2 2 2 2 2 3 2 11" xfId="44746" xr:uid="{B64DB854-1832-4C5D-84C4-7C9837DAA4E5}"/>
    <cellStyle name="Comma 2 2 2 2 2 3 2 12" xfId="47033" xr:uid="{7FF9EC7C-C1A4-42A0-9E3D-6971726A41E9}"/>
    <cellStyle name="Comma 2 2 2 2 2 3 2 13" xfId="50034" xr:uid="{01FB1B3D-6DA3-4266-B7F4-325DDA0D92F9}"/>
    <cellStyle name="Comma 2 2 2 2 2 3 2 14" xfId="52121" xr:uid="{4CE7D4F1-FA39-4F73-A171-BF8EEE17D0AF}"/>
    <cellStyle name="Comma 2 2 2 2 2 3 2 15" xfId="16932" xr:uid="{1C0E8866-A06F-40A9-8183-8D16B6888C7D}"/>
    <cellStyle name="Comma 2 2 2 2 2 3 2 16" xfId="14522" xr:uid="{1C8B6868-3D97-4CDB-9D65-C970D53B9BE7}"/>
    <cellStyle name="Comma 2 2 2 2 2 3 2 2" xfId="10087" xr:uid="{EC0A172F-80D1-4BCD-A55B-1390860F24DC}"/>
    <cellStyle name="Comma 2 2 2 2 2 3 2 2 2" xfId="13393" xr:uid="{1DCA22FA-0A64-46ED-A444-0D1523CEA3C7}"/>
    <cellStyle name="Comma 2 2 2 2 2 3 2 2 2 2" xfId="39493" xr:uid="{2D9193ED-7120-46CD-B246-430CDCDE74C4}"/>
    <cellStyle name="Comma 2 2 2 2 2 3 2 2 3" xfId="41347" xr:uid="{E7C749B1-504C-4F8D-B1C2-D0E7B79BF639}"/>
    <cellStyle name="Comma 2 2 2 2 2 3 2 2 4" xfId="43170" xr:uid="{0821FF6F-6B88-4F9E-B94C-C52AE8E94C40}"/>
    <cellStyle name="Comma 2 2 2 2 2 3 2 2 5" xfId="45267" xr:uid="{8FB34F90-49FA-4BA9-A026-44EA98945F37}"/>
    <cellStyle name="Comma 2 2 2 2 2 3 2 2 6" xfId="48599" xr:uid="{E0BA9A9C-DFB4-41A8-9654-22A04553F1D2}"/>
    <cellStyle name="Comma 2 2 2 2 2 3 2 2 7" xfId="51362" xr:uid="{94388C58-CF6A-4606-A5C7-37AF17CF81D5}"/>
    <cellStyle name="Comma 2 2 2 2 2 3 2 2 8" xfId="52122" xr:uid="{B547183A-FE7D-4D5C-9FCB-966091C793DF}"/>
    <cellStyle name="Comma 2 2 2 2 2 3 2 2 9" xfId="20927" xr:uid="{2BFBC6B9-703A-42FE-A2A2-6BD442662E47}"/>
    <cellStyle name="Comma 2 2 2 2 2 3 2 3" xfId="12108" xr:uid="{8B8C8FDE-D2D7-492D-9B84-A1D9AF619870}"/>
    <cellStyle name="Comma 2 2 2 2 2 3 2 3 2" xfId="20146" xr:uid="{A221D8FC-44AE-4C62-9714-4FAA525D483A}"/>
    <cellStyle name="Comma 2 2 2 2 2 3 2 4" xfId="23566" xr:uid="{2B4FE687-8F7D-4496-B0FF-682BD6100036}"/>
    <cellStyle name="Comma 2 2 2 2 2 3 2 5" xfId="38063" xr:uid="{DCB99DF0-DE97-4A15-BCF4-38B8D7D57B63}"/>
    <cellStyle name="Comma 2 2 2 2 2 3 2 6" xfId="38902" xr:uid="{CCBEF492-3256-45D1-A851-2836A4B2DDCE}"/>
    <cellStyle name="Comma 2 2 2 2 2 3 2 7" xfId="39886" xr:uid="{6CF6BD39-7395-4113-8108-742CE7D03F7D}"/>
    <cellStyle name="Comma 2 2 2 2 2 3 2 8" xfId="40528" xr:uid="{4B0D1C2C-5AF7-4611-AABB-3270B8B751E7}"/>
    <cellStyle name="Comma 2 2 2 2 2 3 2 9" xfId="41740" xr:uid="{6DBCB77B-3757-4268-94A5-BA6E1F63C5B3}"/>
    <cellStyle name="Comma 2 2 2 2 2 3 3" xfId="9593" xr:uid="{0BE2CE0E-DA08-453D-B4EB-9DBADF060D5E}"/>
    <cellStyle name="Comma 2 2 2 2 2 3 3 2" xfId="12899" xr:uid="{DF72DBA9-6745-452F-9B9B-57E0A0EB7BB4}"/>
    <cellStyle name="Comma 2 2 2 2 2 3 3 2 2" xfId="48907" xr:uid="{D1E93E50-01AA-45D9-B3D4-2AE4430C5279}"/>
    <cellStyle name="Comma 2 2 2 2 2 3 3 2 3" xfId="51619" xr:uid="{4106CB9E-4DE7-432A-BA63-7994938C8B2C}"/>
    <cellStyle name="Comma 2 2 2 2 2 3 3 2 4" xfId="52123" xr:uid="{3C02B0F5-58C2-4E17-A878-ACC1A76D1801}"/>
    <cellStyle name="Comma 2 2 2 2 2 3 3 2 5" xfId="39362" xr:uid="{7C49A1B3-BFA0-4903-BCAB-14855A0E69FC}"/>
    <cellStyle name="Comma 2 2 2 2 2 3 3 3" xfId="41220" xr:uid="{AA219276-B85D-47B2-8173-4A786E0BFCB4}"/>
    <cellStyle name="Comma 2 2 2 2 2 3 3 4" xfId="43039" xr:uid="{FEDC8CEA-A0E1-4A5E-98BD-2C429619067A}"/>
    <cellStyle name="Comma 2 2 2 2 2 3 3 5" xfId="45140" xr:uid="{87613A19-8E81-4D9E-89A3-666B8873E096}"/>
    <cellStyle name="Comma 2 2 2 2 2 3 3 6" xfId="47331" xr:uid="{F1489552-784D-4DBA-AA2B-4131639923B1}"/>
    <cellStyle name="Comma 2 2 2 2 2 3 3 7" xfId="50291" xr:uid="{D7E92396-4EC4-4B10-B4D0-63025768380C}"/>
    <cellStyle name="Comma 2 2 2 2 2 3 3 8" xfId="52124" xr:uid="{9C3C29A5-D10F-41C1-9870-17EB65B66DD0}"/>
    <cellStyle name="Comma 2 2 2 2 2 3 3 9" xfId="20736" xr:uid="{C34C6371-E67C-4EE6-A2F2-AA733498644D}"/>
    <cellStyle name="Comma 2 2 2 2 2 3 4" xfId="7089" xr:uid="{41B44E2E-1810-4467-BE5C-4826F31D2C41}"/>
    <cellStyle name="Comma 2 2 2 2 2 3 4 2" xfId="48052" xr:uid="{A4BD81D4-92D1-42E8-9A58-340A7CB41B9A}"/>
    <cellStyle name="Comma 2 2 2 2 2 3 4 3" xfId="50901" xr:uid="{E702549C-6E84-42B9-8FDE-56512CFF7B6F}"/>
    <cellStyle name="Comma 2 2 2 2 2 3 4 4" xfId="52125" xr:uid="{46B0D66E-79A6-40AB-B052-A26275B49AD4}"/>
    <cellStyle name="Comma 2 2 2 2 2 3 4 5" xfId="20015" xr:uid="{26C12EB1-4A35-4C3A-9D1E-914A2213F70B}"/>
    <cellStyle name="Comma 2 2 2 2 2 3 5" xfId="11614" xr:uid="{444B1088-5B72-43BF-B155-FBDA05CBCA28}"/>
    <cellStyle name="Comma 2 2 2 2 2 3 5 2" xfId="23565" xr:uid="{FDE49174-1588-4976-8B5A-29F6087DA122}"/>
    <cellStyle name="Comma 2 2 2 2 2 3 6" xfId="38062" xr:uid="{940B7628-46DB-494F-9C73-BB1376068A63}"/>
    <cellStyle name="Comma 2 2 2 2 2 3 7" xfId="38771" xr:uid="{03807040-0ECC-4160-B746-6DF7A1FC5D1A}"/>
    <cellStyle name="Comma 2 2 2 2 2 3 8" xfId="39885" xr:uid="{5387126B-79A4-48A2-B8F1-B43CF4C8FFDA}"/>
    <cellStyle name="Comma 2 2 2 2 2 3 9" xfId="40527" xr:uid="{DBC87C7D-820E-45EE-B9D9-A79AFE90957C}"/>
    <cellStyle name="Comma 2 2 2 2 2 4" xfId="6483" xr:uid="{DF0EC0A7-192F-4F41-A643-EEAB1BA92CFD}"/>
    <cellStyle name="Comma 2 2 2 2 2 4 10" xfId="41741" xr:uid="{B2EE1809-0DD0-4C9A-B7E4-1C50F0D1A0A9}"/>
    <cellStyle name="Comma 2 2 2 2 2 4 11" xfId="42433" xr:uid="{4B0813C7-63CC-4039-B766-2C8CB33375C0}"/>
    <cellStyle name="Comma 2 2 2 2 2 4 12" xfId="44638" xr:uid="{4C00B8C5-591B-46FE-90F5-9A733491D025}"/>
    <cellStyle name="Comma 2 2 2 2 2 4 13" xfId="46122" xr:uid="{1CC2C81D-1338-4DA7-B16F-8AD7E9829DE0}"/>
    <cellStyle name="Comma 2 2 2 2 2 4 14" xfId="49458" xr:uid="{867AB064-C50A-4907-A304-5BA01E18E957}"/>
    <cellStyle name="Comma 2 2 2 2 2 4 15" xfId="52126" xr:uid="{713522F2-1E34-4EC9-B92F-3212C747A249}"/>
    <cellStyle name="Comma 2 2 2 2 2 4 16" xfId="16600" xr:uid="{4EA16FCF-95E1-4966-94F4-C88788B23CCB}"/>
    <cellStyle name="Comma 2 2 2 2 2 4 17" xfId="14384" xr:uid="{115B1132-B076-4ED1-8F7E-8899A97CD3AA}"/>
    <cellStyle name="Comma 2 2 2 2 2 4 2" xfId="9455" xr:uid="{7833E0B7-6A60-4913-B542-D74DF3976102}"/>
    <cellStyle name="Comma 2 2 2 2 2 4 2 10" xfId="42580" xr:uid="{0B5C28EC-E183-48AD-9026-CB0F7534D18B}"/>
    <cellStyle name="Comma 2 2 2 2 2 4 2 11" xfId="44747" xr:uid="{A67BA4E5-7BF0-4306-BF8C-2D96CC286BAF}"/>
    <cellStyle name="Comma 2 2 2 2 2 4 2 12" xfId="47917" xr:uid="{57C926FF-9F02-4C55-B1F7-B8970DEB682F}"/>
    <cellStyle name="Comma 2 2 2 2 2 4 2 13" xfId="50786" xr:uid="{F3F02926-86CD-4D34-B237-B91860B8E9DA}"/>
    <cellStyle name="Comma 2 2 2 2 2 4 2 14" xfId="52127" xr:uid="{D146C770-D0F2-4B1E-B7A1-FDCD594A9CC4}"/>
    <cellStyle name="Comma 2 2 2 2 2 4 2 15" xfId="16933" xr:uid="{768E296F-7677-41C8-AA19-3FB00CE4D7EF}"/>
    <cellStyle name="Comma 2 2 2 2 2 4 2 2" xfId="12761" xr:uid="{83E2A3ED-CF5F-4B5E-8E29-CABE535AABA8}"/>
    <cellStyle name="Comma 2 2 2 2 2 4 2 2 2" xfId="39494" xr:uid="{C9C9EA36-A1E9-4EC2-BA20-C5968645DE7A}"/>
    <cellStyle name="Comma 2 2 2 2 2 4 2 2 3" xfId="41348" xr:uid="{8B1757DF-9499-49C0-9D6E-FC0CB20D99CB}"/>
    <cellStyle name="Comma 2 2 2 2 2 4 2 2 4" xfId="43171" xr:uid="{4A35A97C-E395-4650-96D7-335308AC7CC3}"/>
    <cellStyle name="Comma 2 2 2 2 2 4 2 2 5" xfId="45268" xr:uid="{E020DFEC-9D89-4B76-9FC0-3C6F6F4769BE}"/>
    <cellStyle name="Comma 2 2 2 2 2 4 2 2 6" xfId="20928" xr:uid="{8F3B2E0F-1B85-4F39-8986-AB9154FE0216}"/>
    <cellStyle name="Comma 2 2 2 2 2 4 2 3" xfId="20147" xr:uid="{A2DA40EF-92C1-436F-92A8-25A49755FFA7}"/>
    <cellStyle name="Comma 2 2 2 2 2 4 2 4" xfId="23568" xr:uid="{F7BC5190-8CA4-4623-8941-6B5D79D7CD39}"/>
    <cellStyle name="Comma 2 2 2 2 2 4 2 5" xfId="38065" xr:uid="{4E0C3BED-73DB-4E30-B5C0-6F90432C9E93}"/>
    <cellStyle name="Comma 2 2 2 2 2 4 2 6" xfId="38903" xr:uid="{DE569B45-3AEF-4165-88A8-3DDA9A10CE91}"/>
    <cellStyle name="Comma 2 2 2 2 2 4 2 7" xfId="39888" xr:uid="{780F0D90-5C8E-47A9-AC12-F1BC350EAABC}"/>
    <cellStyle name="Comma 2 2 2 2 2 4 2 8" xfId="40530" xr:uid="{24C17D7C-2034-45F5-9140-EC66B303C50E}"/>
    <cellStyle name="Comma 2 2 2 2 2 4 2 9" xfId="41742" xr:uid="{9007AD22-D0BF-4EE7-9E15-26226E3F05A7}"/>
    <cellStyle name="Comma 2 2 2 2 2 4 3" xfId="11476" xr:uid="{BB659BB3-C23A-46F4-A358-90C981EBE0BA}"/>
    <cellStyle name="Comma 2 2 2 2 2 4 3 2" xfId="39347" xr:uid="{C9F7F031-F939-4093-9570-79352C3D7D9E}"/>
    <cellStyle name="Comma 2 2 2 2 2 4 3 3" xfId="41205" xr:uid="{9D8373CE-0647-4C89-9BF7-9F0049F03C4E}"/>
    <cellStyle name="Comma 2 2 2 2 2 4 3 4" xfId="43024" xr:uid="{69153F31-FEE1-40FF-A718-CF7C7E43832B}"/>
    <cellStyle name="Comma 2 2 2 2 2 4 3 5" xfId="45125" xr:uid="{87130FA9-8A15-4D0F-BEE1-6EEB3A5F70E0}"/>
    <cellStyle name="Comma 2 2 2 2 2 4 3 6" xfId="20710" xr:uid="{BD73272C-8815-4846-966A-66FB2F2D1E88}"/>
    <cellStyle name="Comma 2 2 2 2 2 4 4" xfId="20000" xr:uid="{6250CCED-F5CF-4222-8080-055A9B965EC7}"/>
    <cellStyle name="Comma 2 2 2 2 2 4 5" xfId="23567" xr:uid="{C6CE0CCC-494C-452F-9273-F90625539F55}"/>
    <cellStyle name="Comma 2 2 2 2 2 4 6" xfId="38064" xr:uid="{F1836412-9515-46B8-94E0-1857D0A836EB}"/>
    <cellStyle name="Comma 2 2 2 2 2 4 7" xfId="38756" xr:uid="{69E72DCC-1751-4BE6-AF92-54D4CCDFD4D6}"/>
    <cellStyle name="Comma 2 2 2 2 2 4 8" xfId="39887" xr:uid="{B7EDCB3E-5909-4C96-B88F-91C771B14FB0}"/>
    <cellStyle name="Comma 2 2 2 2 2 4 9" xfId="40529" xr:uid="{D1742761-555B-4470-A93A-9DD5D7E09334}"/>
    <cellStyle name="Comma 2 2 2 2 2 5" xfId="7457" xr:uid="{E4F971C7-3F1C-449F-A7F7-8086B77490B7}"/>
    <cellStyle name="Comma 2 2 2 2 2 5 10" xfId="42581" xr:uid="{A83FAF13-95B7-493A-9818-CE25334DE0CC}"/>
    <cellStyle name="Comma 2 2 2 2 2 5 11" xfId="44748" xr:uid="{AAEAE6C5-579E-49E6-8F6A-5D91A48CC888}"/>
    <cellStyle name="Comma 2 2 2 2 2 5 12" xfId="46804" xr:uid="{A1EC1C5D-CAE9-412F-A7BC-612519293C64}"/>
    <cellStyle name="Comma 2 2 2 2 2 5 13" xfId="49828" xr:uid="{2F4EFCC0-43D5-4F46-AD82-73B7EAB511A5}"/>
    <cellStyle name="Comma 2 2 2 2 2 5 14" xfId="52128" xr:uid="{2094468D-4BA6-4F5B-A1BD-38F62149F0E3}"/>
    <cellStyle name="Comma 2 2 2 2 2 5 15" xfId="16934" xr:uid="{8CE0FD76-87BD-44C1-A8C1-C20347CE359D}"/>
    <cellStyle name="Comma 2 2 2 2 2 5 16" xfId="14837" xr:uid="{625CA96E-56A1-4453-974F-766A9361781C}"/>
    <cellStyle name="Comma 2 2 2 2 2 5 2" xfId="9949" xr:uid="{533D8C22-3869-4B32-83B5-B9ED260047FF}"/>
    <cellStyle name="Comma 2 2 2 2 2 5 2 2" xfId="13255" xr:uid="{D5C9AEF6-9914-403B-B884-03C61713C65C}"/>
    <cellStyle name="Comma 2 2 2 2 2 5 2 2 2" xfId="39495" xr:uid="{BCC59947-BA41-4DA7-93F5-B41A396AF0F2}"/>
    <cellStyle name="Comma 2 2 2 2 2 5 2 3" xfId="41349" xr:uid="{51D6BA35-BCE6-497B-B8CD-3229E8EC23EC}"/>
    <cellStyle name="Comma 2 2 2 2 2 5 2 4" xfId="43172" xr:uid="{CB20B92E-C9E1-4B6D-96DA-BE575497E332}"/>
    <cellStyle name="Comma 2 2 2 2 2 5 2 5" xfId="45269" xr:uid="{218A786F-85A8-4C27-96DB-80526947BCC6}"/>
    <cellStyle name="Comma 2 2 2 2 2 5 2 6" xfId="48355" xr:uid="{87DB2C7E-3964-4484-A714-74B075A0A7BC}"/>
    <cellStyle name="Comma 2 2 2 2 2 5 2 7" xfId="51156" xr:uid="{5082A22B-3A65-4744-876D-B46F45DC4EED}"/>
    <cellStyle name="Comma 2 2 2 2 2 5 2 8" xfId="52129" xr:uid="{EE4C390F-44E3-42A9-950B-63696F28E377}"/>
    <cellStyle name="Comma 2 2 2 2 2 5 2 9" xfId="20929" xr:uid="{32183E2B-A3E5-4A16-BD64-6D3855D74846}"/>
    <cellStyle name="Comma 2 2 2 2 2 5 3" xfId="11970" xr:uid="{512F0CD9-B06E-4F90-90A5-1B0FC6223008}"/>
    <cellStyle name="Comma 2 2 2 2 2 5 3 2" xfId="20148" xr:uid="{34F9C731-5E7C-4C25-AB4C-F1EA70B120D9}"/>
    <cellStyle name="Comma 2 2 2 2 2 5 4" xfId="23569" xr:uid="{F87B159A-3386-46E2-994D-CD8779DA03AF}"/>
    <cellStyle name="Comma 2 2 2 2 2 5 5" xfId="38066" xr:uid="{5882F781-3318-4662-9630-36F608090E26}"/>
    <cellStyle name="Comma 2 2 2 2 2 5 6" xfId="38904" xr:uid="{9B36A8F1-B841-4E3E-8AA2-8A88C93AACAF}"/>
    <cellStyle name="Comma 2 2 2 2 2 5 7" xfId="39889" xr:uid="{012680AC-D659-4C43-8B8E-9E7786F6155C}"/>
    <cellStyle name="Comma 2 2 2 2 2 5 8" xfId="40531" xr:uid="{ABB0E2E9-63DA-4212-BE16-70B118917213}"/>
    <cellStyle name="Comma 2 2 2 2 2 5 9" xfId="41743" xr:uid="{969E772A-54D2-431B-B9A8-5DC84BBF147B}"/>
    <cellStyle name="Comma 2 2 2 2 2 6" xfId="8123" xr:uid="{6BC574D7-161F-4EBE-BB8B-F28011864242}"/>
    <cellStyle name="Comma 2 2 2 2 2 6 10" xfId="42576" xr:uid="{6DDD5E94-72FC-4329-ADE7-1307A5D176D7}"/>
    <cellStyle name="Comma 2 2 2 2 2 6 11" xfId="44743" xr:uid="{A3FA0AD2-E242-4356-8CAB-6A923DAC3236}"/>
    <cellStyle name="Comma 2 2 2 2 2 6 12" xfId="47198" xr:uid="{3D6C3C66-9D29-4684-A1F1-AA08C9E11425}"/>
    <cellStyle name="Comma 2 2 2 2 2 6 13" xfId="50176" xr:uid="{EE81C01C-0030-4363-8062-A9863C64E9A2}"/>
    <cellStyle name="Comma 2 2 2 2 2 6 14" xfId="52130" xr:uid="{9D52E472-55BB-40A6-948B-5A923EB68A4E}"/>
    <cellStyle name="Comma 2 2 2 2 2 6 15" xfId="16929" xr:uid="{81326172-769B-46CB-A577-2A911A1C71F4}"/>
    <cellStyle name="Comma 2 2 2 2 2 6 2" xfId="12579" xr:uid="{3E2133E5-200A-4D9A-947C-23458CFD22AB}"/>
    <cellStyle name="Comma 2 2 2 2 2 6 2 2" xfId="39490" xr:uid="{EACD8927-A56B-4C4C-9B2D-56EEDAA0806C}"/>
    <cellStyle name="Comma 2 2 2 2 2 6 2 3" xfId="41344" xr:uid="{503EA2A3-6083-4B19-93BB-11F582E905CA}"/>
    <cellStyle name="Comma 2 2 2 2 2 6 2 4" xfId="43167" xr:uid="{71988996-923A-457C-A5CF-A79AF2168E64}"/>
    <cellStyle name="Comma 2 2 2 2 2 6 2 5" xfId="45264" xr:uid="{3C8CA9E1-6ADC-46A5-A516-9A973AA0BC6A}"/>
    <cellStyle name="Comma 2 2 2 2 2 6 2 6" xfId="48769" xr:uid="{AB9C3146-6F9C-4240-804E-98E0CCEE6C64}"/>
    <cellStyle name="Comma 2 2 2 2 2 6 2 7" xfId="51504" xr:uid="{485F8746-948B-4817-B480-36D7C4F9515C}"/>
    <cellStyle name="Comma 2 2 2 2 2 6 2 8" xfId="52131" xr:uid="{D93BBD8A-444C-4200-9014-2C844E994679}"/>
    <cellStyle name="Comma 2 2 2 2 2 6 2 9" xfId="20924" xr:uid="{A45E984D-C918-42B9-8860-749018B6642E}"/>
    <cellStyle name="Comma 2 2 2 2 2 6 3" xfId="20143" xr:uid="{E698FD88-9EA6-4393-94BB-83C2164E2B98}"/>
    <cellStyle name="Comma 2 2 2 2 2 6 4" xfId="23570" xr:uid="{A795FDAF-6E43-43C4-B4E6-79623867BD9E}"/>
    <cellStyle name="Comma 2 2 2 2 2 6 5" xfId="38067" xr:uid="{CA53BD43-F272-4B3E-8DCA-8EE60E4921B2}"/>
    <cellStyle name="Comma 2 2 2 2 2 6 6" xfId="38899" xr:uid="{D4467499-5080-4B85-B77F-6B7EB86AA65C}"/>
    <cellStyle name="Comma 2 2 2 2 2 6 7" xfId="39890" xr:uid="{9E0E7F40-DB37-4F86-BE63-AC7724660C53}"/>
    <cellStyle name="Comma 2 2 2 2 2 6 8" xfId="40532" xr:uid="{3E85CFF9-1873-4D59-8129-CB81B75F0B09}"/>
    <cellStyle name="Comma 2 2 2 2 2 6 9" xfId="41744" xr:uid="{D495B5B0-EE4C-48DD-89EC-3267FA5F1282}"/>
    <cellStyle name="Comma 2 2 2 2 2 7" xfId="7910" xr:uid="{FF2527CF-5E6E-41F4-8C69-C34499D002E0}"/>
    <cellStyle name="Comma 2 2 2 2 2 7 10" xfId="47662" xr:uid="{F922A497-156A-452B-BCCF-D8EC4E45D55C}"/>
    <cellStyle name="Comma 2 2 2 2 2 7 11" xfId="50570" xr:uid="{116DA61E-C6BC-47F6-8B96-464F11C8C844}"/>
    <cellStyle name="Comma 2 2 2 2 2 7 12" xfId="52132" xr:uid="{DE61D861-4F99-4791-A4F1-416857F9556B}"/>
    <cellStyle name="Comma 2 2 2 2 2 7 13" xfId="20456" xr:uid="{40B3D18C-D396-4647-BC5B-DA35F9EE2358}"/>
    <cellStyle name="Comma 2 2 2 2 2 7 2" xfId="12423" xr:uid="{0B09176E-D0B8-4430-B916-B465DBCED406}"/>
    <cellStyle name="Comma 2 2 2 2 2 7 2 2" xfId="23571" xr:uid="{58AAEFAF-CA2B-4BBE-9761-D011DACFDCB6}"/>
    <cellStyle name="Comma 2 2 2 2 2 7 3" xfId="38068" xr:uid="{92BE07AC-0E3C-47A6-85A6-766AE39A6021}"/>
    <cellStyle name="Comma 2 2 2 2 2 7 4" xfId="39211" xr:uid="{AD4666C5-14A7-4C90-A7CA-C0340C07AAB2}"/>
    <cellStyle name="Comma 2 2 2 2 2 7 5" xfId="39891" xr:uid="{6CF708D6-3566-416D-B8EC-7E6B5601E188}"/>
    <cellStyle name="Comma 2 2 2 2 2 7 6" xfId="40533" xr:uid="{B2680B12-304D-4A3B-B04C-174930DB5125}"/>
    <cellStyle name="Comma 2 2 2 2 2 7 7" xfId="41745" xr:uid="{7A8E1AA7-B140-497D-A9B5-C385EF4EA7EE}"/>
    <cellStyle name="Comma 2 2 2 2 2 7 8" xfId="42888" xr:uid="{43345370-7AEF-44D5-A6C4-28D263DABE9D}"/>
    <cellStyle name="Comma 2 2 2 2 2 7 9" xfId="44995" xr:uid="{5B5ADF71-7E40-4621-94D0-748F263DEDAD}"/>
    <cellStyle name="Comma 2 2 2 2 2 8" xfId="5807" xr:uid="{7F04ED83-8556-4507-A3E8-164EAAEEFFB2}"/>
    <cellStyle name="Comma 2 2 2 2 2 8 2" xfId="19862" xr:uid="{5C8FF314-5E11-4003-B7DD-109BBF1B58F2}"/>
    <cellStyle name="Comma 2 2 2 2 2 9" xfId="11295" xr:uid="{650A761F-FA8E-44C8-9CA2-83F7CD8986BA}"/>
    <cellStyle name="Comma 2 2 2 2 2 9 2" xfId="23560" xr:uid="{968EACF0-B0D0-4578-9B02-BAA4DBBA81BC}"/>
    <cellStyle name="Comma 2 2 2 2 20" xfId="45612" xr:uid="{86F295A9-6956-43C0-99E3-170E1A553243}"/>
    <cellStyle name="Comma 2 2 2 2 21" xfId="49241" xr:uid="{C62379AD-1EB8-41FB-B8D3-E3BAB405D2A1}"/>
    <cellStyle name="Comma 2 2 2 2 22" xfId="52133" xr:uid="{8F1017AD-63E1-417B-A890-4D2BE8FD8588}"/>
    <cellStyle name="Comma 2 2 2 2 23" xfId="15198" xr:uid="{1ED832F5-A08B-44F6-8F59-8EC7BE60C329}"/>
    <cellStyle name="Comma 2 2 2 2 24" xfId="13891" xr:uid="{8BFDAAF5-A1FD-4A4D-AFFC-35BE7C989184}"/>
    <cellStyle name="Comma 2 2 2 2 3" xfId="4411" xr:uid="{6B11C258-F9F0-435D-91DB-3E70BA766026}"/>
    <cellStyle name="Comma 2 2 2 2 3 10" xfId="40534" xr:uid="{4D8A6B3B-BCF3-4731-8BB4-EE94317A2051}"/>
    <cellStyle name="Comma 2 2 2 2 3 11" xfId="41746" xr:uid="{88070E18-7BDF-47AD-B1D2-56D6FACB81F4}"/>
    <cellStyle name="Comma 2 2 2 2 3 12" xfId="42334" xr:uid="{074FDAF7-F72E-4138-A45E-2D7F1C2790B1}"/>
    <cellStyle name="Comma 2 2 2 2 3 13" xfId="44212" xr:uid="{26E8AE8D-D75C-4EA1-B88D-B51AEAD34A86}"/>
    <cellStyle name="Comma 2 2 2 2 3 14" xfId="44512" xr:uid="{8B59F869-2267-4C6C-96A9-8774EF77E2F7}"/>
    <cellStyle name="Comma 2 2 2 2 3 15" xfId="45686" xr:uid="{34597F6F-D1E2-4F7F-9FEE-62DBA903F1C9}"/>
    <cellStyle name="Comma 2 2 2 2 3 16" xfId="49314" xr:uid="{0ADF477A-2259-4ACF-90D0-1537C5D0094D}"/>
    <cellStyle name="Comma 2 2 2 2 3 17" xfId="52134" xr:uid="{390691A1-280D-4B5E-B24A-28E33889C26C}"/>
    <cellStyle name="Comma 2 2 2 2 3 18" xfId="15300" xr:uid="{573ED058-FB3E-4541-AA4B-A591625E9183}"/>
    <cellStyle name="Comma 2 2 2 2 3 19" xfId="14205" xr:uid="{246D5D6F-38D7-4C65-A56E-965BB2CAC449}"/>
    <cellStyle name="Comma 2 2 2 2 3 2" xfId="5668" xr:uid="{48F0EB72-BA1D-47CD-B490-E2A87B161FAD}"/>
    <cellStyle name="Comma 2 2 2 2 3 2 10" xfId="41747" xr:uid="{B6C6FAB9-D205-4716-89AA-E88387A46C4B}"/>
    <cellStyle name="Comma 2 2 2 2 3 2 11" xfId="42486" xr:uid="{7E21A979-2FDD-48C2-8042-226A814CA0F0}"/>
    <cellStyle name="Comma 2 2 2 2 3 2 12" xfId="44672" xr:uid="{23702263-617E-41DC-A9DF-4646F51E07DF}"/>
    <cellStyle name="Comma 2 2 2 2 3 2 13" xfId="46680" xr:uid="{16BE610D-8306-4AB9-A114-E8CBEA96F38B}"/>
    <cellStyle name="Comma 2 2 2 2 3 2 14" xfId="49712" xr:uid="{7F54A2D8-53F6-49B8-B33C-E4661D8488B1}"/>
    <cellStyle name="Comma 2 2 2 2 3 2 15" xfId="52135" xr:uid="{1B022F21-3309-4442-BE4F-01DA819EF5F1}"/>
    <cellStyle name="Comma 2 2 2 2 3 2 16" xfId="16749" xr:uid="{B10800E0-ABED-48C0-803F-421D6DB71528}"/>
    <cellStyle name="Comma 2 2 2 2 3 2 17" xfId="14697" xr:uid="{D84CA929-B0C3-4E17-8D3C-4A021A3A4ADC}"/>
    <cellStyle name="Comma 2 2 2 2 3 2 2" xfId="10262" xr:uid="{46541BCF-0A95-4FC8-9C0A-794520183E96}"/>
    <cellStyle name="Comma 2 2 2 2 3 2 2 10" xfId="42583" xr:uid="{58B3B8E2-7CD6-4E85-88BD-F8B0B5289D09}"/>
    <cellStyle name="Comma 2 2 2 2 3 2 2 11" xfId="44750" xr:uid="{1840AF78-373B-46D7-B49B-302A547C0211}"/>
    <cellStyle name="Comma 2 2 2 2 3 2 2 12" xfId="48222" xr:uid="{EA3B7371-69A9-4A33-A602-25BEC691DFE7}"/>
    <cellStyle name="Comma 2 2 2 2 3 2 2 13" xfId="51040" xr:uid="{B114A1D2-4F55-4E62-A81D-59A7548049E0}"/>
    <cellStyle name="Comma 2 2 2 2 3 2 2 14" xfId="52136" xr:uid="{8DF67DAA-71FF-405E-A14B-588C5E7BEE79}"/>
    <cellStyle name="Comma 2 2 2 2 3 2 2 15" xfId="16936" xr:uid="{15ED69B4-2136-4A1E-9F21-32A86CAD78D2}"/>
    <cellStyle name="Comma 2 2 2 2 3 2 2 2" xfId="13568" xr:uid="{1A99C50D-48B6-48A6-B818-C1A52025EEDF}"/>
    <cellStyle name="Comma 2 2 2 2 3 2 2 2 2" xfId="39497" xr:uid="{4CDB9AB7-2900-45D2-936A-0280225F49D5}"/>
    <cellStyle name="Comma 2 2 2 2 3 2 2 2 3" xfId="41351" xr:uid="{C13D8039-83A7-4101-B550-5B5BCDA80DFF}"/>
    <cellStyle name="Comma 2 2 2 2 3 2 2 2 4" xfId="43174" xr:uid="{BDAB6975-335D-497B-94B4-D1F1E0608309}"/>
    <cellStyle name="Comma 2 2 2 2 3 2 2 2 5" xfId="45271" xr:uid="{F8E6B97A-93D5-4103-A2BA-C940E1E708B6}"/>
    <cellStyle name="Comma 2 2 2 2 3 2 2 2 6" xfId="20931" xr:uid="{E826FD2F-C4B4-4D35-8B25-BF978DD93FCB}"/>
    <cellStyle name="Comma 2 2 2 2 3 2 2 3" xfId="20150" xr:uid="{44D3DC68-C778-4DFE-A25C-A6828ABBE297}"/>
    <cellStyle name="Comma 2 2 2 2 3 2 2 4" xfId="23574" xr:uid="{6C50F06E-C108-4BA6-B6DD-FFF1532C8F47}"/>
    <cellStyle name="Comma 2 2 2 2 3 2 2 5" xfId="38071" xr:uid="{3B49ADBC-4462-40B5-9989-7E35ADE87D7A}"/>
    <cellStyle name="Comma 2 2 2 2 3 2 2 6" xfId="38906" xr:uid="{9C26C2AC-30F2-4379-B2A7-73EC32EE307A}"/>
    <cellStyle name="Comma 2 2 2 2 3 2 2 7" xfId="39894" xr:uid="{AC225E11-88E5-46FA-ADFB-C3F3D14B3DA4}"/>
    <cellStyle name="Comma 2 2 2 2 3 2 2 8" xfId="40536" xr:uid="{1583413A-2459-42A7-B40C-3099B7CB878B}"/>
    <cellStyle name="Comma 2 2 2 2 3 2 2 9" xfId="41748" xr:uid="{2CB4AFE9-1C55-4ED0-8B69-FA37DF613CE5}"/>
    <cellStyle name="Comma 2 2 2 2 3 2 3" xfId="7770" xr:uid="{341D0C96-9887-4A6C-AC7A-BC081C795ABB}"/>
    <cellStyle name="Comma 2 2 2 2 3 2 3 2" xfId="39400" xr:uid="{E9804ABB-A2B3-4A6C-ADD9-2F7DD8EA26D6}"/>
    <cellStyle name="Comma 2 2 2 2 3 2 3 3" xfId="41256" xr:uid="{5134CCE6-6681-48F2-893D-417F779C9003}"/>
    <cellStyle name="Comma 2 2 2 2 3 2 3 4" xfId="43077" xr:uid="{3ECE2C51-3F0C-4BB2-817F-AF38D12A7FA6}"/>
    <cellStyle name="Comma 2 2 2 2 3 2 3 5" xfId="45176" xr:uid="{89D972E7-A1DD-415E-AE9E-84D12331B384}"/>
    <cellStyle name="Comma 2 2 2 2 3 2 3 6" xfId="20775" xr:uid="{D2786F11-BFD2-46B0-BFAC-9A4FC13AC5A7}"/>
    <cellStyle name="Comma 2 2 2 2 3 2 4" xfId="12283" xr:uid="{8C977AD7-462F-4839-BA7B-4C364655A9A5}"/>
    <cellStyle name="Comma 2 2 2 2 3 2 4 2" xfId="20053" xr:uid="{9E1E7394-854A-453E-AB2F-9B7BAFC6687E}"/>
    <cellStyle name="Comma 2 2 2 2 3 2 5" xfId="23573" xr:uid="{F553E8B8-A9AC-4A7A-8FE4-1108D145EDCF}"/>
    <cellStyle name="Comma 2 2 2 2 3 2 6" xfId="38070" xr:uid="{9C4CB24F-C0DB-4D50-BD3D-7BF29CD1EF0F}"/>
    <cellStyle name="Comma 2 2 2 2 3 2 7" xfId="38809" xr:uid="{D536CE01-FB40-4396-904D-4FE39D9DCF48}"/>
    <cellStyle name="Comma 2 2 2 2 3 2 8" xfId="39893" xr:uid="{D5AC051E-1B41-4272-9EBB-BA34DF1BEA5C}"/>
    <cellStyle name="Comma 2 2 2 2 3 2 9" xfId="40535" xr:uid="{F49CB46B-E771-4A09-9861-0A9E5C2EE3E7}"/>
    <cellStyle name="Comma 2 2 2 2 3 3" xfId="11116" xr:uid="{B0F1EB8A-628F-4019-8C77-1B05DDF467C0}"/>
    <cellStyle name="Comma 2 2 2 2 3 3 10" xfId="42582" xr:uid="{1AC43BA6-A58A-4BA4-B676-3D551305A45C}"/>
    <cellStyle name="Comma 2 2 2 2 3 3 11" xfId="44749" xr:uid="{2AF19961-C0FA-4C38-82AB-8C6933665376}"/>
    <cellStyle name="Comma 2 2 2 2 3 3 12" xfId="46900" xr:uid="{A0A2C3D0-8A1C-4021-8062-F234DE871A1F}"/>
    <cellStyle name="Comma 2 2 2 2 3 3 13" xfId="49919" xr:uid="{12B53CBA-538F-4A68-AF79-8B0BB4ECE9BF}"/>
    <cellStyle name="Comma 2 2 2 2 3 3 14" xfId="52137" xr:uid="{48E6A875-47A5-44A4-AA65-53A91427E03D}"/>
    <cellStyle name="Comma 2 2 2 2 3 3 15" xfId="16935" xr:uid="{9326FFA3-4BEA-4FEF-B585-CB843565B10C}"/>
    <cellStyle name="Comma 2 2 2 2 3 3 16" xfId="15012" xr:uid="{E9A09A20-A987-4384-A9AC-B5E47E4B2CE3}"/>
    <cellStyle name="Comma 2 2 2 2 3 3 2" xfId="13713" xr:uid="{323F0D25-D336-4FFA-BB81-F945712593D7}"/>
    <cellStyle name="Comma 2 2 2 2 3 3 2 2" xfId="39496" xr:uid="{BDEDE2AD-EA3A-4971-88B8-FFFCEBD69D45}"/>
    <cellStyle name="Comma 2 2 2 2 3 3 2 3" xfId="41350" xr:uid="{5600BADC-B16E-40B4-86C8-5208D7AC45DF}"/>
    <cellStyle name="Comma 2 2 2 2 3 3 2 4" xfId="43173" xr:uid="{8282E5EC-CE70-41BC-BD2D-BE4D9B0C52E4}"/>
    <cellStyle name="Comma 2 2 2 2 3 3 2 5" xfId="45270" xr:uid="{F5970A37-63F7-4515-9453-5F373BFCCA07}"/>
    <cellStyle name="Comma 2 2 2 2 3 3 2 6" xfId="48461" xr:uid="{1BA91CBB-3FE0-42B9-BBEE-ACACAD9F45D6}"/>
    <cellStyle name="Comma 2 2 2 2 3 3 2 7" xfId="51247" xr:uid="{B186C6E8-5316-455F-9A57-C138832712DD}"/>
    <cellStyle name="Comma 2 2 2 2 3 3 2 8" xfId="52138" xr:uid="{34CE93B4-2B52-42BC-B9AF-AE5AED6C3A34}"/>
    <cellStyle name="Comma 2 2 2 2 3 3 2 9" xfId="20930" xr:uid="{ADD972D5-7F51-4261-9B47-9CB976F2BC50}"/>
    <cellStyle name="Comma 2 2 2 2 3 3 3" xfId="20149" xr:uid="{B3B50E1D-9DEF-4A25-BF97-39F817D126FE}"/>
    <cellStyle name="Comma 2 2 2 2 3 3 4" xfId="23575" xr:uid="{1ACC4A27-567A-4471-B428-4DEE58AB21C5}"/>
    <cellStyle name="Comma 2 2 2 2 3 3 5" xfId="38072" xr:uid="{AA03A63D-7B74-44D4-BF26-6CBADCEC558D}"/>
    <cellStyle name="Comma 2 2 2 2 3 3 6" xfId="38905" xr:uid="{77507781-A8CD-43E0-959A-CF11DBF99DA3}"/>
    <cellStyle name="Comma 2 2 2 2 3 3 7" xfId="39895" xr:uid="{635B6257-EF97-4952-A407-26773D3F2625}"/>
    <cellStyle name="Comma 2 2 2 2 3 3 8" xfId="40537" xr:uid="{DEC9BE2A-F69E-49DC-8069-3470D2EDFCE6}"/>
    <cellStyle name="Comma 2 2 2 2 3 3 9" xfId="41749" xr:uid="{050193F0-68B9-4D93-9E97-E4C678DBC7E8}"/>
    <cellStyle name="Comma 2 2 2 2 3 4" xfId="9768" xr:uid="{01C1920E-84C4-43E6-AB0B-CE8AA5E5E0AD}"/>
    <cellStyle name="Comma 2 2 2 2 3 4 2" xfId="13074" xr:uid="{9CCC8E1B-E027-44FC-9EED-EE72116952F4}"/>
    <cellStyle name="Comma 2 2 2 2 3 4 2 2" xfId="49078" xr:uid="{E12FCCE4-A0B9-41E3-8FB1-460F1C3BC656}"/>
    <cellStyle name="Comma 2 2 2 2 3 4 2 3" xfId="51758" xr:uid="{0D5F89BA-0CCF-4619-A9F7-87C63997AFD9}"/>
    <cellStyle name="Comma 2 2 2 2 3 4 2 4" xfId="52139" xr:uid="{672A97D5-BBB2-4150-BF4A-612A276A2875}"/>
    <cellStyle name="Comma 2 2 2 2 3 4 2 5" xfId="39248" xr:uid="{9F430C8E-7E23-476B-80B5-35B6353590D0}"/>
    <cellStyle name="Comma 2 2 2 2 3 4 3" xfId="41116" xr:uid="{A3C82439-E646-40D6-9F1D-89781BD4074A}"/>
    <cellStyle name="Comma 2 2 2 2 3 4 4" xfId="42925" xr:uid="{C8E6D7A7-ECFE-4CF9-899A-7A1F8290AA64}"/>
    <cellStyle name="Comma 2 2 2 2 3 4 5" xfId="45032" xr:uid="{62DF621E-8DFF-420B-BB8D-FFB62C8A99AB}"/>
    <cellStyle name="Comma 2 2 2 2 3 4 6" xfId="47495" xr:uid="{5F46FF04-E1D8-403C-BD18-970E5973F496}"/>
    <cellStyle name="Comma 2 2 2 2 3 4 7" xfId="50430" xr:uid="{48F8AF90-4781-47D3-8B60-DF2174690D73}"/>
    <cellStyle name="Comma 2 2 2 2 3 4 8" xfId="52140" xr:uid="{898004A4-5ACF-4E97-A4BC-23C713D2F882}"/>
    <cellStyle name="Comma 2 2 2 2 3 4 9" xfId="20493" xr:uid="{ADE64965-69E2-43C0-8572-72288B9C78BB}"/>
    <cellStyle name="Comma 2 2 2 2 3 5" xfId="7266" xr:uid="{63C2E57F-1A1F-412C-859D-ABAD5BC314CF}"/>
    <cellStyle name="Comma 2 2 2 2 3 5 2" xfId="47743" xr:uid="{1AFEF7DC-A96A-44E8-8438-CBAE336E044C}"/>
    <cellStyle name="Comma 2 2 2 2 3 5 3" xfId="50642" xr:uid="{4E9E41F2-7751-4721-8FDB-022DC86043A7}"/>
    <cellStyle name="Comma 2 2 2 2 3 5 4" xfId="52141" xr:uid="{A4C542E9-0459-40C5-B8D5-A499AFA05C99}"/>
    <cellStyle name="Comma 2 2 2 2 3 5 5" xfId="19900" xr:uid="{E47D7015-1E59-438D-A31D-A53A871FF7E4}"/>
    <cellStyle name="Comma 2 2 2 2 3 6" xfId="11789" xr:uid="{6AA4F051-0839-49ED-95FC-F2690A99473C}"/>
    <cellStyle name="Comma 2 2 2 2 3 6 2" xfId="23572" xr:uid="{44BF88B9-0240-4007-B98C-3BB2D50D660E}"/>
    <cellStyle name="Comma 2 2 2 2 3 7" xfId="38069" xr:uid="{DB0B45CF-A4F4-4648-8B72-5FC82860C10E}"/>
    <cellStyle name="Comma 2 2 2 2 3 8" xfId="38657" xr:uid="{4022A29B-A455-4720-B891-6AF41D066016}"/>
    <cellStyle name="Comma 2 2 2 2 3 9" xfId="39892" xr:uid="{692AD2C2-706E-4416-8F22-7C15AC000CA2}"/>
    <cellStyle name="Comma 2 2 2 2 4" xfId="5492" xr:uid="{72B740C7-B318-40AD-9603-638DA5B685FD}"/>
    <cellStyle name="Comma 2 2 2 2 4 10" xfId="41750" xr:uid="{B2B0755E-BA3E-4A35-9B8B-1D116975DE4D}"/>
    <cellStyle name="Comma 2 2 2 2 4 11" xfId="42447" xr:uid="{28DB2D03-88D9-4777-A504-9CAE2D3C2A9E}"/>
    <cellStyle name="Comma 2 2 2 2 4 12" xfId="43781" xr:uid="{E3869E4E-3F40-41F7-B21F-27ECFF5FF3D9}"/>
    <cellStyle name="Comma 2 2 2 2 4 13" xfId="44649" xr:uid="{A79E5E8B-C2A2-46D4-9BD3-8A5CF1A63745}"/>
    <cellStyle name="Comma 2 2 2 2 4 14" xfId="46539" xr:uid="{ABB44F25-E87E-4D1A-9EEA-B0F69A35C7D9}"/>
    <cellStyle name="Comma 2 2 2 2 4 15" xfId="49572" xr:uid="{2C0FEAB4-D69E-4666-81CD-2A7AB666F9F7}"/>
    <cellStyle name="Comma 2 2 2 2 4 16" xfId="52142" xr:uid="{C1B6D48E-BAE4-45BB-8FCA-18BCABAD8365}"/>
    <cellStyle name="Comma 2 2 2 2 4 17" xfId="16641" xr:uid="{5317F8A2-FB92-4CCC-BC55-AD5581C0942F}"/>
    <cellStyle name="Comma 2 2 2 2 4 18" xfId="14029" xr:uid="{679056C0-870A-4CA2-BED5-EF9FC3DCD80C}"/>
    <cellStyle name="Comma 2 2 2 2 4 2" xfId="7594" xr:uid="{13BBC99B-10AB-430B-B8AB-5FDE43F7F9BD}"/>
    <cellStyle name="Comma 2 2 2 2 4 2 10" xfId="42584" xr:uid="{89DCFD79-CDFF-45A2-9385-7D9F6A011F78}"/>
    <cellStyle name="Comma 2 2 2 2 4 2 11" xfId="44751" xr:uid="{75C1A5D1-610F-41E6-96F5-75CD20DC860F}"/>
    <cellStyle name="Comma 2 2 2 2 4 2 12" xfId="47032" xr:uid="{83F8050A-85E1-485C-8A56-AE92B8F82FF8}"/>
    <cellStyle name="Comma 2 2 2 2 4 2 13" xfId="50033" xr:uid="{1BFB4851-7371-4B00-A7D7-776ACF0263F4}"/>
    <cellStyle name="Comma 2 2 2 2 4 2 14" xfId="52143" xr:uid="{56C30F47-B224-482B-8279-9FC59E68CF42}"/>
    <cellStyle name="Comma 2 2 2 2 4 2 15" xfId="16937" xr:uid="{6F5EDD1B-E356-4259-B196-F041DE672D3E}"/>
    <cellStyle name="Comma 2 2 2 2 4 2 16" xfId="14521" xr:uid="{9A4EE41B-61C0-494D-A2D7-B4C73EBF2546}"/>
    <cellStyle name="Comma 2 2 2 2 4 2 2" xfId="10086" xr:uid="{B9526537-41CA-47E3-831A-8B6A1F07D6D5}"/>
    <cellStyle name="Comma 2 2 2 2 4 2 2 2" xfId="13392" xr:uid="{A6E601BC-D1A8-411C-97C8-D89803DC20AC}"/>
    <cellStyle name="Comma 2 2 2 2 4 2 2 2 2" xfId="39498" xr:uid="{2A68118D-51D5-429F-8AB6-C71CBD547F2A}"/>
    <cellStyle name="Comma 2 2 2 2 4 2 2 3" xfId="41352" xr:uid="{35E2BB80-C78E-442B-804C-4B55FC4D2F20}"/>
    <cellStyle name="Comma 2 2 2 2 4 2 2 4" xfId="43175" xr:uid="{FC5CF537-660E-414E-AD6D-D3906F9885CC}"/>
    <cellStyle name="Comma 2 2 2 2 4 2 2 5" xfId="45272" xr:uid="{93EB0B58-FF07-4A45-987E-B1170E95ECB5}"/>
    <cellStyle name="Comma 2 2 2 2 4 2 2 6" xfId="48598" xr:uid="{5952826A-B2C7-4785-BC91-9DC0CAC95660}"/>
    <cellStyle name="Comma 2 2 2 2 4 2 2 7" xfId="51361" xr:uid="{575BD56E-A322-4D87-BFC5-7299A6EF9798}"/>
    <cellStyle name="Comma 2 2 2 2 4 2 2 8" xfId="52144" xr:uid="{09B778E5-16CE-4E38-BDD1-95D259D56511}"/>
    <cellStyle name="Comma 2 2 2 2 4 2 2 9" xfId="20932" xr:uid="{A38BEE30-3BF3-4DC3-AB42-FF990073EEDF}"/>
    <cellStyle name="Comma 2 2 2 2 4 2 3" xfId="12107" xr:uid="{FF0A5572-D416-4B2C-AE70-4BFD40259A5F}"/>
    <cellStyle name="Comma 2 2 2 2 4 2 3 2" xfId="20151" xr:uid="{D59B0BDD-160B-4216-9E88-74098819FACD}"/>
    <cellStyle name="Comma 2 2 2 2 4 2 4" xfId="23577" xr:uid="{F9D8DD8F-CB2B-41B8-A906-84F6DBAC9AC1}"/>
    <cellStyle name="Comma 2 2 2 2 4 2 5" xfId="38074" xr:uid="{44A224B5-045B-4DC0-AFC5-D431F7F35451}"/>
    <cellStyle name="Comma 2 2 2 2 4 2 6" xfId="38907" xr:uid="{23A9D2FC-88C9-494C-9788-688679B9B992}"/>
    <cellStyle name="Comma 2 2 2 2 4 2 7" xfId="39897" xr:uid="{AAB907CD-5FF9-4062-B0DC-135A3268E7A7}"/>
    <cellStyle name="Comma 2 2 2 2 4 2 8" xfId="40539" xr:uid="{5E468DDD-C5E2-47E6-BDAC-E9259D9A88FE}"/>
    <cellStyle name="Comma 2 2 2 2 4 2 9" xfId="41751" xr:uid="{2F5C4F0E-15AE-473B-A5EE-9F0BAF7CFF01}"/>
    <cellStyle name="Comma 2 2 2 2 4 3" xfId="9592" xr:uid="{780AF86A-5863-437E-8B71-852D02591F28}"/>
    <cellStyle name="Comma 2 2 2 2 4 3 2" xfId="12898" xr:uid="{F462EFEC-3F8E-4CCD-921D-D27CE8BB2996}"/>
    <cellStyle name="Comma 2 2 2 2 4 3 2 2" xfId="48906" xr:uid="{61D75EA7-D05C-4407-9480-DB6662496741}"/>
    <cellStyle name="Comma 2 2 2 2 4 3 2 3" xfId="51618" xr:uid="{AE504463-4D7F-4A74-B51D-6F1716D4D60F}"/>
    <cellStyle name="Comma 2 2 2 2 4 3 2 4" xfId="52145" xr:uid="{A4B6ABDD-EDF2-420A-B8E7-4E29E12FB010}"/>
    <cellStyle name="Comma 2 2 2 2 4 3 2 5" xfId="39361" xr:uid="{F7A2BA27-3913-46A3-B7FC-0F70934E81DE}"/>
    <cellStyle name="Comma 2 2 2 2 4 3 3" xfId="41219" xr:uid="{398CBDAD-5967-4543-BB49-622FFCFF9EA2}"/>
    <cellStyle name="Comma 2 2 2 2 4 3 4" xfId="43038" xr:uid="{554C6DA2-0522-4A22-A9CB-F4F13F50A3F6}"/>
    <cellStyle name="Comma 2 2 2 2 4 3 5" xfId="45139" xr:uid="{DD53153D-5AB1-479E-BF38-BD30A5D0E25E}"/>
    <cellStyle name="Comma 2 2 2 2 4 3 6" xfId="47330" xr:uid="{F0787B17-6699-4645-9FF6-C4236D05A8DA}"/>
    <cellStyle name="Comma 2 2 2 2 4 3 7" xfId="50290" xr:uid="{78F52FAD-9261-4B47-8E29-67BEB76762B6}"/>
    <cellStyle name="Comma 2 2 2 2 4 3 8" xfId="52146" xr:uid="{CE121030-4148-40B9-939C-6EBB04F5B11C}"/>
    <cellStyle name="Comma 2 2 2 2 4 3 9" xfId="20735" xr:uid="{41E40945-77FA-49ED-9454-F3BC61BF54A9}"/>
    <cellStyle name="Comma 2 2 2 2 4 4" xfId="7088" xr:uid="{80FB68DC-888B-4CC0-ACE7-E7062096DC68}"/>
    <cellStyle name="Comma 2 2 2 2 4 4 2" xfId="48051" xr:uid="{557C2DA1-A63F-4C09-BBDF-E4345829F62D}"/>
    <cellStyle name="Comma 2 2 2 2 4 4 3" xfId="50900" xr:uid="{5955334A-C37A-4307-BB87-081FA8A2CCCF}"/>
    <cellStyle name="Comma 2 2 2 2 4 4 4" xfId="52147" xr:uid="{D96B05DB-D233-4E58-A690-D2A7E3F5C8DE}"/>
    <cellStyle name="Comma 2 2 2 2 4 4 5" xfId="20014" xr:uid="{FDB02687-00AC-4288-9750-113CE799A3BB}"/>
    <cellStyle name="Comma 2 2 2 2 4 5" xfId="11613" xr:uid="{57D240F0-04A2-4325-A276-FB6BA4441D6E}"/>
    <cellStyle name="Comma 2 2 2 2 4 5 2" xfId="23576" xr:uid="{463F4BBF-2FB6-49DD-92EA-A44ED36A4052}"/>
    <cellStyle name="Comma 2 2 2 2 4 6" xfId="38073" xr:uid="{9D2550CB-0148-4AB4-AB22-736CB22D7429}"/>
    <cellStyle name="Comma 2 2 2 2 4 7" xfId="38770" xr:uid="{B58A83E8-7B27-45FE-9A43-D7CA14569864}"/>
    <cellStyle name="Comma 2 2 2 2 4 8" xfId="39896" xr:uid="{CF4264A2-09FD-48C8-AE98-C479A31F275F}"/>
    <cellStyle name="Comma 2 2 2 2 4 9" xfId="40538" xr:uid="{C3959141-B8E9-48DA-9B7A-E409F79BFF71}"/>
    <cellStyle name="Comma 2 2 2 2 5" xfId="6482" xr:uid="{9EBAD737-A1B6-4E42-BBD5-3CC0765B3D13}"/>
    <cellStyle name="Comma 2 2 2 2 5 10" xfId="41752" xr:uid="{F06DE048-7748-4BB0-977E-571AF29B6B4E}"/>
    <cellStyle name="Comma 2 2 2 2 5 11" xfId="42387" xr:uid="{E645364B-0F55-42D4-8A41-B0896BC02E25}"/>
    <cellStyle name="Comma 2 2 2 2 5 12" xfId="44618" xr:uid="{5FD410D7-CB5B-43FC-B673-79A5E53E96AC}"/>
    <cellStyle name="Comma 2 2 2 2 5 13" xfId="46121" xr:uid="{4AD31742-1CA0-4A99-9083-C5B7662FB1E8}"/>
    <cellStyle name="Comma 2 2 2 2 5 14" xfId="49457" xr:uid="{027B2440-F71F-455F-A2ED-87ECAE0F86B4}"/>
    <cellStyle name="Comma 2 2 2 2 5 15" xfId="52148" xr:uid="{A313E2F5-3F42-446D-BDAE-D8A2C1519624}"/>
    <cellStyle name="Comma 2 2 2 2 5 16" xfId="16362" xr:uid="{0EC8C030-4EE6-4402-8CC2-8EA938B4123C}"/>
    <cellStyle name="Comma 2 2 2 2 5 17" xfId="14383" xr:uid="{91C2D3D0-98E2-44AE-9942-898C7BDE32BC}"/>
    <cellStyle name="Comma 2 2 2 2 5 2" xfId="9454" xr:uid="{226197FA-E741-436B-86E0-A5DC3976C092}"/>
    <cellStyle name="Comma 2 2 2 2 5 2 10" xfId="42585" xr:uid="{BB44DCC9-8C43-4D6C-9B5E-1AFD560F1639}"/>
    <cellStyle name="Comma 2 2 2 2 5 2 11" xfId="44752" xr:uid="{31B42BF9-52FB-405D-9390-46871B7725F2}"/>
    <cellStyle name="Comma 2 2 2 2 5 2 12" xfId="47916" xr:uid="{92CB9CD6-58CF-4697-A31F-F01AE8658958}"/>
    <cellStyle name="Comma 2 2 2 2 5 2 13" xfId="50785" xr:uid="{B71F5474-96F2-4843-B95C-72C32B141270}"/>
    <cellStyle name="Comma 2 2 2 2 5 2 14" xfId="52149" xr:uid="{7E834D39-FD85-4F9D-88AC-4EAB026ACA37}"/>
    <cellStyle name="Comma 2 2 2 2 5 2 15" xfId="16938" xr:uid="{D5AA20EE-4C64-499C-BD2E-8C9CC91D8613}"/>
    <cellStyle name="Comma 2 2 2 2 5 2 2" xfId="12760" xr:uid="{9871A5AC-F725-463E-BB35-9EE9462B383F}"/>
    <cellStyle name="Comma 2 2 2 2 5 2 2 2" xfId="39499" xr:uid="{B960B60D-4BF6-4D6F-98D5-8E36095C67F2}"/>
    <cellStyle name="Comma 2 2 2 2 5 2 2 3" xfId="41353" xr:uid="{DE81BD65-5D6D-45D5-BA14-56FA9F55815A}"/>
    <cellStyle name="Comma 2 2 2 2 5 2 2 4" xfId="43176" xr:uid="{C4989443-2121-4E74-A76A-DA61F441C034}"/>
    <cellStyle name="Comma 2 2 2 2 5 2 2 5" xfId="45273" xr:uid="{21D40DEC-CC1D-4A0C-A749-5E42128E5F0A}"/>
    <cellStyle name="Comma 2 2 2 2 5 2 2 6" xfId="20933" xr:uid="{A68F6637-1F7D-43EA-B5A9-E740A55E3476}"/>
    <cellStyle name="Comma 2 2 2 2 5 2 3" xfId="20152" xr:uid="{43916DAD-CA22-4552-94CE-0CD3734E1724}"/>
    <cellStyle name="Comma 2 2 2 2 5 2 4" xfId="23579" xr:uid="{0E8AAB90-B59A-45F1-A55E-BAB53B397C3C}"/>
    <cellStyle name="Comma 2 2 2 2 5 2 5" xfId="38076" xr:uid="{33A07E86-78E7-4F88-81F5-7C2723BBAB13}"/>
    <cellStyle name="Comma 2 2 2 2 5 2 6" xfId="38908" xr:uid="{E2E26873-43E9-440D-AC5C-FBF0C241ABAC}"/>
    <cellStyle name="Comma 2 2 2 2 5 2 7" xfId="39899" xr:uid="{59B70E3F-2042-4844-A38E-8455E0C8B60E}"/>
    <cellStyle name="Comma 2 2 2 2 5 2 8" xfId="40541" xr:uid="{D1FB24DF-6C43-475D-B6B8-34B59EF29A58}"/>
    <cellStyle name="Comma 2 2 2 2 5 2 9" xfId="41753" xr:uid="{CF8290A2-EAA1-4D2F-85B0-3F6BAC8FDA0D}"/>
    <cellStyle name="Comma 2 2 2 2 5 3" xfId="11475" xr:uid="{47DA5144-B6D0-42C1-BC9C-B4C62CEA30FF}"/>
    <cellStyle name="Comma 2 2 2 2 5 3 2" xfId="39301" xr:uid="{198C4C14-EA74-4169-94B9-51BCAF9C002A}"/>
    <cellStyle name="Comma 2 2 2 2 5 3 3" xfId="41163" xr:uid="{769466D3-7C99-44CD-99F8-4EA2548EA1CB}"/>
    <cellStyle name="Comma 2 2 2 2 5 3 4" xfId="42978" xr:uid="{3096DDBA-0960-474D-B766-86CEB80B4B5C}"/>
    <cellStyle name="Comma 2 2 2 2 5 3 5" xfId="45083" xr:uid="{C080ADDE-E863-4030-AC6E-AA68D92356CD}"/>
    <cellStyle name="Comma 2 2 2 2 5 3 6" xfId="20607" xr:uid="{6083A0DC-E86D-4909-A012-45769650EA25}"/>
    <cellStyle name="Comma 2 2 2 2 5 4" xfId="19954" xr:uid="{CC46809C-66F1-4240-BB6D-DE1BA4AAAA77}"/>
    <cellStyle name="Comma 2 2 2 2 5 5" xfId="23578" xr:uid="{49D754D7-9CDF-4248-9DF7-90C5D6DF44B5}"/>
    <cellStyle name="Comma 2 2 2 2 5 6" xfId="38075" xr:uid="{E72ECE9B-BDB6-4F30-900F-151634A523AE}"/>
    <cellStyle name="Comma 2 2 2 2 5 7" xfId="38710" xr:uid="{971F395A-E80F-41FB-89BC-9842F36BD270}"/>
    <cellStyle name="Comma 2 2 2 2 5 8" xfId="39898" xr:uid="{58B05140-0688-4BB9-A327-C6CFC94B9EAB}"/>
    <cellStyle name="Comma 2 2 2 2 5 9" xfId="40540" xr:uid="{216AE025-94A7-4930-8B8B-1E35AF956D16}"/>
    <cellStyle name="Comma 2 2 2 2 6" xfId="7456" xr:uid="{FACA835D-CA53-40BD-A8F9-60C68D3D28C0}"/>
    <cellStyle name="Comma 2 2 2 2 6 10" xfId="42586" xr:uid="{B1B23869-0257-499E-BF6C-790E606C0C99}"/>
    <cellStyle name="Comma 2 2 2 2 6 11" xfId="44753" xr:uid="{452AB137-4F8E-489D-88AC-A87FD0C8460B}"/>
    <cellStyle name="Comma 2 2 2 2 6 12" xfId="46803" xr:uid="{DA212E6F-E8A6-4004-B272-1EEBB6BB0A02}"/>
    <cellStyle name="Comma 2 2 2 2 6 13" xfId="49827" xr:uid="{1226F7FE-0D87-46C3-9054-CAEA42AD10CB}"/>
    <cellStyle name="Comma 2 2 2 2 6 14" xfId="52150" xr:uid="{598AE614-207A-40E0-8027-BAA5E4545F4B}"/>
    <cellStyle name="Comma 2 2 2 2 6 15" xfId="16939" xr:uid="{E2AB6373-DB68-41C0-9CD5-D73D1B4E909E}"/>
    <cellStyle name="Comma 2 2 2 2 6 16" xfId="14836" xr:uid="{6C5C020E-DBD6-4AF7-AD87-901346581381}"/>
    <cellStyle name="Comma 2 2 2 2 6 2" xfId="9948" xr:uid="{9A25742D-9EFE-4016-80FC-148EB9AF26AA}"/>
    <cellStyle name="Comma 2 2 2 2 6 2 2" xfId="13254" xr:uid="{D38E20C9-4244-4ED3-B8A0-358945F4CB7B}"/>
    <cellStyle name="Comma 2 2 2 2 6 2 2 2" xfId="39500" xr:uid="{58097A0C-17BB-481F-908F-981AAAEF2390}"/>
    <cellStyle name="Comma 2 2 2 2 6 2 3" xfId="41354" xr:uid="{5245CCF5-2FC7-46A4-922C-93453C65EEDF}"/>
    <cellStyle name="Comma 2 2 2 2 6 2 4" xfId="43177" xr:uid="{96D63BC3-0656-4F98-B3BE-DA9667E3EF3D}"/>
    <cellStyle name="Comma 2 2 2 2 6 2 5" xfId="45274" xr:uid="{05D7F32E-3B7B-47DD-B069-FF5931A7FF1A}"/>
    <cellStyle name="Comma 2 2 2 2 6 2 6" xfId="48354" xr:uid="{0D437172-4C4B-4051-AF6E-752DD6728814}"/>
    <cellStyle name="Comma 2 2 2 2 6 2 7" xfId="51155" xr:uid="{727BE439-140C-4926-8BCE-A6F1D13C4BC5}"/>
    <cellStyle name="Comma 2 2 2 2 6 2 8" xfId="52151" xr:uid="{08AD2B45-E1AA-448E-9187-F62F5203E6F6}"/>
    <cellStyle name="Comma 2 2 2 2 6 2 9" xfId="20934" xr:uid="{45EF3186-4B49-44CC-B460-2A34BF6F282B}"/>
    <cellStyle name="Comma 2 2 2 2 6 3" xfId="11969" xr:uid="{817409FD-4D08-4B74-8ACD-37D8C4CC7D00}"/>
    <cellStyle name="Comma 2 2 2 2 6 3 2" xfId="20153" xr:uid="{6D1DDBE9-AF34-4092-8008-680B4A761AEE}"/>
    <cellStyle name="Comma 2 2 2 2 6 4" xfId="23580" xr:uid="{C0E0A7DD-D8B4-454C-B766-AA1C8BBF9665}"/>
    <cellStyle name="Comma 2 2 2 2 6 5" xfId="38077" xr:uid="{E9CACA3A-0F81-4EEC-A18F-AE2AD72B3800}"/>
    <cellStyle name="Comma 2 2 2 2 6 6" xfId="38909" xr:uid="{6EB6B25D-8E6C-4AF7-875E-9D131FA4AD70}"/>
    <cellStyle name="Comma 2 2 2 2 6 7" xfId="39900" xr:uid="{997244A7-0E0E-4D34-8892-921D078BA139}"/>
    <cellStyle name="Comma 2 2 2 2 6 8" xfId="40542" xr:uid="{18C96627-AD55-4B60-B981-D0A276CB7DD2}"/>
    <cellStyle name="Comma 2 2 2 2 6 9" xfId="41754" xr:uid="{515CC34D-D498-48E7-BF2F-F5A835E22203}"/>
    <cellStyle name="Comma 2 2 2 2 7" xfId="8122" xr:uid="{365700A7-3003-4FF7-B22C-81F8959923DC}"/>
    <cellStyle name="Comma 2 2 2 2 7 10" xfId="42575" xr:uid="{3FED8726-D1C2-4FD9-8583-4DA3E9F68375}"/>
    <cellStyle name="Comma 2 2 2 2 7 11" xfId="44742" xr:uid="{671D758F-819D-4562-98CC-F90C0AA2C17F}"/>
    <cellStyle name="Comma 2 2 2 2 7 12" xfId="47197" xr:uid="{95E9AE1B-8CC1-4233-9827-648055519C28}"/>
    <cellStyle name="Comma 2 2 2 2 7 13" xfId="50175" xr:uid="{431A153D-79BF-41ED-AF4F-D40EBDB2B84C}"/>
    <cellStyle name="Comma 2 2 2 2 7 14" xfId="52152" xr:uid="{57B12FDD-493D-4CFA-AF2D-81172098284D}"/>
    <cellStyle name="Comma 2 2 2 2 7 15" xfId="16928" xr:uid="{15BF48E8-60EA-464F-84D3-243DA1A646B1}"/>
    <cellStyle name="Comma 2 2 2 2 7 2" xfId="12578" xr:uid="{48AAFCD7-1783-4B4B-908A-10543CEB2224}"/>
    <cellStyle name="Comma 2 2 2 2 7 2 2" xfId="39489" xr:uid="{6A36E84C-63E6-4B07-839D-54997FBDE684}"/>
    <cellStyle name="Comma 2 2 2 2 7 2 3" xfId="41343" xr:uid="{93CA2285-ED58-4181-B631-4BEBBAE9BB94}"/>
    <cellStyle name="Comma 2 2 2 2 7 2 4" xfId="43166" xr:uid="{F27646AF-0851-4D28-B3AB-1BBFAFE32D08}"/>
    <cellStyle name="Comma 2 2 2 2 7 2 5" xfId="45263" xr:uid="{65A597A9-DFA6-4157-8F13-DD5E173B7705}"/>
    <cellStyle name="Comma 2 2 2 2 7 2 6" xfId="48768" xr:uid="{88A693D0-1096-45C9-B4F9-2FBC4E950E03}"/>
    <cellStyle name="Comma 2 2 2 2 7 2 7" xfId="51503" xr:uid="{1EFB4B0F-4228-454A-B133-EB6602F4329A}"/>
    <cellStyle name="Comma 2 2 2 2 7 2 8" xfId="52153" xr:uid="{F7885B4F-5D62-4DC8-95AC-10D0894D9207}"/>
    <cellStyle name="Comma 2 2 2 2 7 2 9" xfId="20923" xr:uid="{59DE5E7C-0A02-4609-934C-31B4212C1C41}"/>
    <cellStyle name="Comma 2 2 2 2 7 3" xfId="20142" xr:uid="{93C22701-BB78-46E6-AAFF-4215E8FDD8E0}"/>
    <cellStyle name="Comma 2 2 2 2 7 4" xfId="23581" xr:uid="{7F953375-55BF-4E7A-ADD7-3259731A6F8D}"/>
    <cellStyle name="Comma 2 2 2 2 7 5" xfId="38078" xr:uid="{DBFFC6A5-CC26-459B-83DE-187E19F5F5E9}"/>
    <cellStyle name="Comma 2 2 2 2 7 6" xfId="38898" xr:uid="{6994E3E7-2C76-488D-85C4-783EE24672B6}"/>
    <cellStyle name="Comma 2 2 2 2 7 7" xfId="39901" xr:uid="{4AF4AB0C-7905-4674-84C9-0D783DFE6A68}"/>
    <cellStyle name="Comma 2 2 2 2 7 8" xfId="40543" xr:uid="{D4D2B91C-88B0-4B25-A913-4AEEB1AD0A63}"/>
    <cellStyle name="Comma 2 2 2 2 7 9" xfId="41755" xr:uid="{F6A715A1-46CA-485A-A297-D3C2FE4836AD}"/>
    <cellStyle name="Comma 2 2 2 2 8" xfId="7909" xr:uid="{2DAD2C7C-E95A-410A-8C5B-A1CAAA2A4034}"/>
    <cellStyle name="Comma 2 2 2 2 8 10" xfId="42875" xr:uid="{E073C630-30CC-475F-AE6D-0215F6BD231B}"/>
    <cellStyle name="Comma 2 2 2 2 8 11" xfId="44982" xr:uid="{5E3D83AF-7E2B-48C7-83A1-56A13DB4ACA1}"/>
    <cellStyle name="Comma 2 2 2 2 8 12" xfId="47661" xr:uid="{DFE0574E-33B1-42DF-9D8F-FE3E2442E2B2}"/>
    <cellStyle name="Comma 2 2 2 2 8 13" xfId="50569" xr:uid="{7ED8639C-3C20-459F-8E62-9E17DAEB7DED}"/>
    <cellStyle name="Comma 2 2 2 2 8 14" xfId="52154" xr:uid="{549217A2-BD09-47CF-9ACE-65E63836ACE1}"/>
    <cellStyle name="Comma 2 2 2 2 8 15" xfId="19813" xr:uid="{D0B4D557-107C-4EB6-9555-F2460A3F0199}"/>
    <cellStyle name="Comma 2 2 2 2 8 2" xfId="12422" xr:uid="{FADBBBAA-E9D9-4987-92B6-E15F2F16482E}"/>
    <cellStyle name="Comma 2 2 2 2 8 2 2" xfId="39789" xr:uid="{4527798B-8DA8-4E0F-928A-ABF1E47CFC06}"/>
    <cellStyle name="Comma 2 2 2 2 8 2 3" xfId="41642" xr:uid="{0C3A7DF5-9D67-4946-AAD9-D64AC67A7556}"/>
    <cellStyle name="Comma 2 2 2 2 8 2 4" xfId="43466" xr:uid="{60464B9D-2048-409F-9A88-CD77A0D5859D}"/>
    <cellStyle name="Comma 2 2 2 2 8 2 5" xfId="45539" xr:uid="{2AC0131D-AC53-4D47-8827-5EB07D834340}"/>
    <cellStyle name="Comma 2 2 2 2 8 2 6" xfId="23426" xr:uid="{7A49ECF0-A6A1-4286-8EB2-65132254B53D}"/>
    <cellStyle name="Comma 2 2 2 2 8 3" xfId="20443" xr:uid="{127CEE62-3D7A-4D70-9058-761FEE6E4FF9}"/>
    <cellStyle name="Comma 2 2 2 2 8 4" xfId="23582" xr:uid="{12B987F2-E33D-48EC-B6FB-95F601DCB0D1}"/>
    <cellStyle name="Comma 2 2 2 2 8 5" xfId="38079" xr:uid="{5FB858D0-C7E5-4927-BCAC-DE4CCB38F66F}"/>
    <cellStyle name="Comma 2 2 2 2 8 6" xfId="39198" xr:uid="{F6BF2967-0606-437A-902C-708F6FE00FAE}"/>
    <cellStyle name="Comma 2 2 2 2 8 7" xfId="39902" xr:uid="{574F2F2B-1EC8-4173-9B23-9F497317EEAB}"/>
    <cellStyle name="Comma 2 2 2 2 8 8" xfId="40544" xr:uid="{6F90217B-42BD-4465-8E8A-F5E8A409B5E1}"/>
    <cellStyle name="Comma 2 2 2 2 8 9" xfId="41756" xr:uid="{75195BE8-901A-4895-956F-02E9B7A4473D}"/>
    <cellStyle name="Comma 2 2 2 2 9" xfId="5806" xr:uid="{BE53F52E-66FD-4C11-B39C-258FE3A12542}"/>
    <cellStyle name="Comma 2 2 2 2 9 2" xfId="39210" xr:uid="{A0E42806-B204-4ED1-B14D-EFCC996BDDD0}"/>
    <cellStyle name="Comma 2 2 2 2 9 3" xfId="41085" xr:uid="{A483E08A-E640-4388-9996-5A26626B5AED}"/>
    <cellStyle name="Comma 2 2 2 2 9 4" xfId="42887" xr:uid="{C4155E91-8C27-44D2-8A45-FB8A50C49BBC}"/>
    <cellStyle name="Comma 2 2 2 2 9 5" xfId="44994" xr:uid="{65161DC8-AAB6-4205-9469-11313F5F7A99}"/>
    <cellStyle name="Comma 2 2 2 2 9 6" xfId="20455" xr:uid="{D9AC86D0-07E9-4AFC-A5A3-AAB64B5BD15F}"/>
    <cellStyle name="Comma 2 2 2 20" xfId="43472" xr:uid="{38D97868-96AD-4F4A-8BCA-DBBA3C8AC39A}"/>
    <cellStyle name="Comma 2 2 2 21" xfId="44370" xr:uid="{CFCD5135-9B53-45F3-B2AA-66C57A5489F4}"/>
    <cellStyle name="Comma 2 2 2 22" xfId="45578" xr:uid="{285584BA-5E50-4D0A-8255-95DB7090CE5E}"/>
    <cellStyle name="Comma 2 2 2 23" xfId="49208" xr:uid="{17BD91A1-6748-46EE-9A0B-02D26F8794D3}"/>
    <cellStyle name="Comma 2 2 2 24" xfId="52155" xr:uid="{FED5985D-5432-45E3-A09C-E278D2324E29}"/>
    <cellStyle name="Comma 2 2 2 25" xfId="15197" xr:uid="{F7B97C07-C70B-401F-A031-236F71AB9150}"/>
    <cellStyle name="Comma 2 2 2 26" xfId="13844" xr:uid="{DDAAC94D-694A-4A3F-A0A3-8EE8000FFE8F}"/>
    <cellStyle name="Comma 2 2 2 3" xfId="1737" xr:uid="{C8280F00-8180-45F7-AC61-9AECC1BDE45D}"/>
    <cellStyle name="Comma 2 2 2 3 10" xfId="38656" xr:uid="{7A2685F1-3DE6-4576-A0A4-67D51E8ACF2E}"/>
    <cellStyle name="Comma 2 2 2 3 11" xfId="39903" xr:uid="{9722CA0A-DA97-4B3D-977C-9A2CEA20F6A4}"/>
    <cellStyle name="Comma 2 2 2 3 12" xfId="40545" xr:uid="{B6658681-FEC5-4FEC-A07C-2ED6A97248AD}"/>
    <cellStyle name="Comma 2 2 2 3 13" xfId="41757" xr:uid="{DDD4E1EB-8D72-43BD-B3F1-BB792F15C854}"/>
    <cellStyle name="Comma 2 2 2 3 14" xfId="42333" xr:uid="{EA6CA3A9-2B1F-431E-9C5E-23A564B938BD}"/>
    <cellStyle name="Comma 2 2 2 3 15" xfId="43510" xr:uid="{74F33991-CECE-440F-8642-7DF6FD2DDC4C}"/>
    <cellStyle name="Comma 2 2 2 3 16" xfId="44373" xr:uid="{62EB1603-98CF-4FD2-AD2F-081233AC62C4}"/>
    <cellStyle name="Comma 2 2 2 3 17" xfId="45614" xr:uid="{4AFC12F4-10A4-41BE-B3DE-F64FC5CA5CEB}"/>
    <cellStyle name="Comma 2 2 2 3 18" xfId="49243" xr:uid="{9697A216-556A-4080-95DB-C06FE1EEF7EA}"/>
    <cellStyle name="Comma 2 2 2 3 19" xfId="52156" xr:uid="{C9BDAC42-946C-4D19-9093-6F6E4271EEBB}"/>
    <cellStyle name="Comma 2 2 2 3 2" xfId="4413" xr:uid="{F1F6C1B4-78D1-4A75-BDD6-076FF73ADCC7}"/>
    <cellStyle name="Comma 2 2 2 3 2 10" xfId="41758" xr:uid="{488D9F19-D29E-41B3-AF1F-931520474479}"/>
    <cellStyle name="Comma 2 2 2 3 2 11" xfId="42485" xr:uid="{3927E15D-C31F-4510-AEC4-5A0F93901666}"/>
    <cellStyle name="Comma 2 2 2 3 2 12" xfId="44214" xr:uid="{9E2FE481-9946-40B8-9088-6FC59EBA0CB1}"/>
    <cellStyle name="Comma 2 2 2 3 2 13" xfId="44514" xr:uid="{114A00FA-3726-4562-B5CA-68547F49DAAF}"/>
    <cellStyle name="Comma 2 2 2 3 2 14" xfId="45688" xr:uid="{ECA62896-336C-4D0A-B7E7-206E87D75963}"/>
    <cellStyle name="Comma 2 2 2 3 2 15" xfId="49316" xr:uid="{58496125-8581-4C2C-8C2B-1A4AA1395C73}"/>
    <cellStyle name="Comma 2 2 2 3 2 16" xfId="52157" xr:uid="{888361FA-2F8D-4BC3-B0C8-89EE02B63902}"/>
    <cellStyle name="Comma 2 2 2 3 2 17" xfId="16748" xr:uid="{B9EA81CD-CCA7-4625-B4BC-4B75AC5C077F}"/>
    <cellStyle name="Comma 2 2 2 3 2 18" xfId="14207" xr:uid="{C231A010-D633-4207-AB50-E50418AA278E}"/>
    <cellStyle name="Comma 2 2 2 3 2 2" xfId="5670" xr:uid="{8F5340B1-FD6B-4264-80FA-41EFFCCBFD6D}"/>
    <cellStyle name="Comma 2 2 2 3 2 2 10" xfId="42588" xr:uid="{6952BBD8-589E-486E-AE85-B262086BA557}"/>
    <cellStyle name="Comma 2 2 2 3 2 2 11" xfId="44755" xr:uid="{801B65B1-B904-4576-A6CC-B560EC00662A}"/>
    <cellStyle name="Comma 2 2 2 3 2 2 12" xfId="46682" xr:uid="{AB357E57-A242-4B3F-95F6-0379995D8B82}"/>
    <cellStyle name="Comma 2 2 2 3 2 2 13" xfId="49714" xr:uid="{3393C8AA-D68A-4E7C-8E37-41F63F9F3315}"/>
    <cellStyle name="Comma 2 2 2 3 2 2 14" xfId="52158" xr:uid="{B9B63C95-9C68-4187-AAE8-42A3EBB2C3C9}"/>
    <cellStyle name="Comma 2 2 2 3 2 2 15" xfId="16941" xr:uid="{BA4C2796-D761-4C31-AC75-76D835A1CFB0}"/>
    <cellStyle name="Comma 2 2 2 3 2 2 16" xfId="14699" xr:uid="{1D45C00D-8780-491D-A864-418314B70521}"/>
    <cellStyle name="Comma 2 2 2 3 2 2 2" xfId="10264" xr:uid="{858E9450-2ED4-4156-A180-E9997ABA4EF1}"/>
    <cellStyle name="Comma 2 2 2 3 2 2 2 2" xfId="13570" xr:uid="{B19E08F4-75D9-4511-BC25-825B37290C33}"/>
    <cellStyle name="Comma 2 2 2 3 2 2 2 2 2" xfId="39502" xr:uid="{DC625167-DAC2-4AB1-B8A3-1EA53C13910F}"/>
    <cellStyle name="Comma 2 2 2 3 2 2 2 3" xfId="41356" xr:uid="{5BB5B000-55B6-47ED-BE82-24453DCCF319}"/>
    <cellStyle name="Comma 2 2 2 3 2 2 2 4" xfId="43179" xr:uid="{D5458349-026E-462A-BA9E-81B1E1265B26}"/>
    <cellStyle name="Comma 2 2 2 3 2 2 2 5" xfId="45276" xr:uid="{6FFAFC19-64E7-4D17-83F6-DAED26610722}"/>
    <cellStyle name="Comma 2 2 2 3 2 2 2 6" xfId="48224" xr:uid="{0ABDE8AD-B356-47B3-A2B3-610BED73AE04}"/>
    <cellStyle name="Comma 2 2 2 3 2 2 2 7" xfId="51042" xr:uid="{600285E6-6B5D-4617-A0FF-705534D0197F}"/>
    <cellStyle name="Comma 2 2 2 3 2 2 2 8" xfId="52159" xr:uid="{D9419D8A-9355-4011-8B28-B408682FD090}"/>
    <cellStyle name="Comma 2 2 2 3 2 2 2 9" xfId="20936" xr:uid="{C2E0191C-7FAE-4552-B0CA-E0319FDFEF52}"/>
    <cellStyle name="Comma 2 2 2 3 2 2 3" xfId="7772" xr:uid="{DD159D27-176F-4AB9-A494-8EFDFADE40CF}"/>
    <cellStyle name="Comma 2 2 2 3 2 2 3 2" xfId="20155" xr:uid="{F2DF218F-CBE8-4696-B9EA-E730807C45CD}"/>
    <cellStyle name="Comma 2 2 2 3 2 2 4" xfId="12285" xr:uid="{C04D8C3F-53C1-4B75-917B-C35F3B6A9D74}"/>
    <cellStyle name="Comma 2 2 2 3 2 2 4 2" xfId="23585" xr:uid="{EAF21DE0-D49F-4C7B-A310-DA823FBB271B}"/>
    <cellStyle name="Comma 2 2 2 3 2 2 5" xfId="38082" xr:uid="{C8D8CEC7-FF4D-49A4-AFCF-AA781AD884BD}"/>
    <cellStyle name="Comma 2 2 2 3 2 2 6" xfId="38911" xr:uid="{853EF07E-0B31-4296-83B7-0E3AB46705D4}"/>
    <cellStyle name="Comma 2 2 2 3 2 2 7" xfId="39905" xr:uid="{80E412D9-4D4A-46B0-B321-CC6DAB7E31C1}"/>
    <cellStyle name="Comma 2 2 2 3 2 2 8" xfId="40547" xr:uid="{AB7497BB-C3A9-47E4-8A7E-9BD89B15FF85}"/>
    <cellStyle name="Comma 2 2 2 3 2 2 9" xfId="41759" xr:uid="{E0A5D3B9-BB73-4ABF-97F5-4604C39B055F}"/>
    <cellStyle name="Comma 2 2 2 3 2 3" xfId="11118" xr:uid="{9D4BC6A5-F9BE-4591-9D0A-486584EB58E1}"/>
    <cellStyle name="Comma 2 2 2 3 2 3 10" xfId="15014" xr:uid="{EE87C5B5-FEAE-4558-9DD1-C52D019EA9F4}"/>
    <cellStyle name="Comma 2 2 2 3 2 3 2" xfId="13715" xr:uid="{6AA62027-68FB-4BD0-8EF6-E8FD45865797}"/>
    <cellStyle name="Comma 2 2 2 3 2 3 2 2" xfId="48463" xr:uid="{E28DD6DD-D230-4E6B-8244-229807EC9CF9}"/>
    <cellStyle name="Comma 2 2 2 3 2 3 2 3" xfId="51249" xr:uid="{A27F7B5C-B062-43EA-8455-9ACAAA4A0E13}"/>
    <cellStyle name="Comma 2 2 2 3 2 3 2 4" xfId="52160" xr:uid="{8766F337-4161-4277-B228-2692705C453E}"/>
    <cellStyle name="Comma 2 2 2 3 2 3 2 5" xfId="39399" xr:uid="{F3364245-FBBE-4FA9-9706-99264A396B66}"/>
    <cellStyle name="Comma 2 2 2 3 2 3 3" xfId="41255" xr:uid="{6BCF9321-287C-483E-A23F-CEE01107F81C}"/>
    <cellStyle name="Comma 2 2 2 3 2 3 4" xfId="43076" xr:uid="{39A63B13-93D3-4995-961D-29CF630F10E7}"/>
    <cellStyle name="Comma 2 2 2 3 2 3 5" xfId="45175" xr:uid="{86F0DA62-2C47-43B6-A4E4-24AF9AFAB14E}"/>
    <cellStyle name="Comma 2 2 2 3 2 3 6" xfId="46902" xr:uid="{DB904673-0A28-41A2-BA7E-F3F56C0DF8B2}"/>
    <cellStyle name="Comma 2 2 2 3 2 3 7" xfId="49921" xr:uid="{5292984D-0994-4FD9-92E1-4BE8EAAE3D94}"/>
    <cellStyle name="Comma 2 2 2 3 2 3 8" xfId="52161" xr:uid="{4A2F4A7B-3D17-4F58-9AB7-A8117173AE37}"/>
    <cellStyle name="Comma 2 2 2 3 2 3 9" xfId="20774" xr:uid="{31A9F406-B946-4A8C-8F3A-E8150D163F79}"/>
    <cellStyle name="Comma 2 2 2 3 2 4" xfId="9770" xr:uid="{B06485B2-9B26-42C6-8D23-FA16D51F2E88}"/>
    <cellStyle name="Comma 2 2 2 3 2 4 2" xfId="13076" xr:uid="{DCC844EE-137D-453D-9E76-42B8C3061DC6}"/>
    <cellStyle name="Comma 2 2 2 3 2 4 2 2" xfId="51760" xr:uid="{14FAE70D-1BF4-4154-B1D8-5E2318D91B2C}"/>
    <cellStyle name="Comma 2 2 2 3 2 4 2 3" xfId="52162" xr:uid="{85FF1470-5225-48FD-B3FD-EE5C5447F305}"/>
    <cellStyle name="Comma 2 2 2 3 2 4 2 4" xfId="49080" xr:uid="{C23C1320-AC21-4ED3-82B3-EF0DD62AE9B2}"/>
    <cellStyle name="Comma 2 2 2 3 2 4 3" xfId="47497" xr:uid="{1792DCDE-B6F0-465C-8CBF-1C66BFA3EA99}"/>
    <cellStyle name="Comma 2 2 2 3 2 4 4" xfId="50432" xr:uid="{C3CDF5A3-F816-4090-ACC4-57244F724BC7}"/>
    <cellStyle name="Comma 2 2 2 3 2 4 5" xfId="52163" xr:uid="{6E57E77A-F5F1-40A7-BF95-C2EFC777D965}"/>
    <cellStyle name="Comma 2 2 2 3 2 4 6" xfId="20052" xr:uid="{D445E9AA-CD63-4793-9222-696CAA240483}"/>
    <cellStyle name="Comma 2 2 2 3 2 5" xfId="7268" xr:uid="{686FD69A-33B1-43DB-A2F4-612E436F1A5B}"/>
    <cellStyle name="Comma 2 2 2 3 2 5 2" xfId="47745" xr:uid="{F7ADE6A2-5853-4E5B-BE8B-B41C5B9F3F3B}"/>
    <cellStyle name="Comma 2 2 2 3 2 5 3" xfId="50644" xr:uid="{744E2B45-0811-49C3-B96B-B32F674E1301}"/>
    <cellStyle name="Comma 2 2 2 3 2 5 4" xfId="52164" xr:uid="{49349178-6860-4471-913A-212DD9105D59}"/>
    <cellStyle name="Comma 2 2 2 3 2 5 5" xfId="23584" xr:uid="{DE5ED082-D082-47AC-B3BE-2AA0FB66F19A}"/>
    <cellStyle name="Comma 2 2 2 3 2 6" xfId="11791" xr:uid="{824C3885-4E07-484E-8781-65DB236D61FC}"/>
    <cellStyle name="Comma 2 2 2 3 2 6 2" xfId="38081" xr:uid="{45F0F4CC-89BA-4E79-8D5E-AF6EA683120C}"/>
    <cellStyle name="Comma 2 2 2 3 2 7" xfId="38808" xr:uid="{A77B7802-1170-47A4-B6DF-65DC59D5133D}"/>
    <cellStyle name="Comma 2 2 2 3 2 8" xfId="39904" xr:uid="{2228FF99-0C50-4958-90AF-628DA98F510F}"/>
    <cellStyle name="Comma 2 2 2 3 2 9" xfId="40546" xr:uid="{1FB9F3D5-D0BD-4C54-9689-1446D4D877F5}"/>
    <cellStyle name="Comma 2 2 2 3 20" xfId="15299" xr:uid="{D10C83E9-864F-47CD-9738-736D437EB38F}"/>
    <cellStyle name="Comma 2 2 2 3 21" xfId="13893" xr:uid="{B264DA42-F0C9-4751-BD92-65F349ACAA08}"/>
    <cellStyle name="Comma 2 2 2 3 3" xfId="5494" xr:uid="{74DBF8BD-4FFE-44A9-9009-C3411AAF1CAE}"/>
    <cellStyle name="Comma 2 2 2 3 3 10" xfId="41760" xr:uid="{ABFC5D01-2B48-4EBF-ABC0-EAE8537DD9CF}"/>
    <cellStyle name="Comma 2 2 2 3 3 11" xfId="42434" xr:uid="{4C54EC66-8A30-4218-A1A0-89ED1A625051}"/>
    <cellStyle name="Comma 2 2 2 3 3 12" xfId="43783" xr:uid="{CF5376D1-40F5-4803-977D-0260257096CF}"/>
    <cellStyle name="Comma 2 2 2 3 3 13" xfId="44639" xr:uid="{7CA38A37-001D-4C47-8928-E59E872CE1DF}"/>
    <cellStyle name="Comma 2 2 2 3 3 14" xfId="46541" xr:uid="{CF7A254C-C73D-4341-B848-102E92285296}"/>
    <cellStyle name="Comma 2 2 2 3 3 15" xfId="49574" xr:uid="{767482D4-3717-4E2E-A3DB-BF87A7C4E23D}"/>
    <cellStyle name="Comma 2 2 2 3 3 16" xfId="52165" xr:uid="{E61FC44F-8FA6-48F6-BE87-1DB0BD4D9A6B}"/>
    <cellStyle name="Comma 2 2 2 3 3 17" xfId="16601" xr:uid="{3B517BAF-0F25-4827-8939-56AD321A1FC4}"/>
    <cellStyle name="Comma 2 2 2 3 3 18" xfId="14031" xr:uid="{2CEA996C-151D-4537-B251-A2A9D9591225}"/>
    <cellStyle name="Comma 2 2 2 3 3 2" xfId="7596" xr:uid="{CB46F5D7-0E89-43BF-A6C3-514288023773}"/>
    <cellStyle name="Comma 2 2 2 3 3 2 10" xfId="42589" xr:uid="{A056D288-E513-48DB-815F-66E175C9F25F}"/>
    <cellStyle name="Comma 2 2 2 3 3 2 11" xfId="44756" xr:uid="{8A19A0D1-6D30-481D-AC4C-E0215AD180E4}"/>
    <cellStyle name="Comma 2 2 2 3 3 2 12" xfId="47034" xr:uid="{B88B7AEC-802B-495C-8A86-4C8D4960B691}"/>
    <cellStyle name="Comma 2 2 2 3 3 2 13" xfId="50035" xr:uid="{70C20021-93B5-4F69-A11A-C4822CE15129}"/>
    <cellStyle name="Comma 2 2 2 3 3 2 14" xfId="52166" xr:uid="{690F37FF-257A-4ADA-8213-96A978D53893}"/>
    <cellStyle name="Comma 2 2 2 3 3 2 15" xfId="16942" xr:uid="{E6702A03-29DE-4EEA-9E95-34218B031F59}"/>
    <cellStyle name="Comma 2 2 2 3 3 2 16" xfId="14523" xr:uid="{0EE13169-7B60-4A40-A2D4-4AAAB164323F}"/>
    <cellStyle name="Comma 2 2 2 3 3 2 2" xfId="10088" xr:uid="{3686FBFF-4EDF-40CC-87CF-59D362D9F986}"/>
    <cellStyle name="Comma 2 2 2 3 3 2 2 2" xfId="13394" xr:uid="{E5229633-3037-4717-8B98-EEDD9AA4BD7D}"/>
    <cellStyle name="Comma 2 2 2 3 3 2 2 2 2" xfId="39503" xr:uid="{DC74B463-C5D9-4807-A0A3-B3C17657E6DC}"/>
    <cellStyle name="Comma 2 2 2 3 3 2 2 3" xfId="41357" xr:uid="{F54A8BA7-140D-4D80-B0FD-3B807E463E21}"/>
    <cellStyle name="Comma 2 2 2 3 3 2 2 4" xfId="43180" xr:uid="{65F6105B-B180-4190-97FE-695492F92021}"/>
    <cellStyle name="Comma 2 2 2 3 3 2 2 5" xfId="45277" xr:uid="{C9C5B150-28A7-402A-B902-611EF77005B8}"/>
    <cellStyle name="Comma 2 2 2 3 3 2 2 6" xfId="48600" xr:uid="{A1931D8E-9562-4213-BB18-FA56CE3E3468}"/>
    <cellStyle name="Comma 2 2 2 3 3 2 2 7" xfId="51363" xr:uid="{777F490F-3E33-440B-A76C-BCA33C2D41F7}"/>
    <cellStyle name="Comma 2 2 2 3 3 2 2 8" xfId="52167" xr:uid="{EE1FEB48-EB23-4BC8-BE29-9C32BE186065}"/>
    <cellStyle name="Comma 2 2 2 3 3 2 2 9" xfId="20937" xr:uid="{A9E1D299-ABF8-4694-BF53-14A5A6245F3B}"/>
    <cellStyle name="Comma 2 2 2 3 3 2 3" xfId="12109" xr:uid="{EC4D5511-27F0-4961-A3D3-23B1D233C6BA}"/>
    <cellStyle name="Comma 2 2 2 3 3 2 3 2" xfId="20156" xr:uid="{0DAFF370-D23A-40E3-ACDF-521B85AEF2A6}"/>
    <cellStyle name="Comma 2 2 2 3 3 2 4" xfId="23587" xr:uid="{5C224F7B-E184-4683-8D27-BE9434F5291E}"/>
    <cellStyle name="Comma 2 2 2 3 3 2 5" xfId="38084" xr:uid="{46A62609-1C39-46C1-BE16-323AC33A97DB}"/>
    <cellStyle name="Comma 2 2 2 3 3 2 6" xfId="38912" xr:uid="{39B08DA8-B354-4040-9A2A-F0D7DE5778B7}"/>
    <cellStyle name="Comma 2 2 2 3 3 2 7" xfId="39907" xr:uid="{474EE6D0-F633-4F54-A30A-15F1AC799D11}"/>
    <cellStyle name="Comma 2 2 2 3 3 2 8" xfId="40549" xr:uid="{B8927010-CC4B-4DDC-A838-E19313FCE108}"/>
    <cellStyle name="Comma 2 2 2 3 3 2 9" xfId="41761" xr:uid="{DF988FFB-0698-4A14-AB18-F258E9B7C6F5}"/>
    <cellStyle name="Comma 2 2 2 3 3 3" xfId="9594" xr:uid="{A99D0CDB-44B5-452C-9269-40F44811EBC0}"/>
    <cellStyle name="Comma 2 2 2 3 3 3 2" xfId="12900" xr:uid="{1EFAECF8-2EE5-4F57-BE97-F7360E621EF5}"/>
    <cellStyle name="Comma 2 2 2 3 3 3 2 2" xfId="48908" xr:uid="{DFC9E5FA-BA11-4B73-BF9A-F77A8DF144B1}"/>
    <cellStyle name="Comma 2 2 2 3 3 3 2 3" xfId="51620" xr:uid="{C18BCBC0-217E-4908-8DDF-9F59214C966E}"/>
    <cellStyle name="Comma 2 2 2 3 3 3 2 4" xfId="52168" xr:uid="{E08C5A10-E957-4303-8EBA-6867FD0AD795}"/>
    <cellStyle name="Comma 2 2 2 3 3 3 2 5" xfId="39348" xr:uid="{1BAF6BD7-4BEA-4792-8A60-0713997520C9}"/>
    <cellStyle name="Comma 2 2 2 3 3 3 3" xfId="41206" xr:uid="{7915F446-785E-454F-BB6E-2E60181B08E1}"/>
    <cellStyle name="Comma 2 2 2 3 3 3 4" xfId="43025" xr:uid="{C7754ACF-BBA4-4D23-B1D2-61611C71C952}"/>
    <cellStyle name="Comma 2 2 2 3 3 3 5" xfId="45126" xr:uid="{706F4025-FF4D-4725-906E-8C2A7D26A144}"/>
    <cellStyle name="Comma 2 2 2 3 3 3 6" xfId="47332" xr:uid="{A240D6E1-86F7-466C-A271-C7464A503A6C}"/>
    <cellStyle name="Comma 2 2 2 3 3 3 7" xfId="50292" xr:uid="{6FCCD854-6DBE-4BED-822B-8787162DB2F6}"/>
    <cellStyle name="Comma 2 2 2 3 3 3 8" xfId="52169" xr:uid="{F0B497B7-E881-4201-90C8-97C616C3DB94}"/>
    <cellStyle name="Comma 2 2 2 3 3 3 9" xfId="20711" xr:uid="{9158E8AC-D054-495F-975B-001C630F5EB6}"/>
    <cellStyle name="Comma 2 2 2 3 3 4" xfId="7090" xr:uid="{7BBC2040-E480-4BD8-A11D-6717F4CE2518}"/>
    <cellStyle name="Comma 2 2 2 3 3 4 2" xfId="48053" xr:uid="{ADA01FC5-68EA-4EAF-B8FE-CD599AFC6CA1}"/>
    <cellStyle name="Comma 2 2 2 3 3 4 3" xfId="50902" xr:uid="{4A23663A-7B26-4E4B-A21C-AAA2A380FD16}"/>
    <cellStyle name="Comma 2 2 2 3 3 4 4" xfId="52170" xr:uid="{F91327A9-63CF-4DB3-BCBE-6C6B28F3A56C}"/>
    <cellStyle name="Comma 2 2 2 3 3 4 5" xfId="20001" xr:uid="{699EFAB6-9609-461C-A77D-8BAC6EB62D2E}"/>
    <cellStyle name="Comma 2 2 2 3 3 5" xfId="11615" xr:uid="{6B044602-A4EE-41BF-8634-516C028F1756}"/>
    <cellStyle name="Comma 2 2 2 3 3 5 2" xfId="23586" xr:uid="{EA26739C-9005-450D-BA12-EEFB896C2008}"/>
    <cellStyle name="Comma 2 2 2 3 3 6" xfId="38083" xr:uid="{F4432C3C-98D3-4644-BFE1-B4EAA09F3FE7}"/>
    <cellStyle name="Comma 2 2 2 3 3 7" xfId="38757" xr:uid="{C03D66BA-0C6B-4620-9D3A-1D25DC6EBB28}"/>
    <cellStyle name="Comma 2 2 2 3 3 8" xfId="39906" xr:uid="{BA2539EC-2A05-47C9-9A64-0835373B5D47}"/>
    <cellStyle name="Comma 2 2 2 3 3 9" xfId="40548" xr:uid="{A61BA762-28C0-45B1-AB24-E5E5506ECAC9}"/>
    <cellStyle name="Comma 2 2 2 3 4" xfId="6484" xr:uid="{B4B5DC6B-8850-42F7-B410-E08E6FDB0D73}"/>
    <cellStyle name="Comma 2 2 2 3 4 10" xfId="42590" xr:uid="{CC13544F-5417-4D0D-B5DD-57EB4CBBCEFF}"/>
    <cellStyle name="Comma 2 2 2 3 4 11" xfId="44757" xr:uid="{A89C2D0A-1988-48ED-9C8D-328A27010D74}"/>
    <cellStyle name="Comma 2 2 2 3 4 12" xfId="46123" xr:uid="{957E0136-D57E-4E8B-AC0F-DA183DBBDFBF}"/>
    <cellStyle name="Comma 2 2 2 3 4 13" xfId="49459" xr:uid="{8C241C7F-6B18-4501-A9CA-5628338B2B02}"/>
    <cellStyle name="Comma 2 2 2 3 4 14" xfId="52171" xr:uid="{F17DB6BB-8E26-4139-9295-8E546BA5D7DB}"/>
    <cellStyle name="Comma 2 2 2 3 4 15" xfId="16943" xr:uid="{ACE87C77-3155-49A4-AE33-89C6C6DC2A6F}"/>
    <cellStyle name="Comma 2 2 2 3 4 16" xfId="14385" xr:uid="{9BFF4182-F100-4120-A56D-CF4500621BC2}"/>
    <cellStyle name="Comma 2 2 2 3 4 2" xfId="9456" xr:uid="{A2D4C964-6345-4127-88F0-7BE713F24D50}"/>
    <cellStyle name="Comma 2 2 2 3 4 2 2" xfId="12762" xr:uid="{D9C76279-F438-491E-851B-0EEAE1FAA067}"/>
    <cellStyle name="Comma 2 2 2 3 4 2 2 2" xfId="39504" xr:uid="{601A6A1F-DF94-4813-8207-6669C15033AA}"/>
    <cellStyle name="Comma 2 2 2 3 4 2 3" xfId="41358" xr:uid="{56DF860C-35B7-427A-8E1A-288AF0892297}"/>
    <cellStyle name="Comma 2 2 2 3 4 2 4" xfId="43181" xr:uid="{70CC64F6-2021-4279-B6D5-E9089E84E1B2}"/>
    <cellStyle name="Comma 2 2 2 3 4 2 5" xfId="45278" xr:uid="{996C4954-F9C8-4DF1-AC01-C15272B8E7D4}"/>
    <cellStyle name="Comma 2 2 2 3 4 2 6" xfId="47918" xr:uid="{970114E4-AB7C-4D91-A8DE-A5DEC4C757DF}"/>
    <cellStyle name="Comma 2 2 2 3 4 2 7" xfId="50787" xr:uid="{6957EFB2-FD79-48EF-B88E-4DCC356285BA}"/>
    <cellStyle name="Comma 2 2 2 3 4 2 8" xfId="52172" xr:uid="{4E4778AB-1FD5-4AD7-8B89-7C56FCF98EFE}"/>
    <cellStyle name="Comma 2 2 2 3 4 2 9" xfId="20938" xr:uid="{B13E30C0-0A32-4F96-8A55-5D1F91287651}"/>
    <cellStyle name="Comma 2 2 2 3 4 3" xfId="11477" xr:uid="{0470B38D-4F65-452A-980F-6634685F7BDC}"/>
    <cellStyle name="Comma 2 2 2 3 4 3 2" xfId="20157" xr:uid="{B07FA36D-3867-4659-8925-9607C68B2E5E}"/>
    <cellStyle name="Comma 2 2 2 3 4 4" xfId="23588" xr:uid="{30F1734B-FC29-4ED1-A025-5A1CCF4104C8}"/>
    <cellStyle name="Comma 2 2 2 3 4 5" xfId="38085" xr:uid="{110FCB18-77AA-4881-B654-0C9A299F5661}"/>
    <cellStyle name="Comma 2 2 2 3 4 6" xfId="38913" xr:uid="{31D3C45F-2E87-4322-9D23-20C44593940E}"/>
    <cellStyle name="Comma 2 2 2 3 4 7" xfId="39908" xr:uid="{93C5C026-5E51-4D89-853F-9DA854574B8F}"/>
    <cellStyle name="Comma 2 2 2 3 4 8" xfId="40550" xr:uid="{2DE5DAB8-C1D5-4074-8987-8DB4C3CFD75B}"/>
    <cellStyle name="Comma 2 2 2 3 4 9" xfId="41762" xr:uid="{1B7155C9-C57E-44B3-858A-631A22FA4914}"/>
    <cellStyle name="Comma 2 2 2 3 5" xfId="7458" xr:uid="{2A46F6AA-4D3C-4D48-825E-61F8A08C9457}"/>
    <cellStyle name="Comma 2 2 2 3 5 10" xfId="42587" xr:uid="{6EA5CF28-835F-4843-8D7F-67417175A802}"/>
    <cellStyle name="Comma 2 2 2 3 5 11" xfId="44754" xr:uid="{56A8C71C-E92E-4264-8260-7266B3DB9DBA}"/>
    <cellStyle name="Comma 2 2 2 3 5 12" xfId="46805" xr:uid="{D56B7229-5D5E-4098-A426-B7370B996EE2}"/>
    <cellStyle name="Comma 2 2 2 3 5 13" xfId="49829" xr:uid="{48816C20-8E00-4C0A-95D0-AFF5490745F6}"/>
    <cellStyle name="Comma 2 2 2 3 5 14" xfId="52173" xr:uid="{8B53FB61-3C5B-4D0A-A9D6-0FFA9AB736F6}"/>
    <cellStyle name="Comma 2 2 2 3 5 15" xfId="16940" xr:uid="{AAE88B1D-FA5E-473A-B42E-9C9743B3146E}"/>
    <cellStyle name="Comma 2 2 2 3 5 16" xfId="14838" xr:uid="{70C7AD13-F8CC-4D40-96FB-0B58F90E7829}"/>
    <cellStyle name="Comma 2 2 2 3 5 2" xfId="9950" xr:uid="{9A4FDE2B-1D5E-4ECA-B6BB-219EF5BEE4BE}"/>
    <cellStyle name="Comma 2 2 2 3 5 2 2" xfId="13256" xr:uid="{F03CF71C-DE55-45C2-872A-23E925D8C913}"/>
    <cellStyle name="Comma 2 2 2 3 5 2 2 2" xfId="39501" xr:uid="{95F07E34-8C16-445D-AA3F-A2433AB28926}"/>
    <cellStyle name="Comma 2 2 2 3 5 2 3" xfId="41355" xr:uid="{972CCC02-ECAA-46BE-9DF8-AFAA42F5374D}"/>
    <cellStyle name="Comma 2 2 2 3 5 2 4" xfId="43178" xr:uid="{C5942306-1CD4-4A0D-98A9-28BF4EF4A763}"/>
    <cellStyle name="Comma 2 2 2 3 5 2 5" xfId="45275" xr:uid="{CB162D8C-88E4-4BBC-B228-B65C9834CDEE}"/>
    <cellStyle name="Comma 2 2 2 3 5 2 6" xfId="48356" xr:uid="{012E1B89-1529-4C68-83B0-8CD5613232F2}"/>
    <cellStyle name="Comma 2 2 2 3 5 2 7" xfId="51157" xr:uid="{12CDBBD2-2AE3-4339-BCB5-A671BA2D0812}"/>
    <cellStyle name="Comma 2 2 2 3 5 2 8" xfId="52174" xr:uid="{2514D200-B1BC-47DC-8668-3F9F96686B00}"/>
    <cellStyle name="Comma 2 2 2 3 5 2 9" xfId="20935" xr:uid="{91161201-BA3E-41CA-AED9-3684C946C95B}"/>
    <cellStyle name="Comma 2 2 2 3 5 3" xfId="11971" xr:uid="{40EB880D-2B94-4344-8B48-225D90949FDE}"/>
    <cellStyle name="Comma 2 2 2 3 5 3 2" xfId="20154" xr:uid="{AF080C58-4A1A-447D-BCD0-40E8CFBAA421}"/>
    <cellStyle name="Comma 2 2 2 3 5 4" xfId="23589" xr:uid="{437DCBDA-E690-41FB-9D76-226C7CBC9AC0}"/>
    <cellStyle name="Comma 2 2 2 3 5 5" xfId="38086" xr:uid="{C19C571F-239D-41A4-8F9D-C05889D1CB4B}"/>
    <cellStyle name="Comma 2 2 2 3 5 6" xfId="38910" xr:uid="{01A5B5CA-068E-4929-B509-B643ED769238}"/>
    <cellStyle name="Comma 2 2 2 3 5 7" xfId="39909" xr:uid="{86CF363A-B1F6-4EEA-A94C-8F3BCEA93C96}"/>
    <cellStyle name="Comma 2 2 2 3 5 8" xfId="40551" xr:uid="{301F4805-C4A0-453C-B9BE-7D4C1DE2B9F9}"/>
    <cellStyle name="Comma 2 2 2 3 5 9" xfId="41763" xr:uid="{36BBDA09-A856-42DD-9FBC-CC05401AFE6E}"/>
    <cellStyle name="Comma 2 2 2 3 6" xfId="8124" xr:uid="{A57BAC69-80B9-4FBD-AA6C-7404672601A3}"/>
    <cellStyle name="Comma 2 2 2 3 6 10" xfId="47199" xr:uid="{15B54E96-0A38-42A6-A46C-09C5637F6684}"/>
    <cellStyle name="Comma 2 2 2 3 6 11" xfId="50177" xr:uid="{7AF152BB-1D60-4526-813B-B428C0EBB70B}"/>
    <cellStyle name="Comma 2 2 2 3 6 12" xfId="52175" xr:uid="{6E971F94-68E4-4F09-95C1-863612F48645}"/>
    <cellStyle name="Comma 2 2 2 3 6 13" xfId="20492" xr:uid="{977848BB-7068-4742-9FF8-C2A09782722E}"/>
    <cellStyle name="Comma 2 2 2 3 6 2" xfId="12580" xr:uid="{2A03F063-5FB4-430E-84D1-9DD5159E4741}"/>
    <cellStyle name="Comma 2 2 2 3 6 2 2" xfId="48770" xr:uid="{E9369C7F-56AE-4FFB-B310-42A7B1D5B8E1}"/>
    <cellStyle name="Comma 2 2 2 3 6 2 3" xfId="51505" xr:uid="{B22EA102-E6A9-4D36-B12B-A0553CCE206D}"/>
    <cellStyle name="Comma 2 2 2 3 6 2 4" xfId="52176" xr:uid="{6BD694D1-6058-463F-90DD-2DB70BDC4352}"/>
    <cellStyle name="Comma 2 2 2 3 6 2 5" xfId="23590" xr:uid="{170FC312-C007-4631-919E-573197818A71}"/>
    <cellStyle name="Comma 2 2 2 3 6 3" xfId="38087" xr:uid="{7400778C-1492-4A7F-B2A9-0C0A4FCBD74F}"/>
    <cellStyle name="Comma 2 2 2 3 6 4" xfId="39247" xr:uid="{34A0F2D3-1F7E-488B-8711-E0C2A8C2AD95}"/>
    <cellStyle name="Comma 2 2 2 3 6 5" xfId="39910" xr:uid="{9D04D9A3-E3C3-450C-8A8F-1CB005CA66C8}"/>
    <cellStyle name="Comma 2 2 2 3 6 6" xfId="40552" xr:uid="{32E7592D-2281-4F0C-AE48-643BF981261C}"/>
    <cellStyle name="Comma 2 2 2 3 6 7" xfId="41764" xr:uid="{CF398366-1302-4B2F-A4F3-6589DC92E40A}"/>
    <cellStyle name="Comma 2 2 2 3 6 8" xfId="42924" xr:uid="{B736FDD6-789E-4BB0-9531-0BF4C5068AE5}"/>
    <cellStyle name="Comma 2 2 2 3 6 9" xfId="45031" xr:uid="{CCE84041-85A2-47B9-ACAB-D6C7E8F05037}"/>
    <cellStyle name="Comma 2 2 2 3 7" xfId="7911" xr:uid="{3CE38189-7349-435F-B2C4-3B90CF6CBE9A}"/>
    <cellStyle name="Comma 2 2 2 3 7 2" xfId="12424" xr:uid="{52B987FB-5B61-4B48-BE15-AB48899AAD87}"/>
    <cellStyle name="Comma 2 2 2 3 7 2 2" xfId="47663" xr:uid="{EFC9C69D-9B36-4D0E-A09A-8E8AC309E1A3}"/>
    <cellStyle name="Comma 2 2 2 3 7 3" xfId="50571" xr:uid="{AE200934-8EBD-41E4-ADCB-54346B2BFADD}"/>
    <cellStyle name="Comma 2 2 2 3 7 4" xfId="52177" xr:uid="{271A17CE-CB77-48FD-880A-A6F906303F0B}"/>
    <cellStyle name="Comma 2 2 2 3 7 5" xfId="19899" xr:uid="{7096DE5C-5082-4066-BC3D-BC98CB68D44D}"/>
    <cellStyle name="Comma 2 2 2 3 8" xfId="5808" xr:uid="{F0517255-4C92-47A4-88A7-069CEBEC5A8D}"/>
    <cellStyle name="Comma 2 2 2 3 8 2" xfId="23583" xr:uid="{DAA7FEBB-55AB-4FB4-B6A1-896F49E2F85E}"/>
    <cellStyle name="Comma 2 2 2 3 9" xfId="11296" xr:uid="{8AEA7F41-78E0-4B6A-AAA2-5487B9C35C98}"/>
    <cellStyle name="Comma 2 2 2 3 9 2" xfId="38080" xr:uid="{84290F7C-F0A5-41AA-8803-B5420542D0A4}"/>
    <cellStyle name="Comma 2 2 2 4" xfId="1738" xr:uid="{F6C7A10F-0F53-409A-A3FE-D482D1D996C2}"/>
    <cellStyle name="Comma 2 2 2 4 10" xfId="38688" xr:uid="{62BD292A-39D1-40B5-8C98-459B83FAE840}"/>
    <cellStyle name="Comma 2 2 2 4 11" xfId="39911" xr:uid="{C9492DB3-C0EC-4AEC-BC5F-D5B71344DBC5}"/>
    <cellStyle name="Comma 2 2 2 4 12" xfId="40553" xr:uid="{A1FB331C-02CD-4DF1-A331-DDF99F1D369C}"/>
    <cellStyle name="Comma 2 2 2 4 13" xfId="41765" xr:uid="{3DB52A16-D38D-44A3-955C-5425355AD538}"/>
    <cellStyle name="Comma 2 2 2 4 14" xfId="42365" xr:uid="{85C90C68-EB79-44F3-BAD5-6CB971EFCBEE}"/>
    <cellStyle name="Comma 2 2 2 4 15" xfId="43511" xr:uid="{FEC794E9-D080-4EBA-AC48-CA90EBBAE307}"/>
    <cellStyle name="Comma 2 2 2 4 16" xfId="44374" xr:uid="{02C28552-EF26-4811-ACA1-F9651923619B}"/>
    <cellStyle name="Comma 2 2 2 4 17" xfId="45611" xr:uid="{ADA81BBC-09B5-493B-9DD8-8AE3EE519A12}"/>
    <cellStyle name="Comma 2 2 2 4 18" xfId="49240" xr:uid="{9AB2C920-D536-43E0-BACC-0647FB7507C5}"/>
    <cellStyle name="Comma 2 2 2 4 19" xfId="52178" xr:uid="{D49EF88E-5C0C-4F01-B4DD-F28C7931BE1F}"/>
    <cellStyle name="Comma 2 2 2 4 2" xfId="4414" xr:uid="{A0FD5AF6-5E85-4557-AA10-584878AD96CD}"/>
    <cellStyle name="Comma 2 2 2 4 2 10" xfId="41766" xr:uid="{FF8C19AE-AB13-4F92-B8BD-F7F45DCA32D0}"/>
    <cellStyle name="Comma 2 2 2 4 2 11" xfId="42517" xr:uid="{B547DA1E-8742-4504-9354-9FB548CED02B}"/>
    <cellStyle name="Comma 2 2 2 4 2 12" xfId="44215" xr:uid="{C80CD39C-D48A-4D91-98F2-17E4DF84D6AE}"/>
    <cellStyle name="Comma 2 2 2 4 2 13" xfId="44515" xr:uid="{84B24F77-45D0-4163-908C-6E5397140A9E}"/>
    <cellStyle name="Comma 2 2 2 4 2 14" xfId="45759" xr:uid="{3A1B326C-0B24-4D2D-B20C-75324127CA86}"/>
    <cellStyle name="Comma 2 2 2 4 2 15" xfId="49387" xr:uid="{229D1D24-69B2-46E7-9DA7-E37F86E08BDA}"/>
    <cellStyle name="Comma 2 2 2 4 2 16" xfId="52179" xr:uid="{B0F65D4D-10C9-4549-BAD6-C31F1DAE0666}"/>
    <cellStyle name="Comma 2 2 2 4 2 17" xfId="16807" xr:uid="{B21FE2B1-4728-4535-989A-4BD1F7ADCACB}"/>
    <cellStyle name="Comma 2 2 2 4 2 18" xfId="14208" xr:uid="{B05EA1C1-7CE2-41AA-9746-598B20225E13}"/>
    <cellStyle name="Comma 2 2 2 4 2 2" xfId="5671" xr:uid="{EB362B6C-4A57-4A34-B147-B52B49BF37D8}"/>
    <cellStyle name="Comma 2 2 2 4 2 2 10" xfId="42592" xr:uid="{D728A152-EF05-4735-A5AF-B490E21662B0}"/>
    <cellStyle name="Comma 2 2 2 4 2 2 11" xfId="44759" xr:uid="{1FCF5305-C38A-4F40-9045-8F8AA29B18AD}"/>
    <cellStyle name="Comma 2 2 2 4 2 2 12" xfId="46683" xr:uid="{98D76472-F6C8-4EBD-9ED1-A5B4C9525889}"/>
    <cellStyle name="Comma 2 2 2 4 2 2 13" xfId="49715" xr:uid="{961B1C6D-F50C-4834-BD82-43160A101ED8}"/>
    <cellStyle name="Comma 2 2 2 4 2 2 14" xfId="52180" xr:uid="{49A950AA-91ED-4A2D-BF8B-F1339F56F7DA}"/>
    <cellStyle name="Comma 2 2 2 4 2 2 15" xfId="16945" xr:uid="{FEE6CB0D-9C2C-486D-8219-C91E2F7A067A}"/>
    <cellStyle name="Comma 2 2 2 4 2 2 16" xfId="14700" xr:uid="{C5C9A798-5888-4FE6-91EB-3324FC620CAE}"/>
    <cellStyle name="Comma 2 2 2 4 2 2 2" xfId="10265" xr:uid="{E1906201-2424-4967-82A1-F766FB38B2CE}"/>
    <cellStyle name="Comma 2 2 2 4 2 2 2 2" xfId="13571" xr:uid="{9074AC91-5455-4C56-AB67-3FA9F81BBB84}"/>
    <cellStyle name="Comma 2 2 2 4 2 2 2 2 2" xfId="39506" xr:uid="{E0C7DABC-558D-42C5-92C9-E4BA2CA1DB54}"/>
    <cellStyle name="Comma 2 2 2 4 2 2 2 3" xfId="41360" xr:uid="{209D5E89-E3A1-43BE-9B74-C37F8FAACEE7}"/>
    <cellStyle name="Comma 2 2 2 4 2 2 2 4" xfId="43183" xr:uid="{D535B578-7C5D-4E8A-9742-32BB10CFB828}"/>
    <cellStyle name="Comma 2 2 2 4 2 2 2 5" xfId="45280" xr:uid="{D15E0C73-62B6-4A9C-B483-579FA18D53DF}"/>
    <cellStyle name="Comma 2 2 2 4 2 2 2 6" xfId="48225" xr:uid="{E62DF9CE-0080-48BE-B0E2-8151FA2EE646}"/>
    <cellStyle name="Comma 2 2 2 4 2 2 2 7" xfId="51043" xr:uid="{B6C0E825-C8FB-4EB4-B333-FAA25B68F5ED}"/>
    <cellStyle name="Comma 2 2 2 4 2 2 2 8" xfId="52181" xr:uid="{B4AE42A5-A594-4B07-9245-055B4A599768}"/>
    <cellStyle name="Comma 2 2 2 4 2 2 2 9" xfId="20940" xr:uid="{684086F2-41B0-417B-8A73-01C3BFF517FC}"/>
    <cellStyle name="Comma 2 2 2 4 2 2 3" xfId="7773" xr:uid="{3A031A87-1F8F-4C53-945F-0C609344CAAB}"/>
    <cellStyle name="Comma 2 2 2 4 2 2 3 2" xfId="20159" xr:uid="{BCB81626-8F5D-43FC-BD9B-13A99FD34D57}"/>
    <cellStyle name="Comma 2 2 2 4 2 2 4" xfId="12286" xr:uid="{0D3354A8-8433-4501-9D46-665E09806F40}"/>
    <cellStyle name="Comma 2 2 2 4 2 2 4 2" xfId="23593" xr:uid="{8F177A90-5587-44A7-91FC-82ED2D4363D8}"/>
    <cellStyle name="Comma 2 2 2 4 2 2 5" xfId="38090" xr:uid="{CAAE3A2E-70CB-43F8-B507-C9191DC7703A}"/>
    <cellStyle name="Comma 2 2 2 4 2 2 6" xfId="38915" xr:uid="{529D9831-520D-47E4-AC22-8E30E2296B21}"/>
    <cellStyle name="Comma 2 2 2 4 2 2 7" xfId="39913" xr:uid="{40CE358A-9DD4-41DA-9876-4545F0D9DD7D}"/>
    <cellStyle name="Comma 2 2 2 4 2 2 8" xfId="40555" xr:uid="{062485C8-A63E-406E-9C2F-53F95B3641FB}"/>
    <cellStyle name="Comma 2 2 2 4 2 2 9" xfId="41767" xr:uid="{6EBC611A-4FD7-4422-8C1E-7BF79F5E5269}"/>
    <cellStyle name="Comma 2 2 2 4 2 3" xfId="11221" xr:uid="{D8388884-BEC4-4B8D-B3E5-668D54611E59}"/>
    <cellStyle name="Comma 2 2 2 4 2 3 10" xfId="15015" xr:uid="{2FC8A993-80FF-4B7C-A055-6DB4B8F69514}"/>
    <cellStyle name="Comma 2 2 2 4 2 3 2" xfId="13784" xr:uid="{205245E6-41A9-46A5-AD35-750255B28B5C}"/>
    <cellStyle name="Comma 2 2 2 4 2 3 2 2" xfId="48663" xr:uid="{CD42ED6A-E643-4CC1-9C2B-90F9A231CCF2}"/>
    <cellStyle name="Comma 2 2 2 4 2 3 2 3" xfId="51418" xr:uid="{F199CA81-A8F1-454E-A1C1-AB547F54A83A}"/>
    <cellStyle name="Comma 2 2 2 4 2 3 2 4" xfId="52182" xr:uid="{FEC55C81-162B-4BFE-98A0-A75F12EBC65B}"/>
    <cellStyle name="Comma 2 2 2 4 2 3 2 5" xfId="39431" xr:uid="{B87AE867-1F2D-47B1-AF4F-7F22215D5827}"/>
    <cellStyle name="Comma 2 2 2 4 2 3 3" xfId="41285" xr:uid="{CF2F2BF2-4CFC-48CB-B3C6-DA374D307BB3}"/>
    <cellStyle name="Comma 2 2 2 4 2 3 4" xfId="43108" xr:uid="{FA401966-184B-48BF-9C63-788C17F77342}"/>
    <cellStyle name="Comma 2 2 2 4 2 3 5" xfId="45205" xr:uid="{73CE058D-3B2B-4B69-99E1-1860B2EA6598}"/>
    <cellStyle name="Comma 2 2 2 4 2 3 6" xfId="47100" xr:uid="{4C9B544C-A597-4EF0-A4EF-3E56C8B6BE20}"/>
    <cellStyle name="Comma 2 2 2 4 2 3 7" xfId="50090" xr:uid="{D23F4EFD-7437-42A3-B150-56543C001330}"/>
    <cellStyle name="Comma 2 2 2 4 2 3 8" xfId="52183" xr:uid="{89B24565-2AB5-484D-A3BD-34BA104AFC83}"/>
    <cellStyle name="Comma 2 2 2 4 2 3 9" xfId="20809" xr:uid="{D395063A-3789-47E2-8CA5-EFFAF30DDD6B}"/>
    <cellStyle name="Comma 2 2 2 4 2 4" xfId="9771" xr:uid="{3109AC60-415C-4FB4-AD42-0C2F1C67D2AF}"/>
    <cellStyle name="Comma 2 2 2 4 2 4 2" xfId="13077" xr:uid="{7214DEA8-91FD-4D58-88FA-51AFBFC1F00B}"/>
    <cellStyle name="Comma 2 2 2 4 2 4 2 2" xfId="51761" xr:uid="{B70647EF-6CA1-480D-ADDB-3F37F27E5505}"/>
    <cellStyle name="Comma 2 2 2 4 2 4 2 3" xfId="52184" xr:uid="{909E4CE9-2CED-4F1F-BF96-35276C8DD374}"/>
    <cellStyle name="Comma 2 2 2 4 2 4 2 4" xfId="49081" xr:uid="{74107BA6-5569-4755-9DF9-2DDD84EFFEAD}"/>
    <cellStyle name="Comma 2 2 2 4 2 4 3" xfId="47498" xr:uid="{D4B8A9E9-908A-4443-A71F-262E981514A0}"/>
    <cellStyle name="Comma 2 2 2 4 2 4 4" xfId="50433" xr:uid="{E82F4A29-8814-4906-A9BD-AB13C9D1CB85}"/>
    <cellStyle name="Comma 2 2 2 4 2 4 5" xfId="52185" xr:uid="{831EB087-1CD7-4B45-9299-49A9CD6A82B1}"/>
    <cellStyle name="Comma 2 2 2 4 2 4 6" xfId="20084" xr:uid="{FD6CAF0E-F043-44C4-9234-914FF2B06E94}"/>
    <cellStyle name="Comma 2 2 2 4 2 5" xfId="7269" xr:uid="{0F1B7354-0C1F-4AED-95A3-6BD4209B0AB3}"/>
    <cellStyle name="Comma 2 2 2 4 2 5 2" xfId="47827" xr:uid="{2412F484-F643-45C5-95B8-81935A9F8598}"/>
    <cellStyle name="Comma 2 2 2 4 2 5 3" xfId="50715" xr:uid="{E0F98612-93A6-45E1-B986-79744CE9ABE2}"/>
    <cellStyle name="Comma 2 2 2 4 2 5 4" xfId="52186" xr:uid="{6B3FC0EB-B8F9-4AA6-8DD1-3945961C1D5D}"/>
    <cellStyle name="Comma 2 2 2 4 2 5 5" xfId="23592" xr:uid="{3DCBB5B5-6618-486E-AC8A-B0B3FCBF6FA8}"/>
    <cellStyle name="Comma 2 2 2 4 2 6" xfId="11792" xr:uid="{F385903B-1EBF-4B50-A2EB-F21CA5094B4B}"/>
    <cellStyle name="Comma 2 2 2 4 2 6 2" xfId="38089" xr:uid="{08670458-C2C0-4EBF-A0EB-94DB9203E6C1}"/>
    <cellStyle name="Comma 2 2 2 4 2 7" xfId="38840" xr:uid="{6359E993-335C-4467-8B26-30FEE0F6784A}"/>
    <cellStyle name="Comma 2 2 2 4 2 8" xfId="39912" xr:uid="{B5968519-3E7D-4D5D-BDDC-426D423ABE6A}"/>
    <cellStyle name="Comma 2 2 2 4 2 9" xfId="40554" xr:uid="{892C0C82-0519-4EED-B959-F881361727FC}"/>
    <cellStyle name="Comma 2 2 2 4 20" xfId="15789" xr:uid="{FDAB2093-E0C2-4903-9B75-C697E282B6DF}"/>
    <cellStyle name="Comma 2 2 2 4 21" xfId="13894" xr:uid="{955E947F-44F0-4420-B97C-CC0AFDB5FD31}"/>
    <cellStyle name="Comma 2 2 2 4 3" xfId="5495" xr:uid="{8F0A4632-B4E2-4A30-A4F3-2CA5A37E52AE}"/>
    <cellStyle name="Comma 2 2 2 4 3 10" xfId="41768" xr:uid="{BFED3F7C-F2B6-4060-A8B1-2FFB6CD50AE3}"/>
    <cellStyle name="Comma 2 2 2 4 3 11" xfId="42435" xr:uid="{6D13C59E-F436-4703-B98B-95210FAD0AF1}"/>
    <cellStyle name="Comma 2 2 2 4 3 12" xfId="43784" xr:uid="{157BF615-F804-4EE6-88A4-648CE6C067FE}"/>
    <cellStyle name="Comma 2 2 2 4 3 13" xfId="44640" xr:uid="{039C77EC-E64D-4E32-9B6D-EC933BEB9EC9}"/>
    <cellStyle name="Comma 2 2 2 4 3 14" xfId="46542" xr:uid="{025DA989-EF2A-4766-8A4B-94D65AEC8D1A}"/>
    <cellStyle name="Comma 2 2 2 4 3 15" xfId="49575" xr:uid="{3E48DDB4-E5C2-4726-A5A3-F92139440490}"/>
    <cellStyle name="Comma 2 2 2 4 3 16" xfId="52187" xr:uid="{5E591E61-91E3-490E-8543-55FC6121DF4E}"/>
    <cellStyle name="Comma 2 2 2 4 3 17" xfId="16602" xr:uid="{163540DC-44D4-4711-93E4-B5513822DE02}"/>
    <cellStyle name="Comma 2 2 2 4 3 18" xfId="14032" xr:uid="{DDCA6024-7983-4ABF-9746-90017CA27C77}"/>
    <cellStyle name="Comma 2 2 2 4 3 2" xfId="7597" xr:uid="{F7E28AF8-D7AE-4A2E-B6B2-541D29A95A6C}"/>
    <cellStyle name="Comma 2 2 2 4 3 2 10" xfId="42593" xr:uid="{899B164F-1E8A-4E75-9275-BD7E4B536DCA}"/>
    <cellStyle name="Comma 2 2 2 4 3 2 11" xfId="44760" xr:uid="{048F9769-04DB-45CB-A20C-463D3BC8623B}"/>
    <cellStyle name="Comma 2 2 2 4 3 2 12" xfId="47333" xr:uid="{67F43084-AECA-4324-97B4-D9EB357DA71B}"/>
    <cellStyle name="Comma 2 2 2 4 3 2 13" xfId="50293" xr:uid="{474C48C7-2450-43F5-AF68-1635358E0669}"/>
    <cellStyle name="Comma 2 2 2 4 3 2 14" xfId="52188" xr:uid="{4F8B0106-6CDF-48AF-833A-31A87911D09E}"/>
    <cellStyle name="Comma 2 2 2 4 3 2 15" xfId="16946" xr:uid="{40A78E1B-B343-4532-AB4A-9C4B16CD3798}"/>
    <cellStyle name="Comma 2 2 2 4 3 2 16" xfId="14524" xr:uid="{8E1679F9-A9C3-490A-BDA5-734D549D7ACC}"/>
    <cellStyle name="Comma 2 2 2 4 3 2 2" xfId="10089" xr:uid="{C21EA06B-A048-4DE6-AD7A-6AA8B427C7A4}"/>
    <cellStyle name="Comma 2 2 2 4 3 2 2 10" xfId="45281" xr:uid="{39B5C194-96AB-46E2-88B2-396F2E4191E2}"/>
    <cellStyle name="Comma 2 2 2 4 3 2 2 11" xfId="48909" xr:uid="{E4BE77BF-ABF6-4DD1-A2EF-E21BB09F1037}"/>
    <cellStyle name="Comma 2 2 2 4 3 2 2 12" xfId="51621" xr:uid="{7BF955DE-EF08-4F85-B3F0-00C1AD2BB74F}"/>
    <cellStyle name="Comma 2 2 2 4 3 2 2 13" xfId="52189" xr:uid="{ACD3354A-AEA7-46B3-A9DB-6EF7982BBAF3}"/>
    <cellStyle name="Comma 2 2 2 4 3 2 2 14" xfId="20941" xr:uid="{BB1FA210-56DD-42E3-A733-A31EA66A13C2}"/>
    <cellStyle name="Comma 2 2 2 4 3 2 2 2" xfId="13395" xr:uid="{EF2FF03D-68CA-4798-A831-95228F579BAE}"/>
    <cellStyle name="Comma 2 2 2 4 3 2 2 2 2" xfId="23596" xr:uid="{6634DFC8-DF4C-4E92-A100-0726DE22D337}"/>
    <cellStyle name="Comma 2 2 2 4 3 2 2 3" xfId="38093" xr:uid="{0AAA964F-965C-4DFB-A304-232A199FECF8}"/>
    <cellStyle name="Comma 2 2 2 4 3 2 2 4" xfId="39507" xr:uid="{6E0631F0-53DD-4702-99DC-608D2D464D7A}"/>
    <cellStyle name="Comma 2 2 2 4 3 2 2 5" xfId="39916" xr:uid="{D0D4EBAA-612B-4F5F-AADF-401570F66D95}"/>
    <cellStyle name="Comma 2 2 2 4 3 2 2 6" xfId="40558" xr:uid="{7F988A74-E2B8-449C-A62B-0740966E06B5}"/>
    <cellStyle name="Comma 2 2 2 4 3 2 2 7" xfId="41361" xr:uid="{468EB13B-F1AD-43C7-9805-F5245AADA186}"/>
    <cellStyle name="Comma 2 2 2 4 3 2 2 8" xfId="41770" xr:uid="{53F00C1C-3808-4CF5-9B02-B8298EB61791}"/>
    <cellStyle name="Comma 2 2 2 4 3 2 2 9" xfId="43184" xr:uid="{0610AA3E-6949-4922-9E0D-DB3C5D001BB4}"/>
    <cellStyle name="Comma 2 2 2 4 3 2 3" xfId="12110" xr:uid="{B33DD40B-49C5-4D4F-A702-A7E7CB5F12C2}"/>
    <cellStyle name="Comma 2 2 2 4 3 2 3 2" xfId="20160" xr:uid="{AD29666A-9618-48E1-9EDA-33BDE4DD0EFE}"/>
    <cellStyle name="Comma 2 2 2 4 3 2 4" xfId="23595" xr:uid="{4ABE0B8A-54E9-489A-BF14-E621A4F0DD50}"/>
    <cellStyle name="Comma 2 2 2 4 3 2 5" xfId="38092" xr:uid="{9DDE1FCF-62EC-4D3D-81EC-894CAED1BFEE}"/>
    <cellStyle name="Comma 2 2 2 4 3 2 6" xfId="38916" xr:uid="{729A19F6-6A9C-4975-9C95-CC5CA54DC898}"/>
    <cellStyle name="Comma 2 2 2 4 3 2 7" xfId="39915" xr:uid="{E0B73C09-933F-4D2D-B832-D5A337C35DED}"/>
    <cellStyle name="Comma 2 2 2 4 3 2 8" xfId="40557" xr:uid="{D51AA39A-E507-4229-B877-3A1D8D18BA36}"/>
    <cellStyle name="Comma 2 2 2 4 3 2 9" xfId="41769" xr:uid="{B66D805D-616C-4740-A114-CAE5000895F3}"/>
    <cellStyle name="Comma 2 2 2 4 3 3" xfId="9595" xr:uid="{D4BA10DB-F875-4D76-A9A9-01E2BA989FAE}"/>
    <cellStyle name="Comma 2 2 2 4 3 3 10" xfId="45127" xr:uid="{DEBCE27B-C87C-4222-AEB1-0992953CCF22}"/>
    <cellStyle name="Comma 2 2 2 4 3 3 11" xfId="48054" xr:uid="{EDB9A162-1321-4246-BC5B-5B6931D0D9BC}"/>
    <cellStyle name="Comma 2 2 2 4 3 3 12" xfId="50903" xr:uid="{E886F42B-2705-406F-B92D-455088F3DA34}"/>
    <cellStyle name="Comma 2 2 2 4 3 3 13" xfId="52190" xr:uid="{595C0DFC-22CD-4CAB-BBBA-AE8E44B6B9D3}"/>
    <cellStyle name="Comma 2 2 2 4 3 3 14" xfId="20712" xr:uid="{E02EA815-70C2-4780-9C01-649A52DE7BBF}"/>
    <cellStyle name="Comma 2 2 2 4 3 3 2" xfId="12901" xr:uid="{59C1CC43-E9F4-4731-90C0-0EF9E88D8F3A}"/>
    <cellStyle name="Comma 2 2 2 4 3 3 2 2" xfId="23597" xr:uid="{6AC06AA8-3BCA-42A8-92FF-30B42C17314F}"/>
    <cellStyle name="Comma 2 2 2 4 3 3 3" xfId="38094" xr:uid="{69D9F952-2EEA-4DDD-A96B-D05B0E1ACBD6}"/>
    <cellStyle name="Comma 2 2 2 4 3 3 4" xfId="39349" xr:uid="{F7C7B67C-3853-4271-B3D0-90D170D2B560}"/>
    <cellStyle name="Comma 2 2 2 4 3 3 5" xfId="39917" xr:uid="{A8796E8E-FCDC-4140-B3E4-6FCDC39C1E73}"/>
    <cellStyle name="Comma 2 2 2 4 3 3 6" xfId="40559" xr:uid="{3EDC6D25-2280-478D-A763-35BE4CAEDD16}"/>
    <cellStyle name="Comma 2 2 2 4 3 3 7" xfId="41207" xr:uid="{F27B2F9F-8D78-44FD-9973-C7ACB0B86882}"/>
    <cellStyle name="Comma 2 2 2 4 3 3 8" xfId="41771" xr:uid="{1C66E90E-F6E0-40D2-BE6B-36FA7127A05C}"/>
    <cellStyle name="Comma 2 2 2 4 3 3 9" xfId="43026" xr:uid="{94DEE9FB-4AB0-42D8-8330-FD08566D125F}"/>
    <cellStyle name="Comma 2 2 2 4 3 4" xfId="7091" xr:uid="{8881D939-3A57-4348-A128-94A5E01016FE}"/>
    <cellStyle name="Comma 2 2 2 4 3 4 2" xfId="20002" xr:uid="{584E57FB-5173-4DE4-A9B3-3FBA49E71EB5}"/>
    <cellStyle name="Comma 2 2 2 4 3 5" xfId="11616" xr:uid="{89E5373D-4041-47C5-BBD2-E43FB8D4691E}"/>
    <cellStyle name="Comma 2 2 2 4 3 5 2" xfId="23594" xr:uid="{031B27F3-6697-408F-B350-4089A8A7A81B}"/>
    <cellStyle name="Comma 2 2 2 4 3 6" xfId="38091" xr:uid="{7F8F408B-BCF4-492D-855F-423715AAD90E}"/>
    <cellStyle name="Comma 2 2 2 4 3 7" xfId="38758" xr:uid="{455847A7-DAE0-411C-87C5-B8C29AF56697}"/>
    <cellStyle name="Comma 2 2 2 4 3 8" xfId="39914" xr:uid="{E49EC4F6-D6A5-4B79-BD51-5164463C38BF}"/>
    <cellStyle name="Comma 2 2 2 4 3 9" xfId="40556" xr:uid="{038A5C3A-3AB5-4BFC-BC11-D1C35B7F6418}"/>
    <cellStyle name="Comma 2 2 2 4 4" xfId="6485" xr:uid="{90344DA1-B75E-4843-BFCC-985425EA622E}"/>
    <cellStyle name="Comma 2 2 2 4 4 10" xfId="42594" xr:uid="{78D2B052-3FDA-4297-826E-ADB4FD3834F6}"/>
    <cellStyle name="Comma 2 2 2 4 4 11" xfId="44761" xr:uid="{D5456249-6488-4B1F-9050-E9CDF08EE03E}"/>
    <cellStyle name="Comma 2 2 2 4 4 12" xfId="46124" xr:uid="{E5B0A447-03B3-4B12-B174-2DCD4688AB97}"/>
    <cellStyle name="Comma 2 2 2 4 4 13" xfId="49460" xr:uid="{6A22DEC5-0E6B-40B6-9883-8031144BE3A4}"/>
    <cellStyle name="Comma 2 2 2 4 4 14" xfId="52191" xr:uid="{C0C07F82-4750-4E29-9D31-B6EAF35909CD}"/>
    <cellStyle name="Comma 2 2 2 4 4 15" xfId="16947" xr:uid="{B47CFD92-0F92-4C2A-91F8-1633AA5EC578}"/>
    <cellStyle name="Comma 2 2 2 4 4 16" xfId="14386" xr:uid="{02076D4C-92F3-4F37-B2C3-78EE0CEA2E3B}"/>
    <cellStyle name="Comma 2 2 2 4 4 2" xfId="9457" xr:uid="{F7DD1E47-6F19-4768-9287-795226D281DB}"/>
    <cellStyle name="Comma 2 2 2 4 4 2 2" xfId="12763" xr:uid="{9F0E54D4-2045-4CB8-80B2-4E0572DC5D2E}"/>
    <cellStyle name="Comma 2 2 2 4 4 2 2 2" xfId="39508" xr:uid="{84E6C802-533A-4512-AC9A-8D503BCD2A4A}"/>
    <cellStyle name="Comma 2 2 2 4 4 2 3" xfId="41362" xr:uid="{0EC2CD07-67E7-4ED5-9DBF-7D1ED4BAB403}"/>
    <cellStyle name="Comma 2 2 2 4 4 2 4" xfId="43185" xr:uid="{151F389F-C576-44CA-9EB8-918AF4637FDF}"/>
    <cellStyle name="Comma 2 2 2 4 4 2 5" xfId="45282" xr:uid="{6CB87050-B046-4F0A-92A9-392370AF080C}"/>
    <cellStyle name="Comma 2 2 2 4 4 2 6" xfId="47919" xr:uid="{AF9C0ADC-99A8-4150-82E7-A8BF0AD99CF9}"/>
    <cellStyle name="Comma 2 2 2 4 4 2 7" xfId="50788" xr:uid="{88823341-854C-46CD-BFE3-74D8B72ACCD8}"/>
    <cellStyle name="Comma 2 2 2 4 4 2 8" xfId="52192" xr:uid="{3D3916CA-AB95-48CC-B377-902EACCE7825}"/>
    <cellStyle name="Comma 2 2 2 4 4 2 9" xfId="20942" xr:uid="{93DB0AD7-8C1F-45ED-8E12-EF3D76041F9F}"/>
    <cellStyle name="Comma 2 2 2 4 4 3" xfId="11478" xr:uid="{41D24788-1F1B-4D7F-99D9-9151DDB7E9CA}"/>
    <cellStyle name="Comma 2 2 2 4 4 3 2" xfId="20161" xr:uid="{AEAB6C4F-3B63-4182-BBB9-B9C7C7BF9E39}"/>
    <cellStyle name="Comma 2 2 2 4 4 4" xfId="23598" xr:uid="{F56064AE-A15C-42AD-B89A-DFFB1668EC9D}"/>
    <cellStyle name="Comma 2 2 2 4 4 5" xfId="38095" xr:uid="{09725FCB-AA9B-4004-80C2-D77C91D7E6BA}"/>
    <cellStyle name="Comma 2 2 2 4 4 6" xfId="38917" xr:uid="{1AC78144-890B-472B-8FCB-09FCD7619E57}"/>
    <cellStyle name="Comma 2 2 2 4 4 7" xfId="39918" xr:uid="{C83E5DCD-AAEB-4C26-BA64-B2420DCEEAD4}"/>
    <cellStyle name="Comma 2 2 2 4 4 8" xfId="40560" xr:uid="{35BC4894-95E3-412E-86BE-AC2C8F97E4DE}"/>
    <cellStyle name="Comma 2 2 2 4 4 9" xfId="41772" xr:uid="{FF4CEDD3-A793-43ED-AEE8-9384EDD0E124}"/>
    <cellStyle name="Comma 2 2 2 4 5" xfId="7459" xr:uid="{7B8FDE67-0AA1-407B-BA89-BFAF404DA60E}"/>
    <cellStyle name="Comma 2 2 2 4 5 10" xfId="42591" xr:uid="{B3D59ABB-18EF-4335-B824-7195F7D575E8}"/>
    <cellStyle name="Comma 2 2 2 4 5 11" xfId="44758" xr:uid="{1B1D9FA5-831E-4D3E-8692-6E6E33F31784}"/>
    <cellStyle name="Comma 2 2 2 4 5 12" xfId="46903" xr:uid="{73434EDC-6D76-4D61-A7EF-554AAD4240FE}"/>
    <cellStyle name="Comma 2 2 2 4 5 13" xfId="49922" xr:uid="{44551769-10A6-4A3E-96E1-3B41BF65D3A3}"/>
    <cellStyle name="Comma 2 2 2 4 5 14" xfId="52193" xr:uid="{F300C96A-1F21-48FF-90F9-C0F177F2C464}"/>
    <cellStyle name="Comma 2 2 2 4 5 15" xfId="16944" xr:uid="{39EAF51C-6AF0-43FA-9DA6-B29CD00EF568}"/>
    <cellStyle name="Comma 2 2 2 4 5 16" xfId="14839" xr:uid="{9B2C1257-E90F-4189-8C7E-2C8D9A37F16F}"/>
    <cellStyle name="Comma 2 2 2 4 5 2" xfId="9951" xr:uid="{4499F6C4-BB41-48DE-8950-D2701DD558BE}"/>
    <cellStyle name="Comma 2 2 2 4 5 2 10" xfId="45279" xr:uid="{9C30EC65-8843-4078-BED8-560F175C7C01}"/>
    <cellStyle name="Comma 2 2 2 4 5 2 11" xfId="48464" xr:uid="{F657B0BA-161E-41D8-8134-B486E01D526C}"/>
    <cellStyle name="Comma 2 2 2 4 5 2 12" xfId="51250" xr:uid="{03EE3CA3-E786-4916-8B42-C42AF25CC9B4}"/>
    <cellStyle name="Comma 2 2 2 4 5 2 13" xfId="52194" xr:uid="{713FE96D-93DF-47F1-94DF-8B4843EA18A0}"/>
    <cellStyle name="Comma 2 2 2 4 5 2 14" xfId="20939" xr:uid="{0FDD808F-5A1A-4D27-8397-6F383DBD6091}"/>
    <cellStyle name="Comma 2 2 2 4 5 2 2" xfId="13257" xr:uid="{08EA9EFA-F8EB-446C-88CA-84E292AFB596}"/>
    <cellStyle name="Comma 2 2 2 4 5 2 2 2" xfId="23600" xr:uid="{A1F142D5-A2D9-4EF9-93FC-9BB4187C7698}"/>
    <cellStyle name="Comma 2 2 2 4 5 2 3" xfId="38097" xr:uid="{3076F552-5FED-4E4F-884C-AFC4C3A76B24}"/>
    <cellStyle name="Comma 2 2 2 4 5 2 4" xfId="39505" xr:uid="{ABAB4006-8ABD-4B91-A55D-997ACA95733E}"/>
    <cellStyle name="Comma 2 2 2 4 5 2 5" xfId="39920" xr:uid="{5209B9C2-F26E-4EA1-9D14-530788C14DEA}"/>
    <cellStyle name="Comma 2 2 2 4 5 2 6" xfId="40562" xr:uid="{97839AB6-5F42-45B6-918E-3D6AE0261BA5}"/>
    <cellStyle name="Comma 2 2 2 4 5 2 7" xfId="41359" xr:uid="{D6286A0E-52BF-4FA7-A025-3C143222CC21}"/>
    <cellStyle name="Comma 2 2 2 4 5 2 8" xfId="41774" xr:uid="{00FF115F-8CDF-410E-830C-9BE86057AF69}"/>
    <cellStyle name="Comma 2 2 2 4 5 2 9" xfId="43182" xr:uid="{975B4C6E-D272-4DC7-9329-D5AF87B13F7D}"/>
    <cellStyle name="Comma 2 2 2 4 5 3" xfId="11972" xr:uid="{213C5697-23FF-4626-8F0B-664738254EC9}"/>
    <cellStyle name="Comma 2 2 2 4 5 3 2" xfId="20158" xr:uid="{B7E6AC00-98AE-42F9-9BEE-24B00F7DE949}"/>
    <cellStyle name="Comma 2 2 2 4 5 4" xfId="23599" xr:uid="{8251EDBB-F766-41D6-829E-42627AFCEA7A}"/>
    <cellStyle name="Comma 2 2 2 4 5 5" xfId="38096" xr:uid="{08E5374E-AF70-4CF5-B4C2-77B9FE9670CA}"/>
    <cellStyle name="Comma 2 2 2 4 5 6" xfId="38914" xr:uid="{70E53B42-EAF6-4BCC-8FAE-EA039AE937E9}"/>
    <cellStyle name="Comma 2 2 2 4 5 7" xfId="39919" xr:uid="{EA0FC45A-E733-4D4E-B92E-4D0BD8D961C4}"/>
    <cellStyle name="Comma 2 2 2 4 5 8" xfId="40561" xr:uid="{C4AFE11E-D8F2-4D85-9D6D-8016DDE48920}"/>
    <cellStyle name="Comma 2 2 2 4 5 9" xfId="41773" xr:uid="{84174320-712A-4C75-8815-B1EC1FD5B6D2}"/>
    <cellStyle name="Comma 2 2 2 4 6" xfId="8125" xr:uid="{05529587-C27A-438E-9B8D-163E1FB1A476}"/>
    <cellStyle name="Comma 2 2 2 4 6 10" xfId="45061" xr:uid="{4326DF1B-6307-4FC6-ACED-F5C78F505352}"/>
    <cellStyle name="Comma 2 2 2 4 6 11" xfId="47200" xr:uid="{476E1F15-15A5-4FB4-8A37-DC5263407AF8}"/>
    <cellStyle name="Comma 2 2 2 4 6 12" xfId="50178" xr:uid="{0AEFC39E-D20B-40AA-8802-B99645321E35}"/>
    <cellStyle name="Comma 2 2 2 4 6 13" xfId="52195" xr:uid="{CDBCE84C-0391-4975-AD33-2983B16FC7E4}"/>
    <cellStyle name="Comma 2 2 2 4 6 14" xfId="20525" xr:uid="{E894C8DE-A5BD-4DA6-95C5-DDBEC3DA1F52}"/>
    <cellStyle name="Comma 2 2 2 4 6 2" xfId="12581" xr:uid="{5483F67C-9FCB-4086-853E-C32DBD4C9859}"/>
    <cellStyle name="Comma 2 2 2 4 6 2 2" xfId="48771" xr:uid="{686FD2E8-893C-45BA-9362-7917AF41FA36}"/>
    <cellStyle name="Comma 2 2 2 4 6 2 3" xfId="51506" xr:uid="{0BD4D7F2-D031-4728-84E9-0488D0733C5F}"/>
    <cellStyle name="Comma 2 2 2 4 6 2 4" xfId="52196" xr:uid="{FEB12252-BBC7-4CDF-BB10-E830731F521E}"/>
    <cellStyle name="Comma 2 2 2 4 6 2 5" xfId="23601" xr:uid="{86785377-41B6-4C8B-95D9-0BB38E487410}"/>
    <cellStyle name="Comma 2 2 2 4 6 3" xfId="38098" xr:uid="{48CF17E2-7049-4094-9C63-873B9A06CC63}"/>
    <cellStyle name="Comma 2 2 2 4 6 4" xfId="39279" xr:uid="{2DA4CDAF-BAD5-4A1B-8366-ED6A7DF69FA2}"/>
    <cellStyle name="Comma 2 2 2 4 6 5" xfId="39921" xr:uid="{2AA79248-68BC-46FB-9C8A-83D49FFC2840}"/>
    <cellStyle name="Comma 2 2 2 4 6 6" xfId="40563" xr:uid="{C734D13D-32BF-4A0E-A6BE-177348B9E9D7}"/>
    <cellStyle name="Comma 2 2 2 4 6 7" xfId="41141" xr:uid="{6D3D3B0A-87CA-4EBD-A64C-0AC4F277DCB9}"/>
    <cellStyle name="Comma 2 2 2 4 6 8" xfId="41775" xr:uid="{1F5E175D-DBB3-43BE-AA8B-422A1BA3664B}"/>
    <cellStyle name="Comma 2 2 2 4 6 9" xfId="42956" xr:uid="{37523089-0280-4BD9-ACBD-C5503C5B8624}"/>
    <cellStyle name="Comma 2 2 2 4 7" xfId="7912" xr:uid="{82676830-A1AF-4756-94DD-782ACA8B895C}"/>
    <cellStyle name="Comma 2 2 2 4 7 2" xfId="12425" xr:uid="{05F2940F-A996-4038-841F-F88F9CB4FD09}"/>
    <cellStyle name="Comma 2 2 2 4 7 2 2" xfId="47660" xr:uid="{17EAF0EB-A4EF-401C-AAA2-2741A3807B86}"/>
    <cellStyle name="Comma 2 2 2 4 7 3" xfId="50568" xr:uid="{BEB2A9AF-887C-40CF-897E-DA076A4EC2E1}"/>
    <cellStyle name="Comma 2 2 2 4 7 4" xfId="52197" xr:uid="{7F0BC623-C02F-4793-BDE3-9D85CE37C418}"/>
    <cellStyle name="Comma 2 2 2 4 7 5" xfId="19932" xr:uid="{5667CEFD-8EF5-4DD6-8B8C-2D64A4503C8A}"/>
    <cellStyle name="Comma 2 2 2 4 8" xfId="5809" xr:uid="{8FAA8E86-572D-46A1-A993-2B6E31E1ECDA}"/>
    <cellStyle name="Comma 2 2 2 4 8 2" xfId="23591" xr:uid="{2CB0E34E-BDCB-45A5-B2D8-500D06DDF453}"/>
    <cellStyle name="Comma 2 2 2 4 9" xfId="11297" xr:uid="{84616AC1-042B-490E-9AA6-65F8631842A4}"/>
    <cellStyle name="Comma 2 2 2 4 9 2" xfId="38088" xr:uid="{447C2FDE-E891-4BB2-BC98-C4AE7E498538}"/>
    <cellStyle name="Comma 2 2 2 5" xfId="4410" xr:uid="{091BA65A-F6F4-432C-89C2-A38BBF8DA543}"/>
    <cellStyle name="Comma 2 2 2 5 10" xfId="41776" xr:uid="{D2575A91-FCBA-411D-96F6-ED20838F07B6}"/>
    <cellStyle name="Comma 2 2 2 5 11" xfId="42446" xr:uid="{3B76E5C3-D251-4618-B4C8-1A2F51099680}"/>
    <cellStyle name="Comma 2 2 2 5 12" xfId="43507" xr:uid="{BB8ED36E-FA21-455C-AECD-0188A86E35F4}"/>
    <cellStyle name="Comma 2 2 2 5 13" xfId="44511" xr:uid="{6D146D69-800D-4F4E-9D65-DB73B356DEBE}"/>
    <cellStyle name="Comma 2 2 2 5 14" xfId="45685" xr:uid="{C4E8314E-1659-4A12-881B-157D7EB84174}"/>
    <cellStyle name="Comma 2 2 2 5 15" xfId="49313" xr:uid="{E4E08D87-B80A-4E44-B0AD-2739C1791241}"/>
    <cellStyle name="Comma 2 2 2 5 16" xfId="52198" xr:uid="{11AFAD16-00E3-4F11-AB74-33D3A5FC623F}"/>
    <cellStyle name="Comma 2 2 2 5 17" xfId="16640" xr:uid="{0E5C7B6C-B79A-48B0-AB67-2EA23C8E4627}"/>
    <cellStyle name="Comma 2 2 2 5 18" xfId="13890" xr:uid="{80A559DA-32CD-42EE-8E48-5945CAED12BC}"/>
    <cellStyle name="Comma 2 2 2 5 2" xfId="5667" xr:uid="{F0921140-A276-46FE-B669-89045CF5AA02}"/>
    <cellStyle name="Comma 2 2 2 5 2 10" xfId="42595" xr:uid="{3287B69F-36A8-4538-8F52-A230083F8EC2}"/>
    <cellStyle name="Comma 2 2 2 5 2 11" xfId="44211" xr:uid="{4C653E32-1721-4AF6-94CB-213ED56D5F55}"/>
    <cellStyle name="Comma 2 2 2 5 2 12" xfId="44762" xr:uid="{D7A529C7-EB41-4048-90C6-CB71F53C10AC}"/>
    <cellStyle name="Comma 2 2 2 5 2 13" xfId="46679" xr:uid="{A56F034B-2FA3-4B6C-B2D0-A8CDF678FEE9}"/>
    <cellStyle name="Comma 2 2 2 5 2 14" xfId="49711" xr:uid="{2188664A-A550-497B-A2E6-23BF5840319D}"/>
    <cellStyle name="Comma 2 2 2 5 2 15" xfId="52199" xr:uid="{8E7C70DB-7D99-4E20-AF7B-6F585B41138A}"/>
    <cellStyle name="Comma 2 2 2 5 2 16" xfId="16948" xr:uid="{EBF30D66-F10E-4311-81B9-3A3B0A6A7A29}"/>
    <cellStyle name="Comma 2 2 2 5 2 17" xfId="14204" xr:uid="{85A1EE81-6007-43F4-ABC4-CAB42FE9A1C4}"/>
    <cellStyle name="Comma 2 2 2 5 2 2" xfId="7769" xr:uid="{F693D16E-8A15-450F-A116-24FF6947B403}"/>
    <cellStyle name="Comma 2 2 2 5 2 2 10" xfId="14696" xr:uid="{1FF3A644-4B40-48F6-A57B-9630255B70CE}"/>
    <cellStyle name="Comma 2 2 2 5 2 2 2" xfId="10261" xr:uid="{ECF696EC-970A-4FFD-9E9C-D042F2125C39}"/>
    <cellStyle name="Comma 2 2 2 5 2 2 2 2" xfId="13567" xr:uid="{8D0EF7EA-8EDE-4D0B-9A76-CF3D19D5DF2E}"/>
    <cellStyle name="Comma 2 2 2 5 2 2 2 2 2" xfId="49077" xr:uid="{3D47C92D-F8C4-4790-AF7B-F922C6C16081}"/>
    <cellStyle name="Comma 2 2 2 5 2 2 2 3" xfId="51757" xr:uid="{D404841A-09C1-4B25-9D68-C2916318B019}"/>
    <cellStyle name="Comma 2 2 2 5 2 2 2 4" xfId="52200" xr:uid="{4C053C63-A98D-423A-B670-4B0DBFEC5B18}"/>
    <cellStyle name="Comma 2 2 2 5 2 2 2 5" xfId="39509" xr:uid="{61A5CFF3-9EBB-42ED-A7A8-B66F2C5EB15D}"/>
    <cellStyle name="Comma 2 2 2 5 2 2 3" xfId="12282" xr:uid="{8ACEB904-CE35-424E-8F3E-A1185741CF31}"/>
    <cellStyle name="Comma 2 2 2 5 2 2 3 2" xfId="41363" xr:uid="{0DDFF015-B1A8-4FB0-8619-AC8CFBA240A5}"/>
    <cellStyle name="Comma 2 2 2 5 2 2 4" xfId="43186" xr:uid="{C2B85B06-753C-4911-92E0-ECE0C2A37A30}"/>
    <cellStyle name="Comma 2 2 2 5 2 2 5" xfId="45283" xr:uid="{C0C777BF-AB4D-449A-97A1-D1D119E8DEB2}"/>
    <cellStyle name="Comma 2 2 2 5 2 2 6" xfId="47494" xr:uid="{1C821C04-C205-4211-B5B2-76EEB6F2F2C9}"/>
    <cellStyle name="Comma 2 2 2 5 2 2 7" xfId="50429" xr:uid="{791739EC-2079-43E2-913C-A51903C56459}"/>
    <cellStyle name="Comma 2 2 2 5 2 2 8" xfId="52201" xr:uid="{0FC0C72A-217C-49C3-9FE1-B1913AF1536F}"/>
    <cellStyle name="Comma 2 2 2 5 2 2 9" xfId="20943" xr:uid="{8477EA08-3A92-4D00-975E-7FCE47444F75}"/>
    <cellStyle name="Comma 2 2 2 5 2 3" xfId="9767" xr:uid="{3C689451-ED57-4681-9996-01FDBB6102CD}"/>
    <cellStyle name="Comma 2 2 2 5 2 3 2" xfId="13073" xr:uid="{9D7DC664-E6EA-451B-850E-B07FA600A0CC}"/>
    <cellStyle name="Comma 2 2 2 5 2 3 2 2" xfId="48221" xr:uid="{390E77DF-3330-4716-8FF3-787F86409B4C}"/>
    <cellStyle name="Comma 2 2 2 5 2 3 3" xfId="51039" xr:uid="{E0AE0BE5-2B14-43ED-A191-7185B2844723}"/>
    <cellStyle name="Comma 2 2 2 5 2 3 4" xfId="52202" xr:uid="{AA9F2D53-541A-414A-BABC-2BF2822A15C2}"/>
    <cellStyle name="Comma 2 2 2 5 2 3 5" xfId="20162" xr:uid="{70A4535D-B454-4186-9EFD-E8651B564364}"/>
    <cellStyle name="Comma 2 2 2 5 2 4" xfId="7265" xr:uid="{9EFBBAD0-67F6-492A-BC4E-34315858C0B2}"/>
    <cellStyle name="Comma 2 2 2 5 2 4 2" xfId="23603" xr:uid="{74B72114-1706-42A3-81CC-A0476D0E058A}"/>
    <cellStyle name="Comma 2 2 2 5 2 5" xfId="11788" xr:uid="{4F94F908-7228-4743-8669-A8CEFAA660D4}"/>
    <cellStyle name="Comma 2 2 2 5 2 5 2" xfId="38100" xr:uid="{B8443078-D485-4530-B675-7EBB5D867F81}"/>
    <cellStyle name="Comma 2 2 2 5 2 6" xfId="38918" xr:uid="{8FACB60D-BC44-4B2A-A402-89E3F31B6154}"/>
    <cellStyle name="Comma 2 2 2 5 2 7" xfId="39923" xr:uid="{F7F10DAC-1902-4FE2-965B-192536875092}"/>
    <cellStyle name="Comma 2 2 2 5 2 8" xfId="40565" xr:uid="{874612A2-ADFD-4764-9A63-A9A180E5EB91}"/>
    <cellStyle name="Comma 2 2 2 5 2 9" xfId="41777" xr:uid="{8A000BB9-B86E-4492-BA21-B01A1AD2F77D}"/>
    <cellStyle name="Comma 2 2 2 5 3" xfId="7455" xr:uid="{2E91A709-2529-4780-9483-A6493D0B9BB7}"/>
    <cellStyle name="Comma 2 2 2 5 3 10" xfId="14382" xr:uid="{6398940D-C47C-4CD1-9B1E-DE7B43C2DAF0}"/>
    <cellStyle name="Comma 2 2 2 5 3 2" xfId="9947" xr:uid="{5E1578F2-F289-4195-8804-6850CA4940B0}"/>
    <cellStyle name="Comma 2 2 2 5 3 2 2" xfId="13253" xr:uid="{1B5D4483-F25F-4F5F-905D-BF32AC721BC5}"/>
    <cellStyle name="Comma 2 2 2 5 3 2 2 2" xfId="47915" xr:uid="{BBF91937-3535-43FC-A829-A3BB55B4E569}"/>
    <cellStyle name="Comma 2 2 2 5 3 2 3" xfId="50784" xr:uid="{700C69D1-0E7C-4752-ADE1-AAAEC08E1092}"/>
    <cellStyle name="Comma 2 2 2 5 3 2 4" xfId="52203" xr:uid="{929E8933-3299-4C8E-B127-64299BDB2E79}"/>
    <cellStyle name="Comma 2 2 2 5 3 2 5" xfId="39360" xr:uid="{BCA2963C-B856-4C66-B841-A500C514EA64}"/>
    <cellStyle name="Comma 2 2 2 5 3 3" xfId="11968" xr:uid="{6A023688-0757-40C1-822C-5C0209D477BE}"/>
    <cellStyle name="Comma 2 2 2 5 3 3 2" xfId="41218" xr:uid="{C9852D44-8A8C-4689-8077-9423CEFE8088}"/>
    <cellStyle name="Comma 2 2 2 5 3 4" xfId="43037" xr:uid="{6C4D158D-9578-4FA7-9F0B-6FC74D2B6B37}"/>
    <cellStyle name="Comma 2 2 2 5 3 5" xfId="45138" xr:uid="{837129C6-E6FD-42B3-BE05-2B26A0D05DF5}"/>
    <cellStyle name="Comma 2 2 2 5 3 6" xfId="46120" xr:uid="{5F2203CF-AD40-4559-83D2-8B51D8E22A56}"/>
    <cellStyle name="Comma 2 2 2 5 3 7" xfId="49456" xr:uid="{19753026-C8B8-4BE1-BF3C-8A9AD6E43B55}"/>
    <cellStyle name="Comma 2 2 2 5 3 8" xfId="52204" xr:uid="{2A32C4F6-8FC2-4870-BE39-B20EBDB8001B}"/>
    <cellStyle name="Comma 2 2 2 5 3 9" xfId="20734" xr:uid="{28CCCB8B-B917-49FE-A6D9-3BC78AF48080}"/>
    <cellStyle name="Comma 2 2 2 5 4" xfId="11115" xr:uid="{638391B3-B29F-4EED-8542-C27BE8D13E08}"/>
    <cellStyle name="Comma 2 2 2 5 4 2" xfId="13712" xr:uid="{4ED21013-09A4-4509-8AE5-D20EDB4684E9}"/>
    <cellStyle name="Comma 2 2 2 5 4 2 2" xfId="51246" xr:uid="{675FFE83-3172-4EA2-8888-F4CD0D159AA0}"/>
    <cellStyle name="Comma 2 2 2 5 4 2 3" xfId="52205" xr:uid="{C0D61395-87B1-4CA6-A72F-F7B8594E8FE7}"/>
    <cellStyle name="Comma 2 2 2 5 4 2 4" xfId="48460" xr:uid="{B8A5EBBB-9EA3-4D48-AFB0-8BC835942B3C}"/>
    <cellStyle name="Comma 2 2 2 5 4 3" xfId="46899" xr:uid="{AFCB273F-28BE-477B-93AB-9594CE9B40A2}"/>
    <cellStyle name="Comma 2 2 2 5 4 4" xfId="49918" xr:uid="{9F982E5D-135E-4E78-A846-052899D19BB1}"/>
    <cellStyle name="Comma 2 2 2 5 4 5" xfId="52206" xr:uid="{4ACA89E4-E861-474A-A648-7DDA404AABBB}"/>
    <cellStyle name="Comma 2 2 2 5 4 6" xfId="20013" xr:uid="{9E8A0644-C3EC-4558-BEFD-F5BE0049795F}"/>
    <cellStyle name="Comma 2 2 2 5 4 7" xfId="15011" xr:uid="{0AE827F6-4675-41B2-973E-905A9FCE305E}"/>
    <cellStyle name="Comma 2 2 2 5 5" xfId="9453" xr:uid="{722B5211-BEE1-4405-BE98-1EA51C5E678A}"/>
    <cellStyle name="Comma 2 2 2 5 5 2" xfId="12759" xr:uid="{0EDDF47C-F169-4E3E-A0AD-DF1D45545D83}"/>
    <cellStyle name="Comma 2 2 2 5 5 2 2" xfId="51502" xr:uid="{BB4F83F4-3841-4293-B14A-8465FAC7BF18}"/>
    <cellStyle name="Comma 2 2 2 5 5 2 3" xfId="52207" xr:uid="{A17271CB-3038-4180-809B-95BBC190F5B3}"/>
    <cellStyle name="Comma 2 2 2 5 5 2 4" xfId="48767" xr:uid="{0452A7AE-3FBA-42ED-ADCE-D1FAECCE0B91}"/>
    <cellStyle name="Comma 2 2 2 5 5 3" xfId="47196" xr:uid="{B4BC4984-F1E4-434A-9795-9CF4174F45C0}"/>
    <cellStyle name="Comma 2 2 2 5 5 4" xfId="50174" xr:uid="{AF989BBA-44E3-4F23-BB16-8CD3EE860210}"/>
    <cellStyle name="Comma 2 2 2 5 5 5" xfId="52208" xr:uid="{35AEAF60-19DB-4006-A05F-99049EB04329}"/>
    <cellStyle name="Comma 2 2 2 5 5 6" xfId="23602" xr:uid="{1DA3059C-4B50-437B-9C41-5BEEBD359344}"/>
    <cellStyle name="Comma 2 2 2 5 6" xfId="6481" xr:uid="{D0E72803-980F-4E71-B63A-10913E39AEB4}"/>
    <cellStyle name="Comma 2 2 2 5 6 2" xfId="47742" xr:uid="{539A3BE8-2E58-4F6B-8874-573FB0EF64BB}"/>
    <cellStyle name="Comma 2 2 2 5 6 3" xfId="50641" xr:uid="{58C3A53B-F712-493A-B756-DE2020023208}"/>
    <cellStyle name="Comma 2 2 2 5 6 4" xfId="52209" xr:uid="{5AA55205-C21F-4670-95E6-A6F1CE406EE9}"/>
    <cellStyle name="Comma 2 2 2 5 6 5" xfId="38099" xr:uid="{ED3E909C-8300-460F-8CF8-2F8B2E54443C}"/>
    <cellStyle name="Comma 2 2 2 5 7" xfId="11474" xr:uid="{AC6E9FC7-E0C8-4CFB-A9F8-E1A7DE69201B}"/>
    <cellStyle name="Comma 2 2 2 5 7 2" xfId="38769" xr:uid="{375D1640-A397-464F-8FF7-18BD89ABC8D5}"/>
    <cellStyle name="Comma 2 2 2 5 8" xfId="39922" xr:uid="{8C0374F8-602D-492B-9407-68657699350E}"/>
    <cellStyle name="Comma 2 2 2 5 9" xfId="40564" xr:uid="{336EC364-15ED-48B8-B87E-B22BE2E3FE85}"/>
    <cellStyle name="Comma 2 2 2 6" xfId="3880" xr:uid="{E31C6324-FE9E-42D7-B6A3-77F707333C86}"/>
    <cellStyle name="Comma 2 2 2 6 10" xfId="41778" xr:uid="{48F4C648-C0F6-4F1C-A17F-1563E0108763}"/>
    <cellStyle name="Comma 2 2 2 6 11" xfId="42386" xr:uid="{38BFAA25-6145-44AA-81FD-8ACEAA3AFEB8}"/>
    <cellStyle name="Comma 2 2 2 6 12" xfId="43891" xr:uid="{F87FDAFF-B261-4DCF-8163-5454D50AB40C}"/>
    <cellStyle name="Comma 2 2 2 6 13" xfId="44478" xr:uid="{A8F051E4-1003-4032-86B3-4E5AC942659C}"/>
    <cellStyle name="Comma 2 2 2 6 14" xfId="46645" xr:uid="{64E0DEF0-9ADC-4F50-A059-2D2F2CCBBB2B}"/>
    <cellStyle name="Comma 2 2 2 6 15" xfId="49678" xr:uid="{53A42F38-6EDF-4FF9-B739-08101E3861A2}"/>
    <cellStyle name="Comma 2 2 2 6 16" xfId="52210" xr:uid="{95CC5586-D89B-4121-82E2-11B913652620}"/>
    <cellStyle name="Comma 2 2 2 6 17" xfId="16361" xr:uid="{4BCB0FFA-75F8-4722-9776-C68DE4EF2B5D}"/>
    <cellStyle name="Comma 2 2 2 6 18" xfId="14159" xr:uid="{6EDB4037-FB2D-4A5D-B611-ABB213B25C1A}"/>
    <cellStyle name="Comma 2 2 2 6 2" xfId="5622" xr:uid="{FA130CF1-77B3-45E9-80B6-B70A5E55214C}"/>
    <cellStyle name="Comma 2 2 2 6 2 10" xfId="42596" xr:uid="{16224356-AF14-49A0-AE3F-D0BA589192C2}"/>
    <cellStyle name="Comma 2 2 2 6 2 11" xfId="44763" xr:uid="{7FCD2EAC-B11F-4CD9-9BDA-381CD283E6BD}"/>
    <cellStyle name="Comma 2 2 2 6 2 12" xfId="46863" xr:uid="{906BF17E-7FBF-486C-9629-489DB957C10B}"/>
    <cellStyle name="Comma 2 2 2 6 2 13" xfId="49885" xr:uid="{EC1BC5C4-B717-4817-96F6-1E291DCAE5AE}"/>
    <cellStyle name="Comma 2 2 2 6 2 14" xfId="52211" xr:uid="{FFF08F04-B6AC-430B-8ED6-0612CF279702}"/>
    <cellStyle name="Comma 2 2 2 6 2 15" xfId="16949" xr:uid="{39EA82BA-16A0-4E9C-9256-D9BFC1B731CD}"/>
    <cellStyle name="Comma 2 2 2 6 2 16" xfId="14651" xr:uid="{3651C3F2-925F-4EC2-9CAA-0F4A8B49FBDB}"/>
    <cellStyle name="Comma 2 2 2 6 2 2" xfId="10216" xr:uid="{C0DB9993-9A5F-4B42-8EB2-3AB4BF21D9B7}"/>
    <cellStyle name="Comma 2 2 2 6 2 2 2" xfId="13522" xr:uid="{0076A984-8CDF-4C57-A074-48E3A1550BD8}"/>
    <cellStyle name="Comma 2 2 2 6 2 2 2 2" xfId="39510" xr:uid="{D8D43D88-9F63-476C-BB52-655C2AF40D07}"/>
    <cellStyle name="Comma 2 2 2 6 2 2 3" xfId="41364" xr:uid="{16BC4AC0-ED2D-48ED-B084-2725DD5F3839}"/>
    <cellStyle name="Comma 2 2 2 6 2 2 4" xfId="43187" xr:uid="{58A1B3C7-594B-4732-B066-B285E17C8479}"/>
    <cellStyle name="Comma 2 2 2 6 2 2 5" xfId="45284" xr:uid="{5B271752-4367-4CD5-98FB-CB531D706493}"/>
    <cellStyle name="Comma 2 2 2 6 2 2 6" xfId="48419" xr:uid="{94C32C84-CAAD-44CA-8C42-D17A70C9A0E5}"/>
    <cellStyle name="Comma 2 2 2 6 2 2 7" xfId="51213" xr:uid="{0DFA8763-60B7-4F08-8E2E-0B4FF5040AB4}"/>
    <cellStyle name="Comma 2 2 2 6 2 2 8" xfId="52212" xr:uid="{52B0A2A2-16A0-4FDA-93BF-C146C37795D0}"/>
    <cellStyle name="Comma 2 2 2 6 2 2 9" xfId="20944" xr:uid="{E4BA2C04-633C-4F1F-A3D7-C70F362BFBCA}"/>
    <cellStyle name="Comma 2 2 2 6 2 3" xfId="7724" xr:uid="{6EC80C2C-C6B2-46D5-BD26-F4B7F9D5C794}"/>
    <cellStyle name="Comma 2 2 2 6 2 3 2" xfId="20163" xr:uid="{4E2960DF-6BBF-4C3B-AF33-DA336818E585}"/>
    <cellStyle name="Comma 2 2 2 6 2 4" xfId="12237" xr:uid="{06BD86FF-7325-4A15-B75A-7D3280E094AF}"/>
    <cellStyle name="Comma 2 2 2 6 2 4 2" xfId="23605" xr:uid="{27850DA4-FAC8-41C3-87F9-33562F17D4B0}"/>
    <cellStyle name="Comma 2 2 2 6 2 5" xfId="38102" xr:uid="{E6939C7E-54EB-4A14-808F-03129F137FA0}"/>
    <cellStyle name="Comma 2 2 2 6 2 6" xfId="38919" xr:uid="{28E2CA5C-B2BA-497D-B6D7-45457350F8D7}"/>
    <cellStyle name="Comma 2 2 2 6 2 7" xfId="39925" xr:uid="{EC6A0906-59E2-42B4-A426-0D00BBB4EE76}"/>
    <cellStyle name="Comma 2 2 2 6 2 8" xfId="40567" xr:uid="{227EB28D-EDEC-495C-BD7C-5516692A0293}"/>
    <cellStyle name="Comma 2 2 2 6 2 9" xfId="41779" xr:uid="{D7367A5C-CD0F-4000-9E01-8AF730FF2163}"/>
    <cellStyle name="Comma 2 2 2 6 3" xfId="9722" xr:uid="{A7154FC3-9AFF-4FEB-A4E1-B377B3A33E20}"/>
    <cellStyle name="Comma 2 2 2 6 3 10" xfId="14966" xr:uid="{EA71910F-6B36-4E6A-955C-B6F058D20CDE}"/>
    <cellStyle name="Comma 2 2 2 6 3 2" xfId="13028" xr:uid="{ADFFB319-BC59-4A79-B897-FB81BD747E13}"/>
    <cellStyle name="Comma 2 2 2 6 3 2 2" xfId="49034" xr:uid="{5AC115F6-EB53-40B0-91FD-E5068B7BF889}"/>
    <cellStyle name="Comma 2 2 2 6 3 2 3" xfId="51724" xr:uid="{AA43C3CA-AC7D-48F5-AE6E-0649503EAE7E}"/>
    <cellStyle name="Comma 2 2 2 6 3 2 4" xfId="52213" xr:uid="{91DE1280-8D39-49B1-A120-4D91971C85A2}"/>
    <cellStyle name="Comma 2 2 2 6 3 2 5" xfId="39300" xr:uid="{A67253D3-CF1B-46FE-8028-EBF5B36F6F0B}"/>
    <cellStyle name="Comma 2 2 2 6 3 3" xfId="41162" xr:uid="{5CBCD411-DC5D-408F-88FE-B06293CA1843}"/>
    <cellStyle name="Comma 2 2 2 6 3 4" xfId="42977" xr:uid="{8A6446E1-FF5F-4D9F-9223-FAD3E77D3F6C}"/>
    <cellStyle name="Comma 2 2 2 6 3 5" xfId="45082" xr:uid="{781907C3-6A43-4397-9845-DCA1DBD40628}"/>
    <cellStyle name="Comma 2 2 2 6 3 6" xfId="47453" xr:uid="{C164C64B-C77F-4275-8A1E-15D0E7356163}"/>
    <cellStyle name="Comma 2 2 2 6 3 7" xfId="50396" xr:uid="{940E93BA-799A-4590-A9D9-7B8A6675D99E}"/>
    <cellStyle name="Comma 2 2 2 6 3 8" xfId="52214" xr:uid="{3A5433EB-1CB1-446C-8E90-97EC6BE62BCE}"/>
    <cellStyle name="Comma 2 2 2 6 3 9" xfId="20606" xr:uid="{560520B5-D611-49E4-9523-E6E3FB211591}"/>
    <cellStyle name="Comma 2 2 2 6 4" xfId="7218" xr:uid="{1BAF579B-A730-476E-A9BA-7A47A270A295}"/>
    <cellStyle name="Comma 2 2 2 6 4 2" xfId="48179" xr:uid="{1BA362C9-A3B6-456D-B9AB-4DF3896721D7}"/>
    <cellStyle name="Comma 2 2 2 6 4 3" xfId="51006" xr:uid="{0BF6DE9A-52A5-4845-946E-983EFCE1B416}"/>
    <cellStyle name="Comma 2 2 2 6 4 4" xfId="52215" xr:uid="{C7B4536D-83C2-43C6-AE3D-15F37A71AF66}"/>
    <cellStyle name="Comma 2 2 2 6 4 5" xfId="19953" xr:uid="{6091702C-C5C4-4161-BF8A-B3C567626A05}"/>
    <cellStyle name="Comma 2 2 2 6 5" xfId="11743" xr:uid="{8499BCEA-523A-4B10-BBD2-F00413D13FA1}"/>
    <cellStyle name="Comma 2 2 2 6 5 2" xfId="23604" xr:uid="{01CC904E-5A5B-4ECD-A65F-78FA80EBAF4E}"/>
    <cellStyle name="Comma 2 2 2 6 6" xfId="38101" xr:uid="{19DCA01B-6AD6-4160-AFD8-B17041105896}"/>
    <cellStyle name="Comma 2 2 2 6 7" xfId="38709" xr:uid="{24398039-C775-4E4D-A390-7BB9A2E0D365}"/>
    <cellStyle name="Comma 2 2 2 6 8" xfId="39924" xr:uid="{37C79C37-3E25-4007-BF13-7A7093DB613E}"/>
    <cellStyle name="Comma 2 2 2 6 9" xfId="40566" xr:uid="{677F6167-ADC4-4537-A636-CCAEACE14FD7}"/>
    <cellStyle name="Comma 2 2 2 7" xfId="5491" xr:uid="{488F7A43-3A1A-40F8-B613-038E0AFE7B6E}"/>
    <cellStyle name="Comma 2 2 2 7 10" xfId="42597" xr:uid="{F3998EFC-71B4-4719-9886-E26B92EC8328}"/>
    <cellStyle name="Comma 2 2 2 7 11" xfId="43780" xr:uid="{6FDC28BC-56FD-404E-889D-C5714FD357F4}"/>
    <cellStyle name="Comma 2 2 2 7 12" xfId="44764" xr:uid="{E1A42AFB-348E-4DAB-809C-714C2434BECA}"/>
    <cellStyle name="Comma 2 2 2 7 13" xfId="46538" xr:uid="{D791674D-6BE4-4054-B9FE-E9F4BFD39B51}"/>
    <cellStyle name="Comma 2 2 2 7 14" xfId="49571" xr:uid="{65A7EC03-AC9C-4B4E-873F-CDAAF46D1572}"/>
    <cellStyle name="Comma 2 2 2 7 15" xfId="52216" xr:uid="{AE7F9FF6-4E2B-4694-9194-3C45B1EBC154}"/>
    <cellStyle name="Comma 2 2 2 7 16" xfId="16950" xr:uid="{A0B1F8A9-41C7-483E-9BF9-FFAF8BEB71A4}"/>
    <cellStyle name="Comma 2 2 2 7 17" xfId="14028" xr:uid="{E6172DB0-2F3A-4884-8666-9A0A4C28D268}"/>
    <cellStyle name="Comma 2 2 2 7 2" xfId="7593" xr:uid="{EE259DEE-C974-4F7C-8421-B51959BCC9A8}"/>
    <cellStyle name="Comma 2 2 2 7 2 10" xfId="14520" xr:uid="{12E6CB34-0763-41FA-927D-93A300CAF6EE}"/>
    <cellStyle name="Comma 2 2 2 7 2 2" xfId="10085" xr:uid="{44F56575-7D70-41A8-8B00-D7A1B61194C7}"/>
    <cellStyle name="Comma 2 2 2 7 2 2 2" xfId="13391" xr:uid="{1FF040DB-5C6C-4479-BFAB-EF19296C626D}"/>
    <cellStyle name="Comma 2 2 2 7 2 2 2 2" xfId="48597" xr:uid="{F8D6E74E-940A-4D9D-A462-99DD616A92CB}"/>
    <cellStyle name="Comma 2 2 2 7 2 2 3" xfId="51360" xr:uid="{97533454-B166-4456-B492-1BCCA68B2AAE}"/>
    <cellStyle name="Comma 2 2 2 7 2 2 4" xfId="52217" xr:uid="{E7A590ED-BB73-4535-B3B9-A9EDA5C37A04}"/>
    <cellStyle name="Comma 2 2 2 7 2 2 5" xfId="39511" xr:uid="{C0F0C0F1-43F6-41F4-8971-6873C89AEFF0}"/>
    <cellStyle name="Comma 2 2 2 7 2 3" xfId="12106" xr:uid="{530EF6F2-A528-4F3D-A647-90A60CBDA811}"/>
    <cellStyle name="Comma 2 2 2 7 2 3 2" xfId="41365" xr:uid="{7B93DB71-CE30-4C61-A9A7-BCBFC115B1A5}"/>
    <cellStyle name="Comma 2 2 2 7 2 4" xfId="43188" xr:uid="{28286967-4631-4977-BCB1-E3A012721E15}"/>
    <cellStyle name="Comma 2 2 2 7 2 5" xfId="45285" xr:uid="{007462DB-8DCF-42C4-BB3B-731B0DB7490B}"/>
    <cellStyle name="Comma 2 2 2 7 2 6" xfId="47031" xr:uid="{9B68C95A-D43A-4201-872F-6D881F5A7FC5}"/>
    <cellStyle name="Comma 2 2 2 7 2 7" xfId="50032" xr:uid="{6091CD58-08B2-4630-A3CD-5BFDA9BF35FE}"/>
    <cellStyle name="Comma 2 2 2 7 2 8" xfId="52218" xr:uid="{0239F184-4BD8-4CEC-908B-5D6E51272C44}"/>
    <cellStyle name="Comma 2 2 2 7 2 9" xfId="20945" xr:uid="{CB90B36B-DA81-431D-A367-7183D5D3BF22}"/>
    <cellStyle name="Comma 2 2 2 7 3" xfId="9591" xr:uid="{16FD96E5-3388-463B-9BEC-8F18CD1B6099}"/>
    <cellStyle name="Comma 2 2 2 7 3 2" xfId="12897" xr:uid="{68EA2448-EB26-4550-9E9D-870E690036DB}"/>
    <cellStyle name="Comma 2 2 2 7 3 2 2" xfId="51617" xr:uid="{A687FBBF-E6C6-4E26-AEF3-C0596A3734D3}"/>
    <cellStyle name="Comma 2 2 2 7 3 2 3" xfId="52219" xr:uid="{090525FC-88B2-4CC7-B511-271CA90F9902}"/>
    <cellStyle name="Comma 2 2 2 7 3 2 4" xfId="48905" xr:uid="{60A8A69C-542A-44DB-BB2D-939E04D9EB06}"/>
    <cellStyle name="Comma 2 2 2 7 3 3" xfId="47329" xr:uid="{7AAD6656-4EEE-44C6-A1D7-9C352CEE78F6}"/>
    <cellStyle name="Comma 2 2 2 7 3 4" xfId="50289" xr:uid="{BD8E35FD-1DB2-4C28-92EA-60DCAF9A23BD}"/>
    <cellStyle name="Comma 2 2 2 7 3 5" xfId="52220" xr:uid="{FCFE208A-87D2-44A9-B458-BC3A5B2DE809}"/>
    <cellStyle name="Comma 2 2 2 7 3 6" xfId="20164" xr:uid="{7FDB8AA1-DD25-4DCE-A431-97238E47ACF2}"/>
    <cellStyle name="Comma 2 2 2 7 4" xfId="7087" xr:uid="{A730E11C-392C-4D47-A738-9B36B2745845}"/>
    <cellStyle name="Comma 2 2 2 7 4 2" xfId="48050" xr:uid="{B68C6E28-C876-445A-BF62-04A3A3F88097}"/>
    <cellStyle name="Comma 2 2 2 7 4 3" xfId="50899" xr:uid="{E0667EB9-9BFD-477B-8B29-C56EAB7CD16F}"/>
    <cellStyle name="Comma 2 2 2 7 4 4" xfId="52221" xr:uid="{6C98F12B-74C6-4D7D-8D6F-CFAE34C6F246}"/>
    <cellStyle name="Comma 2 2 2 7 4 5" xfId="23606" xr:uid="{C859E782-8A09-4B38-8AC7-FF15C47BB503}"/>
    <cellStyle name="Comma 2 2 2 7 5" xfId="11612" xr:uid="{93051383-DB3F-4692-846A-E956ACEF2F10}"/>
    <cellStyle name="Comma 2 2 2 7 5 2" xfId="38103" xr:uid="{7ADCBFC8-33DD-4EA0-A33C-6D19F22E7818}"/>
    <cellStyle name="Comma 2 2 2 7 6" xfId="38920" xr:uid="{BC18C268-886A-464C-9D9E-C3E2986C5687}"/>
    <cellStyle name="Comma 2 2 2 7 7" xfId="39926" xr:uid="{18F666DE-2DD2-4DAA-9FDC-FFF6A76D6CDF}"/>
    <cellStyle name="Comma 2 2 2 7 8" xfId="40568" xr:uid="{DD17A2B9-F26D-41C7-9F95-9788B5780A94}"/>
    <cellStyle name="Comma 2 2 2 7 9" xfId="41780" xr:uid="{442EEAD8-6FE7-4009-8FA5-8D384C3384BE}"/>
    <cellStyle name="Comma 2 2 2 8" xfId="5947" xr:uid="{B15B9905-D687-4296-9DEA-08C80507EDB3}"/>
    <cellStyle name="Comma 2 2 2 8 10" xfId="42574" xr:uid="{5AF05356-9C1E-40A1-B3CD-6DE1C9909EB6}"/>
    <cellStyle name="Comma 2 2 2 8 11" xfId="44741" xr:uid="{6ACBCCF5-46D8-4F91-BA8D-96D1C1CB7147}"/>
    <cellStyle name="Comma 2 2 2 8 12" xfId="45801" xr:uid="{3AE7FE1D-6595-4CBF-81B0-B67ED993848E}"/>
    <cellStyle name="Comma 2 2 2 8 13" xfId="49423" xr:uid="{E18BD4B1-E03E-4DC1-9AD1-4128B386E22D}"/>
    <cellStyle name="Comma 2 2 2 8 14" xfId="52222" xr:uid="{85661AA6-3AAA-4F22-A909-F8842C243808}"/>
    <cellStyle name="Comma 2 2 2 8 15" xfId="16927" xr:uid="{4BBE6A54-5B40-49E1-A34D-77E4E28DB62E}"/>
    <cellStyle name="Comma 2 2 2 8 16" xfId="14337" xr:uid="{216E3098-B8AF-40A9-9A82-0EF7C35737CC}"/>
    <cellStyle name="Comma 2 2 2 8 2" xfId="9405" xr:uid="{193A32CC-BB7B-46B5-8D5D-4AC3D5D849D2}"/>
    <cellStyle name="Comma 2 2 2 8 2 2" xfId="12711" xr:uid="{30B570CB-AF24-4C89-81F7-1CB32D7DA1A8}"/>
    <cellStyle name="Comma 2 2 2 8 2 2 2" xfId="39488" xr:uid="{89F77A0E-A4F3-4873-AEC2-83EAD72D6131}"/>
    <cellStyle name="Comma 2 2 2 8 2 3" xfId="41342" xr:uid="{9EE2EDED-5948-43E9-A284-F38A411338BD}"/>
    <cellStyle name="Comma 2 2 2 8 2 4" xfId="43165" xr:uid="{EA87E8F8-DD5B-4D87-8F12-520911D4F5DC}"/>
    <cellStyle name="Comma 2 2 2 8 2 5" xfId="45262" xr:uid="{46C8B154-E31B-49C2-9710-E5F762AF4C66}"/>
    <cellStyle name="Comma 2 2 2 8 2 6" xfId="47874" xr:uid="{9DD81497-28CB-4749-ACBB-AACEA2DA9A69}"/>
    <cellStyle name="Comma 2 2 2 8 2 7" xfId="50751" xr:uid="{8A19F87D-7701-4393-869F-EFD9C106A8A8}"/>
    <cellStyle name="Comma 2 2 2 8 2 8" xfId="52223" xr:uid="{D9B2BBB9-2173-4D96-934E-8CFE74A71997}"/>
    <cellStyle name="Comma 2 2 2 8 2 9" xfId="20922" xr:uid="{B9B9C8A5-232C-430C-8905-94414EDC5326}"/>
    <cellStyle name="Comma 2 2 2 8 3" xfId="11426" xr:uid="{75E36584-6287-4F53-BD8D-5485E0C20A81}"/>
    <cellStyle name="Comma 2 2 2 8 3 2" xfId="20141" xr:uid="{44CEB2CB-B52D-4DD1-92EB-D2C3822DAC48}"/>
    <cellStyle name="Comma 2 2 2 8 4" xfId="23607" xr:uid="{13B88C36-3B43-404C-A375-A164336036FC}"/>
    <cellStyle name="Comma 2 2 2 8 5" xfId="38104" xr:uid="{1874DC0E-0446-4182-B9F9-2FCEAC12201A}"/>
    <cellStyle name="Comma 2 2 2 8 6" xfId="38897" xr:uid="{E6AC8D57-DE69-4A45-95EC-ED8F028E16BF}"/>
    <cellStyle name="Comma 2 2 2 8 7" xfId="39927" xr:uid="{EFBABCAC-A5D9-4A1B-A446-5BF737191966}"/>
    <cellStyle name="Comma 2 2 2 8 8" xfId="40569" xr:uid="{61724B0B-0F5B-4653-B177-B9F92FBCF0C1}"/>
    <cellStyle name="Comma 2 2 2 8 9" xfId="41781" xr:uid="{4E862542-5146-4362-91B2-A6E53BA60D9E}"/>
    <cellStyle name="Comma 2 2 2 9" xfId="7410" xr:uid="{E21799ED-0DA1-4B0F-9EE8-5202399AEABD}"/>
    <cellStyle name="Comma 2 2 2 9 10" xfId="42811" xr:uid="{4E9DCA41-9C05-437F-9769-0E6D4ECA4322}"/>
    <cellStyle name="Comma 2 2 2 9 11" xfId="44938" xr:uid="{980C6962-BCDC-4C2A-96B4-2F6F56EB132E}"/>
    <cellStyle name="Comma 2 2 2 9 12" xfId="46802" xr:uid="{C7117CE4-CC2F-4A21-BEF6-6CE55B7E1480}"/>
    <cellStyle name="Comma 2 2 2 9 13" xfId="49826" xr:uid="{8D1E6E51-E539-42C8-ADC7-238AAB7C9AD3}"/>
    <cellStyle name="Comma 2 2 2 9 14" xfId="52224" xr:uid="{24E94324-3928-4ED0-BE5D-D32283DD3DFC}"/>
    <cellStyle name="Comma 2 2 2 9 15" xfId="19717" xr:uid="{F7B42EC0-9905-4A6A-8C1B-18C7DD8FA702}"/>
    <cellStyle name="Comma 2 2 2 9 16" xfId="14835" xr:uid="{44543475-1CA1-4C03-BF08-1F376371FFAC}"/>
    <cellStyle name="Comma 2 2 2 9 2" xfId="9902" xr:uid="{7AABB687-7E97-4124-BBBB-8E416C962121}"/>
    <cellStyle name="Comma 2 2 2 9 2 2" xfId="13208" xr:uid="{82819B1D-AE4D-4E2F-80C0-1FE73A54BE52}"/>
    <cellStyle name="Comma 2 2 2 9 2 2 2" xfId="39725" xr:uid="{699A4A19-F89C-4285-8391-34DECF340610}"/>
    <cellStyle name="Comma 2 2 2 9 2 3" xfId="41578" xr:uid="{13CCC480-83A4-432C-96AD-FED9AE1BC008}"/>
    <cellStyle name="Comma 2 2 2 9 2 4" xfId="43402" xr:uid="{877BF2F4-8F5D-497D-BAF2-3D603E9B8921}"/>
    <cellStyle name="Comma 2 2 2 9 2 5" xfId="45481" xr:uid="{A93A42D4-53BE-4FCC-A1FF-F7B0472C4167}"/>
    <cellStyle name="Comma 2 2 2 9 2 6" xfId="48353" xr:uid="{F5709F71-07B1-43AB-9119-67880B70B6FA}"/>
    <cellStyle name="Comma 2 2 2 9 2 7" xfId="51154" xr:uid="{A4436066-4970-495E-98B6-B3130EC2FBF8}"/>
    <cellStyle name="Comma 2 2 2 9 2 8" xfId="52225" xr:uid="{981EEEB7-04C6-4210-B192-CEE69921EBA5}"/>
    <cellStyle name="Comma 2 2 2 9 2 9" xfId="23334" xr:uid="{AFF8B60C-17E6-4836-9E01-A19B73900BBB}"/>
    <cellStyle name="Comma 2 2 2 9 3" xfId="11923" xr:uid="{A0FE1D9D-D08B-43FA-AD8C-A5379A689B48}"/>
    <cellStyle name="Comma 2 2 2 9 3 2" xfId="20378" xr:uid="{B42C8669-3A30-49A5-89F7-C213DFA3B412}"/>
    <cellStyle name="Comma 2 2 2 9 4" xfId="23608" xr:uid="{E2FE8616-28C6-41A2-B8B5-124DF2776094}"/>
    <cellStyle name="Comma 2 2 2 9 5" xfId="38105" xr:uid="{F247BA04-B88F-4173-B2FF-25D6A334A718}"/>
    <cellStyle name="Comma 2 2 2 9 6" xfId="39134" xr:uid="{B1568A03-12C0-4313-A959-38084D1B40CF}"/>
    <cellStyle name="Comma 2 2 2 9 7" xfId="39928" xr:uid="{EEBAA0AC-616B-43FE-8B69-7566439A90F1}"/>
    <cellStyle name="Comma 2 2 2 9 8" xfId="40570" xr:uid="{414E1B25-E0CB-4C3E-8743-73711561A454}"/>
    <cellStyle name="Comma 2 2 2 9 9" xfId="41782" xr:uid="{1BBF28DF-0613-4A45-87FB-1DEDB9B8BD46}"/>
    <cellStyle name="Comma 2 2 20" xfId="5803" xr:uid="{C1C59472-2511-415B-B3EB-2DD36CFF0487}"/>
    <cellStyle name="Comma 2 2 20 2" xfId="38041" xr:uid="{35325DD5-D513-45FB-8051-2217B5F59F66}"/>
    <cellStyle name="Comma 2 2 21" xfId="11291" xr:uid="{836AAA05-62C4-487F-92F4-1F5ABA166AB7}"/>
    <cellStyle name="Comma 2 2 21 2" xfId="38617" xr:uid="{A9ADAFE7-17E7-454F-BCBF-8540C9439ED0}"/>
    <cellStyle name="Comma 2 2 22" xfId="39864" xr:uid="{9EDA41FA-C9CE-4E33-8199-D859C59F2B2A}"/>
    <cellStyle name="Comma 2 2 23" xfId="40506" xr:uid="{C45D65CF-D0B7-4FFD-98CA-4AEB2E04730C}"/>
    <cellStyle name="Comma 2 2 24" xfId="41718" xr:uid="{F32C177B-1032-4CDB-9BF6-D33189BFA038}"/>
    <cellStyle name="Comma 2 2 25" xfId="42294" xr:uid="{A400DF2C-BD43-42AB-A05A-0DC8E2898F58}"/>
    <cellStyle name="Comma 2 2 26" xfId="43471" xr:uid="{AA99DFB2-DC13-446A-9847-F65301BF2598}"/>
    <cellStyle name="Comma 2 2 27" xfId="44368" xr:uid="{FF4452B3-6E4C-466B-99AC-77043B386AFD}"/>
    <cellStyle name="Comma 2 2 28" xfId="45577" xr:uid="{E877FE19-D166-4420-8D63-2F16BB560808}"/>
    <cellStyle name="Comma 2 2 29" xfId="49207" xr:uid="{BE35B3D4-2D9D-4860-B635-B40C53A91D4A}"/>
    <cellStyle name="Comma 2 2 3" xfId="1739" xr:uid="{3982F3FB-46C0-4188-8ED3-337F7B5A56A6}"/>
    <cellStyle name="Comma 2 2 3 10" xfId="7411" xr:uid="{6484EB5B-3453-4500-8F44-9F7D3266C3BB}"/>
    <cellStyle name="Comma 2 2 3 10 10" xfId="42812" xr:uid="{464D7F9B-0A97-4704-AC71-7CDB7112C14B}"/>
    <cellStyle name="Comma 2 2 3 10 11" xfId="44939" xr:uid="{0951DDA0-22C1-47C9-9713-367CC22DBBCE}"/>
    <cellStyle name="Comma 2 2 3 10 12" xfId="46806" xr:uid="{760EAF5A-644B-4C44-A676-E6A4BD245380}"/>
    <cellStyle name="Comma 2 2 3 10 13" xfId="49830" xr:uid="{9DC2D9BB-1ECB-405B-A1B5-E62DD1B08EE3}"/>
    <cellStyle name="Comma 2 2 3 10 14" xfId="52226" xr:uid="{76998901-192B-45A0-844C-57170D0BF641}"/>
    <cellStyle name="Comma 2 2 3 10 15" xfId="19718" xr:uid="{10EEF43D-25F3-4AFA-A25A-1A9D58692388}"/>
    <cellStyle name="Comma 2 2 3 10 16" xfId="14840" xr:uid="{2D9B4EF2-AD2B-4773-BA53-13AA891AE56D}"/>
    <cellStyle name="Comma 2 2 3 10 2" xfId="9903" xr:uid="{6B49E8EE-91AB-4CEA-9151-D44F08CA9156}"/>
    <cellStyle name="Comma 2 2 3 10 2 2" xfId="13209" xr:uid="{A1E1E710-BF6C-4C77-8AD6-1ED6B82CD5E7}"/>
    <cellStyle name="Comma 2 2 3 10 2 2 2" xfId="39726" xr:uid="{87C5ACA0-ECE0-4EB4-B297-5F5D931E1BB8}"/>
    <cellStyle name="Comma 2 2 3 10 2 3" xfId="41579" xr:uid="{EBD7BED5-EAE0-46A3-9D37-18E660FF17E7}"/>
    <cellStyle name="Comma 2 2 3 10 2 4" xfId="43403" xr:uid="{C768485D-C9AE-40EA-8BDA-53F120E402C3}"/>
    <cellStyle name="Comma 2 2 3 10 2 5" xfId="45482" xr:uid="{252FF137-9FBD-4129-A908-09A1847915E5}"/>
    <cellStyle name="Comma 2 2 3 10 2 6" xfId="48357" xr:uid="{BEF6BC3A-4672-4C82-9F83-6F9E750D1394}"/>
    <cellStyle name="Comma 2 2 3 10 2 7" xfId="51158" xr:uid="{E3CB1992-4355-48F5-A9FD-1773A548D97E}"/>
    <cellStyle name="Comma 2 2 3 10 2 8" xfId="52227" xr:uid="{F412C96B-D97E-4FEE-AA0A-A04805491B56}"/>
    <cellStyle name="Comma 2 2 3 10 2 9" xfId="23335" xr:uid="{29B19B96-6C39-48D5-BAD1-4EA34466EEE6}"/>
    <cellStyle name="Comma 2 2 3 10 3" xfId="11924" xr:uid="{2EE50A3E-DF4D-45BA-9380-FA3D6982B2D6}"/>
    <cellStyle name="Comma 2 2 3 10 3 2" xfId="20379" xr:uid="{4C3D3282-C974-4F24-B471-71552D6B422A}"/>
    <cellStyle name="Comma 2 2 3 10 4" xfId="23610" xr:uid="{546251B1-3E92-4F05-927B-13F7FA5DF42F}"/>
    <cellStyle name="Comma 2 2 3 10 5" xfId="38107" xr:uid="{01607762-64ED-4910-A603-452C769D67B3}"/>
    <cellStyle name="Comma 2 2 3 10 6" xfId="39135" xr:uid="{C0D8772B-223C-4282-BD0E-DE0405F462E4}"/>
    <cellStyle name="Comma 2 2 3 10 7" xfId="39930" xr:uid="{BB8BAC28-5924-4298-BB0C-E3473B2CAF86}"/>
    <cellStyle name="Comma 2 2 3 10 8" xfId="40572" xr:uid="{214A6592-4763-487F-A030-0D3DAC07B013}"/>
    <cellStyle name="Comma 2 2 3 10 9" xfId="41784" xr:uid="{3DF342BA-B2E0-4A46-895C-6F8A57BE1382}"/>
    <cellStyle name="Comma 2 2 3 11" xfId="8126" xr:uid="{BC34245A-2FD3-4EBC-A94B-05B983FC0D8F}"/>
    <cellStyle name="Comma 2 2 3 11 10" xfId="47161" xr:uid="{9DBF65D1-2F23-49D5-A14C-365B985EF627}"/>
    <cellStyle name="Comma 2 2 3 11 11" xfId="50142" xr:uid="{59B24FD7-922A-4E22-AF17-2255082EA55B}"/>
    <cellStyle name="Comma 2 2 3 11 12" xfId="52228" xr:uid="{94D208E2-A68D-4B93-9A39-12A1277821A6}"/>
    <cellStyle name="Comma 2 2 3 11 13" xfId="20457" xr:uid="{B1D35299-AC8F-431E-8C7D-A5D04C373B89}"/>
    <cellStyle name="Comma 2 2 3 11 2" xfId="12582" xr:uid="{9A4610B3-CCEE-453C-BDFD-BD61BDEED6E6}"/>
    <cellStyle name="Comma 2 2 3 11 2 2" xfId="48726" xr:uid="{4522045F-290B-4CAE-AC42-19861D5DFDA6}"/>
    <cellStyle name="Comma 2 2 3 11 2 3" xfId="51470" xr:uid="{A9B577E4-3107-4FAD-9D26-E708C113E662}"/>
    <cellStyle name="Comma 2 2 3 11 2 4" xfId="52229" xr:uid="{D8B46ED9-CDFC-4F5C-A276-CE8339D7B3AF}"/>
    <cellStyle name="Comma 2 2 3 11 2 5" xfId="23611" xr:uid="{4B855DD5-8AE7-4844-AB84-88A738228C19}"/>
    <cellStyle name="Comma 2 2 3 11 3" xfId="38108" xr:uid="{E6786455-1EE2-4F79-B59F-DC08E49D633E}"/>
    <cellStyle name="Comma 2 2 3 11 4" xfId="39212" xr:uid="{3C865721-C7A0-43C6-91F3-C334F3942D19}"/>
    <cellStyle name="Comma 2 2 3 11 5" xfId="39931" xr:uid="{6C3F0897-2B4B-492C-8FC6-F9EFB625368C}"/>
    <cellStyle name="Comma 2 2 3 11 6" xfId="40573" xr:uid="{158BEFEE-C778-4F19-8FA9-AE839D0453D5}"/>
    <cellStyle name="Comma 2 2 3 11 7" xfId="41785" xr:uid="{043462B1-8DF4-48C3-9EF1-DAADB3D3DED7}"/>
    <cellStyle name="Comma 2 2 3 11 8" xfId="42889" xr:uid="{32ED4ADF-E799-465B-BA1E-1BF5C667EFAF}"/>
    <cellStyle name="Comma 2 2 3 11 9" xfId="44996" xr:uid="{3E70AE95-C874-4ABE-A326-1DD37331FEE2}"/>
    <cellStyle name="Comma 2 2 3 12" xfId="8107" xr:uid="{3605F7D2-600F-4A02-959A-B4EC83BA75F4}"/>
    <cellStyle name="Comma 2 2 3 12 2" xfId="12563" xr:uid="{7466F4F6-BEB0-49FD-8C33-0CC2943D5E79}"/>
    <cellStyle name="Comma 2 2 3 12 2 2" xfId="47624" xr:uid="{9E3C4893-241B-4196-A81C-D600142A32F5}"/>
    <cellStyle name="Comma 2 2 3 12 3" xfId="50537" xr:uid="{A6AC247E-58DD-427C-B863-88C87EE3B474}"/>
    <cellStyle name="Comma 2 2 3 12 4" xfId="52230" xr:uid="{BF798EF6-EFFC-4532-89A4-8C4E57FCCF89}"/>
    <cellStyle name="Comma 2 2 3 12 5" xfId="19863" xr:uid="{67F0ECB3-1521-488A-A84F-CF6BBD7B0E80}"/>
    <cellStyle name="Comma 2 2 3 13" xfId="7913" xr:uid="{8E2581E3-03D5-444C-B4A8-8CC5B0EE5C2D}"/>
    <cellStyle name="Comma 2 2 3 13 2" xfId="12426" xr:uid="{D54FD010-A7EF-4C45-835E-BFA1A16DC423}"/>
    <cellStyle name="Comma 2 2 3 13 3" xfId="23609" xr:uid="{E7CC3833-DB61-4364-8694-8C3B715039C3}"/>
    <cellStyle name="Comma 2 2 3 14" xfId="11269" xr:uid="{6B819A5C-5F61-42EE-BF0B-93CCBC5A3F7F}"/>
    <cellStyle name="Comma 2 2 3 14 2" xfId="13828" xr:uid="{65099E4A-CC95-4916-B792-BEE12B94D99E}"/>
    <cellStyle name="Comma 2 2 3 14 3" xfId="38106" xr:uid="{221F97A5-DC4E-4416-A15C-2304C9C2B0E0}"/>
    <cellStyle name="Comma 2 2 3 15" xfId="5810" xr:uid="{2FA8B5BB-E81A-4496-BB2C-130986696CC9}"/>
    <cellStyle name="Comma 2 2 3 15 2" xfId="38621" xr:uid="{2A0681D1-533B-4F26-876E-F6D8DA2D8ED9}"/>
    <cellStyle name="Comma 2 2 3 16" xfId="11298" xr:uid="{8CB8C7B7-E075-45E7-8BB0-648F6CBA56C0}"/>
    <cellStyle name="Comma 2 2 3 16 2" xfId="39929" xr:uid="{3A37B053-578B-4846-9D7F-80ED7C2A519D}"/>
    <cellStyle name="Comma 2 2 3 17" xfId="40571" xr:uid="{442FC2B4-E4E8-4C05-A3C3-6C2AF01787BB}"/>
    <cellStyle name="Comma 2 2 3 18" xfId="41783" xr:uid="{8570F657-94BD-4669-91F1-3C93226CFD62}"/>
    <cellStyle name="Comma 2 2 3 19" xfId="42298" xr:uid="{C38F0A54-F17E-4EB3-8225-6BFE96491426}"/>
    <cellStyle name="Comma 2 2 3 2" xfId="1740" xr:uid="{31402A0D-828E-4C2C-A9E6-1C228AD531C5}"/>
    <cellStyle name="Comma 2 2 3 2 10" xfId="5811" xr:uid="{D96A9B35-278E-46B4-92B5-A455F302D8CD}"/>
    <cellStyle name="Comma 2 2 3 2 10 2" xfId="38109" xr:uid="{F28385F6-01BF-41F9-9EE7-5867D5B19D88}"/>
    <cellStyle name="Comma 2 2 3 2 11" xfId="11299" xr:uid="{39BD4310-0727-457C-9C45-5AB4E276846B}"/>
    <cellStyle name="Comma 2 2 3 2 11 2" xfId="38622" xr:uid="{42012B1A-C729-47A9-BF6D-D085214386C2}"/>
    <cellStyle name="Comma 2 2 3 2 12" xfId="39932" xr:uid="{1BC56706-11C7-418C-9698-D32C63E89D44}"/>
    <cellStyle name="Comma 2 2 3 2 13" xfId="40574" xr:uid="{8843C4B7-A122-4D47-BD74-A30328D65522}"/>
    <cellStyle name="Comma 2 2 3 2 14" xfId="41786" xr:uid="{FA1AB45F-CE54-4F38-910D-DD1B3D327AD1}"/>
    <cellStyle name="Comma 2 2 3 2 15" xfId="42299" xr:uid="{61DF0CB0-0BEA-4354-85CF-F57D30470986}"/>
    <cellStyle name="Comma 2 2 3 2 16" xfId="43513" xr:uid="{AE8C27E4-E479-4A10-9D8B-B6F5DA9A130A}"/>
    <cellStyle name="Comma 2 2 3 2 17" xfId="44376" xr:uid="{4E9675F5-4E99-49B2-824E-B96F41B80F4F}"/>
    <cellStyle name="Comma 2 2 3 2 18" xfId="45616" xr:uid="{93FB827B-F315-4129-9C18-D3C73A32C1A4}"/>
    <cellStyle name="Comma 2 2 3 2 19" xfId="49245" xr:uid="{48252A91-9371-45A4-8F71-A5FB0F0E6423}"/>
    <cellStyle name="Comma 2 2 3 2 2" xfId="4416" xr:uid="{B56266DA-30F3-4940-A7B1-EC90DC83874E}"/>
    <cellStyle name="Comma 2 2 3 2 2 10" xfId="40575" xr:uid="{43B3E131-F70D-4FCC-8810-E09877CBF490}"/>
    <cellStyle name="Comma 2 2 3 2 2 11" xfId="41787" xr:uid="{7D0313A6-FEDE-4558-BE58-C5F3A855371A}"/>
    <cellStyle name="Comma 2 2 3 2 2 12" xfId="42337" xr:uid="{E40B5C99-437C-42BF-9668-7A87205B9678}"/>
    <cellStyle name="Comma 2 2 3 2 2 13" xfId="44217" xr:uid="{009B4539-34A5-44D3-9FBA-960ADAEDE2CD}"/>
    <cellStyle name="Comma 2 2 3 2 2 14" xfId="44517" xr:uid="{C5376352-6FD2-409B-97A2-4B54CEF741E3}"/>
    <cellStyle name="Comma 2 2 3 2 2 15" xfId="45690" xr:uid="{3D81FF86-DFC2-4999-A362-E67676635BD9}"/>
    <cellStyle name="Comma 2 2 3 2 2 16" xfId="49318" xr:uid="{00B134AB-0725-41F3-B9DD-519991158BDC}"/>
    <cellStyle name="Comma 2 2 3 2 2 17" xfId="52231" xr:uid="{D5CC24E9-8F16-4280-BC39-3F9783E62E18}"/>
    <cellStyle name="Comma 2 2 3 2 2 18" xfId="15303" xr:uid="{4B30B8C5-38CF-4260-8EC4-B76FB8076988}"/>
    <cellStyle name="Comma 2 2 3 2 2 19" xfId="14210" xr:uid="{C1164B4E-F86E-471C-81C4-7F4EFBA2D3F2}"/>
    <cellStyle name="Comma 2 2 3 2 2 2" xfId="5673" xr:uid="{6000A5A4-7B05-429B-8E42-CE2644950BA3}"/>
    <cellStyle name="Comma 2 2 3 2 2 2 10" xfId="41788" xr:uid="{7420A0E8-777D-4443-81D7-3C4898FC8AB6}"/>
    <cellStyle name="Comma 2 2 3 2 2 2 11" xfId="42489" xr:uid="{E732EAF9-A05D-4E31-AF48-1283C5A14764}"/>
    <cellStyle name="Comma 2 2 3 2 2 2 12" xfId="44674" xr:uid="{480472B4-A2B1-43C1-AF97-C60DB04AC537}"/>
    <cellStyle name="Comma 2 2 3 2 2 2 13" xfId="46685" xr:uid="{4654D7B4-2F3A-47CC-9608-BD905540953F}"/>
    <cellStyle name="Comma 2 2 3 2 2 2 14" xfId="49717" xr:uid="{85BD17CC-7FF9-4C9D-9E4F-52CCF2C7AD30}"/>
    <cellStyle name="Comma 2 2 3 2 2 2 15" xfId="52232" xr:uid="{579BA0AE-A5EA-47E4-A2C6-37014DF8D50C}"/>
    <cellStyle name="Comma 2 2 3 2 2 2 16" xfId="16752" xr:uid="{1095789F-15E0-4D2E-8F8B-A239098BBA71}"/>
    <cellStyle name="Comma 2 2 3 2 2 2 17" xfId="14702" xr:uid="{58817EEF-30E2-4B18-A9F9-35EABB214598}"/>
    <cellStyle name="Comma 2 2 3 2 2 2 2" xfId="10267" xr:uid="{6003BACD-BEF8-47E3-B8E9-DE20309584F3}"/>
    <cellStyle name="Comma 2 2 3 2 2 2 2 10" xfId="42601" xr:uid="{0B4BC775-E19C-4A59-AE2C-83DE1D91A980}"/>
    <cellStyle name="Comma 2 2 3 2 2 2 2 11" xfId="44768" xr:uid="{B5FD70B6-595F-4A5A-972C-868E9D084C57}"/>
    <cellStyle name="Comma 2 2 3 2 2 2 2 12" xfId="48227" xr:uid="{8F44F878-5CF5-4CB9-A2C5-356ED88C3732}"/>
    <cellStyle name="Comma 2 2 3 2 2 2 2 13" xfId="51045" xr:uid="{195ED65B-4CF4-476B-BD18-D5D8D0907B9E}"/>
    <cellStyle name="Comma 2 2 3 2 2 2 2 14" xfId="52233" xr:uid="{DF0C0B35-5BE0-4B1E-AD47-5FD6FCC8F680}"/>
    <cellStyle name="Comma 2 2 3 2 2 2 2 15" xfId="16954" xr:uid="{6CDF5A89-E047-4600-A935-3DF0332C0339}"/>
    <cellStyle name="Comma 2 2 3 2 2 2 2 2" xfId="13573" xr:uid="{44E61EB2-BFB4-46BF-8ECE-6D81A39ACD71}"/>
    <cellStyle name="Comma 2 2 3 2 2 2 2 2 2" xfId="39515" xr:uid="{365A214B-BCC8-47CF-89EC-DB36C00F8EB4}"/>
    <cellStyle name="Comma 2 2 3 2 2 2 2 2 3" xfId="41369" xr:uid="{E833F2D2-F2C8-48D3-9429-073E83F96379}"/>
    <cellStyle name="Comma 2 2 3 2 2 2 2 2 4" xfId="43192" xr:uid="{3098A9BB-4649-4430-A627-463C0232C0A7}"/>
    <cellStyle name="Comma 2 2 3 2 2 2 2 2 5" xfId="45289" xr:uid="{22AA36C7-8D7A-4227-AF47-F37054B4E0C2}"/>
    <cellStyle name="Comma 2 2 3 2 2 2 2 2 6" xfId="20949" xr:uid="{8872A4C8-4350-41F4-8D97-E9A2350E2E39}"/>
    <cellStyle name="Comma 2 2 3 2 2 2 2 3" xfId="20168" xr:uid="{F6BD3D65-D9EA-4481-BCE4-81A187E5E8DF}"/>
    <cellStyle name="Comma 2 2 3 2 2 2 2 4" xfId="23615" xr:uid="{63A85F06-4565-4243-9F41-B7B58BBF21B0}"/>
    <cellStyle name="Comma 2 2 3 2 2 2 2 5" xfId="38112" xr:uid="{F91975A8-1901-4258-8C76-FA5A29247631}"/>
    <cellStyle name="Comma 2 2 3 2 2 2 2 6" xfId="38924" xr:uid="{56BDAD70-35EB-45CA-9171-4064926F6BAD}"/>
    <cellStyle name="Comma 2 2 3 2 2 2 2 7" xfId="39935" xr:uid="{E6FDA2BB-5829-4FEE-A5CF-ADA6477BB7C9}"/>
    <cellStyle name="Comma 2 2 3 2 2 2 2 8" xfId="40577" xr:uid="{0EB96D28-61F1-4F7E-AE88-C86196AF3DA9}"/>
    <cellStyle name="Comma 2 2 3 2 2 2 2 9" xfId="41789" xr:uid="{332713C3-6D9A-40C5-9719-4A1728AB232C}"/>
    <cellStyle name="Comma 2 2 3 2 2 2 3" xfId="7775" xr:uid="{5F454BA2-FAFD-4F9E-9DDA-BFD1E5C55693}"/>
    <cellStyle name="Comma 2 2 3 2 2 2 3 2" xfId="39403" xr:uid="{BFE00151-D6CB-49DC-947D-C8FF02BB5610}"/>
    <cellStyle name="Comma 2 2 3 2 2 2 3 3" xfId="41259" xr:uid="{A07522BB-14DA-4034-9EF9-4E717CCB71A0}"/>
    <cellStyle name="Comma 2 2 3 2 2 2 3 4" xfId="43080" xr:uid="{41DD69D5-0EAC-4E53-BC63-10B48A56CED7}"/>
    <cellStyle name="Comma 2 2 3 2 2 2 3 5" xfId="45179" xr:uid="{6626251E-1126-4004-A6DE-F0C0699632AA}"/>
    <cellStyle name="Comma 2 2 3 2 2 2 3 6" xfId="20778" xr:uid="{59AA04C4-6BDB-444B-A35A-EFD38FE44DFB}"/>
    <cellStyle name="Comma 2 2 3 2 2 2 4" xfId="12288" xr:uid="{3BE1B590-89C4-4064-B01B-4D704B8BE53F}"/>
    <cellStyle name="Comma 2 2 3 2 2 2 4 2" xfId="20056" xr:uid="{4A7429BD-0824-49A6-9599-05EAB62538BA}"/>
    <cellStyle name="Comma 2 2 3 2 2 2 5" xfId="23614" xr:uid="{73305E7B-A17D-4033-A47F-6F45D92D831E}"/>
    <cellStyle name="Comma 2 2 3 2 2 2 6" xfId="38111" xr:uid="{2E4DC170-28AA-4554-9E50-B752E54360DF}"/>
    <cellStyle name="Comma 2 2 3 2 2 2 7" xfId="38812" xr:uid="{AB31FE71-8CD9-4A37-A59D-9114C8BA95FA}"/>
    <cellStyle name="Comma 2 2 3 2 2 2 8" xfId="39934" xr:uid="{D8C66F4F-4A4A-4A01-9C31-540143604D48}"/>
    <cellStyle name="Comma 2 2 3 2 2 2 9" xfId="40576" xr:uid="{F6E8038D-2032-4505-93FF-F42A7AD4C354}"/>
    <cellStyle name="Comma 2 2 3 2 2 3" xfId="11120" xr:uid="{87CC80F7-AA05-4A7D-B010-A70E521CB020}"/>
    <cellStyle name="Comma 2 2 3 2 2 3 10" xfId="42600" xr:uid="{DADDA104-3EEB-45B0-8B7B-F4D4BF1E1D7B}"/>
    <cellStyle name="Comma 2 2 3 2 2 3 11" xfId="44767" xr:uid="{D97EEA90-A824-4363-B67A-133557FF3F00}"/>
    <cellStyle name="Comma 2 2 3 2 2 3 12" xfId="46905" xr:uid="{DDE49E64-4922-47D7-A90D-51D2BA6CD1EC}"/>
    <cellStyle name="Comma 2 2 3 2 2 3 13" xfId="49924" xr:uid="{F5CDC24B-5E71-42FD-B6CD-FA3B3DEA3696}"/>
    <cellStyle name="Comma 2 2 3 2 2 3 14" xfId="52234" xr:uid="{9A3C209E-1543-479C-8DED-3E0F06C28283}"/>
    <cellStyle name="Comma 2 2 3 2 2 3 15" xfId="16953" xr:uid="{43F1DAE8-3E85-4E8C-99F8-6A09E13F7EE6}"/>
    <cellStyle name="Comma 2 2 3 2 2 3 16" xfId="15017" xr:uid="{2BD7996C-AEFF-41B4-9BAA-960F1C03CB63}"/>
    <cellStyle name="Comma 2 2 3 2 2 3 2" xfId="13717" xr:uid="{8B325DDF-2346-4FD4-B9E0-5B8FC281A280}"/>
    <cellStyle name="Comma 2 2 3 2 2 3 2 2" xfId="39514" xr:uid="{0093595D-CDD9-49A0-A453-E5044EA9D53C}"/>
    <cellStyle name="Comma 2 2 3 2 2 3 2 3" xfId="41368" xr:uid="{D6363DA5-627F-475A-AE3A-C654A91C9026}"/>
    <cellStyle name="Comma 2 2 3 2 2 3 2 4" xfId="43191" xr:uid="{2C0F534D-270F-4E2B-8F29-CC4E884DF7B3}"/>
    <cellStyle name="Comma 2 2 3 2 2 3 2 5" xfId="45288" xr:uid="{A6995FE1-5FFD-4978-BCDA-7722D37F74D0}"/>
    <cellStyle name="Comma 2 2 3 2 2 3 2 6" xfId="48466" xr:uid="{6BC5A06B-0FA5-4232-9219-3F154ED16153}"/>
    <cellStyle name="Comma 2 2 3 2 2 3 2 7" xfId="51252" xr:uid="{693C4187-2F70-406F-9EFA-C2DEA0225BC9}"/>
    <cellStyle name="Comma 2 2 3 2 2 3 2 8" xfId="52235" xr:uid="{AB4A2B7A-E795-4298-AFD1-C94AD3EF9385}"/>
    <cellStyle name="Comma 2 2 3 2 2 3 2 9" xfId="20948" xr:uid="{CBB0E3B6-0B4A-464C-B980-F8AF3B93A260}"/>
    <cellStyle name="Comma 2 2 3 2 2 3 3" xfId="20167" xr:uid="{2DF3332E-1215-410E-80ED-7532B8180B8E}"/>
    <cellStyle name="Comma 2 2 3 2 2 3 4" xfId="23616" xr:uid="{48D62D3C-6D66-49C8-9B1B-622DD4B0CDDE}"/>
    <cellStyle name="Comma 2 2 3 2 2 3 5" xfId="38113" xr:uid="{5DC1F59E-50B2-4E03-886A-7916D85CEFB4}"/>
    <cellStyle name="Comma 2 2 3 2 2 3 6" xfId="38923" xr:uid="{F278C0B7-9196-4084-B043-998ADAC44CA8}"/>
    <cellStyle name="Comma 2 2 3 2 2 3 7" xfId="39936" xr:uid="{280D3379-FE9C-48A6-A280-75B8A8FE80A5}"/>
    <cellStyle name="Comma 2 2 3 2 2 3 8" xfId="40578" xr:uid="{CC538C9E-DF11-41C0-B879-F8394C9B703B}"/>
    <cellStyle name="Comma 2 2 3 2 2 3 9" xfId="41790" xr:uid="{8DF7EAF4-C455-4D12-9A98-23C22EE2E8C8}"/>
    <cellStyle name="Comma 2 2 3 2 2 4" xfId="9773" xr:uid="{54A1407C-6DF4-4890-AD19-967F81B06B4A}"/>
    <cellStyle name="Comma 2 2 3 2 2 4 2" xfId="13079" xr:uid="{3375AE89-2830-4F4A-8CC4-7097981AA6E6}"/>
    <cellStyle name="Comma 2 2 3 2 2 4 2 2" xfId="49083" xr:uid="{B7041090-0C91-41F4-99FC-D853EBDABF74}"/>
    <cellStyle name="Comma 2 2 3 2 2 4 2 3" xfId="51763" xr:uid="{13EA96CE-861A-43F7-89FE-959FF55F7015}"/>
    <cellStyle name="Comma 2 2 3 2 2 4 2 4" xfId="52236" xr:uid="{78EC6C48-71B2-4566-8064-3B6CBD9AF77D}"/>
    <cellStyle name="Comma 2 2 3 2 2 4 2 5" xfId="39251" xr:uid="{7D0516F1-14B0-40A4-8DA7-6B15486794B8}"/>
    <cellStyle name="Comma 2 2 3 2 2 4 3" xfId="41119" xr:uid="{8C23C104-C13C-42D9-9E47-1D48A862BF88}"/>
    <cellStyle name="Comma 2 2 3 2 2 4 4" xfId="42928" xr:uid="{817B30FA-B2C6-48A0-A25D-94046D6FB039}"/>
    <cellStyle name="Comma 2 2 3 2 2 4 5" xfId="45035" xr:uid="{0F0649FC-F2CA-4F26-A377-9C83AC1397B6}"/>
    <cellStyle name="Comma 2 2 3 2 2 4 6" xfId="47500" xr:uid="{7B6960C6-C0B7-48B0-9D4C-9A63F91079F3}"/>
    <cellStyle name="Comma 2 2 3 2 2 4 7" xfId="50435" xr:uid="{627F1AE8-3460-4550-8982-0714F41F1103}"/>
    <cellStyle name="Comma 2 2 3 2 2 4 8" xfId="52237" xr:uid="{3045AEB3-1194-4DBB-A5C2-5323E23BC4E6}"/>
    <cellStyle name="Comma 2 2 3 2 2 4 9" xfId="20496" xr:uid="{D429BECD-CAB9-445B-A7CA-67E7CC78F1D6}"/>
    <cellStyle name="Comma 2 2 3 2 2 5" xfId="7271" xr:uid="{8634E577-DB22-41A3-8B42-72E66A76D998}"/>
    <cellStyle name="Comma 2 2 3 2 2 5 2" xfId="47747" xr:uid="{10E64BE2-80D8-4ABB-A478-6384A80C069E}"/>
    <cellStyle name="Comma 2 2 3 2 2 5 3" xfId="50646" xr:uid="{57AB1CAC-55AA-4D19-B5D0-CD142F858EBE}"/>
    <cellStyle name="Comma 2 2 3 2 2 5 4" xfId="52238" xr:uid="{F1076071-BE49-49B0-B966-6AC2136974B4}"/>
    <cellStyle name="Comma 2 2 3 2 2 5 5" xfId="19903" xr:uid="{31E3FA92-A3E8-4538-91E2-C13AE9E90954}"/>
    <cellStyle name="Comma 2 2 3 2 2 6" xfId="11794" xr:uid="{7A6677F1-01F8-465C-AC70-EEE409E9A49D}"/>
    <cellStyle name="Comma 2 2 3 2 2 6 2" xfId="23613" xr:uid="{ACE3C0DB-9774-494C-A192-D355EADC69C3}"/>
    <cellStyle name="Comma 2 2 3 2 2 7" xfId="38110" xr:uid="{B7E6DF9F-92C5-4AC4-B9C2-3E5F1B6A6AC2}"/>
    <cellStyle name="Comma 2 2 3 2 2 8" xfId="38660" xr:uid="{1FBF27E2-0E1F-4016-A73B-ECAE6375213B}"/>
    <cellStyle name="Comma 2 2 3 2 2 9" xfId="39933" xr:uid="{2E4F34A6-994C-457E-8E11-1CCC048A60C1}"/>
    <cellStyle name="Comma 2 2 3 2 20" xfId="52239" xr:uid="{55550BBE-5BD8-4536-8150-D98144000BE7}"/>
    <cellStyle name="Comma 2 2 3 2 21" xfId="15201" xr:uid="{9F762CA0-4476-41A7-BB80-F38034162C5D}"/>
    <cellStyle name="Comma 2 2 3 2 22" xfId="13896" xr:uid="{95256C48-087C-40D7-9752-DD13EC85B419}"/>
    <cellStyle name="Comma 2 2 3 2 3" xfId="5497" xr:uid="{CC5BBD68-35AE-48E4-947E-D3E42E488EF2}"/>
    <cellStyle name="Comma 2 2 3 2 3 10" xfId="41791" xr:uid="{F41217DB-AEDF-40E3-ADC3-B79EFE9C020E}"/>
    <cellStyle name="Comma 2 2 3 2 3 11" xfId="42450" xr:uid="{17098080-622E-48FE-982D-543709276F98}"/>
    <cellStyle name="Comma 2 2 3 2 3 12" xfId="43786" xr:uid="{800ABB98-E7BB-4965-9242-9B66681DCE68}"/>
    <cellStyle name="Comma 2 2 3 2 3 13" xfId="44651" xr:uid="{2CB04486-E7AB-4064-A699-EFDD43C9C31C}"/>
    <cellStyle name="Comma 2 2 3 2 3 14" xfId="46544" xr:uid="{A853AB7C-3968-440B-A88B-056852E3B611}"/>
    <cellStyle name="Comma 2 2 3 2 3 15" xfId="49577" xr:uid="{61B9956A-C842-4AB8-94EF-8B293DFEBCBE}"/>
    <cellStyle name="Comma 2 2 3 2 3 16" xfId="52240" xr:uid="{9CD8E428-7BA2-4AC7-8552-F277725E0B16}"/>
    <cellStyle name="Comma 2 2 3 2 3 17" xfId="16644" xr:uid="{37A29D6C-E8C7-40C0-90DE-47102E6C5302}"/>
    <cellStyle name="Comma 2 2 3 2 3 18" xfId="14034" xr:uid="{6193B4FC-9A4C-4BC9-B235-0465BF95947E}"/>
    <cellStyle name="Comma 2 2 3 2 3 2" xfId="7599" xr:uid="{DFCB7511-93AE-4DF3-91A7-10545989E0A6}"/>
    <cellStyle name="Comma 2 2 3 2 3 2 10" xfId="42602" xr:uid="{6ADB9C89-F5E4-45E8-A98A-D304129F704F}"/>
    <cellStyle name="Comma 2 2 3 2 3 2 11" xfId="44769" xr:uid="{88930485-850D-4379-BE08-EDD6A4528E45}"/>
    <cellStyle name="Comma 2 2 3 2 3 2 12" xfId="47036" xr:uid="{4FA5F7EF-E2A5-45AD-80B6-66A7126B34F1}"/>
    <cellStyle name="Comma 2 2 3 2 3 2 13" xfId="50037" xr:uid="{F440337D-58EE-43B2-8CB9-3F4EB3A25E2C}"/>
    <cellStyle name="Comma 2 2 3 2 3 2 14" xfId="52241" xr:uid="{4CB4F010-8C2B-4861-A5BA-13409A5DE096}"/>
    <cellStyle name="Comma 2 2 3 2 3 2 15" xfId="16955" xr:uid="{2B520676-AA3B-47B7-A9C9-2465A4EE3B47}"/>
    <cellStyle name="Comma 2 2 3 2 3 2 16" xfId="14526" xr:uid="{C441B5E3-93D1-4381-9491-741E21001D6C}"/>
    <cellStyle name="Comma 2 2 3 2 3 2 2" xfId="10091" xr:uid="{1C477945-74A3-415B-94EF-D432DD2B1E75}"/>
    <cellStyle name="Comma 2 2 3 2 3 2 2 2" xfId="13397" xr:uid="{361C7037-E7DD-429A-8279-621A67BE60FE}"/>
    <cellStyle name="Comma 2 2 3 2 3 2 2 2 2" xfId="39516" xr:uid="{A3FDB356-79F5-4D12-B0AD-890140E786B6}"/>
    <cellStyle name="Comma 2 2 3 2 3 2 2 3" xfId="41370" xr:uid="{C938C51B-98C1-4371-8416-FE803C2744FF}"/>
    <cellStyle name="Comma 2 2 3 2 3 2 2 4" xfId="43193" xr:uid="{8F2D5228-1CE1-4BD1-9855-F836BF30B009}"/>
    <cellStyle name="Comma 2 2 3 2 3 2 2 5" xfId="45290" xr:uid="{6A8DF3FD-F8F9-49C0-BD4B-519A3AA7FA93}"/>
    <cellStyle name="Comma 2 2 3 2 3 2 2 6" xfId="48602" xr:uid="{04527628-F110-4DFA-A003-A9C81CB7B289}"/>
    <cellStyle name="Comma 2 2 3 2 3 2 2 7" xfId="51365" xr:uid="{D288358A-42CE-4ED6-80EB-99CF38A8F31E}"/>
    <cellStyle name="Comma 2 2 3 2 3 2 2 8" xfId="52242" xr:uid="{3C0DB437-72E4-4B96-88AA-CD0EA28DBF5E}"/>
    <cellStyle name="Comma 2 2 3 2 3 2 2 9" xfId="20950" xr:uid="{38863F66-FBE1-4771-9ED1-006BFEEBF3BE}"/>
    <cellStyle name="Comma 2 2 3 2 3 2 3" xfId="12112" xr:uid="{80CC93A3-BBCD-4B72-A40B-348F121498C8}"/>
    <cellStyle name="Comma 2 2 3 2 3 2 3 2" xfId="20169" xr:uid="{517BDB7F-83FA-476E-A38E-35DDFA17F3D6}"/>
    <cellStyle name="Comma 2 2 3 2 3 2 4" xfId="23618" xr:uid="{63DDE6A9-34D2-48CA-88FC-489EBF47DE13}"/>
    <cellStyle name="Comma 2 2 3 2 3 2 5" xfId="38115" xr:uid="{C81A7826-05F4-48D6-A585-0A3998E66F6A}"/>
    <cellStyle name="Comma 2 2 3 2 3 2 6" xfId="38925" xr:uid="{34A60DDC-5E2B-4FEE-B964-860D8326637F}"/>
    <cellStyle name="Comma 2 2 3 2 3 2 7" xfId="39938" xr:uid="{56815623-979D-473B-B732-E00D4F1B6F8F}"/>
    <cellStyle name="Comma 2 2 3 2 3 2 8" xfId="40580" xr:uid="{97B3B37A-6833-483E-ACE6-17DE88D080D1}"/>
    <cellStyle name="Comma 2 2 3 2 3 2 9" xfId="41792" xr:uid="{0C829C48-98C2-4DAA-A5F9-23130EB94879}"/>
    <cellStyle name="Comma 2 2 3 2 3 3" xfId="9597" xr:uid="{7656398C-A8B7-49A6-AEBD-C61F1A3EE17C}"/>
    <cellStyle name="Comma 2 2 3 2 3 3 2" xfId="12903" xr:uid="{23D39A61-53DA-48C2-8607-DA97C1D0E702}"/>
    <cellStyle name="Comma 2 2 3 2 3 3 2 2" xfId="48911" xr:uid="{37C6A971-6A81-4982-A6D2-28AF8F2E853A}"/>
    <cellStyle name="Comma 2 2 3 2 3 3 2 3" xfId="51623" xr:uid="{E6DFFEB1-FC4E-485E-8DCD-43B28450EBB2}"/>
    <cellStyle name="Comma 2 2 3 2 3 3 2 4" xfId="52243" xr:uid="{2E0F13E4-4A2C-42C4-873C-473117B5FB33}"/>
    <cellStyle name="Comma 2 2 3 2 3 3 2 5" xfId="39364" xr:uid="{0B3443D5-62C8-46B5-B81C-618F2D72BB54}"/>
    <cellStyle name="Comma 2 2 3 2 3 3 3" xfId="41222" xr:uid="{11E94BB9-1362-436C-8438-6051E8C1B625}"/>
    <cellStyle name="Comma 2 2 3 2 3 3 4" xfId="43041" xr:uid="{000ED9F8-C509-4A49-85B3-539A3D15EECD}"/>
    <cellStyle name="Comma 2 2 3 2 3 3 5" xfId="45142" xr:uid="{38DA89FE-59E9-4CF3-A113-152489BB10E2}"/>
    <cellStyle name="Comma 2 2 3 2 3 3 6" xfId="47335" xr:uid="{137F308E-6DB7-465B-AD3C-BC8A878800EB}"/>
    <cellStyle name="Comma 2 2 3 2 3 3 7" xfId="50295" xr:uid="{C5ED05D1-5584-43A3-8285-1BDC390AC21D}"/>
    <cellStyle name="Comma 2 2 3 2 3 3 8" xfId="52244" xr:uid="{C8E19469-125B-42A3-9BAB-3F51D43B7404}"/>
    <cellStyle name="Comma 2 2 3 2 3 3 9" xfId="20738" xr:uid="{1808B640-97F3-461D-89FC-A00ED44C8295}"/>
    <cellStyle name="Comma 2 2 3 2 3 4" xfId="7093" xr:uid="{0CCF3906-D7B6-4A3E-9E57-EFC543A04EB8}"/>
    <cellStyle name="Comma 2 2 3 2 3 4 2" xfId="48056" xr:uid="{57B69171-0940-457B-AAFA-3E5EF90A4511}"/>
    <cellStyle name="Comma 2 2 3 2 3 4 3" xfId="50905" xr:uid="{E11A0039-C5F1-4046-9A81-4F501191B69D}"/>
    <cellStyle name="Comma 2 2 3 2 3 4 4" xfId="52245" xr:uid="{23625F0F-1256-4FA3-8CDC-93FBBF3AA050}"/>
    <cellStyle name="Comma 2 2 3 2 3 4 5" xfId="20017" xr:uid="{A86F2243-AB8B-41E3-A9BA-E06EACE19CE5}"/>
    <cellStyle name="Comma 2 2 3 2 3 5" xfId="11618" xr:uid="{A4444653-69C6-4D79-A79A-DD44BE8A15A3}"/>
    <cellStyle name="Comma 2 2 3 2 3 5 2" xfId="23617" xr:uid="{5B2E239E-D370-4B75-A513-1BE90F5033E6}"/>
    <cellStyle name="Comma 2 2 3 2 3 6" xfId="38114" xr:uid="{0247B736-9A89-4230-9C99-85DDDDE2F73A}"/>
    <cellStyle name="Comma 2 2 3 2 3 7" xfId="38773" xr:uid="{4A1F21DD-A5B5-4475-8B86-B72F7F2D37D9}"/>
    <cellStyle name="Comma 2 2 3 2 3 8" xfId="39937" xr:uid="{1C1F0127-AED6-4D86-B9D1-A740A98404C0}"/>
    <cellStyle name="Comma 2 2 3 2 3 9" xfId="40579" xr:uid="{9B589443-4341-4D2E-80C9-8C8A5DCAFD25}"/>
    <cellStyle name="Comma 2 2 3 2 4" xfId="6487" xr:uid="{2CB90041-E652-411C-ABF8-E533937F689C}"/>
    <cellStyle name="Comma 2 2 3 2 4 10" xfId="41793" xr:uid="{23F0D709-DC86-4519-B337-E8A24377A7AB}"/>
    <cellStyle name="Comma 2 2 3 2 4 11" xfId="42389" xr:uid="{B62D1163-C046-46FD-AD27-5FCAA1650052}"/>
    <cellStyle name="Comma 2 2 3 2 4 12" xfId="44619" xr:uid="{6D9D49D9-A5A7-413F-9AA2-CA36548D8065}"/>
    <cellStyle name="Comma 2 2 3 2 4 13" xfId="46126" xr:uid="{929AD6CE-D1AF-43D1-8E64-62DB5BA3F8D2}"/>
    <cellStyle name="Comma 2 2 3 2 4 14" xfId="49462" xr:uid="{798E7995-CCDC-41C1-A3D7-E554C9864402}"/>
    <cellStyle name="Comma 2 2 3 2 4 15" xfId="52246" xr:uid="{7BAF0F7F-20E2-4E51-B54D-DDA92E24F910}"/>
    <cellStyle name="Comma 2 2 3 2 4 16" xfId="16364" xr:uid="{523B2B21-ED1E-42EF-97A4-D56C664A6812}"/>
    <cellStyle name="Comma 2 2 3 2 4 17" xfId="14388" xr:uid="{2E0B0D7B-CE6A-48E2-88EF-03C25E028923}"/>
    <cellStyle name="Comma 2 2 3 2 4 2" xfId="9459" xr:uid="{5D51075D-AAE5-42B7-B83B-C318C4200BB0}"/>
    <cellStyle name="Comma 2 2 3 2 4 2 10" xfId="42603" xr:uid="{9A9A289A-6264-4E9F-865E-FA902CD3F0CC}"/>
    <cellStyle name="Comma 2 2 3 2 4 2 11" xfId="44770" xr:uid="{62DEDD6A-52FE-4B00-97B6-AF7FF0A1F55C}"/>
    <cellStyle name="Comma 2 2 3 2 4 2 12" xfId="47921" xr:uid="{2473D707-28DE-4108-A1EE-E8BACCD54285}"/>
    <cellStyle name="Comma 2 2 3 2 4 2 13" xfId="50790" xr:uid="{4F0EF3FB-6D62-45DB-8199-6647852B515C}"/>
    <cellStyle name="Comma 2 2 3 2 4 2 14" xfId="52247" xr:uid="{B7207D5F-9FDF-44E6-862B-E4990FC3CAA5}"/>
    <cellStyle name="Comma 2 2 3 2 4 2 15" xfId="16956" xr:uid="{C8DE966B-F702-45C1-BBA5-AC404FFD4996}"/>
    <cellStyle name="Comma 2 2 3 2 4 2 2" xfId="12765" xr:uid="{C2063F9B-3749-4DF7-AEF9-A086F17C1FA9}"/>
    <cellStyle name="Comma 2 2 3 2 4 2 2 2" xfId="39517" xr:uid="{F0C93E9F-1673-4573-99BE-BAEED3201D92}"/>
    <cellStyle name="Comma 2 2 3 2 4 2 2 3" xfId="41371" xr:uid="{5711C5F8-A432-436F-AE46-1FCD2000EA30}"/>
    <cellStyle name="Comma 2 2 3 2 4 2 2 4" xfId="43194" xr:uid="{2AE77249-A628-45E8-A098-94191FEC22FE}"/>
    <cellStyle name="Comma 2 2 3 2 4 2 2 5" xfId="45291" xr:uid="{8C8CF79D-7BA2-417E-9E0C-BA57CEB940BB}"/>
    <cellStyle name="Comma 2 2 3 2 4 2 2 6" xfId="20951" xr:uid="{5C4B7FCE-FDD9-4D28-9FF5-6C86C7E62A28}"/>
    <cellStyle name="Comma 2 2 3 2 4 2 3" xfId="20170" xr:uid="{C8E8B52C-6D95-448B-A3A3-2EF5DBF83BFF}"/>
    <cellStyle name="Comma 2 2 3 2 4 2 4" xfId="23620" xr:uid="{B14DDBCB-8D20-4E94-BFFC-35244030E1C3}"/>
    <cellStyle name="Comma 2 2 3 2 4 2 5" xfId="38117" xr:uid="{615CEF40-D05E-43D3-B16C-33803447F19B}"/>
    <cellStyle name="Comma 2 2 3 2 4 2 6" xfId="38926" xr:uid="{F216B89C-ED8E-4603-A370-365EE714CC0D}"/>
    <cellStyle name="Comma 2 2 3 2 4 2 7" xfId="39940" xr:uid="{210E8BBD-7C39-4431-BA29-37B0FF9A8A0D}"/>
    <cellStyle name="Comma 2 2 3 2 4 2 8" xfId="40582" xr:uid="{C6FCBCF3-EA74-4C4B-8CCE-219BAF3188AA}"/>
    <cellStyle name="Comma 2 2 3 2 4 2 9" xfId="41794" xr:uid="{46A67B7E-CE63-4622-8393-A3A29DD35809}"/>
    <cellStyle name="Comma 2 2 3 2 4 3" xfId="11480" xr:uid="{E33AA895-FFE7-4821-9425-71959241A7A6}"/>
    <cellStyle name="Comma 2 2 3 2 4 3 2" xfId="39303" xr:uid="{39E38153-9AA6-4919-9711-458AE2D212E8}"/>
    <cellStyle name="Comma 2 2 3 2 4 3 3" xfId="41165" xr:uid="{8D8F9C34-9AD8-47D4-83CD-FF8095ED2861}"/>
    <cellStyle name="Comma 2 2 3 2 4 3 4" xfId="42980" xr:uid="{4942398A-A67B-46A3-95CC-CFDE9762E022}"/>
    <cellStyle name="Comma 2 2 3 2 4 3 5" xfId="45085" xr:uid="{D2CCD60D-4958-49A2-AB66-CD799B34F21C}"/>
    <cellStyle name="Comma 2 2 3 2 4 3 6" xfId="20609" xr:uid="{42841A2E-5202-43FA-8029-2E58D8F8E5EA}"/>
    <cellStyle name="Comma 2 2 3 2 4 4" xfId="19956" xr:uid="{CFC861AC-C667-4BE9-BF4F-5DD054A699C3}"/>
    <cellStyle name="Comma 2 2 3 2 4 5" xfId="23619" xr:uid="{4282F381-60FF-49F7-AF36-C218BAFD4220}"/>
    <cellStyle name="Comma 2 2 3 2 4 6" xfId="38116" xr:uid="{F1DB21AC-273D-4861-9EFE-6784D81724E0}"/>
    <cellStyle name="Comma 2 2 3 2 4 7" xfId="38712" xr:uid="{3A3887E5-BD70-4DBB-B1C0-B8F63137FCFD}"/>
    <cellStyle name="Comma 2 2 3 2 4 8" xfId="39939" xr:uid="{3CA97ED1-9977-4578-834C-6314543A3063}"/>
    <cellStyle name="Comma 2 2 3 2 4 9" xfId="40581" xr:uid="{E355204D-4219-474F-AB1F-4DFD118DB787}"/>
    <cellStyle name="Comma 2 2 3 2 5" xfId="7461" xr:uid="{4A56DA08-17A8-4964-B52F-8AB983D71C1F}"/>
    <cellStyle name="Comma 2 2 3 2 5 10" xfId="42599" xr:uid="{F85D3AD0-5B3F-4B1B-98BF-B73240663F15}"/>
    <cellStyle name="Comma 2 2 3 2 5 11" xfId="44766" xr:uid="{116BF8D0-8EC2-4987-B078-57C9A23B75DC}"/>
    <cellStyle name="Comma 2 2 3 2 5 12" xfId="46807" xr:uid="{F4395E32-DC70-4A03-BD77-EED115CC3C80}"/>
    <cellStyle name="Comma 2 2 3 2 5 13" xfId="49831" xr:uid="{4B2327AF-AE41-454B-9460-05BDD4017D16}"/>
    <cellStyle name="Comma 2 2 3 2 5 14" xfId="52248" xr:uid="{BD912B68-E0D7-4A8B-AA7D-C95B820C904D}"/>
    <cellStyle name="Comma 2 2 3 2 5 15" xfId="16952" xr:uid="{3D897DF0-708A-4CCC-A625-6849C7229C1C}"/>
    <cellStyle name="Comma 2 2 3 2 5 16" xfId="14841" xr:uid="{4F0B0908-3071-49A0-9A10-A3A8C462F708}"/>
    <cellStyle name="Comma 2 2 3 2 5 2" xfId="9953" xr:uid="{5A85C212-A34E-4EB6-A8AE-9B3A8B1B4CC9}"/>
    <cellStyle name="Comma 2 2 3 2 5 2 2" xfId="13259" xr:uid="{A5EE885C-7C0F-4FAE-9482-5430EEE9ADEF}"/>
    <cellStyle name="Comma 2 2 3 2 5 2 2 2" xfId="39513" xr:uid="{019EBDC6-303F-4335-A5CC-3B6DF078E02D}"/>
    <cellStyle name="Comma 2 2 3 2 5 2 3" xfId="41367" xr:uid="{AFD9112B-941B-4585-A3CB-2765361E4598}"/>
    <cellStyle name="Comma 2 2 3 2 5 2 4" xfId="43190" xr:uid="{7400D3A2-45F3-4A0F-A6D5-41BB6286FB5E}"/>
    <cellStyle name="Comma 2 2 3 2 5 2 5" xfId="45287" xr:uid="{92FEE79C-D8B9-4271-8AC3-863EE156E625}"/>
    <cellStyle name="Comma 2 2 3 2 5 2 6" xfId="48358" xr:uid="{135ACBC6-352C-4E2C-8838-5050674B5738}"/>
    <cellStyle name="Comma 2 2 3 2 5 2 7" xfId="51159" xr:uid="{F39A94D0-BC8F-4562-AD92-C907440DE753}"/>
    <cellStyle name="Comma 2 2 3 2 5 2 8" xfId="52249" xr:uid="{1B2925CC-BCB4-44F7-8B49-0C1C11199E0F}"/>
    <cellStyle name="Comma 2 2 3 2 5 2 9" xfId="20947" xr:uid="{573812A8-C8B7-4B1D-BFC9-48502D2C51E8}"/>
    <cellStyle name="Comma 2 2 3 2 5 3" xfId="11974" xr:uid="{DD9F84FF-2DEF-443A-B95F-58CA8294DB4F}"/>
    <cellStyle name="Comma 2 2 3 2 5 3 2" xfId="20166" xr:uid="{0146A8B3-3325-46D6-B57C-1ABC0623701A}"/>
    <cellStyle name="Comma 2 2 3 2 5 4" xfId="23621" xr:uid="{E70ADD6D-8A41-4A89-958D-4FB04FF739EB}"/>
    <cellStyle name="Comma 2 2 3 2 5 5" xfId="38118" xr:uid="{B1DCB498-9C7A-4F9F-8C21-F9B4483E2F1B}"/>
    <cellStyle name="Comma 2 2 3 2 5 6" xfId="38922" xr:uid="{CE7AC077-45A5-4510-93D3-CA511CE1DD07}"/>
    <cellStyle name="Comma 2 2 3 2 5 7" xfId="39941" xr:uid="{419E1543-6DAB-4FD1-BF56-01763DBEDA57}"/>
    <cellStyle name="Comma 2 2 3 2 5 8" xfId="40583" xr:uid="{4A4BA964-E333-44D5-A030-665EF9CEC025}"/>
    <cellStyle name="Comma 2 2 3 2 5 9" xfId="41795" xr:uid="{935D716E-4CFD-4472-AB09-8D03B328332C}"/>
    <cellStyle name="Comma 2 2 3 2 6" xfId="8127" xr:uid="{C5C56D20-259D-4525-9902-C0477E59261F}"/>
    <cellStyle name="Comma 2 2 3 2 6 10" xfId="42813" xr:uid="{A7108A33-2A9B-4BBB-B191-6161B928ADAC}"/>
    <cellStyle name="Comma 2 2 3 2 6 11" xfId="44940" xr:uid="{A2A87C3E-7880-434C-A00C-4F3E56B96DF4}"/>
    <cellStyle name="Comma 2 2 3 2 6 12" xfId="47202" xr:uid="{DF614178-5856-4B7A-B860-7BB5A5D7478F}"/>
    <cellStyle name="Comma 2 2 3 2 6 13" xfId="50180" xr:uid="{1465C4F7-9BAA-47E8-9F8D-844F86E6D7FE}"/>
    <cellStyle name="Comma 2 2 3 2 6 14" xfId="52250" xr:uid="{16ECEE55-1EE3-4BC0-8B83-B5440242B300}"/>
    <cellStyle name="Comma 2 2 3 2 6 15" xfId="19719" xr:uid="{8E9A3405-B815-4F10-A99C-EE6166269FAB}"/>
    <cellStyle name="Comma 2 2 3 2 6 2" xfId="12583" xr:uid="{B4141938-54FB-478B-B8B5-2CDCFB51CA21}"/>
    <cellStyle name="Comma 2 2 3 2 6 2 2" xfId="39727" xr:uid="{C303554C-2CFB-48EA-8C46-E81908C79F39}"/>
    <cellStyle name="Comma 2 2 3 2 6 2 3" xfId="41580" xr:uid="{92266600-28C3-4FF4-A3B4-00C50B1C69F0}"/>
    <cellStyle name="Comma 2 2 3 2 6 2 4" xfId="43404" xr:uid="{EB3131EB-DB1E-4C93-9EA6-93AE85B32462}"/>
    <cellStyle name="Comma 2 2 3 2 6 2 5" xfId="45483" xr:uid="{DA45732F-42A3-4CFB-BF1B-BF96110AC9F0}"/>
    <cellStyle name="Comma 2 2 3 2 6 2 6" xfId="48773" xr:uid="{800892E1-F76D-44CC-92FC-774F2F110AC8}"/>
    <cellStyle name="Comma 2 2 3 2 6 2 7" xfId="51508" xr:uid="{1748E0D1-DFF7-4544-B439-3CEAE2359642}"/>
    <cellStyle name="Comma 2 2 3 2 6 2 8" xfId="52251" xr:uid="{560625C7-6671-486C-ADC2-ABD9B1AA1EF4}"/>
    <cellStyle name="Comma 2 2 3 2 6 2 9" xfId="23336" xr:uid="{9C9802B3-9C34-4289-8BDD-435961719C31}"/>
    <cellStyle name="Comma 2 2 3 2 6 3" xfId="20380" xr:uid="{7DFE36F7-5216-4909-BAA3-38F7F20592BD}"/>
    <cellStyle name="Comma 2 2 3 2 6 4" xfId="23622" xr:uid="{0C7C1569-D11E-4FB8-BD0D-714FE91ED494}"/>
    <cellStyle name="Comma 2 2 3 2 6 5" xfId="38119" xr:uid="{85A0BE34-6082-49BA-9390-FC9C724AFA22}"/>
    <cellStyle name="Comma 2 2 3 2 6 6" xfId="39136" xr:uid="{57710036-29FA-4C05-8EAF-626B452C0A23}"/>
    <cellStyle name="Comma 2 2 3 2 6 7" xfId="39942" xr:uid="{DFB3E6AD-799B-4C1E-9B47-B0E184294273}"/>
    <cellStyle name="Comma 2 2 3 2 6 8" xfId="40584" xr:uid="{0AC029E1-7FDD-4CE7-A351-AF2446F2D26F}"/>
    <cellStyle name="Comma 2 2 3 2 6 9" xfId="41796" xr:uid="{3193F6F9-D415-4232-8765-967374B91ABC}"/>
    <cellStyle name="Comma 2 2 3 2 7" xfId="8106" xr:uid="{EA480A87-BD37-4997-B45F-E9C087AACCA8}"/>
    <cellStyle name="Comma 2 2 3 2 7 2" xfId="12562" xr:uid="{55AE55E9-8954-410D-BB75-ABA85DAF96D3}"/>
    <cellStyle name="Comma 2 2 3 2 7 2 2" xfId="39213" xr:uid="{F7A60750-DADC-494A-B23E-6D312D3C7B13}"/>
    <cellStyle name="Comma 2 2 3 2 7 3" xfId="41086" xr:uid="{54CA5358-53ED-456C-B239-9A5751C63F9E}"/>
    <cellStyle name="Comma 2 2 3 2 7 4" xfId="42890" xr:uid="{48456735-083C-45D4-A15A-80DCC7239932}"/>
    <cellStyle name="Comma 2 2 3 2 7 5" xfId="44997" xr:uid="{051EFFFA-DCAD-4B06-94B7-9C8DC9B8D4E7}"/>
    <cellStyle name="Comma 2 2 3 2 7 6" xfId="47665" xr:uid="{4350D603-33D6-4DAE-91BA-357AF622DC2F}"/>
    <cellStyle name="Comma 2 2 3 2 7 7" xfId="50573" xr:uid="{97FCAE9D-04F0-4545-8BD5-FB2E5AAED687}"/>
    <cellStyle name="Comma 2 2 3 2 7 8" xfId="52252" xr:uid="{4D238C87-2565-45EE-8F7F-F7AC7E8B833F}"/>
    <cellStyle name="Comma 2 2 3 2 7 9" xfId="20458" xr:uid="{B44B60A6-0880-481F-B027-20B35D957BA2}"/>
    <cellStyle name="Comma 2 2 3 2 8" xfId="7914" xr:uid="{2BDD9508-1E4E-4BCC-BCB1-D90480EB1A92}"/>
    <cellStyle name="Comma 2 2 3 2 8 2" xfId="12427" xr:uid="{DB46F398-342F-455E-962C-B55F617D1241}"/>
    <cellStyle name="Comma 2 2 3 2 8 3" xfId="19864" xr:uid="{32E2D534-9686-44EE-8EC1-5857363E86CB}"/>
    <cellStyle name="Comma 2 2 3 2 9" xfId="11270" xr:uid="{B9210ACA-C4CD-47DC-B14E-C026667E72B3}"/>
    <cellStyle name="Comma 2 2 3 2 9 2" xfId="13829" xr:uid="{6147EAC2-2189-4649-A864-2B7EAE415246}"/>
    <cellStyle name="Comma 2 2 3 2 9 3" xfId="23612" xr:uid="{09825CE4-AD7C-40E3-A580-B84ADC39102C}"/>
    <cellStyle name="Comma 2 2 3 20" xfId="43473" xr:uid="{82922F2E-7094-4E48-8E00-7E327F3CFF7C}"/>
    <cellStyle name="Comma 2 2 3 21" xfId="44375" xr:uid="{BEAA86BF-3D09-48AB-B001-160442A29F9D}"/>
    <cellStyle name="Comma 2 2 3 22" xfId="45579" xr:uid="{2CD5754C-446B-42B5-BCFB-91173DC2764C}"/>
    <cellStyle name="Comma 2 2 3 23" xfId="49209" xr:uid="{E632344A-F199-4D2B-BEC4-D9BDC3BA9B56}"/>
    <cellStyle name="Comma 2 2 3 24" xfId="52253" xr:uid="{795CB0E5-FE8F-4EA1-A527-764F1656B7B4}"/>
    <cellStyle name="Comma 2 2 3 25" xfId="15200" xr:uid="{96246156-37B3-478D-8E32-589C23795E92}"/>
    <cellStyle name="Comma 2 2 3 26" xfId="13845" xr:uid="{6CDE94BF-322C-4E93-A468-5FD9D46140EC}"/>
    <cellStyle name="Comma 2 2 3 3" xfId="1741" xr:uid="{EAF1F0A2-B880-49DC-A8FF-1E465151E380}"/>
    <cellStyle name="Comma 2 2 3 3 10" xfId="38120" xr:uid="{6A307633-69D0-402B-B6C9-0177BF04BCE5}"/>
    <cellStyle name="Comma 2 2 3 3 11" xfId="38623" xr:uid="{AEE75DC7-EBF2-41FA-A2D9-A393F09E2909}"/>
    <cellStyle name="Comma 2 2 3 3 12" xfId="39943" xr:uid="{6B3E9B56-FAE8-496A-8690-DECBB16C2DB1}"/>
    <cellStyle name="Comma 2 2 3 3 13" xfId="40585" xr:uid="{81ED413A-A43C-4964-A375-C75888C42274}"/>
    <cellStyle name="Comma 2 2 3 3 14" xfId="41797" xr:uid="{8EF0C84B-975E-408F-8675-D9804D6EA419}"/>
    <cellStyle name="Comma 2 2 3 3 15" xfId="42300" xr:uid="{F2E815F8-7EE4-46E4-BB6D-3D6EC4A0F403}"/>
    <cellStyle name="Comma 2 2 3 3 16" xfId="43514" xr:uid="{7A2B7F74-F44B-4336-AF08-9B42633FD952}"/>
    <cellStyle name="Comma 2 2 3 3 17" xfId="44377" xr:uid="{806681AB-9F87-4F45-9227-F22F9B6398D6}"/>
    <cellStyle name="Comma 2 2 3 3 18" xfId="45617" xr:uid="{4C5EEAA0-13A4-49C1-AD25-9C5D933E2249}"/>
    <cellStyle name="Comma 2 2 3 3 19" xfId="49246" xr:uid="{889BEC7E-CF83-42F7-A90D-32CB0FB59299}"/>
    <cellStyle name="Comma 2 2 3 3 2" xfId="4417" xr:uid="{1EAFF38F-F130-4FE7-875D-8B1923FC66E6}"/>
    <cellStyle name="Comma 2 2 3 3 2 10" xfId="40586" xr:uid="{DED32425-BC1E-4B14-B460-24AC0CD81E8D}"/>
    <cellStyle name="Comma 2 2 3 3 2 11" xfId="41798" xr:uid="{CF3098C2-E0EC-4FE3-B320-B2949EC101B2}"/>
    <cellStyle name="Comma 2 2 3 3 2 12" xfId="42338" xr:uid="{9317C0E8-83D8-48DF-B42C-3155D3EB8E30}"/>
    <cellStyle name="Comma 2 2 3 3 2 13" xfId="44218" xr:uid="{0823E338-3583-4D80-820D-B65DF6190E0B}"/>
    <cellStyle name="Comma 2 2 3 3 2 14" xfId="44518" xr:uid="{07E99118-AAE9-415F-A78D-EE8CFA070EA9}"/>
    <cellStyle name="Comma 2 2 3 3 2 15" xfId="45691" xr:uid="{300E0DDB-9D51-4FE2-8EEE-5E2049CA41FA}"/>
    <cellStyle name="Comma 2 2 3 3 2 16" xfId="49319" xr:uid="{E08CA57B-4DBB-449A-A1F5-364DB59F7948}"/>
    <cellStyle name="Comma 2 2 3 3 2 17" xfId="52254" xr:uid="{A377422A-75BE-4517-9A45-739715661ABD}"/>
    <cellStyle name="Comma 2 2 3 3 2 18" xfId="15304" xr:uid="{E86A2AE2-DEEA-4CEB-AA85-D79CCBFDD3F8}"/>
    <cellStyle name="Comma 2 2 3 3 2 19" xfId="14211" xr:uid="{B834F6CD-A23A-4D75-B58A-49488464E4B4}"/>
    <cellStyle name="Comma 2 2 3 3 2 2" xfId="5674" xr:uid="{28C50CD9-195E-4755-86F9-B243DE16B3B2}"/>
    <cellStyle name="Comma 2 2 3 3 2 2 10" xfId="41799" xr:uid="{F0D85E51-76D2-4688-A3F5-8592A5DCEBED}"/>
    <cellStyle name="Comma 2 2 3 3 2 2 11" xfId="42490" xr:uid="{D3F3FB75-DD89-4A05-A708-AB135853F44F}"/>
    <cellStyle name="Comma 2 2 3 3 2 2 12" xfId="44675" xr:uid="{53DA018F-B0B5-4CF3-9263-BFB6A5A0BBB5}"/>
    <cellStyle name="Comma 2 2 3 3 2 2 13" xfId="46686" xr:uid="{554EF513-9C17-40FA-A142-4AAFE970668F}"/>
    <cellStyle name="Comma 2 2 3 3 2 2 14" xfId="49718" xr:uid="{E39AAA59-A8C4-495F-A4CC-BA6289F61D9E}"/>
    <cellStyle name="Comma 2 2 3 3 2 2 15" xfId="52255" xr:uid="{F6122A12-FA3D-48CB-9211-FAB7911ABAA9}"/>
    <cellStyle name="Comma 2 2 3 3 2 2 16" xfId="16753" xr:uid="{43AFEDF4-6310-4A06-B206-3C92879AD9E9}"/>
    <cellStyle name="Comma 2 2 3 3 2 2 17" xfId="14703" xr:uid="{60ED0F88-9AF7-4CCA-890A-18B20F32616B}"/>
    <cellStyle name="Comma 2 2 3 3 2 2 2" xfId="10268" xr:uid="{89AAD145-A8BE-41C7-947F-E09613D0DE29}"/>
    <cellStyle name="Comma 2 2 3 3 2 2 2 10" xfId="42606" xr:uid="{4292D000-AB4F-4608-8F36-55BFAC27ACFA}"/>
    <cellStyle name="Comma 2 2 3 3 2 2 2 11" xfId="44773" xr:uid="{EE1B78FB-DB26-451B-BE78-6E3429E9F4E2}"/>
    <cellStyle name="Comma 2 2 3 3 2 2 2 12" xfId="48228" xr:uid="{00A6568D-E5FE-48AE-A9F8-F34AA32239FF}"/>
    <cellStyle name="Comma 2 2 3 3 2 2 2 13" xfId="51046" xr:uid="{A1F5EA76-02BC-413C-B796-D1E7243E207A}"/>
    <cellStyle name="Comma 2 2 3 3 2 2 2 14" xfId="52256" xr:uid="{8E2E7960-35D0-42CB-96EE-AADE2F23A65F}"/>
    <cellStyle name="Comma 2 2 3 3 2 2 2 15" xfId="16959" xr:uid="{6CC33FA9-746A-439A-8607-B00772407F7F}"/>
    <cellStyle name="Comma 2 2 3 3 2 2 2 2" xfId="13574" xr:uid="{0563DCAC-3B16-4034-81AA-D85958A65CFE}"/>
    <cellStyle name="Comma 2 2 3 3 2 2 2 2 2" xfId="39520" xr:uid="{DE877B4D-98EE-4BA9-A3CC-06D0BD67198A}"/>
    <cellStyle name="Comma 2 2 3 3 2 2 2 2 3" xfId="41374" xr:uid="{E5D3E575-95DE-4352-AD20-5A3E4A5E6FEC}"/>
    <cellStyle name="Comma 2 2 3 3 2 2 2 2 4" xfId="43197" xr:uid="{EA233DFD-BF68-496E-B1C6-9E2BAA634FD4}"/>
    <cellStyle name="Comma 2 2 3 3 2 2 2 2 5" xfId="45294" xr:uid="{8C4C7C3C-8AB8-4F80-AEAF-F983D4519EBE}"/>
    <cellStyle name="Comma 2 2 3 3 2 2 2 2 6" xfId="20954" xr:uid="{D011D8E1-E07F-4519-9556-DDA51C941409}"/>
    <cellStyle name="Comma 2 2 3 3 2 2 2 3" xfId="20173" xr:uid="{4F6F2FEC-6399-47C5-904D-A9516FD54193}"/>
    <cellStyle name="Comma 2 2 3 3 2 2 2 4" xfId="23626" xr:uid="{AC519ED6-4187-4E0B-BDA9-0EBE7767EE4A}"/>
    <cellStyle name="Comma 2 2 3 3 2 2 2 5" xfId="38123" xr:uid="{5548EAAF-48E5-42B4-AB88-837636A20A82}"/>
    <cellStyle name="Comma 2 2 3 3 2 2 2 6" xfId="38929" xr:uid="{996139C3-38BA-4C7A-9ABC-C2C6D0802922}"/>
    <cellStyle name="Comma 2 2 3 3 2 2 2 7" xfId="39946" xr:uid="{5FBF25E9-0BF2-4427-A1F2-662F9BF71F75}"/>
    <cellStyle name="Comma 2 2 3 3 2 2 2 8" xfId="40588" xr:uid="{4CD81F4C-B02C-4B36-B931-423AC31A9F69}"/>
    <cellStyle name="Comma 2 2 3 3 2 2 2 9" xfId="41800" xr:uid="{1C442D67-7959-43BF-923C-A9797AC8BFEE}"/>
    <cellStyle name="Comma 2 2 3 3 2 2 3" xfId="7776" xr:uid="{716EC4F2-B78A-4080-BC14-587E5D4EFE40}"/>
    <cellStyle name="Comma 2 2 3 3 2 2 3 2" xfId="39404" xr:uid="{9683BAC3-F35F-4AE5-AED3-F20CF18BC124}"/>
    <cellStyle name="Comma 2 2 3 3 2 2 3 3" xfId="41260" xr:uid="{CF4DA31E-0718-4018-9A9E-33F6BA3A0ABC}"/>
    <cellStyle name="Comma 2 2 3 3 2 2 3 4" xfId="43081" xr:uid="{4C867062-0BE5-408C-95B2-EB5892E0A0E5}"/>
    <cellStyle name="Comma 2 2 3 3 2 2 3 5" xfId="45180" xr:uid="{D47A1859-8980-43C2-9197-0E5D2ED22668}"/>
    <cellStyle name="Comma 2 2 3 3 2 2 3 6" xfId="20779" xr:uid="{17D33487-2ADC-4D23-88AC-5F1CA02125DB}"/>
    <cellStyle name="Comma 2 2 3 3 2 2 4" xfId="12289" xr:uid="{ADD023B2-86A5-4250-A10A-6759AD8800D1}"/>
    <cellStyle name="Comma 2 2 3 3 2 2 4 2" xfId="20057" xr:uid="{ED913C54-453D-430F-A424-DC322463D7E6}"/>
    <cellStyle name="Comma 2 2 3 3 2 2 5" xfId="23625" xr:uid="{E3A69982-8EC0-48AF-90E3-7DA821F957E2}"/>
    <cellStyle name="Comma 2 2 3 3 2 2 6" xfId="38122" xr:uid="{CC39A854-27D8-4EBD-8BEE-F9643E22C731}"/>
    <cellStyle name="Comma 2 2 3 3 2 2 7" xfId="38813" xr:uid="{1ED9509A-A506-4643-A7B3-857BE59C7851}"/>
    <cellStyle name="Comma 2 2 3 3 2 2 8" xfId="39945" xr:uid="{672385EF-93DA-482B-A1FD-40E432810773}"/>
    <cellStyle name="Comma 2 2 3 3 2 2 9" xfId="40587" xr:uid="{2E7FBAE4-174C-4EAB-AAB7-CC30ED361DEC}"/>
    <cellStyle name="Comma 2 2 3 3 2 3" xfId="11121" xr:uid="{256EA72E-F5C1-4497-9A35-F77026533EBF}"/>
    <cellStyle name="Comma 2 2 3 3 2 3 10" xfId="42605" xr:uid="{F8212CF1-AF8C-4DC2-A2E2-777FA24844D1}"/>
    <cellStyle name="Comma 2 2 3 3 2 3 11" xfId="44772" xr:uid="{A01B40E4-6273-421F-A423-2C6DA9F0FC5A}"/>
    <cellStyle name="Comma 2 2 3 3 2 3 12" xfId="46906" xr:uid="{777C44A7-068D-47DC-8264-40F9A0A28C7F}"/>
    <cellStyle name="Comma 2 2 3 3 2 3 13" xfId="49925" xr:uid="{733BD209-FC87-4020-9769-8C13455B5C39}"/>
    <cellStyle name="Comma 2 2 3 3 2 3 14" xfId="52257" xr:uid="{C0E2456F-7FE6-4674-A4AD-F5964FD76F90}"/>
    <cellStyle name="Comma 2 2 3 3 2 3 15" xfId="16958" xr:uid="{8D67DDFD-848A-41DD-9E04-D58F8DD0BC3C}"/>
    <cellStyle name="Comma 2 2 3 3 2 3 16" xfId="15018" xr:uid="{38584080-B4F7-47B8-A153-43A2B18A6C3D}"/>
    <cellStyle name="Comma 2 2 3 3 2 3 2" xfId="13718" xr:uid="{D6E4F8F4-5E8D-4AE3-82AD-84BB94F44845}"/>
    <cellStyle name="Comma 2 2 3 3 2 3 2 2" xfId="39519" xr:uid="{ACC4F8A6-ADF5-446A-A244-CD23141F9C1D}"/>
    <cellStyle name="Comma 2 2 3 3 2 3 2 3" xfId="41373" xr:uid="{D071E102-5DC6-4B9C-82C8-5B61F5A49591}"/>
    <cellStyle name="Comma 2 2 3 3 2 3 2 4" xfId="43196" xr:uid="{CC55DFB1-20D1-44BB-8484-92F37D9C0591}"/>
    <cellStyle name="Comma 2 2 3 3 2 3 2 5" xfId="45293" xr:uid="{F4E8394F-E6B8-4134-8877-83E5F1586215}"/>
    <cellStyle name="Comma 2 2 3 3 2 3 2 6" xfId="48467" xr:uid="{7B5528E0-9570-47A7-ADB7-1E5C099ED7FB}"/>
    <cellStyle name="Comma 2 2 3 3 2 3 2 7" xfId="51253" xr:uid="{3BFB2601-0543-47E4-811F-B7ADD5BA0431}"/>
    <cellStyle name="Comma 2 2 3 3 2 3 2 8" xfId="52258" xr:uid="{D947DB52-555B-4ADA-85BA-655FCF2491AA}"/>
    <cellStyle name="Comma 2 2 3 3 2 3 2 9" xfId="20953" xr:uid="{94E55157-2079-4D4D-B64B-CC1019A48538}"/>
    <cellStyle name="Comma 2 2 3 3 2 3 3" xfId="20172" xr:uid="{C74F9BFF-0F40-4EB0-B28B-CA7C544D892A}"/>
    <cellStyle name="Comma 2 2 3 3 2 3 4" xfId="23627" xr:uid="{3D153477-54D9-46A7-A799-B021D8E3DF53}"/>
    <cellStyle name="Comma 2 2 3 3 2 3 5" xfId="38124" xr:uid="{A0818FE8-23F9-43B2-8005-6DCD36E1B0C6}"/>
    <cellStyle name="Comma 2 2 3 3 2 3 6" xfId="38928" xr:uid="{0797EF9E-7855-4E94-9FDA-A07BBE06DBD3}"/>
    <cellStyle name="Comma 2 2 3 3 2 3 7" xfId="39947" xr:uid="{44080A1C-6239-4B44-8C4E-D8FE259A1C17}"/>
    <cellStyle name="Comma 2 2 3 3 2 3 8" xfId="40589" xr:uid="{6D0D1E01-F519-46CE-A03C-6CF02716C0C7}"/>
    <cellStyle name="Comma 2 2 3 3 2 3 9" xfId="41801" xr:uid="{A469A06F-070B-4895-B567-761FCAB9A0BB}"/>
    <cellStyle name="Comma 2 2 3 3 2 4" xfId="9774" xr:uid="{42CBE8C9-6C76-4989-9645-E0BA88A3BC8B}"/>
    <cellStyle name="Comma 2 2 3 3 2 4 2" xfId="13080" xr:uid="{42DBCB52-C0CE-4537-9E56-3BD3866BE874}"/>
    <cellStyle name="Comma 2 2 3 3 2 4 2 2" xfId="49084" xr:uid="{F6081BD8-6A04-4042-8603-8E1DA8987D7D}"/>
    <cellStyle name="Comma 2 2 3 3 2 4 2 3" xfId="51764" xr:uid="{EF94EB19-93D4-40B7-A4ED-5E4B383D3CB9}"/>
    <cellStyle name="Comma 2 2 3 3 2 4 2 4" xfId="52259" xr:uid="{C9F7E455-A2DC-4AA3-AD18-7836F3A153B4}"/>
    <cellStyle name="Comma 2 2 3 3 2 4 2 5" xfId="39252" xr:uid="{E1953DF3-91DA-4CFE-ADBB-D2473537DE97}"/>
    <cellStyle name="Comma 2 2 3 3 2 4 3" xfId="41120" xr:uid="{32B1F035-1261-45DE-8255-9131596AF483}"/>
    <cellStyle name="Comma 2 2 3 3 2 4 4" xfId="42929" xr:uid="{1CAB04C0-47D2-4B9C-9AB0-8068EC40D0AA}"/>
    <cellStyle name="Comma 2 2 3 3 2 4 5" xfId="45036" xr:uid="{1B0B770F-E7BA-4996-A4BB-0A40428994B4}"/>
    <cellStyle name="Comma 2 2 3 3 2 4 6" xfId="47501" xr:uid="{1ED2CD1A-8691-4441-B7B5-16694170A18A}"/>
    <cellStyle name="Comma 2 2 3 3 2 4 7" xfId="50436" xr:uid="{49B623EA-0A2D-497F-B60E-13379D34153C}"/>
    <cellStyle name="Comma 2 2 3 3 2 4 8" xfId="52260" xr:uid="{15FF69F5-74BF-4D7D-B42F-83106E548F11}"/>
    <cellStyle name="Comma 2 2 3 3 2 4 9" xfId="20497" xr:uid="{3F348408-6940-4159-BE4B-6081F1FDF3E9}"/>
    <cellStyle name="Comma 2 2 3 3 2 5" xfId="7272" xr:uid="{D1971CAF-544A-4DF9-8276-FF96C40E1A4D}"/>
    <cellStyle name="Comma 2 2 3 3 2 5 2" xfId="47748" xr:uid="{84D34D0D-76FC-4D63-A74E-7AA6231B7234}"/>
    <cellStyle name="Comma 2 2 3 3 2 5 3" xfId="50647" xr:uid="{7EDB438C-4791-4F72-80E1-9E9FA3FB2EDB}"/>
    <cellStyle name="Comma 2 2 3 3 2 5 4" xfId="52261" xr:uid="{38B4BCCB-5EFC-4657-9B41-4E295C35D928}"/>
    <cellStyle name="Comma 2 2 3 3 2 5 5" xfId="19904" xr:uid="{91C73036-735C-4BEE-9286-58A29EDCA4AA}"/>
    <cellStyle name="Comma 2 2 3 3 2 6" xfId="11795" xr:uid="{C2E65A62-066E-491A-B27E-21CA3A4683B3}"/>
    <cellStyle name="Comma 2 2 3 3 2 6 2" xfId="23624" xr:uid="{FEBE3FE6-CC1F-4C64-A40F-CFEDD1512DC0}"/>
    <cellStyle name="Comma 2 2 3 3 2 7" xfId="38121" xr:uid="{056BF8D6-AE4C-4515-A4DD-7C5412869894}"/>
    <cellStyle name="Comma 2 2 3 3 2 8" xfId="38661" xr:uid="{21059B58-9657-45A1-A697-5FFB12EA7F94}"/>
    <cellStyle name="Comma 2 2 3 3 2 9" xfId="39944" xr:uid="{B07DD9A7-AC16-4980-920F-3762AF450926}"/>
    <cellStyle name="Comma 2 2 3 3 20" xfId="52262" xr:uid="{74B2DBAD-B492-4B71-8EE6-85650DE1E29E}"/>
    <cellStyle name="Comma 2 2 3 3 21" xfId="15202" xr:uid="{134FD31C-5C35-4A99-B177-9CA824B5AA98}"/>
    <cellStyle name="Comma 2 2 3 3 22" xfId="13897" xr:uid="{F8630EE5-F2D7-40FA-85B7-4A6C5BB876D8}"/>
    <cellStyle name="Comma 2 2 3 3 3" xfId="5498" xr:uid="{96D7AF8D-B645-4434-9695-C7812B5867CF}"/>
    <cellStyle name="Comma 2 2 3 3 3 10" xfId="41802" xr:uid="{798A3B63-267A-48D3-98CD-D74222D73855}"/>
    <cellStyle name="Comma 2 2 3 3 3 11" xfId="42451" xr:uid="{1B0E1092-5F9C-40BB-A093-874FE6742A0E}"/>
    <cellStyle name="Comma 2 2 3 3 3 12" xfId="43787" xr:uid="{8F0C13A3-2060-4835-8858-19A647DA8FA8}"/>
    <cellStyle name="Comma 2 2 3 3 3 13" xfId="44652" xr:uid="{1B182B69-6EC8-4524-A789-AB25FE2795D2}"/>
    <cellStyle name="Comma 2 2 3 3 3 14" xfId="46545" xr:uid="{9DBBC36A-624C-4C0E-A5C3-73E3498FDAE0}"/>
    <cellStyle name="Comma 2 2 3 3 3 15" xfId="49578" xr:uid="{C023F887-CC47-43FE-A6C1-69A91F08D808}"/>
    <cellStyle name="Comma 2 2 3 3 3 16" xfId="52263" xr:uid="{BEB55BF5-534E-47CD-B8DC-1F2E42D1FFCE}"/>
    <cellStyle name="Comma 2 2 3 3 3 17" xfId="16645" xr:uid="{9520F11A-F008-4FBD-ABD5-7040073C99D0}"/>
    <cellStyle name="Comma 2 2 3 3 3 18" xfId="14035" xr:uid="{40A158A2-9098-4F74-8E96-E88EC3E805F4}"/>
    <cellStyle name="Comma 2 2 3 3 3 2" xfId="7600" xr:uid="{E4823D77-57CD-4195-88A1-4BC861FB7F95}"/>
    <cellStyle name="Comma 2 2 3 3 3 2 10" xfId="42607" xr:uid="{96CF9CC2-ECD5-41E5-BFF7-ECACFE2F3E62}"/>
    <cellStyle name="Comma 2 2 3 3 3 2 11" xfId="44774" xr:uid="{69943492-D994-4EB4-A8C9-528BC999C143}"/>
    <cellStyle name="Comma 2 2 3 3 3 2 12" xfId="47037" xr:uid="{F997AB8F-6B64-4CFC-B523-C52A347EE19E}"/>
    <cellStyle name="Comma 2 2 3 3 3 2 13" xfId="50038" xr:uid="{EFFFF8D3-4CB3-4A5A-9181-E97CABAEFAB8}"/>
    <cellStyle name="Comma 2 2 3 3 3 2 14" xfId="52264" xr:uid="{B5E0C8EC-3EEC-4641-90D5-1034EDC0AFD3}"/>
    <cellStyle name="Comma 2 2 3 3 3 2 15" xfId="16960" xr:uid="{C35E61BC-86B7-468E-919D-080ECC126030}"/>
    <cellStyle name="Comma 2 2 3 3 3 2 16" xfId="14527" xr:uid="{71AD497A-F982-44FD-B055-A7D23FC5BAEC}"/>
    <cellStyle name="Comma 2 2 3 3 3 2 2" xfId="10092" xr:uid="{9C4F7859-9270-41B0-A1D4-E8316144C533}"/>
    <cellStyle name="Comma 2 2 3 3 3 2 2 2" xfId="13398" xr:uid="{8DEFB913-EFD2-4C3C-B6A9-40003BC5319B}"/>
    <cellStyle name="Comma 2 2 3 3 3 2 2 2 2" xfId="39521" xr:uid="{10B46791-D8FC-4211-AE83-9B200CDE6D45}"/>
    <cellStyle name="Comma 2 2 3 3 3 2 2 3" xfId="41375" xr:uid="{5596A6BC-6455-40EF-849D-0D774315F55F}"/>
    <cellStyle name="Comma 2 2 3 3 3 2 2 4" xfId="43198" xr:uid="{6C5727A1-992D-4BC3-94A5-0BA35905A96C}"/>
    <cellStyle name="Comma 2 2 3 3 3 2 2 5" xfId="45295" xr:uid="{07F6F10D-A0CF-442F-B4DD-E6440DB7C850}"/>
    <cellStyle name="Comma 2 2 3 3 3 2 2 6" xfId="48603" xr:uid="{B3B9F8B3-1046-4D27-957C-5C7601360C17}"/>
    <cellStyle name="Comma 2 2 3 3 3 2 2 7" xfId="51366" xr:uid="{F970D889-78D8-4D6C-B9A9-3C1183D569EB}"/>
    <cellStyle name="Comma 2 2 3 3 3 2 2 8" xfId="52265" xr:uid="{E6BA28E2-DEC7-4CC2-A61F-AA3C523449DC}"/>
    <cellStyle name="Comma 2 2 3 3 3 2 2 9" xfId="20955" xr:uid="{D35C87C0-FFEA-4380-84B6-BAA16DEC33B7}"/>
    <cellStyle name="Comma 2 2 3 3 3 2 3" xfId="12113" xr:uid="{E05F1399-9CB9-4509-B98C-9C003FD0331E}"/>
    <cellStyle name="Comma 2 2 3 3 3 2 3 2" xfId="20174" xr:uid="{52D828C0-9D2A-493B-95D5-60F2A528A50F}"/>
    <cellStyle name="Comma 2 2 3 3 3 2 4" xfId="23629" xr:uid="{9EF39802-A489-4677-B765-DCBABD444DC7}"/>
    <cellStyle name="Comma 2 2 3 3 3 2 5" xfId="38126" xr:uid="{0434D96A-51C7-4310-BD13-4DB6F8BEEED7}"/>
    <cellStyle name="Comma 2 2 3 3 3 2 6" xfId="38930" xr:uid="{93829076-E81D-4900-83BA-4996A4DC46A3}"/>
    <cellStyle name="Comma 2 2 3 3 3 2 7" xfId="39949" xr:uid="{47F59547-896C-40FF-A525-F3710A5F62C5}"/>
    <cellStyle name="Comma 2 2 3 3 3 2 8" xfId="40591" xr:uid="{1FDB8C5B-9311-4D21-8542-CF3C61126FA4}"/>
    <cellStyle name="Comma 2 2 3 3 3 2 9" xfId="41803" xr:uid="{0C8E8DA5-C116-456F-AD52-E8381F4F8269}"/>
    <cellStyle name="Comma 2 2 3 3 3 3" xfId="9598" xr:uid="{A02B0A22-0E25-474B-9DDE-6F5FD6437197}"/>
    <cellStyle name="Comma 2 2 3 3 3 3 2" xfId="12904" xr:uid="{BA7E0BE8-C02D-4081-BB25-CAC5FA6AFC88}"/>
    <cellStyle name="Comma 2 2 3 3 3 3 2 2" xfId="48912" xr:uid="{4A51E9D5-B3D8-4731-A8BB-3547CF714BBF}"/>
    <cellStyle name="Comma 2 2 3 3 3 3 2 3" xfId="51624" xr:uid="{B3841B10-4AD5-4426-BC6A-AACC4929B7BA}"/>
    <cellStyle name="Comma 2 2 3 3 3 3 2 4" xfId="52266" xr:uid="{CC254E03-DA41-4412-B639-40D1682DD23D}"/>
    <cellStyle name="Comma 2 2 3 3 3 3 2 5" xfId="39365" xr:uid="{46D7464F-C106-43A4-9B76-8B07987712DF}"/>
    <cellStyle name="Comma 2 2 3 3 3 3 3" xfId="41223" xr:uid="{58C9317B-7EF5-46A6-8D8B-45270D4569CE}"/>
    <cellStyle name="Comma 2 2 3 3 3 3 4" xfId="43042" xr:uid="{7EB34882-6CFF-4336-900B-477048BF447D}"/>
    <cellStyle name="Comma 2 2 3 3 3 3 5" xfId="45143" xr:uid="{7A686255-C045-4795-ADD2-F72B7A7328C4}"/>
    <cellStyle name="Comma 2 2 3 3 3 3 6" xfId="47336" xr:uid="{9ECAF058-8C18-42FA-9417-96919D6897F5}"/>
    <cellStyle name="Comma 2 2 3 3 3 3 7" xfId="50296" xr:uid="{9288E11B-5460-4C8A-9739-401851E079C5}"/>
    <cellStyle name="Comma 2 2 3 3 3 3 8" xfId="52267" xr:uid="{6BECD0D1-701B-41DD-8C97-A390817741FE}"/>
    <cellStyle name="Comma 2 2 3 3 3 3 9" xfId="20739" xr:uid="{0C42CC24-48E6-4A3D-871E-A7B139E50F50}"/>
    <cellStyle name="Comma 2 2 3 3 3 4" xfId="7094" xr:uid="{F60C23C0-8DE2-46CB-A5F0-AF01889A06F7}"/>
    <cellStyle name="Comma 2 2 3 3 3 4 2" xfId="48057" xr:uid="{ACFC5905-A7C3-4E64-87A5-9735FCB34C7A}"/>
    <cellStyle name="Comma 2 2 3 3 3 4 3" xfId="50906" xr:uid="{D05A5803-28E0-4FA4-9C1E-AA2FA834D7A6}"/>
    <cellStyle name="Comma 2 2 3 3 3 4 4" xfId="52268" xr:uid="{9584D18F-1EA2-44E4-B2F3-D90AAA2C7A66}"/>
    <cellStyle name="Comma 2 2 3 3 3 4 5" xfId="20018" xr:uid="{E6D236BA-B560-4608-9A8F-7D7D7C8678BA}"/>
    <cellStyle name="Comma 2 2 3 3 3 5" xfId="11619" xr:uid="{DA672FF4-6665-490E-88FF-B7525B42825F}"/>
    <cellStyle name="Comma 2 2 3 3 3 5 2" xfId="23628" xr:uid="{B444787E-03F4-41AC-9DA5-6FCD005B3ED0}"/>
    <cellStyle name="Comma 2 2 3 3 3 6" xfId="38125" xr:uid="{918F3376-FB0F-4B31-9A87-01C50FD5B0C7}"/>
    <cellStyle name="Comma 2 2 3 3 3 7" xfId="38774" xr:uid="{C35834ED-0D91-4639-B08F-D332DD5351BB}"/>
    <cellStyle name="Comma 2 2 3 3 3 8" xfId="39948" xr:uid="{BA7BD881-BCC9-44FA-94BD-3CA3FC7FCE13}"/>
    <cellStyle name="Comma 2 2 3 3 3 9" xfId="40590" xr:uid="{1A15262E-1388-4C68-BD08-D644099D5713}"/>
    <cellStyle name="Comma 2 2 3 3 4" xfId="6488" xr:uid="{52F9155C-0B8A-4A17-BB61-65D89B0717E8}"/>
    <cellStyle name="Comma 2 2 3 3 4 10" xfId="41804" xr:uid="{88C836A7-D372-4CE7-BAF8-EEB733E0336F}"/>
    <cellStyle name="Comma 2 2 3 3 4 11" xfId="42390" xr:uid="{565CFE38-AAE0-4AF8-AE71-5006CC9ECC58}"/>
    <cellStyle name="Comma 2 2 3 3 4 12" xfId="44620" xr:uid="{078FDF24-3FC6-41D1-8D1B-48FBC7991883}"/>
    <cellStyle name="Comma 2 2 3 3 4 13" xfId="46127" xr:uid="{9FFDAFB0-A3F1-4097-966E-C7D0354260A8}"/>
    <cellStyle name="Comma 2 2 3 3 4 14" xfId="49463" xr:uid="{00E15992-75BC-418A-A500-65592B0F32DB}"/>
    <cellStyle name="Comma 2 2 3 3 4 15" xfId="52269" xr:uid="{D4A5E674-EFEE-48E7-A4F6-85B507468D3A}"/>
    <cellStyle name="Comma 2 2 3 3 4 16" xfId="16365" xr:uid="{6B3D7535-3965-4864-9A4B-C4E7EBA97526}"/>
    <cellStyle name="Comma 2 2 3 3 4 17" xfId="14389" xr:uid="{009DB09B-B24A-4B0B-B736-A76EAA72E576}"/>
    <cellStyle name="Comma 2 2 3 3 4 2" xfId="9460" xr:uid="{E7127195-E504-49A1-80FF-6D47BFCFE879}"/>
    <cellStyle name="Comma 2 2 3 3 4 2 10" xfId="42608" xr:uid="{A15F47BB-2575-408E-AC2F-D627F180FC83}"/>
    <cellStyle name="Comma 2 2 3 3 4 2 11" xfId="44775" xr:uid="{6605E597-A32B-468C-B307-7BD58D664E3D}"/>
    <cellStyle name="Comma 2 2 3 3 4 2 12" xfId="47922" xr:uid="{515BA98F-76E5-44A1-A969-4C74075871B5}"/>
    <cellStyle name="Comma 2 2 3 3 4 2 13" xfId="50791" xr:uid="{F244CEB1-A562-42B8-9593-108DC715B7BE}"/>
    <cellStyle name="Comma 2 2 3 3 4 2 14" xfId="52270" xr:uid="{F5675AC7-E503-4E41-A0CF-A12065CA3218}"/>
    <cellStyle name="Comma 2 2 3 3 4 2 15" xfId="16961" xr:uid="{9366A2DA-32A6-41EA-86A5-DE7E0CFD3E96}"/>
    <cellStyle name="Comma 2 2 3 3 4 2 2" xfId="12766" xr:uid="{24771CA4-528D-4A3A-9D52-FF236B60D1D7}"/>
    <cellStyle name="Comma 2 2 3 3 4 2 2 2" xfId="39522" xr:uid="{73DA0FF4-907B-489D-B4A4-20CA7F96BAD4}"/>
    <cellStyle name="Comma 2 2 3 3 4 2 2 3" xfId="41376" xr:uid="{07A211CA-47AF-47FA-9001-93668B6E95BD}"/>
    <cellStyle name="Comma 2 2 3 3 4 2 2 4" xfId="43199" xr:uid="{175A9F9F-899E-461B-A882-A78F59BF195B}"/>
    <cellStyle name="Comma 2 2 3 3 4 2 2 5" xfId="45296" xr:uid="{5E1C24F3-20F6-4199-8F46-4D49024EB21A}"/>
    <cellStyle name="Comma 2 2 3 3 4 2 2 6" xfId="20956" xr:uid="{CF39323E-AEEA-49CB-9928-0796849733B8}"/>
    <cellStyle name="Comma 2 2 3 3 4 2 3" xfId="20175" xr:uid="{271CA300-052E-41C8-828A-45DF4CF0FD8C}"/>
    <cellStyle name="Comma 2 2 3 3 4 2 4" xfId="23631" xr:uid="{414035CA-6C3C-43EF-9635-A694ADD4C2DD}"/>
    <cellStyle name="Comma 2 2 3 3 4 2 5" xfId="38128" xr:uid="{B9B61F1F-E94E-46A9-BA05-548B0EADBD91}"/>
    <cellStyle name="Comma 2 2 3 3 4 2 6" xfId="38931" xr:uid="{28795501-5D20-45E0-93BD-3C9F06FE0252}"/>
    <cellStyle name="Comma 2 2 3 3 4 2 7" xfId="39951" xr:uid="{1A711D1D-B71B-4B38-A99B-2C2A53D0AA91}"/>
    <cellStyle name="Comma 2 2 3 3 4 2 8" xfId="40593" xr:uid="{47272934-D5F6-4A17-9D77-165A049D9BA9}"/>
    <cellStyle name="Comma 2 2 3 3 4 2 9" xfId="41805" xr:uid="{3315425E-6FF7-476D-8588-23751EB65538}"/>
    <cellStyle name="Comma 2 2 3 3 4 3" xfId="11481" xr:uid="{A4C2E2B2-F5DA-46A8-A255-1BB9068FD489}"/>
    <cellStyle name="Comma 2 2 3 3 4 3 2" xfId="39304" xr:uid="{AF1CC8A6-A50B-406B-95FA-573535B9B4D1}"/>
    <cellStyle name="Comma 2 2 3 3 4 3 3" xfId="41166" xr:uid="{A6990D48-CEF0-48E6-A335-436575E2EA29}"/>
    <cellStyle name="Comma 2 2 3 3 4 3 4" xfId="42981" xr:uid="{E4BCA72E-B435-4F4A-8F57-E4737608F224}"/>
    <cellStyle name="Comma 2 2 3 3 4 3 5" xfId="45086" xr:uid="{F41169BF-55B7-4C9B-9AB4-B655191F5E98}"/>
    <cellStyle name="Comma 2 2 3 3 4 3 6" xfId="20610" xr:uid="{B605865C-09AB-4B29-A3BB-552866D1667B}"/>
    <cellStyle name="Comma 2 2 3 3 4 4" xfId="19957" xr:uid="{BB63BD7A-00A6-44AC-8714-2F10DA38BC2A}"/>
    <cellStyle name="Comma 2 2 3 3 4 5" xfId="23630" xr:uid="{DE68721B-3AD0-42A9-94F2-5201B45CC5F3}"/>
    <cellStyle name="Comma 2 2 3 3 4 6" xfId="38127" xr:uid="{CACAD9E5-6381-454F-8031-311BF11A56B2}"/>
    <cellStyle name="Comma 2 2 3 3 4 7" xfId="38713" xr:uid="{746A6477-C31B-44E8-8597-11617DE9A861}"/>
    <cellStyle name="Comma 2 2 3 3 4 8" xfId="39950" xr:uid="{B58E64F4-E290-45E1-A685-C8AC34F008DF}"/>
    <cellStyle name="Comma 2 2 3 3 4 9" xfId="40592" xr:uid="{4659ADE1-D2A7-47C3-B9A9-36B09A8AC62E}"/>
    <cellStyle name="Comma 2 2 3 3 5" xfId="7462" xr:uid="{E569EF99-1656-415C-8EA1-9B8033FEB81F}"/>
    <cellStyle name="Comma 2 2 3 3 5 10" xfId="42604" xr:uid="{5A9F4EA7-3B2A-4877-B6CE-2CA5DDD24B1F}"/>
    <cellStyle name="Comma 2 2 3 3 5 11" xfId="44771" xr:uid="{AAF87A89-3D5C-43CF-82CB-DF10A3136AFF}"/>
    <cellStyle name="Comma 2 2 3 3 5 12" xfId="46808" xr:uid="{68385FE9-CDE7-47D0-9B06-82ADC08FDE36}"/>
    <cellStyle name="Comma 2 2 3 3 5 13" xfId="49832" xr:uid="{F8E5B246-31BB-406C-B90F-BC15832CD210}"/>
    <cellStyle name="Comma 2 2 3 3 5 14" xfId="52271" xr:uid="{5CFE9AE6-9FD9-4D8F-AED7-9803E7342C67}"/>
    <cellStyle name="Comma 2 2 3 3 5 15" xfId="16957" xr:uid="{9678AA18-DFB2-47E9-8C74-E4E47F6B80CB}"/>
    <cellStyle name="Comma 2 2 3 3 5 16" xfId="14842" xr:uid="{AB28DBB8-DB79-46E4-A259-9E8C9AA7F942}"/>
    <cellStyle name="Comma 2 2 3 3 5 2" xfId="9954" xr:uid="{3BA1C228-DBC2-4F87-93FD-72D672A50139}"/>
    <cellStyle name="Comma 2 2 3 3 5 2 2" xfId="13260" xr:uid="{E97D6E13-3AE0-47D5-904A-0BAF6B47F587}"/>
    <cellStyle name="Comma 2 2 3 3 5 2 2 2" xfId="39518" xr:uid="{3A199874-2687-4828-8445-4F5FCBFC337F}"/>
    <cellStyle name="Comma 2 2 3 3 5 2 3" xfId="41372" xr:uid="{C84CD9E3-B915-45FF-BBB3-766CBBD469E1}"/>
    <cellStyle name="Comma 2 2 3 3 5 2 4" xfId="43195" xr:uid="{F42D0202-DE55-4EDC-AE45-6C5F36ED9812}"/>
    <cellStyle name="Comma 2 2 3 3 5 2 5" xfId="45292" xr:uid="{052EFB91-DBC4-4604-A8BE-376E9F73AB2E}"/>
    <cellStyle name="Comma 2 2 3 3 5 2 6" xfId="48359" xr:uid="{6EB2E9E5-AE07-4007-AB28-D0AB7E531607}"/>
    <cellStyle name="Comma 2 2 3 3 5 2 7" xfId="51160" xr:uid="{112654BF-BAE6-421E-A18D-7B1568A05E54}"/>
    <cellStyle name="Comma 2 2 3 3 5 2 8" xfId="52272" xr:uid="{C9239181-156B-415A-A356-E86E7B4121E1}"/>
    <cellStyle name="Comma 2 2 3 3 5 2 9" xfId="20952" xr:uid="{9B64B093-521D-4F10-AFBA-D2439190E03E}"/>
    <cellStyle name="Comma 2 2 3 3 5 3" xfId="11975" xr:uid="{B9CCBADD-C969-4961-81C9-8179B0102E3E}"/>
    <cellStyle name="Comma 2 2 3 3 5 3 2" xfId="20171" xr:uid="{FA7A8D50-9A17-4150-8AE8-07914D822F66}"/>
    <cellStyle name="Comma 2 2 3 3 5 4" xfId="23632" xr:uid="{01B540A8-CEAA-4A70-99EE-4086AA4E997A}"/>
    <cellStyle name="Comma 2 2 3 3 5 5" xfId="38129" xr:uid="{DA58C452-C520-4BD4-BDA3-B8DFC72BD945}"/>
    <cellStyle name="Comma 2 2 3 3 5 6" xfId="38927" xr:uid="{BA247E3B-66CB-4E43-B17F-9A36EFEC41D8}"/>
    <cellStyle name="Comma 2 2 3 3 5 7" xfId="39952" xr:uid="{1BA1A665-5506-4855-9617-0099173CE9B5}"/>
    <cellStyle name="Comma 2 2 3 3 5 8" xfId="40594" xr:uid="{D8832A72-3FBC-4082-9E6D-766254782CB0}"/>
    <cellStyle name="Comma 2 2 3 3 5 9" xfId="41806" xr:uid="{27CFD6DD-75D6-415D-9D61-B3E9C4CDD9E8}"/>
    <cellStyle name="Comma 2 2 3 3 6" xfId="8128" xr:uid="{2491D5F3-5B82-4181-840C-5AF50A4AA787}"/>
    <cellStyle name="Comma 2 2 3 3 6 10" xfId="42814" xr:uid="{ADEB59B5-1989-48E9-BC2A-5977E89A9DD6}"/>
    <cellStyle name="Comma 2 2 3 3 6 11" xfId="44941" xr:uid="{950B3490-5989-4FDA-B466-6B32BBCFF3C3}"/>
    <cellStyle name="Comma 2 2 3 3 6 12" xfId="47203" xr:uid="{F8CE450F-61D9-4D99-A5A0-4F3C3E03D494}"/>
    <cellStyle name="Comma 2 2 3 3 6 13" xfId="50181" xr:uid="{4A73C26A-7671-4739-A6FF-289F8B0CAC67}"/>
    <cellStyle name="Comma 2 2 3 3 6 14" xfId="52273" xr:uid="{09E2FB1D-9C5F-412D-BD34-C077367E465F}"/>
    <cellStyle name="Comma 2 2 3 3 6 15" xfId="19720" xr:uid="{98CDA036-43B7-4E44-B13A-B83A8E153080}"/>
    <cellStyle name="Comma 2 2 3 3 6 2" xfId="12584" xr:uid="{28480FA8-2E24-45F8-B925-E061F0D8F6F4}"/>
    <cellStyle name="Comma 2 2 3 3 6 2 2" xfId="39728" xr:uid="{434E5792-30C2-45B2-9EC6-23A536E4A476}"/>
    <cellStyle name="Comma 2 2 3 3 6 2 3" xfId="41581" xr:uid="{59B52A0A-C87B-4488-A03A-6505FA4F0EE0}"/>
    <cellStyle name="Comma 2 2 3 3 6 2 4" xfId="43405" xr:uid="{1D73941C-78E9-4132-A4C2-21727EAD3027}"/>
    <cellStyle name="Comma 2 2 3 3 6 2 5" xfId="45484" xr:uid="{AB9F535C-33A0-4389-AB52-8E29ACA908A9}"/>
    <cellStyle name="Comma 2 2 3 3 6 2 6" xfId="48774" xr:uid="{6AC66161-D675-4616-BB0D-AEAF7ACFAC85}"/>
    <cellStyle name="Comma 2 2 3 3 6 2 7" xfId="51509" xr:uid="{8AF7E9EF-A798-4677-A513-4C43A7F4CDBE}"/>
    <cellStyle name="Comma 2 2 3 3 6 2 8" xfId="52274" xr:uid="{E40C332C-8047-4F1D-9649-20D630BE3D31}"/>
    <cellStyle name="Comma 2 2 3 3 6 2 9" xfId="23337" xr:uid="{0EFF5696-25EA-4219-A3EA-3D46E635B7C3}"/>
    <cellStyle name="Comma 2 2 3 3 6 3" xfId="20381" xr:uid="{C82FF37E-09D4-4574-9A37-184D95B72D92}"/>
    <cellStyle name="Comma 2 2 3 3 6 4" xfId="23633" xr:uid="{5DC1E7CE-CB43-4F41-91F2-554188E20706}"/>
    <cellStyle name="Comma 2 2 3 3 6 5" xfId="38130" xr:uid="{4F67DBAE-A82B-43D2-8683-C12D01303C54}"/>
    <cellStyle name="Comma 2 2 3 3 6 6" xfId="39137" xr:uid="{7E38C451-B0C6-4EE3-B60F-693A060BB379}"/>
    <cellStyle name="Comma 2 2 3 3 6 7" xfId="39953" xr:uid="{0B063E0F-5A9F-4BDC-A2D9-7F11E5E0B0B7}"/>
    <cellStyle name="Comma 2 2 3 3 6 8" xfId="40595" xr:uid="{5E012956-EA92-412F-996B-6F71CAC46A47}"/>
    <cellStyle name="Comma 2 2 3 3 6 9" xfId="41807" xr:uid="{05AF8A6D-5A94-42A1-895D-DEB0ADF7CFB3}"/>
    <cellStyle name="Comma 2 2 3 3 7" xfId="7915" xr:uid="{D0CB9E71-3A85-47DE-A638-AE02BC20BC23}"/>
    <cellStyle name="Comma 2 2 3 3 7 2" xfId="12428" xr:uid="{84DBF499-7AF2-40CC-901F-615742C97F94}"/>
    <cellStyle name="Comma 2 2 3 3 7 2 2" xfId="39214" xr:uid="{54EDCDBA-E18C-4F0B-95DF-49385C9C11FD}"/>
    <cellStyle name="Comma 2 2 3 3 7 3" xfId="41087" xr:uid="{F788E6F3-3509-4E7B-BA4A-F851143D5BD8}"/>
    <cellStyle name="Comma 2 2 3 3 7 4" xfId="42891" xr:uid="{48B3DC01-51E1-4F6A-A71F-998E16AF94DE}"/>
    <cellStyle name="Comma 2 2 3 3 7 5" xfId="44998" xr:uid="{BDB97CE6-81DE-4E42-9BEE-5AB43F7FC166}"/>
    <cellStyle name="Comma 2 2 3 3 7 6" xfId="47666" xr:uid="{C4F350A2-A8BD-4A85-92B6-F72F5A0705E3}"/>
    <cellStyle name="Comma 2 2 3 3 7 7" xfId="50574" xr:uid="{220B9906-6BC8-48C5-B549-6FB4CFC3A832}"/>
    <cellStyle name="Comma 2 2 3 3 7 8" xfId="52275" xr:uid="{DA1638F9-91B8-4984-8BD5-30BB54F497D4}"/>
    <cellStyle name="Comma 2 2 3 3 7 9" xfId="20459" xr:uid="{100EC0CB-DFF9-4C8E-A653-7B64B767E40F}"/>
    <cellStyle name="Comma 2 2 3 3 8" xfId="5812" xr:uid="{679A80BF-855C-4797-B9D0-53319902FE8A}"/>
    <cellStyle name="Comma 2 2 3 3 8 2" xfId="19865" xr:uid="{ED26ECCE-86EF-44E6-9658-F209966DBB49}"/>
    <cellStyle name="Comma 2 2 3 3 9" xfId="11300" xr:uid="{F4771901-92C7-4DDD-99B8-CDE1DF610CB5}"/>
    <cellStyle name="Comma 2 2 3 3 9 2" xfId="23623" xr:uid="{26893EEC-8C68-4393-A564-59EA97C870EB}"/>
    <cellStyle name="Comma 2 2 3 4" xfId="1742" xr:uid="{5BEED003-B562-44B6-BFD0-812C4A3C5E67}"/>
    <cellStyle name="Comma 2 2 3 4 10" xfId="39954" xr:uid="{AEEED97B-8E15-4975-93CC-3939F1B4DE5E}"/>
    <cellStyle name="Comma 2 2 3 4 11" xfId="40596" xr:uid="{396CCD18-F942-43DF-8505-21DFF12B0587}"/>
    <cellStyle name="Comma 2 2 3 4 12" xfId="41808" xr:uid="{F456FEAC-2BCF-45DD-ACC7-B6F6D969223F}"/>
    <cellStyle name="Comma 2 2 3 4 13" xfId="42336" xr:uid="{CCD137CB-5FCF-4E94-9737-3B490F4FDDA1}"/>
    <cellStyle name="Comma 2 2 3 4 14" xfId="43515" xr:uid="{BA449F32-1F4F-4A74-8878-9FF7BD2ACA83}"/>
    <cellStyle name="Comma 2 2 3 4 15" xfId="44378" xr:uid="{DA0E0A39-924C-4635-BC21-15870856B575}"/>
    <cellStyle name="Comma 2 2 3 4 16" xfId="45618" xr:uid="{F022DD52-913B-4F08-97FF-5DBC12C3318C}"/>
    <cellStyle name="Comma 2 2 3 4 17" xfId="49247" xr:uid="{DDD6E9DE-5AA0-4824-AA55-0C2EBB16B9EC}"/>
    <cellStyle name="Comma 2 2 3 4 18" xfId="52276" xr:uid="{9D5A79B0-05AA-4CF8-99A5-D9AB70AC876A}"/>
    <cellStyle name="Comma 2 2 3 4 19" xfId="15302" xr:uid="{558BCDBB-E21C-40D0-82DA-6F5B25877DEE}"/>
    <cellStyle name="Comma 2 2 3 4 2" xfId="4418" xr:uid="{29168D83-41B0-411A-8FFE-5CCC2FCB068F}"/>
    <cellStyle name="Comma 2 2 3 4 2 10" xfId="41809" xr:uid="{9F22112B-4D61-46CF-A421-C89FDB0DFA3A}"/>
    <cellStyle name="Comma 2 2 3 4 2 11" xfId="42488" xr:uid="{A64CFF3B-7CC5-4461-871C-549AE1511B54}"/>
    <cellStyle name="Comma 2 2 3 4 2 12" xfId="44219" xr:uid="{651D0FF8-184F-4F0E-AC9C-37A4B26B1788}"/>
    <cellStyle name="Comma 2 2 3 4 2 13" xfId="44519" xr:uid="{460E32F4-985A-4834-8026-F54C6F35510D}"/>
    <cellStyle name="Comma 2 2 3 4 2 14" xfId="45692" xr:uid="{B4A7FB8D-8372-49DE-9C67-606D682B31E2}"/>
    <cellStyle name="Comma 2 2 3 4 2 15" xfId="49320" xr:uid="{619EFAC4-AF47-42D8-A1A0-3E5F0188D622}"/>
    <cellStyle name="Comma 2 2 3 4 2 16" xfId="52277" xr:uid="{9408703B-91FC-44F2-AE4C-B9EC5C0CD828}"/>
    <cellStyle name="Comma 2 2 3 4 2 17" xfId="16751" xr:uid="{E35F7052-E3CF-4E18-92F9-2E1710105EAE}"/>
    <cellStyle name="Comma 2 2 3 4 2 18" xfId="14212" xr:uid="{25AF53B6-868C-428C-8A55-556C79738A5D}"/>
    <cellStyle name="Comma 2 2 3 4 2 2" xfId="5675" xr:uid="{3B36A93A-EDC1-4262-9AEA-6BC593B209E2}"/>
    <cellStyle name="Comma 2 2 3 4 2 2 10" xfId="42610" xr:uid="{F7D1C0A6-9984-4A81-8983-180566B84F16}"/>
    <cellStyle name="Comma 2 2 3 4 2 2 11" xfId="44777" xr:uid="{D5EE4526-1886-4A20-AFDA-702E80BD6183}"/>
    <cellStyle name="Comma 2 2 3 4 2 2 12" xfId="46687" xr:uid="{988822BA-0424-4E12-8E32-0E70E8DDE631}"/>
    <cellStyle name="Comma 2 2 3 4 2 2 13" xfId="49719" xr:uid="{AA8BFCA7-C65E-413B-A479-9858EFC3FC70}"/>
    <cellStyle name="Comma 2 2 3 4 2 2 14" xfId="52278" xr:uid="{35E352F1-6FA4-4336-916F-ABBBAC9A789A}"/>
    <cellStyle name="Comma 2 2 3 4 2 2 15" xfId="16963" xr:uid="{4D7E8645-4932-41BD-A3B0-D911548A42A0}"/>
    <cellStyle name="Comma 2 2 3 4 2 2 16" xfId="14704" xr:uid="{F893E17D-5A9B-43E0-9C13-E4A337A1F7F6}"/>
    <cellStyle name="Comma 2 2 3 4 2 2 2" xfId="10269" xr:uid="{5C9CB282-671A-4755-9AE8-0B3B085F5495}"/>
    <cellStyle name="Comma 2 2 3 4 2 2 2 2" xfId="13575" xr:uid="{CF8B9E18-9D69-4428-86CE-41CE22F46507}"/>
    <cellStyle name="Comma 2 2 3 4 2 2 2 2 2" xfId="39524" xr:uid="{842E3B2B-842D-437C-ABE1-BA3FA2382E67}"/>
    <cellStyle name="Comma 2 2 3 4 2 2 2 3" xfId="41378" xr:uid="{6E328DD0-BBB7-42D4-AA70-A4A9F8C1C006}"/>
    <cellStyle name="Comma 2 2 3 4 2 2 2 4" xfId="43201" xr:uid="{55BF6CC8-C989-4C5C-A94C-579DA72602EF}"/>
    <cellStyle name="Comma 2 2 3 4 2 2 2 5" xfId="45298" xr:uid="{64CB421E-0A1D-4DD9-A847-050A0D9C5836}"/>
    <cellStyle name="Comma 2 2 3 4 2 2 2 6" xfId="48229" xr:uid="{AACC8731-42B2-4B69-ADA6-DDD6CE6300CE}"/>
    <cellStyle name="Comma 2 2 3 4 2 2 2 7" xfId="51047" xr:uid="{F10FB854-E193-48DA-B62C-313AD1D6AB90}"/>
    <cellStyle name="Comma 2 2 3 4 2 2 2 8" xfId="52279" xr:uid="{B3392F37-F114-4F88-AF78-79FB3AB42D22}"/>
    <cellStyle name="Comma 2 2 3 4 2 2 2 9" xfId="20958" xr:uid="{FBB01084-6938-4DF2-9CD7-A5BEEEB97788}"/>
    <cellStyle name="Comma 2 2 3 4 2 2 3" xfId="7777" xr:uid="{FCC66E50-0404-41A7-8E5C-9EEE538DADDE}"/>
    <cellStyle name="Comma 2 2 3 4 2 2 3 2" xfId="20177" xr:uid="{A5C67D28-B2F1-4041-98D9-0B8C9200882E}"/>
    <cellStyle name="Comma 2 2 3 4 2 2 4" xfId="12290" xr:uid="{FC83B704-D44C-4888-8BA9-08BDDEDAA898}"/>
    <cellStyle name="Comma 2 2 3 4 2 2 4 2" xfId="23636" xr:uid="{4E623EFB-AEB9-45F1-9B99-699FD97251B3}"/>
    <cellStyle name="Comma 2 2 3 4 2 2 5" xfId="38133" xr:uid="{4C46E814-C0DF-492A-B1DA-04DE2767D5FB}"/>
    <cellStyle name="Comma 2 2 3 4 2 2 6" xfId="38933" xr:uid="{5AB38148-0919-4FFC-AB85-5CD98369C7E8}"/>
    <cellStyle name="Comma 2 2 3 4 2 2 7" xfId="39956" xr:uid="{A73CBF6E-246B-4C48-A794-F83910648064}"/>
    <cellStyle name="Comma 2 2 3 4 2 2 8" xfId="40598" xr:uid="{8D5A1BC2-325B-43E7-AE97-F8BEB8220355}"/>
    <cellStyle name="Comma 2 2 3 4 2 2 9" xfId="41810" xr:uid="{82778596-9073-4A04-BD3B-0B843E75BCA3}"/>
    <cellStyle name="Comma 2 2 3 4 2 3" xfId="11122" xr:uid="{D8AB8D0D-DBA3-41E4-98B0-CB66FDC45628}"/>
    <cellStyle name="Comma 2 2 3 4 2 3 10" xfId="15019" xr:uid="{6BCC5BB4-BD8F-46B7-8FA1-C4D634304807}"/>
    <cellStyle name="Comma 2 2 3 4 2 3 2" xfId="13719" xr:uid="{8DB0E82A-6A7A-4E59-BAFA-23CA70637D41}"/>
    <cellStyle name="Comma 2 2 3 4 2 3 2 2" xfId="48468" xr:uid="{14285740-E35E-43F0-BC78-CECC114B3A3A}"/>
    <cellStyle name="Comma 2 2 3 4 2 3 2 3" xfId="51254" xr:uid="{269800B3-7421-4216-8406-2CFD2BCC65DE}"/>
    <cellStyle name="Comma 2 2 3 4 2 3 2 4" xfId="52280" xr:uid="{780CD529-A0BB-4752-B074-F153D3DEA8A7}"/>
    <cellStyle name="Comma 2 2 3 4 2 3 2 5" xfId="39402" xr:uid="{4D79B209-DD0D-4633-9F06-904793C8D3C3}"/>
    <cellStyle name="Comma 2 2 3 4 2 3 3" xfId="41258" xr:uid="{234926B8-28F3-42A7-8920-E5D5262FE2E3}"/>
    <cellStyle name="Comma 2 2 3 4 2 3 4" xfId="43079" xr:uid="{2769347C-C100-4D73-A539-43C5156DC8CF}"/>
    <cellStyle name="Comma 2 2 3 4 2 3 5" xfId="45178" xr:uid="{F4D8BC69-6EF6-4EE8-9DC0-4D5A4CBC5247}"/>
    <cellStyle name="Comma 2 2 3 4 2 3 6" xfId="46907" xr:uid="{CB628FB9-AF49-4404-BEED-F4E5A5C739EB}"/>
    <cellStyle name="Comma 2 2 3 4 2 3 7" xfId="49926" xr:uid="{00205C1D-9E66-4D1A-8F76-760720774D64}"/>
    <cellStyle name="Comma 2 2 3 4 2 3 8" xfId="52281" xr:uid="{53A1B2A0-EB89-45C2-8024-858354CED89E}"/>
    <cellStyle name="Comma 2 2 3 4 2 3 9" xfId="20777" xr:uid="{CAF7895B-028B-4713-A30E-21EA7DF081F6}"/>
    <cellStyle name="Comma 2 2 3 4 2 4" xfId="9775" xr:uid="{4D05D1C7-6CBC-4189-ADCD-8EA5A6CA00A2}"/>
    <cellStyle name="Comma 2 2 3 4 2 4 2" xfId="13081" xr:uid="{7713709A-F944-490E-88F3-D6305C65D7D3}"/>
    <cellStyle name="Comma 2 2 3 4 2 4 2 2" xfId="51765" xr:uid="{58804361-EA0F-4316-93E3-768C4FF6FB66}"/>
    <cellStyle name="Comma 2 2 3 4 2 4 2 3" xfId="52282" xr:uid="{07B63F08-9067-4E20-9D11-C61362EE471D}"/>
    <cellStyle name="Comma 2 2 3 4 2 4 2 4" xfId="49085" xr:uid="{A172BFB5-18AC-4AB8-930B-7A18E8577814}"/>
    <cellStyle name="Comma 2 2 3 4 2 4 3" xfId="47502" xr:uid="{E80AA839-02BC-46D5-B6B3-498B2E97F834}"/>
    <cellStyle name="Comma 2 2 3 4 2 4 4" xfId="50437" xr:uid="{544BDE20-0A37-42B5-95EB-1772F0E82C54}"/>
    <cellStyle name="Comma 2 2 3 4 2 4 5" xfId="52283" xr:uid="{CEE6C948-73B9-4905-8966-F142EFC1E9C7}"/>
    <cellStyle name="Comma 2 2 3 4 2 4 6" xfId="20055" xr:uid="{6E9093BE-26DB-40B8-87F7-A3474FAEC753}"/>
    <cellStyle name="Comma 2 2 3 4 2 5" xfId="7273" xr:uid="{2A0F7BB7-2310-4F42-BA30-1A5CD0737833}"/>
    <cellStyle name="Comma 2 2 3 4 2 5 2" xfId="47749" xr:uid="{28C4CEC8-36B1-43FA-B65C-F2C6F34C61BC}"/>
    <cellStyle name="Comma 2 2 3 4 2 5 3" xfId="50648" xr:uid="{DEB6FD2E-C324-4EC5-804B-5643004A1FC3}"/>
    <cellStyle name="Comma 2 2 3 4 2 5 4" xfId="52284" xr:uid="{7B9B22D9-0659-4581-99A9-4A9C3755E338}"/>
    <cellStyle name="Comma 2 2 3 4 2 5 5" xfId="23635" xr:uid="{4970364E-160E-4B01-93FD-40F9F36EC66F}"/>
    <cellStyle name="Comma 2 2 3 4 2 6" xfId="11796" xr:uid="{B0770F03-CFD3-424B-8A27-DB2DBBF950E8}"/>
    <cellStyle name="Comma 2 2 3 4 2 6 2" xfId="38132" xr:uid="{71A5D67E-3DC7-4D49-A2BD-1655BE38F7F6}"/>
    <cellStyle name="Comma 2 2 3 4 2 7" xfId="38811" xr:uid="{341EC985-95AF-4A97-AF32-7DE12A1E55AC}"/>
    <cellStyle name="Comma 2 2 3 4 2 8" xfId="39955" xr:uid="{E7EDB08E-65BB-4586-A1A7-D54D00126B41}"/>
    <cellStyle name="Comma 2 2 3 4 2 9" xfId="40597" xr:uid="{98B26E5C-EEAA-400D-9070-23AFCB86A8FD}"/>
    <cellStyle name="Comma 2 2 3 4 20" xfId="13898" xr:uid="{D0786F96-92D1-4685-93CD-6E728E4F4DE6}"/>
    <cellStyle name="Comma 2 2 3 4 3" xfId="5499" xr:uid="{124B9D20-436B-4C1B-A547-28F7B6C70A26}"/>
    <cellStyle name="Comma 2 2 3 4 3 10" xfId="42609" xr:uid="{2EBBD8F6-C055-4391-AA91-D44A2E5A0D6B}"/>
    <cellStyle name="Comma 2 2 3 4 3 11" xfId="43788" xr:uid="{62BD6094-D9AE-4E20-8BA2-07BEA99F226D}"/>
    <cellStyle name="Comma 2 2 3 4 3 12" xfId="44776" xr:uid="{4B8216BD-6142-4A1B-8D36-4B42A81B5BC7}"/>
    <cellStyle name="Comma 2 2 3 4 3 13" xfId="46546" xr:uid="{32CAC7A4-98E1-4F89-9FC2-CF2A10418B21}"/>
    <cellStyle name="Comma 2 2 3 4 3 14" xfId="49579" xr:uid="{D93BF828-C610-47F1-8EB6-27F08DE7481E}"/>
    <cellStyle name="Comma 2 2 3 4 3 15" xfId="52285" xr:uid="{CEC0A595-BB47-403B-92AB-28AE714CF015}"/>
    <cellStyle name="Comma 2 2 3 4 3 16" xfId="16962" xr:uid="{395590E4-B4B3-48FC-8DAD-976426E65B4E}"/>
    <cellStyle name="Comma 2 2 3 4 3 17" xfId="14036" xr:uid="{C2B89132-BA82-4E05-9808-7A01BE63CDB0}"/>
    <cellStyle name="Comma 2 2 3 4 3 2" xfId="7601" xr:uid="{93738B15-112A-4FB4-9957-07D78E06D3BB}"/>
    <cellStyle name="Comma 2 2 3 4 3 2 10" xfId="14528" xr:uid="{E0C740EA-ECF9-4ACC-A613-B2B03FB36855}"/>
    <cellStyle name="Comma 2 2 3 4 3 2 2" xfId="10093" xr:uid="{6697EE3F-B0E7-4BF6-A90B-E678417853A4}"/>
    <cellStyle name="Comma 2 2 3 4 3 2 2 2" xfId="13399" xr:uid="{1AB6FA7F-A20E-4F83-B566-6DE6B15ED98D}"/>
    <cellStyle name="Comma 2 2 3 4 3 2 2 2 2" xfId="48604" xr:uid="{40552963-944C-4CCB-B312-00733F82D5BE}"/>
    <cellStyle name="Comma 2 2 3 4 3 2 2 3" xfId="51367" xr:uid="{5FB17C37-5064-42C8-AC35-CE9D71A31D5F}"/>
    <cellStyle name="Comma 2 2 3 4 3 2 2 4" xfId="52286" xr:uid="{F11DD00D-7383-4392-9FCD-E2738F43F2B3}"/>
    <cellStyle name="Comma 2 2 3 4 3 2 2 5" xfId="39523" xr:uid="{228D94E7-6063-40ED-A04C-BB07962F2F1A}"/>
    <cellStyle name="Comma 2 2 3 4 3 2 3" xfId="12114" xr:uid="{5F659591-64E1-4C1E-AC95-B842EC7DCA0C}"/>
    <cellStyle name="Comma 2 2 3 4 3 2 3 2" xfId="41377" xr:uid="{2B4CE22A-8B2C-499C-8521-B57C7F6D54F8}"/>
    <cellStyle name="Comma 2 2 3 4 3 2 4" xfId="43200" xr:uid="{27A8D84D-4BE4-4C06-8C94-F52FF793392C}"/>
    <cellStyle name="Comma 2 2 3 4 3 2 5" xfId="45297" xr:uid="{41E32A4F-DA9E-4314-9138-5AF539060AD3}"/>
    <cellStyle name="Comma 2 2 3 4 3 2 6" xfId="47038" xr:uid="{61D6B7BE-A982-411F-A2CE-3D6FAE7B7CB0}"/>
    <cellStyle name="Comma 2 2 3 4 3 2 7" xfId="50039" xr:uid="{4790684F-6532-4ECB-8B94-FA9595D90AF2}"/>
    <cellStyle name="Comma 2 2 3 4 3 2 8" xfId="52287" xr:uid="{7AADB2F7-494F-4770-A360-AB10415E9CBF}"/>
    <cellStyle name="Comma 2 2 3 4 3 2 9" xfId="20957" xr:uid="{07CDCB04-4994-4F84-98B1-2D0E5C297475}"/>
    <cellStyle name="Comma 2 2 3 4 3 3" xfId="9599" xr:uid="{1CDD6CC1-FE60-413A-8EEC-6202FA3C2A6F}"/>
    <cellStyle name="Comma 2 2 3 4 3 3 2" xfId="12905" xr:uid="{60449593-DC45-4BE0-AACC-D4D183534000}"/>
    <cellStyle name="Comma 2 2 3 4 3 3 2 2" xfId="51625" xr:uid="{9EAC4CC2-8857-4E24-A71B-8B594A2C65F6}"/>
    <cellStyle name="Comma 2 2 3 4 3 3 2 3" xfId="52288" xr:uid="{F5EFB597-889C-4FCD-9288-E5F40CCCFD3D}"/>
    <cellStyle name="Comma 2 2 3 4 3 3 2 4" xfId="48913" xr:uid="{2E35DB46-0AA7-4277-B746-5166DCBB0A0D}"/>
    <cellStyle name="Comma 2 2 3 4 3 3 3" xfId="47337" xr:uid="{3529A9BE-D289-42BA-9A14-D9315974C158}"/>
    <cellStyle name="Comma 2 2 3 4 3 3 4" xfId="50297" xr:uid="{6CDE3835-4795-4CE4-A370-AAE020A7E1C5}"/>
    <cellStyle name="Comma 2 2 3 4 3 3 5" xfId="52289" xr:uid="{45662222-56DA-4BA6-8657-3212269D506C}"/>
    <cellStyle name="Comma 2 2 3 4 3 3 6" xfId="20176" xr:uid="{D01A4161-6995-48F5-997D-B7CA3DF0F1BD}"/>
    <cellStyle name="Comma 2 2 3 4 3 4" xfId="7095" xr:uid="{7B7DFCEE-5322-4FA4-A24E-5D1606EF5A63}"/>
    <cellStyle name="Comma 2 2 3 4 3 4 2" xfId="48058" xr:uid="{BCC29149-3C78-41D9-A6F1-3043A7998D04}"/>
    <cellStyle name="Comma 2 2 3 4 3 4 3" xfId="50907" xr:uid="{53025E79-7E1C-462D-97F4-E2B7B643B40B}"/>
    <cellStyle name="Comma 2 2 3 4 3 4 4" xfId="52290" xr:uid="{77114643-0A03-4812-BB59-9C0DB16BEDB7}"/>
    <cellStyle name="Comma 2 2 3 4 3 4 5" xfId="23637" xr:uid="{92FBA8A6-F9E5-4560-B364-11FCF73996B2}"/>
    <cellStyle name="Comma 2 2 3 4 3 5" xfId="11620" xr:uid="{5AA4A9D3-F682-4F4E-9573-8B3A7EDA85BA}"/>
    <cellStyle name="Comma 2 2 3 4 3 5 2" xfId="38134" xr:uid="{8439AC0C-4D53-43B4-8289-07525003005A}"/>
    <cellStyle name="Comma 2 2 3 4 3 6" xfId="38932" xr:uid="{C08105CD-6650-4A31-B727-467E9A8840F0}"/>
    <cellStyle name="Comma 2 2 3 4 3 7" xfId="39957" xr:uid="{D93B5C9B-98BD-4853-AC0A-D46A42953099}"/>
    <cellStyle name="Comma 2 2 3 4 3 8" xfId="40599" xr:uid="{DB76EC21-5201-4D9F-B23E-7F66DD6B72B1}"/>
    <cellStyle name="Comma 2 2 3 4 3 9" xfId="41811" xr:uid="{9DD704B4-3EEF-41CB-880C-9E201F466181}"/>
    <cellStyle name="Comma 2 2 3 4 4" xfId="6489" xr:uid="{3E97E9E4-3292-43D6-A1B1-98CA3BFA3AEA}"/>
    <cellStyle name="Comma 2 2 3 4 4 10" xfId="42815" xr:uid="{CD6DA4A8-F823-497E-9820-FA8D04661A33}"/>
    <cellStyle name="Comma 2 2 3 4 4 11" xfId="44942" xr:uid="{C909D7FB-4E04-4ADA-9FC2-A8C418160652}"/>
    <cellStyle name="Comma 2 2 3 4 4 12" xfId="46128" xr:uid="{8C7D4054-3378-4E41-A638-DF1D2A06391B}"/>
    <cellStyle name="Comma 2 2 3 4 4 13" xfId="49464" xr:uid="{29368489-B3A1-44EA-B0FA-58E5846A44A7}"/>
    <cellStyle name="Comma 2 2 3 4 4 14" xfId="52291" xr:uid="{2D0433F4-C26A-4FA0-9071-08EADED3CFB6}"/>
    <cellStyle name="Comma 2 2 3 4 4 15" xfId="19721" xr:uid="{FD6F4397-7917-428B-B708-7FE219C4A9C2}"/>
    <cellStyle name="Comma 2 2 3 4 4 16" xfId="14390" xr:uid="{9F27030E-469F-4316-AF85-0E427351C245}"/>
    <cellStyle name="Comma 2 2 3 4 4 2" xfId="9461" xr:uid="{11ADDAD6-A4ED-40E5-9315-7D4DDB078544}"/>
    <cellStyle name="Comma 2 2 3 4 4 2 2" xfId="12767" xr:uid="{CE057741-2BA1-491B-B520-4F26AC045D5F}"/>
    <cellStyle name="Comma 2 2 3 4 4 2 2 2" xfId="39729" xr:uid="{5CE0B2B9-ACCE-43A8-BFA6-9B5C3E98951B}"/>
    <cellStyle name="Comma 2 2 3 4 4 2 3" xfId="41582" xr:uid="{2BB47A0D-5D73-4192-92FF-BE61653DB4D9}"/>
    <cellStyle name="Comma 2 2 3 4 4 2 4" xfId="43406" xr:uid="{C658E309-51EC-4947-9EE9-CA4BE5A86BFA}"/>
    <cellStyle name="Comma 2 2 3 4 4 2 5" xfId="45485" xr:uid="{65E22853-0CA9-4204-A029-4201D875BE01}"/>
    <cellStyle name="Comma 2 2 3 4 4 2 6" xfId="47923" xr:uid="{A354B75A-2C56-4035-A341-90D9095E3B86}"/>
    <cellStyle name="Comma 2 2 3 4 4 2 7" xfId="50792" xr:uid="{BFA36E16-EA96-4C46-96E3-98B881307801}"/>
    <cellStyle name="Comma 2 2 3 4 4 2 8" xfId="52292" xr:uid="{CE509180-832F-4438-A087-034F82CBAF02}"/>
    <cellStyle name="Comma 2 2 3 4 4 2 9" xfId="23338" xr:uid="{AB1EFADF-7744-4982-9709-9053E061D013}"/>
    <cellStyle name="Comma 2 2 3 4 4 3" xfId="11482" xr:uid="{27DF9E9E-B2FD-4A2E-B376-6C266A5320CE}"/>
    <cellStyle name="Comma 2 2 3 4 4 3 2" xfId="20382" xr:uid="{27D2E67F-F4AC-4054-9BF8-84ABDB45EB81}"/>
    <cellStyle name="Comma 2 2 3 4 4 4" xfId="23638" xr:uid="{35F6C0B1-16C2-4296-9930-AF713F99D2E0}"/>
    <cellStyle name="Comma 2 2 3 4 4 5" xfId="38135" xr:uid="{48567E96-B078-4F60-8065-CE9890AAA7CA}"/>
    <cellStyle name="Comma 2 2 3 4 4 6" xfId="39138" xr:uid="{CAE07D46-44FE-48BB-BFE0-DEB22B33AC34}"/>
    <cellStyle name="Comma 2 2 3 4 4 7" xfId="39958" xr:uid="{53128E2C-94BE-43A7-B27A-D13185AC42B1}"/>
    <cellStyle name="Comma 2 2 3 4 4 8" xfId="40600" xr:uid="{D913A8FE-30C1-4261-A881-A61DDC6A7323}"/>
    <cellStyle name="Comma 2 2 3 4 4 9" xfId="41812" xr:uid="{C4E9E3C8-52A1-4DC1-8629-57458FF1F8D5}"/>
    <cellStyle name="Comma 2 2 3 4 5" xfId="7463" xr:uid="{8049CB7D-FECE-4091-A331-1E50A559A408}"/>
    <cellStyle name="Comma 2 2 3 4 5 10" xfId="14843" xr:uid="{3280F492-0DB0-49E6-AEE8-AFED26F90B71}"/>
    <cellStyle name="Comma 2 2 3 4 5 2" xfId="9955" xr:uid="{55E4A1E7-DF2E-4332-BCDB-4FD77FB171A0}"/>
    <cellStyle name="Comma 2 2 3 4 5 2 2" xfId="13261" xr:uid="{030D02C2-552D-49FB-A4C8-AA72065FE471}"/>
    <cellStyle name="Comma 2 2 3 4 5 2 2 2" xfId="48360" xr:uid="{9341DA10-BC3F-4F6C-BCF3-03D90F153471}"/>
    <cellStyle name="Comma 2 2 3 4 5 2 3" xfId="51161" xr:uid="{4F4ECF6D-E3E1-45BF-AEC9-C49948D5F5CB}"/>
    <cellStyle name="Comma 2 2 3 4 5 2 4" xfId="52293" xr:uid="{83F7183E-5140-4D46-9CC0-AC8ECF7765DE}"/>
    <cellStyle name="Comma 2 2 3 4 5 2 5" xfId="39250" xr:uid="{A61C67D9-D89A-499A-B8D5-DB0E16520026}"/>
    <cellStyle name="Comma 2 2 3 4 5 3" xfId="11976" xr:uid="{45B78236-3942-4827-9BC0-2DE93CF04FBF}"/>
    <cellStyle name="Comma 2 2 3 4 5 3 2" xfId="41118" xr:uid="{61493F1B-9CD6-4BFA-B116-2E78B468B4BB}"/>
    <cellStyle name="Comma 2 2 3 4 5 4" xfId="42927" xr:uid="{5FFC11A9-83D6-4F57-9D69-C5BA12B58C84}"/>
    <cellStyle name="Comma 2 2 3 4 5 5" xfId="45034" xr:uid="{87FF1E1F-7F0D-4FCE-9035-0E0C81389B5B}"/>
    <cellStyle name="Comma 2 2 3 4 5 6" xfId="46809" xr:uid="{BCD346BD-EF88-4FED-A3FE-BBC45CCD70C8}"/>
    <cellStyle name="Comma 2 2 3 4 5 7" xfId="49833" xr:uid="{A19B0C41-1A30-4096-BB29-3205B101A8CB}"/>
    <cellStyle name="Comma 2 2 3 4 5 8" xfId="52294" xr:uid="{4D502ACD-B647-4F60-B31C-D7B4175881B2}"/>
    <cellStyle name="Comma 2 2 3 4 5 9" xfId="20495" xr:uid="{BB8CBC5D-7A3A-4A9E-830C-F3ACB3163081}"/>
    <cellStyle name="Comma 2 2 3 4 6" xfId="8129" xr:uid="{542993AF-00DB-4D7D-BA32-FB0E0C4DB7BF}"/>
    <cellStyle name="Comma 2 2 3 4 6 2" xfId="12585" xr:uid="{3E4CD47C-1613-445C-AEA8-5EA348D1E5F1}"/>
    <cellStyle name="Comma 2 2 3 4 6 2 2" xfId="51510" xr:uid="{99B1CB4C-9B4C-4661-9DEC-36791987A5B5}"/>
    <cellStyle name="Comma 2 2 3 4 6 2 3" xfId="52295" xr:uid="{899D3613-4A92-46E9-85FA-C48B28BA5BF8}"/>
    <cellStyle name="Comma 2 2 3 4 6 2 4" xfId="48775" xr:uid="{EBAFBED8-052D-4113-85EE-287829A30860}"/>
    <cellStyle name="Comma 2 2 3 4 6 3" xfId="47204" xr:uid="{F3001CB2-3066-42C2-BC42-C239B65D18B3}"/>
    <cellStyle name="Comma 2 2 3 4 6 4" xfId="50182" xr:uid="{7D89E31B-3F43-4DBE-BBFF-A54A91692CA9}"/>
    <cellStyle name="Comma 2 2 3 4 6 5" xfId="52296" xr:uid="{D2C06BBF-68F9-4A5D-AA46-5023588D96D7}"/>
    <cellStyle name="Comma 2 2 3 4 6 6" xfId="19902" xr:uid="{790B74AE-9D23-4013-99E2-B8233D590966}"/>
    <cellStyle name="Comma 2 2 3 4 7" xfId="7916" xr:uid="{5AF20E4E-6010-493A-9DB8-9780CCF9A5C9}"/>
    <cellStyle name="Comma 2 2 3 4 7 2" xfId="12429" xr:uid="{3EA37B0F-503E-48D6-92B6-4471593204EF}"/>
    <cellStyle name="Comma 2 2 3 4 7 2 2" xfId="47667" xr:uid="{C37E3DA6-C336-476B-B140-B9EB59DD8936}"/>
    <cellStyle name="Comma 2 2 3 4 7 3" xfId="50575" xr:uid="{D544DAB2-7267-4912-B995-BA8B63653B33}"/>
    <cellStyle name="Comma 2 2 3 4 7 4" xfId="52297" xr:uid="{635554E5-7008-495D-8DCA-58BEA4D560A8}"/>
    <cellStyle name="Comma 2 2 3 4 7 5" xfId="23634" xr:uid="{62293987-60EC-4DEA-BDB2-3F8D8071C0A8}"/>
    <cellStyle name="Comma 2 2 3 4 8" xfId="5813" xr:uid="{48566979-D19F-4F80-9DB5-77F5ECC37817}"/>
    <cellStyle name="Comma 2 2 3 4 8 2" xfId="38131" xr:uid="{03520394-E920-491D-9698-BDE3EDE7A3B1}"/>
    <cellStyle name="Comma 2 2 3 4 9" xfId="11301" xr:uid="{386AA070-9605-4B15-A27B-D686B0695B52}"/>
    <cellStyle name="Comma 2 2 3 4 9 2" xfId="38659" xr:uid="{DE615DBC-BD58-4174-AD2F-0ED65C055977}"/>
    <cellStyle name="Comma 2 2 3 5" xfId="1743" xr:uid="{BBE86935-3DD1-4BCD-9EF7-AE99D73CE048}"/>
    <cellStyle name="Comma 2 2 3 5 10" xfId="40601" xr:uid="{FA72AAAA-C8D9-4AE3-ADF3-3C6411D639FE}"/>
    <cellStyle name="Comma 2 2 3 5 11" xfId="41813" xr:uid="{CD9B69E8-3AF3-4C12-B257-BDE1CA41E03A}"/>
    <cellStyle name="Comma 2 2 3 5 12" xfId="42366" xr:uid="{8C9E3E60-1730-4FE6-9C19-81CF477A1903}"/>
    <cellStyle name="Comma 2 2 3 5 13" xfId="43516" xr:uid="{AD2358E9-2F30-4C82-BFB8-D1A65DFFA277}"/>
    <cellStyle name="Comma 2 2 3 5 14" xfId="44379" xr:uid="{2336FF8A-FA78-4A25-81D1-E050675044E7}"/>
    <cellStyle name="Comma 2 2 3 5 15" xfId="45615" xr:uid="{7D5BE84D-1FC9-4C7A-8916-6CDDAA474390}"/>
    <cellStyle name="Comma 2 2 3 5 16" xfId="49244" xr:uid="{BCC9D879-AC12-4533-B733-04710B31EB3A}"/>
    <cellStyle name="Comma 2 2 3 5 17" xfId="52298" xr:uid="{0CE4FBB8-299A-4E54-AEC4-4BFBA5B3BC59}"/>
    <cellStyle name="Comma 2 2 3 5 18" xfId="15790" xr:uid="{C8110154-1909-4495-B4A5-02C92B198DA7}"/>
    <cellStyle name="Comma 2 2 3 5 19" xfId="13899" xr:uid="{1D509E08-D0B6-4C29-B786-EB91256978DA}"/>
    <cellStyle name="Comma 2 2 3 5 2" xfId="4419" xr:uid="{1B8A829D-AEB2-4969-A65A-7E3752295411}"/>
    <cellStyle name="Comma 2 2 3 5 2 10" xfId="41814" xr:uid="{9FDEE2C7-CFD2-44E0-B7DA-BC1861C27CD0}"/>
    <cellStyle name="Comma 2 2 3 5 2 11" xfId="42518" xr:uid="{6325BFAD-1E35-4B36-B020-FC8B597F3E23}"/>
    <cellStyle name="Comma 2 2 3 5 2 12" xfId="44220" xr:uid="{62E66DDE-BD62-40A8-B771-D033BC1CF81D}"/>
    <cellStyle name="Comma 2 2 3 5 2 13" xfId="44520" xr:uid="{20F8034F-AC9B-40E2-9511-D8832B7FAC87}"/>
    <cellStyle name="Comma 2 2 3 5 2 14" xfId="45760" xr:uid="{023FFCEF-622A-461E-8E7C-48DE1083309F}"/>
    <cellStyle name="Comma 2 2 3 5 2 15" xfId="49388" xr:uid="{45C121A7-3C84-4DFA-A3AA-FA61E6026B5B}"/>
    <cellStyle name="Comma 2 2 3 5 2 16" xfId="52299" xr:uid="{5BD98868-972B-42B5-9196-89429ACBF349}"/>
    <cellStyle name="Comma 2 2 3 5 2 17" xfId="16808" xr:uid="{BB18EB41-4C74-4298-BB07-4C94E66D1098}"/>
    <cellStyle name="Comma 2 2 3 5 2 18" xfId="14213" xr:uid="{A886AF73-63FE-418F-978E-3A2D4D1113D3}"/>
    <cellStyle name="Comma 2 2 3 5 2 2" xfId="5676" xr:uid="{7BFB0845-850D-4A88-988E-7E48265CCF1F}"/>
    <cellStyle name="Comma 2 2 3 5 2 2 10" xfId="42612" xr:uid="{FD7A18D6-F01F-4CE0-8B4B-7DBF5397F038}"/>
    <cellStyle name="Comma 2 2 3 5 2 2 11" xfId="44779" xr:uid="{332447CD-013A-472D-84CC-5A70D63EDDDA}"/>
    <cellStyle name="Comma 2 2 3 5 2 2 12" xfId="46688" xr:uid="{C3A1898A-7B4E-43D9-8828-B6C586AFD2FC}"/>
    <cellStyle name="Comma 2 2 3 5 2 2 13" xfId="49720" xr:uid="{68908EC0-EF12-4A2F-8268-5540A7020012}"/>
    <cellStyle name="Comma 2 2 3 5 2 2 14" xfId="52300" xr:uid="{75FBC25B-AD76-48FE-8CFB-C9DEA23B4E76}"/>
    <cellStyle name="Comma 2 2 3 5 2 2 15" xfId="16965" xr:uid="{05DC034F-4B41-427D-A89B-EFFF3CD4C105}"/>
    <cellStyle name="Comma 2 2 3 5 2 2 16" xfId="14705" xr:uid="{452A80C7-3AB5-4885-A333-4B131F4F6DE9}"/>
    <cellStyle name="Comma 2 2 3 5 2 2 2" xfId="10270" xr:uid="{1B4BE371-3D8F-4196-9ACF-0642E48C3E1E}"/>
    <cellStyle name="Comma 2 2 3 5 2 2 2 2" xfId="13576" xr:uid="{2A45A792-9589-4697-869F-35C419597EF1}"/>
    <cellStyle name="Comma 2 2 3 5 2 2 2 2 2" xfId="39526" xr:uid="{4DE33AD8-E461-4F89-9B6F-BE0ECFB62FA5}"/>
    <cellStyle name="Comma 2 2 3 5 2 2 2 3" xfId="41380" xr:uid="{C89B445D-C3D1-4BB6-8CD7-6CE54E9B9D7D}"/>
    <cellStyle name="Comma 2 2 3 5 2 2 2 4" xfId="43203" xr:uid="{EBA971F6-F257-4040-B248-DB29FD080C17}"/>
    <cellStyle name="Comma 2 2 3 5 2 2 2 5" xfId="45300" xr:uid="{7A9E3EE2-2AB9-4AB8-AA59-E33238F14465}"/>
    <cellStyle name="Comma 2 2 3 5 2 2 2 6" xfId="48230" xr:uid="{8C991C72-2706-4361-8385-5DA54CF30AE4}"/>
    <cellStyle name="Comma 2 2 3 5 2 2 2 7" xfId="51048" xr:uid="{39879378-A3B3-42C3-8054-97A2FBB1B790}"/>
    <cellStyle name="Comma 2 2 3 5 2 2 2 8" xfId="52301" xr:uid="{D4212F9B-84BA-439B-A698-33FEC3A4EA34}"/>
    <cellStyle name="Comma 2 2 3 5 2 2 2 9" xfId="20960" xr:uid="{448F9382-2C55-444B-A8BB-CA3607AEEFE2}"/>
    <cellStyle name="Comma 2 2 3 5 2 2 3" xfId="7778" xr:uid="{535C237D-4F22-41D2-8E62-EDA6DE8CC50E}"/>
    <cellStyle name="Comma 2 2 3 5 2 2 3 2" xfId="20179" xr:uid="{D015880A-B99C-40C8-94F6-5B12F34D6C98}"/>
    <cellStyle name="Comma 2 2 3 5 2 2 4" xfId="12291" xr:uid="{6A3447DA-0BF2-48D3-A0CE-AAE9615884AE}"/>
    <cellStyle name="Comma 2 2 3 5 2 2 4 2" xfId="23641" xr:uid="{22E3F2F7-4778-4087-B0D1-6177E6912DC0}"/>
    <cellStyle name="Comma 2 2 3 5 2 2 5" xfId="38138" xr:uid="{34663478-C343-4353-B0B7-18706CA534DA}"/>
    <cellStyle name="Comma 2 2 3 5 2 2 6" xfId="38935" xr:uid="{1F46A072-DA3D-43F3-BAA1-EC6C943DCE7C}"/>
    <cellStyle name="Comma 2 2 3 5 2 2 7" xfId="39961" xr:uid="{1B532D5E-0820-4F99-9440-2E7111676F9C}"/>
    <cellStyle name="Comma 2 2 3 5 2 2 8" xfId="40603" xr:uid="{1EFD5B2B-F9B3-4F3F-8411-31E6B21EA399}"/>
    <cellStyle name="Comma 2 2 3 5 2 2 9" xfId="41815" xr:uid="{268E4D1C-2BD9-4DC5-966D-A9BC73093F9B}"/>
    <cellStyle name="Comma 2 2 3 5 2 3" xfId="11222" xr:uid="{C1A2C830-AA68-4D48-B9F7-6F005A6DAE43}"/>
    <cellStyle name="Comma 2 2 3 5 2 3 10" xfId="15020" xr:uid="{DA060368-E199-4CCD-B70A-D7F637515972}"/>
    <cellStyle name="Comma 2 2 3 5 2 3 2" xfId="13785" xr:uid="{2A3419E2-1A25-430F-BD37-525E654D37C4}"/>
    <cellStyle name="Comma 2 2 3 5 2 3 2 2" xfId="48664" xr:uid="{5654BAA9-ABF5-47AA-B322-5FE8B7315887}"/>
    <cellStyle name="Comma 2 2 3 5 2 3 2 3" xfId="51419" xr:uid="{77F8FF7D-56C8-4178-A6CC-1BFCEEB5D3B3}"/>
    <cellStyle name="Comma 2 2 3 5 2 3 2 4" xfId="52302" xr:uid="{949B61AE-4E1A-47ED-B150-774BFEAC9C86}"/>
    <cellStyle name="Comma 2 2 3 5 2 3 2 5" xfId="39432" xr:uid="{65A8BFBF-59F6-400F-BDAE-0CDD6E4E3B80}"/>
    <cellStyle name="Comma 2 2 3 5 2 3 3" xfId="41286" xr:uid="{2D8E3C54-D012-4798-85F3-6FF639922376}"/>
    <cellStyle name="Comma 2 2 3 5 2 3 4" xfId="43109" xr:uid="{6461F9E5-2876-419F-87EB-D27C66999B4A}"/>
    <cellStyle name="Comma 2 2 3 5 2 3 5" xfId="45206" xr:uid="{AD3975E9-6506-414D-B5FA-F0B5B911B995}"/>
    <cellStyle name="Comma 2 2 3 5 2 3 6" xfId="47101" xr:uid="{84F2D981-B4E5-417F-8E9C-57019F419825}"/>
    <cellStyle name="Comma 2 2 3 5 2 3 7" xfId="50091" xr:uid="{CB2B92E8-05DB-4D2A-9C3D-F64438F2B3A7}"/>
    <cellStyle name="Comma 2 2 3 5 2 3 8" xfId="52303" xr:uid="{9EEF17BF-1D31-4C72-BA37-614250675551}"/>
    <cellStyle name="Comma 2 2 3 5 2 3 9" xfId="20810" xr:uid="{690C679B-F841-4E37-8365-67CD20911193}"/>
    <cellStyle name="Comma 2 2 3 5 2 4" xfId="9776" xr:uid="{09F516F8-4C12-42BE-A23C-43CCD1CF9E5C}"/>
    <cellStyle name="Comma 2 2 3 5 2 4 2" xfId="13082" xr:uid="{63B534AA-3F6C-4AE8-924E-FD0CFEB6CA95}"/>
    <cellStyle name="Comma 2 2 3 5 2 4 2 2" xfId="51766" xr:uid="{24F1EE24-BA41-4F31-ADC5-7ECDF43D3290}"/>
    <cellStyle name="Comma 2 2 3 5 2 4 2 3" xfId="52304" xr:uid="{D4B04DF5-E6B2-420A-9298-27FB5A3AB573}"/>
    <cellStyle name="Comma 2 2 3 5 2 4 2 4" xfId="49086" xr:uid="{92E612ED-E19C-4C1F-BB11-8AA17B28A639}"/>
    <cellStyle name="Comma 2 2 3 5 2 4 3" xfId="47503" xr:uid="{E5BC1CE9-27F8-477F-81BD-03A0C2BB7EC3}"/>
    <cellStyle name="Comma 2 2 3 5 2 4 4" xfId="50438" xr:uid="{C3327203-0819-4015-B4AA-C0A20E0212DF}"/>
    <cellStyle name="Comma 2 2 3 5 2 4 5" xfId="52305" xr:uid="{64EDFA35-0FCC-41DF-A30E-642C144F4F59}"/>
    <cellStyle name="Comma 2 2 3 5 2 4 6" xfId="20085" xr:uid="{4DC540AD-AA9E-4CE4-B92B-C2AC63DFDEA9}"/>
    <cellStyle name="Comma 2 2 3 5 2 5" xfId="7274" xr:uid="{8C5C41B5-BFD0-48FA-B012-92189C1C138F}"/>
    <cellStyle name="Comma 2 2 3 5 2 5 2" xfId="47828" xr:uid="{53D009EA-FB34-418C-A34B-8F68B03E0A83}"/>
    <cellStyle name="Comma 2 2 3 5 2 5 3" xfId="50716" xr:uid="{FE05D886-E47A-4A35-9C0D-02514B995FAF}"/>
    <cellStyle name="Comma 2 2 3 5 2 5 4" xfId="52306" xr:uid="{6A164C8C-9F9B-4580-BB21-84B7BD336182}"/>
    <cellStyle name="Comma 2 2 3 5 2 5 5" xfId="23640" xr:uid="{45F42314-05A9-41FE-AF5B-E3AC4B6DA609}"/>
    <cellStyle name="Comma 2 2 3 5 2 6" xfId="11797" xr:uid="{172B8795-601C-4DD9-998B-E43A5441CE1E}"/>
    <cellStyle name="Comma 2 2 3 5 2 6 2" xfId="38137" xr:uid="{971F44DC-EC18-47C2-9F6C-432E85D89494}"/>
    <cellStyle name="Comma 2 2 3 5 2 7" xfId="38841" xr:uid="{0ED83A8A-666F-4D66-91D1-48E14DC0C4C5}"/>
    <cellStyle name="Comma 2 2 3 5 2 8" xfId="39960" xr:uid="{5C56B3F6-5900-4E3E-AAE2-644657E2A852}"/>
    <cellStyle name="Comma 2 2 3 5 2 9" xfId="40602" xr:uid="{1006DBCF-909D-4DD6-A212-18F44DC94367}"/>
    <cellStyle name="Comma 2 2 3 5 3" xfId="5500" xr:uid="{D84945BB-2287-4356-A43D-A0F1CB71F0EC}"/>
    <cellStyle name="Comma 2 2 3 5 3 10" xfId="42611" xr:uid="{FF5EC6BF-6CC1-48D1-95D1-40DBFB959306}"/>
    <cellStyle name="Comma 2 2 3 5 3 11" xfId="43789" xr:uid="{242FDC3F-1E7D-43D2-8DC6-8F32544BBB39}"/>
    <cellStyle name="Comma 2 2 3 5 3 12" xfId="44778" xr:uid="{F73C59DF-4BEC-419C-AC23-123BC21B0F72}"/>
    <cellStyle name="Comma 2 2 3 5 3 13" xfId="46547" xr:uid="{79680CF6-B120-475C-ABC0-1DB9606098CF}"/>
    <cellStyle name="Comma 2 2 3 5 3 14" xfId="49580" xr:uid="{C4DA9102-224E-4E96-BE90-CCE642F8CCA5}"/>
    <cellStyle name="Comma 2 2 3 5 3 15" xfId="52307" xr:uid="{51F70D70-D9C9-48CD-9181-4DE5D3E01C2E}"/>
    <cellStyle name="Comma 2 2 3 5 3 16" xfId="16964" xr:uid="{F828B89E-E356-419D-87A8-ABEE40B03B55}"/>
    <cellStyle name="Comma 2 2 3 5 3 17" xfId="14037" xr:uid="{FD9F72F3-18F6-407E-826A-6D2778899FB7}"/>
    <cellStyle name="Comma 2 2 3 5 3 2" xfId="7602" xr:uid="{997B26CF-D9E3-47BA-AAF5-4C77909D5E69}"/>
    <cellStyle name="Comma 2 2 3 5 3 2 10" xfId="14529" xr:uid="{9F782CB0-7B99-400A-80E2-527AB4EC5058}"/>
    <cellStyle name="Comma 2 2 3 5 3 2 2" xfId="10094" xr:uid="{E46E7014-D53E-4AFE-9111-D8850AC5D574}"/>
    <cellStyle name="Comma 2 2 3 5 3 2 2 2" xfId="13400" xr:uid="{1167AA62-5FED-4BBA-8311-CC19DE934F7E}"/>
    <cellStyle name="Comma 2 2 3 5 3 2 2 2 2" xfId="48914" xr:uid="{843DAD67-FE81-4D0A-92E8-2876403DF87F}"/>
    <cellStyle name="Comma 2 2 3 5 3 2 2 3" xfId="51626" xr:uid="{8F01A62A-C6DB-4E20-B181-C497FECF998E}"/>
    <cellStyle name="Comma 2 2 3 5 3 2 2 4" xfId="52308" xr:uid="{B073ECD4-8524-4867-A2F9-0AFA209B974B}"/>
    <cellStyle name="Comma 2 2 3 5 3 2 2 5" xfId="39525" xr:uid="{8D0F0F38-6A18-4726-8240-4FDA054C7E23}"/>
    <cellStyle name="Comma 2 2 3 5 3 2 3" xfId="12115" xr:uid="{46761F76-88CC-4876-A3B5-F13CC0670B5F}"/>
    <cellStyle name="Comma 2 2 3 5 3 2 3 2" xfId="41379" xr:uid="{24B2DCEE-670C-498E-9C7F-8D75AC40102F}"/>
    <cellStyle name="Comma 2 2 3 5 3 2 4" xfId="43202" xr:uid="{AAECF612-4A73-4187-886A-EC49A8B7FCE4}"/>
    <cellStyle name="Comma 2 2 3 5 3 2 5" xfId="45299" xr:uid="{A376800A-C8E5-426D-A906-EAC64B6AAC5C}"/>
    <cellStyle name="Comma 2 2 3 5 3 2 6" xfId="47338" xr:uid="{DF34F0AA-5782-42BC-88DB-FF19A9820895}"/>
    <cellStyle name="Comma 2 2 3 5 3 2 7" xfId="50298" xr:uid="{71F5AFD3-A65D-41D5-8B6E-C64E693C34A7}"/>
    <cellStyle name="Comma 2 2 3 5 3 2 8" xfId="52309" xr:uid="{090C0741-923A-41AF-9A47-ABA8186CC8EC}"/>
    <cellStyle name="Comma 2 2 3 5 3 2 9" xfId="20959" xr:uid="{D5FB55CB-3B4A-40AF-B925-CE765FACF6F7}"/>
    <cellStyle name="Comma 2 2 3 5 3 3" xfId="9600" xr:uid="{4E6AF3CF-21CD-4433-B0B7-BB0EF83A6E4F}"/>
    <cellStyle name="Comma 2 2 3 5 3 3 2" xfId="12906" xr:uid="{09E0ACC6-C05A-47F5-975C-A2D60B89459B}"/>
    <cellStyle name="Comma 2 2 3 5 3 3 2 2" xfId="48059" xr:uid="{9565296D-1E85-4F88-A770-C0D4B60A341E}"/>
    <cellStyle name="Comma 2 2 3 5 3 3 3" xfId="50908" xr:uid="{CD955838-82CA-4D51-BCA4-24F7C425626C}"/>
    <cellStyle name="Comma 2 2 3 5 3 3 4" xfId="52310" xr:uid="{5E776577-651D-4F69-9DFE-0CE14474B23E}"/>
    <cellStyle name="Comma 2 2 3 5 3 3 5" xfId="20178" xr:uid="{89F1BCCB-8874-4BD4-8BCB-9E6F46BEE6F7}"/>
    <cellStyle name="Comma 2 2 3 5 3 4" xfId="7096" xr:uid="{02A25991-4338-4029-B54D-08D82CADB55A}"/>
    <cellStyle name="Comma 2 2 3 5 3 4 2" xfId="23642" xr:uid="{734CA7EE-E47C-4607-9777-1DB9407254E1}"/>
    <cellStyle name="Comma 2 2 3 5 3 5" xfId="11621" xr:uid="{2091505F-A45D-4EEC-BC98-E06C027F8750}"/>
    <cellStyle name="Comma 2 2 3 5 3 5 2" xfId="38139" xr:uid="{3FE8CCEC-15E9-49E8-A987-21A41E5366FF}"/>
    <cellStyle name="Comma 2 2 3 5 3 6" xfId="38934" xr:uid="{56BA7FBF-4E3F-44C5-A399-9B8973654E8D}"/>
    <cellStyle name="Comma 2 2 3 5 3 7" xfId="39962" xr:uid="{95D63759-7BFA-45EF-85E3-87B32A0F728C}"/>
    <cellStyle name="Comma 2 2 3 5 3 8" xfId="40604" xr:uid="{E9B82A94-B2CA-4FCE-A1F1-3521A7FDCF4F}"/>
    <cellStyle name="Comma 2 2 3 5 3 9" xfId="41816" xr:uid="{2CD7ECE6-CA82-4EDA-8B17-DF6971C359F7}"/>
    <cellStyle name="Comma 2 2 3 5 4" xfId="6490" xr:uid="{6F7D7DE0-70EF-4E1D-860C-AB30D9EC2B70}"/>
    <cellStyle name="Comma 2 2 3 5 4 10" xfId="14391" xr:uid="{4958FDDC-A5F3-440D-B7A6-B734D7466F01}"/>
    <cellStyle name="Comma 2 2 3 5 4 2" xfId="9462" xr:uid="{4ACF5DD4-339E-486E-898A-E04211AA9EF6}"/>
    <cellStyle name="Comma 2 2 3 5 4 2 2" xfId="12768" xr:uid="{113D7E55-6EA4-4CEA-B2DE-CCF21CCB7106}"/>
    <cellStyle name="Comma 2 2 3 5 4 2 2 2" xfId="47924" xr:uid="{00B00286-957F-4184-A888-DDBE2B02A365}"/>
    <cellStyle name="Comma 2 2 3 5 4 2 3" xfId="50793" xr:uid="{AFF2CC77-99EF-430E-931F-89A0881C8C1A}"/>
    <cellStyle name="Comma 2 2 3 5 4 2 4" xfId="52311" xr:uid="{82EB41C9-90C8-4D4B-8D02-3F599B7AA449}"/>
    <cellStyle name="Comma 2 2 3 5 4 2 5" xfId="39280" xr:uid="{B0A15491-27CD-47AE-9851-E84DD4A046F2}"/>
    <cellStyle name="Comma 2 2 3 5 4 3" xfId="11483" xr:uid="{159741D6-D554-46D3-8213-C6C62B904CFE}"/>
    <cellStyle name="Comma 2 2 3 5 4 3 2" xfId="41142" xr:uid="{420BD814-4689-4D69-A2ED-8CEE6D42FFDF}"/>
    <cellStyle name="Comma 2 2 3 5 4 4" xfId="42957" xr:uid="{4125C2D8-228E-483C-A1C8-1A7CCC22D409}"/>
    <cellStyle name="Comma 2 2 3 5 4 5" xfId="45062" xr:uid="{3B47549C-8D5E-44BB-A87F-CC4163BBF073}"/>
    <cellStyle name="Comma 2 2 3 5 4 6" xfId="46129" xr:uid="{BBFEA968-E526-4EB2-9451-4AC4662D750A}"/>
    <cellStyle name="Comma 2 2 3 5 4 7" xfId="49465" xr:uid="{54A6CC2D-D809-4D70-82A2-D810B1CBE15C}"/>
    <cellStyle name="Comma 2 2 3 5 4 8" xfId="52312" xr:uid="{D32DBE05-E37D-485D-AD8C-81C34DB591BB}"/>
    <cellStyle name="Comma 2 2 3 5 4 9" xfId="20526" xr:uid="{BB0B8CDB-BFFD-4F04-A1C2-F653CF27AE6C}"/>
    <cellStyle name="Comma 2 2 3 5 5" xfId="7464" xr:uid="{FAF6CC35-D2A9-4438-93B9-7C834B860EF2}"/>
    <cellStyle name="Comma 2 2 3 5 5 2" xfId="9956" xr:uid="{4D56DDB9-28A6-433A-912D-1A28382E6902}"/>
    <cellStyle name="Comma 2 2 3 5 5 2 2" xfId="13262" xr:uid="{52B5AF2E-A4CA-4109-9E47-53EAA33F08FF}"/>
    <cellStyle name="Comma 2 2 3 5 5 2 2 2" xfId="51255" xr:uid="{B5290911-FBA6-4EA5-85FF-03D282D3B847}"/>
    <cellStyle name="Comma 2 2 3 5 5 2 3" xfId="52313" xr:uid="{F041D4AC-F217-4F80-9A8A-9B16B423C533}"/>
    <cellStyle name="Comma 2 2 3 5 5 2 4" xfId="48469" xr:uid="{1DD35BAC-0D9C-40CB-9D15-D4A080BD70DE}"/>
    <cellStyle name="Comma 2 2 3 5 5 3" xfId="11977" xr:uid="{3F432434-A3DD-4858-888E-E05A28AAEAA6}"/>
    <cellStyle name="Comma 2 2 3 5 5 3 2" xfId="46908" xr:uid="{40B2064C-F851-4701-AD09-3616AA9D1FF3}"/>
    <cellStyle name="Comma 2 2 3 5 5 4" xfId="49927" xr:uid="{BE3C2100-B661-4030-8835-507EE88392A4}"/>
    <cellStyle name="Comma 2 2 3 5 5 5" xfId="52314" xr:uid="{45C58247-8282-441E-A2B7-970C391F0E54}"/>
    <cellStyle name="Comma 2 2 3 5 5 6" xfId="19933" xr:uid="{81D66379-0A2F-4FC0-B310-076BDC0FFB16}"/>
    <cellStyle name="Comma 2 2 3 5 5 7" xfId="14844" xr:uid="{DF96DAA7-FBA9-44A3-9C53-23E04D49A951}"/>
    <cellStyle name="Comma 2 2 3 5 6" xfId="8130" xr:uid="{9A3D6715-E595-403D-A706-DCF94BE72722}"/>
    <cellStyle name="Comma 2 2 3 5 6 2" xfId="12586" xr:uid="{390C7C2E-C486-4F11-B305-795222977D3E}"/>
    <cellStyle name="Comma 2 2 3 5 6 2 2" xfId="51511" xr:uid="{7D0C4F36-CCB8-4183-ACB9-294997C08877}"/>
    <cellStyle name="Comma 2 2 3 5 6 2 3" xfId="52315" xr:uid="{515A858E-6A17-4184-BDC2-6B0230689CDC}"/>
    <cellStyle name="Comma 2 2 3 5 6 2 4" xfId="48776" xr:uid="{685B55CE-A2EA-441C-ACF4-AC68597A5154}"/>
    <cellStyle name="Comma 2 2 3 5 6 3" xfId="47205" xr:uid="{8D714256-9F18-41D4-A6A1-157B7B546769}"/>
    <cellStyle name="Comma 2 2 3 5 6 4" xfId="50183" xr:uid="{E05C105D-774D-4A64-B382-4127BA52E1E2}"/>
    <cellStyle name="Comma 2 2 3 5 6 5" xfId="52316" xr:uid="{F9B08535-71DB-4991-859F-66B65CEDB2B0}"/>
    <cellStyle name="Comma 2 2 3 5 6 6" xfId="23639" xr:uid="{559AABBA-F858-44AD-8BA7-677D9C1A88E7}"/>
    <cellStyle name="Comma 2 2 3 5 7" xfId="7917" xr:uid="{1EFB4C73-2D13-4408-82F3-C11B2A79E445}"/>
    <cellStyle name="Comma 2 2 3 5 7 2" xfId="12430" xr:uid="{39AF6D8C-AD42-43B0-A65C-CD761E47FBF3}"/>
    <cellStyle name="Comma 2 2 3 5 7 2 2" xfId="47664" xr:uid="{4DB24E3D-9707-488C-8870-2DDEB7D10BA4}"/>
    <cellStyle name="Comma 2 2 3 5 7 3" xfId="50572" xr:uid="{D630BECD-79AD-4928-AAEC-E2E2B54B2A6A}"/>
    <cellStyle name="Comma 2 2 3 5 7 4" xfId="52317" xr:uid="{29C9EEC4-F203-4DF0-A789-E9C0C4474CF5}"/>
    <cellStyle name="Comma 2 2 3 5 7 5" xfId="38136" xr:uid="{E2AFF80C-5F72-442E-B7F0-BF4119842C70}"/>
    <cellStyle name="Comma 2 2 3 5 8" xfId="5814" xr:uid="{2575F267-E98D-4C44-8E27-BEF6319EFD9A}"/>
    <cellStyle name="Comma 2 2 3 5 8 2" xfId="38689" xr:uid="{3F3DEAA6-682D-486A-8441-5C00A194B29A}"/>
    <cellStyle name="Comma 2 2 3 5 9" xfId="11302" xr:uid="{4075A5D0-8B46-49F8-BDB8-3405D8E382FE}"/>
    <cellStyle name="Comma 2 2 3 5 9 2" xfId="39959" xr:uid="{C009A0A0-A1AC-4CF9-A1EA-CD9101BC3BA1}"/>
    <cellStyle name="Comma 2 2 3 6" xfId="4415" xr:uid="{E7F04A88-A307-47FB-A9AD-DC0F0D6F683B}"/>
    <cellStyle name="Comma 2 2 3 6 10" xfId="41817" xr:uid="{AB3AAFE3-C101-483A-B694-E2F74E9566F1}"/>
    <cellStyle name="Comma 2 2 3 6 11" xfId="42449" xr:uid="{2B417E2B-51D1-424E-8F69-48757D3FF10A}"/>
    <cellStyle name="Comma 2 2 3 6 12" xfId="43512" xr:uid="{DB21C8AE-E16E-4F5D-A292-3F19ADF838A8}"/>
    <cellStyle name="Comma 2 2 3 6 13" xfId="44516" xr:uid="{F3C444B0-8D4C-46CF-9B21-8BB7D2B93B6B}"/>
    <cellStyle name="Comma 2 2 3 6 14" xfId="45689" xr:uid="{012817B0-B30D-4695-A2B6-E291F440D0D7}"/>
    <cellStyle name="Comma 2 2 3 6 15" xfId="49317" xr:uid="{EF32B75B-23A7-49AD-B1A8-12BB1BCB3DF6}"/>
    <cellStyle name="Comma 2 2 3 6 16" xfId="52318" xr:uid="{9F3C625E-8C14-4384-A021-F1068DCFB055}"/>
    <cellStyle name="Comma 2 2 3 6 17" xfId="16643" xr:uid="{7149D531-C45D-443B-AF6E-202D5F935CC5}"/>
    <cellStyle name="Comma 2 2 3 6 18" xfId="13895" xr:uid="{DFC612CD-5DA8-48B4-B5FB-8C396A118084}"/>
    <cellStyle name="Comma 2 2 3 6 2" xfId="5672" xr:uid="{5DB7CF69-29C4-46C2-B97F-4569A62B9AB0}"/>
    <cellStyle name="Comma 2 2 3 6 2 10" xfId="42613" xr:uid="{5C3B6982-DCC1-46BF-BFF3-0A933B3BFFC9}"/>
    <cellStyle name="Comma 2 2 3 6 2 11" xfId="44216" xr:uid="{868238B6-872D-4CEC-9D02-A34A5B49D516}"/>
    <cellStyle name="Comma 2 2 3 6 2 12" xfId="44780" xr:uid="{0F01F41A-3AC8-4990-ABF6-8836E885DAD9}"/>
    <cellStyle name="Comma 2 2 3 6 2 13" xfId="46684" xr:uid="{EAF527EF-AFCC-472E-9F24-4A996B20BB53}"/>
    <cellStyle name="Comma 2 2 3 6 2 14" xfId="49716" xr:uid="{0562E868-9439-4F69-98FF-102C6DF9CFB0}"/>
    <cellStyle name="Comma 2 2 3 6 2 15" xfId="52319" xr:uid="{D734E615-B3DA-409D-8147-AD4C1572B028}"/>
    <cellStyle name="Comma 2 2 3 6 2 16" xfId="16966" xr:uid="{977F13AB-8F0B-42B3-98A3-48EF2004C585}"/>
    <cellStyle name="Comma 2 2 3 6 2 17" xfId="14209" xr:uid="{0D31C134-70B5-4C68-921F-B595769369A1}"/>
    <cellStyle name="Comma 2 2 3 6 2 2" xfId="7774" xr:uid="{7C5EC856-6701-4C54-B360-4F18B7C5BB1A}"/>
    <cellStyle name="Comma 2 2 3 6 2 2 10" xfId="14701" xr:uid="{AF1D23D7-AAE3-4304-A4BB-ECA960271616}"/>
    <cellStyle name="Comma 2 2 3 6 2 2 2" xfId="10266" xr:uid="{C81E19B8-6D9E-433F-A5D0-A5D2FC97E107}"/>
    <cellStyle name="Comma 2 2 3 6 2 2 2 2" xfId="13572" xr:uid="{9D928999-8A3C-427A-9068-2B1E51959819}"/>
    <cellStyle name="Comma 2 2 3 6 2 2 2 2 2" xfId="49082" xr:uid="{ED9A6E4B-E741-4D24-AF35-1E9BA1C2196D}"/>
    <cellStyle name="Comma 2 2 3 6 2 2 2 3" xfId="51762" xr:uid="{3115D74B-09B0-41D1-86D9-A5E8B8264F69}"/>
    <cellStyle name="Comma 2 2 3 6 2 2 2 4" xfId="52320" xr:uid="{8317FD08-BEC9-4A96-84FB-53DE941AD46E}"/>
    <cellStyle name="Comma 2 2 3 6 2 2 2 5" xfId="39527" xr:uid="{0CA8B11C-CCB3-42AA-917E-CE29E0D7DF01}"/>
    <cellStyle name="Comma 2 2 3 6 2 2 3" xfId="12287" xr:uid="{9940D4A8-07D5-4961-872F-6BB749B97450}"/>
    <cellStyle name="Comma 2 2 3 6 2 2 3 2" xfId="41381" xr:uid="{3BCF66E6-6C92-4FF7-A080-25A118313301}"/>
    <cellStyle name="Comma 2 2 3 6 2 2 4" xfId="43204" xr:uid="{87A0E826-B453-452D-8B6B-E3D0FCB41363}"/>
    <cellStyle name="Comma 2 2 3 6 2 2 5" xfId="45301" xr:uid="{BAE73C43-5E34-453D-A88A-E1164C390436}"/>
    <cellStyle name="Comma 2 2 3 6 2 2 6" xfId="47499" xr:uid="{32871AC9-7940-4339-925D-4E980740A7E9}"/>
    <cellStyle name="Comma 2 2 3 6 2 2 7" xfId="50434" xr:uid="{3FA99162-5958-4D33-BAD6-211DD2C12B33}"/>
    <cellStyle name="Comma 2 2 3 6 2 2 8" xfId="52321" xr:uid="{BC7C7627-76DA-4A4C-963C-0DEB929C1D3D}"/>
    <cellStyle name="Comma 2 2 3 6 2 2 9" xfId="20961" xr:uid="{2D76186C-3CFA-4A40-9A9F-C3CD22500D41}"/>
    <cellStyle name="Comma 2 2 3 6 2 3" xfId="9772" xr:uid="{78814D86-7687-436A-BDDD-8B38BDC3BC24}"/>
    <cellStyle name="Comma 2 2 3 6 2 3 2" xfId="13078" xr:uid="{7776639E-B748-426C-96C4-15F8EE244FB7}"/>
    <cellStyle name="Comma 2 2 3 6 2 3 2 2" xfId="48226" xr:uid="{47110788-419E-4B9A-9D00-3CE58C771CC9}"/>
    <cellStyle name="Comma 2 2 3 6 2 3 3" xfId="51044" xr:uid="{2E1E9E38-82D8-440B-958D-12FB1811110C}"/>
    <cellStyle name="Comma 2 2 3 6 2 3 4" xfId="52322" xr:uid="{2F5C8716-931A-4E77-B9D3-1AAF4DF2BA71}"/>
    <cellStyle name="Comma 2 2 3 6 2 3 5" xfId="20180" xr:uid="{5E9D4BD1-6FF2-43AE-B1AF-21FCEB4BB632}"/>
    <cellStyle name="Comma 2 2 3 6 2 4" xfId="7270" xr:uid="{496F2640-65A7-424A-9E06-7B5307EE0FED}"/>
    <cellStyle name="Comma 2 2 3 6 2 4 2" xfId="23644" xr:uid="{EA9F8DEE-332C-4FBB-A33C-1892219693C7}"/>
    <cellStyle name="Comma 2 2 3 6 2 5" xfId="11793" xr:uid="{6508BE89-712C-4240-A149-1D1D7FC92778}"/>
    <cellStyle name="Comma 2 2 3 6 2 5 2" xfId="38141" xr:uid="{B4A98C53-490C-48E3-AA9E-4BB774D91BCE}"/>
    <cellStyle name="Comma 2 2 3 6 2 6" xfId="38936" xr:uid="{2CB0DCB0-C902-4966-BDB0-C0E4CBA82875}"/>
    <cellStyle name="Comma 2 2 3 6 2 7" xfId="39964" xr:uid="{6230F27C-2515-4B9B-9DF2-9FEB0D63ADAE}"/>
    <cellStyle name="Comma 2 2 3 6 2 8" xfId="40606" xr:uid="{3F12338D-9069-415C-8F32-381498F988FC}"/>
    <cellStyle name="Comma 2 2 3 6 2 9" xfId="41818" xr:uid="{0C316361-2307-4023-B281-518E45A80CC0}"/>
    <cellStyle name="Comma 2 2 3 6 3" xfId="7460" xr:uid="{77969C2F-2E61-4BFF-BF8E-BAFAE7BDDA3E}"/>
    <cellStyle name="Comma 2 2 3 6 3 10" xfId="14387" xr:uid="{58C22B78-A444-41B1-BD17-B46A19619BC6}"/>
    <cellStyle name="Comma 2 2 3 6 3 2" xfId="9952" xr:uid="{CE95E30A-B470-4329-A85F-60F4C0BBA8B2}"/>
    <cellStyle name="Comma 2 2 3 6 3 2 2" xfId="13258" xr:uid="{7309176D-CB28-4514-9D69-DAD24472F2BE}"/>
    <cellStyle name="Comma 2 2 3 6 3 2 2 2" xfId="47920" xr:uid="{083C38D7-835A-4C63-82D9-69EA54E0318A}"/>
    <cellStyle name="Comma 2 2 3 6 3 2 3" xfId="50789" xr:uid="{6809DC2C-BC70-4DBF-890B-3EC8967ED8E6}"/>
    <cellStyle name="Comma 2 2 3 6 3 2 4" xfId="52323" xr:uid="{8E4E9B2D-C385-403F-B4E5-1FB17A0FF780}"/>
    <cellStyle name="Comma 2 2 3 6 3 2 5" xfId="39363" xr:uid="{5235B76F-4A1B-4F0E-BDA9-4A6209522AF4}"/>
    <cellStyle name="Comma 2 2 3 6 3 3" xfId="11973" xr:uid="{CDF4E0B1-D108-43A8-8055-37847E89A9E9}"/>
    <cellStyle name="Comma 2 2 3 6 3 3 2" xfId="41221" xr:uid="{307F5D76-18DB-4696-8E8D-CF172E5811D6}"/>
    <cellStyle name="Comma 2 2 3 6 3 4" xfId="43040" xr:uid="{78747DA8-36AE-4B7B-B2FD-98B60FF9B664}"/>
    <cellStyle name="Comma 2 2 3 6 3 5" xfId="45141" xr:uid="{2564C77F-DE34-43DF-8350-DB4E29316F27}"/>
    <cellStyle name="Comma 2 2 3 6 3 6" xfId="46125" xr:uid="{9D2AFD63-4EAE-4012-91BB-7E4B309962BA}"/>
    <cellStyle name="Comma 2 2 3 6 3 7" xfId="49461" xr:uid="{6E1C7F18-ECDE-43C0-AD89-F2AE82583BA3}"/>
    <cellStyle name="Comma 2 2 3 6 3 8" xfId="52324" xr:uid="{2C99612D-5488-4130-BBBE-ED5443EF0164}"/>
    <cellStyle name="Comma 2 2 3 6 3 9" xfId="20737" xr:uid="{141428AA-9DEC-413F-8B05-BED96DEFE708}"/>
    <cellStyle name="Comma 2 2 3 6 4" xfId="11119" xr:uid="{FF4EBD37-4F06-4B27-B8A2-007C602568DD}"/>
    <cellStyle name="Comma 2 2 3 6 4 2" xfId="13716" xr:uid="{D41CF480-179B-4A23-9919-035E1ADBCCA2}"/>
    <cellStyle name="Comma 2 2 3 6 4 2 2" xfId="51251" xr:uid="{19396B86-CD6D-4117-B689-B566ED237D10}"/>
    <cellStyle name="Comma 2 2 3 6 4 2 3" xfId="52325" xr:uid="{7C6129E3-AD32-4F2F-A297-C7B2B03EADEE}"/>
    <cellStyle name="Comma 2 2 3 6 4 2 4" xfId="48465" xr:uid="{653A5DB4-29A3-4518-BBF7-B2455FA5B459}"/>
    <cellStyle name="Comma 2 2 3 6 4 3" xfId="46904" xr:uid="{06B5D8B9-CEDA-4DFA-9FC6-0F06192E28B0}"/>
    <cellStyle name="Comma 2 2 3 6 4 4" xfId="49923" xr:uid="{71B551D9-9FB8-4148-8858-16E03BD1780E}"/>
    <cellStyle name="Comma 2 2 3 6 4 5" xfId="52326" xr:uid="{2300AFF5-162D-4278-B2E4-633D85607AE0}"/>
    <cellStyle name="Comma 2 2 3 6 4 6" xfId="20016" xr:uid="{C86D9397-B0A6-4F31-8DBA-761E24CF4161}"/>
    <cellStyle name="Comma 2 2 3 6 4 7" xfId="15016" xr:uid="{3C26E9F1-2DAA-4CB0-BCD0-02FCE9867A5B}"/>
    <cellStyle name="Comma 2 2 3 6 5" xfId="9458" xr:uid="{73DA5E7D-D7CA-4B56-96B3-83A95C070636}"/>
    <cellStyle name="Comma 2 2 3 6 5 2" xfId="12764" xr:uid="{CD432C96-232F-4340-BE52-6BDB7B26951E}"/>
    <cellStyle name="Comma 2 2 3 6 5 2 2" xfId="51507" xr:uid="{0F6385EE-9630-4737-8425-B62D3C71AE3C}"/>
    <cellStyle name="Comma 2 2 3 6 5 2 3" xfId="52327" xr:uid="{8ACCE44C-4E70-4DA3-A94A-76824A143E34}"/>
    <cellStyle name="Comma 2 2 3 6 5 2 4" xfId="48772" xr:uid="{31B17BCF-1EAB-4397-9AAC-963AF2E66F9F}"/>
    <cellStyle name="Comma 2 2 3 6 5 3" xfId="47201" xr:uid="{CC46F984-8612-45A2-88B6-343F21181B5F}"/>
    <cellStyle name="Comma 2 2 3 6 5 4" xfId="50179" xr:uid="{1456DCB6-6275-4F53-97B3-6C084BD8FB3E}"/>
    <cellStyle name="Comma 2 2 3 6 5 5" xfId="52328" xr:uid="{54ED76FB-85AF-44FB-AB09-00EF404A9243}"/>
    <cellStyle name="Comma 2 2 3 6 5 6" xfId="23643" xr:uid="{D2CE31DF-BC74-44AE-BE61-25480E9367B1}"/>
    <cellStyle name="Comma 2 2 3 6 6" xfId="6486" xr:uid="{A230A705-2ABB-4114-8012-80BF78ED3BD5}"/>
    <cellStyle name="Comma 2 2 3 6 6 2" xfId="47746" xr:uid="{340BF8C4-CF16-45C5-97C1-DCFEB205D043}"/>
    <cellStyle name="Comma 2 2 3 6 6 3" xfId="50645" xr:uid="{B37E5C7B-2BCB-4FF6-950C-0C2799AD8D91}"/>
    <cellStyle name="Comma 2 2 3 6 6 4" xfId="52329" xr:uid="{E3B3E8E3-49DE-43D4-9AC5-466B26A369D3}"/>
    <cellStyle name="Comma 2 2 3 6 6 5" xfId="38140" xr:uid="{A8B38AD9-BC9F-4C2B-8F4C-6592A21EB373}"/>
    <cellStyle name="Comma 2 2 3 6 7" xfId="11479" xr:uid="{6397180D-0DCB-4599-A2AD-40B278254284}"/>
    <cellStyle name="Comma 2 2 3 6 7 2" xfId="38772" xr:uid="{7F128894-B38C-4DC4-A8F2-95F6AE62DBEF}"/>
    <cellStyle name="Comma 2 2 3 6 8" xfId="39963" xr:uid="{629A1061-5506-45E9-8FC5-6DD18BB06D8A}"/>
    <cellStyle name="Comma 2 2 3 6 9" xfId="40605" xr:uid="{F31026B7-DD31-4474-8309-8F49FC29F201}"/>
    <cellStyle name="Comma 2 2 3 7" xfId="3881" xr:uid="{F97DD286-E991-47A4-9DBD-B077B2E46D2F}"/>
    <cellStyle name="Comma 2 2 3 7 10" xfId="41819" xr:uid="{8ED8D538-A8AF-4EA9-839A-36650F8B0D77}"/>
    <cellStyle name="Comma 2 2 3 7 11" xfId="42388" xr:uid="{3B238FDD-D5B4-4F2C-9099-D60B1221D7A5}"/>
    <cellStyle name="Comma 2 2 3 7 12" xfId="43892" xr:uid="{76BB1D6C-76E4-4A17-B18C-531610A76078}"/>
    <cellStyle name="Comma 2 2 3 7 13" xfId="44479" xr:uid="{68BF5EBA-7A43-43DE-833C-3900E8F7A2A1}"/>
    <cellStyle name="Comma 2 2 3 7 14" xfId="46646" xr:uid="{8B329B09-DCB1-42E8-A1D2-E99B42EE8F10}"/>
    <cellStyle name="Comma 2 2 3 7 15" xfId="49679" xr:uid="{47CB8ADF-91A5-4705-A6A6-F5DEE0F89951}"/>
    <cellStyle name="Comma 2 2 3 7 16" xfId="52330" xr:uid="{600C68AC-263B-460E-874D-D660D64EE7DF}"/>
    <cellStyle name="Comma 2 2 3 7 17" xfId="16363" xr:uid="{E0CC0411-9416-482E-8197-44542D00036E}"/>
    <cellStyle name="Comma 2 2 3 7 18" xfId="14160" xr:uid="{01FF208A-AE15-43EE-AF42-A419CF422519}"/>
    <cellStyle name="Comma 2 2 3 7 2" xfId="5623" xr:uid="{FA3E41AC-DCF7-47DB-A41D-71DCD273DC2E}"/>
    <cellStyle name="Comma 2 2 3 7 2 10" xfId="42614" xr:uid="{43FBFB79-2B8C-41BB-89EF-952FAB5E2597}"/>
    <cellStyle name="Comma 2 2 3 7 2 11" xfId="44781" xr:uid="{13247F40-4047-47E9-AE55-88091ACD7053}"/>
    <cellStyle name="Comma 2 2 3 7 2 12" xfId="46864" xr:uid="{BD298F91-7289-4894-BA86-358DCC9FC975}"/>
    <cellStyle name="Comma 2 2 3 7 2 13" xfId="49886" xr:uid="{2064488A-97C3-431A-8F3A-1C11A13A0EB5}"/>
    <cellStyle name="Comma 2 2 3 7 2 14" xfId="52331" xr:uid="{206CA1D8-57D8-4E46-8A87-7C5F0CD05671}"/>
    <cellStyle name="Comma 2 2 3 7 2 15" xfId="16967" xr:uid="{D0F42C44-52EA-43C1-847F-CC6E994618E8}"/>
    <cellStyle name="Comma 2 2 3 7 2 16" xfId="14652" xr:uid="{8FD2E1B6-776C-465E-BFAF-D473E435B6C0}"/>
    <cellStyle name="Comma 2 2 3 7 2 2" xfId="10217" xr:uid="{D466FDEC-2451-492E-94AE-B1913CAA857C}"/>
    <cellStyle name="Comma 2 2 3 7 2 2 2" xfId="13523" xr:uid="{40513DA8-39EC-452A-9013-3ACB71AF883A}"/>
    <cellStyle name="Comma 2 2 3 7 2 2 2 2" xfId="39528" xr:uid="{EFB0D616-233F-43A2-B18A-2D109B871B36}"/>
    <cellStyle name="Comma 2 2 3 7 2 2 3" xfId="41382" xr:uid="{B8AADFE0-FEBB-436B-A3F8-8BC2B932D8DF}"/>
    <cellStyle name="Comma 2 2 3 7 2 2 4" xfId="43205" xr:uid="{E11B0DB4-CFD1-46EF-B04C-F5AFC0F517CE}"/>
    <cellStyle name="Comma 2 2 3 7 2 2 5" xfId="45302" xr:uid="{7E792D99-DEC6-42E3-B171-E24C1EF3190D}"/>
    <cellStyle name="Comma 2 2 3 7 2 2 6" xfId="48420" xr:uid="{93508EB7-32E4-4073-A293-655E4DDBA622}"/>
    <cellStyle name="Comma 2 2 3 7 2 2 7" xfId="51214" xr:uid="{6B79ED2D-55FB-4554-A232-E8456AC26FC9}"/>
    <cellStyle name="Comma 2 2 3 7 2 2 8" xfId="52332" xr:uid="{492C7841-2825-4234-9EFD-8AFE944B0BDC}"/>
    <cellStyle name="Comma 2 2 3 7 2 2 9" xfId="20962" xr:uid="{194AE490-43C5-4602-B35D-4E294D0DA2F5}"/>
    <cellStyle name="Comma 2 2 3 7 2 3" xfId="7725" xr:uid="{A92009EA-6E78-4515-AB63-C30E22781A94}"/>
    <cellStyle name="Comma 2 2 3 7 2 3 2" xfId="20181" xr:uid="{D6BB60A7-ADBB-4CDB-802E-25B84C1BBDEB}"/>
    <cellStyle name="Comma 2 2 3 7 2 4" xfId="12238" xr:uid="{FD21869F-41D0-4B18-86FA-96231E2E1370}"/>
    <cellStyle name="Comma 2 2 3 7 2 4 2" xfId="23646" xr:uid="{2D51A6B6-2B46-4298-8397-5A6859B70CC0}"/>
    <cellStyle name="Comma 2 2 3 7 2 5" xfId="38143" xr:uid="{BC48EAB0-55A6-4AEC-A4B8-9AF4A8DE80AC}"/>
    <cellStyle name="Comma 2 2 3 7 2 6" xfId="38937" xr:uid="{B57D2E13-E3FB-4A88-BB60-E300DAE5C92C}"/>
    <cellStyle name="Comma 2 2 3 7 2 7" xfId="39966" xr:uid="{130F5146-E57C-4342-BB35-C0283429675D}"/>
    <cellStyle name="Comma 2 2 3 7 2 8" xfId="40608" xr:uid="{05EF1850-92C2-4F27-8A71-BFD23F710F97}"/>
    <cellStyle name="Comma 2 2 3 7 2 9" xfId="41820" xr:uid="{F3F8288E-26BC-4C30-A91D-234234F3371B}"/>
    <cellStyle name="Comma 2 2 3 7 3" xfId="9723" xr:uid="{6F7D4AFB-9E8F-4621-8862-A8714DF597ED}"/>
    <cellStyle name="Comma 2 2 3 7 3 10" xfId="14967" xr:uid="{2B7B652A-FA58-460B-81D5-6079B51A6B20}"/>
    <cellStyle name="Comma 2 2 3 7 3 2" xfId="13029" xr:uid="{5931CA94-C75F-4857-B803-83C42E0E9DEA}"/>
    <cellStyle name="Comma 2 2 3 7 3 2 2" xfId="49035" xr:uid="{B898EBC9-B51B-4975-A721-840EFDCB538C}"/>
    <cellStyle name="Comma 2 2 3 7 3 2 3" xfId="51725" xr:uid="{B8D1AD38-589C-4A0A-97DC-74834D434A33}"/>
    <cellStyle name="Comma 2 2 3 7 3 2 4" xfId="52333" xr:uid="{0A8F2B9D-F4CA-45D9-84EE-4DE60A52BD9C}"/>
    <cellStyle name="Comma 2 2 3 7 3 2 5" xfId="39302" xr:uid="{559730B6-ED9D-46B6-9D2C-6255B361B53D}"/>
    <cellStyle name="Comma 2 2 3 7 3 3" xfId="41164" xr:uid="{4F10131C-B8F0-4F98-86DB-AB90AD042730}"/>
    <cellStyle name="Comma 2 2 3 7 3 4" xfId="42979" xr:uid="{1F5A78B2-C574-4F27-BE1C-3376012B103B}"/>
    <cellStyle name="Comma 2 2 3 7 3 5" xfId="45084" xr:uid="{066F0825-DE38-46A6-8011-021CFED6F7BE}"/>
    <cellStyle name="Comma 2 2 3 7 3 6" xfId="47454" xr:uid="{14ED49CC-0933-4E93-AA9D-764C2A967AD8}"/>
    <cellStyle name="Comma 2 2 3 7 3 7" xfId="50397" xr:uid="{B6923E06-3B93-4609-9872-B2A527EC811D}"/>
    <cellStyle name="Comma 2 2 3 7 3 8" xfId="52334" xr:uid="{A318F458-F981-49BA-AC35-DF34A92B27F6}"/>
    <cellStyle name="Comma 2 2 3 7 3 9" xfId="20608" xr:uid="{1C05C843-6314-46B6-8BC5-97C3ED22515C}"/>
    <cellStyle name="Comma 2 2 3 7 4" xfId="7219" xr:uid="{A4A92E52-9309-4076-B346-E6DF8F4DA703}"/>
    <cellStyle name="Comma 2 2 3 7 4 2" xfId="48180" xr:uid="{023D4246-B59B-4C50-94AE-341105A13480}"/>
    <cellStyle name="Comma 2 2 3 7 4 3" xfId="51007" xr:uid="{3F1C1E1A-0D94-4EE4-8409-60CD019F0305}"/>
    <cellStyle name="Comma 2 2 3 7 4 4" xfId="52335" xr:uid="{43FF78A2-A468-448A-9521-088095988B83}"/>
    <cellStyle name="Comma 2 2 3 7 4 5" xfId="19955" xr:uid="{442F8CFB-5C6B-4C54-8AF2-D5FA9AE320F5}"/>
    <cellStyle name="Comma 2 2 3 7 5" xfId="11744" xr:uid="{52B911ED-9B5B-42C1-8D70-FC3EBF9A9AB9}"/>
    <cellStyle name="Comma 2 2 3 7 5 2" xfId="23645" xr:uid="{B3CF204F-41BF-49A5-A32C-788A84B2E0B6}"/>
    <cellStyle name="Comma 2 2 3 7 6" xfId="38142" xr:uid="{B300734F-B929-4FDB-A2E7-E527DD79F18B}"/>
    <cellStyle name="Comma 2 2 3 7 7" xfId="38711" xr:uid="{DA69DD04-310F-4434-8740-CDE256021A76}"/>
    <cellStyle name="Comma 2 2 3 7 8" xfId="39965" xr:uid="{7A0604F2-3F32-4F73-841E-1EE8BA05BD90}"/>
    <cellStyle name="Comma 2 2 3 7 9" xfId="40607" xr:uid="{1CBC5393-F182-47AE-8173-2C8845A0DDD2}"/>
    <cellStyle name="Comma 2 2 3 8" xfId="5496" xr:uid="{AE09EF01-511A-449A-897A-FE16C04FC6E9}"/>
    <cellStyle name="Comma 2 2 3 8 10" xfId="42615" xr:uid="{EF9FDF29-7945-4163-A922-E169D60404DB}"/>
    <cellStyle name="Comma 2 2 3 8 11" xfId="43785" xr:uid="{B2D5B611-B162-4C92-891E-A22F9593BBAA}"/>
    <cellStyle name="Comma 2 2 3 8 12" xfId="44782" xr:uid="{34F9D5FB-57C2-47BB-99D5-2B964B102451}"/>
    <cellStyle name="Comma 2 2 3 8 13" xfId="46543" xr:uid="{63DFB9AA-1A04-493C-8692-3699649A0DD9}"/>
    <cellStyle name="Comma 2 2 3 8 14" xfId="49576" xr:uid="{CDF9A815-C3EE-42EC-B62D-144B54DD6B5E}"/>
    <cellStyle name="Comma 2 2 3 8 15" xfId="52336" xr:uid="{8ADCEBF8-6B24-4EA7-AA8A-C45E50E12C3F}"/>
    <cellStyle name="Comma 2 2 3 8 16" xfId="16968" xr:uid="{375B7C36-1FCB-4AA2-B1B6-F4A5FE6E3583}"/>
    <cellStyle name="Comma 2 2 3 8 17" xfId="14033" xr:uid="{302D39B5-76E0-41B1-A8BD-E5A6D3D6C0E6}"/>
    <cellStyle name="Comma 2 2 3 8 2" xfId="7598" xr:uid="{0CA66F33-6E2B-46E8-AF32-20BBBB66B1C7}"/>
    <cellStyle name="Comma 2 2 3 8 2 10" xfId="14525" xr:uid="{DC78C451-9948-4704-BE06-BDEEA5906FF0}"/>
    <cellStyle name="Comma 2 2 3 8 2 2" xfId="10090" xr:uid="{53B378F6-C825-4971-A511-64137DA45410}"/>
    <cellStyle name="Comma 2 2 3 8 2 2 2" xfId="13396" xr:uid="{0FA45667-29C0-4737-A848-0C82850C24B4}"/>
    <cellStyle name="Comma 2 2 3 8 2 2 2 2" xfId="48601" xr:uid="{79F5777B-495F-4D50-B439-1DBBD7E50398}"/>
    <cellStyle name="Comma 2 2 3 8 2 2 3" xfId="51364" xr:uid="{B48BA22F-172E-461D-8B0E-AF9BDA827DAA}"/>
    <cellStyle name="Comma 2 2 3 8 2 2 4" xfId="52337" xr:uid="{4BD14DF4-A770-4F09-9440-6DA5793F9554}"/>
    <cellStyle name="Comma 2 2 3 8 2 2 5" xfId="39529" xr:uid="{758FFC34-17AE-4F60-839D-F1ED32639683}"/>
    <cellStyle name="Comma 2 2 3 8 2 3" xfId="12111" xr:uid="{1A3F5267-82B5-43D6-BED6-DE3B3A00AC1B}"/>
    <cellStyle name="Comma 2 2 3 8 2 3 2" xfId="41383" xr:uid="{5CAE4F52-2341-4953-91E7-B84D6F2325CC}"/>
    <cellStyle name="Comma 2 2 3 8 2 4" xfId="43206" xr:uid="{4252F94A-BC93-4410-A25A-EFCF25376731}"/>
    <cellStyle name="Comma 2 2 3 8 2 5" xfId="45303" xr:uid="{4F8A8DD3-DC48-4EEF-AD5D-A986CB3D400A}"/>
    <cellStyle name="Comma 2 2 3 8 2 6" xfId="47035" xr:uid="{8C829539-B3F1-4493-8D83-65EC75DF1A2B}"/>
    <cellStyle name="Comma 2 2 3 8 2 7" xfId="50036" xr:uid="{790EE273-8132-4E12-83B8-2C93F65589C6}"/>
    <cellStyle name="Comma 2 2 3 8 2 8" xfId="52338" xr:uid="{4317BDFD-2976-4BAF-BF4D-89CD034CAC71}"/>
    <cellStyle name="Comma 2 2 3 8 2 9" xfId="20963" xr:uid="{7F131828-A826-4C9B-B680-F179FBF21159}"/>
    <cellStyle name="Comma 2 2 3 8 3" xfId="9596" xr:uid="{4FC44AA4-775B-4C24-BCCA-6EAE283F435F}"/>
    <cellStyle name="Comma 2 2 3 8 3 2" xfId="12902" xr:uid="{B73C943B-4BF2-4DCE-BB2C-962382CB67AE}"/>
    <cellStyle name="Comma 2 2 3 8 3 2 2" xfId="51622" xr:uid="{6B7CDEEA-DCD6-4E98-BC9D-2E8E1F73F4C3}"/>
    <cellStyle name="Comma 2 2 3 8 3 2 3" xfId="52339" xr:uid="{9CD2F701-72EB-4DCD-B12B-BAEE899894F0}"/>
    <cellStyle name="Comma 2 2 3 8 3 2 4" xfId="48910" xr:uid="{FEBB64B6-B31A-47BC-B1D6-92350202E90D}"/>
    <cellStyle name="Comma 2 2 3 8 3 3" xfId="47334" xr:uid="{0F14C3D9-6CBE-4615-8A95-FF2ED0BF0717}"/>
    <cellStyle name="Comma 2 2 3 8 3 4" xfId="50294" xr:uid="{C7DE89EF-05BD-4C41-8403-92D3675B3D7A}"/>
    <cellStyle name="Comma 2 2 3 8 3 5" xfId="52340" xr:uid="{E3E6AF3C-BBC4-4BE7-B7BF-A21C108FD903}"/>
    <cellStyle name="Comma 2 2 3 8 3 6" xfId="20182" xr:uid="{472FAB7B-D11B-44C6-B846-866D2B2A4EDE}"/>
    <cellStyle name="Comma 2 2 3 8 4" xfId="7092" xr:uid="{8BCC9676-F8F7-47B8-B99B-1098E6CDBDEF}"/>
    <cellStyle name="Comma 2 2 3 8 4 2" xfId="48055" xr:uid="{C0BDCA08-B56E-4218-989B-A8C58078AF0B}"/>
    <cellStyle name="Comma 2 2 3 8 4 3" xfId="50904" xr:uid="{6D7D019C-5961-4019-91CB-BB25088C04E3}"/>
    <cellStyle name="Comma 2 2 3 8 4 4" xfId="52341" xr:uid="{65E67B83-83FF-4EC0-955A-18935DD30D5B}"/>
    <cellStyle name="Comma 2 2 3 8 4 5" xfId="23647" xr:uid="{A6868888-B496-485D-B0DE-C8C35D46D044}"/>
    <cellStyle name="Comma 2 2 3 8 5" xfId="11617" xr:uid="{6D2FAD15-CAC9-467C-B94C-B58F8E3684CE}"/>
    <cellStyle name="Comma 2 2 3 8 5 2" xfId="38144" xr:uid="{FAC51584-B91D-4707-B58D-DFA096AEB68C}"/>
    <cellStyle name="Comma 2 2 3 8 6" xfId="38938" xr:uid="{4C6A88B4-4F1E-4105-909F-F9F2CF66D483}"/>
    <cellStyle name="Comma 2 2 3 8 7" xfId="39967" xr:uid="{E196A524-4FF4-4E8C-A48E-CC03B4D93C86}"/>
    <cellStyle name="Comma 2 2 3 8 8" xfId="40609" xr:uid="{6DD7C8C6-8F5F-4EA2-976B-18816476F0F0}"/>
    <cellStyle name="Comma 2 2 3 8 9" xfId="41821" xr:uid="{ADCC2C62-4915-45BA-A150-27CC0A195EFC}"/>
    <cellStyle name="Comma 2 2 3 9" xfId="5948" xr:uid="{67A47744-5E8A-4577-99C2-882513FC8BEC}"/>
    <cellStyle name="Comma 2 2 3 9 10" xfId="42598" xr:uid="{1480ACA6-1778-4740-B874-00C4D5BCEF84}"/>
    <cellStyle name="Comma 2 2 3 9 11" xfId="44765" xr:uid="{5103CB5E-4AEE-4E0B-BA40-26AD98D82C8F}"/>
    <cellStyle name="Comma 2 2 3 9 12" xfId="45802" xr:uid="{6D069D6F-C48B-4119-AECE-C5851FBF89C1}"/>
    <cellStyle name="Comma 2 2 3 9 13" xfId="49424" xr:uid="{EBDC702B-96BA-4CC3-9AA0-30B4021F600F}"/>
    <cellStyle name="Comma 2 2 3 9 14" xfId="52342" xr:uid="{4739E6A7-0195-48BF-AF1B-6A0C935F6677}"/>
    <cellStyle name="Comma 2 2 3 9 15" xfId="16951" xr:uid="{B771B0FF-CE7E-4924-93E7-A52349E1E366}"/>
    <cellStyle name="Comma 2 2 3 9 16" xfId="14338" xr:uid="{A4D3EBF9-60A6-450B-BB56-C2BA1A131304}"/>
    <cellStyle name="Comma 2 2 3 9 2" xfId="9406" xr:uid="{03E056E9-8CC5-4EA0-95A7-537A8052A30D}"/>
    <cellStyle name="Comma 2 2 3 9 2 2" xfId="12712" xr:uid="{287A5A4A-8103-4C91-86C7-77B7D21795EC}"/>
    <cellStyle name="Comma 2 2 3 9 2 2 2" xfId="39512" xr:uid="{4250C254-3E46-49C9-AD4A-99FC9AB3C06C}"/>
    <cellStyle name="Comma 2 2 3 9 2 3" xfId="41366" xr:uid="{04B99D03-5F16-4C5B-9785-FC3B3E07DF95}"/>
    <cellStyle name="Comma 2 2 3 9 2 4" xfId="43189" xr:uid="{7A6740C5-6B49-460B-B25D-7E540DEC9158}"/>
    <cellStyle name="Comma 2 2 3 9 2 5" xfId="45286" xr:uid="{4916B78F-ED49-480E-8406-B47F25B28E2A}"/>
    <cellStyle name="Comma 2 2 3 9 2 6" xfId="47875" xr:uid="{72DEFF27-BBAB-4B2A-9B84-531FC1D49B5D}"/>
    <cellStyle name="Comma 2 2 3 9 2 7" xfId="50752" xr:uid="{1226ACE5-9CF1-44C3-B061-3EC7E7E797E2}"/>
    <cellStyle name="Comma 2 2 3 9 2 8" xfId="52343" xr:uid="{5C4EBFB6-1D2C-49B5-83E7-78D47678F9FD}"/>
    <cellStyle name="Comma 2 2 3 9 2 9" xfId="20946" xr:uid="{AAE0D45B-B2BE-400C-94A3-D0527D068C2F}"/>
    <cellStyle name="Comma 2 2 3 9 3" xfId="11427" xr:uid="{09F1279C-D449-4564-8204-40580704B9E6}"/>
    <cellStyle name="Comma 2 2 3 9 3 2" xfId="20165" xr:uid="{F616DB07-2E92-46C5-8956-C5F1A463EAAD}"/>
    <cellStyle name="Comma 2 2 3 9 4" xfId="23648" xr:uid="{BFB25269-6299-48BA-B8A4-D5AE8AB13297}"/>
    <cellStyle name="Comma 2 2 3 9 5" xfId="38145" xr:uid="{0D6D9567-72DD-4A00-BF57-E6F8DA0B9756}"/>
    <cellStyle name="Comma 2 2 3 9 6" xfId="38921" xr:uid="{CF4D5FA3-23EF-4F15-9C48-90005364CFE8}"/>
    <cellStyle name="Comma 2 2 3 9 7" xfId="39968" xr:uid="{62C16E5F-5249-4C11-9984-6E1C07E677E7}"/>
    <cellStyle name="Comma 2 2 3 9 8" xfId="40610" xr:uid="{507ABDFB-7D08-40FE-B7B8-825445297CB8}"/>
    <cellStyle name="Comma 2 2 3 9 9" xfId="41822" xr:uid="{398E47FB-1244-42AF-97A4-9F6CD44EB66A}"/>
    <cellStyle name="Comma 2 2 30" xfId="52344" xr:uid="{DC2854C6-578C-44F2-903F-ABBDC1E68C4A}"/>
    <cellStyle name="Comma 2 2 31" xfId="15196" xr:uid="{1CA64153-DC93-4FC7-95DF-3B767EF9E173}"/>
    <cellStyle name="Comma 2 2 32" xfId="13843" xr:uid="{5B607D46-EB14-4FBC-8EC4-689293421225}"/>
    <cellStyle name="Comma 2 2 4" xfId="1744" xr:uid="{CAFB619E-EA1E-487A-96FB-9F8E5CFC155E}"/>
    <cellStyle name="Comma 2 2 4 10" xfId="7412" xr:uid="{E543AE50-2CE1-4F51-A9C2-F1CC453DBA1D}"/>
    <cellStyle name="Comma 2 2 4 10 10" xfId="46810" xr:uid="{3F1A00F4-405E-4F33-AFB6-1B487CF22552}"/>
    <cellStyle name="Comma 2 2 4 10 11" xfId="49834" xr:uid="{2CE3B952-3188-447C-99BA-1A71E226DBCC}"/>
    <cellStyle name="Comma 2 2 4 10 12" xfId="52345" xr:uid="{C7CB1040-112D-4C1B-8716-76E0D18A07DA}"/>
    <cellStyle name="Comma 2 2 4 10 13" xfId="20460" xr:uid="{78807171-AD49-4EB4-9628-240FCA27D375}"/>
    <cellStyle name="Comma 2 2 4 10 14" xfId="14845" xr:uid="{7FFDE747-E749-471F-A2A3-8146446201DD}"/>
    <cellStyle name="Comma 2 2 4 10 2" xfId="9904" xr:uid="{2D6BD0A7-A6FA-4BBA-9411-A3D46DE07EA2}"/>
    <cellStyle name="Comma 2 2 4 10 2 2" xfId="13210" xr:uid="{AB991AAC-181F-4477-90C4-C54E624A5CD3}"/>
    <cellStyle name="Comma 2 2 4 10 2 2 2" xfId="48361" xr:uid="{65538B95-E44E-4FCE-860F-5F2BDC31AE27}"/>
    <cellStyle name="Comma 2 2 4 10 2 3" xfId="51162" xr:uid="{E6D99DB5-5E8C-45AD-830E-FF61C7240BA1}"/>
    <cellStyle name="Comma 2 2 4 10 2 4" xfId="52346" xr:uid="{6F1D9B3C-DA8C-4001-87F3-B596F74F8E40}"/>
    <cellStyle name="Comma 2 2 4 10 2 5" xfId="23650" xr:uid="{CAB0FFD3-CDE7-47AC-9976-A7BE7D68457B}"/>
    <cellStyle name="Comma 2 2 4 10 3" xfId="11925" xr:uid="{3F5FAE02-FCA4-4553-8650-0101B3E4FD12}"/>
    <cellStyle name="Comma 2 2 4 10 3 2" xfId="38147" xr:uid="{E5EF5DA3-9BF4-433A-B3D9-CBAC157B338B}"/>
    <cellStyle name="Comma 2 2 4 10 4" xfId="39215" xr:uid="{A9C96613-982B-4823-A6FD-29A8680CB7B1}"/>
    <cellStyle name="Comma 2 2 4 10 5" xfId="39970" xr:uid="{1CB9AA46-2454-4DE1-AD86-72109694FDE7}"/>
    <cellStyle name="Comma 2 2 4 10 6" xfId="40612" xr:uid="{1984DC7C-2FD0-483D-A05E-597E1040A010}"/>
    <cellStyle name="Comma 2 2 4 10 7" xfId="41824" xr:uid="{7EB8AF12-66C0-4D1A-8E67-A0488C3772C8}"/>
    <cellStyle name="Comma 2 2 4 10 8" xfId="42892" xr:uid="{BB76F611-EA55-4F3E-9690-9E31B1861DED}"/>
    <cellStyle name="Comma 2 2 4 10 9" xfId="44999" xr:uid="{166EB913-6C92-4A06-82C0-BFAB4B36D502}"/>
    <cellStyle name="Comma 2 2 4 11" xfId="8131" xr:uid="{E6CEF083-F90C-4EBD-BEBB-A7A363E543CA}"/>
    <cellStyle name="Comma 2 2 4 11 2" xfId="12587" xr:uid="{4159CB00-A15E-4259-A031-96C7D1B67A05}"/>
    <cellStyle name="Comma 2 2 4 11 2 2" xfId="51471" xr:uid="{0433C12F-3352-425C-968C-EA40A45AD134}"/>
    <cellStyle name="Comma 2 2 4 11 2 3" xfId="52347" xr:uid="{95B4F825-B4B6-4908-8DBE-849847559182}"/>
    <cellStyle name="Comma 2 2 4 11 2 4" xfId="48727" xr:uid="{794217A9-55AC-4F73-9963-5BF4528DC51D}"/>
    <cellStyle name="Comma 2 2 4 11 3" xfId="47162" xr:uid="{F9157C80-C88A-4250-92C7-6AA90575CC10}"/>
    <cellStyle name="Comma 2 2 4 11 4" xfId="50143" xr:uid="{5B3F9B4F-C77A-436A-BE93-FCB72A9A4A08}"/>
    <cellStyle name="Comma 2 2 4 11 5" xfId="52348" xr:uid="{0556EFB1-2889-4FFD-A3ED-FC28B259E05B}"/>
    <cellStyle name="Comma 2 2 4 11 6" xfId="19866" xr:uid="{2555EC67-5C04-4C78-96A5-4220BD3A1611}"/>
    <cellStyle name="Comma 2 2 4 12" xfId="8105" xr:uid="{4E4F7967-0549-487A-885B-C96FFBD0CA8F}"/>
    <cellStyle name="Comma 2 2 4 12 2" xfId="12561" xr:uid="{26BD11CE-A120-4181-91C4-833AC04B2EED}"/>
    <cellStyle name="Comma 2 2 4 12 2 2" xfId="47625" xr:uid="{0AE10B97-BE5D-44C0-914D-497466C159C4}"/>
    <cellStyle name="Comma 2 2 4 12 3" xfId="50538" xr:uid="{9C80353D-9886-4F41-8C6B-283F0223B7C3}"/>
    <cellStyle name="Comma 2 2 4 12 4" xfId="52349" xr:uid="{47CB211D-BD7B-4EA5-8C9C-F11A45AD2472}"/>
    <cellStyle name="Comma 2 2 4 12 5" xfId="23649" xr:uid="{FCE08C62-ED8A-4E60-8CE3-3C7223A5B824}"/>
    <cellStyle name="Comma 2 2 4 13" xfId="7918" xr:uid="{B7A67B9F-B0EB-4F48-BBD2-B916096F7DB0}"/>
    <cellStyle name="Comma 2 2 4 13 2" xfId="12431" xr:uid="{10C3D192-7DBE-462D-AD61-CC9F61E3C416}"/>
    <cellStyle name="Comma 2 2 4 13 3" xfId="38146" xr:uid="{AE3A6276-857A-4222-9A31-9416D6A035A5}"/>
    <cellStyle name="Comma 2 2 4 14" xfId="11271" xr:uid="{7A0BB17C-7D48-4ADA-B373-C02EB685138F}"/>
    <cellStyle name="Comma 2 2 4 14 2" xfId="13830" xr:uid="{E764992A-35E6-4666-A349-F70434578E9C}"/>
    <cellStyle name="Comma 2 2 4 14 3" xfId="38624" xr:uid="{1688EF3D-1E61-40DE-B25D-7FD0D98998EF}"/>
    <cellStyle name="Comma 2 2 4 15" xfId="5815" xr:uid="{F3251DA3-90AD-4FEF-A716-D69F161C412B}"/>
    <cellStyle name="Comma 2 2 4 15 2" xfId="39969" xr:uid="{3E091262-FBD9-460B-948B-012F1188BECC}"/>
    <cellStyle name="Comma 2 2 4 16" xfId="11303" xr:uid="{332E2B1A-E1FE-4F5D-90F9-5B8923E408F0}"/>
    <cellStyle name="Comma 2 2 4 16 2" xfId="40611" xr:uid="{B6AF8483-F7E5-4FBD-98D2-701D01ED0654}"/>
    <cellStyle name="Comma 2 2 4 17" xfId="41823" xr:uid="{4994A058-8BD8-4965-99EF-5E6E50B510C1}"/>
    <cellStyle name="Comma 2 2 4 18" xfId="42301" xr:uid="{053C07DB-9080-4401-ACBD-05AD6C2E5821}"/>
    <cellStyle name="Comma 2 2 4 19" xfId="43474" xr:uid="{F402E38F-5046-48D7-B2C7-0D549960EC56}"/>
    <cellStyle name="Comma 2 2 4 2" xfId="1745" xr:uid="{52EE13AB-DE87-4F39-9675-961352A2F2A8}"/>
    <cellStyle name="Comma 2 2 4 2 10" xfId="5816" xr:uid="{AD861AF7-B326-4FF3-B8B7-A833BCA152B2}"/>
    <cellStyle name="Comma 2 2 4 2 10 2" xfId="38148" xr:uid="{4B1B4F70-79CA-4509-BAB9-479E2AB57B00}"/>
    <cellStyle name="Comma 2 2 4 2 11" xfId="11304" xr:uid="{0FED2FBC-2EF8-4E4F-B2C0-48F949021F96}"/>
    <cellStyle name="Comma 2 2 4 2 11 2" xfId="38625" xr:uid="{072AC56D-1F0F-41CD-9684-C94B8DCFEC36}"/>
    <cellStyle name="Comma 2 2 4 2 12" xfId="39971" xr:uid="{7BF70472-38F3-4798-B0A7-8A111EA6AB15}"/>
    <cellStyle name="Comma 2 2 4 2 13" xfId="40613" xr:uid="{9EB1A783-47AD-43AA-A5B6-400DF9B12F20}"/>
    <cellStyle name="Comma 2 2 4 2 14" xfId="41825" xr:uid="{46CEFCE9-DE20-45C0-ACA3-600A1A1738A2}"/>
    <cellStyle name="Comma 2 2 4 2 15" xfId="42302" xr:uid="{8D4D53F1-9EB4-453E-8A12-B784E76BB843}"/>
    <cellStyle name="Comma 2 2 4 2 16" xfId="43518" xr:uid="{620C5926-5868-4725-AD31-1012BA4E54EF}"/>
    <cellStyle name="Comma 2 2 4 2 17" xfId="44381" xr:uid="{A126BACB-9FEF-4222-AAAF-58B51EB65C4E}"/>
    <cellStyle name="Comma 2 2 4 2 18" xfId="45620" xr:uid="{51DE1E70-99A8-40A1-B16B-2A3144278588}"/>
    <cellStyle name="Comma 2 2 4 2 19" xfId="49249" xr:uid="{4F6F5E02-DFF7-4698-A998-BDF855A8999B}"/>
    <cellStyle name="Comma 2 2 4 2 2" xfId="4421" xr:uid="{7B42557B-961F-4B17-A7EC-097A7D232595}"/>
    <cellStyle name="Comma 2 2 4 2 2 10" xfId="40614" xr:uid="{A3452032-D9D0-44BD-BB74-941B2DDBB128}"/>
    <cellStyle name="Comma 2 2 4 2 2 11" xfId="41826" xr:uid="{8746B2BF-4417-4332-818F-8E2F2B654234}"/>
    <cellStyle name="Comma 2 2 4 2 2 12" xfId="42340" xr:uid="{1E4954A7-6DFF-46FF-9F0F-E133612EC3F0}"/>
    <cellStyle name="Comma 2 2 4 2 2 13" xfId="44222" xr:uid="{4BEC6EB4-A9A7-4D8F-9A6E-54760A334EBB}"/>
    <cellStyle name="Comma 2 2 4 2 2 14" xfId="44522" xr:uid="{52B8526D-6560-4B2D-9692-5501FCE06DA6}"/>
    <cellStyle name="Comma 2 2 4 2 2 15" xfId="45694" xr:uid="{78976BE9-7BDE-4A2E-8B7C-B76D789199B5}"/>
    <cellStyle name="Comma 2 2 4 2 2 16" xfId="49322" xr:uid="{F9454839-6C4B-4198-8D3D-B0293F7724FE}"/>
    <cellStyle name="Comma 2 2 4 2 2 17" xfId="52350" xr:uid="{EFEA82D9-55A9-40D1-BE8B-044199057979}"/>
    <cellStyle name="Comma 2 2 4 2 2 18" xfId="15306" xr:uid="{5365AC51-0C70-4431-9F4E-EC38864A2C7B}"/>
    <cellStyle name="Comma 2 2 4 2 2 19" xfId="14215" xr:uid="{0B2ED0DE-7928-4584-BEDD-4E0D88031D7C}"/>
    <cellStyle name="Comma 2 2 4 2 2 2" xfId="5678" xr:uid="{5D607FAD-7707-4472-A86B-992AD67C505B}"/>
    <cellStyle name="Comma 2 2 4 2 2 2 10" xfId="41827" xr:uid="{E14987D5-8AAB-4C9E-B28D-D0AD984CA702}"/>
    <cellStyle name="Comma 2 2 4 2 2 2 11" xfId="42492" xr:uid="{2D3E2469-A6DA-45E2-8596-B0ACBC6F8241}"/>
    <cellStyle name="Comma 2 2 4 2 2 2 12" xfId="44676" xr:uid="{2B847C3E-9624-4295-81FE-82A488190E6F}"/>
    <cellStyle name="Comma 2 2 4 2 2 2 13" xfId="46690" xr:uid="{DE9FB387-7D40-45E3-9DD5-980600DD1CC5}"/>
    <cellStyle name="Comma 2 2 4 2 2 2 14" xfId="49722" xr:uid="{9D341473-904D-4853-B07C-F85008D65DA1}"/>
    <cellStyle name="Comma 2 2 4 2 2 2 15" xfId="52351" xr:uid="{2D905673-DA7A-4688-82C6-676C3B8A8880}"/>
    <cellStyle name="Comma 2 2 4 2 2 2 16" xfId="16755" xr:uid="{27CC5161-D3F9-4856-AA0A-2524E026409D}"/>
    <cellStyle name="Comma 2 2 4 2 2 2 17" xfId="14707" xr:uid="{CDC9CDB3-97CB-47D1-B3B0-ADAED4253A87}"/>
    <cellStyle name="Comma 2 2 4 2 2 2 2" xfId="10272" xr:uid="{1795509D-B285-40D1-A01B-392251F5353A}"/>
    <cellStyle name="Comma 2 2 4 2 2 2 2 10" xfId="42619" xr:uid="{BEB0793D-C516-4B51-942F-4123D66A70EC}"/>
    <cellStyle name="Comma 2 2 4 2 2 2 2 11" xfId="44786" xr:uid="{B27FC9F2-A813-4DB4-8DDD-67C073353C49}"/>
    <cellStyle name="Comma 2 2 4 2 2 2 2 12" xfId="48232" xr:uid="{BF673563-69A7-4515-9D72-4A2737C2694B}"/>
    <cellStyle name="Comma 2 2 4 2 2 2 2 13" xfId="51050" xr:uid="{BA518714-9A33-4A5A-BAB3-17B4639D7A11}"/>
    <cellStyle name="Comma 2 2 4 2 2 2 2 14" xfId="52352" xr:uid="{0CB03747-AC1C-4EB5-9B10-99B4EB37B3F5}"/>
    <cellStyle name="Comma 2 2 4 2 2 2 2 15" xfId="16972" xr:uid="{6ECDDD10-6919-4F4E-A847-E6154F3D7732}"/>
    <cellStyle name="Comma 2 2 4 2 2 2 2 2" xfId="13578" xr:uid="{9701CE5D-E781-4D24-8178-B296C03AC98C}"/>
    <cellStyle name="Comma 2 2 4 2 2 2 2 2 2" xfId="39533" xr:uid="{DFC85E9D-710E-4179-8040-442BB251E917}"/>
    <cellStyle name="Comma 2 2 4 2 2 2 2 2 3" xfId="41387" xr:uid="{7C003CFA-3094-423F-BEDE-2E3B6AA13F13}"/>
    <cellStyle name="Comma 2 2 4 2 2 2 2 2 4" xfId="43210" xr:uid="{66C8F77E-F8A9-4008-A327-65DDA43C2D8E}"/>
    <cellStyle name="Comma 2 2 4 2 2 2 2 2 5" xfId="45307" xr:uid="{6A704121-D52B-4431-901D-2FB5E43E8149}"/>
    <cellStyle name="Comma 2 2 4 2 2 2 2 2 6" xfId="20967" xr:uid="{F82C1EDE-3D00-4098-8DCE-2A39AE58AE8A}"/>
    <cellStyle name="Comma 2 2 4 2 2 2 2 3" xfId="20186" xr:uid="{08BC84AB-9195-4ECC-A97C-88E38375E400}"/>
    <cellStyle name="Comma 2 2 4 2 2 2 2 4" xfId="23654" xr:uid="{358ACB0F-6108-4D8E-B6BF-098808B778B4}"/>
    <cellStyle name="Comma 2 2 4 2 2 2 2 5" xfId="38151" xr:uid="{090130BE-4F75-441B-B88E-BD869A913009}"/>
    <cellStyle name="Comma 2 2 4 2 2 2 2 6" xfId="38942" xr:uid="{CF3355B1-8926-4DA7-932F-A4A8589FD37D}"/>
    <cellStyle name="Comma 2 2 4 2 2 2 2 7" xfId="39974" xr:uid="{1743EAAB-E3ED-480F-B427-2A75F9D18863}"/>
    <cellStyle name="Comma 2 2 4 2 2 2 2 8" xfId="40616" xr:uid="{FF462238-B083-423F-A440-BD8E1519CD54}"/>
    <cellStyle name="Comma 2 2 4 2 2 2 2 9" xfId="41828" xr:uid="{76DE2355-2219-4433-BF1C-A3F967102898}"/>
    <cellStyle name="Comma 2 2 4 2 2 2 3" xfId="7780" xr:uid="{D34D8C68-7F54-46DF-8BE8-A46E48366DE7}"/>
    <cellStyle name="Comma 2 2 4 2 2 2 3 2" xfId="39406" xr:uid="{9C06711B-0FF4-4F5C-856F-BE6351B610D7}"/>
    <cellStyle name="Comma 2 2 4 2 2 2 3 3" xfId="41262" xr:uid="{9AEDC624-5C60-4A89-A5CF-267CE7C7687B}"/>
    <cellStyle name="Comma 2 2 4 2 2 2 3 4" xfId="43083" xr:uid="{9032060D-750C-40E7-A1E5-BC02D9BD18F6}"/>
    <cellStyle name="Comma 2 2 4 2 2 2 3 5" xfId="45182" xr:uid="{9549B197-2A1D-4520-A075-882F07A74A56}"/>
    <cellStyle name="Comma 2 2 4 2 2 2 3 6" xfId="20781" xr:uid="{5CC1584C-E595-4501-8162-4BDD380C09A0}"/>
    <cellStyle name="Comma 2 2 4 2 2 2 4" xfId="12293" xr:uid="{E33AFF8C-4D49-476B-B6F1-B6A7E6CFF206}"/>
    <cellStyle name="Comma 2 2 4 2 2 2 4 2" xfId="20059" xr:uid="{AD6008FA-6641-4587-BC5B-FEEBDCB734CD}"/>
    <cellStyle name="Comma 2 2 4 2 2 2 5" xfId="23653" xr:uid="{01E55F94-56B7-423C-9833-BD3149B81700}"/>
    <cellStyle name="Comma 2 2 4 2 2 2 6" xfId="38150" xr:uid="{F18F2444-8C0C-4BD9-87D1-D445D397503F}"/>
    <cellStyle name="Comma 2 2 4 2 2 2 7" xfId="38815" xr:uid="{FD77B7CA-1618-4382-8A48-FE2652FB8D8B}"/>
    <cellStyle name="Comma 2 2 4 2 2 2 8" xfId="39973" xr:uid="{9C86094B-7141-42A6-864C-FC41356D8E92}"/>
    <cellStyle name="Comma 2 2 4 2 2 2 9" xfId="40615" xr:uid="{8129F3DD-635A-4207-8116-7ECB6659BE1A}"/>
    <cellStyle name="Comma 2 2 4 2 2 3" xfId="11124" xr:uid="{64CF72D3-5B2D-49CD-BB88-D355C17FD478}"/>
    <cellStyle name="Comma 2 2 4 2 2 3 10" xfId="42618" xr:uid="{4E0026B8-15F0-46AF-9D1C-4F7CC7070298}"/>
    <cellStyle name="Comma 2 2 4 2 2 3 11" xfId="44785" xr:uid="{1B77C7A3-C60B-4CB1-A2CF-1470000EF954}"/>
    <cellStyle name="Comma 2 2 4 2 2 3 12" xfId="46910" xr:uid="{78ABAE4A-9FD8-4E5C-B5BB-08B2F1D9A2C5}"/>
    <cellStyle name="Comma 2 2 4 2 2 3 13" xfId="49929" xr:uid="{32AC8E23-804D-47B4-B1F7-3742E870BCB5}"/>
    <cellStyle name="Comma 2 2 4 2 2 3 14" xfId="52353" xr:uid="{218B94EA-9185-47DC-A315-D1EFE2178F61}"/>
    <cellStyle name="Comma 2 2 4 2 2 3 15" xfId="16971" xr:uid="{B00B31C5-A13D-49B9-8A0D-CABFB5A916E9}"/>
    <cellStyle name="Comma 2 2 4 2 2 3 16" xfId="15022" xr:uid="{4E7D9406-AC9A-4032-B740-D1D0EE5F61FC}"/>
    <cellStyle name="Comma 2 2 4 2 2 3 2" xfId="13721" xr:uid="{B8A59D3C-9437-4D41-B99B-D8B506C92EBB}"/>
    <cellStyle name="Comma 2 2 4 2 2 3 2 2" xfId="39532" xr:uid="{B834DE8F-F1CD-4776-947C-342415196724}"/>
    <cellStyle name="Comma 2 2 4 2 2 3 2 3" xfId="41386" xr:uid="{A27E76A0-883F-4DDD-BF64-70C8EAAB0145}"/>
    <cellStyle name="Comma 2 2 4 2 2 3 2 4" xfId="43209" xr:uid="{26484A48-7A3F-45AD-B013-F6FABA44C86F}"/>
    <cellStyle name="Comma 2 2 4 2 2 3 2 5" xfId="45306" xr:uid="{24468CF9-6AE6-42AA-8B82-CE3512D5CA7D}"/>
    <cellStyle name="Comma 2 2 4 2 2 3 2 6" xfId="48471" xr:uid="{27A25B29-FCB6-4795-B156-14CDBDB0E050}"/>
    <cellStyle name="Comma 2 2 4 2 2 3 2 7" xfId="51257" xr:uid="{9264CC0D-0975-4C0D-9654-9C9072267CEB}"/>
    <cellStyle name="Comma 2 2 4 2 2 3 2 8" xfId="52354" xr:uid="{97724735-1FE6-4131-B3B4-9555F39A1BAD}"/>
    <cellStyle name="Comma 2 2 4 2 2 3 2 9" xfId="20966" xr:uid="{C01692A3-AAF7-4886-ADBB-5FA27FF853DD}"/>
    <cellStyle name="Comma 2 2 4 2 2 3 3" xfId="20185" xr:uid="{1ACC8E17-34A3-459F-9350-E3F3A174771F}"/>
    <cellStyle name="Comma 2 2 4 2 2 3 4" xfId="23655" xr:uid="{4EBF1443-3345-469D-8E70-0687CD17E43C}"/>
    <cellStyle name="Comma 2 2 4 2 2 3 5" xfId="38152" xr:uid="{0FE0A782-946C-4C52-8034-D1180290F588}"/>
    <cellStyle name="Comma 2 2 4 2 2 3 6" xfId="38941" xr:uid="{6204591D-19F3-4821-81EE-9B66C125C0DF}"/>
    <cellStyle name="Comma 2 2 4 2 2 3 7" xfId="39975" xr:uid="{7F4C48A5-B120-43B3-B80E-537924C53FBF}"/>
    <cellStyle name="Comma 2 2 4 2 2 3 8" xfId="40617" xr:uid="{648F21F7-3CC8-455E-B654-3F4849016ECD}"/>
    <cellStyle name="Comma 2 2 4 2 2 3 9" xfId="41829" xr:uid="{F1429837-1221-411F-A981-0D64438B971A}"/>
    <cellStyle name="Comma 2 2 4 2 2 4" xfId="9778" xr:uid="{0931C8CF-7184-4DE5-B1C5-4A8C3A205337}"/>
    <cellStyle name="Comma 2 2 4 2 2 4 2" xfId="13084" xr:uid="{2C561FBB-90E2-464A-8091-CB9737B4BF3F}"/>
    <cellStyle name="Comma 2 2 4 2 2 4 2 2" xfId="49088" xr:uid="{6A3713A0-A1C0-4FBB-928E-FA8365E78591}"/>
    <cellStyle name="Comma 2 2 4 2 2 4 2 3" xfId="51768" xr:uid="{CEB5BC6A-C689-443E-9844-F52E8696B864}"/>
    <cellStyle name="Comma 2 2 4 2 2 4 2 4" xfId="52355" xr:uid="{440513C8-E715-4E1C-A93B-C45ED85E1A64}"/>
    <cellStyle name="Comma 2 2 4 2 2 4 2 5" xfId="39254" xr:uid="{75CB9311-BDDD-4B0A-AF2C-9E2C1FFD7E2B}"/>
    <cellStyle name="Comma 2 2 4 2 2 4 3" xfId="41122" xr:uid="{78FD4C93-D6E7-430F-B139-FF540E10AC69}"/>
    <cellStyle name="Comma 2 2 4 2 2 4 4" xfId="42931" xr:uid="{FB49B712-2D15-4867-A820-74DB416B12A4}"/>
    <cellStyle name="Comma 2 2 4 2 2 4 5" xfId="45038" xr:uid="{344C33B3-21C3-48EE-B4CE-E27868636F32}"/>
    <cellStyle name="Comma 2 2 4 2 2 4 6" xfId="47505" xr:uid="{4A1FE4FF-DF7D-4445-9D85-08B933BE677F}"/>
    <cellStyle name="Comma 2 2 4 2 2 4 7" xfId="50440" xr:uid="{132FEC5E-1D9F-49E1-8C56-3D2F6B28C769}"/>
    <cellStyle name="Comma 2 2 4 2 2 4 8" xfId="52356" xr:uid="{3DD221E9-90F1-449D-AC17-33A75EB13C09}"/>
    <cellStyle name="Comma 2 2 4 2 2 4 9" xfId="20499" xr:uid="{1B22136F-D4FE-4D97-9B48-F5669BF13086}"/>
    <cellStyle name="Comma 2 2 4 2 2 5" xfId="7276" xr:uid="{B69657B3-4439-4BBA-84C3-BD77B6E83873}"/>
    <cellStyle name="Comma 2 2 4 2 2 5 2" xfId="47751" xr:uid="{F1499599-8DFF-47BF-92EF-30A5D8830279}"/>
    <cellStyle name="Comma 2 2 4 2 2 5 3" xfId="50650" xr:uid="{45480088-627E-4CAC-A78F-15E06DC5F58A}"/>
    <cellStyle name="Comma 2 2 4 2 2 5 4" xfId="52357" xr:uid="{78D9DD26-F6B7-404D-B46C-419D6AC15ACD}"/>
    <cellStyle name="Comma 2 2 4 2 2 5 5" xfId="19906" xr:uid="{75A491E7-07C0-4848-BEDC-13E2ECDE8959}"/>
    <cellStyle name="Comma 2 2 4 2 2 6" xfId="11799" xr:uid="{B1829155-1E5E-4E55-B412-2BE45FE3FCCF}"/>
    <cellStyle name="Comma 2 2 4 2 2 6 2" xfId="23652" xr:uid="{5799B02B-719D-4F2E-A281-A050B0C118D7}"/>
    <cellStyle name="Comma 2 2 4 2 2 7" xfId="38149" xr:uid="{18FCF6EF-7EA9-4471-B29C-F1A1ABCAF002}"/>
    <cellStyle name="Comma 2 2 4 2 2 8" xfId="38663" xr:uid="{09DF0EDC-A25C-4715-977D-5E93D43191C0}"/>
    <cellStyle name="Comma 2 2 4 2 2 9" xfId="39972" xr:uid="{C00F180C-C7CE-4983-8FF7-D367CBF69D8E}"/>
    <cellStyle name="Comma 2 2 4 2 20" xfId="52358" xr:uid="{CFF1DC75-6521-4E4F-900A-A7E3D248F624}"/>
    <cellStyle name="Comma 2 2 4 2 21" xfId="15204" xr:uid="{33E62788-4B3D-47CD-AC23-A58B4A12F793}"/>
    <cellStyle name="Comma 2 2 4 2 22" xfId="13901" xr:uid="{35E10885-AF8C-429E-A401-83464371EFB8}"/>
    <cellStyle name="Comma 2 2 4 2 3" xfId="5502" xr:uid="{FF3A6D50-26A2-46C6-8D04-7BDE05EA6D9C}"/>
    <cellStyle name="Comma 2 2 4 2 3 10" xfId="41830" xr:uid="{00B82EA6-2EE1-4B68-B030-E4A4F7B63A22}"/>
    <cellStyle name="Comma 2 2 4 2 3 11" xfId="42453" xr:uid="{4B4346C6-F972-4BFF-8AB8-AB8A660D0BE6}"/>
    <cellStyle name="Comma 2 2 4 2 3 12" xfId="43791" xr:uid="{FD232C6D-3239-4223-B47F-9AE0CDA0FF78}"/>
    <cellStyle name="Comma 2 2 4 2 3 13" xfId="44653" xr:uid="{1BFA5318-EC08-406A-A947-30D7A1AE2F00}"/>
    <cellStyle name="Comma 2 2 4 2 3 14" xfId="46549" xr:uid="{B9E0B955-D200-418E-9C24-ECB1FCB7D2B8}"/>
    <cellStyle name="Comma 2 2 4 2 3 15" xfId="49582" xr:uid="{C3EDEC98-9014-4B80-ABC9-5807AF32F3EE}"/>
    <cellStyle name="Comma 2 2 4 2 3 16" xfId="52359" xr:uid="{F6DA235F-EA5E-4B07-ABD4-6680B147564B}"/>
    <cellStyle name="Comma 2 2 4 2 3 17" xfId="16647" xr:uid="{5D8D7084-6E8C-4BE2-9416-C038DA5296E1}"/>
    <cellStyle name="Comma 2 2 4 2 3 18" xfId="14039" xr:uid="{2921A316-D9BC-486F-9EFE-433F542086FB}"/>
    <cellStyle name="Comma 2 2 4 2 3 2" xfId="7604" xr:uid="{23C18C01-CD73-4085-8A1F-82C164792D27}"/>
    <cellStyle name="Comma 2 2 4 2 3 2 10" xfId="42620" xr:uid="{3BFCADD4-F18B-48E1-96B4-31A66A2EC3ED}"/>
    <cellStyle name="Comma 2 2 4 2 3 2 11" xfId="44787" xr:uid="{27BF442C-62D2-4D3D-9D09-BF453A46E65C}"/>
    <cellStyle name="Comma 2 2 4 2 3 2 12" xfId="47040" xr:uid="{1B5FA7C6-237E-4E14-AC96-F44D60168BA4}"/>
    <cellStyle name="Comma 2 2 4 2 3 2 13" xfId="50041" xr:uid="{583E0DBF-DBF8-4F55-B365-63FF4E0E579D}"/>
    <cellStyle name="Comma 2 2 4 2 3 2 14" xfId="52360" xr:uid="{4100863E-DBF4-4D77-B8AA-C1CADA319778}"/>
    <cellStyle name="Comma 2 2 4 2 3 2 15" xfId="16973" xr:uid="{3A2EC532-137A-479B-8B4B-CC107D6CEA31}"/>
    <cellStyle name="Comma 2 2 4 2 3 2 16" xfId="14531" xr:uid="{6A9D6E52-B3D0-4B67-B84B-EC72C15F5F5A}"/>
    <cellStyle name="Comma 2 2 4 2 3 2 2" xfId="10096" xr:uid="{EA9FC86B-321F-4C51-A390-683108B4D1EC}"/>
    <cellStyle name="Comma 2 2 4 2 3 2 2 2" xfId="13402" xr:uid="{A8455228-11C2-49C5-87F3-AF3106A93BA2}"/>
    <cellStyle name="Comma 2 2 4 2 3 2 2 2 2" xfId="39534" xr:uid="{36AB6207-6E43-4878-85AE-A4FA584A5233}"/>
    <cellStyle name="Comma 2 2 4 2 3 2 2 3" xfId="41388" xr:uid="{B578AF6F-AE44-4646-AB80-0BA2999F66CB}"/>
    <cellStyle name="Comma 2 2 4 2 3 2 2 4" xfId="43211" xr:uid="{EAA4A86F-6833-4CD2-A232-80CCDB65C146}"/>
    <cellStyle name="Comma 2 2 4 2 3 2 2 5" xfId="45308" xr:uid="{16283D43-7C52-4D40-AF70-DF3CE7C64A30}"/>
    <cellStyle name="Comma 2 2 4 2 3 2 2 6" xfId="48606" xr:uid="{9402ACDF-F4E9-41CA-B2FA-0FC41143F9D9}"/>
    <cellStyle name="Comma 2 2 4 2 3 2 2 7" xfId="51369" xr:uid="{0804E9F6-251B-4008-B28D-522FA01B9E55}"/>
    <cellStyle name="Comma 2 2 4 2 3 2 2 8" xfId="52361" xr:uid="{DDAA745A-480B-4170-A381-CFEF232AC2B9}"/>
    <cellStyle name="Comma 2 2 4 2 3 2 2 9" xfId="20968" xr:uid="{71EA5E49-A176-43CB-9EA9-D24488245C98}"/>
    <cellStyle name="Comma 2 2 4 2 3 2 3" xfId="12117" xr:uid="{3DC155DF-6BA0-499A-A3E4-D5DCE69EDDAD}"/>
    <cellStyle name="Comma 2 2 4 2 3 2 3 2" xfId="20187" xr:uid="{EC7C7F91-4FEE-4413-81E1-6D0BEC70105D}"/>
    <cellStyle name="Comma 2 2 4 2 3 2 4" xfId="23657" xr:uid="{AF01D685-376B-480B-8016-45C150BB670F}"/>
    <cellStyle name="Comma 2 2 4 2 3 2 5" xfId="38154" xr:uid="{361911B7-5761-404E-B632-412BA34BB917}"/>
    <cellStyle name="Comma 2 2 4 2 3 2 6" xfId="38943" xr:uid="{9DAD8751-DB6E-45DA-8D8F-86B66BDEEE2E}"/>
    <cellStyle name="Comma 2 2 4 2 3 2 7" xfId="39977" xr:uid="{B87716A0-9DD4-4C2A-8A0F-4AC0BCBBF80D}"/>
    <cellStyle name="Comma 2 2 4 2 3 2 8" xfId="40619" xr:uid="{F76ACAB4-BB10-4083-B763-1F36937198E8}"/>
    <cellStyle name="Comma 2 2 4 2 3 2 9" xfId="41831" xr:uid="{0AA5EB87-03C8-4793-964D-89D62ECEC4D8}"/>
    <cellStyle name="Comma 2 2 4 2 3 3" xfId="9602" xr:uid="{D43E17D2-A21E-4970-AE4A-A43CE91D701A}"/>
    <cellStyle name="Comma 2 2 4 2 3 3 2" xfId="12908" xr:uid="{02BFEA76-DDCF-4EC9-960E-87578EDAECEB}"/>
    <cellStyle name="Comma 2 2 4 2 3 3 2 2" xfId="48916" xr:uid="{0B6B8866-F1B7-4735-B089-C12089DDB3DB}"/>
    <cellStyle name="Comma 2 2 4 2 3 3 2 3" xfId="51628" xr:uid="{A9AA03A6-208E-4DEF-BDFA-A65FF5DBA61E}"/>
    <cellStyle name="Comma 2 2 4 2 3 3 2 4" xfId="52362" xr:uid="{5CA9F357-4438-4CBA-B647-274F3E87B7F1}"/>
    <cellStyle name="Comma 2 2 4 2 3 3 2 5" xfId="39367" xr:uid="{7EBB79EE-35A6-4DA2-B13D-47AA9F5C6317}"/>
    <cellStyle name="Comma 2 2 4 2 3 3 3" xfId="41225" xr:uid="{A1AA909E-F9A0-4A56-941B-8047E60394BC}"/>
    <cellStyle name="Comma 2 2 4 2 3 3 4" xfId="43044" xr:uid="{AB3B0F24-71C6-4A24-9145-3B41D73EFAE2}"/>
    <cellStyle name="Comma 2 2 4 2 3 3 5" xfId="45145" xr:uid="{81A4314A-801B-4215-AEB1-1116DC6C94E3}"/>
    <cellStyle name="Comma 2 2 4 2 3 3 6" xfId="47340" xr:uid="{0DD3F82E-3AC9-42F8-AC3A-D8C8A51AF003}"/>
    <cellStyle name="Comma 2 2 4 2 3 3 7" xfId="50300" xr:uid="{38EEA91D-F908-4345-ACA1-4AB0942FD623}"/>
    <cellStyle name="Comma 2 2 4 2 3 3 8" xfId="52363" xr:uid="{51DE792A-1D61-412D-ABF9-95DDC23DFF11}"/>
    <cellStyle name="Comma 2 2 4 2 3 3 9" xfId="20741" xr:uid="{59130F77-2C9F-4E19-9821-D8BBA537F0EA}"/>
    <cellStyle name="Comma 2 2 4 2 3 4" xfId="7098" xr:uid="{AFD6194F-ECC8-43A9-BBC9-F79B004E37DB}"/>
    <cellStyle name="Comma 2 2 4 2 3 4 2" xfId="48061" xr:uid="{8CAC1692-405B-4210-86E0-09D2DF9408BF}"/>
    <cellStyle name="Comma 2 2 4 2 3 4 3" xfId="50910" xr:uid="{9E820E45-106D-4B1A-977C-B69D7DD11096}"/>
    <cellStyle name="Comma 2 2 4 2 3 4 4" xfId="52364" xr:uid="{B738D69F-9F72-4233-B920-479316229C98}"/>
    <cellStyle name="Comma 2 2 4 2 3 4 5" xfId="20020" xr:uid="{381A315B-43D1-423B-9A38-810723BFCDED}"/>
    <cellStyle name="Comma 2 2 4 2 3 5" xfId="11623" xr:uid="{875A2DDF-235F-49A4-8EA1-BDB68C359B47}"/>
    <cellStyle name="Comma 2 2 4 2 3 5 2" xfId="23656" xr:uid="{C5D10F5B-4E61-4893-BA01-65B0126BE2F5}"/>
    <cellStyle name="Comma 2 2 4 2 3 6" xfId="38153" xr:uid="{A317D0B1-9FD7-4859-8FDE-9CBF1DF39776}"/>
    <cellStyle name="Comma 2 2 4 2 3 7" xfId="38776" xr:uid="{DC2755F0-9C23-4446-ADB0-7EED2161B6EB}"/>
    <cellStyle name="Comma 2 2 4 2 3 8" xfId="39976" xr:uid="{29F43316-7281-47C2-A19D-080030E03AB6}"/>
    <cellStyle name="Comma 2 2 4 2 3 9" xfId="40618" xr:uid="{8BC63969-641F-4BB7-A342-C79D355221BC}"/>
    <cellStyle name="Comma 2 2 4 2 4" xfId="6492" xr:uid="{0E99303B-3302-41F0-A028-E2697F46F9B7}"/>
    <cellStyle name="Comma 2 2 4 2 4 10" xfId="41832" xr:uid="{8D31FC91-F71F-4D32-B34D-CA04C03FEF52}"/>
    <cellStyle name="Comma 2 2 4 2 4 11" xfId="42392" xr:uid="{C2ED54A8-F383-4871-A790-BB1D194F3E8B}"/>
    <cellStyle name="Comma 2 2 4 2 4 12" xfId="44621" xr:uid="{B9202066-AAC3-48B8-AA50-045EDF0D7E5D}"/>
    <cellStyle name="Comma 2 2 4 2 4 13" xfId="46131" xr:uid="{8FA5DB31-B43D-439F-A223-E69DDA812844}"/>
    <cellStyle name="Comma 2 2 4 2 4 14" xfId="49467" xr:uid="{9FA54C24-4575-442D-9D5F-8FEE49402804}"/>
    <cellStyle name="Comma 2 2 4 2 4 15" xfId="52365" xr:uid="{2FB01429-8BB3-4B09-BD59-DB35FA4F514D}"/>
    <cellStyle name="Comma 2 2 4 2 4 16" xfId="16367" xr:uid="{E10E4AF4-7EDD-40BD-AFED-3CCFB8E6EC59}"/>
    <cellStyle name="Comma 2 2 4 2 4 17" xfId="14393" xr:uid="{CB9D5AB4-23FF-43D2-AADC-FE94E0600B8A}"/>
    <cellStyle name="Comma 2 2 4 2 4 2" xfId="9464" xr:uid="{8182CFFF-3D68-45A6-8105-2082F6770500}"/>
    <cellStyle name="Comma 2 2 4 2 4 2 10" xfId="42621" xr:uid="{CC641C7A-7BFC-4C9C-A6F6-2566C51891F6}"/>
    <cellStyle name="Comma 2 2 4 2 4 2 11" xfId="44788" xr:uid="{E6BF3079-DE41-4CD2-A317-CDA51509534A}"/>
    <cellStyle name="Comma 2 2 4 2 4 2 12" xfId="47926" xr:uid="{6600E890-B306-491B-9865-ACB397E23CA1}"/>
    <cellStyle name="Comma 2 2 4 2 4 2 13" xfId="50795" xr:uid="{92128265-F23B-462E-85FD-4EECFCE028CD}"/>
    <cellStyle name="Comma 2 2 4 2 4 2 14" xfId="52366" xr:uid="{EE60A019-787B-4C26-9CFF-30E2BC20848A}"/>
    <cellStyle name="Comma 2 2 4 2 4 2 15" xfId="16974" xr:uid="{31461B35-C177-43FE-96C0-C23755438E5C}"/>
    <cellStyle name="Comma 2 2 4 2 4 2 2" xfId="12770" xr:uid="{2F6E84FC-7ABD-4A52-A760-8079FDDDC34C}"/>
    <cellStyle name="Comma 2 2 4 2 4 2 2 2" xfId="39535" xr:uid="{419695D1-54AF-4C64-8BF5-9F19165911BD}"/>
    <cellStyle name="Comma 2 2 4 2 4 2 2 3" xfId="41389" xr:uid="{105460F7-0BE7-4A8E-A795-282FEB641C92}"/>
    <cellStyle name="Comma 2 2 4 2 4 2 2 4" xfId="43212" xr:uid="{4067AA52-C783-481A-B1F8-25DA88D56896}"/>
    <cellStyle name="Comma 2 2 4 2 4 2 2 5" xfId="45309" xr:uid="{1712F889-57A8-478E-96A9-D0CA297493F9}"/>
    <cellStyle name="Comma 2 2 4 2 4 2 2 6" xfId="20969" xr:uid="{C423F8FD-FB13-438D-A07E-ED7D82712A65}"/>
    <cellStyle name="Comma 2 2 4 2 4 2 3" xfId="20188" xr:uid="{E00080E9-8A86-4D89-B0EF-D9DBB9B69724}"/>
    <cellStyle name="Comma 2 2 4 2 4 2 4" xfId="23659" xr:uid="{E77DF43E-5F65-48A5-9B93-66512AB1C294}"/>
    <cellStyle name="Comma 2 2 4 2 4 2 5" xfId="38156" xr:uid="{8375ADB4-0780-44CF-8A4D-6F6FB3F23761}"/>
    <cellStyle name="Comma 2 2 4 2 4 2 6" xfId="38944" xr:uid="{DDD3A58D-5577-4F08-AD75-3BDD21CEBD84}"/>
    <cellStyle name="Comma 2 2 4 2 4 2 7" xfId="39979" xr:uid="{5101F508-F0BD-46C6-A02E-5DD330197AC3}"/>
    <cellStyle name="Comma 2 2 4 2 4 2 8" xfId="40621" xr:uid="{C65974E4-B836-48CE-8D48-326C29B35664}"/>
    <cellStyle name="Comma 2 2 4 2 4 2 9" xfId="41833" xr:uid="{50AED093-C9EF-4AEF-B51F-E327706E1CD1}"/>
    <cellStyle name="Comma 2 2 4 2 4 3" xfId="11485" xr:uid="{DF616157-965B-44D0-9492-A1576A393758}"/>
    <cellStyle name="Comma 2 2 4 2 4 3 2" xfId="39306" xr:uid="{C74AF76E-51C3-430D-BBF3-3F3905508452}"/>
    <cellStyle name="Comma 2 2 4 2 4 3 3" xfId="41168" xr:uid="{2EC5C7ED-6A07-4291-A6D5-1E21031E5D30}"/>
    <cellStyle name="Comma 2 2 4 2 4 3 4" xfId="42983" xr:uid="{190DA5C1-48F5-4F48-9DD0-7DFDA5C92ADB}"/>
    <cellStyle name="Comma 2 2 4 2 4 3 5" xfId="45088" xr:uid="{0D38348C-A54F-4AB0-96EC-6B3FCA2F45E2}"/>
    <cellStyle name="Comma 2 2 4 2 4 3 6" xfId="20612" xr:uid="{E7E3C4CE-1D67-4FE4-96DF-58C4955B0BA6}"/>
    <cellStyle name="Comma 2 2 4 2 4 4" xfId="19959" xr:uid="{6FD1C631-84D6-4C08-A834-CF90D5F162CC}"/>
    <cellStyle name="Comma 2 2 4 2 4 5" xfId="23658" xr:uid="{EBD76264-80C9-4048-8415-8F1C8F5132F6}"/>
    <cellStyle name="Comma 2 2 4 2 4 6" xfId="38155" xr:uid="{A447AD75-ED93-47B9-8FA6-7CCF780CBD56}"/>
    <cellStyle name="Comma 2 2 4 2 4 7" xfId="38715" xr:uid="{E7EA089B-92B8-45A9-9123-95F614531B25}"/>
    <cellStyle name="Comma 2 2 4 2 4 8" xfId="39978" xr:uid="{AF5F1162-8ED3-492E-BF5B-EC0ED5EEAF18}"/>
    <cellStyle name="Comma 2 2 4 2 4 9" xfId="40620" xr:uid="{B452F9EC-6007-4825-96FA-3A590FB23BA5}"/>
    <cellStyle name="Comma 2 2 4 2 5" xfId="7466" xr:uid="{02EDABFC-FB29-453C-BAB8-7B52DAF7A151}"/>
    <cellStyle name="Comma 2 2 4 2 5 10" xfId="42617" xr:uid="{D675EA91-BF44-4263-9A85-8B1AC0F4282A}"/>
    <cellStyle name="Comma 2 2 4 2 5 11" xfId="44784" xr:uid="{78191B80-2CE6-461A-A05C-808C17921A8A}"/>
    <cellStyle name="Comma 2 2 4 2 5 12" xfId="46811" xr:uid="{219F1481-D040-4B7B-BE94-BACDF13BF348}"/>
    <cellStyle name="Comma 2 2 4 2 5 13" xfId="49835" xr:uid="{B61764E5-9A08-4D31-8AE1-65EA7D0483AE}"/>
    <cellStyle name="Comma 2 2 4 2 5 14" xfId="52367" xr:uid="{258DA71D-7651-4E80-B6B0-32B648065432}"/>
    <cellStyle name="Comma 2 2 4 2 5 15" xfId="16970" xr:uid="{74261302-B85A-45C1-ACCB-62CFBCE26131}"/>
    <cellStyle name="Comma 2 2 4 2 5 16" xfId="14846" xr:uid="{51C59048-AECE-4C68-9DB8-0FB276B27DA2}"/>
    <cellStyle name="Comma 2 2 4 2 5 2" xfId="9958" xr:uid="{613BEA12-D0F4-4095-8048-C78E18112E03}"/>
    <cellStyle name="Comma 2 2 4 2 5 2 2" xfId="13264" xr:uid="{7727760A-D1C8-4B39-AF74-35D568F00AE2}"/>
    <cellStyle name="Comma 2 2 4 2 5 2 2 2" xfId="39531" xr:uid="{C5B17BFE-7890-46BA-9B2B-3231FB9369A5}"/>
    <cellStyle name="Comma 2 2 4 2 5 2 3" xfId="41385" xr:uid="{0ECB2A2F-0123-4BBA-B97E-D5C186256FEA}"/>
    <cellStyle name="Comma 2 2 4 2 5 2 4" xfId="43208" xr:uid="{2E93FC50-D648-411F-891D-A8DFC1EC4894}"/>
    <cellStyle name="Comma 2 2 4 2 5 2 5" xfId="45305" xr:uid="{2D6985D0-F8E8-4CA0-8727-A6501078E95B}"/>
    <cellStyle name="Comma 2 2 4 2 5 2 6" xfId="48362" xr:uid="{5A228DDD-F401-4F84-A54F-A18CCE64400D}"/>
    <cellStyle name="Comma 2 2 4 2 5 2 7" xfId="51163" xr:uid="{49E62C0F-2009-4E88-9515-2838974CA681}"/>
    <cellStyle name="Comma 2 2 4 2 5 2 8" xfId="52368" xr:uid="{3B1ED0F1-9251-4FF2-88BC-A07F63B8BC30}"/>
    <cellStyle name="Comma 2 2 4 2 5 2 9" xfId="20965" xr:uid="{914E8C53-EBF3-41F4-9348-A2D97323E874}"/>
    <cellStyle name="Comma 2 2 4 2 5 3" xfId="11979" xr:uid="{67CA3B41-64D8-439F-B5CB-ED068C6226B3}"/>
    <cellStyle name="Comma 2 2 4 2 5 3 2" xfId="20184" xr:uid="{E56C634E-288F-4EE8-931D-7DC4B646C628}"/>
    <cellStyle name="Comma 2 2 4 2 5 4" xfId="23660" xr:uid="{409DFFB1-E212-4D30-82B9-164862537061}"/>
    <cellStyle name="Comma 2 2 4 2 5 5" xfId="38157" xr:uid="{1174BF61-5BAC-4B32-9AF6-57559EACCB4E}"/>
    <cellStyle name="Comma 2 2 4 2 5 6" xfId="38940" xr:uid="{CC5AD4B6-B5D2-4B49-9494-E1CCA7AB7022}"/>
    <cellStyle name="Comma 2 2 4 2 5 7" xfId="39980" xr:uid="{37D0C91B-46A8-4D37-B549-F6C039014BAB}"/>
    <cellStyle name="Comma 2 2 4 2 5 8" xfId="40622" xr:uid="{3A47B81F-05E9-4FEF-A2A1-1FF2B24F9AFF}"/>
    <cellStyle name="Comma 2 2 4 2 5 9" xfId="41834" xr:uid="{2C00083C-B76E-47D8-B03B-60E7459636A4}"/>
    <cellStyle name="Comma 2 2 4 2 6" xfId="8132" xr:uid="{97A9DCB7-CF52-463E-8F4B-6E77FBAEB34F}"/>
    <cellStyle name="Comma 2 2 4 2 6 10" xfId="42817" xr:uid="{0A2DA54E-E618-4411-A20A-8FA432260607}"/>
    <cellStyle name="Comma 2 2 4 2 6 11" xfId="44944" xr:uid="{D2F6CBCF-328B-48FF-BC9B-4E02D4E59A07}"/>
    <cellStyle name="Comma 2 2 4 2 6 12" xfId="47207" xr:uid="{8F4A1BD1-3932-43DB-8B3B-E25FCE9485FA}"/>
    <cellStyle name="Comma 2 2 4 2 6 13" xfId="50185" xr:uid="{5DB29691-9AD2-4E9C-A5E7-916A9A66FA76}"/>
    <cellStyle name="Comma 2 2 4 2 6 14" xfId="52369" xr:uid="{B30156A5-9D43-4041-BFA1-F97F6C1AC903}"/>
    <cellStyle name="Comma 2 2 4 2 6 15" xfId="19723" xr:uid="{05DB7AAA-9569-410E-9BA7-BFD617C8A535}"/>
    <cellStyle name="Comma 2 2 4 2 6 2" xfId="12588" xr:uid="{DD2BBFFB-7B31-407F-AE87-7BB059AB0FF5}"/>
    <cellStyle name="Comma 2 2 4 2 6 2 2" xfId="39731" xr:uid="{1BB3FD3B-6297-4B12-93F3-D46A4C199089}"/>
    <cellStyle name="Comma 2 2 4 2 6 2 3" xfId="41584" xr:uid="{7B1EDBD3-DA2C-4CCE-8F57-656DF65CEB02}"/>
    <cellStyle name="Comma 2 2 4 2 6 2 4" xfId="43408" xr:uid="{08D97316-646D-41A8-BA28-DACCE0F69D07}"/>
    <cellStyle name="Comma 2 2 4 2 6 2 5" xfId="45487" xr:uid="{1994C660-0171-44F8-8E3E-B71560E6B29A}"/>
    <cellStyle name="Comma 2 2 4 2 6 2 6" xfId="48778" xr:uid="{5A7D0787-C384-4F7D-9A44-C43AA572921F}"/>
    <cellStyle name="Comma 2 2 4 2 6 2 7" xfId="51513" xr:uid="{2751B5AA-CD04-4815-B9C5-FC7D529C8742}"/>
    <cellStyle name="Comma 2 2 4 2 6 2 8" xfId="52370" xr:uid="{72F73A39-6922-4372-989F-2C6F4774E572}"/>
    <cellStyle name="Comma 2 2 4 2 6 2 9" xfId="23340" xr:uid="{4F06E6C9-5247-4D54-AF4D-26F99CF6BD50}"/>
    <cellStyle name="Comma 2 2 4 2 6 3" xfId="20384" xr:uid="{C87DD15C-669E-4AEC-9333-3D24F66E8B5E}"/>
    <cellStyle name="Comma 2 2 4 2 6 4" xfId="23661" xr:uid="{EA68879F-21A8-4773-A526-8B30EB0305C8}"/>
    <cellStyle name="Comma 2 2 4 2 6 5" xfId="38158" xr:uid="{BB527A42-DF69-487D-BFAF-1021097A8E2B}"/>
    <cellStyle name="Comma 2 2 4 2 6 6" xfId="39140" xr:uid="{983ADA15-459C-4888-B66D-0E848EDE6727}"/>
    <cellStyle name="Comma 2 2 4 2 6 7" xfId="39981" xr:uid="{C3608825-D39C-46D2-BECF-587AA772432D}"/>
    <cellStyle name="Comma 2 2 4 2 6 8" xfId="40623" xr:uid="{444C173E-ADE2-44CF-9AB7-98DC53A1A9BB}"/>
    <cellStyle name="Comma 2 2 4 2 6 9" xfId="41835" xr:uid="{29E7AF57-28AF-45A6-80AF-C5AA85739184}"/>
    <cellStyle name="Comma 2 2 4 2 7" xfId="8104" xr:uid="{13154E25-EE91-4900-9948-5685954C5558}"/>
    <cellStyle name="Comma 2 2 4 2 7 2" xfId="12560" xr:uid="{BA8DC052-7F08-409D-83AC-A7A606A9E954}"/>
    <cellStyle name="Comma 2 2 4 2 7 2 2" xfId="39216" xr:uid="{71C8019C-A8EF-4109-AD44-556B736E11F0}"/>
    <cellStyle name="Comma 2 2 4 2 7 3" xfId="41088" xr:uid="{F15F6A04-78B0-4969-8791-34B9879E5561}"/>
    <cellStyle name="Comma 2 2 4 2 7 4" xfId="42893" xr:uid="{2E83C53C-B791-44AA-8D9F-8AB5831A9ABA}"/>
    <cellStyle name="Comma 2 2 4 2 7 5" xfId="45000" xr:uid="{0F8C1D89-9107-49A3-A49C-DC1817B31F74}"/>
    <cellStyle name="Comma 2 2 4 2 7 6" xfId="47669" xr:uid="{37134CE0-E793-41AE-8347-B6CE20004721}"/>
    <cellStyle name="Comma 2 2 4 2 7 7" xfId="50577" xr:uid="{E7E75B04-462D-45C1-B40A-3AE2CE7C1362}"/>
    <cellStyle name="Comma 2 2 4 2 7 8" xfId="52371" xr:uid="{11672561-D7F6-4F47-842E-294D45D31CDD}"/>
    <cellStyle name="Comma 2 2 4 2 7 9" xfId="20461" xr:uid="{49A7DDCF-803E-414A-BBF2-11F5BFB8C2E7}"/>
    <cellStyle name="Comma 2 2 4 2 8" xfId="7919" xr:uid="{4987511F-2701-4957-83A4-4624D9F04CDD}"/>
    <cellStyle name="Comma 2 2 4 2 8 2" xfId="12432" xr:uid="{B94B4FA0-D81F-4951-9B27-3AE85E52D928}"/>
    <cellStyle name="Comma 2 2 4 2 8 3" xfId="19867" xr:uid="{A41362D9-9508-4E9B-9A71-A4F1ED363A57}"/>
    <cellStyle name="Comma 2 2 4 2 9" xfId="11272" xr:uid="{F46B4370-8214-4356-9F29-EB93B602B5D1}"/>
    <cellStyle name="Comma 2 2 4 2 9 2" xfId="13831" xr:uid="{B9FE6B94-3F60-477B-BEF6-1F3444002126}"/>
    <cellStyle name="Comma 2 2 4 2 9 3" xfId="23651" xr:uid="{D6D9B5F7-A604-4D1F-A07D-6593FFF8E382}"/>
    <cellStyle name="Comma 2 2 4 20" xfId="44380" xr:uid="{D4B8920F-07C3-438C-84B3-BF062623F7FB}"/>
    <cellStyle name="Comma 2 2 4 21" xfId="45580" xr:uid="{55ED224E-5866-402A-A95E-760D26725DAF}"/>
    <cellStyle name="Comma 2 2 4 22" xfId="49210" xr:uid="{D11ABD37-0FB6-425C-82C8-7621BDA7CE22}"/>
    <cellStyle name="Comma 2 2 4 23" xfId="52372" xr:uid="{46C898F2-082F-46DC-911E-26D2ADE52A1E}"/>
    <cellStyle name="Comma 2 2 4 24" xfId="15203" xr:uid="{2053FFB2-B56B-4686-8EAB-26B70DA3F089}"/>
    <cellStyle name="Comma 2 2 4 25" xfId="13846" xr:uid="{CA96A82A-5C08-4827-9318-26F8CD315A05}"/>
    <cellStyle name="Comma 2 2 4 3" xfId="1746" xr:uid="{FC0141D7-AD27-4F0B-86DB-8830FA73DB79}"/>
    <cellStyle name="Comma 2 2 4 3 10" xfId="38159" xr:uid="{B6AB42AB-63E6-4D11-BC32-B6A257DC67E6}"/>
    <cellStyle name="Comma 2 2 4 3 11" xfId="38626" xr:uid="{72980ED1-7DDA-47AA-9E1D-280ECCF3BA4F}"/>
    <cellStyle name="Comma 2 2 4 3 12" xfId="39982" xr:uid="{3A17EAC2-11F1-4F0F-8954-C57E56E17B24}"/>
    <cellStyle name="Comma 2 2 4 3 13" xfId="40624" xr:uid="{BCA9CEB5-9B98-44FA-B627-8854B53671AC}"/>
    <cellStyle name="Comma 2 2 4 3 14" xfId="41836" xr:uid="{BF2CB5B3-CC3F-4AA8-AAC9-BD8128607BA3}"/>
    <cellStyle name="Comma 2 2 4 3 15" xfId="42303" xr:uid="{081A5D05-D79B-479E-AC8D-317CA98D7BCA}"/>
    <cellStyle name="Comma 2 2 4 3 16" xfId="43519" xr:uid="{7367065C-2A6C-402F-BC50-3825AC89691F}"/>
    <cellStyle name="Comma 2 2 4 3 17" xfId="44382" xr:uid="{70E7335B-FAAE-4D26-A5CE-0B6262D06134}"/>
    <cellStyle name="Comma 2 2 4 3 18" xfId="45621" xr:uid="{1BD13523-CBC4-4492-8484-5D41A6A29B68}"/>
    <cellStyle name="Comma 2 2 4 3 19" xfId="49250" xr:uid="{D148659E-101C-4960-9A30-059313D35C87}"/>
    <cellStyle name="Comma 2 2 4 3 2" xfId="4422" xr:uid="{98B95936-D1E8-44AA-BC76-3994E2372A81}"/>
    <cellStyle name="Comma 2 2 4 3 2 10" xfId="40625" xr:uid="{0A01C65E-9986-4380-A4F0-9485272217E3}"/>
    <cellStyle name="Comma 2 2 4 3 2 11" xfId="41837" xr:uid="{2AAA3A15-E1A7-4E57-84F9-2C161EC00336}"/>
    <cellStyle name="Comma 2 2 4 3 2 12" xfId="42341" xr:uid="{B8AFA623-7C15-4DEE-9091-95C6C3288FE1}"/>
    <cellStyle name="Comma 2 2 4 3 2 13" xfId="44223" xr:uid="{770FA4EA-888A-4737-ABB6-80C74B56AFFA}"/>
    <cellStyle name="Comma 2 2 4 3 2 14" xfId="44523" xr:uid="{140B1009-B950-46BD-B6CA-919A9A490BCA}"/>
    <cellStyle name="Comma 2 2 4 3 2 15" xfId="45695" xr:uid="{2A211F9F-9CB4-4B8C-9B4A-E76CA877513E}"/>
    <cellStyle name="Comma 2 2 4 3 2 16" xfId="49323" xr:uid="{8BA5A02A-C6F5-4724-B257-620DF8AF5B61}"/>
    <cellStyle name="Comma 2 2 4 3 2 17" xfId="52373" xr:uid="{28E2D26F-EF26-487C-B7CF-CAC123E26235}"/>
    <cellStyle name="Comma 2 2 4 3 2 18" xfId="15307" xr:uid="{EC716F97-E5F8-4061-9BAE-9A6DA5C7882B}"/>
    <cellStyle name="Comma 2 2 4 3 2 19" xfId="14216" xr:uid="{9810E91C-50A0-4B77-A1CA-0B57D84272EA}"/>
    <cellStyle name="Comma 2 2 4 3 2 2" xfId="5679" xr:uid="{236CF7E6-2068-47A4-848A-7CFD3695577D}"/>
    <cellStyle name="Comma 2 2 4 3 2 2 10" xfId="41838" xr:uid="{BB3D8B50-9682-48A5-95DF-5AE674E66AB1}"/>
    <cellStyle name="Comma 2 2 4 3 2 2 11" xfId="42493" xr:uid="{C284BAC8-9725-4328-B6A1-F4E3DF055AAC}"/>
    <cellStyle name="Comma 2 2 4 3 2 2 12" xfId="44677" xr:uid="{9C3C4253-E4F4-4B84-9874-CD2D0FB7C9D4}"/>
    <cellStyle name="Comma 2 2 4 3 2 2 13" xfId="46691" xr:uid="{E6FD741F-8531-4B0F-AB1E-E2AD8BD313BE}"/>
    <cellStyle name="Comma 2 2 4 3 2 2 14" xfId="49723" xr:uid="{14CE3BB9-0930-4794-B0EF-5E7C0ED21A0B}"/>
    <cellStyle name="Comma 2 2 4 3 2 2 15" xfId="52374" xr:uid="{940420FF-2B8F-407E-A6DA-DE56D8AF31C0}"/>
    <cellStyle name="Comma 2 2 4 3 2 2 16" xfId="16756" xr:uid="{DDB35252-9CEB-4C75-B51F-BC74682EA964}"/>
    <cellStyle name="Comma 2 2 4 3 2 2 17" xfId="14708" xr:uid="{1BD73A57-E16E-40B3-9DAE-EC666AB12F0B}"/>
    <cellStyle name="Comma 2 2 4 3 2 2 2" xfId="10273" xr:uid="{B6DC9E63-D2C4-45F2-BF5B-1B13AD071EC5}"/>
    <cellStyle name="Comma 2 2 4 3 2 2 2 10" xfId="42624" xr:uid="{BF1883CB-C028-4CE3-9D10-50D089A5FB92}"/>
    <cellStyle name="Comma 2 2 4 3 2 2 2 11" xfId="44791" xr:uid="{964675E7-2FE1-4465-9029-8D807C0ACBDA}"/>
    <cellStyle name="Comma 2 2 4 3 2 2 2 12" xfId="48233" xr:uid="{429B0917-C8D7-454D-BEC0-AD4DEDAE12DE}"/>
    <cellStyle name="Comma 2 2 4 3 2 2 2 13" xfId="51051" xr:uid="{B7C42F7A-37B7-473C-8C43-A119A64B02D7}"/>
    <cellStyle name="Comma 2 2 4 3 2 2 2 14" xfId="52375" xr:uid="{92A50757-B910-4EDF-916B-4C0095887C2D}"/>
    <cellStyle name="Comma 2 2 4 3 2 2 2 15" xfId="16977" xr:uid="{72B7716D-6F6B-4E67-8524-8C0DC7E7426E}"/>
    <cellStyle name="Comma 2 2 4 3 2 2 2 2" xfId="13579" xr:uid="{8A022B64-E0C4-4FB2-B599-4C9758C89DC7}"/>
    <cellStyle name="Comma 2 2 4 3 2 2 2 2 2" xfId="39538" xr:uid="{FBE401C2-7556-465D-86E2-BDA5027EB097}"/>
    <cellStyle name="Comma 2 2 4 3 2 2 2 2 3" xfId="41392" xr:uid="{AD2D8E3F-9D00-410A-A169-3EEF2418132B}"/>
    <cellStyle name="Comma 2 2 4 3 2 2 2 2 4" xfId="43215" xr:uid="{11EEE80D-C48F-4878-8D1D-880122364D8A}"/>
    <cellStyle name="Comma 2 2 4 3 2 2 2 2 5" xfId="45312" xr:uid="{EEF25F60-BA2F-4C16-BFCE-A14951675253}"/>
    <cellStyle name="Comma 2 2 4 3 2 2 2 2 6" xfId="20972" xr:uid="{311B83A8-D356-4B8A-9603-BFD6728744AC}"/>
    <cellStyle name="Comma 2 2 4 3 2 2 2 3" xfId="20191" xr:uid="{62E5C099-499E-46F5-BBD1-7180EC5465C9}"/>
    <cellStyle name="Comma 2 2 4 3 2 2 2 4" xfId="23665" xr:uid="{AE6CC31D-B9D7-4FB3-B924-276B2073DED1}"/>
    <cellStyle name="Comma 2 2 4 3 2 2 2 5" xfId="38162" xr:uid="{990D2A5A-2A58-4E74-A7A8-F6571569E8DC}"/>
    <cellStyle name="Comma 2 2 4 3 2 2 2 6" xfId="38947" xr:uid="{0A60E757-565D-4EC3-9191-146E7B4F314A}"/>
    <cellStyle name="Comma 2 2 4 3 2 2 2 7" xfId="39985" xr:uid="{01882DF9-7CAA-42BA-899F-180D96955DB3}"/>
    <cellStyle name="Comma 2 2 4 3 2 2 2 8" xfId="40627" xr:uid="{6C88D39D-503C-46D0-9F9D-61C86DAB12F3}"/>
    <cellStyle name="Comma 2 2 4 3 2 2 2 9" xfId="41839" xr:uid="{9DFA6454-39BC-4C9E-8AA4-75D54DEC4478}"/>
    <cellStyle name="Comma 2 2 4 3 2 2 3" xfId="7781" xr:uid="{3CA612D2-5B94-42B7-9BEE-DB61DB6D19C1}"/>
    <cellStyle name="Comma 2 2 4 3 2 2 3 2" xfId="39407" xr:uid="{9EA4CBCB-BE7C-4AAA-ADCC-3BD967C88E58}"/>
    <cellStyle name="Comma 2 2 4 3 2 2 3 3" xfId="41263" xr:uid="{48CBEA6B-5A55-43FA-9D57-C008B480FBF0}"/>
    <cellStyle name="Comma 2 2 4 3 2 2 3 4" xfId="43084" xr:uid="{A785CF08-6190-4DC0-889E-F016B1B57226}"/>
    <cellStyle name="Comma 2 2 4 3 2 2 3 5" xfId="45183" xr:uid="{975CBA72-BC1A-483A-AC0B-EF16586288AE}"/>
    <cellStyle name="Comma 2 2 4 3 2 2 3 6" xfId="20782" xr:uid="{8A3C06E8-9446-4052-9A3E-D0CEA6D01D1B}"/>
    <cellStyle name="Comma 2 2 4 3 2 2 4" xfId="12294" xr:uid="{5FE51B4B-14C8-48DB-968F-F7F54F981693}"/>
    <cellStyle name="Comma 2 2 4 3 2 2 4 2" xfId="20060" xr:uid="{60E26CD7-FCF3-4153-AE29-1CAD2E503D2C}"/>
    <cellStyle name="Comma 2 2 4 3 2 2 5" xfId="23664" xr:uid="{B002F4FB-416F-4746-AFB1-25AC9A9341E6}"/>
    <cellStyle name="Comma 2 2 4 3 2 2 6" xfId="38161" xr:uid="{FA5B1B0C-7568-40DB-8ED4-F61071DC4BD0}"/>
    <cellStyle name="Comma 2 2 4 3 2 2 7" xfId="38816" xr:uid="{83B4B13B-AF75-4A5C-BD60-BA24B5F57A01}"/>
    <cellStyle name="Comma 2 2 4 3 2 2 8" xfId="39984" xr:uid="{3059E839-BAC4-41BD-A58C-9087A2E11FB2}"/>
    <cellStyle name="Comma 2 2 4 3 2 2 9" xfId="40626" xr:uid="{39CF8D49-EFFC-41CA-9C6D-23B90C377A62}"/>
    <cellStyle name="Comma 2 2 4 3 2 3" xfId="11125" xr:uid="{0685B156-E3F8-4953-84DA-03975CD458C3}"/>
    <cellStyle name="Comma 2 2 4 3 2 3 10" xfId="42623" xr:uid="{A4B0300C-CDF1-41C6-9C14-4ABF9B005FE0}"/>
    <cellStyle name="Comma 2 2 4 3 2 3 11" xfId="44790" xr:uid="{0B4C67E7-362C-4AF9-8ABA-45D993B9DA00}"/>
    <cellStyle name="Comma 2 2 4 3 2 3 12" xfId="46911" xr:uid="{9AC3F519-F6C0-4067-9C3E-7D197986EB00}"/>
    <cellStyle name="Comma 2 2 4 3 2 3 13" xfId="49930" xr:uid="{7FAAD4C4-6F1A-4081-9023-5CE40D98F0EA}"/>
    <cellStyle name="Comma 2 2 4 3 2 3 14" xfId="52376" xr:uid="{D16DC238-F732-4BF2-A6A7-764FA6BF1B39}"/>
    <cellStyle name="Comma 2 2 4 3 2 3 15" xfId="16976" xr:uid="{562B45D0-0851-46A8-8788-25CF5E0BF037}"/>
    <cellStyle name="Comma 2 2 4 3 2 3 16" xfId="15023" xr:uid="{A7F1E47D-AF59-4154-ACF9-14B139B26263}"/>
    <cellStyle name="Comma 2 2 4 3 2 3 2" xfId="13722" xr:uid="{612CF3DE-79B4-4DC4-B5B5-77A1776F76E2}"/>
    <cellStyle name="Comma 2 2 4 3 2 3 2 2" xfId="39537" xr:uid="{95A207CF-1CB9-428F-8BAE-5701C812A0A6}"/>
    <cellStyle name="Comma 2 2 4 3 2 3 2 3" xfId="41391" xr:uid="{2574CD86-8FD6-4A15-8978-C533C623072B}"/>
    <cellStyle name="Comma 2 2 4 3 2 3 2 4" xfId="43214" xr:uid="{A0B5CBE4-74D0-4C87-9667-91CAAAB89FC2}"/>
    <cellStyle name="Comma 2 2 4 3 2 3 2 5" xfId="45311" xr:uid="{A2D89BD1-926E-4E2C-94BC-3CEE4250249F}"/>
    <cellStyle name="Comma 2 2 4 3 2 3 2 6" xfId="48472" xr:uid="{43AC3CB4-3283-4C04-A50B-608BE18B1CCE}"/>
    <cellStyle name="Comma 2 2 4 3 2 3 2 7" xfId="51258" xr:uid="{A59EF13F-3B8A-46AD-B6F6-866D8AB15AF9}"/>
    <cellStyle name="Comma 2 2 4 3 2 3 2 8" xfId="52377" xr:uid="{381D2C0F-0CEB-47A2-ACD5-DC69BE8B86C7}"/>
    <cellStyle name="Comma 2 2 4 3 2 3 2 9" xfId="20971" xr:uid="{63747900-D687-4083-A980-A4BD61B33C9F}"/>
    <cellStyle name="Comma 2 2 4 3 2 3 3" xfId="20190" xr:uid="{33E2138A-F551-404F-9868-78B2640C3DEB}"/>
    <cellStyle name="Comma 2 2 4 3 2 3 4" xfId="23666" xr:uid="{F0883D04-1ADC-4B42-920B-8CE948CB3CAA}"/>
    <cellStyle name="Comma 2 2 4 3 2 3 5" xfId="38163" xr:uid="{E5384778-C97C-42A8-986E-857BCFD2F403}"/>
    <cellStyle name="Comma 2 2 4 3 2 3 6" xfId="38946" xr:uid="{94398C41-3C8B-400A-AAF6-4152231FFF2F}"/>
    <cellStyle name="Comma 2 2 4 3 2 3 7" xfId="39986" xr:uid="{80167375-5B50-4FCD-93AC-A188C0AA5074}"/>
    <cellStyle name="Comma 2 2 4 3 2 3 8" xfId="40628" xr:uid="{3D5F7685-5ADC-40BA-80D9-1CBFF58BA2D8}"/>
    <cellStyle name="Comma 2 2 4 3 2 3 9" xfId="41840" xr:uid="{9C299583-A27A-475E-A5E7-2FFAF0330C39}"/>
    <cellStyle name="Comma 2 2 4 3 2 4" xfId="9779" xr:uid="{AF8AA099-E540-406B-BAE4-D50E59E7DC7E}"/>
    <cellStyle name="Comma 2 2 4 3 2 4 2" xfId="13085" xr:uid="{EE096045-F39B-40E7-92C0-606F50116129}"/>
    <cellStyle name="Comma 2 2 4 3 2 4 2 2" xfId="49089" xr:uid="{93794BC0-E9BE-4694-AD2E-3CF94C784619}"/>
    <cellStyle name="Comma 2 2 4 3 2 4 2 3" xfId="51769" xr:uid="{2B991A02-8810-44E8-9C99-4FE475D57492}"/>
    <cellStyle name="Comma 2 2 4 3 2 4 2 4" xfId="52378" xr:uid="{3AC3591E-220B-4766-9A76-EBF50827C975}"/>
    <cellStyle name="Comma 2 2 4 3 2 4 2 5" xfId="39255" xr:uid="{8ABB2907-C380-4FE2-A1DE-2E68FFFE8E96}"/>
    <cellStyle name="Comma 2 2 4 3 2 4 3" xfId="41123" xr:uid="{AC3B857D-C5A8-4AA1-BF73-DB2B5A12A11C}"/>
    <cellStyle name="Comma 2 2 4 3 2 4 4" xfId="42932" xr:uid="{8AA04AA7-88AE-4017-8082-E77CF3A6271D}"/>
    <cellStyle name="Comma 2 2 4 3 2 4 5" xfId="45039" xr:uid="{C5AF390D-0D3F-428A-BE69-4C44A123DD59}"/>
    <cellStyle name="Comma 2 2 4 3 2 4 6" xfId="47506" xr:uid="{B160D972-F130-4571-8FEC-8B393075327D}"/>
    <cellStyle name="Comma 2 2 4 3 2 4 7" xfId="50441" xr:uid="{671354F2-63CE-4AF7-BB7E-5AC87C9E7CE0}"/>
    <cellStyle name="Comma 2 2 4 3 2 4 8" xfId="52379" xr:uid="{A968DA93-6ACC-4EA7-872B-C1F99DFF093F}"/>
    <cellStyle name="Comma 2 2 4 3 2 4 9" xfId="20500" xr:uid="{85841028-8319-4EDF-AE74-27A2C4EF7698}"/>
    <cellStyle name="Comma 2 2 4 3 2 5" xfId="7277" xr:uid="{0D8E670B-5AA0-4AE3-93F6-32101579771F}"/>
    <cellStyle name="Comma 2 2 4 3 2 5 2" xfId="47752" xr:uid="{378DABFD-1A53-4DFC-8F24-8ED5AF280F9F}"/>
    <cellStyle name="Comma 2 2 4 3 2 5 3" xfId="50651" xr:uid="{88268638-35BB-4D01-9379-23521EEF7DEB}"/>
    <cellStyle name="Comma 2 2 4 3 2 5 4" xfId="52380" xr:uid="{E41C31A6-6098-43A8-B75A-CCF4A77AB332}"/>
    <cellStyle name="Comma 2 2 4 3 2 5 5" xfId="19907" xr:uid="{D509AA93-2C97-49FC-AC05-F63BC55C9F42}"/>
    <cellStyle name="Comma 2 2 4 3 2 6" xfId="11800" xr:uid="{BC6E777B-DE76-4B4C-BA32-AB47F47F37C3}"/>
    <cellStyle name="Comma 2 2 4 3 2 6 2" xfId="23663" xr:uid="{0C47F73C-DEE5-4265-B010-4E7D9128E151}"/>
    <cellStyle name="Comma 2 2 4 3 2 7" xfId="38160" xr:uid="{5A6B63B5-AB53-4D19-ADA5-61AB5254F113}"/>
    <cellStyle name="Comma 2 2 4 3 2 8" xfId="38664" xr:uid="{7E9F29C0-7DB0-47DD-803A-A28CAAD3A666}"/>
    <cellStyle name="Comma 2 2 4 3 2 9" xfId="39983" xr:uid="{FBDCB2F0-92C5-4A49-8D59-7E9BDB71A801}"/>
    <cellStyle name="Comma 2 2 4 3 20" xfId="52381" xr:uid="{DFA9F322-DF82-49E3-8B68-2523F2CAE6C3}"/>
    <cellStyle name="Comma 2 2 4 3 21" xfId="15205" xr:uid="{E02E4EC8-6E87-4D02-8EB0-5843F0C1A0B5}"/>
    <cellStyle name="Comma 2 2 4 3 22" xfId="13902" xr:uid="{94A4CBE3-7096-4254-A5B6-BFF0767874D6}"/>
    <cellStyle name="Comma 2 2 4 3 3" xfId="5503" xr:uid="{C362FAE8-851B-464A-B36A-C8AFE7F5C639}"/>
    <cellStyle name="Comma 2 2 4 3 3 10" xfId="41841" xr:uid="{4A07A76E-83E4-4534-8A2B-F0D34BD98973}"/>
    <cellStyle name="Comma 2 2 4 3 3 11" xfId="42454" xr:uid="{1E99E8B3-EB72-461F-B956-AF590EA572D2}"/>
    <cellStyle name="Comma 2 2 4 3 3 12" xfId="43792" xr:uid="{4CA44922-3EC0-46BD-8DDE-607786AE05EC}"/>
    <cellStyle name="Comma 2 2 4 3 3 13" xfId="44654" xr:uid="{3017621B-980D-499F-B759-8F482B526445}"/>
    <cellStyle name="Comma 2 2 4 3 3 14" xfId="46550" xr:uid="{19C9615D-3DB7-4EDC-AC88-D92E69211E73}"/>
    <cellStyle name="Comma 2 2 4 3 3 15" xfId="49583" xr:uid="{B09D159B-2911-4C65-9659-B0102A79CE20}"/>
    <cellStyle name="Comma 2 2 4 3 3 16" xfId="52382" xr:uid="{1B6BD6F2-4046-401E-9465-AD9224291F2B}"/>
    <cellStyle name="Comma 2 2 4 3 3 17" xfId="16648" xr:uid="{9D9A2652-48C0-4285-BD52-D3CFD7461640}"/>
    <cellStyle name="Comma 2 2 4 3 3 18" xfId="14040" xr:uid="{842463CD-ED92-40E9-8183-AABAAAE78410}"/>
    <cellStyle name="Comma 2 2 4 3 3 2" xfId="7605" xr:uid="{6B7853E2-7A93-42BC-B9FD-FEC88E186074}"/>
    <cellStyle name="Comma 2 2 4 3 3 2 10" xfId="42625" xr:uid="{901DCA6E-19F8-4088-925A-5149CEFAC804}"/>
    <cellStyle name="Comma 2 2 4 3 3 2 11" xfId="44792" xr:uid="{078D27C7-744E-44F8-A604-397C10309839}"/>
    <cellStyle name="Comma 2 2 4 3 3 2 12" xfId="47041" xr:uid="{9B723FE8-2588-47D0-8C61-442667C88728}"/>
    <cellStyle name="Comma 2 2 4 3 3 2 13" xfId="50042" xr:uid="{C27B8162-4A77-49DF-AA8F-0895FE1659EF}"/>
    <cellStyle name="Comma 2 2 4 3 3 2 14" xfId="52383" xr:uid="{CEA11127-E1C7-4757-A0A8-D59F098A647B}"/>
    <cellStyle name="Comma 2 2 4 3 3 2 15" xfId="16978" xr:uid="{CDD62122-00FF-4EFB-86E0-F1EED0DB7CA2}"/>
    <cellStyle name="Comma 2 2 4 3 3 2 16" xfId="14532" xr:uid="{308C6A6F-08C1-4BC8-ABEA-ABF8660F99CD}"/>
    <cellStyle name="Comma 2 2 4 3 3 2 2" xfId="10097" xr:uid="{7BD0E908-F9A1-4F3F-B64F-578111E298E2}"/>
    <cellStyle name="Comma 2 2 4 3 3 2 2 2" xfId="13403" xr:uid="{BEFC456E-416C-43A3-9DF5-8764DA2C9210}"/>
    <cellStyle name="Comma 2 2 4 3 3 2 2 2 2" xfId="39539" xr:uid="{3FB922A0-7E3D-495A-AF6E-99E02067222F}"/>
    <cellStyle name="Comma 2 2 4 3 3 2 2 3" xfId="41393" xr:uid="{15130424-C000-4611-B37B-B25A9A4F3E6D}"/>
    <cellStyle name="Comma 2 2 4 3 3 2 2 4" xfId="43216" xr:uid="{B3903DD3-FB91-4F94-BA85-845F13236FA8}"/>
    <cellStyle name="Comma 2 2 4 3 3 2 2 5" xfId="45313" xr:uid="{D26A77D0-D169-448A-AB59-7DDB52AD67BC}"/>
    <cellStyle name="Comma 2 2 4 3 3 2 2 6" xfId="48607" xr:uid="{2BD5AE92-2D77-4BEE-8EA8-C82F9EC5F4CD}"/>
    <cellStyle name="Comma 2 2 4 3 3 2 2 7" xfId="51370" xr:uid="{8D7CAB59-8EFC-4238-B139-EA9C40394190}"/>
    <cellStyle name="Comma 2 2 4 3 3 2 2 8" xfId="52384" xr:uid="{BB4A1180-E9DC-47C1-9202-3882E27379CB}"/>
    <cellStyle name="Comma 2 2 4 3 3 2 2 9" xfId="20973" xr:uid="{2BC713DE-E686-4356-B70D-1467BD119BA5}"/>
    <cellStyle name="Comma 2 2 4 3 3 2 3" xfId="12118" xr:uid="{C4D3A191-A5BB-469E-A30B-18D5B1F164FE}"/>
    <cellStyle name="Comma 2 2 4 3 3 2 3 2" xfId="20192" xr:uid="{4E74322C-3B3C-4F90-9F8F-3E9B0C7B1CE1}"/>
    <cellStyle name="Comma 2 2 4 3 3 2 4" xfId="23668" xr:uid="{80A8D8FD-3A90-400D-A36B-0B41CCFD4ACF}"/>
    <cellStyle name="Comma 2 2 4 3 3 2 5" xfId="38165" xr:uid="{145D935B-25DF-4A5B-870B-9AAC199B31C6}"/>
    <cellStyle name="Comma 2 2 4 3 3 2 6" xfId="38948" xr:uid="{FAB92540-C8A8-4EBD-A7E3-BD5020BA55E4}"/>
    <cellStyle name="Comma 2 2 4 3 3 2 7" xfId="39988" xr:uid="{F03A34DC-25EF-4FBD-9022-C3D787D6BD08}"/>
    <cellStyle name="Comma 2 2 4 3 3 2 8" xfId="40630" xr:uid="{5DCCAF70-498D-4E35-9750-7FD7637A6B33}"/>
    <cellStyle name="Comma 2 2 4 3 3 2 9" xfId="41842" xr:uid="{0E1A49B7-E972-41FA-9BA8-051409356AC7}"/>
    <cellStyle name="Comma 2 2 4 3 3 3" xfId="9603" xr:uid="{3BA24B32-E70C-4E78-92E1-4EFA2D430BBE}"/>
    <cellStyle name="Comma 2 2 4 3 3 3 2" xfId="12909" xr:uid="{0A87D9EE-BBD5-48E6-851D-86355756212A}"/>
    <cellStyle name="Comma 2 2 4 3 3 3 2 2" xfId="48917" xr:uid="{1D9B400C-9007-4409-B9BF-D6C14BCCD554}"/>
    <cellStyle name="Comma 2 2 4 3 3 3 2 3" xfId="51629" xr:uid="{ABB6F294-B15F-4FA0-AC55-E5802621E139}"/>
    <cellStyle name="Comma 2 2 4 3 3 3 2 4" xfId="52385" xr:uid="{3BB2BE61-F47F-4E72-9E58-5524F95A0F13}"/>
    <cellStyle name="Comma 2 2 4 3 3 3 2 5" xfId="39368" xr:uid="{9FDC1223-1B7F-456E-9B36-658C5C6D6074}"/>
    <cellStyle name="Comma 2 2 4 3 3 3 3" xfId="41226" xr:uid="{201D5E26-5E43-4336-86DE-DD30F8E243BE}"/>
    <cellStyle name="Comma 2 2 4 3 3 3 4" xfId="43045" xr:uid="{19F8FE61-6833-4BDC-A81D-2FE14DDB3837}"/>
    <cellStyle name="Comma 2 2 4 3 3 3 5" xfId="45146" xr:uid="{36DAB641-1E2E-446D-828A-E4B6FE2A0346}"/>
    <cellStyle name="Comma 2 2 4 3 3 3 6" xfId="47341" xr:uid="{640DC310-F222-4F6D-BB8F-5D84E21A2893}"/>
    <cellStyle name="Comma 2 2 4 3 3 3 7" xfId="50301" xr:uid="{462E60A0-5B7E-4110-A18C-A34777F7A287}"/>
    <cellStyle name="Comma 2 2 4 3 3 3 8" xfId="52386" xr:uid="{D5646D81-8CCF-45E0-B797-AD18B8079952}"/>
    <cellStyle name="Comma 2 2 4 3 3 3 9" xfId="20742" xr:uid="{DFA5D007-FEC6-4103-9917-8C3577D3A989}"/>
    <cellStyle name="Comma 2 2 4 3 3 4" xfId="7099" xr:uid="{826C3E0F-ABBF-4C6B-89CE-69A66D1737F0}"/>
    <cellStyle name="Comma 2 2 4 3 3 4 2" xfId="48062" xr:uid="{D876D4C9-718C-402B-BD0E-914DF3996C4A}"/>
    <cellStyle name="Comma 2 2 4 3 3 4 3" xfId="50911" xr:uid="{E59DFAC6-B31D-476D-A32E-F70D3683E2E7}"/>
    <cellStyle name="Comma 2 2 4 3 3 4 4" xfId="52387" xr:uid="{7C034E15-B76A-4EC4-A6DA-07A94345ABEA}"/>
    <cellStyle name="Comma 2 2 4 3 3 4 5" xfId="20021" xr:uid="{EC47CC03-D00B-4A6C-9A66-B1B41433AA70}"/>
    <cellStyle name="Comma 2 2 4 3 3 5" xfId="11624" xr:uid="{D9B789AD-6BC9-4B42-A025-1497D287A823}"/>
    <cellStyle name="Comma 2 2 4 3 3 5 2" xfId="23667" xr:uid="{C9C36DE3-E825-4A3C-8886-0B480B590D7B}"/>
    <cellStyle name="Comma 2 2 4 3 3 6" xfId="38164" xr:uid="{782E733F-8D0B-4748-AFD8-3A9BE4967FAA}"/>
    <cellStyle name="Comma 2 2 4 3 3 7" xfId="38777" xr:uid="{8AC8C462-B56E-44DD-A24C-0541A6A10DA3}"/>
    <cellStyle name="Comma 2 2 4 3 3 8" xfId="39987" xr:uid="{FC776698-C5C8-476A-A620-1B418440B2C3}"/>
    <cellStyle name="Comma 2 2 4 3 3 9" xfId="40629" xr:uid="{657CC9BC-1D26-424F-B5E1-D35230DFEBF2}"/>
    <cellStyle name="Comma 2 2 4 3 4" xfId="6493" xr:uid="{4B046DE3-428D-4AB4-A137-EAFB0F4599D8}"/>
    <cellStyle name="Comma 2 2 4 3 4 10" xfId="41843" xr:uid="{CA97A1C5-D63C-4C7E-9057-044F67376FED}"/>
    <cellStyle name="Comma 2 2 4 3 4 11" xfId="42393" xr:uid="{A5166078-18EC-4F79-9A26-B22F85CADB2B}"/>
    <cellStyle name="Comma 2 2 4 3 4 12" xfId="44622" xr:uid="{BEB7A454-6843-4C27-946A-0B0896BAECF2}"/>
    <cellStyle name="Comma 2 2 4 3 4 13" xfId="46132" xr:uid="{64E8C615-442E-44AA-ABFD-96839095481E}"/>
    <cellStyle name="Comma 2 2 4 3 4 14" xfId="49468" xr:uid="{7CA5C326-376B-40C4-846E-951FB8407DD3}"/>
    <cellStyle name="Comma 2 2 4 3 4 15" xfId="52388" xr:uid="{F26CF308-FF6C-4A4B-A3B2-999E8CD0B71E}"/>
    <cellStyle name="Comma 2 2 4 3 4 16" xfId="16368" xr:uid="{ECAC7FCD-BFFC-4886-9412-C562DB7EB7A3}"/>
    <cellStyle name="Comma 2 2 4 3 4 17" xfId="14394" xr:uid="{BCEFD047-FA01-4FE2-8AEC-2773CB73B1BC}"/>
    <cellStyle name="Comma 2 2 4 3 4 2" xfId="9465" xr:uid="{065045F6-E921-4B2B-946C-885EA1AA1103}"/>
    <cellStyle name="Comma 2 2 4 3 4 2 10" xfId="42626" xr:uid="{8819C5BA-4F75-464D-91EB-EBD470AAE468}"/>
    <cellStyle name="Comma 2 2 4 3 4 2 11" xfId="44793" xr:uid="{082C772C-8BCB-4610-8FBB-9F9BB921F61F}"/>
    <cellStyle name="Comma 2 2 4 3 4 2 12" xfId="47927" xr:uid="{8029EC4A-B54E-4BA9-B1F6-AE718AD34568}"/>
    <cellStyle name="Comma 2 2 4 3 4 2 13" xfId="50796" xr:uid="{26094210-BA6F-4D26-9947-B4510FF6375E}"/>
    <cellStyle name="Comma 2 2 4 3 4 2 14" xfId="52389" xr:uid="{7D254C39-CF97-4C18-AE09-471FDAD5C986}"/>
    <cellStyle name="Comma 2 2 4 3 4 2 15" xfId="16979" xr:uid="{15A1E7D9-8960-4288-8241-6616E95B2300}"/>
    <cellStyle name="Comma 2 2 4 3 4 2 2" xfId="12771" xr:uid="{8E62E8C9-5216-41D7-B729-E1774B833F4A}"/>
    <cellStyle name="Comma 2 2 4 3 4 2 2 2" xfId="39540" xr:uid="{B2944F52-3488-4CC9-B092-BE6509139A40}"/>
    <cellStyle name="Comma 2 2 4 3 4 2 2 3" xfId="41394" xr:uid="{CF2E6499-D47B-439B-AED3-BF495878B530}"/>
    <cellStyle name="Comma 2 2 4 3 4 2 2 4" xfId="43217" xr:uid="{33851581-ED38-4A90-A21D-7D3BB962D6D7}"/>
    <cellStyle name="Comma 2 2 4 3 4 2 2 5" xfId="45314" xr:uid="{BB7325BA-C540-43F5-8EC4-790CB557DEC0}"/>
    <cellStyle name="Comma 2 2 4 3 4 2 2 6" xfId="20974" xr:uid="{B06EB016-FA13-4D1C-83EB-58B9B627BADD}"/>
    <cellStyle name="Comma 2 2 4 3 4 2 3" xfId="20193" xr:uid="{1D6FB362-1FFD-4D69-ACAF-7F6B29CF736E}"/>
    <cellStyle name="Comma 2 2 4 3 4 2 4" xfId="23670" xr:uid="{96322ADE-BD86-458B-8051-6B01C5057EF4}"/>
    <cellStyle name="Comma 2 2 4 3 4 2 5" xfId="38167" xr:uid="{39453248-B029-474D-967F-917E52A808B4}"/>
    <cellStyle name="Comma 2 2 4 3 4 2 6" xfId="38949" xr:uid="{E72DE3F3-44CB-4381-B07C-4468261BF4E6}"/>
    <cellStyle name="Comma 2 2 4 3 4 2 7" xfId="39990" xr:uid="{8CC8A5A7-F451-4B97-8F0E-C166AF0E4CDC}"/>
    <cellStyle name="Comma 2 2 4 3 4 2 8" xfId="40632" xr:uid="{50B9A05D-1754-47D7-9BD6-11EA52F1FFB3}"/>
    <cellStyle name="Comma 2 2 4 3 4 2 9" xfId="41844" xr:uid="{3A9F9396-7464-49B2-9F7C-19C2EC3361BA}"/>
    <cellStyle name="Comma 2 2 4 3 4 3" xfId="11486" xr:uid="{5BF7FB51-CB35-4B6A-86EA-99D4FA0A9AB4}"/>
    <cellStyle name="Comma 2 2 4 3 4 3 2" xfId="39307" xr:uid="{9F333227-D944-4329-BF97-B4C80C2C47EC}"/>
    <cellStyle name="Comma 2 2 4 3 4 3 3" xfId="41169" xr:uid="{B8E2D4CA-3CB3-424C-8368-5C5D005DD1E3}"/>
    <cellStyle name="Comma 2 2 4 3 4 3 4" xfId="42984" xr:uid="{88879AC1-5759-4AA7-BA63-024021F39F00}"/>
    <cellStyle name="Comma 2 2 4 3 4 3 5" xfId="45089" xr:uid="{DC8C38DC-D263-437D-A454-33CD13D0D3EA}"/>
    <cellStyle name="Comma 2 2 4 3 4 3 6" xfId="20613" xr:uid="{478C6BB7-318F-42BD-AAA5-B9DBC16EDE9E}"/>
    <cellStyle name="Comma 2 2 4 3 4 4" xfId="19960" xr:uid="{20F9FD2D-0761-4299-A1C3-36469208D6D4}"/>
    <cellStyle name="Comma 2 2 4 3 4 5" xfId="23669" xr:uid="{3FF280DC-C0AC-4628-AE62-3EEDFBCF865E}"/>
    <cellStyle name="Comma 2 2 4 3 4 6" xfId="38166" xr:uid="{00795A5E-0D16-4BD7-83E4-7CF8A21CB12A}"/>
    <cellStyle name="Comma 2 2 4 3 4 7" xfId="38716" xr:uid="{771C562D-B7B2-463B-BBCF-8A3ABD007846}"/>
    <cellStyle name="Comma 2 2 4 3 4 8" xfId="39989" xr:uid="{07E24936-CC35-4945-A3A8-65CC05D37D8F}"/>
    <cellStyle name="Comma 2 2 4 3 4 9" xfId="40631" xr:uid="{42197FED-603C-47CD-8398-9154050EC181}"/>
    <cellStyle name="Comma 2 2 4 3 5" xfId="7467" xr:uid="{E0DBC773-AC29-4AD7-8D8B-8D89EF4BD854}"/>
    <cellStyle name="Comma 2 2 4 3 5 10" xfId="42622" xr:uid="{EE316128-B89E-4905-8E58-5D981C2A449D}"/>
    <cellStyle name="Comma 2 2 4 3 5 11" xfId="44789" xr:uid="{8ADC73EE-D7C8-42F9-8B90-0A258BE99D3F}"/>
    <cellStyle name="Comma 2 2 4 3 5 12" xfId="46812" xr:uid="{84CB0313-1E27-4B1F-B4D2-84B4DA01D2C4}"/>
    <cellStyle name="Comma 2 2 4 3 5 13" xfId="49836" xr:uid="{DDABC475-88CB-4863-BFEE-2BE603232A5B}"/>
    <cellStyle name="Comma 2 2 4 3 5 14" xfId="52390" xr:uid="{9550DE5B-D6B5-4FC8-8009-E8A37E5417B8}"/>
    <cellStyle name="Comma 2 2 4 3 5 15" xfId="16975" xr:uid="{3D11065E-D454-4AD0-9AD1-EBF2D2171670}"/>
    <cellStyle name="Comma 2 2 4 3 5 16" xfId="14847" xr:uid="{1DC69469-2735-4E26-A3E6-A9DD4030538B}"/>
    <cellStyle name="Comma 2 2 4 3 5 2" xfId="9959" xr:uid="{13BE0FF8-104A-46DF-9273-C079CB5D3D5A}"/>
    <cellStyle name="Comma 2 2 4 3 5 2 2" xfId="13265" xr:uid="{C55E13A8-2ED2-4877-89A7-CE8013CBDF4A}"/>
    <cellStyle name="Comma 2 2 4 3 5 2 2 2" xfId="39536" xr:uid="{ECC45606-F71E-4BB0-991D-3CE8B36B0443}"/>
    <cellStyle name="Comma 2 2 4 3 5 2 3" xfId="41390" xr:uid="{12A6D0C2-BFB5-4032-9E22-B4385B99AD18}"/>
    <cellStyle name="Comma 2 2 4 3 5 2 4" xfId="43213" xr:uid="{0E47AAE6-5D21-457D-BDDB-9BD4D8878360}"/>
    <cellStyle name="Comma 2 2 4 3 5 2 5" xfId="45310" xr:uid="{068CA116-05AB-4057-A860-81D235F821A7}"/>
    <cellStyle name="Comma 2 2 4 3 5 2 6" xfId="48363" xr:uid="{294E7F3E-E25F-4794-9E51-B0D1560DA167}"/>
    <cellStyle name="Comma 2 2 4 3 5 2 7" xfId="51164" xr:uid="{40D81DA4-184C-420C-8428-D3D03FEE27AF}"/>
    <cellStyle name="Comma 2 2 4 3 5 2 8" xfId="52391" xr:uid="{BCA3D154-3090-4DEC-BE67-D1A15D776C01}"/>
    <cellStyle name="Comma 2 2 4 3 5 2 9" xfId="20970" xr:uid="{7F7AEA7E-F467-4625-9AE4-A3BD7CC6CF26}"/>
    <cellStyle name="Comma 2 2 4 3 5 3" xfId="11980" xr:uid="{B67BE99C-DE18-4C04-BED4-1A424F78D11A}"/>
    <cellStyle name="Comma 2 2 4 3 5 3 2" xfId="20189" xr:uid="{3283A220-6795-46D3-B630-EED67464C8F9}"/>
    <cellStyle name="Comma 2 2 4 3 5 4" xfId="23671" xr:uid="{740AC1B6-A559-4858-9D17-5BC31E2ED782}"/>
    <cellStyle name="Comma 2 2 4 3 5 5" xfId="38168" xr:uid="{E1C39F0A-00C3-4BCA-9698-CFAA4B21E937}"/>
    <cellStyle name="Comma 2 2 4 3 5 6" xfId="38945" xr:uid="{37C2A5E0-749D-43B5-978E-C52A843EA2D2}"/>
    <cellStyle name="Comma 2 2 4 3 5 7" xfId="39991" xr:uid="{ABAF47BC-155F-475D-9D9F-0AEBE3BD261F}"/>
    <cellStyle name="Comma 2 2 4 3 5 8" xfId="40633" xr:uid="{5EF7A862-75DA-4E7E-9679-DCB9C467945F}"/>
    <cellStyle name="Comma 2 2 4 3 5 9" xfId="41845" xr:uid="{4C44AC37-99C4-4A71-8348-DB1F0A9DD3A1}"/>
    <cellStyle name="Comma 2 2 4 3 6" xfId="8133" xr:uid="{D515FBE0-A0C9-4B1B-9FDA-A6EAE3D64200}"/>
    <cellStyle name="Comma 2 2 4 3 6 10" xfId="42818" xr:uid="{23D03213-F3EC-4EFB-9E32-66051FA6B4D8}"/>
    <cellStyle name="Comma 2 2 4 3 6 11" xfId="44945" xr:uid="{6CD32453-4909-4508-958A-7BDA6F187AE0}"/>
    <cellStyle name="Comma 2 2 4 3 6 12" xfId="47208" xr:uid="{35868EAF-A1BD-4F45-B743-A86C6D278A5E}"/>
    <cellStyle name="Comma 2 2 4 3 6 13" xfId="50186" xr:uid="{E3AC2075-56EC-4B84-B658-501F1E36AB47}"/>
    <cellStyle name="Comma 2 2 4 3 6 14" xfId="52392" xr:uid="{68167FFA-274C-4781-8A22-24E6E813A28C}"/>
    <cellStyle name="Comma 2 2 4 3 6 15" xfId="19724" xr:uid="{C9D4AF96-F8D4-48D7-A09B-0519DD713468}"/>
    <cellStyle name="Comma 2 2 4 3 6 2" xfId="12589" xr:uid="{10DE3958-3266-4B49-B97F-C051826D84EE}"/>
    <cellStyle name="Comma 2 2 4 3 6 2 2" xfId="39732" xr:uid="{C90B34B4-175A-4CDB-96CE-E92840B55047}"/>
    <cellStyle name="Comma 2 2 4 3 6 2 3" xfId="41585" xr:uid="{B1283002-D008-4009-A387-108FE1FD8063}"/>
    <cellStyle name="Comma 2 2 4 3 6 2 4" xfId="43409" xr:uid="{4BAB0FDF-F08F-4A46-9376-49AF02F4E182}"/>
    <cellStyle name="Comma 2 2 4 3 6 2 5" xfId="45488" xr:uid="{A6690E3C-3CEC-4FA4-A201-1D76E95E2BB6}"/>
    <cellStyle name="Comma 2 2 4 3 6 2 6" xfId="48779" xr:uid="{990311F5-6B9B-498B-8067-B53E567007C6}"/>
    <cellStyle name="Comma 2 2 4 3 6 2 7" xfId="51514" xr:uid="{17C0FBBE-D3B7-4321-AA55-3E1CAA8A980F}"/>
    <cellStyle name="Comma 2 2 4 3 6 2 8" xfId="52393" xr:uid="{FD5D260B-9E63-4145-BE92-A4D9FF506874}"/>
    <cellStyle name="Comma 2 2 4 3 6 2 9" xfId="23341" xr:uid="{0E30B8F3-DA95-477B-9037-6D8E1E43AB93}"/>
    <cellStyle name="Comma 2 2 4 3 6 3" xfId="20385" xr:uid="{BA27A8C3-6BE7-4013-9E0A-2C1D84D51F9E}"/>
    <cellStyle name="Comma 2 2 4 3 6 4" xfId="23672" xr:uid="{FB9E3265-566B-4F68-AD5F-78C9F4889968}"/>
    <cellStyle name="Comma 2 2 4 3 6 5" xfId="38169" xr:uid="{E9B66006-4F6E-45AD-BCBB-095D98273EF9}"/>
    <cellStyle name="Comma 2 2 4 3 6 6" xfId="39141" xr:uid="{22890747-92A9-4CDB-81E0-6677E305DD11}"/>
    <cellStyle name="Comma 2 2 4 3 6 7" xfId="39992" xr:uid="{6315FCA6-2170-46F8-9766-BE5C2AFC6153}"/>
    <cellStyle name="Comma 2 2 4 3 6 8" xfId="40634" xr:uid="{6E98DBC8-AF52-499E-B51C-2F09A33D58FF}"/>
    <cellStyle name="Comma 2 2 4 3 6 9" xfId="41846" xr:uid="{A64D433B-4A42-42F4-B3FA-BFE17EE5A5D6}"/>
    <cellStyle name="Comma 2 2 4 3 7" xfId="7920" xr:uid="{5B991EB8-E61B-414A-93AE-7091DAE575B7}"/>
    <cellStyle name="Comma 2 2 4 3 7 2" xfId="12433" xr:uid="{02715A54-2FD7-49E4-9BFC-2F0C6FB8BF5B}"/>
    <cellStyle name="Comma 2 2 4 3 7 2 2" xfId="39217" xr:uid="{BF489CDB-9C94-4429-9FA1-31660C982C5E}"/>
    <cellStyle name="Comma 2 2 4 3 7 3" xfId="41089" xr:uid="{7785CCB2-E0DD-47E4-90B2-347F2DF07131}"/>
    <cellStyle name="Comma 2 2 4 3 7 4" xfId="42894" xr:uid="{08212961-9ADA-4C57-94CB-0A853B56BF2D}"/>
    <cellStyle name="Comma 2 2 4 3 7 5" xfId="45001" xr:uid="{A8192AF8-2CC8-4981-8EED-A4EB8A93D18C}"/>
    <cellStyle name="Comma 2 2 4 3 7 6" xfId="47670" xr:uid="{23E5FE20-5803-43A9-BE0A-07FCCACB1E14}"/>
    <cellStyle name="Comma 2 2 4 3 7 7" xfId="50578" xr:uid="{86874646-D1E1-4A8F-8798-AF0238FF12A6}"/>
    <cellStyle name="Comma 2 2 4 3 7 8" xfId="52394" xr:uid="{DA19F909-CC58-4C15-BCB8-65C98F5A5D81}"/>
    <cellStyle name="Comma 2 2 4 3 7 9" xfId="20462" xr:uid="{853D4637-7FB9-47C2-95A2-A4690CF52935}"/>
    <cellStyle name="Comma 2 2 4 3 8" xfId="5817" xr:uid="{F768E5E6-87CD-48F6-8CF9-CA4ABF0D32AF}"/>
    <cellStyle name="Comma 2 2 4 3 8 2" xfId="19868" xr:uid="{AA237BF3-7785-4BF8-9093-85D464A8A90D}"/>
    <cellStyle name="Comma 2 2 4 3 9" xfId="11305" xr:uid="{92C19BBF-7EC6-4643-9E53-6A7B6D0A0437}"/>
    <cellStyle name="Comma 2 2 4 3 9 2" xfId="23662" xr:uid="{BA009CBF-9516-4256-A4F0-80130E8805B2}"/>
    <cellStyle name="Comma 2 2 4 4" xfId="1747" xr:uid="{407B8B2C-5206-4BF0-8AFC-0598BA46D6DB}"/>
    <cellStyle name="Comma 2 2 4 4 10" xfId="39993" xr:uid="{983A4F3F-04F0-4233-950F-9FBC02AFE2DE}"/>
    <cellStyle name="Comma 2 2 4 4 11" xfId="40635" xr:uid="{23D74A4A-9603-4750-8BFE-CB87BFD8FA95}"/>
    <cellStyle name="Comma 2 2 4 4 12" xfId="41847" xr:uid="{AD64A01E-C6EE-400D-8028-A5319BCA9364}"/>
    <cellStyle name="Comma 2 2 4 4 13" xfId="42339" xr:uid="{BE059C6D-0FEE-4DFA-B62A-25128268E4F8}"/>
    <cellStyle name="Comma 2 2 4 4 14" xfId="43520" xr:uid="{7075CF79-1E18-4706-A30C-483DE0EAB149}"/>
    <cellStyle name="Comma 2 2 4 4 15" xfId="44383" xr:uid="{DCDAB4DE-1C12-4D06-9507-4C7D31CA2A1E}"/>
    <cellStyle name="Comma 2 2 4 4 16" xfId="45622" xr:uid="{B7AF4A76-7CF6-41E3-9C49-39BCB8F3AAF5}"/>
    <cellStyle name="Comma 2 2 4 4 17" xfId="49251" xr:uid="{BD59A25C-9327-4443-97E2-C328F989E5DC}"/>
    <cellStyle name="Comma 2 2 4 4 18" xfId="52395" xr:uid="{FC04F80E-4583-4BC4-A340-B5D916C20E2D}"/>
    <cellStyle name="Comma 2 2 4 4 19" xfId="15305" xr:uid="{29F1DAD5-0C06-4C18-9E4A-6E06C853C77B}"/>
    <cellStyle name="Comma 2 2 4 4 2" xfId="4423" xr:uid="{939D5584-686A-4FEB-B039-518E652DB10D}"/>
    <cellStyle name="Comma 2 2 4 4 2 10" xfId="41848" xr:uid="{551ECBE4-70F1-4576-A0C4-96F9007D23BA}"/>
    <cellStyle name="Comma 2 2 4 4 2 11" xfId="42491" xr:uid="{1784BD69-1521-44DF-970F-FF36AB28B55E}"/>
    <cellStyle name="Comma 2 2 4 4 2 12" xfId="44224" xr:uid="{F767AF9D-9D84-4371-85EE-4A91198DC4BA}"/>
    <cellStyle name="Comma 2 2 4 4 2 13" xfId="44524" xr:uid="{30183586-3D60-46EB-8439-DF927AB913A2}"/>
    <cellStyle name="Comma 2 2 4 4 2 14" xfId="45696" xr:uid="{E50F5DD4-4624-42AC-9B7D-EEA5D448ABD5}"/>
    <cellStyle name="Comma 2 2 4 4 2 15" xfId="49324" xr:uid="{6F1EE66A-6DD2-4A30-A126-1447B43CFBF9}"/>
    <cellStyle name="Comma 2 2 4 4 2 16" xfId="52396" xr:uid="{ADC28E46-E103-4060-8078-1DAD338370EB}"/>
    <cellStyle name="Comma 2 2 4 4 2 17" xfId="16754" xr:uid="{AF2EF8F5-72CC-4D8F-87AC-759611382FDA}"/>
    <cellStyle name="Comma 2 2 4 4 2 18" xfId="14217" xr:uid="{60F745B9-8924-42E4-B8DF-473BDA73D294}"/>
    <cellStyle name="Comma 2 2 4 4 2 2" xfId="5680" xr:uid="{D9F5C859-AD4E-494B-8192-E65D1968AF13}"/>
    <cellStyle name="Comma 2 2 4 4 2 2 10" xfId="42628" xr:uid="{2AE08D4D-0679-4628-92E3-FF8EFEEE96FC}"/>
    <cellStyle name="Comma 2 2 4 4 2 2 11" xfId="44795" xr:uid="{523E2AC8-0A53-429C-9EDA-F55ACE718582}"/>
    <cellStyle name="Comma 2 2 4 4 2 2 12" xfId="46692" xr:uid="{32AD8843-8B0C-4962-BDAB-09434A45CA0F}"/>
    <cellStyle name="Comma 2 2 4 4 2 2 13" xfId="49724" xr:uid="{B7121CBF-31E4-4235-A3ED-A4A0B67FA009}"/>
    <cellStyle name="Comma 2 2 4 4 2 2 14" xfId="52397" xr:uid="{02A65A14-16CC-4694-9F45-33CC0EDCB260}"/>
    <cellStyle name="Comma 2 2 4 4 2 2 15" xfId="16981" xr:uid="{17F4BF4B-3655-4388-A67F-470282C868AD}"/>
    <cellStyle name="Comma 2 2 4 4 2 2 16" xfId="14709" xr:uid="{EEFBCFDE-1B15-420C-A04E-D17AF05116F1}"/>
    <cellStyle name="Comma 2 2 4 4 2 2 2" xfId="10274" xr:uid="{259DB538-C712-44FE-991D-F4B8C90AA433}"/>
    <cellStyle name="Comma 2 2 4 4 2 2 2 2" xfId="13580" xr:uid="{B6314204-3A97-4BA2-8AB9-C0B9171EEC0B}"/>
    <cellStyle name="Comma 2 2 4 4 2 2 2 2 2" xfId="39542" xr:uid="{3417ED55-61FE-43D5-9357-0741321A4F95}"/>
    <cellStyle name="Comma 2 2 4 4 2 2 2 3" xfId="41396" xr:uid="{2CCDD4CA-0385-4206-AD61-72D809B57AE6}"/>
    <cellStyle name="Comma 2 2 4 4 2 2 2 4" xfId="43219" xr:uid="{15BFD719-9065-4EFE-A2A5-CEF147EA36BC}"/>
    <cellStyle name="Comma 2 2 4 4 2 2 2 5" xfId="45316" xr:uid="{D81BF653-590A-451C-B98F-94A9CB9B503F}"/>
    <cellStyle name="Comma 2 2 4 4 2 2 2 6" xfId="48234" xr:uid="{7EE7CAA5-0559-46C1-8F5F-BF007661901F}"/>
    <cellStyle name="Comma 2 2 4 4 2 2 2 7" xfId="51052" xr:uid="{8974F1C8-F738-480B-873E-49A464702109}"/>
    <cellStyle name="Comma 2 2 4 4 2 2 2 8" xfId="52398" xr:uid="{8A47436B-B114-4B5E-92F4-2910138E54A7}"/>
    <cellStyle name="Comma 2 2 4 4 2 2 2 9" xfId="20976" xr:uid="{122DE339-6B5D-4C16-9905-DA55C6382B59}"/>
    <cellStyle name="Comma 2 2 4 4 2 2 3" xfId="7782" xr:uid="{51136628-4F45-4EDC-B25C-78D4D2377779}"/>
    <cellStyle name="Comma 2 2 4 4 2 2 3 2" xfId="20195" xr:uid="{7CECCBA0-6ADE-447D-868C-5C9161B0C1A1}"/>
    <cellStyle name="Comma 2 2 4 4 2 2 4" xfId="12295" xr:uid="{5D3A9ED2-9F97-4F46-81CD-4F899ACD4BF9}"/>
    <cellStyle name="Comma 2 2 4 4 2 2 4 2" xfId="23675" xr:uid="{CCC07C04-52CE-4971-882D-9D6113D9FF76}"/>
    <cellStyle name="Comma 2 2 4 4 2 2 5" xfId="38172" xr:uid="{88B944E9-F661-42EF-8D1D-3AF529667D55}"/>
    <cellStyle name="Comma 2 2 4 4 2 2 6" xfId="38951" xr:uid="{861BFB2B-FEB7-4DD1-AA92-AAD18EFBA1AE}"/>
    <cellStyle name="Comma 2 2 4 4 2 2 7" xfId="39995" xr:uid="{7DB47206-6409-44FE-92C3-79E8407B7F98}"/>
    <cellStyle name="Comma 2 2 4 4 2 2 8" xfId="40637" xr:uid="{939D373D-AAF9-4551-A789-CFBA982629B0}"/>
    <cellStyle name="Comma 2 2 4 4 2 2 9" xfId="41849" xr:uid="{9156329A-B79A-470D-8CAF-CD6C930FA7C2}"/>
    <cellStyle name="Comma 2 2 4 4 2 3" xfId="11126" xr:uid="{D2D63EB8-7C67-4B08-A54C-21D4FFAA6C1D}"/>
    <cellStyle name="Comma 2 2 4 4 2 3 10" xfId="15024" xr:uid="{51940ECF-46CB-41D3-91DF-E0D08156AEFC}"/>
    <cellStyle name="Comma 2 2 4 4 2 3 2" xfId="13723" xr:uid="{7CF79FBB-4F00-4859-8197-D8A91BB5F78A}"/>
    <cellStyle name="Comma 2 2 4 4 2 3 2 2" xfId="48473" xr:uid="{05207D12-5E13-4082-8038-6DE95148041E}"/>
    <cellStyle name="Comma 2 2 4 4 2 3 2 3" xfId="51259" xr:uid="{04B85239-6D6D-4ED0-A882-03C9E4491B58}"/>
    <cellStyle name="Comma 2 2 4 4 2 3 2 4" xfId="52399" xr:uid="{E97568D2-F4CA-4F76-A0FB-2BC37C37C6BA}"/>
    <cellStyle name="Comma 2 2 4 4 2 3 2 5" xfId="39405" xr:uid="{33A4FAC3-6A5F-4180-AE62-ABCDCD91722E}"/>
    <cellStyle name="Comma 2 2 4 4 2 3 3" xfId="41261" xr:uid="{5EC10976-F133-40B0-8D3C-350E927CF4F4}"/>
    <cellStyle name="Comma 2 2 4 4 2 3 4" xfId="43082" xr:uid="{B1FB040D-9ED9-43AA-A6A2-9D5531215662}"/>
    <cellStyle name="Comma 2 2 4 4 2 3 5" xfId="45181" xr:uid="{CE52E543-7E8B-4BA7-8EAA-A12ED2BB08DA}"/>
    <cellStyle name="Comma 2 2 4 4 2 3 6" xfId="46912" xr:uid="{A934E697-F606-4B2F-96CE-A488C1AAFA41}"/>
    <cellStyle name="Comma 2 2 4 4 2 3 7" xfId="49931" xr:uid="{2C4E84DB-CCD7-42A7-9603-BB5271BD5535}"/>
    <cellStyle name="Comma 2 2 4 4 2 3 8" xfId="52400" xr:uid="{3C5D1F37-9296-41D2-8681-A03B52A903AE}"/>
    <cellStyle name="Comma 2 2 4 4 2 3 9" xfId="20780" xr:uid="{AA15B9FC-61FF-4B70-A434-C121AFB816C1}"/>
    <cellStyle name="Comma 2 2 4 4 2 4" xfId="9780" xr:uid="{5DCC49F9-5C85-4B77-B8C1-D792B98A655E}"/>
    <cellStyle name="Comma 2 2 4 4 2 4 2" xfId="13086" xr:uid="{2022DB3A-792A-42F8-94B4-CE095A031907}"/>
    <cellStyle name="Comma 2 2 4 4 2 4 2 2" xfId="51770" xr:uid="{707E7454-C005-4406-9620-D890C74D8E97}"/>
    <cellStyle name="Comma 2 2 4 4 2 4 2 3" xfId="52401" xr:uid="{59B3997A-825A-44B5-9A1B-753B034D9723}"/>
    <cellStyle name="Comma 2 2 4 4 2 4 2 4" xfId="49090" xr:uid="{B0A43944-C439-4A23-89EC-A3183A7A8671}"/>
    <cellStyle name="Comma 2 2 4 4 2 4 3" xfId="47507" xr:uid="{991B1394-025C-4C23-93C7-432E583F9A90}"/>
    <cellStyle name="Comma 2 2 4 4 2 4 4" xfId="50442" xr:uid="{02184B46-5C11-48FE-AF4A-1618121D12A9}"/>
    <cellStyle name="Comma 2 2 4 4 2 4 5" xfId="52402" xr:uid="{F55504B6-A4B5-47AA-B0D2-A8EDF42187A7}"/>
    <cellStyle name="Comma 2 2 4 4 2 4 6" xfId="20058" xr:uid="{1E5547CB-2C98-4BD7-88EE-BB319CF5C105}"/>
    <cellStyle name="Comma 2 2 4 4 2 5" xfId="7278" xr:uid="{1E002081-66F1-422E-B329-F330C1AA7F2F}"/>
    <cellStyle name="Comma 2 2 4 4 2 5 2" xfId="47753" xr:uid="{8384DA95-AAAC-4B81-AC3F-AC863E4B2E60}"/>
    <cellStyle name="Comma 2 2 4 4 2 5 3" xfId="50652" xr:uid="{3082CF6E-63D4-4AB1-A345-CDD7884C3103}"/>
    <cellStyle name="Comma 2 2 4 4 2 5 4" xfId="52403" xr:uid="{155D417A-5FB0-417C-890E-18086A28B39E}"/>
    <cellStyle name="Comma 2 2 4 4 2 5 5" xfId="23674" xr:uid="{EFB393EA-4613-43F7-A12C-9C41978D852F}"/>
    <cellStyle name="Comma 2 2 4 4 2 6" xfId="11801" xr:uid="{9C034286-6001-437D-BAF6-1729E746EC13}"/>
    <cellStyle name="Comma 2 2 4 4 2 6 2" xfId="38171" xr:uid="{CBDAB614-D3C8-41D7-9E9C-4147D1137D08}"/>
    <cellStyle name="Comma 2 2 4 4 2 7" xfId="38814" xr:uid="{673730B6-6D06-4B4E-916C-314A259E27F9}"/>
    <cellStyle name="Comma 2 2 4 4 2 8" xfId="39994" xr:uid="{7230C02F-68FA-4B16-97AD-0ED23D188FC9}"/>
    <cellStyle name="Comma 2 2 4 4 2 9" xfId="40636" xr:uid="{9975184B-9B10-4990-9F5D-8A9DA215F898}"/>
    <cellStyle name="Comma 2 2 4 4 20" xfId="13903" xr:uid="{FA69DCF8-7CDC-413B-B404-732D344FA7E4}"/>
    <cellStyle name="Comma 2 2 4 4 3" xfId="5504" xr:uid="{86E9AD73-55D1-4832-AA13-3DC29C40139A}"/>
    <cellStyle name="Comma 2 2 4 4 3 10" xfId="42627" xr:uid="{B2602CBE-5046-4DBB-9C1E-65268F533CC9}"/>
    <cellStyle name="Comma 2 2 4 4 3 11" xfId="43793" xr:uid="{C4C3F418-A8D4-4FAF-931C-A8671BBE0F40}"/>
    <cellStyle name="Comma 2 2 4 4 3 12" xfId="44794" xr:uid="{CCB99802-0B21-47DF-818B-ECF9834EF840}"/>
    <cellStyle name="Comma 2 2 4 4 3 13" xfId="46551" xr:uid="{2D118A5F-4628-4E64-B10E-891538DA79E1}"/>
    <cellStyle name="Comma 2 2 4 4 3 14" xfId="49584" xr:uid="{C4335E0F-BEA9-4D69-855E-0064B35FA5C9}"/>
    <cellStyle name="Comma 2 2 4 4 3 15" xfId="52404" xr:uid="{0723AABB-637D-4E6E-B8EE-700DD1862685}"/>
    <cellStyle name="Comma 2 2 4 4 3 16" xfId="16980" xr:uid="{EE2D7BFC-86D2-4BC8-B578-3E455152EC35}"/>
    <cellStyle name="Comma 2 2 4 4 3 17" xfId="14041" xr:uid="{9870F665-88F4-42B2-978A-074A156BA47F}"/>
    <cellStyle name="Comma 2 2 4 4 3 2" xfId="7606" xr:uid="{D912B5BA-0C4B-449B-B503-84D181B907AC}"/>
    <cellStyle name="Comma 2 2 4 4 3 2 10" xfId="14533" xr:uid="{5734B2B6-658D-438D-8449-637608BBDE9B}"/>
    <cellStyle name="Comma 2 2 4 4 3 2 2" xfId="10098" xr:uid="{388E5042-ADE5-4EB9-A596-A56E7431598F}"/>
    <cellStyle name="Comma 2 2 4 4 3 2 2 2" xfId="13404" xr:uid="{C79534D4-70C4-4733-815B-527A99DB90DA}"/>
    <cellStyle name="Comma 2 2 4 4 3 2 2 2 2" xfId="48608" xr:uid="{2BA2C112-58CA-43D3-943E-D9AF14C12BA0}"/>
    <cellStyle name="Comma 2 2 4 4 3 2 2 3" xfId="51371" xr:uid="{82C36A5A-9617-410F-8FD6-620058ABE022}"/>
    <cellStyle name="Comma 2 2 4 4 3 2 2 4" xfId="52405" xr:uid="{5A2D345A-027B-4651-BD14-F132806E6C59}"/>
    <cellStyle name="Comma 2 2 4 4 3 2 2 5" xfId="39541" xr:uid="{C3BB980E-0220-4702-8F95-E4B25483B883}"/>
    <cellStyle name="Comma 2 2 4 4 3 2 3" xfId="12119" xr:uid="{532CF69F-E29E-425F-B3C0-462D0764E3BC}"/>
    <cellStyle name="Comma 2 2 4 4 3 2 3 2" xfId="41395" xr:uid="{CF556045-3E82-4CC7-8C48-E2AA4F94FF0E}"/>
    <cellStyle name="Comma 2 2 4 4 3 2 4" xfId="43218" xr:uid="{C6A59D6E-EF62-4164-97F5-CBAB04CC670A}"/>
    <cellStyle name="Comma 2 2 4 4 3 2 5" xfId="45315" xr:uid="{EC198822-3433-4FBE-9927-0C8900BEBD66}"/>
    <cellStyle name="Comma 2 2 4 4 3 2 6" xfId="47042" xr:uid="{87093251-F899-4635-9BA7-824A1FE56329}"/>
    <cellStyle name="Comma 2 2 4 4 3 2 7" xfId="50043" xr:uid="{41345D05-EDE4-4C69-8B02-E64462C3D267}"/>
    <cellStyle name="Comma 2 2 4 4 3 2 8" xfId="52406" xr:uid="{7197DEB2-F3A5-42A6-A584-816A49903A7F}"/>
    <cellStyle name="Comma 2 2 4 4 3 2 9" xfId="20975" xr:uid="{ACF41A71-38E1-473F-8792-5D99F4DF75EF}"/>
    <cellStyle name="Comma 2 2 4 4 3 3" xfId="9604" xr:uid="{214200E8-6574-4319-BA6E-7E1ACE3306F5}"/>
    <cellStyle name="Comma 2 2 4 4 3 3 2" xfId="12910" xr:uid="{F86D2001-3955-4480-8228-F47560DEDD3D}"/>
    <cellStyle name="Comma 2 2 4 4 3 3 2 2" xfId="51630" xr:uid="{3A98D33C-33E7-4E77-8306-5C7495C50889}"/>
    <cellStyle name="Comma 2 2 4 4 3 3 2 3" xfId="52407" xr:uid="{7EA8BDAB-4877-435E-89D0-6C5F3E1DC079}"/>
    <cellStyle name="Comma 2 2 4 4 3 3 2 4" xfId="48918" xr:uid="{C542B187-7D7E-48BF-A7AD-FFE883569F31}"/>
    <cellStyle name="Comma 2 2 4 4 3 3 3" xfId="47342" xr:uid="{82D23B38-26A0-48F8-B5C9-5912BF92C8AA}"/>
    <cellStyle name="Comma 2 2 4 4 3 3 4" xfId="50302" xr:uid="{5C07BD10-AB43-4C7A-9246-B51255439515}"/>
    <cellStyle name="Comma 2 2 4 4 3 3 5" xfId="52408" xr:uid="{BDDEBA75-C66D-405E-B74E-AD6EBDE26176}"/>
    <cellStyle name="Comma 2 2 4 4 3 3 6" xfId="20194" xr:uid="{CC98BDDA-2B72-4365-91AF-017B403894C3}"/>
    <cellStyle name="Comma 2 2 4 4 3 4" xfId="7100" xr:uid="{B1CF4FD2-DB52-419C-A918-D1B865FD5A55}"/>
    <cellStyle name="Comma 2 2 4 4 3 4 2" xfId="48063" xr:uid="{1B50F4A4-07BA-4A30-9AFC-2D7F4F1A88EE}"/>
    <cellStyle name="Comma 2 2 4 4 3 4 3" xfId="50912" xr:uid="{0A3FE771-92E4-467A-849C-56758ACBD6F8}"/>
    <cellStyle name="Comma 2 2 4 4 3 4 4" xfId="52409" xr:uid="{190C04AE-7C7A-4AA3-AA37-D4BC01A9AF75}"/>
    <cellStyle name="Comma 2 2 4 4 3 4 5" xfId="23676" xr:uid="{29B9682C-7558-4704-834A-80E0EAB94841}"/>
    <cellStyle name="Comma 2 2 4 4 3 5" xfId="11625" xr:uid="{02AC51C3-95C3-4B14-80F3-0D871344437A}"/>
    <cellStyle name="Comma 2 2 4 4 3 5 2" xfId="38173" xr:uid="{FE880AB1-69D2-4D28-9018-700D19C4526F}"/>
    <cellStyle name="Comma 2 2 4 4 3 6" xfId="38950" xr:uid="{8E6CB0B6-6A09-457A-9EBF-2A93D67E4F27}"/>
    <cellStyle name="Comma 2 2 4 4 3 7" xfId="39996" xr:uid="{8C2DC94E-3C48-482C-BD6E-667F33D31034}"/>
    <cellStyle name="Comma 2 2 4 4 3 8" xfId="40638" xr:uid="{2A8B5525-C4B3-410B-9F79-15DD1A61E55A}"/>
    <cellStyle name="Comma 2 2 4 4 3 9" xfId="41850" xr:uid="{0B1290EF-C80C-4717-B748-3A94C2F528C8}"/>
    <cellStyle name="Comma 2 2 4 4 4" xfId="6494" xr:uid="{5BE0A1DB-5916-48DA-92CC-A1C169B0C4BA}"/>
    <cellStyle name="Comma 2 2 4 4 4 10" xfId="42819" xr:uid="{E70EF319-6C54-4F50-985D-E5502300F3CA}"/>
    <cellStyle name="Comma 2 2 4 4 4 11" xfId="44946" xr:uid="{9E1D9AD7-0676-4807-B37B-A892CAA6893F}"/>
    <cellStyle name="Comma 2 2 4 4 4 12" xfId="46133" xr:uid="{832B88AD-E80B-48C5-90E3-AAE5898AF1BF}"/>
    <cellStyle name="Comma 2 2 4 4 4 13" xfId="49469" xr:uid="{3638E84A-2EA3-42AA-A542-946CC36F32B4}"/>
    <cellStyle name="Comma 2 2 4 4 4 14" xfId="52410" xr:uid="{A51B8D61-54CA-4D6A-B558-D61D58AB2251}"/>
    <cellStyle name="Comma 2 2 4 4 4 15" xfId="19725" xr:uid="{15498B27-8104-405A-9D20-A699ED447001}"/>
    <cellStyle name="Comma 2 2 4 4 4 16" xfId="14395" xr:uid="{635362A5-D790-4BA3-AAD9-47FF826857E7}"/>
    <cellStyle name="Comma 2 2 4 4 4 2" xfId="9466" xr:uid="{FDBFFCFE-EC2D-4F85-9FFC-DAC48C10B908}"/>
    <cellStyle name="Comma 2 2 4 4 4 2 2" xfId="12772" xr:uid="{94F5B147-C04D-4098-9CDE-71BE07CC3866}"/>
    <cellStyle name="Comma 2 2 4 4 4 2 2 2" xfId="39733" xr:uid="{6B7D51E4-E66E-4E17-8A05-7C677A71D04F}"/>
    <cellStyle name="Comma 2 2 4 4 4 2 3" xfId="41586" xr:uid="{61715DC3-3485-4DD7-B6AC-6BD826D21183}"/>
    <cellStyle name="Comma 2 2 4 4 4 2 4" xfId="43410" xr:uid="{170841D4-91D6-4F6C-A6C9-4FC0BC4DFBD6}"/>
    <cellStyle name="Comma 2 2 4 4 4 2 5" xfId="45489" xr:uid="{7586D694-DE60-43E6-857E-7A42829E47EE}"/>
    <cellStyle name="Comma 2 2 4 4 4 2 6" xfId="47928" xr:uid="{13DF1CC7-607F-4109-BFC8-F8CD29309E6E}"/>
    <cellStyle name="Comma 2 2 4 4 4 2 7" xfId="50797" xr:uid="{F67F2B43-FD11-425F-8049-72B7B4573F82}"/>
    <cellStyle name="Comma 2 2 4 4 4 2 8" xfId="52411" xr:uid="{A79CE385-3618-4CD3-B80F-D6AA5F435016}"/>
    <cellStyle name="Comma 2 2 4 4 4 2 9" xfId="23342" xr:uid="{950A7AD6-F6DC-403A-8222-83F19D00B3CC}"/>
    <cellStyle name="Comma 2 2 4 4 4 3" xfId="11487" xr:uid="{96214BD6-935E-4234-BE3E-3D6A27B17B95}"/>
    <cellStyle name="Comma 2 2 4 4 4 3 2" xfId="20386" xr:uid="{0ED3E750-2F85-47D4-95EA-784647BA86FC}"/>
    <cellStyle name="Comma 2 2 4 4 4 4" xfId="23677" xr:uid="{7F090AE9-42A6-4111-8303-247035FC496F}"/>
    <cellStyle name="Comma 2 2 4 4 4 5" xfId="38174" xr:uid="{96C6AA7A-97F5-412D-8F51-A2B74E869D88}"/>
    <cellStyle name="Comma 2 2 4 4 4 6" xfId="39142" xr:uid="{4BFB9415-D272-4F8D-B657-4D550A215F22}"/>
    <cellStyle name="Comma 2 2 4 4 4 7" xfId="39997" xr:uid="{5C9C5340-4E4B-4043-8C46-61564CE32FB5}"/>
    <cellStyle name="Comma 2 2 4 4 4 8" xfId="40639" xr:uid="{B584080E-07EB-4CC5-B2E6-5C124D99689E}"/>
    <cellStyle name="Comma 2 2 4 4 4 9" xfId="41851" xr:uid="{6944A003-FE34-446D-90EF-C92CBC867F74}"/>
    <cellStyle name="Comma 2 2 4 4 5" xfId="7468" xr:uid="{8B9E6EB9-F3FE-4A4F-A770-F89007F995B0}"/>
    <cellStyle name="Comma 2 2 4 4 5 10" xfId="14848" xr:uid="{F95B54D1-14FD-4209-95CB-39334B52E20B}"/>
    <cellStyle name="Comma 2 2 4 4 5 2" xfId="9960" xr:uid="{6AEE4DDC-ECBD-4AD9-A48C-0529F2431E8B}"/>
    <cellStyle name="Comma 2 2 4 4 5 2 2" xfId="13266" xr:uid="{B08C915C-0F1E-4B4F-A314-29A8992EE792}"/>
    <cellStyle name="Comma 2 2 4 4 5 2 2 2" xfId="48364" xr:uid="{8ED05B4A-DE46-4E8F-B7B1-784913EE50BB}"/>
    <cellStyle name="Comma 2 2 4 4 5 2 3" xfId="51165" xr:uid="{826B9AF0-23E7-45C8-9950-DC4D5E5415DE}"/>
    <cellStyle name="Comma 2 2 4 4 5 2 4" xfId="52412" xr:uid="{8DA5414C-483F-4C8E-90F9-66F8E7ED2BFE}"/>
    <cellStyle name="Comma 2 2 4 4 5 2 5" xfId="39253" xr:uid="{400F51D4-B274-4E4F-8295-5BE165225E41}"/>
    <cellStyle name="Comma 2 2 4 4 5 3" xfId="11981" xr:uid="{2187D497-6757-4917-A0B9-A1C9E27AA0A3}"/>
    <cellStyle name="Comma 2 2 4 4 5 3 2" xfId="41121" xr:uid="{89208B67-93FF-439E-9DB3-A93A6C18C0B2}"/>
    <cellStyle name="Comma 2 2 4 4 5 4" xfId="42930" xr:uid="{719655CF-ADB7-4D3F-924D-6D876BE45777}"/>
    <cellStyle name="Comma 2 2 4 4 5 5" xfId="45037" xr:uid="{70E3A607-5461-451F-B251-635C46ADEAAA}"/>
    <cellStyle name="Comma 2 2 4 4 5 6" xfId="46813" xr:uid="{7883F30D-2B85-419C-86CA-8D6252797514}"/>
    <cellStyle name="Comma 2 2 4 4 5 7" xfId="49837" xr:uid="{385965F5-ABD1-46E1-8159-C1DFC0FC5BFF}"/>
    <cellStyle name="Comma 2 2 4 4 5 8" xfId="52413" xr:uid="{3F5415C6-C76D-4430-BF93-EB78E9942061}"/>
    <cellStyle name="Comma 2 2 4 4 5 9" xfId="20498" xr:uid="{CD06A70E-FB9A-40B2-ADB5-61AD32880D24}"/>
    <cellStyle name="Comma 2 2 4 4 6" xfId="8134" xr:uid="{6CA2812B-2D81-435D-9A86-A4763BAC73B3}"/>
    <cellStyle name="Comma 2 2 4 4 6 2" xfId="12590" xr:uid="{22DB8873-B997-4B61-8ABD-9D27C9A261D3}"/>
    <cellStyle name="Comma 2 2 4 4 6 2 2" xfId="51515" xr:uid="{01CB2273-FF43-474D-B5E8-CB265F9767CB}"/>
    <cellStyle name="Comma 2 2 4 4 6 2 3" xfId="52414" xr:uid="{87BBA01F-45AD-40BE-B112-BAB9ADB8CC3A}"/>
    <cellStyle name="Comma 2 2 4 4 6 2 4" xfId="48780" xr:uid="{305EA326-9D9A-419E-89A4-529243038040}"/>
    <cellStyle name="Comma 2 2 4 4 6 3" xfId="47209" xr:uid="{1B9C1848-561F-4D51-A9B8-EDDC2EEDADEC}"/>
    <cellStyle name="Comma 2 2 4 4 6 4" xfId="50187" xr:uid="{FF0668ED-B576-4E24-8932-AE5A66A4404E}"/>
    <cellStyle name="Comma 2 2 4 4 6 5" xfId="52415" xr:uid="{7492AC18-6459-4CAB-A8DE-72C3403B6126}"/>
    <cellStyle name="Comma 2 2 4 4 6 6" xfId="19905" xr:uid="{46159939-2283-48D8-BE39-C3E4E72594AB}"/>
    <cellStyle name="Comma 2 2 4 4 7" xfId="7921" xr:uid="{3F0D6F35-56AD-4DEE-82DB-ABFBBD1F32D2}"/>
    <cellStyle name="Comma 2 2 4 4 7 2" xfId="12434" xr:uid="{E9AB7618-02A1-4FA9-99AE-AB71C106B453}"/>
    <cellStyle name="Comma 2 2 4 4 7 2 2" xfId="47671" xr:uid="{6A81DB42-1584-4613-9D3E-9572B5FCEC77}"/>
    <cellStyle name="Comma 2 2 4 4 7 3" xfId="50579" xr:uid="{DE780600-0FD7-467E-9318-F32967596BB2}"/>
    <cellStyle name="Comma 2 2 4 4 7 4" xfId="52416" xr:uid="{E2826F7B-62AC-48C2-A055-1E6AFBCCBE38}"/>
    <cellStyle name="Comma 2 2 4 4 7 5" xfId="23673" xr:uid="{4D12EDB7-E534-4071-88EF-B34C0B66744B}"/>
    <cellStyle name="Comma 2 2 4 4 8" xfId="5818" xr:uid="{8F65AEFF-3390-438D-ABA9-F0F9C070C2DD}"/>
    <cellStyle name="Comma 2 2 4 4 8 2" xfId="38170" xr:uid="{8595B17C-D376-465A-92A0-62B8C71C0D54}"/>
    <cellStyle name="Comma 2 2 4 4 9" xfId="11306" xr:uid="{0239E9E3-E6CC-4523-9341-5E7DD92EBEE8}"/>
    <cellStyle name="Comma 2 2 4 4 9 2" xfId="38662" xr:uid="{B9404652-3D71-4602-BABE-C9C7AF08146A}"/>
    <cellStyle name="Comma 2 2 4 5" xfId="1748" xr:uid="{FABC7C0D-9897-43C7-B229-852F317647A5}"/>
    <cellStyle name="Comma 2 2 4 5 10" xfId="40640" xr:uid="{02E927AC-A771-4B94-A7F7-D6C96C4A1914}"/>
    <cellStyle name="Comma 2 2 4 5 11" xfId="41852" xr:uid="{DF7A4D29-D7B4-4373-AF36-4CA68731DA02}"/>
    <cellStyle name="Comma 2 2 4 5 12" xfId="42367" xr:uid="{5860D244-6881-4E18-9A40-234DD39894FF}"/>
    <cellStyle name="Comma 2 2 4 5 13" xfId="43521" xr:uid="{C820F0E0-D58B-4A76-80FE-1195267F1C57}"/>
    <cellStyle name="Comma 2 2 4 5 14" xfId="44384" xr:uid="{2558109F-EE0E-4A5C-A91B-C995679A88DC}"/>
    <cellStyle name="Comma 2 2 4 5 15" xfId="45619" xr:uid="{647124A2-FAB8-4616-95E8-DC73DBE722B9}"/>
    <cellStyle name="Comma 2 2 4 5 16" xfId="49248" xr:uid="{ACD73902-C153-45A3-AD93-492C776C1752}"/>
    <cellStyle name="Comma 2 2 4 5 17" xfId="52417" xr:uid="{F65AFC45-E16A-41D9-810D-1C45BC0DD86E}"/>
    <cellStyle name="Comma 2 2 4 5 18" xfId="15791" xr:uid="{1FA75571-E30A-4D94-980B-8C2EED81DC72}"/>
    <cellStyle name="Comma 2 2 4 5 19" xfId="13904" xr:uid="{1229DA1B-7E6E-453C-B535-54726586CAA8}"/>
    <cellStyle name="Comma 2 2 4 5 2" xfId="4424" xr:uid="{00A71680-22D3-4166-98EB-F2F6516E3A7F}"/>
    <cellStyle name="Comma 2 2 4 5 2 10" xfId="41853" xr:uid="{40A1B5AF-138A-4B00-A796-AA63D40B15B2}"/>
    <cellStyle name="Comma 2 2 4 5 2 11" xfId="42519" xr:uid="{456B892D-BB66-4971-A2B4-83882D0EEB4D}"/>
    <cellStyle name="Comma 2 2 4 5 2 12" xfId="44225" xr:uid="{F0F0905A-155B-4F46-B315-D2056E9683AF}"/>
    <cellStyle name="Comma 2 2 4 5 2 13" xfId="44525" xr:uid="{2F1A6ABA-399A-4C26-AFE8-437A0C819700}"/>
    <cellStyle name="Comma 2 2 4 5 2 14" xfId="45761" xr:uid="{5DFDCB3C-993B-4470-A756-C682E0CE3F38}"/>
    <cellStyle name="Comma 2 2 4 5 2 15" xfId="49389" xr:uid="{91ED0677-D528-4E63-99D9-0E1822D0E12B}"/>
    <cellStyle name="Comma 2 2 4 5 2 16" xfId="52418" xr:uid="{FDA42C81-72C4-4A5F-9BC9-F4452818E7C6}"/>
    <cellStyle name="Comma 2 2 4 5 2 17" xfId="16809" xr:uid="{3CE266B5-C679-442C-B2D1-9C847B18DA8E}"/>
    <cellStyle name="Comma 2 2 4 5 2 18" xfId="14218" xr:uid="{A9442782-0267-4C90-A1DD-96C80A4DCACE}"/>
    <cellStyle name="Comma 2 2 4 5 2 2" xfId="5681" xr:uid="{B8B52134-4E11-4CDC-8AE5-5742016C2D4A}"/>
    <cellStyle name="Comma 2 2 4 5 2 2 10" xfId="42630" xr:uid="{EAF27611-3602-4494-8820-BB9F6131DE04}"/>
    <cellStyle name="Comma 2 2 4 5 2 2 11" xfId="44797" xr:uid="{CC2E4BAF-FE5C-4827-90DE-B563990A1563}"/>
    <cellStyle name="Comma 2 2 4 5 2 2 12" xfId="46693" xr:uid="{E6E402CF-4D3D-4049-909B-C092F3DA6D7C}"/>
    <cellStyle name="Comma 2 2 4 5 2 2 13" xfId="49725" xr:uid="{5B065AD3-8440-4B41-9A3A-0ACE53362994}"/>
    <cellStyle name="Comma 2 2 4 5 2 2 14" xfId="52419" xr:uid="{0F118458-48C6-4575-96C4-E561EA710B02}"/>
    <cellStyle name="Comma 2 2 4 5 2 2 15" xfId="16983" xr:uid="{5FC1ED79-790C-4DD8-BA6A-48DCE20F10D4}"/>
    <cellStyle name="Comma 2 2 4 5 2 2 16" xfId="14710" xr:uid="{F84FAF52-9D71-42A5-B212-B3B2D39CAC64}"/>
    <cellStyle name="Comma 2 2 4 5 2 2 2" xfId="10275" xr:uid="{8243CB1E-DC3C-4FF3-8829-1094F617B70D}"/>
    <cellStyle name="Comma 2 2 4 5 2 2 2 2" xfId="13581" xr:uid="{72BC107A-E147-4E49-9C16-0C883942BA70}"/>
    <cellStyle name="Comma 2 2 4 5 2 2 2 2 2" xfId="39544" xr:uid="{09534717-5ADB-4926-9B2C-FDF0B83CA333}"/>
    <cellStyle name="Comma 2 2 4 5 2 2 2 3" xfId="41398" xr:uid="{F5EAE99D-B25D-4D49-9766-CA67C8B9D276}"/>
    <cellStyle name="Comma 2 2 4 5 2 2 2 4" xfId="43221" xr:uid="{1C529ED6-59B4-4085-8E3C-769C761EB882}"/>
    <cellStyle name="Comma 2 2 4 5 2 2 2 5" xfId="45318" xr:uid="{449A897C-CA12-4A96-8623-B6FD883098CC}"/>
    <cellStyle name="Comma 2 2 4 5 2 2 2 6" xfId="48235" xr:uid="{3D8352EC-6BE5-4D3B-A470-3F4962F28E20}"/>
    <cellStyle name="Comma 2 2 4 5 2 2 2 7" xfId="51053" xr:uid="{22E0EEE6-FC7A-485F-B12F-062792C2EAEF}"/>
    <cellStyle name="Comma 2 2 4 5 2 2 2 8" xfId="52420" xr:uid="{8347235B-2AA6-438F-8CAA-655955571E7B}"/>
    <cellStyle name="Comma 2 2 4 5 2 2 2 9" xfId="20978" xr:uid="{1EAABB7A-81D6-443E-BA6D-0DA7BD3FA82F}"/>
    <cellStyle name="Comma 2 2 4 5 2 2 3" xfId="7783" xr:uid="{85CF51E4-1746-40BA-9B41-61AB41B597E3}"/>
    <cellStyle name="Comma 2 2 4 5 2 2 3 2" xfId="20197" xr:uid="{527E6D9B-CC75-45A4-A158-9D5FB158C707}"/>
    <cellStyle name="Comma 2 2 4 5 2 2 4" xfId="12296" xr:uid="{6A6E7136-D586-4C67-BC30-F58F6D5AD7CF}"/>
    <cellStyle name="Comma 2 2 4 5 2 2 4 2" xfId="23680" xr:uid="{867F26E9-1D85-47EE-A58C-8F2E08B4786D}"/>
    <cellStyle name="Comma 2 2 4 5 2 2 5" xfId="38177" xr:uid="{2387E7A8-C521-4FC8-AE1F-8C3DA8B0763F}"/>
    <cellStyle name="Comma 2 2 4 5 2 2 6" xfId="38953" xr:uid="{0B5F7149-47D7-473C-8CBB-A6566BA2F3FC}"/>
    <cellStyle name="Comma 2 2 4 5 2 2 7" xfId="40000" xr:uid="{1BE90B5C-3CDB-420C-ACFA-0E90C0343ED9}"/>
    <cellStyle name="Comma 2 2 4 5 2 2 8" xfId="40642" xr:uid="{0454A433-7EE5-4AFF-9ACA-E8E211BC7322}"/>
    <cellStyle name="Comma 2 2 4 5 2 2 9" xfId="41854" xr:uid="{23EF9194-BF70-469A-9795-673AAD4CCD18}"/>
    <cellStyle name="Comma 2 2 4 5 2 3" xfId="11223" xr:uid="{1C020167-ADF8-4D73-94A3-A5913B9275D3}"/>
    <cellStyle name="Comma 2 2 4 5 2 3 10" xfId="15025" xr:uid="{B9295D02-5DEF-4BCB-B1B0-7FF27BE0466A}"/>
    <cellStyle name="Comma 2 2 4 5 2 3 2" xfId="13786" xr:uid="{2AFCA52F-F4E5-409E-A290-51E1AD3A3574}"/>
    <cellStyle name="Comma 2 2 4 5 2 3 2 2" xfId="48665" xr:uid="{1292F3FF-7A9A-48AB-AADB-F4C748B10F5F}"/>
    <cellStyle name="Comma 2 2 4 5 2 3 2 3" xfId="51420" xr:uid="{80744DC3-66B1-4CF9-9ECD-25F95162B69C}"/>
    <cellStyle name="Comma 2 2 4 5 2 3 2 4" xfId="52421" xr:uid="{7929A066-E563-458B-9938-DB5F16EB3C8E}"/>
    <cellStyle name="Comma 2 2 4 5 2 3 2 5" xfId="39433" xr:uid="{8F69A6B3-93BC-4895-9D74-119A922BA432}"/>
    <cellStyle name="Comma 2 2 4 5 2 3 3" xfId="41287" xr:uid="{4A3B0D3F-CAD9-476A-8EA9-364AB0DD3F79}"/>
    <cellStyle name="Comma 2 2 4 5 2 3 4" xfId="43110" xr:uid="{8A85923F-9271-444B-A579-5AA6108DF0BD}"/>
    <cellStyle name="Comma 2 2 4 5 2 3 5" xfId="45207" xr:uid="{453319C4-C39D-45DC-9F05-F8A8E6974355}"/>
    <cellStyle name="Comma 2 2 4 5 2 3 6" xfId="47102" xr:uid="{0D64394A-9C72-4BDA-B0D9-C5B7DFE1B0EB}"/>
    <cellStyle name="Comma 2 2 4 5 2 3 7" xfId="50092" xr:uid="{3AD9895E-860A-4921-A9B2-124661A29D08}"/>
    <cellStyle name="Comma 2 2 4 5 2 3 8" xfId="52422" xr:uid="{A4CAAEE2-0987-4540-8183-FEF6FCCFE6DC}"/>
    <cellStyle name="Comma 2 2 4 5 2 3 9" xfId="20811" xr:uid="{343BACA0-F236-49BB-BC9D-B93D75C24545}"/>
    <cellStyle name="Comma 2 2 4 5 2 4" xfId="9781" xr:uid="{2E78AAAA-4DE0-403D-9B8B-36151F4AA097}"/>
    <cellStyle name="Comma 2 2 4 5 2 4 2" xfId="13087" xr:uid="{28E7B552-B3DB-4463-8024-77ECBEDF190E}"/>
    <cellStyle name="Comma 2 2 4 5 2 4 2 2" xfId="51771" xr:uid="{5746B000-BF6B-43B4-9F6F-AA24C75C0080}"/>
    <cellStyle name="Comma 2 2 4 5 2 4 2 3" xfId="52423" xr:uid="{53D09956-46B8-47DE-AF4D-F47B8D35E202}"/>
    <cellStyle name="Comma 2 2 4 5 2 4 2 4" xfId="49091" xr:uid="{992963C6-AF18-460A-A5AC-FB36CB38D5C6}"/>
    <cellStyle name="Comma 2 2 4 5 2 4 3" xfId="47508" xr:uid="{F705DC77-05A1-48B0-8550-B41724EE4637}"/>
    <cellStyle name="Comma 2 2 4 5 2 4 4" xfId="50443" xr:uid="{A16D97FD-7374-4A16-B4D0-A9D5BA4E9F71}"/>
    <cellStyle name="Comma 2 2 4 5 2 4 5" xfId="52424" xr:uid="{B7116466-7814-487D-B2EB-1816E28C6193}"/>
    <cellStyle name="Comma 2 2 4 5 2 4 6" xfId="20086" xr:uid="{E3285B84-1A11-492F-A4DA-C7DFB495909E}"/>
    <cellStyle name="Comma 2 2 4 5 2 5" xfId="7279" xr:uid="{5DCD0000-0329-44E2-B221-CBCF168AD1F3}"/>
    <cellStyle name="Comma 2 2 4 5 2 5 2" xfId="47829" xr:uid="{708E88E7-47A7-4F69-86DE-2D3B28F8D5A5}"/>
    <cellStyle name="Comma 2 2 4 5 2 5 3" xfId="50717" xr:uid="{7C6DBB07-9D28-4C43-93A9-33D2E6288569}"/>
    <cellStyle name="Comma 2 2 4 5 2 5 4" xfId="52425" xr:uid="{225E9DDE-C1EC-4225-AF4B-2F9F534E790E}"/>
    <cellStyle name="Comma 2 2 4 5 2 5 5" xfId="23679" xr:uid="{BE60DB7F-2638-4CFA-9805-644B6DA5C233}"/>
    <cellStyle name="Comma 2 2 4 5 2 6" xfId="11802" xr:uid="{4F296C67-C0F9-417E-B0E9-A98594B33ED5}"/>
    <cellStyle name="Comma 2 2 4 5 2 6 2" xfId="38176" xr:uid="{FFAB099E-F423-46C6-A861-F9189A87990C}"/>
    <cellStyle name="Comma 2 2 4 5 2 7" xfId="38842" xr:uid="{611C0312-EE2A-49F8-9734-772A59BB9F3F}"/>
    <cellStyle name="Comma 2 2 4 5 2 8" xfId="39999" xr:uid="{B310C7A3-BE2B-4C77-AC81-0E7438FB1968}"/>
    <cellStyle name="Comma 2 2 4 5 2 9" xfId="40641" xr:uid="{D1F52BA2-D69D-4867-9616-4CD017421511}"/>
    <cellStyle name="Comma 2 2 4 5 3" xfId="5505" xr:uid="{68DD1207-364D-40B9-913A-0604688DC750}"/>
    <cellStyle name="Comma 2 2 4 5 3 10" xfId="42629" xr:uid="{9E79940A-F57B-4D52-8DA8-E9D31E7770CD}"/>
    <cellStyle name="Comma 2 2 4 5 3 11" xfId="43794" xr:uid="{7A1D802C-725C-4DB2-9B1D-2492B3D30478}"/>
    <cellStyle name="Comma 2 2 4 5 3 12" xfId="44796" xr:uid="{3BB4B502-E547-42FD-AA5B-47A9D362EF86}"/>
    <cellStyle name="Comma 2 2 4 5 3 13" xfId="46552" xr:uid="{79DFCA81-ADEE-4C30-B89F-0F37076BB289}"/>
    <cellStyle name="Comma 2 2 4 5 3 14" xfId="49585" xr:uid="{7D465FC2-653F-4417-B388-4305839C68F7}"/>
    <cellStyle name="Comma 2 2 4 5 3 15" xfId="52426" xr:uid="{F7F074DC-BD05-4482-99D7-477DD7528DA2}"/>
    <cellStyle name="Comma 2 2 4 5 3 16" xfId="16982" xr:uid="{DC1AE61F-30BE-402B-A597-E92822FF7919}"/>
    <cellStyle name="Comma 2 2 4 5 3 17" xfId="14042" xr:uid="{F9738F0F-01D2-49A8-927E-2413A7FBC7C7}"/>
    <cellStyle name="Comma 2 2 4 5 3 2" xfId="7607" xr:uid="{CDC68311-4A30-4BFE-BFBB-1925FDC9A119}"/>
    <cellStyle name="Comma 2 2 4 5 3 2 10" xfId="14534" xr:uid="{88F83CFE-7E15-41D9-ADC4-738692A2D538}"/>
    <cellStyle name="Comma 2 2 4 5 3 2 2" xfId="10099" xr:uid="{7FECF2AD-A285-4768-BA5E-EEEA727DDDDB}"/>
    <cellStyle name="Comma 2 2 4 5 3 2 2 2" xfId="13405" xr:uid="{35115C9F-F935-45A1-8ECA-78BD808723DA}"/>
    <cellStyle name="Comma 2 2 4 5 3 2 2 2 2" xfId="48919" xr:uid="{04837087-13DD-4FAB-B176-DA1D942EAF75}"/>
    <cellStyle name="Comma 2 2 4 5 3 2 2 3" xfId="51631" xr:uid="{158245C7-726F-4A68-A193-93016649BDD1}"/>
    <cellStyle name="Comma 2 2 4 5 3 2 2 4" xfId="52427" xr:uid="{89E11CAA-3D76-4203-BFD9-4F533EC0013F}"/>
    <cellStyle name="Comma 2 2 4 5 3 2 2 5" xfId="39543" xr:uid="{45F2E8B5-FBD2-46DD-A1BA-9B6B4645B9F3}"/>
    <cellStyle name="Comma 2 2 4 5 3 2 3" xfId="12120" xr:uid="{59114FAB-4D52-4BDD-A331-B25541ECC30C}"/>
    <cellStyle name="Comma 2 2 4 5 3 2 3 2" xfId="41397" xr:uid="{980D4CA3-E9B9-49EB-81BB-03C94A8401C2}"/>
    <cellStyle name="Comma 2 2 4 5 3 2 4" xfId="43220" xr:uid="{F08F5278-730B-4264-96C4-C7703296BAF1}"/>
    <cellStyle name="Comma 2 2 4 5 3 2 5" xfId="45317" xr:uid="{4E15CE11-9B70-4169-81AB-B860BC294453}"/>
    <cellStyle name="Comma 2 2 4 5 3 2 6" xfId="47343" xr:uid="{814108A1-00D2-4070-A256-84F7E77CA772}"/>
    <cellStyle name="Comma 2 2 4 5 3 2 7" xfId="50303" xr:uid="{F1C32099-8424-4C98-A7C4-CCE8DB234B03}"/>
    <cellStyle name="Comma 2 2 4 5 3 2 8" xfId="52428" xr:uid="{71CF1EA7-B5AB-4EE4-8796-B22049C63906}"/>
    <cellStyle name="Comma 2 2 4 5 3 2 9" xfId="20977" xr:uid="{A55A97BF-210A-4900-845D-6ADC7C983718}"/>
    <cellStyle name="Comma 2 2 4 5 3 3" xfId="9605" xr:uid="{D487D560-BDF3-4B76-BE51-D8F8EC66C31E}"/>
    <cellStyle name="Comma 2 2 4 5 3 3 2" xfId="12911" xr:uid="{6AB0E5CC-D57D-4A3D-8722-F23016BBAEA6}"/>
    <cellStyle name="Comma 2 2 4 5 3 3 2 2" xfId="48064" xr:uid="{4EB04DCB-F7FE-441F-9F79-A08C4C239959}"/>
    <cellStyle name="Comma 2 2 4 5 3 3 3" xfId="50913" xr:uid="{BE122605-D7F4-4973-8F19-FA0F1820276E}"/>
    <cellStyle name="Comma 2 2 4 5 3 3 4" xfId="52429" xr:uid="{2A6723BD-AD93-4ECD-A7CB-9081D5D434A7}"/>
    <cellStyle name="Comma 2 2 4 5 3 3 5" xfId="20196" xr:uid="{61AD8C39-94E9-4AAE-8C6B-1711A6757C65}"/>
    <cellStyle name="Comma 2 2 4 5 3 4" xfId="7101" xr:uid="{03A2AB05-789B-459A-A68E-8B7131A1D2F8}"/>
    <cellStyle name="Comma 2 2 4 5 3 4 2" xfId="23681" xr:uid="{D6434A29-F09B-4C60-9419-5E4548C6ADD4}"/>
    <cellStyle name="Comma 2 2 4 5 3 5" xfId="11626" xr:uid="{AB897C03-17AA-4FDC-A880-B8A6A4BE47CA}"/>
    <cellStyle name="Comma 2 2 4 5 3 5 2" xfId="38178" xr:uid="{A1B26129-DCE8-4869-B577-6946A025E7AC}"/>
    <cellStyle name="Comma 2 2 4 5 3 6" xfId="38952" xr:uid="{B1C8ED57-2A9C-4901-8EB4-96484BF4827E}"/>
    <cellStyle name="Comma 2 2 4 5 3 7" xfId="40001" xr:uid="{9A269788-9282-43A2-AD59-5FDA4B38C32B}"/>
    <cellStyle name="Comma 2 2 4 5 3 8" xfId="40643" xr:uid="{E6998322-E11F-4E91-A560-D0B7C1432C7F}"/>
    <cellStyle name="Comma 2 2 4 5 3 9" xfId="41855" xr:uid="{28F5AD85-5B45-4C95-BFD6-12BD428CBD96}"/>
    <cellStyle name="Comma 2 2 4 5 4" xfId="6495" xr:uid="{E5605573-3A8E-4F1A-8F25-9D088A3AE9E5}"/>
    <cellStyle name="Comma 2 2 4 5 4 10" xfId="14396" xr:uid="{0CE15D7E-9877-4000-8854-8820051CB818}"/>
    <cellStyle name="Comma 2 2 4 5 4 2" xfId="9467" xr:uid="{EC67DDA5-8E30-4DB6-831D-F0D098F59CFF}"/>
    <cellStyle name="Comma 2 2 4 5 4 2 2" xfId="12773" xr:uid="{1A1F7C64-7820-4AFB-A745-1F66A9F4E8A0}"/>
    <cellStyle name="Comma 2 2 4 5 4 2 2 2" xfId="47929" xr:uid="{649173D7-B0E9-4535-8D10-7A81436DA665}"/>
    <cellStyle name="Comma 2 2 4 5 4 2 3" xfId="50798" xr:uid="{529553E9-ABFF-430C-8D73-58A093610147}"/>
    <cellStyle name="Comma 2 2 4 5 4 2 4" xfId="52430" xr:uid="{C8E5916A-DAD9-47FD-B196-9A59553D3567}"/>
    <cellStyle name="Comma 2 2 4 5 4 2 5" xfId="39281" xr:uid="{094BFAC1-CAF7-4B07-AF80-DA7EA4DBE237}"/>
    <cellStyle name="Comma 2 2 4 5 4 3" xfId="11488" xr:uid="{4EFDCC69-2CE4-4B03-9A8E-3AB3FF32BDD4}"/>
    <cellStyle name="Comma 2 2 4 5 4 3 2" xfId="41143" xr:uid="{4B76DD3A-A8F7-43DF-B87A-879D0D21C4F5}"/>
    <cellStyle name="Comma 2 2 4 5 4 4" xfId="42958" xr:uid="{7E804CD4-957B-44E0-9A63-4A06E3285B80}"/>
    <cellStyle name="Comma 2 2 4 5 4 5" xfId="45063" xr:uid="{C7823FFC-39FD-4894-94EC-8320B070E2F6}"/>
    <cellStyle name="Comma 2 2 4 5 4 6" xfId="46134" xr:uid="{DE3DD856-4E17-4FC1-9EDF-D346AF5C1690}"/>
    <cellStyle name="Comma 2 2 4 5 4 7" xfId="49470" xr:uid="{5073FDD2-859D-4713-9636-2AB95A3120AD}"/>
    <cellStyle name="Comma 2 2 4 5 4 8" xfId="52431" xr:uid="{70ADE24F-673A-49B9-945E-B2A0CD73288B}"/>
    <cellStyle name="Comma 2 2 4 5 4 9" xfId="20527" xr:uid="{C5A3966A-C9E7-44D6-AFA2-07BCE4C33A9C}"/>
    <cellStyle name="Comma 2 2 4 5 5" xfId="7469" xr:uid="{3646D2B4-638F-48BC-A661-9C5014913236}"/>
    <cellStyle name="Comma 2 2 4 5 5 2" xfId="9961" xr:uid="{77025B44-90D3-4740-8E48-7AD29DDCAFC2}"/>
    <cellStyle name="Comma 2 2 4 5 5 2 2" xfId="13267" xr:uid="{A4127217-8C86-4D9A-9F88-C457166BDF92}"/>
    <cellStyle name="Comma 2 2 4 5 5 2 2 2" xfId="51260" xr:uid="{A67D9410-0FA2-40CF-8400-DE5F19933EAC}"/>
    <cellStyle name="Comma 2 2 4 5 5 2 3" xfId="52432" xr:uid="{68B266A0-F80F-4EB0-9803-C944B10A9DC5}"/>
    <cellStyle name="Comma 2 2 4 5 5 2 4" xfId="48474" xr:uid="{C289A500-47FF-4356-8B24-D7A2D7E2A348}"/>
    <cellStyle name="Comma 2 2 4 5 5 3" xfId="11982" xr:uid="{4EDE7986-473F-45D4-AD5D-B26D85D1D55F}"/>
    <cellStyle name="Comma 2 2 4 5 5 3 2" xfId="46913" xr:uid="{A4B7FF58-DA8D-4BE6-A673-766D2D1E4E58}"/>
    <cellStyle name="Comma 2 2 4 5 5 4" xfId="49932" xr:uid="{B4E817DD-6408-4CD4-B9C1-9472B1DB2430}"/>
    <cellStyle name="Comma 2 2 4 5 5 5" xfId="52433" xr:uid="{7B8BFE1E-A905-4D88-8E5A-A5F6769C7B64}"/>
    <cellStyle name="Comma 2 2 4 5 5 6" xfId="19934" xr:uid="{260F1DF3-C32E-4EDD-811D-6E725DFE10B2}"/>
    <cellStyle name="Comma 2 2 4 5 5 7" xfId="14849" xr:uid="{2057E8FD-E1D6-438F-AD59-7A45AF621BEB}"/>
    <cellStyle name="Comma 2 2 4 5 6" xfId="8135" xr:uid="{8F56C492-8862-487B-B1C1-BB43A355A15E}"/>
    <cellStyle name="Comma 2 2 4 5 6 2" xfId="12591" xr:uid="{A832DB10-A8B8-4653-942A-8A8D6201A61F}"/>
    <cellStyle name="Comma 2 2 4 5 6 2 2" xfId="51516" xr:uid="{9F4075BE-09AE-49D9-B89A-22FA91BFD37F}"/>
    <cellStyle name="Comma 2 2 4 5 6 2 3" xfId="52434" xr:uid="{0DF71A14-0628-4594-A6D5-77C4F1674A58}"/>
    <cellStyle name="Comma 2 2 4 5 6 2 4" xfId="48781" xr:uid="{3AC193F8-625C-42CE-9AC8-5A1F0D76269E}"/>
    <cellStyle name="Comma 2 2 4 5 6 3" xfId="47210" xr:uid="{C2508CD8-40E5-47B0-B46E-1250425A5AA2}"/>
    <cellStyle name="Comma 2 2 4 5 6 4" xfId="50188" xr:uid="{FFB3DBC9-6BD8-489B-AA3F-8CC1A223DAB1}"/>
    <cellStyle name="Comma 2 2 4 5 6 5" xfId="52435" xr:uid="{D9C75923-5A9B-4B2F-9FC3-152444E7A14F}"/>
    <cellStyle name="Comma 2 2 4 5 6 6" xfId="23678" xr:uid="{9E4FD8E5-BD9A-4B59-88C9-BC2299238CBE}"/>
    <cellStyle name="Comma 2 2 4 5 7" xfId="7922" xr:uid="{3F36661A-7963-4511-8B86-C8142B68DE0A}"/>
    <cellStyle name="Comma 2 2 4 5 7 2" xfId="12435" xr:uid="{91B8E024-AD25-4A82-BBE2-99C98844AE7C}"/>
    <cellStyle name="Comma 2 2 4 5 7 2 2" xfId="47668" xr:uid="{295B5E14-D717-416A-9179-A6F52F251B29}"/>
    <cellStyle name="Comma 2 2 4 5 7 3" xfId="50576" xr:uid="{7EFCC953-7E21-4B54-86EC-3217ABA32193}"/>
    <cellStyle name="Comma 2 2 4 5 7 4" xfId="52436" xr:uid="{E0962922-F6D2-48C5-B1A3-73FC83E571A2}"/>
    <cellStyle name="Comma 2 2 4 5 7 5" xfId="38175" xr:uid="{8EE02AC7-82C7-4EFA-91B1-2BCEC2FEE540}"/>
    <cellStyle name="Comma 2 2 4 5 8" xfId="5819" xr:uid="{504E565F-6CC0-4930-ADE1-F62795AD195A}"/>
    <cellStyle name="Comma 2 2 4 5 8 2" xfId="38690" xr:uid="{B5A9F9C4-E07C-4462-AB4D-F5727ED95889}"/>
    <cellStyle name="Comma 2 2 4 5 9" xfId="11307" xr:uid="{33AF0BA7-B5A0-4048-8CC7-2E0284DF59AB}"/>
    <cellStyle name="Comma 2 2 4 5 9 2" xfId="39998" xr:uid="{3A6C865A-CE1F-4F37-858D-EB75A564CC21}"/>
    <cellStyle name="Comma 2 2 4 6" xfId="4420" xr:uid="{83B29558-1F4D-4AC3-9321-3F31F169C79E}"/>
    <cellStyle name="Comma 2 2 4 6 10" xfId="41856" xr:uid="{FE7448AA-5219-45EA-9C8E-AA8336772232}"/>
    <cellStyle name="Comma 2 2 4 6 11" xfId="42452" xr:uid="{454E181F-88A7-4E9E-BD7D-02EF10CAE119}"/>
    <cellStyle name="Comma 2 2 4 6 12" xfId="43517" xr:uid="{3A435B24-BD9A-4BB0-A00D-ED5142C05BBD}"/>
    <cellStyle name="Comma 2 2 4 6 13" xfId="44521" xr:uid="{2BA2D189-ED2A-475C-9991-6412B72F2395}"/>
    <cellStyle name="Comma 2 2 4 6 14" xfId="45693" xr:uid="{FBCFD8A6-BB6E-44E8-A2A1-2B6A045EE836}"/>
    <cellStyle name="Comma 2 2 4 6 15" xfId="49321" xr:uid="{13E8BA35-B4E1-4526-82FA-AA7C9189CBAD}"/>
    <cellStyle name="Comma 2 2 4 6 16" xfId="52437" xr:uid="{C3A49057-418A-4790-AB1C-1A815691B9FD}"/>
    <cellStyle name="Comma 2 2 4 6 17" xfId="16646" xr:uid="{B90CBD34-DEF8-4B57-91C1-8DD89F9B1CEB}"/>
    <cellStyle name="Comma 2 2 4 6 18" xfId="13900" xr:uid="{8F7A2612-2A94-49C0-BB97-0052D2B251D9}"/>
    <cellStyle name="Comma 2 2 4 6 2" xfId="5677" xr:uid="{5874B1F1-2D8F-470D-8D0F-13FC73D761EE}"/>
    <cellStyle name="Comma 2 2 4 6 2 10" xfId="42631" xr:uid="{39386B17-0241-4579-8768-B2CEC784297E}"/>
    <cellStyle name="Comma 2 2 4 6 2 11" xfId="44221" xr:uid="{245ED71C-7009-409A-9367-AB4213395BBD}"/>
    <cellStyle name="Comma 2 2 4 6 2 12" xfId="44798" xr:uid="{1AF8BAC3-8476-4F95-BF7D-39E98DB0D40F}"/>
    <cellStyle name="Comma 2 2 4 6 2 13" xfId="46689" xr:uid="{2970FA84-0EE8-4244-AFA0-253F36169DB0}"/>
    <cellStyle name="Comma 2 2 4 6 2 14" xfId="49721" xr:uid="{FAADE517-037B-4870-A76D-FBEF3730B511}"/>
    <cellStyle name="Comma 2 2 4 6 2 15" xfId="52438" xr:uid="{6E86678E-4DF4-4529-B0F3-4E627429D79B}"/>
    <cellStyle name="Comma 2 2 4 6 2 16" xfId="16984" xr:uid="{359F3054-C4A0-4C06-971D-8EA184994877}"/>
    <cellStyle name="Comma 2 2 4 6 2 17" xfId="14214" xr:uid="{985969A8-0F79-41C4-9949-B27B74093E04}"/>
    <cellStyle name="Comma 2 2 4 6 2 2" xfId="7779" xr:uid="{B83FDFDC-7270-4E25-8A7A-BA81DB367155}"/>
    <cellStyle name="Comma 2 2 4 6 2 2 10" xfId="14706" xr:uid="{7EB0CE02-BB1E-4007-8CF1-75A0707DFE15}"/>
    <cellStyle name="Comma 2 2 4 6 2 2 2" xfId="10271" xr:uid="{1D144E4F-54F6-4E6D-AFB4-0635732A03B6}"/>
    <cellStyle name="Comma 2 2 4 6 2 2 2 2" xfId="13577" xr:uid="{6256EA3F-9F1A-424A-9949-B1EDF7B52472}"/>
    <cellStyle name="Comma 2 2 4 6 2 2 2 2 2" xfId="49087" xr:uid="{C5CC6695-E186-4303-9060-280100FEB760}"/>
    <cellStyle name="Comma 2 2 4 6 2 2 2 3" xfId="51767" xr:uid="{38BC86CA-16E8-4A73-94F6-4285EE14BFA5}"/>
    <cellStyle name="Comma 2 2 4 6 2 2 2 4" xfId="52439" xr:uid="{387B3761-3FD5-4E79-892A-F039A4B1B8A1}"/>
    <cellStyle name="Comma 2 2 4 6 2 2 2 5" xfId="39545" xr:uid="{6DB49E37-D3CE-4E90-8C10-13D15CAE6E15}"/>
    <cellStyle name="Comma 2 2 4 6 2 2 3" xfId="12292" xr:uid="{C9BD70C8-179F-42B0-AE57-D0E37319281A}"/>
    <cellStyle name="Comma 2 2 4 6 2 2 3 2" xfId="41399" xr:uid="{01E29AF3-9C23-476B-855B-E546AF064D86}"/>
    <cellStyle name="Comma 2 2 4 6 2 2 4" xfId="43222" xr:uid="{931182C1-6950-456F-B217-8E26BF3F8FD9}"/>
    <cellStyle name="Comma 2 2 4 6 2 2 5" xfId="45319" xr:uid="{90565F43-0A67-44F1-87E1-344CAAA8D47B}"/>
    <cellStyle name="Comma 2 2 4 6 2 2 6" xfId="47504" xr:uid="{986E3815-F5DB-4D67-ACCC-B963A02A2CE7}"/>
    <cellStyle name="Comma 2 2 4 6 2 2 7" xfId="50439" xr:uid="{82AAAE5B-1331-4B8A-8C8A-96929CBB2235}"/>
    <cellStyle name="Comma 2 2 4 6 2 2 8" xfId="52440" xr:uid="{784D3C28-A15F-43ED-8EBA-61C0478A0D53}"/>
    <cellStyle name="Comma 2 2 4 6 2 2 9" xfId="20979" xr:uid="{B9E8E5D5-2B4D-4F59-B074-4F524B106ED5}"/>
    <cellStyle name="Comma 2 2 4 6 2 3" xfId="9777" xr:uid="{E57F8B55-DBB2-4BB5-A430-7D4BD2CBE2B3}"/>
    <cellStyle name="Comma 2 2 4 6 2 3 2" xfId="13083" xr:uid="{783A0F2A-28D0-4451-9AB5-1F51A599CD52}"/>
    <cellStyle name="Comma 2 2 4 6 2 3 2 2" xfId="48231" xr:uid="{E7409C4D-5A42-40F1-851A-80F92F025CB1}"/>
    <cellStyle name="Comma 2 2 4 6 2 3 3" xfId="51049" xr:uid="{778B8E62-C750-4019-82A7-C6F060789E7E}"/>
    <cellStyle name="Comma 2 2 4 6 2 3 4" xfId="52441" xr:uid="{7F7CA431-C147-40E8-A5A4-6A85C9702DA6}"/>
    <cellStyle name="Comma 2 2 4 6 2 3 5" xfId="20198" xr:uid="{85CFB27C-C68D-4490-9B8C-FB67DD016CCB}"/>
    <cellStyle name="Comma 2 2 4 6 2 4" xfId="7275" xr:uid="{CD62FEC9-80DA-479B-9C2D-208001472257}"/>
    <cellStyle name="Comma 2 2 4 6 2 4 2" xfId="23683" xr:uid="{F07149F7-E14D-467B-BFE7-0C3D085FE33E}"/>
    <cellStyle name="Comma 2 2 4 6 2 5" xfId="11798" xr:uid="{3C849B7D-80DD-4059-8861-53F5F08BC5EE}"/>
    <cellStyle name="Comma 2 2 4 6 2 5 2" xfId="38180" xr:uid="{177C1E42-BA97-42CB-AEC3-82D607DC0E6C}"/>
    <cellStyle name="Comma 2 2 4 6 2 6" xfId="38954" xr:uid="{6A7DE72B-4072-48DC-8666-4B1EFCE07BFA}"/>
    <cellStyle name="Comma 2 2 4 6 2 7" xfId="40003" xr:uid="{BF00B852-D9EF-44EE-8A64-99AFC0E4F862}"/>
    <cellStyle name="Comma 2 2 4 6 2 8" xfId="40645" xr:uid="{1E3A7EDE-E00D-4E2C-A8C7-6504E6C9DEED}"/>
    <cellStyle name="Comma 2 2 4 6 2 9" xfId="41857" xr:uid="{83E0CA77-E611-4A33-B58A-F17D4CAE6A0A}"/>
    <cellStyle name="Comma 2 2 4 6 3" xfId="7465" xr:uid="{FA4C000B-BC21-4DB8-AA8E-0C0C3CA26E80}"/>
    <cellStyle name="Comma 2 2 4 6 3 10" xfId="14392" xr:uid="{594E2229-F4B8-45BA-A947-49D59004561E}"/>
    <cellStyle name="Comma 2 2 4 6 3 2" xfId="9957" xr:uid="{C88B7EE5-510C-41C7-BEC6-ACF812CCF83D}"/>
    <cellStyle name="Comma 2 2 4 6 3 2 2" xfId="13263" xr:uid="{D4D850F1-2612-43AA-B683-BD43E36FC077}"/>
    <cellStyle name="Comma 2 2 4 6 3 2 2 2" xfId="47925" xr:uid="{BBAB8A27-7022-4448-8082-6BBE547FF9C4}"/>
    <cellStyle name="Comma 2 2 4 6 3 2 3" xfId="50794" xr:uid="{48C7C74F-004B-478B-84A0-EF6B8D229696}"/>
    <cellStyle name="Comma 2 2 4 6 3 2 4" xfId="52442" xr:uid="{1E4A3191-CFC9-404C-BAEF-A08BB615C443}"/>
    <cellStyle name="Comma 2 2 4 6 3 2 5" xfId="39366" xr:uid="{1F5155EE-D457-4900-B3A5-081686D23083}"/>
    <cellStyle name="Comma 2 2 4 6 3 3" xfId="11978" xr:uid="{6B61E4E7-459F-4F46-BC31-16BD305A7092}"/>
    <cellStyle name="Comma 2 2 4 6 3 3 2" xfId="41224" xr:uid="{4468DF21-19FF-4EB4-B9DB-2C5272F5B0EE}"/>
    <cellStyle name="Comma 2 2 4 6 3 4" xfId="43043" xr:uid="{991C9D18-043C-4C26-AC01-611F02C5F3B6}"/>
    <cellStyle name="Comma 2 2 4 6 3 5" xfId="45144" xr:uid="{C2A628B4-D82C-440B-B878-318E1FC6F17F}"/>
    <cellStyle name="Comma 2 2 4 6 3 6" xfId="46130" xr:uid="{317099A9-CFF3-46C2-99FE-7722A20E583D}"/>
    <cellStyle name="Comma 2 2 4 6 3 7" xfId="49466" xr:uid="{93A3C55D-A225-44D1-8D5F-F2CD4041B55B}"/>
    <cellStyle name="Comma 2 2 4 6 3 8" xfId="52443" xr:uid="{39C44F42-FCB0-4583-A7BC-2DEF1772D422}"/>
    <cellStyle name="Comma 2 2 4 6 3 9" xfId="20740" xr:uid="{4C600164-1AB4-4BA5-A0A5-51C97FAEAAD9}"/>
    <cellStyle name="Comma 2 2 4 6 4" xfId="11123" xr:uid="{3BC9E1C9-1501-41F6-B4FD-9BE9DA6E91B5}"/>
    <cellStyle name="Comma 2 2 4 6 4 2" xfId="13720" xr:uid="{5E7DEB74-F931-4F9F-9D78-50D4EE9865DB}"/>
    <cellStyle name="Comma 2 2 4 6 4 2 2" xfId="51256" xr:uid="{115B8BBB-5CF5-4658-B883-4FFEB1411AD9}"/>
    <cellStyle name="Comma 2 2 4 6 4 2 3" xfId="52444" xr:uid="{A924CB37-58D5-4957-A47A-730F0171DE68}"/>
    <cellStyle name="Comma 2 2 4 6 4 2 4" xfId="48470" xr:uid="{543D9421-8160-465C-95AB-69B332B3EB2C}"/>
    <cellStyle name="Comma 2 2 4 6 4 3" xfId="46909" xr:uid="{71FC69BB-2243-48BE-A550-AA31C7C58977}"/>
    <cellStyle name="Comma 2 2 4 6 4 4" xfId="49928" xr:uid="{80CF504C-7F7E-41A6-A7FF-069AE2770E32}"/>
    <cellStyle name="Comma 2 2 4 6 4 5" xfId="52445" xr:uid="{6B5F9BB2-DAE9-446E-972A-E5ED4780A2E3}"/>
    <cellStyle name="Comma 2 2 4 6 4 6" xfId="20019" xr:uid="{9DF9CE34-A219-4566-9DEF-C456252E48F3}"/>
    <cellStyle name="Comma 2 2 4 6 4 7" xfId="15021" xr:uid="{1D50CBE3-921A-4B69-8C45-0E9900C6840A}"/>
    <cellStyle name="Comma 2 2 4 6 5" xfId="9463" xr:uid="{3575B276-3586-4BAC-B12B-6301054CD0E7}"/>
    <cellStyle name="Comma 2 2 4 6 5 2" xfId="12769" xr:uid="{DB16D618-BA77-4BBA-8B80-C1C1D6096FCD}"/>
    <cellStyle name="Comma 2 2 4 6 5 2 2" xfId="51512" xr:uid="{7EFECDB6-8AF9-4774-A673-40FB615E8803}"/>
    <cellStyle name="Comma 2 2 4 6 5 2 3" xfId="52446" xr:uid="{CF0C16FE-6697-4836-BDA6-AC882D967DB5}"/>
    <cellStyle name="Comma 2 2 4 6 5 2 4" xfId="48777" xr:uid="{0A95096E-C189-428C-AF34-2AA0EABDAA1A}"/>
    <cellStyle name="Comma 2 2 4 6 5 3" xfId="47206" xr:uid="{C4DA22F0-0FF1-4F84-8E38-84F9FF380400}"/>
    <cellStyle name="Comma 2 2 4 6 5 4" xfId="50184" xr:uid="{4A0B74FD-7948-49F7-B441-50125B156787}"/>
    <cellStyle name="Comma 2 2 4 6 5 5" xfId="52447" xr:uid="{36BF3004-6B25-4743-845C-B71ADB57F48D}"/>
    <cellStyle name="Comma 2 2 4 6 5 6" xfId="23682" xr:uid="{E8EA6900-CD06-405E-A074-E693AB50DC9D}"/>
    <cellStyle name="Comma 2 2 4 6 6" xfId="6491" xr:uid="{D61A112C-90B4-4304-9F8D-A25D2862FD55}"/>
    <cellStyle name="Comma 2 2 4 6 6 2" xfId="47750" xr:uid="{8C75353B-4095-4256-A86D-2433E752FDDA}"/>
    <cellStyle name="Comma 2 2 4 6 6 3" xfId="50649" xr:uid="{0B7BB798-6370-41A0-A8B0-12686D800E77}"/>
    <cellStyle name="Comma 2 2 4 6 6 4" xfId="52448" xr:uid="{67965E35-BF77-4766-B796-F01783D89350}"/>
    <cellStyle name="Comma 2 2 4 6 6 5" xfId="38179" xr:uid="{FC7CB8CB-22C2-4796-BD71-F846016EB67F}"/>
    <cellStyle name="Comma 2 2 4 6 7" xfId="11484" xr:uid="{9FF45A4C-3D85-477C-8583-E23D358EE80C}"/>
    <cellStyle name="Comma 2 2 4 6 7 2" xfId="38775" xr:uid="{C6DF5E87-2EB4-4C33-8397-079779EAE5C6}"/>
    <cellStyle name="Comma 2 2 4 6 8" xfId="40002" xr:uid="{73AACB31-E9AB-4548-BA37-3DEC2BEAE056}"/>
    <cellStyle name="Comma 2 2 4 6 9" xfId="40644" xr:uid="{6689C730-47DE-4285-9057-9CA950BF7736}"/>
    <cellStyle name="Comma 2 2 4 7" xfId="3882" xr:uid="{CE2FF3A5-8105-4813-B71B-D6C3D98A7384}"/>
    <cellStyle name="Comma 2 2 4 7 10" xfId="41858" xr:uid="{982C23B1-1DD5-4D88-BD2F-FC84C0D0D4E2}"/>
    <cellStyle name="Comma 2 2 4 7 11" xfId="42391" xr:uid="{391373E3-0B5D-4145-8708-6E34F21B4355}"/>
    <cellStyle name="Comma 2 2 4 7 12" xfId="43893" xr:uid="{E4855A10-2E52-404C-A068-54B1BE4A6972}"/>
    <cellStyle name="Comma 2 2 4 7 13" xfId="44480" xr:uid="{2AD6C7DE-D300-45A7-8217-B13460780150}"/>
    <cellStyle name="Comma 2 2 4 7 14" xfId="46647" xr:uid="{7991C3A5-6B08-4B3C-86F8-1B43E932EAB1}"/>
    <cellStyle name="Comma 2 2 4 7 15" xfId="49680" xr:uid="{BBA492D1-AF70-42A1-8351-CBD8CF4DFE24}"/>
    <cellStyle name="Comma 2 2 4 7 16" xfId="52449" xr:uid="{09E6C6B4-4CD9-4250-8073-2628EBF9ADD5}"/>
    <cellStyle name="Comma 2 2 4 7 17" xfId="16366" xr:uid="{CB29D663-A4A5-42D5-A43D-154B80DF64D9}"/>
    <cellStyle name="Comma 2 2 4 7 18" xfId="14161" xr:uid="{943B4C23-C443-4C6D-B63D-F5C5D306019C}"/>
    <cellStyle name="Comma 2 2 4 7 2" xfId="5624" xr:uid="{EDC61911-CC9D-40D9-9BE1-6E63F128821F}"/>
    <cellStyle name="Comma 2 2 4 7 2 10" xfId="42632" xr:uid="{21A4277A-862E-4C94-9892-B9ACB35D12D8}"/>
    <cellStyle name="Comma 2 2 4 7 2 11" xfId="44799" xr:uid="{A009F502-33C7-4A0D-B416-DFC4D2E53C33}"/>
    <cellStyle name="Comma 2 2 4 7 2 12" xfId="46865" xr:uid="{9D48F559-25FB-4F5B-8CDF-DD6C4721DFC8}"/>
    <cellStyle name="Comma 2 2 4 7 2 13" xfId="49887" xr:uid="{1FD5EE6D-F337-47B8-BAF7-2513A6660089}"/>
    <cellStyle name="Comma 2 2 4 7 2 14" xfId="52450" xr:uid="{8A4B343B-5474-4F05-A01B-2BF7EBA9D713}"/>
    <cellStyle name="Comma 2 2 4 7 2 15" xfId="16985" xr:uid="{C1E0FCF3-EB52-4D3C-9BA5-E2D65B7D1ED9}"/>
    <cellStyle name="Comma 2 2 4 7 2 16" xfId="14653" xr:uid="{77A6282F-D864-4CAC-B774-643BF69493E3}"/>
    <cellStyle name="Comma 2 2 4 7 2 2" xfId="10218" xr:uid="{71289227-6BA5-42C4-8F27-D9136DA9E378}"/>
    <cellStyle name="Comma 2 2 4 7 2 2 2" xfId="13524" xr:uid="{56C24E02-C9D5-498C-A93F-BDB8A8996D75}"/>
    <cellStyle name="Comma 2 2 4 7 2 2 2 2" xfId="39546" xr:uid="{05C45903-70B8-48D9-B8CD-5799C1837CFF}"/>
    <cellStyle name="Comma 2 2 4 7 2 2 3" xfId="41400" xr:uid="{5AEB4F5D-E7DB-4C72-8D94-FC8F1138C8E5}"/>
    <cellStyle name="Comma 2 2 4 7 2 2 4" xfId="43223" xr:uid="{D3630322-CDEB-47CB-AB4D-FE5B73617612}"/>
    <cellStyle name="Comma 2 2 4 7 2 2 5" xfId="45320" xr:uid="{71A53442-BEE9-493B-A983-7BB4B1B64D15}"/>
    <cellStyle name="Comma 2 2 4 7 2 2 6" xfId="48421" xr:uid="{5EEA498E-696C-4A16-80CE-47856B278F8F}"/>
    <cellStyle name="Comma 2 2 4 7 2 2 7" xfId="51215" xr:uid="{48AB3D8C-BF74-49E8-9140-F3A919DF9724}"/>
    <cellStyle name="Comma 2 2 4 7 2 2 8" xfId="52451" xr:uid="{265D00A2-0716-4539-97F7-AA8D8565E1D4}"/>
    <cellStyle name="Comma 2 2 4 7 2 2 9" xfId="20980" xr:uid="{06351B29-F075-43CD-BADB-DCDC9227D6BE}"/>
    <cellStyle name="Comma 2 2 4 7 2 3" xfId="7726" xr:uid="{B0BD0A40-738B-49D7-969D-797062B9DDAA}"/>
    <cellStyle name="Comma 2 2 4 7 2 3 2" xfId="20199" xr:uid="{A117A9AC-09D1-4DCB-91A0-142853CC2561}"/>
    <cellStyle name="Comma 2 2 4 7 2 4" xfId="12239" xr:uid="{219B11F9-7D82-4044-BCBC-40E6931DBD26}"/>
    <cellStyle name="Comma 2 2 4 7 2 4 2" xfId="23685" xr:uid="{C2E6FDCE-3A53-4EBF-B347-8BE5DDD237EF}"/>
    <cellStyle name="Comma 2 2 4 7 2 5" xfId="38182" xr:uid="{88381B5E-A339-4725-BB99-8BCAB38D696D}"/>
    <cellStyle name="Comma 2 2 4 7 2 6" xfId="38955" xr:uid="{AE9A0FB0-F78A-4E4F-9989-F650D1766E80}"/>
    <cellStyle name="Comma 2 2 4 7 2 7" xfId="40005" xr:uid="{098E5075-4FC4-42B4-A35E-8EC259D11086}"/>
    <cellStyle name="Comma 2 2 4 7 2 8" xfId="40647" xr:uid="{35C57869-B3E2-4221-AA03-5023C72A0426}"/>
    <cellStyle name="Comma 2 2 4 7 2 9" xfId="41859" xr:uid="{53B6E83C-EDC8-49D3-9DFF-C3C09F6FEA03}"/>
    <cellStyle name="Comma 2 2 4 7 3" xfId="9724" xr:uid="{99772B39-5924-485C-88EF-0002247A178F}"/>
    <cellStyle name="Comma 2 2 4 7 3 10" xfId="14968" xr:uid="{58DECA4F-2A3D-404A-924E-ACE3AE887D9F}"/>
    <cellStyle name="Comma 2 2 4 7 3 2" xfId="13030" xr:uid="{0D64B962-6F2D-4DD2-AEB6-EA1004C3C76A}"/>
    <cellStyle name="Comma 2 2 4 7 3 2 2" xfId="49036" xr:uid="{D0DB0B11-E59F-450C-BA7D-8F9A327DCF69}"/>
    <cellStyle name="Comma 2 2 4 7 3 2 3" xfId="51726" xr:uid="{9EF95E55-847B-40B6-A822-E40742972E3F}"/>
    <cellStyle name="Comma 2 2 4 7 3 2 4" xfId="52452" xr:uid="{C7D51437-2A25-4712-B0F5-DDE72C0395CF}"/>
    <cellStyle name="Comma 2 2 4 7 3 2 5" xfId="39305" xr:uid="{29089D51-3331-4D92-BF4B-EBCC2F2E934C}"/>
    <cellStyle name="Comma 2 2 4 7 3 3" xfId="41167" xr:uid="{5274C955-A3A8-4305-B031-43D5A96BD64E}"/>
    <cellStyle name="Comma 2 2 4 7 3 4" xfId="42982" xr:uid="{9FE67ABA-A56D-48BC-901C-F2A689E0CFC0}"/>
    <cellStyle name="Comma 2 2 4 7 3 5" xfId="45087" xr:uid="{34486DD9-F052-4BA9-9454-BEAF11CF6C41}"/>
    <cellStyle name="Comma 2 2 4 7 3 6" xfId="47455" xr:uid="{B11054F5-3861-4445-9F46-D5E97E9C0398}"/>
    <cellStyle name="Comma 2 2 4 7 3 7" xfId="50398" xr:uid="{723041D3-AB62-41D9-887E-BDE5C2CE893A}"/>
    <cellStyle name="Comma 2 2 4 7 3 8" xfId="52453" xr:uid="{2222ADDC-3B3D-49E8-AADF-C5041C71A75B}"/>
    <cellStyle name="Comma 2 2 4 7 3 9" xfId="20611" xr:uid="{3839EA85-EE31-4DE3-8011-4D8B820FE5C5}"/>
    <cellStyle name="Comma 2 2 4 7 4" xfId="7220" xr:uid="{F394CB9B-D73F-4931-B2EB-11BA3314F56E}"/>
    <cellStyle name="Comma 2 2 4 7 4 2" xfId="48181" xr:uid="{7DEE04CF-0E37-4BAE-8D3A-16D22341DE68}"/>
    <cellStyle name="Comma 2 2 4 7 4 3" xfId="51008" xr:uid="{8CEC4FA8-D55C-4CF6-94A1-03EB353754F2}"/>
    <cellStyle name="Comma 2 2 4 7 4 4" xfId="52454" xr:uid="{F6815030-AB4E-4A3C-9119-315E779029E3}"/>
    <cellStyle name="Comma 2 2 4 7 4 5" xfId="19958" xr:uid="{81935A89-4F52-4C5B-8A10-B8514BE95B1B}"/>
    <cellStyle name="Comma 2 2 4 7 5" xfId="11745" xr:uid="{4EF19E3E-F5D5-4AFB-BC21-AB3E260988F4}"/>
    <cellStyle name="Comma 2 2 4 7 5 2" xfId="23684" xr:uid="{9F21D2FF-1584-4DC0-9603-CDF23130930A}"/>
    <cellStyle name="Comma 2 2 4 7 6" xfId="38181" xr:uid="{93A413D6-CA3B-4160-B6FD-B39C21CFF469}"/>
    <cellStyle name="Comma 2 2 4 7 7" xfId="38714" xr:uid="{1F1CB218-7EB6-4BD8-ACB5-787F29D4F0D0}"/>
    <cellStyle name="Comma 2 2 4 7 8" xfId="40004" xr:uid="{4B017F53-455D-4C4B-9560-23735493C61C}"/>
    <cellStyle name="Comma 2 2 4 7 9" xfId="40646" xr:uid="{F782E800-A0A5-4415-8BC2-AE06F0E86A05}"/>
    <cellStyle name="Comma 2 2 4 8" xfId="5501" xr:uid="{6BA0C035-B83D-41F3-8E73-19FB2E04E957}"/>
    <cellStyle name="Comma 2 2 4 8 10" xfId="42616" xr:uid="{6BF30DB7-8868-4922-9750-2FF66BB3F225}"/>
    <cellStyle name="Comma 2 2 4 8 11" xfId="43790" xr:uid="{392CA248-2DCE-40DF-B343-887C87687114}"/>
    <cellStyle name="Comma 2 2 4 8 12" xfId="44783" xr:uid="{F8C568C8-21F5-4B23-8BE5-A7EA3B0FE459}"/>
    <cellStyle name="Comma 2 2 4 8 13" xfId="46548" xr:uid="{CF2BD432-B5E8-4CDC-926C-E6FF03A5DCBE}"/>
    <cellStyle name="Comma 2 2 4 8 14" xfId="49581" xr:uid="{CBD593B2-2FA2-45C3-B56F-C8A541315717}"/>
    <cellStyle name="Comma 2 2 4 8 15" xfId="52455" xr:uid="{1AB117F7-741B-45EF-928D-1AE90AA9B023}"/>
    <cellStyle name="Comma 2 2 4 8 16" xfId="16969" xr:uid="{4006A3F3-2CFF-49BF-B372-A278EFDEF44E}"/>
    <cellStyle name="Comma 2 2 4 8 17" xfId="14038" xr:uid="{B7177B72-37CC-44AE-BAC8-0BF60D4F962F}"/>
    <cellStyle name="Comma 2 2 4 8 2" xfId="7603" xr:uid="{268914A3-3218-4F8E-B7FA-50D6C4A9CA3A}"/>
    <cellStyle name="Comma 2 2 4 8 2 10" xfId="14530" xr:uid="{371112BD-5A0D-4691-8610-D07362BB6E6A}"/>
    <cellStyle name="Comma 2 2 4 8 2 2" xfId="10095" xr:uid="{464710AF-1C08-4BC5-972A-58F9DFC3D686}"/>
    <cellStyle name="Comma 2 2 4 8 2 2 2" xfId="13401" xr:uid="{34BD8956-157C-481D-A5AB-CB550DC60322}"/>
    <cellStyle name="Comma 2 2 4 8 2 2 2 2" xfId="48605" xr:uid="{DE14B97B-A2AA-4D6F-933C-A0F4DA75AE81}"/>
    <cellStyle name="Comma 2 2 4 8 2 2 3" xfId="51368" xr:uid="{57E52AD4-DF7A-4780-A852-45B8FADBAACA}"/>
    <cellStyle name="Comma 2 2 4 8 2 2 4" xfId="52456" xr:uid="{624E9742-A98B-4B83-A640-916587A226E4}"/>
    <cellStyle name="Comma 2 2 4 8 2 2 5" xfId="39530" xr:uid="{B1592C87-8C3B-4F05-ACB3-FD9B87C0C0B2}"/>
    <cellStyle name="Comma 2 2 4 8 2 3" xfId="12116" xr:uid="{59353AF7-28EF-4A68-9EF8-1CFC9FE7D945}"/>
    <cellStyle name="Comma 2 2 4 8 2 3 2" xfId="41384" xr:uid="{961D846D-F033-46F7-98D4-EB61CF64402B}"/>
    <cellStyle name="Comma 2 2 4 8 2 4" xfId="43207" xr:uid="{DC05D2F1-77D7-4CC9-99B7-BEAF57E97BD7}"/>
    <cellStyle name="Comma 2 2 4 8 2 5" xfId="45304" xr:uid="{85BDEFB4-92B0-4757-80D0-E51137FD8D0F}"/>
    <cellStyle name="Comma 2 2 4 8 2 6" xfId="47039" xr:uid="{BD9FD3FD-9079-47F8-B5ED-0024A6F137F1}"/>
    <cellStyle name="Comma 2 2 4 8 2 7" xfId="50040" xr:uid="{5E0848D2-0955-4C92-ABF9-BCEAA49D66E4}"/>
    <cellStyle name="Comma 2 2 4 8 2 8" xfId="52457" xr:uid="{4829DAB4-C624-4C57-BA25-100DD5700190}"/>
    <cellStyle name="Comma 2 2 4 8 2 9" xfId="20964" xr:uid="{3DED1E92-20EB-4405-9CD9-8FA86D8A5343}"/>
    <cellStyle name="Comma 2 2 4 8 3" xfId="9601" xr:uid="{2A65A9B4-663D-44F5-A3E5-47DA790FE266}"/>
    <cellStyle name="Comma 2 2 4 8 3 2" xfId="12907" xr:uid="{36836AF4-55B9-46CF-A30B-56AC3C7D77DA}"/>
    <cellStyle name="Comma 2 2 4 8 3 2 2" xfId="51627" xr:uid="{402375F5-E43F-4D6F-9AE7-4D70345AC62F}"/>
    <cellStyle name="Comma 2 2 4 8 3 2 3" xfId="52458" xr:uid="{57798565-AFE7-4998-B6FD-03E95CE919FE}"/>
    <cellStyle name="Comma 2 2 4 8 3 2 4" xfId="48915" xr:uid="{B1F0CAE2-8D82-4948-AAEE-1BBA3BE5E0A4}"/>
    <cellStyle name="Comma 2 2 4 8 3 3" xfId="47339" xr:uid="{27E68034-E2DB-4B62-8856-E94538CB37C7}"/>
    <cellStyle name="Comma 2 2 4 8 3 4" xfId="50299" xr:uid="{CC608C00-DE4B-4808-984D-DC8848603DA8}"/>
    <cellStyle name="Comma 2 2 4 8 3 5" xfId="52459" xr:uid="{EBF25345-80AC-4E75-B63A-672571B6A179}"/>
    <cellStyle name="Comma 2 2 4 8 3 6" xfId="20183" xr:uid="{EC249CBA-38BD-4528-A0AD-772D5CDBB2A6}"/>
    <cellStyle name="Comma 2 2 4 8 4" xfId="7097" xr:uid="{4DEA8AD6-85B0-4C20-859F-9D9B519446DF}"/>
    <cellStyle name="Comma 2 2 4 8 4 2" xfId="48060" xr:uid="{91A33E8B-A1E2-4460-8E78-EA84FE58C5F2}"/>
    <cellStyle name="Comma 2 2 4 8 4 3" xfId="50909" xr:uid="{AD0BC69E-603D-4DDB-A2AE-14DE0A89B021}"/>
    <cellStyle name="Comma 2 2 4 8 4 4" xfId="52460" xr:uid="{FB0C4912-9219-4F2B-AE8C-E6149269C417}"/>
    <cellStyle name="Comma 2 2 4 8 4 5" xfId="23686" xr:uid="{3BBD0132-1186-4F69-A193-6C8F04343727}"/>
    <cellStyle name="Comma 2 2 4 8 5" xfId="11622" xr:uid="{CB052C6D-FAEC-49EC-8F08-B3FF0A9BE1F5}"/>
    <cellStyle name="Comma 2 2 4 8 5 2" xfId="38183" xr:uid="{27B3818C-BC84-4CB1-A81A-BFAFB7C79410}"/>
    <cellStyle name="Comma 2 2 4 8 6" xfId="38939" xr:uid="{CC47D5B0-DE63-47FE-9BBA-F8D58FAC99EE}"/>
    <cellStyle name="Comma 2 2 4 8 7" xfId="40006" xr:uid="{FA23EE49-1C48-40F1-AA14-208ABA200E53}"/>
    <cellStyle name="Comma 2 2 4 8 8" xfId="40648" xr:uid="{0A409429-CB97-48DA-B930-EBC25AD2F353}"/>
    <cellStyle name="Comma 2 2 4 8 9" xfId="41860" xr:uid="{1FDEB032-CC94-482D-A4A2-B62D52164FE3}"/>
    <cellStyle name="Comma 2 2 4 9" xfId="5949" xr:uid="{DD9EAC38-FC32-4898-AB14-0253DB66F4EC}"/>
    <cellStyle name="Comma 2 2 4 9 10" xfId="42816" xr:uid="{C91A1CA5-1EE8-470C-B6EA-18DFA13F8656}"/>
    <cellStyle name="Comma 2 2 4 9 11" xfId="44943" xr:uid="{B0C567D5-BD09-428F-A916-F9754D8D71A3}"/>
    <cellStyle name="Comma 2 2 4 9 12" xfId="45803" xr:uid="{483DE4A8-DBB7-4A5C-9FB9-CDB6AECA4159}"/>
    <cellStyle name="Comma 2 2 4 9 13" xfId="49425" xr:uid="{15D68FEE-B150-47FD-B97D-56A22DB2239A}"/>
    <cellStyle name="Comma 2 2 4 9 14" xfId="52461" xr:uid="{8A955CAB-E653-4714-85B6-FB744EACDDC3}"/>
    <cellStyle name="Comma 2 2 4 9 15" xfId="19722" xr:uid="{EFC8AB9B-3CAC-4125-A430-0D83C35405CE}"/>
    <cellStyle name="Comma 2 2 4 9 16" xfId="14339" xr:uid="{740B189C-12DE-456D-B441-09B244D1592F}"/>
    <cellStyle name="Comma 2 2 4 9 2" xfId="9407" xr:uid="{2ABF6005-B6A5-40CD-926D-25EB35B51367}"/>
    <cellStyle name="Comma 2 2 4 9 2 2" xfId="12713" xr:uid="{7B91487B-6F8D-4FEF-8AAF-59DA33D76574}"/>
    <cellStyle name="Comma 2 2 4 9 2 2 2" xfId="39730" xr:uid="{7836CABB-1FF6-4734-AAF5-7FBA9B20505F}"/>
    <cellStyle name="Comma 2 2 4 9 2 3" xfId="41583" xr:uid="{1C8A29C0-3BB0-4871-9626-3DA96EC52BAC}"/>
    <cellStyle name="Comma 2 2 4 9 2 4" xfId="43407" xr:uid="{7E428F12-F2AA-4548-8117-826E7708DC05}"/>
    <cellStyle name="Comma 2 2 4 9 2 5" xfId="45486" xr:uid="{A8CA261F-FAD7-4D1E-8283-C1F621386ABF}"/>
    <cellStyle name="Comma 2 2 4 9 2 6" xfId="47876" xr:uid="{DD77BE03-7E43-421F-8F73-ABCAB12A1572}"/>
    <cellStyle name="Comma 2 2 4 9 2 7" xfId="50753" xr:uid="{8CCC1AF9-DFC1-4856-8E84-1681D6C6848B}"/>
    <cellStyle name="Comma 2 2 4 9 2 8" xfId="52462" xr:uid="{9C7A81B7-934D-49D3-B947-E4ED642A8A74}"/>
    <cellStyle name="Comma 2 2 4 9 2 9" xfId="23339" xr:uid="{C6DEC930-9E6C-46CB-AF36-B55F242BD85F}"/>
    <cellStyle name="Comma 2 2 4 9 3" xfId="11428" xr:uid="{1F50B959-21C7-4D6B-AB05-AEAE6F180749}"/>
    <cellStyle name="Comma 2 2 4 9 3 2" xfId="20383" xr:uid="{DF15FDE9-52FE-4C3F-BA07-C586BA800CD4}"/>
    <cellStyle name="Comma 2 2 4 9 4" xfId="23687" xr:uid="{7C752FE2-2495-4200-9807-AA7C1D944C35}"/>
    <cellStyle name="Comma 2 2 4 9 5" xfId="38184" xr:uid="{80878D07-C99D-4AFC-83D5-5526C5992D79}"/>
    <cellStyle name="Comma 2 2 4 9 6" xfId="39139" xr:uid="{D122134E-FB2C-4201-A186-7FC399777459}"/>
    <cellStyle name="Comma 2 2 4 9 7" xfId="40007" xr:uid="{AD089357-8058-404B-ABE0-FDFCBC5D714D}"/>
    <cellStyle name="Comma 2 2 4 9 8" xfId="40649" xr:uid="{E50B2BC5-2ACE-4C85-B15E-D89D5BB6D25F}"/>
    <cellStyle name="Comma 2 2 4 9 9" xfId="41861" xr:uid="{65C35C12-F556-4910-A056-788F634A9009}"/>
    <cellStyle name="Comma 2 2 5" xfId="1749" xr:uid="{9F6C8537-B38A-436F-849A-547F1A1B9A8F}"/>
    <cellStyle name="Comma 2 2 5 10" xfId="23688" xr:uid="{4B88FA3C-6E61-497E-97C9-485A3B920C27}"/>
    <cellStyle name="Comma 2 2 5 11" xfId="38185" xr:uid="{5D64359B-EF7F-4E3D-B909-5F87E94E8FA6}"/>
    <cellStyle name="Comma 2 2 5 12" xfId="38627" xr:uid="{DC1CF196-255B-4AB6-A554-019F7F0C14DC}"/>
    <cellStyle name="Comma 2 2 5 13" xfId="40008" xr:uid="{3CDD498E-3AD4-4167-8C4D-8A3D39781975}"/>
    <cellStyle name="Comma 2 2 5 14" xfId="40650" xr:uid="{2DFB45A2-3803-47B1-AFD2-32C63378CF6E}"/>
    <cellStyle name="Comma 2 2 5 15" xfId="41862" xr:uid="{D2173BDD-11D7-4B92-BA47-5043A5F0DC34}"/>
    <cellStyle name="Comma 2 2 5 16" xfId="42304" xr:uid="{02CF465B-BE29-416E-93D2-FA418559FD5B}"/>
    <cellStyle name="Comma 2 2 5 17" xfId="43522" xr:uid="{BB9312B4-F10F-4A09-8AE2-ABC0B16C8672}"/>
    <cellStyle name="Comma 2 2 5 18" xfId="44385" xr:uid="{33A1514B-CCEF-4B08-ACB6-2F42688F2D87}"/>
    <cellStyle name="Comma 2 2 5 19" xfId="45623" xr:uid="{E4875F55-E684-47E5-9682-9B3F6EE75AD2}"/>
    <cellStyle name="Comma 2 2 5 2" xfId="4425" xr:uid="{E2D106ED-C3E5-429F-A6FE-8BA94108DF50}"/>
    <cellStyle name="Comma 2 2 5 2 10" xfId="40651" xr:uid="{AB1BE146-396B-4190-A0DE-7F8856F09CCE}"/>
    <cellStyle name="Comma 2 2 5 2 11" xfId="41863" xr:uid="{C847E465-AD75-4DDD-A78B-53DAF5AC19E2}"/>
    <cellStyle name="Comma 2 2 5 2 12" xfId="42342" xr:uid="{EBE11E5F-2125-43AA-A4F8-6CC87B8C143D}"/>
    <cellStyle name="Comma 2 2 5 2 13" xfId="44226" xr:uid="{9C228409-A760-41E8-A420-8B59E2D57E53}"/>
    <cellStyle name="Comma 2 2 5 2 14" xfId="44526" xr:uid="{2FFB04B4-8288-4D41-82A0-4282DE2AA091}"/>
    <cellStyle name="Comma 2 2 5 2 15" xfId="45697" xr:uid="{92ED97F3-5BDC-46E9-8784-6F4A65D8E8D7}"/>
    <cellStyle name="Comma 2 2 5 2 16" xfId="49325" xr:uid="{097F2775-A926-4A04-9E7D-33DDF1F3A8BB}"/>
    <cellStyle name="Comma 2 2 5 2 17" xfId="52463" xr:uid="{BAC42616-D69E-4CC3-8C28-2CED1032EF8A}"/>
    <cellStyle name="Comma 2 2 5 2 18" xfId="15308" xr:uid="{E359C314-10AE-49EA-B497-6505F2CA8226}"/>
    <cellStyle name="Comma 2 2 5 2 19" xfId="14219" xr:uid="{C9031AE8-6B51-4E6E-8831-D59B96123AC4}"/>
    <cellStyle name="Comma 2 2 5 2 2" xfId="5682" xr:uid="{D3099087-0B1A-4579-B22B-FAFE80E91581}"/>
    <cellStyle name="Comma 2 2 5 2 2 10" xfId="41864" xr:uid="{14315B42-D8EC-4F27-BECE-B3084EAB9C18}"/>
    <cellStyle name="Comma 2 2 5 2 2 11" xfId="42494" xr:uid="{F3423270-EA3A-488C-ADAA-2B89BD500EF2}"/>
    <cellStyle name="Comma 2 2 5 2 2 12" xfId="44678" xr:uid="{C41A8C40-341B-40C5-AA75-CF41B2108A9B}"/>
    <cellStyle name="Comma 2 2 5 2 2 13" xfId="46694" xr:uid="{312FC12A-9BDA-4127-86AA-D2472B22BD12}"/>
    <cellStyle name="Comma 2 2 5 2 2 14" xfId="49726" xr:uid="{41C5C064-301A-46C2-AEE8-26DA6B9F01A9}"/>
    <cellStyle name="Comma 2 2 5 2 2 15" xfId="52464" xr:uid="{04DBE993-A4BC-4A62-869F-60980380B863}"/>
    <cellStyle name="Comma 2 2 5 2 2 16" xfId="16757" xr:uid="{7E6458A4-261C-41B4-8F51-B9DC1A6653D6}"/>
    <cellStyle name="Comma 2 2 5 2 2 17" xfId="14711" xr:uid="{C1564455-92E7-4AEC-AE32-11512D651B15}"/>
    <cellStyle name="Comma 2 2 5 2 2 2" xfId="10276" xr:uid="{9D0A17DE-6FA6-48C1-858B-DCF0A636FF6E}"/>
    <cellStyle name="Comma 2 2 5 2 2 2 10" xfId="42635" xr:uid="{783CFE3C-E60A-4F3F-908F-448BD3707214}"/>
    <cellStyle name="Comma 2 2 5 2 2 2 11" xfId="44802" xr:uid="{2E1691C9-58E7-46A3-BA78-B6C72AB216C1}"/>
    <cellStyle name="Comma 2 2 5 2 2 2 12" xfId="48236" xr:uid="{8F5B3F9D-04BD-4B48-A79D-7CD3490F4BF2}"/>
    <cellStyle name="Comma 2 2 5 2 2 2 13" xfId="51054" xr:uid="{A14750CA-7B6C-459F-B3A9-AC96B99AFF2A}"/>
    <cellStyle name="Comma 2 2 5 2 2 2 14" xfId="52465" xr:uid="{9B701390-B54B-4D99-B845-5DDF8DB1C725}"/>
    <cellStyle name="Comma 2 2 5 2 2 2 15" xfId="16988" xr:uid="{3BF717D5-0DB7-473D-8CC5-BF1634C3E2FA}"/>
    <cellStyle name="Comma 2 2 5 2 2 2 2" xfId="13582" xr:uid="{7341EF82-5E7D-41C7-9EAD-976B27D2CEA5}"/>
    <cellStyle name="Comma 2 2 5 2 2 2 2 2" xfId="39549" xr:uid="{A4C75631-BB52-48F5-BEDB-0A29499C8536}"/>
    <cellStyle name="Comma 2 2 5 2 2 2 2 3" xfId="41403" xr:uid="{8D2C4BB6-BDC3-4FC1-ABD4-E76C07EF7BAB}"/>
    <cellStyle name="Comma 2 2 5 2 2 2 2 4" xfId="43226" xr:uid="{50041685-4069-40CB-A940-15784080748E}"/>
    <cellStyle name="Comma 2 2 5 2 2 2 2 5" xfId="45323" xr:uid="{9DD0DD65-50B6-4830-93E8-3F9D0CC1476A}"/>
    <cellStyle name="Comma 2 2 5 2 2 2 2 6" xfId="20983" xr:uid="{37CE891A-7C41-46EA-90E0-AC27730500DC}"/>
    <cellStyle name="Comma 2 2 5 2 2 2 3" xfId="20202" xr:uid="{253530E5-4B07-4A54-8A90-B036C80E8CA4}"/>
    <cellStyle name="Comma 2 2 5 2 2 2 4" xfId="23691" xr:uid="{395890A7-043E-4D99-93C6-BB4CD59BA344}"/>
    <cellStyle name="Comma 2 2 5 2 2 2 5" xfId="38188" xr:uid="{C51ABFD1-9F80-4F69-817E-3D228D4BF214}"/>
    <cellStyle name="Comma 2 2 5 2 2 2 6" xfId="38958" xr:uid="{FBBB8B51-C292-4EA2-AB89-8AFFDE2DBB42}"/>
    <cellStyle name="Comma 2 2 5 2 2 2 7" xfId="40011" xr:uid="{DCFFC9EC-987C-48DD-B09F-DF667070E823}"/>
    <cellStyle name="Comma 2 2 5 2 2 2 8" xfId="40653" xr:uid="{164E32EC-3C56-442A-A86C-1AB92EBE8545}"/>
    <cellStyle name="Comma 2 2 5 2 2 2 9" xfId="41865" xr:uid="{D6E8F2D2-2757-4BAF-9293-1C727B6B6625}"/>
    <cellStyle name="Comma 2 2 5 2 2 3" xfId="7784" xr:uid="{A08F63E5-E4B2-4FD6-B41B-F4766C23CEF5}"/>
    <cellStyle name="Comma 2 2 5 2 2 3 2" xfId="39408" xr:uid="{922B633D-7552-4535-9070-CF2E4527ECF5}"/>
    <cellStyle name="Comma 2 2 5 2 2 3 3" xfId="41264" xr:uid="{867045C2-9309-4946-8AEA-C9593BCC95DE}"/>
    <cellStyle name="Comma 2 2 5 2 2 3 4" xfId="43085" xr:uid="{595EB214-0066-43EC-A2E2-19ADF537A975}"/>
    <cellStyle name="Comma 2 2 5 2 2 3 5" xfId="45184" xr:uid="{64547517-EAB9-468E-BBA3-59CCF3548621}"/>
    <cellStyle name="Comma 2 2 5 2 2 3 6" xfId="20783" xr:uid="{F753C297-7F0B-4676-B091-53873FDE2E6A}"/>
    <cellStyle name="Comma 2 2 5 2 2 4" xfId="12297" xr:uid="{69765F54-E336-4EF1-9BEC-2BB8DC51FD3C}"/>
    <cellStyle name="Comma 2 2 5 2 2 4 2" xfId="20061" xr:uid="{E48BCA7B-7307-42E4-BFF0-56385188E809}"/>
    <cellStyle name="Comma 2 2 5 2 2 5" xfId="23690" xr:uid="{A46509D6-7C97-43D6-8C3E-AF8D339120AC}"/>
    <cellStyle name="Comma 2 2 5 2 2 6" xfId="38187" xr:uid="{6A480C66-567D-438A-80EF-B7931728D880}"/>
    <cellStyle name="Comma 2 2 5 2 2 7" xfId="38817" xr:uid="{02032CBB-A24D-4AC3-B0A6-02814187755A}"/>
    <cellStyle name="Comma 2 2 5 2 2 8" xfId="40010" xr:uid="{2004381A-81A5-4470-9B24-6ACA5CE6A304}"/>
    <cellStyle name="Comma 2 2 5 2 2 9" xfId="40652" xr:uid="{241865CC-217C-4301-91E9-BC76F109AC89}"/>
    <cellStyle name="Comma 2 2 5 2 3" xfId="11127" xr:uid="{35F11678-9C49-4F1C-9D7B-6673FD4C1007}"/>
    <cellStyle name="Comma 2 2 5 2 3 10" xfId="42634" xr:uid="{87C13DC1-1F28-4522-8514-CF4DF5993127}"/>
    <cellStyle name="Comma 2 2 5 2 3 11" xfId="44801" xr:uid="{94F25757-F577-4279-A9F5-7154A6DCF495}"/>
    <cellStyle name="Comma 2 2 5 2 3 12" xfId="46914" xr:uid="{23BFA085-F0AA-4B40-ABE9-A2CBD1A7F741}"/>
    <cellStyle name="Comma 2 2 5 2 3 13" xfId="49933" xr:uid="{87D4548A-693F-4EE3-8FB1-D9948D1E8105}"/>
    <cellStyle name="Comma 2 2 5 2 3 14" xfId="52466" xr:uid="{828DCDA0-98F9-4E8B-B92F-80A0659A0BEC}"/>
    <cellStyle name="Comma 2 2 5 2 3 15" xfId="16987" xr:uid="{37D7AC40-7EE4-4903-A612-992092EDCBFD}"/>
    <cellStyle name="Comma 2 2 5 2 3 16" xfId="15026" xr:uid="{F8DA4CC4-5D38-4B33-A8CD-853B1CABB8E6}"/>
    <cellStyle name="Comma 2 2 5 2 3 2" xfId="13724" xr:uid="{CE0260C6-3F47-4357-A780-1C1548F84D0E}"/>
    <cellStyle name="Comma 2 2 5 2 3 2 2" xfId="39548" xr:uid="{B132DB78-A542-40AC-9282-1663FFD991F1}"/>
    <cellStyle name="Comma 2 2 5 2 3 2 3" xfId="41402" xr:uid="{97A70FD2-DCB9-4AAC-BD94-C3F22F47C5A6}"/>
    <cellStyle name="Comma 2 2 5 2 3 2 4" xfId="43225" xr:uid="{99FC7607-29BD-42F0-946A-7FF8D8B5B831}"/>
    <cellStyle name="Comma 2 2 5 2 3 2 5" xfId="45322" xr:uid="{DAD19BAC-0F11-4AD1-80DF-C06FB0EABC9A}"/>
    <cellStyle name="Comma 2 2 5 2 3 2 6" xfId="48475" xr:uid="{D1E0118D-5DA7-4F96-9AFA-CC1441024D66}"/>
    <cellStyle name="Comma 2 2 5 2 3 2 7" xfId="51261" xr:uid="{C07A2D75-2E9C-485A-B220-4F7CAEF4CD8F}"/>
    <cellStyle name="Comma 2 2 5 2 3 2 8" xfId="52467" xr:uid="{5EDCF927-3D6C-4A96-81CF-AF079330F521}"/>
    <cellStyle name="Comma 2 2 5 2 3 2 9" xfId="20982" xr:uid="{52713869-C593-4EC1-8A82-F36D90E99EDE}"/>
    <cellStyle name="Comma 2 2 5 2 3 3" xfId="20201" xr:uid="{86DD8F59-34B0-415C-ADDA-ACCD41F07846}"/>
    <cellStyle name="Comma 2 2 5 2 3 4" xfId="23692" xr:uid="{53ACDA3D-762B-45CB-B0FD-001CCC4E8704}"/>
    <cellStyle name="Comma 2 2 5 2 3 5" xfId="38189" xr:uid="{F7CA4A24-889F-4BC1-B4E2-79BB705D98EB}"/>
    <cellStyle name="Comma 2 2 5 2 3 6" xfId="38957" xr:uid="{66176477-9723-459E-8767-6BEF505939B6}"/>
    <cellStyle name="Comma 2 2 5 2 3 7" xfId="40012" xr:uid="{42FD617C-08EB-42C0-8E38-377332B2B85E}"/>
    <cellStyle name="Comma 2 2 5 2 3 8" xfId="40654" xr:uid="{33B4A35B-3E59-4E55-A973-A1E724D52CFC}"/>
    <cellStyle name="Comma 2 2 5 2 3 9" xfId="41866" xr:uid="{02E491C7-4242-4158-A8CD-FB9FA78DEC38}"/>
    <cellStyle name="Comma 2 2 5 2 4" xfId="9782" xr:uid="{3C24B79E-9DAE-48A6-97B4-649A7D56F805}"/>
    <cellStyle name="Comma 2 2 5 2 4 2" xfId="13088" xr:uid="{AD847E8B-9316-404E-9AE4-F7D32B6A91FC}"/>
    <cellStyle name="Comma 2 2 5 2 4 2 2" xfId="49092" xr:uid="{5348C98B-7836-4762-9FD3-C77C0E6D5B78}"/>
    <cellStyle name="Comma 2 2 5 2 4 2 3" xfId="51772" xr:uid="{13FDAB89-1EED-48ED-9A5F-D7C87E645B31}"/>
    <cellStyle name="Comma 2 2 5 2 4 2 4" xfId="52468" xr:uid="{F9561633-7928-4A42-90F6-24A7B96F36F6}"/>
    <cellStyle name="Comma 2 2 5 2 4 2 5" xfId="39256" xr:uid="{AB60F5F4-D0F2-4A4C-94FC-510ABF503F81}"/>
    <cellStyle name="Comma 2 2 5 2 4 3" xfId="41124" xr:uid="{B7294699-04B2-48E0-9B8D-A67B7945273F}"/>
    <cellStyle name="Comma 2 2 5 2 4 4" xfId="42933" xr:uid="{B6DBBC65-F6A1-43B7-8827-F5813F7FD52C}"/>
    <cellStyle name="Comma 2 2 5 2 4 5" xfId="45040" xr:uid="{9E6B21D7-B027-4FDC-A26A-922290257DE4}"/>
    <cellStyle name="Comma 2 2 5 2 4 6" xfId="47509" xr:uid="{B9F88E62-C852-42F6-A389-7D823FA81CF2}"/>
    <cellStyle name="Comma 2 2 5 2 4 7" xfId="50444" xr:uid="{ED79FF29-0B0F-4CF7-96C0-B6C6D414B59F}"/>
    <cellStyle name="Comma 2 2 5 2 4 8" xfId="52469" xr:uid="{2F089F74-0376-42D1-BD65-474FED14065A}"/>
    <cellStyle name="Comma 2 2 5 2 4 9" xfId="20501" xr:uid="{61EF029A-E866-4EEA-84D9-E16C950EE3BC}"/>
    <cellStyle name="Comma 2 2 5 2 5" xfId="7280" xr:uid="{8D5346E3-5646-4540-95A8-DD2038D0193D}"/>
    <cellStyle name="Comma 2 2 5 2 5 2" xfId="47754" xr:uid="{6D49534A-556B-4BDF-A709-3433D295DEC3}"/>
    <cellStyle name="Comma 2 2 5 2 5 3" xfId="50653" xr:uid="{F8C8F98A-3F95-4568-8518-04925AE97ECD}"/>
    <cellStyle name="Comma 2 2 5 2 5 4" xfId="52470" xr:uid="{4D28433E-C712-4E25-95F2-B1C4FE595A6B}"/>
    <cellStyle name="Comma 2 2 5 2 5 5" xfId="19908" xr:uid="{8F540E44-5046-4C06-A9B2-05EB3453F21D}"/>
    <cellStyle name="Comma 2 2 5 2 6" xfId="11803" xr:uid="{20962448-3145-4967-AEC3-0AE497DE6B50}"/>
    <cellStyle name="Comma 2 2 5 2 6 2" xfId="23689" xr:uid="{FA25B1D7-A8B0-4A5F-9FCC-2F2BBF31E013}"/>
    <cellStyle name="Comma 2 2 5 2 7" xfId="38186" xr:uid="{1CEAF1B0-BF3E-4A96-B0E7-112F789E4A70}"/>
    <cellStyle name="Comma 2 2 5 2 8" xfId="38665" xr:uid="{5DBE0951-E38B-4001-AC9F-841DC1546C12}"/>
    <cellStyle name="Comma 2 2 5 2 9" xfId="40009" xr:uid="{7E019DB8-3AB3-4D14-A737-0154AC3AC128}"/>
    <cellStyle name="Comma 2 2 5 20" xfId="49252" xr:uid="{CEBC7A21-FF0D-4FB5-94BE-6B2B5360F170}"/>
    <cellStyle name="Comma 2 2 5 21" xfId="52471" xr:uid="{389F372E-9020-4F40-8237-B4BFDA952571}"/>
    <cellStyle name="Comma 2 2 5 22" xfId="15206" xr:uid="{DBA6088C-FA6C-4371-B105-388865C7DB5F}"/>
    <cellStyle name="Comma 2 2 5 23" xfId="13905" xr:uid="{23DC998D-F409-4D1B-BF96-3893033D111F}"/>
    <cellStyle name="Comma 2 2 5 3" xfId="5506" xr:uid="{5566537A-17D3-4540-8923-331F7BB0AC31}"/>
    <cellStyle name="Comma 2 2 5 3 10" xfId="40655" xr:uid="{259041DC-D53D-45B6-892F-CBAEE6C1C8F2}"/>
    <cellStyle name="Comma 2 2 5 3 11" xfId="41867" xr:uid="{3C5C6E85-D667-4649-B335-8AED7DEB91B8}"/>
    <cellStyle name="Comma 2 2 5 3 12" xfId="42368" xr:uid="{E4685F5B-B635-4229-8161-BE10B020C407}"/>
    <cellStyle name="Comma 2 2 5 3 13" xfId="43795" xr:uid="{F9CEB5AE-285B-4537-93F1-9FA996D415BC}"/>
    <cellStyle name="Comma 2 2 5 3 14" xfId="44359" xr:uid="{9B2693F1-6C28-4AB0-97E6-4A2E6FAE3777}"/>
    <cellStyle name="Comma 2 2 5 3 15" xfId="46553" xr:uid="{0B08C586-87DD-4BAB-981E-BDC7B70390D7}"/>
    <cellStyle name="Comma 2 2 5 3 16" xfId="49586" xr:uid="{E90B539F-13C1-4594-BDE7-7986C0415227}"/>
    <cellStyle name="Comma 2 2 5 3 17" xfId="52472" xr:uid="{A7620EE6-7CF6-4BBE-8C65-EF0BAAD27570}"/>
    <cellStyle name="Comma 2 2 5 3 18" xfId="15792" xr:uid="{728ABEF5-89E8-4A84-91A1-FF20A4053265}"/>
    <cellStyle name="Comma 2 2 5 3 19" xfId="14043" xr:uid="{481579AD-C5B8-4A8A-ACDB-B723C80E00DA}"/>
    <cellStyle name="Comma 2 2 5 3 2" xfId="7608" xr:uid="{EA9A04C4-D46B-4CC8-8A3F-CB4394DDF8AE}"/>
    <cellStyle name="Comma 2 2 5 3 2 10" xfId="41868" xr:uid="{092DCEEA-EC75-43E0-BD06-1F0A78123C04}"/>
    <cellStyle name="Comma 2 2 5 3 2 11" xfId="42520" xr:uid="{B9439CDB-4709-4E0E-ABDF-3F6C45E08044}"/>
    <cellStyle name="Comma 2 2 5 3 2 12" xfId="44691" xr:uid="{02F6D9B2-8FBC-458F-BFA7-DC017BFF0B46}"/>
    <cellStyle name="Comma 2 2 5 3 2 13" xfId="47043" xr:uid="{354E1465-E686-4490-A6F6-299C15DECEFB}"/>
    <cellStyle name="Comma 2 2 5 3 2 14" xfId="50044" xr:uid="{F7F57FF9-0942-4A51-9FED-205E70973D48}"/>
    <cellStyle name="Comma 2 2 5 3 2 15" xfId="52473" xr:uid="{ECCB6883-BE3E-4D88-A6DA-C75B5BA63DAF}"/>
    <cellStyle name="Comma 2 2 5 3 2 16" xfId="16810" xr:uid="{570625D2-5C77-47AD-878C-B323378BE8C8}"/>
    <cellStyle name="Comma 2 2 5 3 2 17" xfId="14535" xr:uid="{F2B04EAF-3861-420B-9221-32FC0F2A1FAF}"/>
    <cellStyle name="Comma 2 2 5 3 2 2" xfId="10100" xr:uid="{FEDA9336-70A8-4555-947C-68046F6A6CCF}"/>
    <cellStyle name="Comma 2 2 5 3 2 2 10" xfId="42637" xr:uid="{F93C898C-1A26-4E26-94EC-D4DFBD21E65C}"/>
    <cellStyle name="Comma 2 2 5 3 2 2 11" xfId="44804" xr:uid="{4683392A-CD54-4B57-A425-52963C4554DF}"/>
    <cellStyle name="Comma 2 2 5 3 2 2 12" xfId="48609" xr:uid="{E2718984-B344-489C-BF84-20B8FF1F96C2}"/>
    <cellStyle name="Comma 2 2 5 3 2 2 13" xfId="51372" xr:uid="{BF76EDAC-682C-452C-B4C3-4C63497E74E4}"/>
    <cellStyle name="Comma 2 2 5 3 2 2 14" xfId="52474" xr:uid="{3DB4C41E-77F9-4983-B19C-BD8ECF3D5D5E}"/>
    <cellStyle name="Comma 2 2 5 3 2 2 15" xfId="16990" xr:uid="{CCF2198E-36A3-4B50-BF21-93A929971640}"/>
    <cellStyle name="Comma 2 2 5 3 2 2 2" xfId="13406" xr:uid="{EE7BEC2F-AE8B-428A-B296-7A96206CDC0A}"/>
    <cellStyle name="Comma 2 2 5 3 2 2 2 2" xfId="39551" xr:uid="{4817CF54-36CE-438E-A125-B9E4829FE095}"/>
    <cellStyle name="Comma 2 2 5 3 2 2 2 3" xfId="41405" xr:uid="{F17A49F4-041D-4A06-8381-33DC4934C974}"/>
    <cellStyle name="Comma 2 2 5 3 2 2 2 4" xfId="43228" xr:uid="{28143405-6ADE-416F-B1DB-5C86D9C77CFC}"/>
    <cellStyle name="Comma 2 2 5 3 2 2 2 5" xfId="45325" xr:uid="{0503422C-C544-4C81-B014-A4445E0A4FD9}"/>
    <cellStyle name="Comma 2 2 5 3 2 2 2 6" xfId="20985" xr:uid="{838A81A5-2BA9-4400-B1BD-5C200100E8CB}"/>
    <cellStyle name="Comma 2 2 5 3 2 2 3" xfId="20204" xr:uid="{2F082F9A-4DE6-46FF-8811-E21DC691394F}"/>
    <cellStyle name="Comma 2 2 5 3 2 2 4" xfId="23695" xr:uid="{0CF8EA89-9319-4160-9786-1B73538F6BE9}"/>
    <cellStyle name="Comma 2 2 5 3 2 2 5" xfId="38192" xr:uid="{FED3BDF6-06E2-4C2E-8A42-7F4D904E64B6}"/>
    <cellStyle name="Comma 2 2 5 3 2 2 6" xfId="38960" xr:uid="{00808591-448F-47D6-AD55-8A20AE882552}"/>
    <cellStyle name="Comma 2 2 5 3 2 2 7" xfId="40015" xr:uid="{C01670E4-0261-492E-91E0-7AC4CCD8E2DD}"/>
    <cellStyle name="Comma 2 2 5 3 2 2 8" xfId="40657" xr:uid="{45920345-A905-4A56-BB4B-DC33FC68BA32}"/>
    <cellStyle name="Comma 2 2 5 3 2 2 9" xfId="41869" xr:uid="{76237BBB-4727-401A-8399-8FA07B5B198C}"/>
    <cellStyle name="Comma 2 2 5 3 2 3" xfId="12121" xr:uid="{6C287910-8145-4E00-B45A-2E02A57ADD9C}"/>
    <cellStyle name="Comma 2 2 5 3 2 3 2" xfId="39434" xr:uid="{B5F56359-4051-406C-ABB7-B6E6AD8555D3}"/>
    <cellStyle name="Comma 2 2 5 3 2 3 3" xfId="41288" xr:uid="{410B60EA-DD86-4F8B-929C-63B3BDDAD015}"/>
    <cellStyle name="Comma 2 2 5 3 2 3 4" xfId="43111" xr:uid="{7EC710B9-C8A9-4E88-87E1-90FD92650CA6}"/>
    <cellStyle name="Comma 2 2 5 3 2 3 5" xfId="45208" xr:uid="{DE8EAC36-3F52-4F89-A077-48FE60DA5FD7}"/>
    <cellStyle name="Comma 2 2 5 3 2 3 6" xfId="20812" xr:uid="{C2773997-CA8F-43F3-AF88-AC9039DAF902}"/>
    <cellStyle name="Comma 2 2 5 3 2 4" xfId="20087" xr:uid="{74FE523F-A0CB-4496-8B92-EA288CA6AF9F}"/>
    <cellStyle name="Comma 2 2 5 3 2 5" xfId="23694" xr:uid="{F7FB237F-87BF-420A-A632-A08C13B57318}"/>
    <cellStyle name="Comma 2 2 5 3 2 6" xfId="38191" xr:uid="{B9DCB206-33A0-4F1B-95F4-0D3A56D51225}"/>
    <cellStyle name="Comma 2 2 5 3 2 7" xfId="38843" xr:uid="{C159992A-AEEC-4012-8B02-CE403D76FB62}"/>
    <cellStyle name="Comma 2 2 5 3 2 8" xfId="40014" xr:uid="{901CAA2F-5842-443A-B779-9A86375125B2}"/>
    <cellStyle name="Comma 2 2 5 3 2 9" xfId="40656" xr:uid="{0BD86065-F27A-46A4-BD9C-BDD6D7B137AA}"/>
    <cellStyle name="Comma 2 2 5 3 3" xfId="9606" xr:uid="{3522B4B6-BE73-4955-A5CA-672BA1805502}"/>
    <cellStyle name="Comma 2 2 5 3 3 10" xfId="42636" xr:uid="{76018E4B-ABF4-432D-9B99-EDFC95947557}"/>
    <cellStyle name="Comma 2 2 5 3 3 11" xfId="44803" xr:uid="{4F4A3CE2-66B6-40FE-AB86-9F625F55E7D2}"/>
    <cellStyle name="Comma 2 2 5 3 3 12" xfId="47344" xr:uid="{415AACF6-A6D6-47A7-AEB9-4DB94AB0C9A1}"/>
    <cellStyle name="Comma 2 2 5 3 3 13" xfId="50304" xr:uid="{B2FC7873-C105-4505-BAE3-51307016B453}"/>
    <cellStyle name="Comma 2 2 5 3 3 14" xfId="52475" xr:uid="{48FDD2E6-0711-46F0-8A71-EE90C31D3696}"/>
    <cellStyle name="Comma 2 2 5 3 3 15" xfId="16989" xr:uid="{FE7451FE-A441-49CC-98FE-C35C16D7BC7D}"/>
    <cellStyle name="Comma 2 2 5 3 3 2" xfId="12912" xr:uid="{CA205372-C716-49A5-BC43-6B6CC42F5B17}"/>
    <cellStyle name="Comma 2 2 5 3 3 2 2" xfId="39550" xr:uid="{35481003-310B-41E1-B8F7-08D01B7138F1}"/>
    <cellStyle name="Comma 2 2 5 3 3 2 3" xfId="41404" xr:uid="{B046A94A-E4F4-415C-AAE4-9B980683F567}"/>
    <cellStyle name="Comma 2 2 5 3 3 2 4" xfId="43227" xr:uid="{096F8BFA-866F-49AC-8AE8-0320E9BF6099}"/>
    <cellStyle name="Comma 2 2 5 3 3 2 5" xfId="45324" xr:uid="{3B575EE3-7EE0-4FD5-A710-E63C12DEC983}"/>
    <cellStyle name="Comma 2 2 5 3 3 2 6" xfId="48920" xr:uid="{812B5FD0-6CAE-4623-8AAF-888B741DCA0D}"/>
    <cellStyle name="Comma 2 2 5 3 3 2 7" xfId="51632" xr:uid="{069EC42A-B838-45B5-A4F0-68A9DE0D71BC}"/>
    <cellStyle name="Comma 2 2 5 3 3 2 8" xfId="52476" xr:uid="{FC178162-277C-4088-8112-82F77E1AEBA4}"/>
    <cellStyle name="Comma 2 2 5 3 3 2 9" xfId="20984" xr:uid="{1252BF79-AD5B-4BAE-A288-FBB5457B858A}"/>
    <cellStyle name="Comma 2 2 5 3 3 3" xfId="20203" xr:uid="{94C62FBE-9B03-48FC-8710-4F9932DD4EDD}"/>
    <cellStyle name="Comma 2 2 5 3 3 4" xfId="23696" xr:uid="{E088667D-61D7-4D5B-8184-B9802A3C65F8}"/>
    <cellStyle name="Comma 2 2 5 3 3 5" xfId="38193" xr:uid="{71A76849-10EB-4053-A9E4-F92B0FA9D499}"/>
    <cellStyle name="Comma 2 2 5 3 3 6" xfId="38959" xr:uid="{2B90AF17-BBAD-4882-B9D9-63201BBE5D5A}"/>
    <cellStyle name="Comma 2 2 5 3 3 7" xfId="40016" xr:uid="{530A0AFE-C3C3-4F5B-91DB-C4C1C23AC77A}"/>
    <cellStyle name="Comma 2 2 5 3 3 8" xfId="40658" xr:uid="{ACFFC5BA-9278-4907-9C0C-D20671D8B5C6}"/>
    <cellStyle name="Comma 2 2 5 3 3 9" xfId="41870" xr:uid="{BEABBEC7-8307-43A6-A3D5-ADC1447511C6}"/>
    <cellStyle name="Comma 2 2 5 3 4" xfId="7102" xr:uid="{820B0BC6-8309-4417-87CF-15C3E16D119B}"/>
    <cellStyle name="Comma 2 2 5 3 4 2" xfId="39282" xr:uid="{412A1FD8-50C4-4367-87FC-29A3120AC8C7}"/>
    <cellStyle name="Comma 2 2 5 3 4 3" xfId="41144" xr:uid="{2DD09136-94A2-4BDC-AE1F-2575DE31A59A}"/>
    <cellStyle name="Comma 2 2 5 3 4 4" xfId="42959" xr:uid="{EE904701-B988-4B4B-933C-0BD17E06FAAA}"/>
    <cellStyle name="Comma 2 2 5 3 4 5" xfId="45064" xr:uid="{80C91A27-CD2F-496B-85AB-DFFC911AB99A}"/>
    <cellStyle name="Comma 2 2 5 3 4 6" xfId="48065" xr:uid="{02F6B6A0-98C0-4AEF-B92B-F54950A373E5}"/>
    <cellStyle name="Comma 2 2 5 3 4 7" xfId="50914" xr:uid="{2481DA7D-E9D2-427B-B225-2ED025246C6B}"/>
    <cellStyle name="Comma 2 2 5 3 4 8" xfId="52477" xr:uid="{80BDC7EE-01C5-482E-9121-08845EA16212}"/>
    <cellStyle name="Comma 2 2 5 3 4 9" xfId="20528" xr:uid="{6C6C2120-AAE3-4B97-9F75-1B0CE33E4EC5}"/>
    <cellStyle name="Comma 2 2 5 3 5" xfId="11627" xr:uid="{4E33DF05-E812-4699-930D-DAD579149ADF}"/>
    <cellStyle name="Comma 2 2 5 3 5 2" xfId="19935" xr:uid="{4B188ECB-E515-40CD-928E-3BD1B4DD6CED}"/>
    <cellStyle name="Comma 2 2 5 3 6" xfId="23693" xr:uid="{14C33AE2-6C2B-4FD1-8BB1-2C0F93AC4F3A}"/>
    <cellStyle name="Comma 2 2 5 3 7" xfId="38190" xr:uid="{5ED8E00B-7396-476A-8490-565187D0D609}"/>
    <cellStyle name="Comma 2 2 5 3 8" xfId="38691" xr:uid="{0DD998FA-7DE1-490C-ABDF-88094C4E1D2A}"/>
    <cellStyle name="Comma 2 2 5 3 9" xfId="40013" xr:uid="{33094C91-AA33-4C22-8F85-BE0F2167D409}"/>
    <cellStyle name="Comma 2 2 5 4" xfId="6496" xr:uid="{3E0A2FDC-A0EA-414E-903E-473B6C72DE51}"/>
    <cellStyle name="Comma 2 2 5 4 10" xfId="41871" xr:uid="{FA24EFEB-BB44-4954-A77D-6C59C77AB0EA}"/>
    <cellStyle name="Comma 2 2 5 4 11" xfId="42455" xr:uid="{449ABB2D-39DE-4FCE-8743-EDF9C3C76090}"/>
    <cellStyle name="Comma 2 2 5 4 12" xfId="44655" xr:uid="{D61FCF1F-A8F2-4475-BF7C-35F069A34987}"/>
    <cellStyle name="Comma 2 2 5 4 13" xfId="46135" xr:uid="{7EFD1B25-61DA-48C4-A917-4BDA9523DFE4}"/>
    <cellStyle name="Comma 2 2 5 4 14" xfId="49471" xr:uid="{26EE6098-2254-40C2-8C8B-B6C58514B289}"/>
    <cellStyle name="Comma 2 2 5 4 15" xfId="52478" xr:uid="{947E1DEF-9776-45D3-BB23-422F57E3EC90}"/>
    <cellStyle name="Comma 2 2 5 4 16" xfId="16649" xr:uid="{B5BEEBD2-7598-4CFF-903F-21BC4CCDD1BF}"/>
    <cellStyle name="Comma 2 2 5 4 17" xfId="14397" xr:uid="{A79714E4-7D1A-4B47-8276-F7C6C5135C5E}"/>
    <cellStyle name="Comma 2 2 5 4 2" xfId="9468" xr:uid="{1F1B2AE3-65F4-43B0-A9C7-FCE45F0C072C}"/>
    <cellStyle name="Comma 2 2 5 4 2 10" xfId="42638" xr:uid="{4B448E8D-9A01-4837-93FE-B2AAB1DCB44E}"/>
    <cellStyle name="Comma 2 2 5 4 2 11" xfId="44805" xr:uid="{2F34C091-D73B-4D09-A5F0-DA6A16F38BA4}"/>
    <cellStyle name="Comma 2 2 5 4 2 12" xfId="47930" xr:uid="{ADF1DA4C-2802-496C-A59B-F3DF0542E3CA}"/>
    <cellStyle name="Comma 2 2 5 4 2 13" xfId="50799" xr:uid="{A2A27719-D049-4B4C-B721-97C6756E5C2B}"/>
    <cellStyle name="Comma 2 2 5 4 2 14" xfId="52479" xr:uid="{FAFFCF62-3C36-4806-B1D1-7C711A51A174}"/>
    <cellStyle name="Comma 2 2 5 4 2 15" xfId="16991" xr:uid="{7FAE5994-3D9A-43C6-8CEB-01085FB18ECE}"/>
    <cellStyle name="Comma 2 2 5 4 2 2" xfId="12774" xr:uid="{42ED57EF-AA9A-49BB-BBCE-6F4A79777004}"/>
    <cellStyle name="Comma 2 2 5 4 2 2 2" xfId="39552" xr:uid="{BC047992-0A24-41C8-B6D7-5D1C4A7C38F6}"/>
    <cellStyle name="Comma 2 2 5 4 2 2 3" xfId="41406" xr:uid="{0FDD17E7-FE23-4D51-9324-709591BE2D01}"/>
    <cellStyle name="Comma 2 2 5 4 2 2 4" xfId="43229" xr:uid="{E1B2CBE2-C60A-496F-BA46-9405D11A5DAB}"/>
    <cellStyle name="Comma 2 2 5 4 2 2 5" xfId="45326" xr:uid="{2DAF723D-9571-4E19-BA60-F40923393FF5}"/>
    <cellStyle name="Comma 2 2 5 4 2 2 6" xfId="20986" xr:uid="{A67232EA-7B93-419D-A107-BC6F55F0D9DA}"/>
    <cellStyle name="Comma 2 2 5 4 2 3" xfId="20205" xr:uid="{FF8B32D3-25D6-4C24-8C3D-A3AC85054CEF}"/>
    <cellStyle name="Comma 2 2 5 4 2 4" xfId="23698" xr:uid="{824FCE98-F22A-4C7D-9E72-8E36FE6E311A}"/>
    <cellStyle name="Comma 2 2 5 4 2 5" xfId="38195" xr:uid="{DAEC8CFB-B67F-4496-A8AE-61FA45D51FC7}"/>
    <cellStyle name="Comma 2 2 5 4 2 6" xfId="38961" xr:uid="{7826E114-C5A7-4279-8F55-26F4327681D2}"/>
    <cellStyle name="Comma 2 2 5 4 2 7" xfId="40018" xr:uid="{0BA00D75-D501-48C3-95CD-9F815390C6B6}"/>
    <cellStyle name="Comma 2 2 5 4 2 8" xfId="40660" xr:uid="{5AAE657F-422D-4A63-87DF-4C5C0BB10544}"/>
    <cellStyle name="Comma 2 2 5 4 2 9" xfId="41872" xr:uid="{5D7BE2E9-C0E2-4695-84BD-DEAC85D2D729}"/>
    <cellStyle name="Comma 2 2 5 4 3" xfId="11489" xr:uid="{12AE4603-2373-4EE4-A97F-FF177610FF86}"/>
    <cellStyle name="Comma 2 2 5 4 3 2" xfId="39369" xr:uid="{F3DB4ADD-F86C-472A-A0D4-26EDFDE7F433}"/>
    <cellStyle name="Comma 2 2 5 4 3 3" xfId="41227" xr:uid="{C2F81955-BF3B-4764-A6DB-F8F01139DCE4}"/>
    <cellStyle name="Comma 2 2 5 4 3 4" xfId="43046" xr:uid="{DB4CFE0D-3FAD-48D0-A956-6C15A68F6E1E}"/>
    <cellStyle name="Comma 2 2 5 4 3 5" xfId="45147" xr:uid="{56F5E86E-7118-4957-8779-528C79642276}"/>
    <cellStyle name="Comma 2 2 5 4 3 6" xfId="20743" xr:uid="{5CC9DF07-6085-4858-AF58-E25481989329}"/>
    <cellStyle name="Comma 2 2 5 4 4" xfId="20022" xr:uid="{FD664FF7-3FBF-4828-AFA8-6F0BA8EDAA11}"/>
    <cellStyle name="Comma 2 2 5 4 5" xfId="23697" xr:uid="{7983FDDE-88DF-44BA-B031-E527809F3F38}"/>
    <cellStyle name="Comma 2 2 5 4 6" xfId="38194" xr:uid="{149C9A5E-CCE4-4702-86DC-BA4FE6505371}"/>
    <cellStyle name="Comma 2 2 5 4 7" xfId="38778" xr:uid="{0B114AAC-08DC-4F05-ADF9-8C3AA6F667DE}"/>
    <cellStyle name="Comma 2 2 5 4 8" xfId="40017" xr:uid="{846B6863-7695-4AA3-AD70-CEB0DF86B3E4}"/>
    <cellStyle name="Comma 2 2 5 4 9" xfId="40659" xr:uid="{75789856-EDF3-48AA-A9E0-28F0C8840B3D}"/>
    <cellStyle name="Comma 2 2 5 5" xfId="7470" xr:uid="{87CBF887-F64A-4151-A93D-D5FA943DF526}"/>
    <cellStyle name="Comma 2 2 5 5 10" xfId="41873" xr:uid="{C768051C-40BC-49E1-9860-20D4F0369883}"/>
    <cellStyle name="Comma 2 2 5 5 11" xfId="42394" xr:uid="{E8C6CDFE-FF79-41EC-B0B8-21BE49DC9AEC}"/>
    <cellStyle name="Comma 2 2 5 5 12" xfId="44623" xr:uid="{0612BD22-4B7A-45B9-82D8-6DB7DC938AFB}"/>
    <cellStyle name="Comma 2 2 5 5 13" xfId="46814" xr:uid="{5728D0A4-91FA-4E80-853C-6C9E35858004}"/>
    <cellStyle name="Comma 2 2 5 5 14" xfId="49838" xr:uid="{441DE951-E387-4603-B98B-05969243EA36}"/>
    <cellStyle name="Comma 2 2 5 5 15" xfId="52480" xr:uid="{10173646-86F5-4FAF-BF67-71D6A6047B9B}"/>
    <cellStyle name="Comma 2 2 5 5 16" xfId="16369" xr:uid="{A58B4586-14C4-478D-BB10-7F3497A06159}"/>
    <cellStyle name="Comma 2 2 5 5 17" xfId="14850" xr:uid="{C4E5384C-39DB-4439-8701-351C1CD88FAA}"/>
    <cellStyle name="Comma 2 2 5 5 2" xfId="9962" xr:uid="{339D6C92-7A76-4C6A-A928-A090433F5C8A}"/>
    <cellStyle name="Comma 2 2 5 5 2 10" xfId="42639" xr:uid="{9945CCB0-A0BF-4313-A731-C26ACE152313}"/>
    <cellStyle name="Comma 2 2 5 5 2 11" xfId="44806" xr:uid="{9B8DF61C-33BB-42CC-AAD4-9D12F7DC1ED7}"/>
    <cellStyle name="Comma 2 2 5 5 2 12" xfId="48365" xr:uid="{6D80FBD7-EF2E-4D3C-8F89-5F18C7003A0E}"/>
    <cellStyle name="Comma 2 2 5 5 2 13" xfId="51166" xr:uid="{C8DF2D3A-4941-4D69-BBEB-44AF0FB7BBA7}"/>
    <cellStyle name="Comma 2 2 5 5 2 14" xfId="52481" xr:uid="{8A54798A-DDF0-4EB9-994C-0756FEA13181}"/>
    <cellStyle name="Comma 2 2 5 5 2 15" xfId="16992" xr:uid="{41572E1D-3092-4DB6-8EE4-5F26290C71A4}"/>
    <cellStyle name="Comma 2 2 5 5 2 2" xfId="13268" xr:uid="{0D5C7F84-D55A-456C-80D4-B24487381277}"/>
    <cellStyle name="Comma 2 2 5 5 2 2 2" xfId="39553" xr:uid="{BE816F8D-3D40-4492-A49D-CA0529A2FBB6}"/>
    <cellStyle name="Comma 2 2 5 5 2 2 3" xfId="41407" xr:uid="{9F69CC8C-25E2-4C96-A05E-971AFC9FE284}"/>
    <cellStyle name="Comma 2 2 5 5 2 2 4" xfId="43230" xr:uid="{E7137A4C-AA34-4C1D-9E57-BE249D6F4DC4}"/>
    <cellStyle name="Comma 2 2 5 5 2 2 5" xfId="45327" xr:uid="{C502F679-644C-42AD-969C-511B14277DC3}"/>
    <cellStyle name="Comma 2 2 5 5 2 2 6" xfId="20987" xr:uid="{04326C22-606B-4F8A-8D59-9866DC305479}"/>
    <cellStyle name="Comma 2 2 5 5 2 3" xfId="20206" xr:uid="{E40E40AB-B62B-4E1C-BF7C-92070AEFF571}"/>
    <cellStyle name="Comma 2 2 5 5 2 4" xfId="23700" xr:uid="{DCDDF6BC-5636-4FCE-9EE3-7374F74C28E1}"/>
    <cellStyle name="Comma 2 2 5 5 2 5" xfId="38197" xr:uid="{26862783-FF17-4C45-ACE7-49464D8C8026}"/>
    <cellStyle name="Comma 2 2 5 5 2 6" xfId="38962" xr:uid="{310F28AF-EBBE-4E45-9F72-757DD39AF389}"/>
    <cellStyle name="Comma 2 2 5 5 2 7" xfId="40020" xr:uid="{46812CFD-8C97-4A04-B520-69BBD9AD45D6}"/>
    <cellStyle name="Comma 2 2 5 5 2 8" xfId="40662" xr:uid="{BA174E7F-4401-4281-ACC0-B4D15F870DC1}"/>
    <cellStyle name="Comma 2 2 5 5 2 9" xfId="41874" xr:uid="{6F6CEF14-2BF6-4A06-8EA7-3C87E4E426AB}"/>
    <cellStyle name="Comma 2 2 5 5 3" xfId="11983" xr:uid="{4077864A-0CED-424D-BDAB-E996174A757A}"/>
    <cellStyle name="Comma 2 2 5 5 3 2" xfId="39308" xr:uid="{D768AFBA-9B3E-4382-A320-E1E10E6455F1}"/>
    <cellStyle name="Comma 2 2 5 5 3 3" xfId="41170" xr:uid="{BD87F5F4-A8ED-41EA-9FA3-0B1F43B5C109}"/>
    <cellStyle name="Comma 2 2 5 5 3 4" xfId="42985" xr:uid="{B168091A-7970-48F4-9DE2-88BE27B191B1}"/>
    <cellStyle name="Comma 2 2 5 5 3 5" xfId="45090" xr:uid="{F4EF513F-BBA9-4E09-91F1-E1FFF248E744}"/>
    <cellStyle name="Comma 2 2 5 5 3 6" xfId="20614" xr:uid="{1A4F0359-A3A0-44C5-BA13-2E99B95C9C00}"/>
    <cellStyle name="Comma 2 2 5 5 4" xfId="19961" xr:uid="{82F20200-DABF-4BDA-AC45-1F2DDCFE358B}"/>
    <cellStyle name="Comma 2 2 5 5 5" xfId="23699" xr:uid="{725F76B0-9C85-44DF-A47E-F68A3008ABDD}"/>
    <cellStyle name="Comma 2 2 5 5 6" xfId="38196" xr:uid="{2F5B09E1-6C1C-4D3A-B4D5-398CEAE744D9}"/>
    <cellStyle name="Comma 2 2 5 5 7" xfId="38717" xr:uid="{64F78C76-6C36-43BD-81D4-53B70541B25F}"/>
    <cellStyle name="Comma 2 2 5 5 8" xfId="40019" xr:uid="{C6C238A5-56DD-4233-B831-D5D162BE1B02}"/>
    <cellStyle name="Comma 2 2 5 5 9" xfId="40661" xr:uid="{A86915B5-18A3-4DF3-ABDE-A39B2BC3A303}"/>
    <cellStyle name="Comma 2 2 5 6" xfId="8136" xr:uid="{203737B4-A3C8-4B52-90AA-A3B823C7391B}"/>
    <cellStyle name="Comma 2 2 5 6 10" xfId="42633" xr:uid="{6360CCF9-4B44-4547-B193-3E6F45B231E0}"/>
    <cellStyle name="Comma 2 2 5 6 11" xfId="44800" xr:uid="{AA05BD07-0F1B-4726-AFA2-AD3C1D7CFC4E}"/>
    <cellStyle name="Comma 2 2 5 6 12" xfId="47211" xr:uid="{A2DC3887-DF5E-48AD-9753-47C50FC8BBC6}"/>
    <cellStyle name="Comma 2 2 5 6 13" xfId="50189" xr:uid="{C06056FB-E9B8-49B8-9DBC-6E487BCE41AD}"/>
    <cellStyle name="Comma 2 2 5 6 14" xfId="52482" xr:uid="{A717F2E2-8EDE-415F-9454-0AF108396C34}"/>
    <cellStyle name="Comma 2 2 5 6 15" xfId="16986" xr:uid="{DE0E3F44-27B4-4BDB-94BB-183B67C6E025}"/>
    <cellStyle name="Comma 2 2 5 6 2" xfId="12592" xr:uid="{56EAC430-3057-447B-AC13-BA13E6874BDD}"/>
    <cellStyle name="Comma 2 2 5 6 2 2" xfId="39547" xr:uid="{7C4359A8-8FC7-4C7E-A8C7-E16B48567C30}"/>
    <cellStyle name="Comma 2 2 5 6 2 3" xfId="41401" xr:uid="{71B8C66D-9C1B-45CC-8ECB-F89BAD3C5A72}"/>
    <cellStyle name="Comma 2 2 5 6 2 4" xfId="43224" xr:uid="{7730B146-91FC-4C4C-BB0E-F8FBA096AF60}"/>
    <cellStyle name="Comma 2 2 5 6 2 5" xfId="45321" xr:uid="{BC364F11-DCB5-482C-AB96-1CA0A17691CA}"/>
    <cellStyle name="Comma 2 2 5 6 2 6" xfId="48782" xr:uid="{C68B0788-D4B4-4824-986D-0B7282C1E278}"/>
    <cellStyle name="Comma 2 2 5 6 2 7" xfId="51517" xr:uid="{B987D911-7997-4DDF-8F0A-B21527DC4B23}"/>
    <cellStyle name="Comma 2 2 5 6 2 8" xfId="52483" xr:uid="{0229D175-F50A-4016-B16A-68FCD6CB3204}"/>
    <cellStyle name="Comma 2 2 5 6 2 9" xfId="20981" xr:uid="{20771E08-94F0-4050-9739-DA569D0E1EBD}"/>
    <cellStyle name="Comma 2 2 5 6 3" xfId="20200" xr:uid="{15DC338E-21FF-438B-80FB-AC04C9DF2B93}"/>
    <cellStyle name="Comma 2 2 5 6 4" xfId="23701" xr:uid="{0B4DEDCF-F1AF-49E8-8FBC-BA3962B173D5}"/>
    <cellStyle name="Comma 2 2 5 6 5" xfId="38198" xr:uid="{7038D04B-D720-4670-8EA0-89BECD46EBD9}"/>
    <cellStyle name="Comma 2 2 5 6 6" xfId="38956" xr:uid="{9B81912A-0813-4951-899C-21BA165AC275}"/>
    <cellStyle name="Comma 2 2 5 6 7" xfId="40021" xr:uid="{3C8160A9-D7A5-4DD6-9475-74EF27B6DDAB}"/>
    <cellStyle name="Comma 2 2 5 6 8" xfId="40663" xr:uid="{55C9C945-D9FE-47F3-ADE5-141736C7F5E9}"/>
    <cellStyle name="Comma 2 2 5 6 9" xfId="41875" xr:uid="{FF6CA329-D122-4FC9-9C82-18A9B68A7E7B}"/>
    <cellStyle name="Comma 2 2 5 7" xfId="7923" xr:uid="{002A6EC5-3083-4C68-BB40-3BF90B61D6DA}"/>
    <cellStyle name="Comma 2 2 5 7 10" xfId="42820" xr:uid="{197A0B6F-689F-48A6-95B1-2BAC63047434}"/>
    <cellStyle name="Comma 2 2 5 7 11" xfId="44947" xr:uid="{CFFA2FF4-1C07-4ECB-9AD6-A2B5420936ED}"/>
    <cellStyle name="Comma 2 2 5 7 12" xfId="47672" xr:uid="{49725A84-1A24-487D-9D1F-61EF5507BE5D}"/>
    <cellStyle name="Comma 2 2 5 7 13" xfId="50580" xr:uid="{5CC1562E-5D7E-4759-8EAC-5A4FF7C98561}"/>
    <cellStyle name="Comma 2 2 5 7 14" xfId="52484" xr:uid="{469B0A5A-324E-444A-8EA0-319211CBA6EE}"/>
    <cellStyle name="Comma 2 2 5 7 15" xfId="19726" xr:uid="{019323A0-8CBA-41C5-9059-A85141AB8C96}"/>
    <cellStyle name="Comma 2 2 5 7 2" xfId="12436" xr:uid="{CBC5E739-5106-47E4-BD1F-5048ACB5275D}"/>
    <cellStyle name="Comma 2 2 5 7 2 2" xfId="39734" xr:uid="{8FD17DE3-7AB5-4D19-8C1F-77AF92C77EEA}"/>
    <cellStyle name="Comma 2 2 5 7 2 3" xfId="41587" xr:uid="{35205DDF-81EF-4DEB-B67B-2CE2CF24FAAE}"/>
    <cellStyle name="Comma 2 2 5 7 2 4" xfId="43411" xr:uid="{B48D05F2-C035-4586-ACEA-D72466C74035}"/>
    <cellStyle name="Comma 2 2 5 7 2 5" xfId="45490" xr:uid="{5B298D7A-5694-4CA3-BBB6-AE1376D2F87D}"/>
    <cellStyle name="Comma 2 2 5 7 2 6" xfId="23343" xr:uid="{98978622-E862-488D-8F83-EB4D350CE306}"/>
    <cellStyle name="Comma 2 2 5 7 3" xfId="20387" xr:uid="{B420008F-EA3C-4160-810A-E18FB497A00E}"/>
    <cellStyle name="Comma 2 2 5 7 4" xfId="23702" xr:uid="{A9AD4691-9ED8-40F9-8C1A-984A57DBAE1A}"/>
    <cellStyle name="Comma 2 2 5 7 5" xfId="38199" xr:uid="{DD4E68EC-C4D5-4B86-91AA-1B4427704051}"/>
    <cellStyle name="Comma 2 2 5 7 6" xfId="39143" xr:uid="{82E3CCFD-B2A4-4D0E-AEED-D15219043A23}"/>
    <cellStyle name="Comma 2 2 5 7 7" xfId="40022" xr:uid="{31DC3044-2306-48A5-AC5C-6D0A48A6740A}"/>
    <cellStyle name="Comma 2 2 5 7 8" xfId="40664" xr:uid="{611530CA-B375-4D32-946A-21C76803E0C6}"/>
    <cellStyle name="Comma 2 2 5 7 9" xfId="41876" xr:uid="{F2D763E1-4D1C-4216-8780-2A37883F8869}"/>
    <cellStyle name="Comma 2 2 5 8" xfId="5820" xr:uid="{A3AF1FD0-9B27-4B36-A1AE-ED25E8AC75E3}"/>
    <cellStyle name="Comma 2 2 5 8 2" xfId="39218" xr:uid="{6B553DDF-4737-4749-8FA1-92EC82CCFC09}"/>
    <cellStyle name="Comma 2 2 5 8 3" xfId="41090" xr:uid="{CDF526CD-5371-4955-91E7-0BB608CCC303}"/>
    <cellStyle name="Comma 2 2 5 8 4" xfId="42895" xr:uid="{2D4D81C6-9636-4756-9D69-522C781D8423}"/>
    <cellStyle name="Comma 2 2 5 8 5" xfId="45002" xr:uid="{DD13CDAB-00EF-4916-A83A-A4D1CC832726}"/>
    <cellStyle name="Comma 2 2 5 8 6" xfId="20463" xr:uid="{E9C74A02-1872-40D1-A07D-3D429631A794}"/>
    <cellStyle name="Comma 2 2 5 9" xfId="11308" xr:uid="{85D904C6-C7D4-4DD8-B1C7-00514C70F35A}"/>
    <cellStyle name="Comma 2 2 5 9 2" xfId="19869" xr:uid="{929084DF-6FAB-4994-AF79-772D62F55246}"/>
    <cellStyle name="Comma 2 2 6" xfId="1750" xr:uid="{2E3D7480-EB73-44BD-BC7D-CDCD0A68E229}"/>
    <cellStyle name="Comma 2 2 6 10" xfId="23703" xr:uid="{B0213F10-F72F-469A-AB92-094928016833}"/>
    <cellStyle name="Comma 2 2 6 11" xfId="38200" xr:uid="{851F7BD3-A834-4FDF-A3FB-6DF567952066}"/>
    <cellStyle name="Comma 2 2 6 12" xfId="38628" xr:uid="{8EADE386-F582-4186-88C4-39294685F12B}"/>
    <cellStyle name="Comma 2 2 6 13" xfId="40023" xr:uid="{5312A187-E2AF-45CF-BA63-3EC144B454E3}"/>
    <cellStyle name="Comma 2 2 6 14" xfId="40665" xr:uid="{2A845530-095A-45E7-89B4-C80269C39064}"/>
    <cellStyle name="Comma 2 2 6 15" xfId="41877" xr:uid="{78B7330E-54E5-4712-B0F3-E8C75B723A0C}"/>
    <cellStyle name="Comma 2 2 6 16" xfId="42305" xr:uid="{18F1D759-C206-49A7-A0D5-E2E785647A67}"/>
    <cellStyle name="Comma 2 2 6 17" xfId="43523" xr:uid="{FB573FCC-F090-4839-A0E8-665CA6795A9D}"/>
    <cellStyle name="Comma 2 2 6 18" xfId="44386" xr:uid="{F77646DE-0470-4F8E-BDC2-C8D79CA6988F}"/>
    <cellStyle name="Comma 2 2 6 19" xfId="45624" xr:uid="{DFCC46A6-31A2-44F8-83BE-A3D4B64851F0}"/>
    <cellStyle name="Comma 2 2 6 2" xfId="4426" xr:uid="{B4B32A02-DE9C-4B71-8299-CC8AEC66D533}"/>
    <cellStyle name="Comma 2 2 6 2 10" xfId="40666" xr:uid="{9452836D-156F-4FED-BD1B-570F1B6773BA}"/>
    <cellStyle name="Comma 2 2 6 2 11" xfId="41878" xr:uid="{0F2B9C38-C902-4F5F-A8A6-69C7492773A6}"/>
    <cellStyle name="Comma 2 2 6 2 12" xfId="42343" xr:uid="{C1C2317D-20A3-4FF6-8F79-567BDAD2F800}"/>
    <cellStyle name="Comma 2 2 6 2 13" xfId="44227" xr:uid="{02FFD442-2849-4824-9F9D-004C123807DE}"/>
    <cellStyle name="Comma 2 2 6 2 14" xfId="44527" xr:uid="{008CE09C-E430-49DE-A591-CFF4FE20C8D1}"/>
    <cellStyle name="Comma 2 2 6 2 15" xfId="45698" xr:uid="{78E61EA8-6E4A-4B42-807F-2439F7D22036}"/>
    <cellStyle name="Comma 2 2 6 2 16" xfId="49326" xr:uid="{1C2DDA93-2188-4190-A7F8-2848D0BE839F}"/>
    <cellStyle name="Comma 2 2 6 2 17" xfId="52485" xr:uid="{880161EF-7711-400C-BD2C-E8C8A0DF285A}"/>
    <cellStyle name="Comma 2 2 6 2 18" xfId="15309" xr:uid="{C1C92073-165B-4F6D-9A34-7299CB9C595F}"/>
    <cellStyle name="Comma 2 2 6 2 19" xfId="14220" xr:uid="{5DA3BBA2-C364-49FB-9438-F0C6550A0F08}"/>
    <cellStyle name="Comma 2 2 6 2 2" xfId="5683" xr:uid="{A04B704A-B056-4A37-BC57-BE81425265AB}"/>
    <cellStyle name="Comma 2 2 6 2 2 10" xfId="41879" xr:uid="{F35C1240-D30F-4EC1-8708-6DDE5883B41B}"/>
    <cellStyle name="Comma 2 2 6 2 2 11" xfId="42495" xr:uid="{BD1C9956-A345-4D4B-A988-9A22F2A799B4}"/>
    <cellStyle name="Comma 2 2 6 2 2 12" xfId="44679" xr:uid="{6308FD95-B256-4067-BD2F-313F95881C9B}"/>
    <cellStyle name="Comma 2 2 6 2 2 13" xfId="46695" xr:uid="{06F28533-6468-4D19-BF5B-FC293044E8F8}"/>
    <cellStyle name="Comma 2 2 6 2 2 14" xfId="49727" xr:uid="{39606041-CB8A-4035-9B60-7062145796AE}"/>
    <cellStyle name="Comma 2 2 6 2 2 15" xfId="52486" xr:uid="{E02CFE3A-6016-4A08-81A5-0AA871C21B5A}"/>
    <cellStyle name="Comma 2 2 6 2 2 16" xfId="16758" xr:uid="{494B9B6F-E713-4CEB-B57B-59A488C8E9A0}"/>
    <cellStyle name="Comma 2 2 6 2 2 17" xfId="14712" xr:uid="{113BEE4B-047E-45ED-93A2-4F6841F95E90}"/>
    <cellStyle name="Comma 2 2 6 2 2 2" xfId="10277" xr:uid="{CDB63F7D-9DBC-406B-828C-A3622F211B01}"/>
    <cellStyle name="Comma 2 2 6 2 2 2 10" xfId="42642" xr:uid="{B64E16D8-0796-4E19-8BEB-90ED64ECAC84}"/>
    <cellStyle name="Comma 2 2 6 2 2 2 11" xfId="44809" xr:uid="{EB65A1DD-015D-4779-B456-E0EFDAE017D2}"/>
    <cellStyle name="Comma 2 2 6 2 2 2 12" xfId="48237" xr:uid="{AB3F3362-AC47-41E4-934B-2644114D56C3}"/>
    <cellStyle name="Comma 2 2 6 2 2 2 13" xfId="51055" xr:uid="{EBFA94DE-D5AA-45C1-B580-506F3D3EEA8B}"/>
    <cellStyle name="Comma 2 2 6 2 2 2 14" xfId="52487" xr:uid="{47EA1080-D0D6-4740-801F-87F21E0BB3F3}"/>
    <cellStyle name="Comma 2 2 6 2 2 2 15" xfId="16995" xr:uid="{FF506BA5-C219-4D40-AA3A-7D28C54F7D96}"/>
    <cellStyle name="Comma 2 2 6 2 2 2 2" xfId="13583" xr:uid="{757E819C-E7E3-488F-8CE8-ADE46CF4D9F9}"/>
    <cellStyle name="Comma 2 2 6 2 2 2 2 2" xfId="39556" xr:uid="{B170FEC7-1AAC-4EAE-9168-0C434BE23425}"/>
    <cellStyle name="Comma 2 2 6 2 2 2 2 3" xfId="41410" xr:uid="{4C857609-E959-43B0-9C72-2AD9C88DDDD7}"/>
    <cellStyle name="Comma 2 2 6 2 2 2 2 4" xfId="43233" xr:uid="{39D9848D-AF3C-45F3-89B0-6265EC7B492A}"/>
    <cellStyle name="Comma 2 2 6 2 2 2 2 5" xfId="45330" xr:uid="{421EA95B-06CA-4FD5-8403-6C5F1631714B}"/>
    <cellStyle name="Comma 2 2 6 2 2 2 2 6" xfId="20990" xr:uid="{BF370AE8-582D-401B-867B-E5D1BECB28A1}"/>
    <cellStyle name="Comma 2 2 6 2 2 2 3" xfId="20209" xr:uid="{723BF784-1C5C-4BA3-A5CD-FC9154208107}"/>
    <cellStyle name="Comma 2 2 6 2 2 2 4" xfId="23706" xr:uid="{10B208F0-D7BC-4C8F-9129-1326D3BA540E}"/>
    <cellStyle name="Comma 2 2 6 2 2 2 5" xfId="38203" xr:uid="{C761449D-DE81-4818-AE95-05916C268612}"/>
    <cellStyle name="Comma 2 2 6 2 2 2 6" xfId="38965" xr:uid="{47DA0EB9-56B3-40DF-932D-026B74E102D3}"/>
    <cellStyle name="Comma 2 2 6 2 2 2 7" xfId="40026" xr:uid="{9865C695-3E34-41A6-A4BD-25C63C5DB8FD}"/>
    <cellStyle name="Comma 2 2 6 2 2 2 8" xfId="40668" xr:uid="{BECB8FBD-2FE3-48B0-8451-0F237D760F3A}"/>
    <cellStyle name="Comma 2 2 6 2 2 2 9" xfId="41880" xr:uid="{521B4A18-568A-4E44-840A-094B7A15AE2A}"/>
    <cellStyle name="Comma 2 2 6 2 2 3" xfId="7785" xr:uid="{B410F8AF-0A97-46C5-B95F-893CEFC70F72}"/>
    <cellStyle name="Comma 2 2 6 2 2 3 2" xfId="39409" xr:uid="{2BBBA98E-7991-4A10-A10B-BFE62E0A218E}"/>
    <cellStyle name="Comma 2 2 6 2 2 3 3" xfId="41265" xr:uid="{6BDA81B8-7690-41FF-93C7-C317DD44FF2C}"/>
    <cellStyle name="Comma 2 2 6 2 2 3 4" xfId="43086" xr:uid="{6DBF482E-81D9-4EE8-B325-CCB6AFE6DBE3}"/>
    <cellStyle name="Comma 2 2 6 2 2 3 5" xfId="45185" xr:uid="{98183B6C-4538-4B1D-B321-4B50228DE17A}"/>
    <cellStyle name="Comma 2 2 6 2 2 3 6" xfId="20784" xr:uid="{148EF314-03D0-4907-A01C-FCBF38564A4F}"/>
    <cellStyle name="Comma 2 2 6 2 2 4" xfId="12298" xr:uid="{9808A121-39C2-4747-BA85-C3C4734D5569}"/>
    <cellStyle name="Comma 2 2 6 2 2 4 2" xfId="20062" xr:uid="{C561A693-8038-4675-94FD-35722A6EB243}"/>
    <cellStyle name="Comma 2 2 6 2 2 5" xfId="23705" xr:uid="{885E15DB-612F-46DB-B84F-8E116C67EA06}"/>
    <cellStyle name="Comma 2 2 6 2 2 6" xfId="38202" xr:uid="{7E096B70-36F9-474C-8629-C66221E30ABC}"/>
    <cellStyle name="Comma 2 2 6 2 2 7" xfId="38818" xr:uid="{39698A25-7876-4464-9EB0-1CD47482E504}"/>
    <cellStyle name="Comma 2 2 6 2 2 8" xfId="40025" xr:uid="{C2482887-CD04-48A1-ABB4-CC2A4715F996}"/>
    <cellStyle name="Comma 2 2 6 2 2 9" xfId="40667" xr:uid="{1377F51F-41A2-41D0-8717-0D5C394C8DFC}"/>
    <cellStyle name="Comma 2 2 6 2 3" xfId="11128" xr:uid="{6BC1B8B2-64DB-485A-8059-E84CE9F6A714}"/>
    <cellStyle name="Comma 2 2 6 2 3 10" xfId="42641" xr:uid="{DC7CC869-6B99-4691-883D-15E90863DF73}"/>
    <cellStyle name="Comma 2 2 6 2 3 11" xfId="44808" xr:uid="{FBE3FFF0-4555-43B5-90E3-01B769E4F7C1}"/>
    <cellStyle name="Comma 2 2 6 2 3 12" xfId="46915" xr:uid="{A2B11BD8-C291-4E0C-B6B4-20B30899144B}"/>
    <cellStyle name="Comma 2 2 6 2 3 13" xfId="49934" xr:uid="{922B1EB1-7C2F-4F6F-8761-38F8F1DF2607}"/>
    <cellStyle name="Comma 2 2 6 2 3 14" xfId="52488" xr:uid="{8D9929C4-24AB-4DEA-A5D4-FB36FB416CF4}"/>
    <cellStyle name="Comma 2 2 6 2 3 15" xfId="16994" xr:uid="{C5EA2A66-B85F-41CF-AEFB-3919D713A2AA}"/>
    <cellStyle name="Comma 2 2 6 2 3 16" xfId="15027" xr:uid="{9EBED7C5-BB0A-4C00-8F6A-7DA9F29154A2}"/>
    <cellStyle name="Comma 2 2 6 2 3 2" xfId="13725" xr:uid="{5239618C-445C-42EE-A589-3D45D6ADB2F6}"/>
    <cellStyle name="Comma 2 2 6 2 3 2 2" xfId="39555" xr:uid="{BC648098-8BB7-48ED-97D8-7529AEBE5479}"/>
    <cellStyle name="Comma 2 2 6 2 3 2 3" xfId="41409" xr:uid="{648981D9-B21A-4B25-ACB8-B89BBFB8F4CC}"/>
    <cellStyle name="Comma 2 2 6 2 3 2 4" xfId="43232" xr:uid="{757E7EAA-6C44-4107-B7BB-5CC9B9889D46}"/>
    <cellStyle name="Comma 2 2 6 2 3 2 5" xfId="45329" xr:uid="{BDDD54AB-3252-4EED-8B19-410616B38222}"/>
    <cellStyle name="Comma 2 2 6 2 3 2 6" xfId="48476" xr:uid="{DF2415B5-2A35-478B-82E6-E75F5CEC9A8E}"/>
    <cellStyle name="Comma 2 2 6 2 3 2 7" xfId="51262" xr:uid="{1DF00B90-9AD7-498B-9ED8-78696E2C4562}"/>
    <cellStyle name="Comma 2 2 6 2 3 2 8" xfId="52489" xr:uid="{513AE29E-0C0A-438F-8218-CFBA25D8AC2B}"/>
    <cellStyle name="Comma 2 2 6 2 3 2 9" xfId="20989" xr:uid="{89548E92-8025-416A-96C9-E231C7BDC911}"/>
    <cellStyle name="Comma 2 2 6 2 3 3" xfId="20208" xr:uid="{0867E3B0-75E8-4F8E-955E-88A5EF9E1CD8}"/>
    <cellStyle name="Comma 2 2 6 2 3 4" xfId="23707" xr:uid="{53CE16F5-70CF-4A33-88D3-AE51F96AAD83}"/>
    <cellStyle name="Comma 2 2 6 2 3 5" xfId="38204" xr:uid="{BBF6BF94-2970-4109-AF81-FA23811AE714}"/>
    <cellStyle name="Comma 2 2 6 2 3 6" xfId="38964" xr:uid="{DDFF0BE6-B87F-4330-AE77-F669A323912E}"/>
    <cellStyle name="Comma 2 2 6 2 3 7" xfId="40027" xr:uid="{152986E3-41A6-4D52-89EA-9B4D1CAE10EE}"/>
    <cellStyle name="Comma 2 2 6 2 3 8" xfId="40669" xr:uid="{870AA674-DF13-4AE8-97FA-3A7DE259FE04}"/>
    <cellStyle name="Comma 2 2 6 2 3 9" xfId="41881" xr:uid="{DD79B5E9-06B5-468D-A04F-F971AFA81A17}"/>
    <cellStyle name="Comma 2 2 6 2 4" xfId="9783" xr:uid="{4C682273-5B7B-4AA2-93F1-BDD27ADF9720}"/>
    <cellStyle name="Comma 2 2 6 2 4 2" xfId="13089" xr:uid="{1DD20DE6-229D-4826-91FC-4C2583E6FA14}"/>
    <cellStyle name="Comma 2 2 6 2 4 2 2" xfId="49093" xr:uid="{883B06C6-E256-4BB9-86B6-2B2A8229BDDE}"/>
    <cellStyle name="Comma 2 2 6 2 4 2 3" xfId="51773" xr:uid="{CA5DB2E7-C2D3-4A7D-9787-C1CF667614AC}"/>
    <cellStyle name="Comma 2 2 6 2 4 2 4" xfId="52490" xr:uid="{AE7CBDD1-D146-4686-931A-C3B0EEEBF0D4}"/>
    <cellStyle name="Comma 2 2 6 2 4 2 5" xfId="39257" xr:uid="{53D0A1EA-8E25-413A-90AF-9FDD6F857336}"/>
    <cellStyle name="Comma 2 2 6 2 4 3" xfId="41125" xr:uid="{8055DAAC-02DB-479B-A377-2F745C8BF86D}"/>
    <cellStyle name="Comma 2 2 6 2 4 4" xfId="42934" xr:uid="{9A67D3B6-CA06-446C-8EC1-D89B50640450}"/>
    <cellStyle name="Comma 2 2 6 2 4 5" xfId="45041" xr:uid="{BBDE792B-E931-4BC0-95D5-B4F751D618CE}"/>
    <cellStyle name="Comma 2 2 6 2 4 6" xfId="47510" xr:uid="{CB61D2ED-7CC3-43B6-9F7F-A2099110C4C8}"/>
    <cellStyle name="Comma 2 2 6 2 4 7" xfId="50445" xr:uid="{49376999-2E79-4F18-B9D2-9F04E3D70FD1}"/>
    <cellStyle name="Comma 2 2 6 2 4 8" xfId="52491" xr:uid="{6FA0437E-3DC2-45FE-95FC-FF2E42717895}"/>
    <cellStyle name="Comma 2 2 6 2 4 9" xfId="20502" xr:uid="{546070E8-360F-4F44-9661-C7C2F35CCC6E}"/>
    <cellStyle name="Comma 2 2 6 2 5" xfId="7281" xr:uid="{446CF6AA-04DF-48A5-BB56-6F6FECF5DF73}"/>
    <cellStyle name="Comma 2 2 6 2 5 2" xfId="47755" xr:uid="{1D54522E-811A-442F-AFB1-410471A42810}"/>
    <cellStyle name="Comma 2 2 6 2 5 3" xfId="50654" xr:uid="{DEA70886-EFD4-447F-B59D-ACA1BFAAC584}"/>
    <cellStyle name="Comma 2 2 6 2 5 4" xfId="52492" xr:uid="{112FC144-0434-4642-A0E8-C0880B0D9322}"/>
    <cellStyle name="Comma 2 2 6 2 5 5" xfId="19909" xr:uid="{AC38F970-1207-4AD9-80F7-AAF5E04F9365}"/>
    <cellStyle name="Comma 2 2 6 2 6" xfId="11804" xr:uid="{08F3E9D5-D19B-47DC-9339-E58B80DC94A4}"/>
    <cellStyle name="Comma 2 2 6 2 6 2" xfId="23704" xr:uid="{D18D0797-A232-4F4E-8E86-C7A43D30DACE}"/>
    <cellStyle name="Comma 2 2 6 2 7" xfId="38201" xr:uid="{51E5E005-19E1-410C-9518-AB8C54B7C058}"/>
    <cellStyle name="Comma 2 2 6 2 8" xfId="38666" xr:uid="{7334EEB8-BAE4-4C3C-9825-2797F504F40B}"/>
    <cellStyle name="Comma 2 2 6 2 9" xfId="40024" xr:uid="{D5B87946-2FE3-4247-9B0F-9A1A74B65CA3}"/>
    <cellStyle name="Comma 2 2 6 20" xfId="49253" xr:uid="{41AA4E79-4693-41A7-B277-6622BD7898E1}"/>
    <cellStyle name="Comma 2 2 6 21" xfId="52493" xr:uid="{69E1E920-C2D3-4D5B-98D7-088ABC9355E2}"/>
    <cellStyle name="Comma 2 2 6 22" xfId="15207" xr:uid="{6E9A9414-28C2-4F95-B35F-7DD0CA1BD98B}"/>
    <cellStyle name="Comma 2 2 6 23" xfId="13906" xr:uid="{24F43914-AFFE-4A94-9237-45CEED75DEE5}"/>
    <cellStyle name="Comma 2 2 6 3" xfId="5507" xr:uid="{9F674B45-79F6-446D-9A42-B3B0A30D158F}"/>
    <cellStyle name="Comma 2 2 6 3 10" xfId="40670" xr:uid="{3C3A87E8-1D8B-4DE6-B35F-C808B2F21DB2}"/>
    <cellStyle name="Comma 2 2 6 3 11" xfId="41882" xr:uid="{E4C1163D-9791-4552-8BE7-E3F3224AA604}"/>
    <cellStyle name="Comma 2 2 6 3 12" xfId="42369" xr:uid="{37EEBD91-80D0-4046-A135-F0A9A7AF4386}"/>
    <cellStyle name="Comma 2 2 6 3 13" xfId="43796" xr:uid="{BE657C99-E9B6-41BE-BC0F-B4D4A5B884C1}"/>
    <cellStyle name="Comma 2 2 6 3 14" xfId="44358" xr:uid="{8A8802E9-45D3-4108-BA26-92AC9D6F9E5F}"/>
    <cellStyle name="Comma 2 2 6 3 15" xfId="46554" xr:uid="{41D4A3A8-FA02-4A4E-9D30-D613A7142CD6}"/>
    <cellStyle name="Comma 2 2 6 3 16" xfId="49587" xr:uid="{CA66A790-7574-4209-B996-931839DD51F0}"/>
    <cellStyle name="Comma 2 2 6 3 17" xfId="52494" xr:uid="{2352B497-FC6B-4722-9A42-2E45C6BD9DC9}"/>
    <cellStyle name="Comma 2 2 6 3 18" xfId="15793" xr:uid="{1666E050-0C6B-4BED-B112-FCC5B4C940A6}"/>
    <cellStyle name="Comma 2 2 6 3 19" xfId="14044" xr:uid="{8E088BC0-99AA-4779-8289-4DBF1818C7F2}"/>
    <cellStyle name="Comma 2 2 6 3 2" xfId="7609" xr:uid="{DC5CBAFE-5B35-4F17-91B8-C564A8AFA37F}"/>
    <cellStyle name="Comma 2 2 6 3 2 10" xfId="41883" xr:uid="{68043E47-5481-4F3B-AA61-97D24F97729F}"/>
    <cellStyle name="Comma 2 2 6 3 2 11" xfId="42521" xr:uid="{A75F5501-AE44-4F8C-B3E6-C24D48803110}"/>
    <cellStyle name="Comma 2 2 6 3 2 12" xfId="44692" xr:uid="{A93783FC-1604-4C1B-9A8B-2F277DAAEDCB}"/>
    <cellStyle name="Comma 2 2 6 3 2 13" xfId="47044" xr:uid="{B55ACAF8-A7CE-4393-91E1-686C9488EBA0}"/>
    <cellStyle name="Comma 2 2 6 3 2 14" xfId="50045" xr:uid="{4F59F685-31F4-42B7-AC75-525D70617B86}"/>
    <cellStyle name="Comma 2 2 6 3 2 15" xfId="52495" xr:uid="{565C612D-835F-4E38-83F4-0E0D911D848E}"/>
    <cellStyle name="Comma 2 2 6 3 2 16" xfId="16811" xr:uid="{4DE427F1-B41D-44C6-983B-95ED03E1E300}"/>
    <cellStyle name="Comma 2 2 6 3 2 17" xfId="14536" xr:uid="{A31AFBA4-DEE5-46DB-8D8D-DD87B7B985EA}"/>
    <cellStyle name="Comma 2 2 6 3 2 2" xfId="10101" xr:uid="{6E1E611C-209B-4575-9410-B4D9580EF394}"/>
    <cellStyle name="Comma 2 2 6 3 2 2 10" xfId="42644" xr:uid="{3C5432BE-0C93-425F-A791-23082703C9EB}"/>
    <cellStyle name="Comma 2 2 6 3 2 2 11" xfId="44811" xr:uid="{BF0665F2-2DDC-40EA-87E9-F71CB9E74CF3}"/>
    <cellStyle name="Comma 2 2 6 3 2 2 12" xfId="48610" xr:uid="{731AE57B-77C6-4236-A172-FD3DD4EEAC7C}"/>
    <cellStyle name="Comma 2 2 6 3 2 2 13" xfId="51373" xr:uid="{BF317662-0439-4FE6-96BA-385A9BF1BAFF}"/>
    <cellStyle name="Comma 2 2 6 3 2 2 14" xfId="52496" xr:uid="{C56A783C-267A-441C-9118-72309CA10EF8}"/>
    <cellStyle name="Comma 2 2 6 3 2 2 15" xfId="16997" xr:uid="{E6129DFA-064D-4C5A-A14A-0DACC3560EBA}"/>
    <cellStyle name="Comma 2 2 6 3 2 2 2" xfId="13407" xr:uid="{250BA19B-3FBA-4CC1-919B-0FB7C6C37C0E}"/>
    <cellStyle name="Comma 2 2 6 3 2 2 2 2" xfId="39558" xr:uid="{C0438A1A-F6CA-4E57-9B24-1A257AFD79A1}"/>
    <cellStyle name="Comma 2 2 6 3 2 2 2 3" xfId="41412" xr:uid="{371C7311-962D-40EA-B0E3-83EB9C2FA202}"/>
    <cellStyle name="Comma 2 2 6 3 2 2 2 4" xfId="43235" xr:uid="{FFDEC2EB-62DC-42C9-87CC-824A75C65A42}"/>
    <cellStyle name="Comma 2 2 6 3 2 2 2 5" xfId="45332" xr:uid="{9B9C11A8-2814-4DE0-B63E-D8C5374E548E}"/>
    <cellStyle name="Comma 2 2 6 3 2 2 2 6" xfId="20992" xr:uid="{8C99E45A-D68D-4B8A-9BE5-BFB49725BEAE}"/>
    <cellStyle name="Comma 2 2 6 3 2 2 3" xfId="20211" xr:uid="{65DB2EAD-B29F-4560-9316-BB055E0D44E3}"/>
    <cellStyle name="Comma 2 2 6 3 2 2 4" xfId="23710" xr:uid="{98563BA8-A772-46A0-A140-1FA7C80262EE}"/>
    <cellStyle name="Comma 2 2 6 3 2 2 5" xfId="38207" xr:uid="{78977FA1-A26F-40CA-8777-3EBE3C71D44D}"/>
    <cellStyle name="Comma 2 2 6 3 2 2 6" xfId="38967" xr:uid="{962C46B6-1A6C-443D-8596-9399B04E16EA}"/>
    <cellStyle name="Comma 2 2 6 3 2 2 7" xfId="40030" xr:uid="{838A7EE1-A29C-477D-AFEA-C1A074DE82EE}"/>
    <cellStyle name="Comma 2 2 6 3 2 2 8" xfId="40672" xr:uid="{4547C2A8-D5DA-47FF-A330-0B22F01E6425}"/>
    <cellStyle name="Comma 2 2 6 3 2 2 9" xfId="41884" xr:uid="{84B565FB-F90E-4216-9DAC-0DE98BF148A3}"/>
    <cellStyle name="Comma 2 2 6 3 2 3" xfId="12122" xr:uid="{365B1F21-8D98-49B3-B68B-B5B997B9D545}"/>
    <cellStyle name="Comma 2 2 6 3 2 3 2" xfId="39435" xr:uid="{0D39BDF8-BA49-4BB9-8632-F17FD7CF85F1}"/>
    <cellStyle name="Comma 2 2 6 3 2 3 3" xfId="41289" xr:uid="{2B402DEA-0460-47B1-A295-CC488A7226EF}"/>
    <cellStyle name="Comma 2 2 6 3 2 3 4" xfId="43112" xr:uid="{14AE02B5-2B50-49FB-ACF1-0135A0DA1DBA}"/>
    <cellStyle name="Comma 2 2 6 3 2 3 5" xfId="45209" xr:uid="{DF2A33C0-D3C3-4C06-8074-95718724D624}"/>
    <cellStyle name="Comma 2 2 6 3 2 3 6" xfId="20813" xr:uid="{0FD07689-B38D-4EA8-9A14-D711DCB8B57C}"/>
    <cellStyle name="Comma 2 2 6 3 2 4" xfId="20088" xr:uid="{3E435DD4-231F-49B5-808A-A234D0C0DD07}"/>
    <cellStyle name="Comma 2 2 6 3 2 5" xfId="23709" xr:uid="{0841AFAE-0BA2-4DB4-9411-E87D1A65C67D}"/>
    <cellStyle name="Comma 2 2 6 3 2 6" xfId="38206" xr:uid="{0C7A75B6-4C6B-4DA0-B949-69A05434682E}"/>
    <cellStyle name="Comma 2 2 6 3 2 7" xfId="38844" xr:uid="{ABE4AC27-EB40-4055-9F1F-517E3519BA01}"/>
    <cellStyle name="Comma 2 2 6 3 2 8" xfId="40029" xr:uid="{DC06C6DB-524A-44DE-99FF-0064FDCC0448}"/>
    <cellStyle name="Comma 2 2 6 3 2 9" xfId="40671" xr:uid="{5FE39DF2-6CCA-4D5E-B13D-2E53F6D76110}"/>
    <cellStyle name="Comma 2 2 6 3 3" xfId="9607" xr:uid="{0AAD6324-CC78-4F22-A440-6A800E1979C9}"/>
    <cellStyle name="Comma 2 2 6 3 3 10" xfId="42643" xr:uid="{21DC5651-60D6-45D8-BDCE-5766C7CB8403}"/>
    <cellStyle name="Comma 2 2 6 3 3 11" xfId="44810" xr:uid="{D53DB105-C8A0-4E53-A9B1-FD9E56B37322}"/>
    <cellStyle name="Comma 2 2 6 3 3 12" xfId="47345" xr:uid="{FBF10C00-48AE-49B7-9CF3-2CC3D0A7EF3D}"/>
    <cellStyle name="Comma 2 2 6 3 3 13" xfId="50305" xr:uid="{C84D37F0-2E41-473D-8ACE-690734E54F2D}"/>
    <cellStyle name="Comma 2 2 6 3 3 14" xfId="52497" xr:uid="{3B32E68B-97B7-4969-8F8C-818642EC9FE8}"/>
    <cellStyle name="Comma 2 2 6 3 3 15" xfId="16996" xr:uid="{FCF39F74-95DB-4191-A335-77F82DE3422B}"/>
    <cellStyle name="Comma 2 2 6 3 3 2" xfId="12913" xr:uid="{10277DEC-B340-419A-A3F0-744316DF9365}"/>
    <cellStyle name="Comma 2 2 6 3 3 2 2" xfId="39557" xr:uid="{C8756AFF-4C70-4126-9FA4-2D3B77F01A79}"/>
    <cellStyle name="Comma 2 2 6 3 3 2 3" xfId="41411" xr:uid="{3C78B7FC-52D3-4555-B9E4-2F6A22518E7B}"/>
    <cellStyle name="Comma 2 2 6 3 3 2 4" xfId="43234" xr:uid="{9B652B14-DE10-4FEF-8FA5-4B8FC9F2F59D}"/>
    <cellStyle name="Comma 2 2 6 3 3 2 5" xfId="45331" xr:uid="{7EF98F8A-41F6-4D9C-A690-C84C2A66DECC}"/>
    <cellStyle name="Comma 2 2 6 3 3 2 6" xfId="48921" xr:uid="{E4C9EB8D-8BCC-4B87-873A-1A4CAF9BF579}"/>
    <cellStyle name="Comma 2 2 6 3 3 2 7" xfId="51633" xr:uid="{EC102F47-26F5-4A13-891F-F15B7BCC0687}"/>
    <cellStyle name="Comma 2 2 6 3 3 2 8" xfId="52498" xr:uid="{C3521B00-825C-4FA0-BB17-BF9F40D59A3E}"/>
    <cellStyle name="Comma 2 2 6 3 3 2 9" xfId="20991" xr:uid="{3567A480-A0B2-4C40-8083-951C40E52CB0}"/>
    <cellStyle name="Comma 2 2 6 3 3 3" xfId="20210" xr:uid="{9F17068A-F305-4DF3-B486-2B8A5A24D81A}"/>
    <cellStyle name="Comma 2 2 6 3 3 4" xfId="23711" xr:uid="{2F5BDF4E-522D-44FF-BB34-A64D8FE4671C}"/>
    <cellStyle name="Comma 2 2 6 3 3 5" xfId="38208" xr:uid="{0420B5D5-2513-4336-BB02-29BDAF5203D4}"/>
    <cellStyle name="Comma 2 2 6 3 3 6" xfId="38966" xr:uid="{524D9550-95B6-41C5-BE3F-ABF0FA99B00C}"/>
    <cellStyle name="Comma 2 2 6 3 3 7" xfId="40031" xr:uid="{1E9541A5-D15F-41D3-A677-AAAF3CB2D2D1}"/>
    <cellStyle name="Comma 2 2 6 3 3 8" xfId="40673" xr:uid="{338C7CBE-3D42-4B43-A9C2-C854009EDF49}"/>
    <cellStyle name="Comma 2 2 6 3 3 9" xfId="41885" xr:uid="{AFFB8E65-3777-4736-A301-298B4591514B}"/>
    <cellStyle name="Comma 2 2 6 3 4" xfId="7103" xr:uid="{EDE295AB-67AE-4A9F-AD38-D84689B5B998}"/>
    <cellStyle name="Comma 2 2 6 3 4 2" xfId="39283" xr:uid="{EACEF607-5608-4857-B829-4B3AE2283971}"/>
    <cellStyle name="Comma 2 2 6 3 4 3" xfId="41145" xr:uid="{6F2B4ABE-24F4-4D3A-8D4B-2AE10886AD0B}"/>
    <cellStyle name="Comma 2 2 6 3 4 4" xfId="42960" xr:uid="{D97C6B73-2A30-4C54-AF35-5059118DBA9C}"/>
    <cellStyle name="Comma 2 2 6 3 4 5" xfId="45065" xr:uid="{789490C0-E07B-4D57-96DC-0C9C47D89B57}"/>
    <cellStyle name="Comma 2 2 6 3 4 6" xfId="48066" xr:uid="{B30A2C66-68F3-459A-8389-90A4FB2C9249}"/>
    <cellStyle name="Comma 2 2 6 3 4 7" xfId="50915" xr:uid="{E50FBE94-B56D-420F-8E6E-6334BFE79045}"/>
    <cellStyle name="Comma 2 2 6 3 4 8" xfId="52499" xr:uid="{36C22B55-E098-4F1E-B16B-D6496A41E6F0}"/>
    <cellStyle name="Comma 2 2 6 3 4 9" xfId="20529" xr:uid="{30EBC7C6-D93A-4D18-8C6D-0783C553D3C3}"/>
    <cellStyle name="Comma 2 2 6 3 5" xfId="11628" xr:uid="{9D0A2091-33B9-4129-BF9E-206A51AA02F5}"/>
    <cellStyle name="Comma 2 2 6 3 5 2" xfId="19936" xr:uid="{BF02E1D5-8C8C-4728-9CD8-B54673EFD55C}"/>
    <cellStyle name="Comma 2 2 6 3 6" xfId="23708" xr:uid="{09377684-EEF4-4164-BE80-BA7832EEA717}"/>
    <cellStyle name="Comma 2 2 6 3 7" xfId="38205" xr:uid="{7C306537-F90B-4587-B68D-B71F83283EB1}"/>
    <cellStyle name="Comma 2 2 6 3 8" xfId="38692" xr:uid="{3625385A-8767-42E2-A6DF-945601ECB2D1}"/>
    <cellStyle name="Comma 2 2 6 3 9" xfId="40028" xr:uid="{40BA56E7-9B39-4748-93FB-F674DDFD03E2}"/>
    <cellStyle name="Comma 2 2 6 4" xfId="6497" xr:uid="{A4B2F8BB-0988-4023-AE7E-9A55B75BBF4D}"/>
    <cellStyle name="Comma 2 2 6 4 10" xfId="41886" xr:uid="{8399E63F-B5BD-4A84-8376-21032761B4BC}"/>
    <cellStyle name="Comma 2 2 6 4 11" xfId="42456" xr:uid="{63571D7D-FF52-49F8-A241-1648BA349CAB}"/>
    <cellStyle name="Comma 2 2 6 4 12" xfId="44656" xr:uid="{79A5A403-CA05-435B-A3D4-F46B0329812C}"/>
    <cellStyle name="Comma 2 2 6 4 13" xfId="46136" xr:uid="{641C9CFB-8F7D-4018-80DA-9267EF962B81}"/>
    <cellStyle name="Comma 2 2 6 4 14" xfId="49472" xr:uid="{0E48D86F-E7CD-4B7E-8EAB-961B3FC44937}"/>
    <cellStyle name="Comma 2 2 6 4 15" xfId="52500" xr:uid="{168D1D12-645B-474C-ABBA-C4B043F3EC4B}"/>
    <cellStyle name="Comma 2 2 6 4 16" xfId="16650" xr:uid="{AE49B1B4-AAB6-4787-94BE-E8482D239916}"/>
    <cellStyle name="Comma 2 2 6 4 17" xfId="14398" xr:uid="{9B242BA3-B9BF-4F7E-9B4F-D9FD3EDF4D59}"/>
    <cellStyle name="Comma 2 2 6 4 2" xfId="9469" xr:uid="{1FA6F4D7-0C01-41E6-B701-0E2C0CCAF3BA}"/>
    <cellStyle name="Comma 2 2 6 4 2 10" xfId="42645" xr:uid="{452BAD88-1515-4EFA-A127-F8B7CB77398F}"/>
    <cellStyle name="Comma 2 2 6 4 2 11" xfId="44812" xr:uid="{18461547-304D-4229-80B2-1ECE6BAED1F0}"/>
    <cellStyle name="Comma 2 2 6 4 2 12" xfId="47931" xr:uid="{BA71BB56-64BB-4CDF-B512-FFC3D3E23A6B}"/>
    <cellStyle name="Comma 2 2 6 4 2 13" xfId="50800" xr:uid="{06A075D0-74CE-451B-93BD-811A9477656D}"/>
    <cellStyle name="Comma 2 2 6 4 2 14" xfId="52501" xr:uid="{E97197A3-1FFC-46C0-92F6-7F8115608707}"/>
    <cellStyle name="Comma 2 2 6 4 2 15" xfId="16998" xr:uid="{BFD9A03F-27F0-4AFC-84B0-2F6DDFF17011}"/>
    <cellStyle name="Comma 2 2 6 4 2 2" xfId="12775" xr:uid="{5FABA742-0B73-4770-B487-E4C842638219}"/>
    <cellStyle name="Comma 2 2 6 4 2 2 2" xfId="39559" xr:uid="{1A1B172F-7A7E-4DA4-9584-E1D3BFD079A1}"/>
    <cellStyle name="Comma 2 2 6 4 2 2 3" xfId="41413" xr:uid="{D7E70218-6ACA-4034-9413-9A4A7551CD5B}"/>
    <cellStyle name="Comma 2 2 6 4 2 2 4" xfId="43236" xr:uid="{0BA88754-8970-4178-920B-6B0CA350E6B3}"/>
    <cellStyle name="Comma 2 2 6 4 2 2 5" xfId="45333" xr:uid="{ADD39DBD-67F5-4051-A809-59D476C092F8}"/>
    <cellStyle name="Comma 2 2 6 4 2 2 6" xfId="20993" xr:uid="{BB777877-498F-4175-B7D4-0D3C08FE1588}"/>
    <cellStyle name="Comma 2 2 6 4 2 3" xfId="20212" xr:uid="{4CD28530-C8BC-4A1C-8BE6-855C967F3FB2}"/>
    <cellStyle name="Comma 2 2 6 4 2 4" xfId="23713" xr:uid="{1DD0E95A-9251-4121-A7BE-249302DCC627}"/>
    <cellStyle name="Comma 2 2 6 4 2 5" xfId="38210" xr:uid="{919303CB-3E2C-4414-9D3A-916BAB882E4A}"/>
    <cellStyle name="Comma 2 2 6 4 2 6" xfId="38968" xr:uid="{398A81FD-5BAE-460C-A6BB-EC9EC6F15891}"/>
    <cellStyle name="Comma 2 2 6 4 2 7" xfId="40033" xr:uid="{A1F1B959-FBF9-4CFE-AECC-C11E165D553A}"/>
    <cellStyle name="Comma 2 2 6 4 2 8" xfId="40675" xr:uid="{C4ADA719-CB9B-44D6-B21A-6F63D5EF2865}"/>
    <cellStyle name="Comma 2 2 6 4 2 9" xfId="41887" xr:uid="{E30B3C4F-BBAD-4A78-AAA0-239B8F70AC5E}"/>
    <cellStyle name="Comma 2 2 6 4 3" xfId="11490" xr:uid="{FC806450-1913-4F20-8800-AF5852463226}"/>
    <cellStyle name="Comma 2 2 6 4 3 2" xfId="39370" xr:uid="{D01F8985-9642-4811-B330-601E7C217EBF}"/>
    <cellStyle name="Comma 2 2 6 4 3 3" xfId="41228" xr:uid="{CEC033A2-72C3-4DDE-99EA-620212F4D022}"/>
    <cellStyle name="Comma 2 2 6 4 3 4" xfId="43047" xr:uid="{22FA7F37-8796-4F92-9DB0-9865059186E5}"/>
    <cellStyle name="Comma 2 2 6 4 3 5" xfId="45148" xr:uid="{6AF20780-03E8-4252-B4B1-5695CB4017F0}"/>
    <cellStyle name="Comma 2 2 6 4 3 6" xfId="20744" xr:uid="{A707EA73-11B0-455C-AA59-CBA36DB3A345}"/>
    <cellStyle name="Comma 2 2 6 4 4" xfId="20023" xr:uid="{6DA80D54-A83D-4365-B8D4-A9EE9D3C0264}"/>
    <cellStyle name="Comma 2 2 6 4 5" xfId="23712" xr:uid="{9ED07DC3-82DF-418C-8E20-C0E165A56813}"/>
    <cellStyle name="Comma 2 2 6 4 6" xfId="38209" xr:uid="{8A824FA9-9B8D-4FDF-B0A8-5E65319574E2}"/>
    <cellStyle name="Comma 2 2 6 4 7" xfId="38779" xr:uid="{33B7E0EE-1810-4E00-8022-9E26DAFB87B8}"/>
    <cellStyle name="Comma 2 2 6 4 8" xfId="40032" xr:uid="{FEDAB215-CDB9-42B0-8D31-E1C54A1E64B1}"/>
    <cellStyle name="Comma 2 2 6 4 9" xfId="40674" xr:uid="{8C3941CD-D9BE-4F51-AE1E-6980F4A571D1}"/>
    <cellStyle name="Comma 2 2 6 5" xfId="7471" xr:uid="{805CF90B-3272-47CA-89DE-F28B8A24FBAE}"/>
    <cellStyle name="Comma 2 2 6 5 10" xfId="41888" xr:uid="{149BA914-0855-49F3-9866-0181D2E56FB5}"/>
    <cellStyle name="Comma 2 2 6 5 11" xfId="42395" xr:uid="{20A511C5-78AF-49DD-9892-6B4EA86ECAFD}"/>
    <cellStyle name="Comma 2 2 6 5 12" xfId="44624" xr:uid="{BB2F2785-07BF-4C0A-8E20-F764C0257F7A}"/>
    <cellStyle name="Comma 2 2 6 5 13" xfId="46815" xr:uid="{D0AFAFE0-A2E2-43B5-80AD-FBC82E16E0F0}"/>
    <cellStyle name="Comma 2 2 6 5 14" xfId="49839" xr:uid="{536FE9BD-2959-47B6-98BB-DFFBC9BC24C8}"/>
    <cellStyle name="Comma 2 2 6 5 15" xfId="52502" xr:uid="{71E4EC4B-8B10-463D-B4A5-A929790AA2DA}"/>
    <cellStyle name="Comma 2 2 6 5 16" xfId="16370" xr:uid="{BF37B933-AB5F-4BEC-8656-3A5AC47551F5}"/>
    <cellStyle name="Comma 2 2 6 5 17" xfId="14851" xr:uid="{A5AC19D0-8323-473F-AD08-E69ADB09AD6F}"/>
    <cellStyle name="Comma 2 2 6 5 2" xfId="9963" xr:uid="{59AB4D84-6D18-4149-9A48-8BA695ED578A}"/>
    <cellStyle name="Comma 2 2 6 5 2 10" xfId="42646" xr:uid="{93815F0C-8B46-4707-8D6D-D77067F3DB5C}"/>
    <cellStyle name="Comma 2 2 6 5 2 11" xfId="44813" xr:uid="{2C80593A-7F8E-4AC7-A9CF-0D21B85DED29}"/>
    <cellStyle name="Comma 2 2 6 5 2 12" xfId="48366" xr:uid="{000C64CE-5E3E-4B46-8503-EBA3B88080E1}"/>
    <cellStyle name="Comma 2 2 6 5 2 13" xfId="51167" xr:uid="{C1C7D9DA-63B9-4B00-AD00-B79A248D6EFC}"/>
    <cellStyle name="Comma 2 2 6 5 2 14" xfId="52503" xr:uid="{B792A548-378B-47CA-AFBA-AFB5CF234479}"/>
    <cellStyle name="Comma 2 2 6 5 2 15" xfId="16999" xr:uid="{AC35956F-F9B5-4685-B915-BFF43E0FA0BF}"/>
    <cellStyle name="Comma 2 2 6 5 2 2" xfId="13269" xr:uid="{84CC37C4-81D2-4C0E-AC90-7D218648CA7E}"/>
    <cellStyle name="Comma 2 2 6 5 2 2 2" xfId="39560" xr:uid="{45434382-546E-42EE-8135-D6B865F98997}"/>
    <cellStyle name="Comma 2 2 6 5 2 2 3" xfId="41414" xr:uid="{78B83892-B280-4BC4-A7D6-5452DA8127C2}"/>
    <cellStyle name="Comma 2 2 6 5 2 2 4" xfId="43237" xr:uid="{AA29013C-203C-4D99-85AA-7D247599297B}"/>
    <cellStyle name="Comma 2 2 6 5 2 2 5" xfId="45334" xr:uid="{E2C806CD-64CB-42BC-B827-5364660E8295}"/>
    <cellStyle name="Comma 2 2 6 5 2 2 6" xfId="20994" xr:uid="{7886378D-5251-4E6B-AE2D-C1AB7642BB7B}"/>
    <cellStyle name="Comma 2 2 6 5 2 3" xfId="20213" xr:uid="{114B2DCE-03FB-4E1D-925C-EEDB3F5836D6}"/>
    <cellStyle name="Comma 2 2 6 5 2 4" xfId="23715" xr:uid="{C71C4370-C86A-4D05-BBD1-9867B3A172DF}"/>
    <cellStyle name="Comma 2 2 6 5 2 5" xfId="38212" xr:uid="{9E323556-ABFD-4058-B1C2-EBA1828262F6}"/>
    <cellStyle name="Comma 2 2 6 5 2 6" xfId="38969" xr:uid="{9A911F09-9F36-4317-936A-538590DDB485}"/>
    <cellStyle name="Comma 2 2 6 5 2 7" xfId="40035" xr:uid="{273F321D-C1B1-4DEB-8F62-45BC6344A6C7}"/>
    <cellStyle name="Comma 2 2 6 5 2 8" xfId="40677" xr:uid="{E2E03721-0AB7-4856-AD46-A859480B7754}"/>
    <cellStyle name="Comma 2 2 6 5 2 9" xfId="41889" xr:uid="{5E0C07D1-D119-4975-8851-8AA93A190C1D}"/>
    <cellStyle name="Comma 2 2 6 5 3" xfId="11984" xr:uid="{73464381-856C-46B9-9951-D935B7EC075D}"/>
    <cellStyle name="Comma 2 2 6 5 3 2" xfId="39309" xr:uid="{0F3F7E69-BE64-4A13-A38B-06B04754341D}"/>
    <cellStyle name="Comma 2 2 6 5 3 3" xfId="41171" xr:uid="{8AF82B37-FD4C-4AD2-90FF-9C1EF3C4F63F}"/>
    <cellStyle name="Comma 2 2 6 5 3 4" xfId="42986" xr:uid="{EFB00BF2-9DDC-47DA-809D-3363C0FBC9A1}"/>
    <cellStyle name="Comma 2 2 6 5 3 5" xfId="45091" xr:uid="{DA6197DF-C430-4E34-B8A7-5EA79E8A7902}"/>
    <cellStyle name="Comma 2 2 6 5 3 6" xfId="20615" xr:uid="{467FD798-0BAB-4047-ACDA-5A99E308AB42}"/>
    <cellStyle name="Comma 2 2 6 5 4" xfId="19962" xr:uid="{1C93E672-A7D0-4A88-B54F-CC0E7D9FA989}"/>
    <cellStyle name="Comma 2 2 6 5 5" xfId="23714" xr:uid="{A398F471-79CE-4A79-936D-4350E3FBA4DF}"/>
    <cellStyle name="Comma 2 2 6 5 6" xfId="38211" xr:uid="{EB8A997C-664A-4FA0-BE8E-C5A5871F4005}"/>
    <cellStyle name="Comma 2 2 6 5 7" xfId="38718" xr:uid="{D0DA2D41-C46B-49DB-8A9B-590EB69D3A10}"/>
    <cellStyle name="Comma 2 2 6 5 8" xfId="40034" xr:uid="{354B7E04-3C28-4824-8C6B-913ADFA01A96}"/>
    <cellStyle name="Comma 2 2 6 5 9" xfId="40676" xr:uid="{9058519E-1A28-42FD-8289-36AED97A0CF7}"/>
    <cellStyle name="Comma 2 2 6 6" xfId="8137" xr:uid="{68EAC21E-9F24-48D7-A54A-0579CCAE9695}"/>
    <cellStyle name="Comma 2 2 6 6 10" xfId="42640" xr:uid="{585AD599-C053-454E-8F47-15C1BB06AD7C}"/>
    <cellStyle name="Comma 2 2 6 6 11" xfId="44807" xr:uid="{11AE6FA8-2AC4-44D2-9279-E3B7AC7D4E40}"/>
    <cellStyle name="Comma 2 2 6 6 12" xfId="47212" xr:uid="{628B2F5E-E008-4DC7-8179-1B39E6EB2812}"/>
    <cellStyle name="Comma 2 2 6 6 13" xfId="50190" xr:uid="{E0862932-7650-4E01-972B-D770D79999D9}"/>
    <cellStyle name="Comma 2 2 6 6 14" xfId="52504" xr:uid="{F445D9B5-BF99-437E-9346-3E24149CD80C}"/>
    <cellStyle name="Comma 2 2 6 6 15" xfId="16993" xr:uid="{8DDDF7CE-026B-4034-8407-764690DF7525}"/>
    <cellStyle name="Comma 2 2 6 6 2" xfId="12593" xr:uid="{AE3651C4-A939-4FEC-9217-F5D49CAE927B}"/>
    <cellStyle name="Comma 2 2 6 6 2 2" xfId="39554" xr:uid="{66D3A553-AD74-4A81-A583-D3A8547824DE}"/>
    <cellStyle name="Comma 2 2 6 6 2 3" xfId="41408" xr:uid="{BDABF5C6-3C70-4A4E-9A3B-B63F78B5DD81}"/>
    <cellStyle name="Comma 2 2 6 6 2 4" xfId="43231" xr:uid="{EFF71F19-1073-4C82-8494-5DD3951C0196}"/>
    <cellStyle name="Comma 2 2 6 6 2 5" xfId="45328" xr:uid="{3AA3BE03-F1AD-47BA-A36A-3AF303468636}"/>
    <cellStyle name="Comma 2 2 6 6 2 6" xfId="48783" xr:uid="{EF707906-3D46-432F-8DF5-035FE1038E38}"/>
    <cellStyle name="Comma 2 2 6 6 2 7" xfId="51518" xr:uid="{15C73003-0547-4018-9573-4DA5F7932B13}"/>
    <cellStyle name="Comma 2 2 6 6 2 8" xfId="52505" xr:uid="{F725C8A2-DD7D-4045-8242-20DBE624000A}"/>
    <cellStyle name="Comma 2 2 6 6 2 9" xfId="20988" xr:uid="{D032BF67-0A68-4C2E-8B91-7ED0941663CC}"/>
    <cellStyle name="Comma 2 2 6 6 3" xfId="20207" xr:uid="{67D7AC52-BAB9-43DD-9B78-A3B2051BE9C9}"/>
    <cellStyle name="Comma 2 2 6 6 4" xfId="23716" xr:uid="{2015E2B3-BACF-4170-86F7-6EB2FEC81B09}"/>
    <cellStyle name="Comma 2 2 6 6 5" xfId="38213" xr:uid="{46E369C5-1A2B-4CCB-B26B-6B22DA5D5BEB}"/>
    <cellStyle name="Comma 2 2 6 6 6" xfId="38963" xr:uid="{F95738FB-2D0F-404C-9474-AD52C8137B3B}"/>
    <cellStyle name="Comma 2 2 6 6 7" xfId="40036" xr:uid="{743D1B54-5017-4F02-967C-D935F09719FC}"/>
    <cellStyle name="Comma 2 2 6 6 8" xfId="40678" xr:uid="{08AED270-921A-4BD1-BB6F-98091F817FAD}"/>
    <cellStyle name="Comma 2 2 6 6 9" xfId="41890" xr:uid="{A9260BC9-5D82-448D-B6FF-F14E97E10E88}"/>
    <cellStyle name="Comma 2 2 6 7" xfId="7924" xr:uid="{71ACDD89-A8B7-4934-A816-56B5F7F2A42F}"/>
    <cellStyle name="Comma 2 2 6 7 10" xfId="42821" xr:uid="{48A317B6-C749-44D8-9DC9-2838AC214806}"/>
    <cellStyle name="Comma 2 2 6 7 11" xfId="44948" xr:uid="{2B849268-C6F6-42B0-8C34-66C67A33100D}"/>
    <cellStyle name="Comma 2 2 6 7 12" xfId="47673" xr:uid="{39240C01-625E-4063-82FF-EEFC934E31CC}"/>
    <cellStyle name="Comma 2 2 6 7 13" xfId="50581" xr:uid="{8E96CAE4-2035-4099-91F5-84D545FA8A84}"/>
    <cellStyle name="Comma 2 2 6 7 14" xfId="52506" xr:uid="{F44ACE25-6061-4D30-8028-2D6844E013C4}"/>
    <cellStyle name="Comma 2 2 6 7 15" xfId="19727" xr:uid="{C79212F2-43A0-4CCF-A8FF-6D81F6DA4260}"/>
    <cellStyle name="Comma 2 2 6 7 2" xfId="12437" xr:uid="{2CEEEB63-ECE6-4943-AEEA-2A79F9CC9AAE}"/>
    <cellStyle name="Comma 2 2 6 7 2 2" xfId="39735" xr:uid="{8E4B12A2-E603-4E15-975D-8C9BF71B8DC9}"/>
    <cellStyle name="Comma 2 2 6 7 2 3" xfId="41588" xr:uid="{EDDEE1DF-4337-48D9-AD1C-8FEA4BF01660}"/>
    <cellStyle name="Comma 2 2 6 7 2 4" xfId="43412" xr:uid="{C09A8C47-9200-40C9-AFE5-5EAE46C3C116}"/>
    <cellStyle name="Comma 2 2 6 7 2 5" xfId="45491" xr:uid="{6BC39C77-789F-49CD-A475-96087CB70266}"/>
    <cellStyle name="Comma 2 2 6 7 2 6" xfId="23344" xr:uid="{07A1FBE1-EF16-41EB-A144-9E368DE2AEED}"/>
    <cellStyle name="Comma 2 2 6 7 3" xfId="20388" xr:uid="{B0B55ED3-7FBE-45E7-9192-AFA2C3DAB277}"/>
    <cellStyle name="Comma 2 2 6 7 4" xfId="23717" xr:uid="{109AD00C-0257-40AC-A6E5-8C09FA3D6E33}"/>
    <cellStyle name="Comma 2 2 6 7 5" xfId="38214" xr:uid="{9537E7E4-2027-464F-83CA-39C2E8EE7B2E}"/>
    <cellStyle name="Comma 2 2 6 7 6" xfId="39144" xr:uid="{C0A844E6-AF26-4F38-8177-974924E1314C}"/>
    <cellStyle name="Comma 2 2 6 7 7" xfId="40037" xr:uid="{48810C15-6D65-49CA-82B2-E467C211B760}"/>
    <cellStyle name="Comma 2 2 6 7 8" xfId="40679" xr:uid="{8BE31B58-FA44-4A5D-A2D0-56B4248E5825}"/>
    <cellStyle name="Comma 2 2 6 7 9" xfId="41891" xr:uid="{ED11A07E-85FB-4062-9D40-19A77B35148B}"/>
    <cellStyle name="Comma 2 2 6 8" xfId="5821" xr:uid="{3C7C3D89-278E-4E46-B592-735A1B543C4E}"/>
    <cellStyle name="Comma 2 2 6 8 2" xfId="39219" xr:uid="{D19F3BDE-93EA-4EFC-A3CE-89F49BF18679}"/>
    <cellStyle name="Comma 2 2 6 8 3" xfId="41091" xr:uid="{B3BDDFCC-1E3D-4586-8264-56BD330FAADE}"/>
    <cellStyle name="Comma 2 2 6 8 4" xfId="42896" xr:uid="{F783C003-5AB5-4935-843F-439E3309AFD0}"/>
    <cellStyle name="Comma 2 2 6 8 5" xfId="45003" xr:uid="{E88F6F47-0EBD-4B8A-8841-E9877470D5DD}"/>
    <cellStyle name="Comma 2 2 6 8 6" xfId="20464" xr:uid="{AF1A3169-21ED-4E86-A78D-8BF12C2F4495}"/>
    <cellStyle name="Comma 2 2 6 9" xfId="11309" xr:uid="{B381628F-D72A-4F9E-A881-244425C28A75}"/>
    <cellStyle name="Comma 2 2 6 9 2" xfId="19870" xr:uid="{3198A632-9EEC-4528-BD12-B4475F094957}"/>
    <cellStyle name="Comma 2 2 7" xfId="1751" xr:uid="{CB4FC0C3-1804-4733-B143-FF27ED3FB4E1}"/>
    <cellStyle name="Comma 2 2 7 10" xfId="38215" xr:uid="{2402D6A6-A697-4664-BD4A-5BBD25683CE1}"/>
    <cellStyle name="Comma 2 2 7 11" xfId="38629" xr:uid="{86368BF9-7849-46C9-BD52-924A151C6BF2}"/>
    <cellStyle name="Comma 2 2 7 12" xfId="40038" xr:uid="{E1509857-7872-497C-BD0B-35C51A241216}"/>
    <cellStyle name="Comma 2 2 7 13" xfId="40680" xr:uid="{A3C5C604-5CA6-4907-B85C-D1ECE77744C9}"/>
    <cellStyle name="Comma 2 2 7 14" xfId="41892" xr:uid="{7A3CB58E-ACF3-452D-BEDD-5A994BEBDFA9}"/>
    <cellStyle name="Comma 2 2 7 15" xfId="42306" xr:uid="{9B1F06FB-B62D-4E85-B6B7-B921707FB17B}"/>
    <cellStyle name="Comma 2 2 7 16" xfId="43524" xr:uid="{5462F03B-1184-438A-B952-BB3448B0541F}"/>
    <cellStyle name="Comma 2 2 7 17" xfId="44387" xr:uid="{C6C27947-535B-47C1-A4FC-9DD69038BAA7}"/>
    <cellStyle name="Comma 2 2 7 18" xfId="45625" xr:uid="{5B890C03-D742-4309-B43B-7C3170C81B3D}"/>
    <cellStyle name="Comma 2 2 7 19" xfId="49254" xr:uid="{DED459D2-E733-4927-9DC1-216AD77E93F5}"/>
    <cellStyle name="Comma 2 2 7 2" xfId="4427" xr:uid="{C70D4FD5-67D5-47E6-9A5D-027EC3F5CB2F}"/>
    <cellStyle name="Comma 2 2 7 2 10" xfId="40681" xr:uid="{C4F32ABF-7C6B-44C3-B4EB-26C7DDFF7A82}"/>
    <cellStyle name="Comma 2 2 7 2 11" xfId="41893" xr:uid="{42386C5F-A3D9-4DF9-BFC6-C9DBAC1411C5}"/>
    <cellStyle name="Comma 2 2 7 2 12" xfId="42344" xr:uid="{2418C844-A763-4DA6-894A-A73583794172}"/>
    <cellStyle name="Comma 2 2 7 2 13" xfId="44228" xr:uid="{FFB7F960-E1F0-468D-9662-1D73A6FB5C63}"/>
    <cellStyle name="Comma 2 2 7 2 14" xfId="44528" xr:uid="{E6351E40-67BC-4202-960F-87AD5D84CCAC}"/>
    <cellStyle name="Comma 2 2 7 2 15" xfId="45699" xr:uid="{AA44C7C4-9AE8-4FE9-A6F2-10E05C70DE2D}"/>
    <cellStyle name="Comma 2 2 7 2 16" xfId="49327" xr:uid="{5437BADE-5B8C-4955-A537-4A3A9F242556}"/>
    <cellStyle name="Comma 2 2 7 2 17" xfId="52507" xr:uid="{F187C462-4DAD-4F0D-A6C8-981495CD6285}"/>
    <cellStyle name="Comma 2 2 7 2 18" xfId="15310" xr:uid="{45312FC5-0C11-4923-AEA4-EEF081354610}"/>
    <cellStyle name="Comma 2 2 7 2 19" xfId="14221" xr:uid="{B02F8937-D5A8-4506-B506-0DDC7E803334}"/>
    <cellStyle name="Comma 2 2 7 2 2" xfId="5684" xr:uid="{EC036101-A234-49FD-BCCA-57857E6B4442}"/>
    <cellStyle name="Comma 2 2 7 2 2 10" xfId="41894" xr:uid="{CF64DE03-6D93-4B34-97CD-C58C9C4F6E23}"/>
    <cellStyle name="Comma 2 2 7 2 2 11" xfId="42496" xr:uid="{A2C7CF8B-47E6-4FA4-9785-7BD80859CAF9}"/>
    <cellStyle name="Comma 2 2 7 2 2 12" xfId="44680" xr:uid="{571B34B9-3547-44EF-B4E3-AAA01017F6DF}"/>
    <cellStyle name="Comma 2 2 7 2 2 13" xfId="46696" xr:uid="{CA429CE4-0DAA-480E-915B-C2CA46C5812F}"/>
    <cellStyle name="Comma 2 2 7 2 2 14" xfId="49728" xr:uid="{A981060A-9313-492C-B83F-A87B903993D9}"/>
    <cellStyle name="Comma 2 2 7 2 2 15" xfId="52508" xr:uid="{EB1B3A3C-E41C-4375-9E4C-1BD83F8C21E1}"/>
    <cellStyle name="Comma 2 2 7 2 2 16" xfId="16759" xr:uid="{861E1511-27AD-407E-94E1-274B6D93B18E}"/>
    <cellStyle name="Comma 2 2 7 2 2 17" xfId="14713" xr:uid="{AD1FABDB-88CD-4EAD-8A92-15FBB5D17B52}"/>
    <cellStyle name="Comma 2 2 7 2 2 2" xfId="10278" xr:uid="{9E218E94-82BE-43C4-AE27-728DC8753DE9}"/>
    <cellStyle name="Comma 2 2 7 2 2 2 10" xfId="42649" xr:uid="{97C1C901-D43F-4B45-9752-82BBDCD911C2}"/>
    <cellStyle name="Comma 2 2 7 2 2 2 11" xfId="44816" xr:uid="{74EACF62-71BA-4066-A9E4-A4E4620C0872}"/>
    <cellStyle name="Comma 2 2 7 2 2 2 12" xfId="48238" xr:uid="{F335E07E-4EE1-4DDB-BEB2-AF764C07B2FE}"/>
    <cellStyle name="Comma 2 2 7 2 2 2 13" xfId="51056" xr:uid="{AB0CE9B6-E3AE-4239-884E-E9B6A5785068}"/>
    <cellStyle name="Comma 2 2 7 2 2 2 14" xfId="52509" xr:uid="{AD543CCD-6AC0-443A-B26A-6ACC5F7365AE}"/>
    <cellStyle name="Comma 2 2 7 2 2 2 15" xfId="17002" xr:uid="{4B8C4159-14E4-4232-8D70-0B7D93C43914}"/>
    <cellStyle name="Comma 2 2 7 2 2 2 2" xfId="13584" xr:uid="{2BCEFF05-AA34-47DA-9ABC-8C18CF51D889}"/>
    <cellStyle name="Comma 2 2 7 2 2 2 2 2" xfId="39563" xr:uid="{06CA7EA3-4BAB-4725-82C9-9E1A5655BC2E}"/>
    <cellStyle name="Comma 2 2 7 2 2 2 2 3" xfId="41417" xr:uid="{5715157C-D301-4DD5-8F24-8DB4DE7E806F}"/>
    <cellStyle name="Comma 2 2 7 2 2 2 2 4" xfId="43240" xr:uid="{94B0744F-44BF-4DB5-A318-5B9CA74374B3}"/>
    <cellStyle name="Comma 2 2 7 2 2 2 2 5" xfId="45337" xr:uid="{E9E5B88D-A8D2-4542-9F29-9AE99731D64F}"/>
    <cellStyle name="Comma 2 2 7 2 2 2 2 6" xfId="20997" xr:uid="{C2F2A624-9F35-404D-A2B6-708121356741}"/>
    <cellStyle name="Comma 2 2 7 2 2 2 3" xfId="20216" xr:uid="{DB812803-823C-4D20-8993-F6D62FF278E2}"/>
    <cellStyle name="Comma 2 2 7 2 2 2 4" xfId="23721" xr:uid="{A6110EF0-9B58-4438-AB04-7609ACD3D2AB}"/>
    <cellStyle name="Comma 2 2 7 2 2 2 5" xfId="38218" xr:uid="{D4239D67-813C-48F3-92CC-3D9C8CDDE6AC}"/>
    <cellStyle name="Comma 2 2 7 2 2 2 6" xfId="38972" xr:uid="{DF0B0322-9D5A-4748-9E28-DFBA91363A6A}"/>
    <cellStyle name="Comma 2 2 7 2 2 2 7" xfId="40041" xr:uid="{6C16729A-53BE-4471-9FA4-B1F6D453C164}"/>
    <cellStyle name="Comma 2 2 7 2 2 2 8" xfId="40683" xr:uid="{F79B539E-5EC7-42A0-8458-33D4C741D724}"/>
    <cellStyle name="Comma 2 2 7 2 2 2 9" xfId="41895" xr:uid="{47FF63E7-9227-4D9A-85E6-6F41B1F320FE}"/>
    <cellStyle name="Comma 2 2 7 2 2 3" xfId="7786" xr:uid="{42966693-5F99-49E2-B50E-57BF1EF37499}"/>
    <cellStyle name="Comma 2 2 7 2 2 3 2" xfId="39410" xr:uid="{BB1C5724-9D7B-492D-BA96-27A523AA4806}"/>
    <cellStyle name="Comma 2 2 7 2 2 3 3" xfId="41266" xr:uid="{36262E3B-FCD1-45FF-BB8D-BDFB8426C62F}"/>
    <cellStyle name="Comma 2 2 7 2 2 3 4" xfId="43087" xr:uid="{E942C535-EA0F-43FA-AA83-B8F7D27393BA}"/>
    <cellStyle name="Comma 2 2 7 2 2 3 5" xfId="45186" xr:uid="{4220F286-698F-41F4-B3FC-2242FCE68A98}"/>
    <cellStyle name="Comma 2 2 7 2 2 3 6" xfId="20785" xr:uid="{3F5ECB3B-1BFC-42A1-9956-F535737C148B}"/>
    <cellStyle name="Comma 2 2 7 2 2 4" xfId="12299" xr:uid="{E598A6E7-F544-49A1-BD89-0D8AFFD395C0}"/>
    <cellStyle name="Comma 2 2 7 2 2 4 2" xfId="20063" xr:uid="{BF79723D-4BFF-45D0-8984-91AC650ADED7}"/>
    <cellStyle name="Comma 2 2 7 2 2 5" xfId="23720" xr:uid="{F1A8A862-F194-446A-9937-123E3E998A7C}"/>
    <cellStyle name="Comma 2 2 7 2 2 6" xfId="38217" xr:uid="{9A0EECCC-721F-42AE-90A3-13621B96EE3E}"/>
    <cellStyle name="Comma 2 2 7 2 2 7" xfId="38819" xr:uid="{4884BBB6-8E88-49F3-A5AE-6921BCC79E07}"/>
    <cellStyle name="Comma 2 2 7 2 2 8" xfId="40040" xr:uid="{F8E66F26-C87C-44AC-83D2-52242DCEAB63}"/>
    <cellStyle name="Comma 2 2 7 2 2 9" xfId="40682" xr:uid="{A4A5C232-1A85-45D8-85E2-3E281748DDEB}"/>
    <cellStyle name="Comma 2 2 7 2 3" xfId="11129" xr:uid="{45A6A0E6-B849-44EE-B2D4-9D4443AA5C0E}"/>
    <cellStyle name="Comma 2 2 7 2 3 10" xfId="42648" xr:uid="{E4FCD2FF-4B7D-4A2D-9EA6-8620B072AAA2}"/>
    <cellStyle name="Comma 2 2 7 2 3 11" xfId="44815" xr:uid="{BC7C181A-FE3F-414B-B48D-226DD45A4284}"/>
    <cellStyle name="Comma 2 2 7 2 3 12" xfId="46916" xr:uid="{7E948A80-3C7F-4956-ACF8-74739416FC94}"/>
    <cellStyle name="Comma 2 2 7 2 3 13" xfId="49935" xr:uid="{B2C47AC7-0846-468A-80AF-A24D1B2592D2}"/>
    <cellStyle name="Comma 2 2 7 2 3 14" xfId="52510" xr:uid="{72DAC23C-570C-4792-8B0B-FE70332A2292}"/>
    <cellStyle name="Comma 2 2 7 2 3 15" xfId="17001" xr:uid="{E7EA33C0-E64F-4F13-9F87-527D3A6F415F}"/>
    <cellStyle name="Comma 2 2 7 2 3 16" xfId="15028" xr:uid="{7D22421C-0A5C-4ED3-BF6D-B2CC53FCD36D}"/>
    <cellStyle name="Comma 2 2 7 2 3 2" xfId="13726" xr:uid="{BFBF4472-E052-4B77-AE8A-DFEC8FD191D4}"/>
    <cellStyle name="Comma 2 2 7 2 3 2 2" xfId="39562" xr:uid="{D9F41255-8257-4324-81AB-2CD6821719E1}"/>
    <cellStyle name="Comma 2 2 7 2 3 2 3" xfId="41416" xr:uid="{6FC52EE6-EFDC-4809-A529-ECF0FF60D2CC}"/>
    <cellStyle name="Comma 2 2 7 2 3 2 4" xfId="43239" xr:uid="{ECB98173-F880-4F34-AE68-5C6DAE4B84AE}"/>
    <cellStyle name="Comma 2 2 7 2 3 2 5" xfId="45336" xr:uid="{A525A32F-6147-43C7-B41B-E39D1556B41F}"/>
    <cellStyle name="Comma 2 2 7 2 3 2 6" xfId="48477" xr:uid="{26871D95-8D2F-4BA7-88BB-95E8629F2A84}"/>
    <cellStyle name="Comma 2 2 7 2 3 2 7" xfId="51263" xr:uid="{9D80BF49-3E9D-4644-9152-73D29C0EFB00}"/>
    <cellStyle name="Comma 2 2 7 2 3 2 8" xfId="52511" xr:uid="{99215653-B51F-4484-A288-91BC5825DF3F}"/>
    <cellStyle name="Comma 2 2 7 2 3 2 9" xfId="20996" xr:uid="{70108049-93FC-4D1A-A588-34B624A9F815}"/>
    <cellStyle name="Comma 2 2 7 2 3 3" xfId="20215" xr:uid="{51A188CB-772A-4AD3-B686-937C75F17F5D}"/>
    <cellStyle name="Comma 2 2 7 2 3 4" xfId="23722" xr:uid="{7AA83782-31C3-4B3C-A3DB-462FEB020117}"/>
    <cellStyle name="Comma 2 2 7 2 3 5" xfId="38219" xr:uid="{E01EF092-0DF1-4598-AF5C-0B097E722D5F}"/>
    <cellStyle name="Comma 2 2 7 2 3 6" xfId="38971" xr:uid="{FC17AF9E-FAAE-41A6-B006-E5F7C2A71CCB}"/>
    <cellStyle name="Comma 2 2 7 2 3 7" xfId="40042" xr:uid="{FB7E8881-3180-47D8-9B30-0DB70C6A8206}"/>
    <cellStyle name="Comma 2 2 7 2 3 8" xfId="40684" xr:uid="{0B5FF6A1-C6FD-47FA-AF9C-28D60569B252}"/>
    <cellStyle name="Comma 2 2 7 2 3 9" xfId="41896" xr:uid="{BED68F82-5A1D-4002-9204-4E250F4EA400}"/>
    <cellStyle name="Comma 2 2 7 2 4" xfId="9784" xr:uid="{AD5EC3DA-BB9E-4613-9471-AF16F4AFF606}"/>
    <cellStyle name="Comma 2 2 7 2 4 2" xfId="13090" xr:uid="{57991696-B73B-46ED-82BD-93D0B0846745}"/>
    <cellStyle name="Comma 2 2 7 2 4 2 2" xfId="49094" xr:uid="{DB16173E-86E4-402A-B724-3D60D2F60E70}"/>
    <cellStyle name="Comma 2 2 7 2 4 2 3" xfId="51774" xr:uid="{4F0BA484-9CF8-4A52-9246-C259C1EFEBD7}"/>
    <cellStyle name="Comma 2 2 7 2 4 2 4" xfId="52512" xr:uid="{6726702C-4F57-464F-820C-DA4BD9F5EF02}"/>
    <cellStyle name="Comma 2 2 7 2 4 2 5" xfId="39258" xr:uid="{0E070EF6-6019-43DE-8383-B43A76FF4F04}"/>
    <cellStyle name="Comma 2 2 7 2 4 3" xfId="41126" xr:uid="{57CC75E7-CBA9-4786-8CF8-6C1E5B15C4C6}"/>
    <cellStyle name="Comma 2 2 7 2 4 4" xfId="42935" xr:uid="{D32B8980-FE27-49E0-9C30-6137796D46C8}"/>
    <cellStyle name="Comma 2 2 7 2 4 5" xfId="45042" xr:uid="{3777FEB5-B4AB-4200-B21B-7BC785583C11}"/>
    <cellStyle name="Comma 2 2 7 2 4 6" xfId="47511" xr:uid="{79A370FE-7F39-4E2A-AC15-21117603CEA8}"/>
    <cellStyle name="Comma 2 2 7 2 4 7" xfId="50446" xr:uid="{859EDE71-16EC-405E-BB56-A1C25A44F772}"/>
    <cellStyle name="Comma 2 2 7 2 4 8" xfId="52513" xr:uid="{B23B24AC-5941-44B5-8423-EDF1F6DCDD42}"/>
    <cellStyle name="Comma 2 2 7 2 4 9" xfId="20503" xr:uid="{1C5D7B2D-65FD-489C-8CE2-04682C4AD924}"/>
    <cellStyle name="Comma 2 2 7 2 5" xfId="7282" xr:uid="{429CBFC8-85AF-4B33-9730-1E66271FDD3A}"/>
    <cellStyle name="Comma 2 2 7 2 5 2" xfId="47756" xr:uid="{F5AEB51A-9EE6-4C80-9AA2-2FFCC7DAAC4E}"/>
    <cellStyle name="Comma 2 2 7 2 5 3" xfId="50655" xr:uid="{FEEDB6B1-85FC-454C-AAF2-2EAC767AEB21}"/>
    <cellStyle name="Comma 2 2 7 2 5 4" xfId="52514" xr:uid="{FBF02556-A47E-4940-B436-F1CD00840B84}"/>
    <cellStyle name="Comma 2 2 7 2 5 5" xfId="19910" xr:uid="{931F5F33-E5D5-45D1-A6E0-CC745E8017A5}"/>
    <cellStyle name="Comma 2 2 7 2 6" xfId="11805" xr:uid="{898B562B-4939-4244-9E1B-BE2DFF197E93}"/>
    <cellStyle name="Comma 2 2 7 2 6 2" xfId="23719" xr:uid="{79E955CD-5CC4-4D7C-8F75-D9DCE48816E6}"/>
    <cellStyle name="Comma 2 2 7 2 7" xfId="38216" xr:uid="{8A3ECAF2-A63E-4DAE-8B91-F5F8E70FC34B}"/>
    <cellStyle name="Comma 2 2 7 2 8" xfId="38667" xr:uid="{C46407C6-18E4-47E3-9180-55B46D8CFD72}"/>
    <cellStyle name="Comma 2 2 7 2 9" xfId="40039" xr:uid="{58B4EF14-364B-4E50-9ADB-342CC1426360}"/>
    <cellStyle name="Comma 2 2 7 20" xfId="52515" xr:uid="{18BEFA48-620E-4E51-9761-D9630C11D5E0}"/>
    <cellStyle name="Comma 2 2 7 21" xfId="15208" xr:uid="{8484F0E7-E01B-46D2-8CAF-1854CF9DD016}"/>
    <cellStyle name="Comma 2 2 7 22" xfId="13907" xr:uid="{68921F2E-DFEF-4EE0-9D0F-A1EFF56BE628}"/>
    <cellStyle name="Comma 2 2 7 3" xfId="5508" xr:uid="{538B15AD-FC31-4014-BCD0-B5DFC5CC1F2D}"/>
    <cellStyle name="Comma 2 2 7 3 10" xfId="41897" xr:uid="{AEE99364-0EC1-4198-BB64-F6679320E4EC}"/>
    <cellStyle name="Comma 2 2 7 3 11" xfId="42457" xr:uid="{8672B779-AF17-4F80-8EB1-17969402D37B}"/>
    <cellStyle name="Comma 2 2 7 3 12" xfId="43797" xr:uid="{D08D8889-6DEA-41C1-B934-B9A7137874B8}"/>
    <cellStyle name="Comma 2 2 7 3 13" xfId="44657" xr:uid="{BBBBCDE6-DAA8-4CAA-A181-72541D140E8F}"/>
    <cellStyle name="Comma 2 2 7 3 14" xfId="46555" xr:uid="{EF645BD7-63D9-49FC-8276-B3877638835A}"/>
    <cellStyle name="Comma 2 2 7 3 15" xfId="49588" xr:uid="{DE7F5136-1A68-4489-BD06-E2044EB00068}"/>
    <cellStyle name="Comma 2 2 7 3 16" xfId="52516" xr:uid="{AA5B92F5-E7CE-4EB6-B591-D1B17FE6ED17}"/>
    <cellStyle name="Comma 2 2 7 3 17" xfId="16651" xr:uid="{21FCB086-2D34-4D13-9FD3-05FFA0526CF0}"/>
    <cellStyle name="Comma 2 2 7 3 18" xfId="14045" xr:uid="{D767FA9E-E122-4F9D-BEAF-D5B0A5E4E068}"/>
    <cellStyle name="Comma 2 2 7 3 2" xfId="7610" xr:uid="{40AF0803-A072-4DE9-BBF2-F18A5F716068}"/>
    <cellStyle name="Comma 2 2 7 3 2 10" xfId="42650" xr:uid="{85947ADD-02F6-46F0-8443-3D1E2D0E82F4}"/>
    <cellStyle name="Comma 2 2 7 3 2 11" xfId="44817" xr:uid="{485419DD-AA8F-4DCB-AC1D-9C270EF2184C}"/>
    <cellStyle name="Comma 2 2 7 3 2 12" xfId="47045" xr:uid="{D3C88484-7DC0-431D-99FD-6FFE7F28F209}"/>
    <cellStyle name="Comma 2 2 7 3 2 13" xfId="50046" xr:uid="{7C928818-A039-47F4-9189-340B4E0DB7BC}"/>
    <cellStyle name="Comma 2 2 7 3 2 14" xfId="52517" xr:uid="{4D36EC62-B6E8-415C-8E74-BDF51DF65D23}"/>
    <cellStyle name="Comma 2 2 7 3 2 15" xfId="17003" xr:uid="{9A894E7E-6C32-49A3-B046-F491991612FE}"/>
    <cellStyle name="Comma 2 2 7 3 2 16" xfId="14537" xr:uid="{16729257-6C4D-4A40-A231-89C0AC188C04}"/>
    <cellStyle name="Comma 2 2 7 3 2 2" xfId="10102" xr:uid="{4FB43666-0BC7-4D22-878A-A8C1BDF05D73}"/>
    <cellStyle name="Comma 2 2 7 3 2 2 2" xfId="13408" xr:uid="{CFB47551-7C17-4249-826B-62FE62DDD080}"/>
    <cellStyle name="Comma 2 2 7 3 2 2 2 2" xfId="39564" xr:uid="{1DAAFAFE-E52A-4FF3-93F8-64BFFD81BB43}"/>
    <cellStyle name="Comma 2 2 7 3 2 2 3" xfId="41418" xr:uid="{3AA21FD9-CB8C-4928-AB22-BF1D1C4019B8}"/>
    <cellStyle name="Comma 2 2 7 3 2 2 4" xfId="43241" xr:uid="{256A182F-AA66-49F9-B2CD-780A958140E1}"/>
    <cellStyle name="Comma 2 2 7 3 2 2 5" xfId="45338" xr:uid="{330526DC-36A6-4EEC-95F2-8C8E14120C9E}"/>
    <cellStyle name="Comma 2 2 7 3 2 2 6" xfId="48611" xr:uid="{71C5063F-5695-4412-AEAC-2B89FE28AEEF}"/>
    <cellStyle name="Comma 2 2 7 3 2 2 7" xfId="51374" xr:uid="{90C8682D-107C-444F-8A62-F9236958F782}"/>
    <cellStyle name="Comma 2 2 7 3 2 2 8" xfId="52518" xr:uid="{E6577886-6EF4-40DD-B0D4-FC5A828E8296}"/>
    <cellStyle name="Comma 2 2 7 3 2 2 9" xfId="20998" xr:uid="{1016FC4B-B3B7-443C-9AAB-9FE75970A90F}"/>
    <cellStyle name="Comma 2 2 7 3 2 3" xfId="12123" xr:uid="{0FA17D35-9337-4473-8366-1E8F370D7681}"/>
    <cellStyle name="Comma 2 2 7 3 2 3 2" xfId="20217" xr:uid="{0CED4B97-EAAE-4177-8186-057AE749CFEC}"/>
    <cellStyle name="Comma 2 2 7 3 2 4" xfId="23724" xr:uid="{C5B94503-F0B8-466D-BC94-D52449962889}"/>
    <cellStyle name="Comma 2 2 7 3 2 5" xfId="38221" xr:uid="{C41343B5-004D-4263-927C-3C30CE342633}"/>
    <cellStyle name="Comma 2 2 7 3 2 6" xfId="38973" xr:uid="{DF1D1578-01EF-43CE-90EE-1BB27E6AEE03}"/>
    <cellStyle name="Comma 2 2 7 3 2 7" xfId="40044" xr:uid="{1D7E8A1C-5F60-47E2-8D72-05705CB15D84}"/>
    <cellStyle name="Comma 2 2 7 3 2 8" xfId="40686" xr:uid="{D1BEB0C3-A892-404D-9948-C2E16BB1F065}"/>
    <cellStyle name="Comma 2 2 7 3 2 9" xfId="41898" xr:uid="{561C8168-E444-4F4E-B913-59C54EBA5633}"/>
    <cellStyle name="Comma 2 2 7 3 3" xfId="9608" xr:uid="{04A219AD-BC81-4E3B-9F44-C3A78DCDCC8A}"/>
    <cellStyle name="Comma 2 2 7 3 3 2" xfId="12914" xr:uid="{5A39DBF5-EAE5-488A-82FC-40C27905780E}"/>
    <cellStyle name="Comma 2 2 7 3 3 2 2" xfId="48922" xr:uid="{8072AFA6-71B5-43B1-8ACC-173D4D1DEF5E}"/>
    <cellStyle name="Comma 2 2 7 3 3 2 3" xfId="51634" xr:uid="{9801724E-A99D-4C3F-A3D8-FCDA2E217D2F}"/>
    <cellStyle name="Comma 2 2 7 3 3 2 4" xfId="52519" xr:uid="{339D40AB-84F9-4027-BABF-C9540BB9EF2A}"/>
    <cellStyle name="Comma 2 2 7 3 3 2 5" xfId="39371" xr:uid="{CB718CDA-8971-4AF9-80F1-072BE81AC708}"/>
    <cellStyle name="Comma 2 2 7 3 3 3" xfId="41229" xr:uid="{E6A5963C-343B-4081-A839-8EA78C3656DA}"/>
    <cellStyle name="Comma 2 2 7 3 3 4" xfId="43048" xr:uid="{A5BF34A3-7F2D-4154-BDBA-6F603DBFCA48}"/>
    <cellStyle name="Comma 2 2 7 3 3 5" xfId="45149" xr:uid="{6DDEDBE6-541D-4AC7-8A58-FE0329E195B7}"/>
    <cellStyle name="Comma 2 2 7 3 3 6" xfId="47346" xr:uid="{A5AF4E48-E218-4196-BAB1-FAEF55D3F332}"/>
    <cellStyle name="Comma 2 2 7 3 3 7" xfId="50306" xr:uid="{C3938FF5-3365-42ED-A697-1CE91F4F0AB5}"/>
    <cellStyle name="Comma 2 2 7 3 3 8" xfId="52520" xr:uid="{F96C7D67-D417-4724-8440-96BFF930BABB}"/>
    <cellStyle name="Comma 2 2 7 3 3 9" xfId="20745" xr:uid="{10507228-2399-4094-AF61-EC23DB8C0BD6}"/>
    <cellStyle name="Comma 2 2 7 3 4" xfId="7104" xr:uid="{998CBCCA-A7FF-4FB2-ABC7-548D63C1A7E7}"/>
    <cellStyle name="Comma 2 2 7 3 4 2" xfId="48067" xr:uid="{F169C5C5-D9EF-4712-B3D5-83EB9E6591E3}"/>
    <cellStyle name="Comma 2 2 7 3 4 3" xfId="50916" xr:uid="{6F21976B-61C8-4AB5-A3F0-5EEAD00CC401}"/>
    <cellStyle name="Comma 2 2 7 3 4 4" xfId="52521" xr:uid="{27192202-3857-4E0C-B5D7-B9E43A53BE03}"/>
    <cellStyle name="Comma 2 2 7 3 4 5" xfId="20024" xr:uid="{0CD25EFF-7AA8-4B94-A593-ED06CE2FF98E}"/>
    <cellStyle name="Comma 2 2 7 3 5" xfId="11629" xr:uid="{948436A2-28A7-4147-B1CF-A167E51B84C0}"/>
    <cellStyle name="Comma 2 2 7 3 5 2" xfId="23723" xr:uid="{51E55169-ED39-4892-8F2E-9387897C7C8B}"/>
    <cellStyle name="Comma 2 2 7 3 6" xfId="38220" xr:uid="{3C39F7EE-D953-4165-8878-42FD580A1B7B}"/>
    <cellStyle name="Comma 2 2 7 3 7" xfId="38780" xr:uid="{15FE7583-F0A7-402D-9FC6-6703BC4CA488}"/>
    <cellStyle name="Comma 2 2 7 3 8" xfId="40043" xr:uid="{FFB1FFCB-0068-4603-B636-83020E64CC16}"/>
    <cellStyle name="Comma 2 2 7 3 9" xfId="40685" xr:uid="{F5D524EB-8B89-4831-B3F9-4F7355BD1D1E}"/>
    <cellStyle name="Comma 2 2 7 4" xfId="6498" xr:uid="{81C3E417-92D6-4241-B5FF-1B9AD2F0A9ED}"/>
    <cellStyle name="Comma 2 2 7 4 10" xfId="41899" xr:uid="{D68A8A9D-4FF3-476E-BAF0-72FDFF9078FC}"/>
    <cellStyle name="Comma 2 2 7 4 11" xfId="42396" xr:uid="{A0BB5809-4823-4A0C-9653-8AD00E6D5C93}"/>
    <cellStyle name="Comma 2 2 7 4 12" xfId="44625" xr:uid="{83DD429A-46C2-45E1-A0E2-14E9F6CC8F32}"/>
    <cellStyle name="Comma 2 2 7 4 13" xfId="46137" xr:uid="{466FE607-16D2-4B20-BB6B-DC1E0AA1206F}"/>
    <cellStyle name="Comma 2 2 7 4 14" xfId="49473" xr:uid="{1F9A3EED-E037-40B5-876B-97B766646D5F}"/>
    <cellStyle name="Comma 2 2 7 4 15" xfId="52522" xr:uid="{10D64963-E215-463C-AF8C-D305C88DD9A3}"/>
    <cellStyle name="Comma 2 2 7 4 16" xfId="16371" xr:uid="{E4687B28-4360-404B-B1CA-ED9838BBD927}"/>
    <cellStyle name="Comma 2 2 7 4 17" xfId="14399" xr:uid="{9AA9B7C8-92DC-4B5F-9DE8-85E44B1ACDF9}"/>
    <cellStyle name="Comma 2 2 7 4 2" xfId="9470" xr:uid="{D957D384-355E-4B03-B6C3-330743503144}"/>
    <cellStyle name="Comma 2 2 7 4 2 10" xfId="42651" xr:uid="{8DD51BFF-DEFA-47E2-AA56-6C1F79E524FF}"/>
    <cellStyle name="Comma 2 2 7 4 2 11" xfId="44818" xr:uid="{60DDA296-1FB4-4000-B1C5-1B3ABB27BF5A}"/>
    <cellStyle name="Comma 2 2 7 4 2 12" xfId="47932" xr:uid="{0AC50489-BA8A-47D7-927C-A53E1A952EE1}"/>
    <cellStyle name="Comma 2 2 7 4 2 13" xfId="50801" xr:uid="{B6939084-2F4F-4B84-B11A-FDFDE81D01BB}"/>
    <cellStyle name="Comma 2 2 7 4 2 14" xfId="52523" xr:uid="{1B7A3D1D-4025-4676-B207-40292BF46000}"/>
    <cellStyle name="Comma 2 2 7 4 2 15" xfId="17004" xr:uid="{F4049111-910B-490F-B12C-B98AD73B9389}"/>
    <cellStyle name="Comma 2 2 7 4 2 2" xfId="12776" xr:uid="{F590E866-22D9-41DB-B245-8074B4A04B27}"/>
    <cellStyle name="Comma 2 2 7 4 2 2 2" xfId="39565" xr:uid="{297F3674-58BE-40DB-BE7A-6433F2D8777E}"/>
    <cellStyle name="Comma 2 2 7 4 2 2 3" xfId="41419" xr:uid="{017BFBE3-B87E-4A14-B2DB-18F1674085A2}"/>
    <cellStyle name="Comma 2 2 7 4 2 2 4" xfId="43242" xr:uid="{20D9B011-3748-4722-B354-8EA8B41BD588}"/>
    <cellStyle name="Comma 2 2 7 4 2 2 5" xfId="45339" xr:uid="{0280A3C5-10CE-4E48-BFFF-A375EC89CCA3}"/>
    <cellStyle name="Comma 2 2 7 4 2 2 6" xfId="20999" xr:uid="{32AA9673-4029-467F-A30E-539C1BBBD358}"/>
    <cellStyle name="Comma 2 2 7 4 2 3" xfId="20218" xr:uid="{3F1216F3-B28D-4168-ADCF-281AAB9891F9}"/>
    <cellStyle name="Comma 2 2 7 4 2 4" xfId="23726" xr:uid="{18915515-80EF-48D2-AAF9-3FBA37AF3C61}"/>
    <cellStyle name="Comma 2 2 7 4 2 5" xfId="38223" xr:uid="{43905233-4B82-4BFB-89F2-FF9D1439F781}"/>
    <cellStyle name="Comma 2 2 7 4 2 6" xfId="38974" xr:uid="{277F1DE7-DA36-4472-A572-12051091B201}"/>
    <cellStyle name="Comma 2 2 7 4 2 7" xfId="40046" xr:uid="{D3B9FD7C-8047-447E-81EB-C1C6DDEE1626}"/>
    <cellStyle name="Comma 2 2 7 4 2 8" xfId="40688" xr:uid="{C9D1332A-FD2F-4744-9DB8-24658DD3AC02}"/>
    <cellStyle name="Comma 2 2 7 4 2 9" xfId="41900" xr:uid="{AF08ADFA-53DD-47F1-958E-E2514B4632D9}"/>
    <cellStyle name="Comma 2 2 7 4 3" xfId="11491" xr:uid="{430B2943-BF00-46BA-B4A0-937B4D5109E1}"/>
    <cellStyle name="Comma 2 2 7 4 3 2" xfId="39310" xr:uid="{0ACAE9A1-F6DF-4BD2-A676-09A3ABA4FE1C}"/>
    <cellStyle name="Comma 2 2 7 4 3 3" xfId="41172" xr:uid="{19685FDD-7C5D-4EF5-999A-BA101BD88E20}"/>
    <cellStyle name="Comma 2 2 7 4 3 4" xfId="42987" xr:uid="{A25D6C67-36FE-4B80-BAB4-5380E2135A27}"/>
    <cellStyle name="Comma 2 2 7 4 3 5" xfId="45092" xr:uid="{C9289565-DAA7-4045-8E99-0839DFFBE4D7}"/>
    <cellStyle name="Comma 2 2 7 4 3 6" xfId="20616" xr:uid="{463B7B2C-8682-41D1-A384-18649FC6D8BC}"/>
    <cellStyle name="Comma 2 2 7 4 4" xfId="19963" xr:uid="{2908E0B0-54C8-42FA-ACFE-CE58E5426ADB}"/>
    <cellStyle name="Comma 2 2 7 4 5" xfId="23725" xr:uid="{A3CEC6B5-AB9D-4064-9831-52CB91CF4451}"/>
    <cellStyle name="Comma 2 2 7 4 6" xfId="38222" xr:uid="{2D48D0AA-D4A0-45BC-8CA6-40BCD1752DD0}"/>
    <cellStyle name="Comma 2 2 7 4 7" xfId="38719" xr:uid="{27907819-F9A4-4089-A4F6-570ED48AD077}"/>
    <cellStyle name="Comma 2 2 7 4 8" xfId="40045" xr:uid="{168AE16E-AD42-42EF-B1A1-D1A68F08EDF6}"/>
    <cellStyle name="Comma 2 2 7 4 9" xfId="40687" xr:uid="{EA822B2C-A3A6-4790-AFE5-2E319A19A582}"/>
    <cellStyle name="Comma 2 2 7 5" xfId="7472" xr:uid="{AF061577-35DE-47D8-AB30-F9206F065940}"/>
    <cellStyle name="Comma 2 2 7 5 10" xfId="42647" xr:uid="{6CEB6A7C-B38F-471B-A628-C38769CCB2A0}"/>
    <cellStyle name="Comma 2 2 7 5 11" xfId="44814" xr:uid="{760FCE59-A061-4C71-A794-B7FC79CA6DF7}"/>
    <cellStyle name="Comma 2 2 7 5 12" xfId="46816" xr:uid="{A510F55D-4AAB-4FDB-A803-EA5E1BEB6153}"/>
    <cellStyle name="Comma 2 2 7 5 13" xfId="49840" xr:uid="{FB010924-3335-412E-9096-087138AF35F3}"/>
    <cellStyle name="Comma 2 2 7 5 14" xfId="52524" xr:uid="{7E47A0A5-135B-4AD6-AFB1-6E05B3424A5B}"/>
    <cellStyle name="Comma 2 2 7 5 15" xfId="17000" xr:uid="{404529CF-AE26-4F0C-82FD-F8BC37CE0EB7}"/>
    <cellStyle name="Comma 2 2 7 5 16" xfId="14852" xr:uid="{87BB74F9-25F7-4B9F-B771-148B68DBDC92}"/>
    <cellStyle name="Comma 2 2 7 5 2" xfId="9964" xr:uid="{58836862-1090-4448-98E9-146EE337D280}"/>
    <cellStyle name="Comma 2 2 7 5 2 2" xfId="13270" xr:uid="{252B7A38-21D7-48D2-8A48-1E65B50D4A6A}"/>
    <cellStyle name="Comma 2 2 7 5 2 2 2" xfId="39561" xr:uid="{E2F27127-0668-41D5-A5DC-40EA13DA39F4}"/>
    <cellStyle name="Comma 2 2 7 5 2 3" xfId="41415" xr:uid="{356291CF-2DA5-4650-A1D5-FA3F04D43E9C}"/>
    <cellStyle name="Comma 2 2 7 5 2 4" xfId="43238" xr:uid="{FA15196A-3206-4A80-89B6-B16D51D745A5}"/>
    <cellStyle name="Comma 2 2 7 5 2 5" xfId="45335" xr:uid="{99003CE9-8345-41BA-9695-8F7A4EBD1878}"/>
    <cellStyle name="Comma 2 2 7 5 2 6" xfId="48367" xr:uid="{811D03DA-3614-40F1-BC0A-4B8564C34000}"/>
    <cellStyle name="Comma 2 2 7 5 2 7" xfId="51168" xr:uid="{DE093782-4CBB-4686-8150-BAF0BA2CD717}"/>
    <cellStyle name="Comma 2 2 7 5 2 8" xfId="52525" xr:uid="{A7AAB33B-9AD7-4616-81AB-D8B82EA39DD1}"/>
    <cellStyle name="Comma 2 2 7 5 2 9" xfId="20995" xr:uid="{A3F8559D-BF1C-42E0-A0B6-91E7C1294DC7}"/>
    <cellStyle name="Comma 2 2 7 5 3" xfId="11985" xr:uid="{90B25FC4-FD2D-4572-8FC4-4AE6086512B2}"/>
    <cellStyle name="Comma 2 2 7 5 3 2" xfId="20214" xr:uid="{7D9A742E-F89D-4826-B612-94CEDE262971}"/>
    <cellStyle name="Comma 2 2 7 5 4" xfId="23727" xr:uid="{9291588A-37A8-4E8C-9477-1235DFB51B6B}"/>
    <cellStyle name="Comma 2 2 7 5 5" xfId="38224" xr:uid="{0EE6317A-427C-43C5-B446-8975877674B7}"/>
    <cellStyle name="Comma 2 2 7 5 6" xfId="38970" xr:uid="{B738059A-D58E-44A9-BD93-F47A3556F3D2}"/>
    <cellStyle name="Comma 2 2 7 5 7" xfId="40047" xr:uid="{756636A5-E5EC-44EB-A3F5-0D1954939F6A}"/>
    <cellStyle name="Comma 2 2 7 5 8" xfId="40689" xr:uid="{5676D4BB-D91F-457A-A118-61105DD19703}"/>
    <cellStyle name="Comma 2 2 7 5 9" xfId="41901" xr:uid="{A3D91E7C-918A-422A-BF8C-A6F667DE42E9}"/>
    <cellStyle name="Comma 2 2 7 6" xfId="8138" xr:uid="{415FB50C-1BF1-4525-A86A-578C4AA74A02}"/>
    <cellStyle name="Comma 2 2 7 6 10" xfId="42822" xr:uid="{7FC1A216-AFBF-4686-B9C3-C779581E2E6D}"/>
    <cellStyle name="Comma 2 2 7 6 11" xfId="44949" xr:uid="{5B0F1AB4-1F59-40BB-9172-E08DAB586340}"/>
    <cellStyle name="Comma 2 2 7 6 12" xfId="47213" xr:uid="{173C69D8-DFAB-4A76-94E5-4C423DCFB68A}"/>
    <cellStyle name="Comma 2 2 7 6 13" xfId="50191" xr:uid="{7E98325F-9AAD-49FC-9347-AFBFB46BA1BA}"/>
    <cellStyle name="Comma 2 2 7 6 14" xfId="52526" xr:uid="{B9142D8D-E0EE-4D9F-834D-AF01E768EA55}"/>
    <cellStyle name="Comma 2 2 7 6 15" xfId="19728" xr:uid="{2B3BE3E2-0CAC-4959-B550-B1A71329BFCE}"/>
    <cellStyle name="Comma 2 2 7 6 2" xfId="12594" xr:uid="{1AF83364-454F-463B-93AE-D78DAF59DB42}"/>
    <cellStyle name="Comma 2 2 7 6 2 2" xfId="39736" xr:uid="{21224061-FF44-4E0D-836D-FB88B26CE3C6}"/>
    <cellStyle name="Comma 2 2 7 6 2 3" xfId="41589" xr:uid="{39429A84-6ACE-457C-95BA-5CD9AB567D3C}"/>
    <cellStyle name="Comma 2 2 7 6 2 4" xfId="43413" xr:uid="{4F90D6EE-C60E-43DE-8A64-15ECF2CB88AF}"/>
    <cellStyle name="Comma 2 2 7 6 2 5" xfId="45492" xr:uid="{2D2406C2-0068-48E0-B579-EE9BFF8BF724}"/>
    <cellStyle name="Comma 2 2 7 6 2 6" xfId="48784" xr:uid="{9EFA3A3A-6095-47EF-897C-489C970EBE7E}"/>
    <cellStyle name="Comma 2 2 7 6 2 7" xfId="51519" xr:uid="{C2E49CCA-F924-477D-9AE4-8F3E965F23A4}"/>
    <cellStyle name="Comma 2 2 7 6 2 8" xfId="52527" xr:uid="{516A6DE7-E17E-402F-9E55-C35337001821}"/>
    <cellStyle name="Comma 2 2 7 6 2 9" xfId="23345" xr:uid="{2303CF2B-2D48-4E11-AAC7-DEF594D4C38B}"/>
    <cellStyle name="Comma 2 2 7 6 3" xfId="20389" xr:uid="{E4FF7EA2-057B-40C8-AE98-DE219AC26665}"/>
    <cellStyle name="Comma 2 2 7 6 4" xfId="23728" xr:uid="{42CF2D44-5CCB-4C41-93FB-9E84314E4977}"/>
    <cellStyle name="Comma 2 2 7 6 5" xfId="38225" xr:uid="{1757EAE1-9082-4921-A243-3942D8CEE5FA}"/>
    <cellStyle name="Comma 2 2 7 6 6" xfId="39145" xr:uid="{597CF47A-8BC1-4E23-85FA-B9268DDF1047}"/>
    <cellStyle name="Comma 2 2 7 6 7" xfId="40048" xr:uid="{23531A95-215F-414B-B060-2668BFDA8BF6}"/>
    <cellStyle name="Comma 2 2 7 6 8" xfId="40690" xr:uid="{CD86E74A-0874-4845-9ADE-0C7356DE5B42}"/>
    <cellStyle name="Comma 2 2 7 6 9" xfId="41902" xr:uid="{8CD0E22A-2758-42F0-B47E-B9BBFDEA2BDE}"/>
    <cellStyle name="Comma 2 2 7 7" xfId="7925" xr:uid="{F3C58B04-0111-4632-A993-0A453DDDA8E6}"/>
    <cellStyle name="Comma 2 2 7 7 2" xfId="12438" xr:uid="{31CA4922-F9B7-4E6C-9536-39E8F4A4C349}"/>
    <cellStyle name="Comma 2 2 7 7 2 2" xfId="39220" xr:uid="{7FA32C2D-58AA-442C-82AD-2209BF658EF8}"/>
    <cellStyle name="Comma 2 2 7 7 3" xfId="41092" xr:uid="{3EDDCDBA-6692-41E2-A8B2-DFD53490EA56}"/>
    <cellStyle name="Comma 2 2 7 7 4" xfId="42897" xr:uid="{4D6E68A2-8021-4CE3-85C9-93BEC59E7F20}"/>
    <cellStyle name="Comma 2 2 7 7 5" xfId="45004" xr:uid="{00427CFC-64A6-4E66-A571-B949D01CA176}"/>
    <cellStyle name="Comma 2 2 7 7 6" xfId="47674" xr:uid="{5AD561B8-2471-43A0-904A-711A05C89AE6}"/>
    <cellStyle name="Comma 2 2 7 7 7" xfId="50582" xr:uid="{0FBBAF7A-2C71-4AAC-9138-DD1D11A2F1E7}"/>
    <cellStyle name="Comma 2 2 7 7 8" xfId="52528" xr:uid="{51EC0F44-837C-42A4-B0E0-B168123BF023}"/>
    <cellStyle name="Comma 2 2 7 7 9" xfId="20465" xr:uid="{82371482-5760-4370-96CA-74CD5FECC73B}"/>
    <cellStyle name="Comma 2 2 7 8" xfId="5822" xr:uid="{2799BC1E-8797-4501-9038-7F96F4469B01}"/>
    <cellStyle name="Comma 2 2 7 8 2" xfId="19871" xr:uid="{36BAF7F1-4BA2-4C48-99A5-34FA3656C655}"/>
    <cellStyle name="Comma 2 2 7 9" xfId="11310" xr:uid="{A673082D-9E09-4EB7-A0FD-4D479043FF8C}"/>
    <cellStyle name="Comma 2 2 7 9 2" xfId="23718" xr:uid="{0A61F948-97D6-4164-B872-06B1E27E8C00}"/>
    <cellStyle name="Comma 2 2 8" xfId="1752" xr:uid="{298CE49F-1B30-4301-8176-76CF7ECA9744}"/>
    <cellStyle name="Comma 2 2 8 10" xfId="38226" xr:uid="{51B92A4F-E13C-4775-BE9E-4381E80EE9F4}"/>
    <cellStyle name="Comma 2 2 8 11" xfId="38630" xr:uid="{48AF3BF9-53EC-4894-A522-E614536282EB}"/>
    <cellStyle name="Comma 2 2 8 12" xfId="40049" xr:uid="{1C37BFF0-6F7F-4F22-9EEA-FC36D3EA1259}"/>
    <cellStyle name="Comma 2 2 8 13" xfId="40691" xr:uid="{19B1C69D-76AE-4E19-98BD-EE83EAB46005}"/>
    <cellStyle name="Comma 2 2 8 14" xfId="41903" xr:uid="{BC35DE50-81EF-4BB1-BDFE-6F46AEB3E9A3}"/>
    <cellStyle name="Comma 2 2 8 15" xfId="42307" xr:uid="{67F74A7C-41F7-4528-96B8-626FC52FED43}"/>
    <cellStyle name="Comma 2 2 8 16" xfId="43525" xr:uid="{0992A6A3-48C4-43A1-B9A0-2E8CC3896842}"/>
    <cellStyle name="Comma 2 2 8 17" xfId="44388" xr:uid="{692B88BE-4B85-4608-AE83-D08F0554005C}"/>
    <cellStyle name="Comma 2 2 8 18" xfId="45626" xr:uid="{48B3D98F-8148-4461-ADEB-454BE93CFB66}"/>
    <cellStyle name="Comma 2 2 8 19" xfId="49255" xr:uid="{CEED732C-B04B-4851-A1A2-3EC51825304E}"/>
    <cellStyle name="Comma 2 2 8 2" xfId="4428" xr:uid="{BAB02F7C-4255-4990-9B46-64800EE6CCFD}"/>
    <cellStyle name="Comma 2 2 8 2 10" xfId="40692" xr:uid="{0F8BFEBD-A753-4BAA-9E2D-47D20E63405A}"/>
    <cellStyle name="Comma 2 2 8 2 11" xfId="41904" xr:uid="{0DF33DD6-0985-40DD-9B3B-FB2AC4B2196C}"/>
    <cellStyle name="Comma 2 2 8 2 12" xfId="42345" xr:uid="{D7BC2C87-3509-4DA5-8131-7CEA916F226B}"/>
    <cellStyle name="Comma 2 2 8 2 13" xfId="44229" xr:uid="{6FF183B6-1394-48DA-874F-C1A07503B271}"/>
    <cellStyle name="Comma 2 2 8 2 14" xfId="44529" xr:uid="{9DB2CBB9-DA22-4172-86B9-946847ACE89B}"/>
    <cellStyle name="Comma 2 2 8 2 15" xfId="45700" xr:uid="{B354A78A-03EF-440C-8A39-B347245C2C88}"/>
    <cellStyle name="Comma 2 2 8 2 16" xfId="49328" xr:uid="{FC1E81C1-00C6-4FAC-8EEB-492728521F21}"/>
    <cellStyle name="Comma 2 2 8 2 17" xfId="52529" xr:uid="{0A360BF0-D075-495D-8739-57F20038E14A}"/>
    <cellStyle name="Comma 2 2 8 2 18" xfId="15311" xr:uid="{3B281868-B391-4E4E-868B-CAEEA7262592}"/>
    <cellStyle name="Comma 2 2 8 2 19" xfId="14222" xr:uid="{61390BD7-5E59-48BA-88E5-0983D2F5715C}"/>
    <cellStyle name="Comma 2 2 8 2 2" xfId="5685" xr:uid="{C612D0EF-A32E-44F2-96C3-594DE5A51469}"/>
    <cellStyle name="Comma 2 2 8 2 2 10" xfId="41905" xr:uid="{22E2AB7A-F3AD-4DFB-81C8-5BA94F5663B6}"/>
    <cellStyle name="Comma 2 2 8 2 2 11" xfId="42497" xr:uid="{A6604700-C7A1-409B-9338-049E888C4960}"/>
    <cellStyle name="Comma 2 2 8 2 2 12" xfId="44681" xr:uid="{34ED9003-AF76-44D3-91D5-EBDD711495E8}"/>
    <cellStyle name="Comma 2 2 8 2 2 13" xfId="46697" xr:uid="{6C86058E-BF27-49AD-BFCF-D76E21D8B3FD}"/>
    <cellStyle name="Comma 2 2 8 2 2 14" xfId="49729" xr:uid="{0F6601A2-8CC6-4370-9A7E-DEF0F14F7599}"/>
    <cellStyle name="Comma 2 2 8 2 2 15" xfId="52530" xr:uid="{750279F6-A9C4-4B71-BD3A-D932B22F63A6}"/>
    <cellStyle name="Comma 2 2 8 2 2 16" xfId="16760" xr:uid="{DF4A6F3C-6B3F-4F81-80DD-9D1FE5596A6C}"/>
    <cellStyle name="Comma 2 2 8 2 2 17" xfId="14714" xr:uid="{F3FC8F2A-AB65-44FA-B7F1-3141CCBB3906}"/>
    <cellStyle name="Comma 2 2 8 2 2 2" xfId="10279" xr:uid="{6A800466-65D1-4C25-964F-E0E7F1B00725}"/>
    <cellStyle name="Comma 2 2 8 2 2 2 10" xfId="42654" xr:uid="{10001821-7461-4B55-90FE-090B16C7F6EA}"/>
    <cellStyle name="Comma 2 2 8 2 2 2 11" xfId="44821" xr:uid="{81759195-07B5-43D0-8A14-5EC3E1ABE182}"/>
    <cellStyle name="Comma 2 2 8 2 2 2 12" xfId="48239" xr:uid="{1DEE45B2-F3D0-4A28-9A49-8D2224568AA1}"/>
    <cellStyle name="Comma 2 2 8 2 2 2 13" xfId="51057" xr:uid="{BF458035-7A33-4A83-ADE5-291DFB74E386}"/>
    <cellStyle name="Comma 2 2 8 2 2 2 14" xfId="52531" xr:uid="{8921F5C8-193B-42AD-A615-9232D34E990F}"/>
    <cellStyle name="Comma 2 2 8 2 2 2 15" xfId="17007" xr:uid="{0673871C-BC32-4F7B-BF76-F37EC775DFB7}"/>
    <cellStyle name="Comma 2 2 8 2 2 2 2" xfId="13585" xr:uid="{1A572A07-A559-4B6C-BC48-1A663D742B6C}"/>
    <cellStyle name="Comma 2 2 8 2 2 2 2 2" xfId="39568" xr:uid="{51A17528-007F-449C-8A33-5851995E3509}"/>
    <cellStyle name="Comma 2 2 8 2 2 2 2 3" xfId="41422" xr:uid="{70352257-CD78-473D-A715-F72F60DB934E}"/>
    <cellStyle name="Comma 2 2 8 2 2 2 2 4" xfId="43245" xr:uid="{F7C93A12-EFDB-47BC-A8BD-A23F2D50F2FE}"/>
    <cellStyle name="Comma 2 2 8 2 2 2 2 5" xfId="45342" xr:uid="{AEE916B5-1849-4D98-B15D-80BB45FE556A}"/>
    <cellStyle name="Comma 2 2 8 2 2 2 2 6" xfId="21002" xr:uid="{A82770AB-6FD9-4600-9E22-AB5D4AAFE70E}"/>
    <cellStyle name="Comma 2 2 8 2 2 2 3" xfId="20221" xr:uid="{1A1E0165-B241-4E55-8AC0-F6008907779F}"/>
    <cellStyle name="Comma 2 2 8 2 2 2 4" xfId="23732" xr:uid="{FAAAF078-45B0-4471-B49C-5030494FCCAA}"/>
    <cellStyle name="Comma 2 2 8 2 2 2 5" xfId="38229" xr:uid="{FABD3134-17E8-4C34-ADBF-CB7E70211C8C}"/>
    <cellStyle name="Comma 2 2 8 2 2 2 6" xfId="38977" xr:uid="{E1CBECB5-7CA9-4B1D-9CD7-3A60C23A0802}"/>
    <cellStyle name="Comma 2 2 8 2 2 2 7" xfId="40052" xr:uid="{93B2B1EA-0AD0-49E2-9CB4-A653A0FDDFBB}"/>
    <cellStyle name="Comma 2 2 8 2 2 2 8" xfId="40694" xr:uid="{4A8817F5-32EB-41E9-A75F-ACC9294315A3}"/>
    <cellStyle name="Comma 2 2 8 2 2 2 9" xfId="41906" xr:uid="{C00A14EE-BCA3-4872-ADBF-8F92DB184631}"/>
    <cellStyle name="Comma 2 2 8 2 2 3" xfId="7787" xr:uid="{188E208D-7596-40E4-8CD1-9DEE4B419943}"/>
    <cellStyle name="Comma 2 2 8 2 2 3 2" xfId="39411" xr:uid="{37E1E178-3359-4D04-889C-636D0A90CDDF}"/>
    <cellStyle name="Comma 2 2 8 2 2 3 3" xfId="41267" xr:uid="{3C57B986-690C-401D-979B-73FA4355A65D}"/>
    <cellStyle name="Comma 2 2 8 2 2 3 4" xfId="43088" xr:uid="{5B0E0F13-D986-4A7A-8BDF-E8B02BC456FB}"/>
    <cellStyle name="Comma 2 2 8 2 2 3 5" xfId="45187" xr:uid="{8010DF6C-7562-4116-BF3B-EC113DA7E34B}"/>
    <cellStyle name="Comma 2 2 8 2 2 3 6" xfId="20786" xr:uid="{4459BB6F-D22E-453E-AEDB-EAA6E1B0928F}"/>
    <cellStyle name="Comma 2 2 8 2 2 4" xfId="12300" xr:uid="{A4D2DF44-8250-42ED-8735-B255F3F7DAEE}"/>
    <cellStyle name="Comma 2 2 8 2 2 4 2" xfId="20064" xr:uid="{6E058B22-3DAE-41EA-9AD1-A7633F3D1C25}"/>
    <cellStyle name="Comma 2 2 8 2 2 5" xfId="23731" xr:uid="{F78D3241-3352-428A-B7F6-3051495D2544}"/>
    <cellStyle name="Comma 2 2 8 2 2 6" xfId="38228" xr:uid="{F7BFEF87-63B2-4A48-A39C-09CD35F3CC03}"/>
    <cellStyle name="Comma 2 2 8 2 2 7" xfId="38820" xr:uid="{CC0F9934-ADE2-4A8E-B619-FECF044CABEB}"/>
    <cellStyle name="Comma 2 2 8 2 2 8" xfId="40051" xr:uid="{67CEAE72-6054-4B27-A064-4997F7AEE7DF}"/>
    <cellStyle name="Comma 2 2 8 2 2 9" xfId="40693" xr:uid="{3DE06DE6-7D56-40A1-8294-99F46CA89D07}"/>
    <cellStyle name="Comma 2 2 8 2 3" xfId="11130" xr:uid="{6E98E099-E19E-49C5-842B-D0BAD6F67108}"/>
    <cellStyle name="Comma 2 2 8 2 3 10" xfId="42653" xr:uid="{3CABA97C-79BB-47FD-A5F4-F779DF15475A}"/>
    <cellStyle name="Comma 2 2 8 2 3 11" xfId="44820" xr:uid="{B82FC528-ED56-49E1-8F61-8D372BE97FA9}"/>
    <cellStyle name="Comma 2 2 8 2 3 12" xfId="46917" xr:uid="{9E4B2858-CE3A-4670-A093-850296DF56FC}"/>
    <cellStyle name="Comma 2 2 8 2 3 13" xfId="49936" xr:uid="{C1E398EB-E9D0-439D-A804-997A2701F766}"/>
    <cellStyle name="Comma 2 2 8 2 3 14" xfId="52532" xr:uid="{CCB239E2-5151-4FFA-879A-33E6384B12E7}"/>
    <cellStyle name="Comma 2 2 8 2 3 15" xfId="17006" xr:uid="{93C5CD9F-8C62-4668-9A4C-80A7A054872F}"/>
    <cellStyle name="Comma 2 2 8 2 3 16" xfId="15029" xr:uid="{CC88EB4F-0AEB-45A3-9BE5-E86286F1B367}"/>
    <cellStyle name="Comma 2 2 8 2 3 2" xfId="13727" xr:uid="{D4C69164-1930-49FF-83F1-F2B140751292}"/>
    <cellStyle name="Comma 2 2 8 2 3 2 2" xfId="39567" xr:uid="{D10D9DDA-770B-444A-9B18-C5353992FD47}"/>
    <cellStyle name="Comma 2 2 8 2 3 2 3" xfId="41421" xr:uid="{3F4CEBB1-FB01-4898-A0E0-A27F73CA18D6}"/>
    <cellStyle name="Comma 2 2 8 2 3 2 4" xfId="43244" xr:uid="{4A358909-7E07-4CA2-A31B-1F32BC8BA20E}"/>
    <cellStyle name="Comma 2 2 8 2 3 2 5" xfId="45341" xr:uid="{092C12B3-25E2-4545-B674-1F57617DA1A6}"/>
    <cellStyle name="Comma 2 2 8 2 3 2 6" xfId="48478" xr:uid="{67A92693-DE24-4DAA-AA91-642C3E96C0D2}"/>
    <cellStyle name="Comma 2 2 8 2 3 2 7" xfId="51264" xr:uid="{CAE69582-F099-417A-9385-8A2600CF87B7}"/>
    <cellStyle name="Comma 2 2 8 2 3 2 8" xfId="52533" xr:uid="{EC44B7BA-2C49-4E0C-9CE2-ADE263DFA2ED}"/>
    <cellStyle name="Comma 2 2 8 2 3 2 9" xfId="21001" xr:uid="{2C435EC1-53FB-4EBE-BB50-360F9A4BE045}"/>
    <cellStyle name="Comma 2 2 8 2 3 3" xfId="20220" xr:uid="{3E3E3039-42DF-48F3-8A83-CD2A806210DC}"/>
    <cellStyle name="Comma 2 2 8 2 3 4" xfId="23733" xr:uid="{4D7D1486-4D98-48D1-A9E0-C32C66246C5B}"/>
    <cellStyle name="Comma 2 2 8 2 3 5" xfId="38230" xr:uid="{B1ACDC2B-EA52-48C9-A810-4E10619EC8E4}"/>
    <cellStyle name="Comma 2 2 8 2 3 6" xfId="38976" xr:uid="{32DEB33A-AEBC-4482-B861-0D9A1188FD4E}"/>
    <cellStyle name="Comma 2 2 8 2 3 7" xfId="40053" xr:uid="{5A31CD8F-27CD-4B6C-AE26-792DA7853AA0}"/>
    <cellStyle name="Comma 2 2 8 2 3 8" xfId="40695" xr:uid="{96B0D77B-8DD6-44E5-B7EB-B7D334B6C3AB}"/>
    <cellStyle name="Comma 2 2 8 2 3 9" xfId="41907" xr:uid="{665663BB-A697-4C32-B99B-2DE37A1D21F5}"/>
    <cellStyle name="Comma 2 2 8 2 4" xfId="9785" xr:uid="{52906506-B5A1-4DD5-92E0-DE5F7074F3BD}"/>
    <cellStyle name="Comma 2 2 8 2 4 2" xfId="13091" xr:uid="{B49A16B0-3302-48E0-842A-EEF81F21D6C3}"/>
    <cellStyle name="Comma 2 2 8 2 4 2 2" xfId="49095" xr:uid="{C60ADB17-0D79-4A79-8BAA-56AFD64D61F5}"/>
    <cellStyle name="Comma 2 2 8 2 4 2 3" xfId="51775" xr:uid="{F594190D-84C6-468F-A7C5-9DC800D3BD41}"/>
    <cellStyle name="Comma 2 2 8 2 4 2 4" xfId="52534" xr:uid="{A26ED146-2F04-4431-9CE9-8C52B3D15A72}"/>
    <cellStyle name="Comma 2 2 8 2 4 2 5" xfId="39259" xr:uid="{6DC0705A-A3A3-4B8A-B155-92CE97161702}"/>
    <cellStyle name="Comma 2 2 8 2 4 3" xfId="41127" xr:uid="{FE2188E4-DEEE-4563-B7F7-77905822E6FB}"/>
    <cellStyle name="Comma 2 2 8 2 4 4" xfId="42936" xr:uid="{3FAC6AE0-F7B5-40B9-9D25-B4E9E9494AF3}"/>
    <cellStyle name="Comma 2 2 8 2 4 5" xfId="45043" xr:uid="{D5FE30D8-0A47-45EF-AE0F-3DD8025FE0E7}"/>
    <cellStyle name="Comma 2 2 8 2 4 6" xfId="47512" xr:uid="{6A60ED37-21C3-4D7F-BDC2-F27A53947CDD}"/>
    <cellStyle name="Comma 2 2 8 2 4 7" xfId="50447" xr:uid="{BC729012-670E-4E5B-8877-9A4A33EB4B34}"/>
    <cellStyle name="Comma 2 2 8 2 4 8" xfId="52535" xr:uid="{E96E6EC1-9492-473D-804D-36766CF5F0C2}"/>
    <cellStyle name="Comma 2 2 8 2 4 9" xfId="20504" xr:uid="{862D1D9B-EA75-491E-9CE0-121C7D7AAB08}"/>
    <cellStyle name="Comma 2 2 8 2 5" xfId="7283" xr:uid="{D3747862-3EF6-43B5-9EA4-277C4CEC842B}"/>
    <cellStyle name="Comma 2 2 8 2 5 2" xfId="47757" xr:uid="{28DE8274-C6E7-49CB-AD78-DB5B1B19117D}"/>
    <cellStyle name="Comma 2 2 8 2 5 3" xfId="50656" xr:uid="{BF41A1F1-D85C-4C00-B54D-FB39236C2B02}"/>
    <cellStyle name="Comma 2 2 8 2 5 4" xfId="52536" xr:uid="{A0136D3E-EDBF-4CAA-8703-1C87F743940C}"/>
    <cellStyle name="Comma 2 2 8 2 5 5" xfId="19911" xr:uid="{F10979C3-5C26-4EDC-8F0E-8F9E97143AA9}"/>
    <cellStyle name="Comma 2 2 8 2 6" xfId="11806" xr:uid="{6C340B6D-9ABA-4232-96B5-E1BB5CAB19CF}"/>
    <cellStyle name="Comma 2 2 8 2 6 2" xfId="23730" xr:uid="{D8AEDD8F-46DE-4718-800D-56827A99381C}"/>
    <cellStyle name="Comma 2 2 8 2 7" xfId="38227" xr:uid="{B08C3C2E-1F59-4EEF-906E-A78791C8052B}"/>
    <cellStyle name="Comma 2 2 8 2 8" xfId="38668" xr:uid="{B8BAE5E3-99B8-4768-921A-A049F8A4C8DC}"/>
    <cellStyle name="Comma 2 2 8 2 9" xfId="40050" xr:uid="{DADF893F-17C1-4266-BB33-68AA4AE57D91}"/>
    <cellStyle name="Comma 2 2 8 20" xfId="52537" xr:uid="{CADDF323-578E-446E-BB7B-84F71A0D6309}"/>
    <cellStyle name="Comma 2 2 8 21" xfId="15209" xr:uid="{F06A9C86-B2AC-479E-A83B-FBADC1192A14}"/>
    <cellStyle name="Comma 2 2 8 22" xfId="13908" xr:uid="{9BF9982F-7B27-46A9-BF93-8647B2E54079}"/>
    <cellStyle name="Comma 2 2 8 3" xfId="5509" xr:uid="{30990AC9-2859-403D-A4E2-63F35B98BD46}"/>
    <cellStyle name="Comma 2 2 8 3 10" xfId="41908" xr:uid="{0DEFBB8C-6692-436D-A94A-0DFFAB949344}"/>
    <cellStyle name="Comma 2 2 8 3 11" xfId="42458" xr:uid="{D22F1792-D49A-49EE-9D78-209C7ECA2648}"/>
    <cellStyle name="Comma 2 2 8 3 12" xfId="43798" xr:uid="{39731A9B-36D6-48B4-9E81-2E366DD6EDAF}"/>
    <cellStyle name="Comma 2 2 8 3 13" xfId="44658" xr:uid="{8E592B6C-1891-4A8C-A223-121780BE1F52}"/>
    <cellStyle name="Comma 2 2 8 3 14" xfId="46556" xr:uid="{4E07B6D6-5685-4BF5-B2D3-F13FE2235264}"/>
    <cellStyle name="Comma 2 2 8 3 15" xfId="49589" xr:uid="{F096D59F-8A3A-4DA7-AB3D-463C0192B5EF}"/>
    <cellStyle name="Comma 2 2 8 3 16" xfId="52538" xr:uid="{A5B8A197-41D6-472F-ADCF-F982C9014D21}"/>
    <cellStyle name="Comma 2 2 8 3 17" xfId="16652" xr:uid="{1E97A233-4EFD-496D-88F7-829F412A1521}"/>
    <cellStyle name="Comma 2 2 8 3 18" xfId="14046" xr:uid="{1038063D-21E2-425A-BD3D-640004E60569}"/>
    <cellStyle name="Comma 2 2 8 3 2" xfId="7611" xr:uid="{C7BEE105-307D-4F33-9F50-502C41EA9FDD}"/>
    <cellStyle name="Comma 2 2 8 3 2 10" xfId="42655" xr:uid="{4E1F1E5A-B3E1-4EAF-8189-BDBF8D38A2BF}"/>
    <cellStyle name="Comma 2 2 8 3 2 11" xfId="44822" xr:uid="{865DE8EC-4DBD-4AEF-8EB2-39DF5D034FBB}"/>
    <cellStyle name="Comma 2 2 8 3 2 12" xfId="47046" xr:uid="{9CE260DA-BA51-46A3-AB41-FD6FA46CA5A3}"/>
    <cellStyle name="Comma 2 2 8 3 2 13" xfId="50047" xr:uid="{146C62FC-271E-4D4F-89F4-2B6F7ABF0431}"/>
    <cellStyle name="Comma 2 2 8 3 2 14" xfId="52539" xr:uid="{A8017464-DEB3-4197-BB3C-15255ED98AFE}"/>
    <cellStyle name="Comma 2 2 8 3 2 15" xfId="17008" xr:uid="{ED8625A3-5FFD-460C-BD08-1686CA616FE1}"/>
    <cellStyle name="Comma 2 2 8 3 2 16" xfId="14538" xr:uid="{8CF1E233-CBCA-4277-A23A-201E6658C772}"/>
    <cellStyle name="Comma 2 2 8 3 2 2" xfId="10103" xr:uid="{6A0523CA-35EA-42CB-8836-C2D475536DD0}"/>
    <cellStyle name="Comma 2 2 8 3 2 2 2" xfId="13409" xr:uid="{40FBABF5-E0C0-49E7-A9B9-4BA9C17D6CD3}"/>
    <cellStyle name="Comma 2 2 8 3 2 2 2 2" xfId="39569" xr:uid="{3CB56C24-C021-4C01-B37D-BDF01797D409}"/>
    <cellStyle name="Comma 2 2 8 3 2 2 3" xfId="41423" xr:uid="{AB8B6270-0BD4-4E58-9916-D31CF9684757}"/>
    <cellStyle name="Comma 2 2 8 3 2 2 4" xfId="43246" xr:uid="{5385EB33-199E-411A-B924-EBC647DF2B47}"/>
    <cellStyle name="Comma 2 2 8 3 2 2 5" xfId="45343" xr:uid="{96E21477-B265-4A29-BAF2-4FED74301CE8}"/>
    <cellStyle name="Comma 2 2 8 3 2 2 6" xfId="48612" xr:uid="{358FC860-F2DE-4061-BF4C-0444A5DBBD99}"/>
    <cellStyle name="Comma 2 2 8 3 2 2 7" xfId="51375" xr:uid="{5F528FA9-F3CD-442C-B8B1-CF0ADC67894D}"/>
    <cellStyle name="Comma 2 2 8 3 2 2 8" xfId="52540" xr:uid="{781AD611-D54B-42E6-A336-F4D197BB3243}"/>
    <cellStyle name="Comma 2 2 8 3 2 2 9" xfId="21003" xr:uid="{CCF23CAC-447D-48B4-8593-6A6B23E5B4AC}"/>
    <cellStyle name="Comma 2 2 8 3 2 3" xfId="12124" xr:uid="{1D22BD71-3347-435B-B9BF-7DE2C69FD8C6}"/>
    <cellStyle name="Comma 2 2 8 3 2 3 2" xfId="20222" xr:uid="{7AC6FE77-9D09-412C-8C2E-046448FAD800}"/>
    <cellStyle name="Comma 2 2 8 3 2 4" xfId="23735" xr:uid="{6464899A-8BF1-44F1-84D0-AB1BCC86CC06}"/>
    <cellStyle name="Comma 2 2 8 3 2 5" xfId="38232" xr:uid="{E4D51CAD-D550-49AA-A151-52CAA83039C6}"/>
    <cellStyle name="Comma 2 2 8 3 2 6" xfId="38978" xr:uid="{85277B90-235F-4177-9E00-DEB806A02861}"/>
    <cellStyle name="Comma 2 2 8 3 2 7" xfId="40055" xr:uid="{665FEEF1-FDA3-41D7-856A-42C3AF6738A7}"/>
    <cellStyle name="Comma 2 2 8 3 2 8" xfId="40697" xr:uid="{EBF6FE05-1631-4747-8895-46F8B9142D25}"/>
    <cellStyle name="Comma 2 2 8 3 2 9" xfId="41909" xr:uid="{2BEA2A38-086B-4281-8417-300B94F66317}"/>
    <cellStyle name="Comma 2 2 8 3 3" xfId="9609" xr:uid="{F49BC15F-C861-4DAA-9F05-301B8094C1CE}"/>
    <cellStyle name="Comma 2 2 8 3 3 2" xfId="12915" xr:uid="{E7673F30-D00E-453B-958F-B0FDBC0EFCDA}"/>
    <cellStyle name="Comma 2 2 8 3 3 2 2" xfId="48923" xr:uid="{23ED0F44-CE21-4B66-9A72-6A535086D4DA}"/>
    <cellStyle name="Comma 2 2 8 3 3 2 3" xfId="51635" xr:uid="{DB280F31-8390-42FD-8D2D-B825667334F2}"/>
    <cellStyle name="Comma 2 2 8 3 3 2 4" xfId="52541" xr:uid="{EE78B120-4936-4F6B-9578-6E2618DD9219}"/>
    <cellStyle name="Comma 2 2 8 3 3 2 5" xfId="39372" xr:uid="{BA52443B-27C7-4EA6-A028-152F9E12B18F}"/>
    <cellStyle name="Comma 2 2 8 3 3 3" xfId="41230" xr:uid="{5EEFB033-62B0-4442-BF2A-9F63922188A6}"/>
    <cellStyle name="Comma 2 2 8 3 3 4" xfId="43049" xr:uid="{E2BF7FD8-0CEE-41E7-BC35-C10CCDA4FF0A}"/>
    <cellStyle name="Comma 2 2 8 3 3 5" xfId="45150" xr:uid="{AC4EF611-210B-483A-B9E8-C8545FD67F6C}"/>
    <cellStyle name="Comma 2 2 8 3 3 6" xfId="47347" xr:uid="{313A200F-A085-4DA2-A312-F8F1AE88BFC3}"/>
    <cellStyle name="Comma 2 2 8 3 3 7" xfId="50307" xr:uid="{1B3E6713-61EF-4741-B04D-7BBE46EFB5F2}"/>
    <cellStyle name="Comma 2 2 8 3 3 8" xfId="52542" xr:uid="{9BF1944A-A347-4E13-BE54-85989E93C830}"/>
    <cellStyle name="Comma 2 2 8 3 3 9" xfId="20746" xr:uid="{F21AE6B4-D44E-47B0-ABEB-2E1B9C328A5B}"/>
    <cellStyle name="Comma 2 2 8 3 4" xfId="7105" xr:uid="{1464DAC2-4077-44FF-A7B0-8E2E1E68C7A3}"/>
    <cellStyle name="Comma 2 2 8 3 4 2" xfId="48068" xr:uid="{F94D0FCF-4017-4061-89CA-9E6A6F12F4B2}"/>
    <cellStyle name="Comma 2 2 8 3 4 3" xfId="50917" xr:uid="{1D0A05C8-65D5-4198-9C37-6FF92F2AAE96}"/>
    <cellStyle name="Comma 2 2 8 3 4 4" xfId="52543" xr:uid="{91378514-3D7D-4BA7-8483-CA195C0474C4}"/>
    <cellStyle name="Comma 2 2 8 3 4 5" xfId="20025" xr:uid="{6665FFAA-B0F5-40AE-B1A1-AB0D309A4868}"/>
    <cellStyle name="Comma 2 2 8 3 5" xfId="11630" xr:uid="{F1218A9E-7648-47A0-9BC8-9A7127EFA9C4}"/>
    <cellStyle name="Comma 2 2 8 3 5 2" xfId="23734" xr:uid="{C14D9400-BA87-4486-8F63-8B7A999D2BC1}"/>
    <cellStyle name="Comma 2 2 8 3 6" xfId="38231" xr:uid="{DB0D6352-D412-4F87-A309-CD8CAF415EF3}"/>
    <cellStyle name="Comma 2 2 8 3 7" xfId="38781" xr:uid="{5AA96214-1E20-4F3B-BEA7-9E4D63CFD8A7}"/>
    <cellStyle name="Comma 2 2 8 3 8" xfId="40054" xr:uid="{38206DD0-0514-4A71-AA21-66AE66984C27}"/>
    <cellStyle name="Comma 2 2 8 3 9" xfId="40696" xr:uid="{2FC79987-5F8E-4503-9158-1D67D31DCA59}"/>
    <cellStyle name="Comma 2 2 8 4" xfId="6499" xr:uid="{AE5D2F62-A066-4FA7-A34E-3441A40C08D6}"/>
    <cellStyle name="Comma 2 2 8 4 10" xfId="41910" xr:uid="{3D79645E-703D-49A9-BC4F-C3CCA9A3007D}"/>
    <cellStyle name="Comma 2 2 8 4 11" xfId="42397" xr:uid="{CC72223B-BBD8-4E23-908E-A35B82F3E35A}"/>
    <cellStyle name="Comma 2 2 8 4 12" xfId="44626" xr:uid="{2BB09A7E-5244-43E4-BCC5-F3932DA2A960}"/>
    <cellStyle name="Comma 2 2 8 4 13" xfId="46138" xr:uid="{DAC7C875-FB2E-4FD0-A152-867F2DC71A4D}"/>
    <cellStyle name="Comma 2 2 8 4 14" xfId="49474" xr:uid="{39BDF395-FB30-4B63-857A-6D61C1BC4EBA}"/>
    <cellStyle name="Comma 2 2 8 4 15" xfId="52544" xr:uid="{D815FE3C-74E0-443A-9F6D-4407E765BF67}"/>
    <cellStyle name="Comma 2 2 8 4 16" xfId="16372" xr:uid="{B9EA768F-5EFE-4AFD-A89A-3F3F524176DD}"/>
    <cellStyle name="Comma 2 2 8 4 17" xfId="14400" xr:uid="{A9B374C6-145E-4726-8D47-9C71018571C6}"/>
    <cellStyle name="Comma 2 2 8 4 2" xfId="9471" xr:uid="{8A872B71-0E15-412D-99D0-CC5F49FB4826}"/>
    <cellStyle name="Comma 2 2 8 4 2 10" xfId="42656" xr:uid="{4A5176C4-5B75-4A6B-A1E5-8BAD8DD06F0F}"/>
    <cellStyle name="Comma 2 2 8 4 2 11" xfId="44823" xr:uid="{87A5932C-04BD-4B3E-A86D-461E796A8284}"/>
    <cellStyle name="Comma 2 2 8 4 2 12" xfId="47933" xr:uid="{38FDC7FD-5918-481A-B5B0-1430A40F6BC7}"/>
    <cellStyle name="Comma 2 2 8 4 2 13" xfId="50802" xr:uid="{7D913096-F119-4AE3-96CC-8E2F374B8B10}"/>
    <cellStyle name="Comma 2 2 8 4 2 14" xfId="52545" xr:uid="{84B9ABDE-10BE-4D41-BF69-A6DA3B7DEFA5}"/>
    <cellStyle name="Comma 2 2 8 4 2 15" xfId="17009" xr:uid="{2C6D28E6-3853-401E-9D8D-71C261CBAB6D}"/>
    <cellStyle name="Comma 2 2 8 4 2 2" xfId="12777" xr:uid="{DD29C916-4EFA-47CC-8E10-4FD3DB3239AE}"/>
    <cellStyle name="Comma 2 2 8 4 2 2 2" xfId="39570" xr:uid="{8A978F5C-250C-4D2E-9374-72D011F5CF9F}"/>
    <cellStyle name="Comma 2 2 8 4 2 2 3" xfId="41424" xr:uid="{0D48109E-C7A7-41A1-8F60-AF5773E3AE3E}"/>
    <cellStyle name="Comma 2 2 8 4 2 2 4" xfId="43247" xr:uid="{11254935-0AEC-4A7D-BEB4-A51D6A662B5F}"/>
    <cellStyle name="Comma 2 2 8 4 2 2 5" xfId="45344" xr:uid="{997BFF22-443D-4A58-A1BF-A9A169AFEE91}"/>
    <cellStyle name="Comma 2 2 8 4 2 2 6" xfId="21004" xr:uid="{755AE82C-B435-44C1-85CD-D01370604E57}"/>
    <cellStyle name="Comma 2 2 8 4 2 3" xfId="20223" xr:uid="{B41A1E8E-B108-44F6-9953-374ABC8A048D}"/>
    <cellStyle name="Comma 2 2 8 4 2 4" xfId="23737" xr:uid="{39A018D2-8BBF-4C29-BF3E-43885FE01C7E}"/>
    <cellStyle name="Comma 2 2 8 4 2 5" xfId="38234" xr:uid="{07C703B3-7759-4DD7-AC99-8409085B7474}"/>
    <cellStyle name="Comma 2 2 8 4 2 6" xfId="38979" xr:uid="{C2032E16-99A1-4702-B5E8-256FEE6BFD80}"/>
    <cellStyle name="Comma 2 2 8 4 2 7" xfId="40057" xr:uid="{8040534C-55D5-40D8-9C61-C82CB9044A3A}"/>
    <cellStyle name="Comma 2 2 8 4 2 8" xfId="40699" xr:uid="{D1A9DF9E-0869-424A-B019-990699A8A070}"/>
    <cellStyle name="Comma 2 2 8 4 2 9" xfId="41911" xr:uid="{8AE6E951-A3D4-4EB4-844A-28C5F1B4141B}"/>
    <cellStyle name="Comma 2 2 8 4 3" xfId="11492" xr:uid="{ED588FEA-7606-43B1-9522-76735ECE4A3D}"/>
    <cellStyle name="Comma 2 2 8 4 3 2" xfId="39311" xr:uid="{F49DD08C-08B9-4C57-9F66-7325FAAF2D1F}"/>
    <cellStyle name="Comma 2 2 8 4 3 3" xfId="41173" xr:uid="{FD620C96-9349-424C-8A8B-1D2FF0D3FE59}"/>
    <cellStyle name="Comma 2 2 8 4 3 4" xfId="42988" xr:uid="{F52DD5D0-1436-411A-8057-8B142C52BFC8}"/>
    <cellStyle name="Comma 2 2 8 4 3 5" xfId="45093" xr:uid="{ACAA3075-4FE2-4732-95E0-1770C30A1D13}"/>
    <cellStyle name="Comma 2 2 8 4 3 6" xfId="20617" xr:uid="{C747C6DF-A612-4256-9A91-767B27780913}"/>
    <cellStyle name="Comma 2 2 8 4 4" xfId="19964" xr:uid="{4A0A19D7-A281-40D5-A558-B10FBA028238}"/>
    <cellStyle name="Comma 2 2 8 4 5" xfId="23736" xr:uid="{886D3A2F-8D8B-4ABF-8015-72C6B9698EE1}"/>
    <cellStyle name="Comma 2 2 8 4 6" xfId="38233" xr:uid="{ED8FE38F-29BE-4A2D-BB57-74025C0FBBB9}"/>
    <cellStyle name="Comma 2 2 8 4 7" xfId="38720" xr:uid="{BD3B80A2-35B9-410C-ABFB-6AB87D782FE6}"/>
    <cellStyle name="Comma 2 2 8 4 8" xfId="40056" xr:uid="{18DA1C9F-B32C-48B6-8C5A-8505B9CDF4DA}"/>
    <cellStyle name="Comma 2 2 8 4 9" xfId="40698" xr:uid="{A97AB22E-B080-4C16-B78A-320870C70905}"/>
    <cellStyle name="Comma 2 2 8 5" xfId="7473" xr:uid="{B42A4ED3-D8D9-4A0D-8CB3-5A709625EB99}"/>
    <cellStyle name="Comma 2 2 8 5 10" xfId="42652" xr:uid="{7D134E0A-B7EF-4ED1-863B-0A265D122070}"/>
    <cellStyle name="Comma 2 2 8 5 11" xfId="44819" xr:uid="{7A06E1BD-42A6-40C7-A18A-01AC3845F2BC}"/>
    <cellStyle name="Comma 2 2 8 5 12" xfId="46817" xr:uid="{BDBA9B45-D2B2-453A-9255-6C99A6FCE411}"/>
    <cellStyle name="Comma 2 2 8 5 13" xfId="49841" xr:uid="{72FCE822-0853-413D-A82E-4B759541F9EC}"/>
    <cellStyle name="Comma 2 2 8 5 14" xfId="52546" xr:uid="{1E9C3C63-EFF9-4F30-9036-F380A6AA79E7}"/>
    <cellStyle name="Comma 2 2 8 5 15" xfId="17005" xr:uid="{5107E84D-F032-4E3A-8B2D-C65DC445F2E3}"/>
    <cellStyle name="Comma 2 2 8 5 16" xfId="14853" xr:uid="{8795ADAB-140D-424A-B364-38FAB05E456F}"/>
    <cellStyle name="Comma 2 2 8 5 2" xfId="9965" xr:uid="{F58BB868-5870-4FC2-A49B-158157195A35}"/>
    <cellStyle name="Comma 2 2 8 5 2 2" xfId="13271" xr:uid="{1C887A46-9310-4E45-BAA4-89E65005DC6D}"/>
    <cellStyle name="Comma 2 2 8 5 2 2 2" xfId="39566" xr:uid="{6D6343E3-DD1E-4716-A7C3-0B26264F011F}"/>
    <cellStyle name="Comma 2 2 8 5 2 3" xfId="41420" xr:uid="{2633609D-733B-4F93-B0F9-FE4B06710E0F}"/>
    <cellStyle name="Comma 2 2 8 5 2 4" xfId="43243" xr:uid="{8589AAEC-1E18-4C38-9E98-DC9CEA875437}"/>
    <cellStyle name="Comma 2 2 8 5 2 5" xfId="45340" xr:uid="{A144D862-777D-4BE0-9C3C-4C6E275410E5}"/>
    <cellStyle name="Comma 2 2 8 5 2 6" xfId="48368" xr:uid="{501DD2D4-88CB-4677-9B55-9E2CAEE21834}"/>
    <cellStyle name="Comma 2 2 8 5 2 7" xfId="51169" xr:uid="{559693C7-75E0-4DEE-BF56-BA347F4CEA03}"/>
    <cellStyle name="Comma 2 2 8 5 2 8" xfId="52547" xr:uid="{AE90C588-9E5B-44B0-853B-95C553C6AF04}"/>
    <cellStyle name="Comma 2 2 8 5 2 9" xfId="21000" xr:uid="{E62DFC74-B889-454E-9E97-1DD9A4555D54}"/>
    <cellStyle name="Comma 2 2 8 5 3" xfId="11986" xr:uid="{08603C30-DAE1-4A11-B4A2-288660E1DC9A}"/>
    <cellStyle name="Comma 2 2 8 5 3 2" xfId="20219" xr:uid="{D84AFB81-F08E-4B27-90A7-918130E2A52E}"/>
    <cellStyle name="Comma 2 2 8 5 4" xfId="23738" xr:uid="{8AEB19FE-CBD3-48A3-8EF3-B144C5932420}"/>
    <cellStyle name="Comma 2 2 8 5 5" xfId="38235" xr:uid="{BC331076-87CD-4383-BBD7-DB342F832B8C}"/>
    <cellStyle name="Comma 2 2 8 5 6" xfId="38975" xr:uid="{DE9FCE3D-39F9-4545-8DE9-08E60E18823D}"/>
    <cellStyle name="Comma 2 2 8 5 7" xfId="40058" xr:uid="{D28509BC-79F2-4E47-805C-D8CE88B4CD1B}"/>
    <cellStyle name="Comma 2 2 8 5 8" xfId="40700" xr:uid="{FE938130-3A50-445A-A76F-C5DF41E300F8}"/>
    <cellStyle name="Comma 2 2 8 5 9" xfId="41912" xr:uid="{11E23801-C5A3-488E-83E8-90AD001BDACD}"/>
    <cellStyle name="Comma 2 2 8 6" xfId="8139" xr:uid="{20539CD3-088B-41C8-820B-3026B21B153A}"/>
    <cellStyle name="Comma 2 2 8 6 10" xfId="42823" xr:uid="{622F6005-0AE5-4436-B0A6-759B72158B52}"/>
    <cellStyle name="Comma 2 2 8 6 11" xfId="44950" xr:uid="{46E6963B-74AB-40F1-9089-31F562499B6C}"/>
    <cellStyle name="Comma 2 2 8 6 12" xfId="47214" xr:uid="{71FDC8B8-D7A2-46E1-9265-2B452F0C265B}"/>
    <cellStyle name="Comma 2 2 8 6 13" xfId="50192" xr:uid="{EA5490DA-6663-41C7-BE85-6380F358AF26}"/>
    <cellStyle name="Comma 2 2 8 6 14" xfId="52548" xr:uid="{0F281D0C-C2D2-4942-BDA6-3012412E9F49}"/>
    <cellStyle name="Comma 2 2 8 6 15" xfId="19729" xr:uid="{969BB4AD-A1A3-4756-A190-7F715C904221}"/>
    <cellStyle name="Comma 2 2 8 6 2" xfId="12595" xr:uid="{F2A403E8-2977-4A79-8CE3-CADA0B390AEE}"/>
    <cellStyle name="Comma 2 2 8 6 2 2" xfId="39737" xr:uid="{B49D0046-95B4-43FA-9649-EB9FB5B1604C}"/>
    <cellStyle name="Comma 2 2 8 6 2 3" xfId="41590" xr:uid="{4FE815FB-7DD6-4EB6-A8C3-75DEB2CB128A}"/>
    <cellStyle name="Comma 2 2 8 6 2 4" xfId="43414" xr:uid="{A8B75033-1F6C-457F-A026-08C079E0574F}"/>
    <cellStyle name="Comma 2 2 8 6 2 5" xfId="45493" xr:uid="{F448A213-1113-41DB-9DC7-0AAAC87B26FC}"/>
    <cellStyle name="Comma 2 2 8 6 2 6" xfId="48785" xr:uid="{808483F1-B17E-4DB8-A8FF-B488C7C47B61}"/>
    <cellStyle name="Comma 2 2 8 6 2 7" xfId="51520" xr:uid="{30E1A3FC-4E62-4ED7-A551-E72522C8F03F}"/>
    <cellStyle name="Comma 2 2 8 6 2 8" xfId="52549" xr:uid="{AE5D7EF1-3349-4747-AC4C-6D8B419C613E}"/>
    <cellStyle name="Comma 2 2 8 6 2 9" xfId="23346" xr:uid="{AC28A3FC-0D2E-421F-B7B7-90BB6AED1573}"/>
    <cellStyle name="Comma 2 2 8 6 3" xfId="20390" xr:uid="{B26B4509-3094-41B1-995F-2DF51B648C7D}"/>
    <cellStyle name="Comma 2 2 8 6 4" xfId="23739" xr:uid="{A12B7E61-A5A1-49F4-8B28-47502FB9BFBB}"/>
    <cellStyle name="Comma 2 2 8 6 5" xfId="38236" xr:uid="{7D48FB49-B08E-4E20-AC8C-D968E1B7F2FE}"/>
    <cellStyle name="Comma 2 2 8 6 6" xfId="39146" xr:uid="{9F5B1D3C-5756-4DB8-BD5B-4354B39F1505}"/>
    <cellStyle name="Comma 2 2 8 6 7" xfId="40059" xr:uid="{16037411-2838-40D1-85D5-BC018CF5A171}"/>
    <cellStyle name="Comma 2 2 8 6 8" xfId="40701" xr:uid="{1A282D99-A8AC-4C85-8A02-91A9E906D884}"/>
    <cellStyle name="Comma 2 2 8 6 9" xfId="41913" xr:uid="{0CD9C069-294E-499A-A66D-D092760C6378}"/>
    <cellStyle name="Comma 2 2 8 7" xfId="7926" xr:uid="{17F287B8-B929-4763-8615-162C3C26599C}"/>
    <cellStyle name="Comma 2 2 8 7 2" xfId="12439" xr:uid="{0D086DA0-8BE9-4127-80F3-E0FD16F939C3}"/>
    <cellStyle name="Comma 2 2 8 7 2 2" xfId="39221" xr:uid="{82F3D93E-3B05-483F-A437-1B98D133201A}"/>
    <cellStyle name="Comma 2 2 8 7 3" xfId="41093" xr:uid="{2407D8D8-8E70-4E11-B1D1-5F6293622C10}"/>
    <cellStyle name="Comma 2 2 8 7 4" xfId="42898" xr:uid="{EE1EED9D-312B-4273-A965-7BCB708BDE6E}"/>
    <cellStyle name="Comma 2 2 8 7 5" xfId="45005" xr:uid="{F603E2AE-49DB-4D11-9F85-2616F63CF772}"/>
    <cellStyle name="Comma 2 2 8 7 6" xfId="47675" xr:uid="{9414D351-1E5C-4F01-936D-597B6400E688}"/>
    <cellStyle name="Comma 2 2 8 7 7" xfId="50583" xr:uid="{64D82931-42CD-4ECD-93DE-A89FC58F9451}"/>
    <cellStyle name="Comma 2 2 8 7 8" xfId="52550" xr:uid="{4FAE0295-C4BA-462D-9DB9-222C79101AC1}"/>
    <cellStyle name="Comma 2 2 8 7 9" xfId="20466" xr:uid="{2F7C62D2-4ED8-4FB2-8BCB-C724749F7A2A}"/>
    <cellStyle name="Comma 2 2 8 8" xfId="5823" xr:uid="{4C74A07F-71A0-4F29-953B-7F2A93FD23A7}"/>
    <cellStyle name="Comma 2 2 8 8 2" xfId="19872" xr:uid="{222EA491-5329-4E4B-8D92-04AFEC9FA7DB}"/>
    <cellStyle name="Comma 2 2 8 9" xfId="11311" xr:uid="{BBC4C2D3-DB04-4ECA-AC3C-35F85388EC7E}"/>
    <cellStyle name="Comma 2 2 8 9 2" xfId="23729" xr:uid="{4BDA404F-A79B-4050-838C-0232899B946D}"/>
    <cellStyle name="Comma 2 2 9" xfId="1753" xr:uid="{7380DC19-1B72-4E7D-ACE4-A334CB0CA998}"/>
    <cellStyle name="Comma 2 2 9 10" xfId="40060" xr:uid="{31BD0D01-E2B5-49FD-AEA2-E93D11875E85}"/>
    <cellStyle name="Comma 2 2 9 11" xfId="40702" xr:uid="{3E48C05B-567F-46A0-9FD8-6E0CB3A0FFBC}"/>
    <cellStyle name="Comma 2 2 9 12" xfId="41914" xr:uid="{0E6C6DB9-02D5-4778-8EBE-5361D9DEE2D3}"/>
    <cellStyle name="Comma 2 2 9 13" xfId="42332" xr:uid="{8B78F6F6-6467-4034-884A-CDCD90C99D07}"/>
    <cellStyle name="Comma 2 2 9 14" xfId="43526" xr:uid="{BB3A41C7-B0C7-4091-97F2-93921698E093}"/>
    <cellStyle name="Comma 2 2 9 15" xfId="44389" xr:uid="{D87A174C-7287-4B07-A926-1435B067257E}"/>
    <cellStyle name="Comma 2 2 9 16" xfId="45627" xr:uid="{0F3BD5B6-B94C-4DF9-B5FF-F35A7D9F7548}"/>
    <cellStyle name="Comma 2 2 9 17" xfId="49256" xr:uid="{32C78EE0-9FED-4FAF-950E-00E5802D0573}"/>
    <cellStyle name="Comma 2 2 9 18" xfId="52551" xr:uid="{5F41D6B5-BA9B-425D-A7FA-BB279CD8949A}"/>
    <cellStyle name="Comma 2 2 9 19" xfId="15298" xr:uid="{9B80AC1B-A1F3-4C87-AC47-A928504A6B97}"/>
    <cellStyle name="Comma 2 2 9 2" xfId="4429" xr:uid="{7845A8F8-2071-4F11-96D5-684D38541D77}"/>
    <cellStyle name="Comma 2 2 9 2 10" xfId="41915" xr:uid="{3AA61C0B-F689-4D0B-B11E-C8A7BE865414}"/>
    <cellStyle name="Comma 2 2 9 2 11" xfId="42484" xr:uid="{77B36265-2FD8-4A3A-A5B8-59EF45FB6471}"/>
    <cellStyle name="Comma 2 2 9 2 12" xfId="44230" xr:uid="{329479AB-EF37-49A9-966D-DD90ED27921F}"/>
    <cellStyle name="Comma 2 2 9 2 13" xfId="44530" xr:uid="{2CED6762-3191-4522-95C2-6A138DD87FAA}"/>
    <cellStyle name="Comma 2 2 9 2 14" xfId="45701" xr:uid="{ADB8434B-261B-4EF2-9284-1BCBCF149675}"/>
    <cellStyle name="Comma 2 2 9 2 15" xfId="49329" xr:uid="{5359774B-A5B1-44BE-951C-4AEDF8333824}"/>
    <cellStyle name="Comma 2 2 9 2 16" xfId="52552" xr:uid="{52EE7DC2-A041-4852-AC9D-DB4BA661FBCC}"/>
    <cellStyle name="Comma 2 2 9 2 17" xfId="16747" xr:uid="{C94C4ED4-9364-438A-B693-AB83ABA72AC0}"/>
    <cellStyle name="Comma 2 2 9 2 18" xfId="14223" xr:uid="{6216B805-9950-418D-8CDA-35E1EB3F2AB0}"/>
    <cellStyle name="Comma 2 2 9 2 2" xfId="5686" xr:uid="{C4694898-3968-43F0-813B-68D7CD47259A}"/>
    <cellStyle name="Comma 2 2 9 2 2 10" xfId="42658" xr:uid="{351DDCBD-6C9A-47A9-8B14-145921516977}"/>
    <cellStyle name="Comma 2 2 9 2 2 11" xfId="44825" xr:uid="{43CBB2B8-465F-44F1-9C38-E37E956CCD56}"/>
    <cellStyle name="Comma 2 2 9 2 2 12" xfId="46698" xr:uid="{FF949747-BF2D-42B1-A7FC-B3CA2A5C6532}"/>
    <cellStyle name="Comma 2 2 9 2 2 13" xfId="49730" xr:uid="{DEF3A881-8A20-4768-8658-F528C7A9CF32}"/>
    <cellStyle name="Comma 2 2 9 2 2 14" xfId="52553" xr:uid="{5C596999-FC84-4F09-99F0-3901C14C9057}"/>
    <cellStyle name="Comma 2 2 9 2 2 15" xfId="17011" xr:uid="{41D32B4A-EF7D-411E-8993-7D1869ACA9D3}"/>
    <cellStyle name="Comma 2 2 9 2 2 16" xfId="14715" xr:uid="{90154A8D-0193-40C2-B613-0CE0568D1045}"/>
    <cellStyle name="Comma 2 2 9 2 2 2" xfId="10280" xr:uid="{C700A484-F4F3-4119-928D-CA833804277F}"/>
    <cellStyle name="Comma 2 2 9 2 2 2 2" xfId="13586" xr:uid="{666DD64E-4FE5-46A9-A424-B0D17FFD9A49}"/>
    <cellStyle name="Comma 2 2 9 2 2 2 2 2" xfId="39572" xr:uid="{009774C5-2952-452A-9794-D94CD1CDEA79}"/>
    <cellStyle name="Comma 2 2 9 2 2 2 3" xfId="41426" xr:uid="{00BD8EFD-C834-4300-BE3E-C63DF1195F08}"/>
    <cellStyle name="Comma 2 2 9 2 2 2 4" xfId="43249" xr:uid="{FEA5FA15-6F51-45A6-9CA9-A2DB4F380C2F}"/>
    <cellStyle name="Comma 2 2 9 2 2 2 5" xfId="45346" xr:uid="{0951031C-F6B5-4FAD-931C-185DCC213E59}"/>
    <cellStyle name="Comma 2 2 9 2 2 2 6" xfId="48240" xr:uid="{6E1211DD-923E-45A8-A899-EE2E8CA18F75}"/>
    <cellStyle name="Comma 2 2 9 2 2 2 7" xfId="51058" xr:uid="{CBADF4E8-F86A-4957-8C5A-14813B40AC40}"/>
    <cellStyle name="Comma 2 2 9 2 2 2 8" xfId="52554" xr:uid="{03D453B0-0AAD-4621-8E27-0C09A9FC6849}"/>
    <cellStyle name="Comma 2 2 9 2 2 2 9" xfId="21006" xr:uid="{684DAC5C-4666-4518-BCA1-A4BAD8C3FD71}"/>
    <cellStyle name="Comma 2 2 9 2 2 3" xfId="7788" xr:uid="{2D14FA31-E36C-42A0-A99B-2D328EED8306}"/>
    <cellStyle name="Comma 2 2 9 2 2 3 2" xfId="20225" xr:uid="{71C72991-44FB-4C47-896F-5C046793D147}"/>
    <cellStyle name="Comma 2 2 9 2 2 4" xfId="12301" xr:uid="{03FE7C11-F386-4967-AB4F-D28FDA58784A}"/>
    <cellStyle name="Comma 2 2 9 2 2 4 2" xfId="23742" xr:uid="{92BEBF8A-AB61-4FEF-9D1B-807136E82D26}"/>
    <cellStyle name="Comma 2 2 9 2 2 5" xfId="38239" xr:uid="{47B281CA-3421-4FC0-AE90-5D80E102417E}"/>
    <cellStyle name="Comma 2 2 9 2 2 6" xfId="38981" xr:uid="{EC4E4850-D630-45AA-863E-345B51C8CC17}"/>
    <cellStyle name="Comma 2 2 9 2 2 7" xfId="40062" xr:uid="{1CAB282F-AFE1-4DA3-A73D-09BDEDAAF4FD}"/>
    <cellStyle name="Comma 2 2 9 2 2 8" xfId="40704" xr:uid="{9E5E9ADB-F695-4263-A8DD-CA37A693FC63}"/>
    <cellStyle name="Comma 2 2 9 2 2 9" xfId="41916" xr:uid="{CC735F45-3545-4AED-9C81-50F2269CE6A6}"/>
    <cellStyle name="Comma 2 2 9 2 3" xfId="11131" xr:uid="{EB9EA216-4FE1-4499-B5AC-E399C15615AF}"/>
    <cellStyle name="Comma 2 2 9 2 3 10" xfId="15030" xr:uid="{9DAD94C2-AA69-45B2-A858-00DE6AE2F37A}"/>
    <cellStyle name="Comma 2 2 9 2 3 2" xfId="13728" xr:uid="{980DA950-7579-445A-996E-AE852FE7723E}"/>
    <cellStyle name="Comma 2 2 9 2 3 2 2" xfId="48479" xr:uid="{DDB989A6-67D5-47B7-B636-35FD9D940469}"/>
    <cellStyle name="Comma 2 2 9 2 3 2 3" xfId="51265" xr:uid="{1C849184-62A3-4108-A87D-11A51C4EC2E5}"/>
    <cellStyle name="Comma 2 2 9 2 3 2 4" xfId="52555" xr:uid="{32DC1F49-3F57-45D4-A305-44173CAE3131}"/>
    <cellStyle name="Comma 2 2 9 2 3 2 5" xfId="39398" xr:uid="{63DFC1A8-C058-4B78-A32F-F10E75A70C9E}"/>
    <cellStyle name="Comma 2 2 9 2 3 3" xfId="41254" xr:uid="{9AA0ABF1-6259-4EF4-9FB0-F7CE014961A0}"/>
    <cellStyle name="Comma 2 2 9 2 3 4" xfId="43075" xr:uid="{2343BA49-E45B-4F18-8D3A-187F0F2F69A8}"/>
    <cellStyle name="Comma 2 2 9 2 3 5" xfId="45174" xr:uid="{386A3DB8-CF73-4D99-BFFB-7ECD9ACD92B6}"/>
    <cellStyle name="Comma 2 2 9 2 3 6" xfId="46918" xr:uid="{E77200B4-C087-4AD3-BFCB-9E23756DEC23}"/>
    <cellStyle name="Comma 2 2 9 2 3 7" xfId="49937" xr:uid="{6DEA669B-331F-414A-BD8B-3D778A552BCE}"/>
    <cellStyle name="Comma 2 2 9 2 3 8" xfId="52556" xr:uid="{72A0521A-A3FB-4BA4-AC5D-411D3FDB01B7}"/>
    <cellStyle name="Comma 2 2 9 2 3 9" xfId="20773" xr:uid="{D28A3B48-71EE-463B-8CEF-BDDE4695D7A1}"/>
    <cellStyle name="Comma 2 2 9 2 4" xfId="9786" xr:uid="{069B401D-BA81-41EF-ACED-A2A195FA0EE1}"/>
    <cellStyle name="Comma 2 2 9 2 4 2" xfId="13092" xr:uid="{699DE2F0-88B5-4C91-82CA-93A3DE24BD19}"/>
    <cellStyle name="Comma 2 2 9 2 4 2 2" xfId="51776" xr:uid="{7F1055AA-A5A2-496F-B062-12D3D92FCC4A}"/>
    <cellStyle name="Comma 2 2 9 2 4 2 3" xfId="52557" xr:uid="{360EC075-5E0B-4993-91E2-97E28B65EAA9}"/>
    <cellStyle name="Comma 2 2 9 2 4 2 4" xfId="49096" xr:uid="{D00BD8BC-A548-417C-9793-E5D7F1E8E9E1}"/>
    <cellStyle name="Comma 2 2 9 2 4 3" xfId="47513" xr:uid="{382D4695-56D1-4D62-A40B-FE746FCB83A2}"/>
    <cellStyle name="Comma 2 2 9 2 4 4" xfId="50448" xr:uid="{FE290529-17FA-42C9-B155-BE395E39CFFA}"/>
    <cellStyle name="Comma 2 2 9 2 4 5" xfId="52558" xr:uid="{DBD3F9DA-54AD-43F1-8F74-75ED811327DB}"/>
    <cellStyle name="Comma 2 2 9 2 4 6" xfId="20051" xr:uid="{10BE8784-D6FF-4400-9F44-C110BDA18E0C}"/>
    <cellStyle name="Comma 2 2 9 2 5" xfId="7284" xr:uid="{E151B1C7-276A-455B-840C-397FA252B0D6}"/>
    <cellStyle name="Comma 2 2 9 2 5 2" xfId="47758" xr:uid="{981B0E89-CBFB-4B1A-A29F-D4C391BFABD8}"/>
    <cellStyle name="Comma 2 2 9 2 5 3" xfId="50657" xr:uid="{2D3610C5-09AC-4638-8FC4-50D559FCC441}"/>
    <cellStyle name="Comma 2 2 9 2 5 4" xfId="52559" xr:uid="{8BADC4B7-D7C8-4CF7-885A-41932C893B60}"/>
    <cellStyle name="Comma 2 2 9 2 5 5" xfId="23741" xr:uid="{4AA67EE5-6F50-465F-A606-B4C09544CCE1}"/>
    <cellStyle name="Comma 2 2 9 2 6" xfId="11807" xr:uid="{7E019503-8423-43D2-84C1-A4EA9934F273}"/>
    <cellStyle name="Comma 2 2 9 2 6 2" xfId="38238" xr:uid="{45D61208-2F32-485A-9A46-28E10ED3ACD8}"/>
    <cellStyle name="Comma 2 2 9 2 7" xfId="38807" xr:uid="{3E17AAF8-D42F-47BC-AAFA-6AA4C46C8499}"/>
    <cellStyle name="Comma 2 2 9 2 8" xfId="40061" xr:uid="{F18B9DA3-E025-4FE9-B9C3-9FC517938415}"/>
    <cellStyle name="Comma 2 2 9 2 9" xfId="40703" xr:uid="{0D2B94D5-6997-451C-A3CC-B2F7D9D3E4C3}"/>
    <cellStyle name="Comma 2 2 9 20" xfId="13909" xr:uid="{F73D12EA-5B03-41A2-9F34-EB4A3F69EC33}"/>
    <cellStyle name="Comma 2 2 9 3" xfId="5510" xr:uid="{3C972167-D252-4507-8543-310FEA8E1F27}"/>
    <cellStyle name="Comma 2 2 9 3 10" xfId="42657" xr:uid="{3D9F285E-64CD-4493-8F52-51353A6E74BF}"/>
    <cellStyle name="Comma 2 2 9 3 11" xfId="43799" xr:uid="{138E9687-ACF3-4EC9-8326-DC6300A139CC}"/>
    <cellStyle name="Comma 2 2 9 3 12" xfId="44824" xr:uid="{162A976F-1687-404C-9C0B-4836854165A7}"/>
    <cellStyle name="Comma 2 2 9 3 13" xfId="46557" xr:uid="{DA23F893-3BE1-4B16-97A5-9925F23C0229}"/>
    <cellStyle name="Comma 2 2 9 3 14" xfId="49590" xr:uid="{03EC4D75-9D1E-4E41-AF2B-4C94B3957BE7}"/>
    <cellStyle name="Comma 2 2 9 3 15" xfId="52560" xr:uid="{962EA606-538B-48AB-B713-663D3DCF2F09}"/>
    <cellStyle name="Comma 2 2 9 3 16" xfId="17010" xr:uid="{EABB8886-6479-4669-AD51-DE267C23D0E4}"/>
    <cellStyle name="Comma 2 2 9 3 17" xfId="14047" xr:uid="{22EEC42C-B495-42DE-B722-A8A7A99CF3D2}"/>
    <cellStyle name="Comma 2 2 9 3 2" xfId="7612" xr:uid="{030ED023-A1F0-44D8-AEAE-991E48506489}"/>
    <cellStyle name="Comma 2 2 9 3 2 10" xfId="14539" xr:uid="{66270C01-EEB4-4F70-BABE-39ABA3A8ED3B}"/>
    <cellStyle name="Comma 2 2 9 3 2 2" xfId="10104" xr:uid="{22BD43E5-D40A-4C1D-9483-80ABB2688B03}"/>
    <cellStyle name="Comma 2 2 9 3 2 2 2" xfId="13410" xr:uid="{3FBB7249-70EC-4491-B2F2-2AEDFD4427BB}"/>
    <cellStyle name="Comma 2 2 9 3 2 2 2 2" xfId="48613" xr:uid="{889AF0F7-3477-4885-975C-829C9CA5A12F}"/>
    <cellStyle name="Comma 2 2 9 3 2 2 3" xfId="51376" xr:uid="{E122311C-8659-4986-92D6-D4B9837FFDC8}"/>
    <cellStyle name="Comma 2 2 9 3 2 2 4" xfId="52561" xr:uid="{807288F3-0ACA-43E5-B2EB-535ABA3041C9}"/>
    <cellStyle name="Comma 2 2 9 3 2 2 5" xfId="39571" xr:uid="{2CC2D4ED-B5E2-4A79-9C9F-C42AE0B86345}"/>
    <cellStyle name="Comma 2 2 9 3 2 3" xfId="12125" xr:uid="{234B7973-C138-45C2-B273-3C4463339DCB}"/>
    <cellStyle name="Comma 2 2 9 3 2 3 2" xfId="41425" xr:uid="{109A17C4-FD70-4507-B828-14284749F0C4}"/>
    <cellStyle name="Comma 2 2 9 3 2 4" xfId="43248" xr:uid="{7C4EA5C2-8B3B-46CC-92AA-09B1661D5438}"/>
    <cellStyle name="Comma 2 2 9 3 2 5" xfId="45345" xr:uid="{27ED8CF2-5B98-41CE-90B8-2D6918D87EE8}"/>
    <cellStyle name="Comma 2 2 9 3 2 6" xfId="47047" xr:uid="{2E6A5240-EF06-4054-9824-E8DDF4EF625A}"/>
    <cellStyle name="Comma 2 2 9 3 2 7" xfId="50048" xr:uid="{743D88B2-CC94-40B6-AC49-B8157E80B54D}"/>
    <cellStyle name="Comma 2 2 9 3 2 8" xfId="52562" xr:uid="{C7D4DA81-0C1E-448A-A9AA-80AFCF03A360}"/>
    <cellStyle name="Comma 2 2 9 3 2 9" xfId="21005" xr:uid="{94339D6D-BF3E-4559-96A6-83EDE6F169A4}"/>
    <cellStyle name="Comma 2 2 9 3 3" xfId="9610" xr:uid="{303C77DB-296B-4EAA-B8D5-313E2F8FFF52}"/>
    <cellStyle name="Comma 2 2 9 3 3 2" xfId="12916" xr:uid="{871693FE-B1A5-4FB1-859E-50B6C12AED4D}"/>
    <cellStyle name="Comma 2 2 9 3 3 2 2" xfId="51636" xr:uid="{11E30E2A-7110-425B-8555-F5D05CCEEE2C}"/>
    <cellStyle name="Comma 2 2 9 3 3 2 3" xfId="52563" xr:uid="{29368F75-0F32-4C5C-8516-C6F1540A3DC1}"/>
    <cellStyle name="Comma 2 2 9 3 3 2 4" xfId="48924" xr:uid="{E4A882C5-CF1A-465C-BABB-95F3C8F1FE2F}"/>
    <cellStyle name="Comma 2 2 9 3 3 3" xfId="47348" xr:uid="{940F19BC-0AED-43B9-88C5-4DE4F3D2C14E}"/>
    <cellStyle name="Comma 2 2 9 3 3 4" xfId="50308" xr:uid="{A7ADDFBD-AAAB-4F47-BE54-822E24783D42}"/>
    <cellStyle name="Comma 2 2 9 3 3 5" xfId="52564" xr:uid="{CA731F57-3681-44C1-B460-61D9F4448897}"/>
    <cellStyle name="Comma 2 2 9 3 3 6" xfId="20224" xr:uid="{CEAB3F1E-D438-4728-B035-FA4F461E96A0}"/>
    <cellStyle name="Comma 2 2 9 3 4" xfId="7106" xr:uid="{70750F20-4BFD-4CE2-B9F3-BC3F9E568300}"/>
    <cellStyle name="Comma 2 2 9 3 4 2" xfId="48069" xr:uid="{F2C3A6BC-D856-409F-A321-913DCD0DB263}"/>
    <cellStyle name="Comma 2 2 9 3 4 3" xfId="50918" xr:uid="{580B72A6-83DF-40CE-BE13-6971BD14E834}"/>
    <cellStyle name="Comma 2 2 9 3 4 4" xfId="52565" xr:uid="{2D2BF0A0-EFC0-4377-9229-91BBF2915C26}"/>
    <cellStyle name="Comma 2 2 9 3 4 5" xfId="23743" xr:uid="{DBE659AB-64E9-475A-994E-4ECA7C08EECB}"/>
    <cellStyle name="Comma 2 2 9 3 5" xfId="11631" xr:uid="{791AC3B4-EF0F-4436-8E7F-CE2AE9069A2D}"/>
    <cellStyle name="Comma 2 2 9 3 5 2" xfId="38240" xr:uid="{20245D6A-0670-4EDE-A952-16A743B63D52}"/>
    <cellStyle name="Comma 2 2 9 3 6" xfId="38980" xr:uid="{ACA98057-3DC5-4B2F-9464-384CF3B0A70B}"/>
    <cellStyle name="Comma 2 2 9 3 7" xfId="40063" xr:uid="{887310A2-3822-40C9-B89F-B930D9F3D980}"/>
    <cellStyle name="Comma 2 2 9 3 8" xfId="40705" xr:uid="{83990B04-0FF4-4E51-A3A7-F430AF5EE947}"/>
    <cellStyle name="Comma 2 2 9 3 9" xfId="41917" xr:uid="{0EB52629-1861-4839-8AF6-9EE992DEA537}"/>
    <cellStyle name="Comma 2 2 9 4" xfId="6500" xr:uid="{6B93C9DA-91D4-42CF-B096-598BC48DBFC8}"/>
    <cellStyle name="Comma 2 2 9 4 10" xfId="42824" xr:uid="{BC8EA3DD-0279-44D7-A434-0AC90D1D9414}"/>
    <cellStyle name="Comma 2 2 9 4 11" xfId="44951" xr:uid="{DA37DDBD-4E56-4114-B446-657A826C9DFE}"/>
    <cellStyle name="Comma 2 2 9 4 12" xfId="46139" xr:uid="{42EC2C2A-F348-469A-BF51-407DD6F795C0}"/>
    <cellStyle name="Comma 2 2 9 4 13" xfId="49475" xr:uid="{E5B4E431-E829-499E-8F25-D277245D206D}"/>
    <cellStyle name="Comma 2 2 9 4 14" xfId="52566" xr:uid="{928D8582-5C48-4B3C-BD4D-560F0BC2450F}"/>
    <cellStyle name="Comma 2 2 9 4 15" xfId="19730" xr:uid="{81C8598B-16B6-4247-AC2E-BD2D02C9DD8C}"/>
    <cellStyle name="Comma 2 2 9 4 16" xfId="14401" xr:uid="{4824FA4F-3591-4040-9E28-ABF2254B6DA6}"/>
    <cellStyle name="Comma 2 2 9 4 2" xfId="9472" xr:uid="{1D2DAF90-0E11-4C76-A924-235D54F2F7C2}"/>
    <cellStyle name="Comma 2 2 9 4 2 2" xfId="12778" xr:uid="{A04098A0-5F2B-4887-B6B6-BB8530B7F702}"/>
    <cellStyle name="Comma 2 2 9 4 2 2 2" xfId="39738" xr:uid="{BFDA5500-624F-496A-A9C6-2201712E43BA}"/>
    <cellStyle name="Comma 2 2 9 4 2 3" xfId="41591" xr:uid="{23956EB1-5D96-4133-ABA0-C1DBF96A735E}"/>
    <cellStyle name="Comma 2 2 9 4 2 4" xfId="43415" xr:uid="{F07BBFD5-3A68-4045-9EB6-BE4C7DD3AAE1}"/>
    <cellStyle name="Comma 2 2 9 4 2 5" xfId="45494" xr:uid="{8AFF7DEC-48CA-40B0-BA97-3340BB8ECE8A}"/>
    <cellStyle name="Comma 2 2 9 4 2 6" xfId="47934" xr:uid="{E1127345-C151-4EEE-B641-A88AB03F3175}"/>
    <cellStyle name="Comma 2 2 9 4 2 7" xfId="50803" xr:uid="{FD14CB28-7775-48F7-B1A0-6ECDC2204A73}"/>
    <cellStyle name="Comma 2 2 9 4 2 8" xfId="52567" xr:uid="{C30F376C-574E-4CD5-8C0A-4D784AD49A44}"/>
    <cellStyle name="Comma 2 2 9 4 2 9" xfId="23347" xr:uid="{BD4FB973-6E9C-40F0-B55F-05ABC59A34CE}"/>
    <cellStyle name="Comma 2 2 9 4 3" xfId="11493" xr:uid="{D12D0A77-5B3E-4C3B-9B5A-1A02958988F3}"/>
    <cellStyle name="Comma 2 2 9 4 3 2" xfId="20391" xr:uid="{64489462-E64B-4286-BB7F-BE4BB2263359}"/>
    <cellStyle name="Comma 2 2 9 4 4" xfId="23744" xr:uid="{BF68727B-2A17-496B-9C95-EC20A97B5019}"/>
    <cellStyle name="Comma 2 2 9 4 5" xfId="38241" xr:uid="{28CD2A6D-7596-446B-85AB-0EF5FA6224DB}"/>
    <cellStyle name="Comma 2 2 9 4 6" xfId="39147" xr:uid="{DE1C6789-F1A3-4191-9D26-3EDC2EBDCA65}"/>
    <cellStyle name="Comma 2 2 9 4 7" xfId="40064" xr:uid="{19D6B51A-86D7-4539-AB31-5BF1B680304D}"/>
    <cellStyle name="Comma 2 2 9 4 8" xfId="40706" xr:uid="{770739B0-C26A-4879-A0BB-31A19B665200}"/>
    <cellStyle name="Comma 2 2 9 4 9" xfId="41918" xr:uid="{0A628117-062C-4A36-8F0D-E72BC4395F6F}"/>
    <cellStyle name="Comma 2 2 9 5" xfId="7474" xr:uid="{F895200A-6A12-40EB-A9F7-E1258DC7D8D3}"/>
    <cellStyle name="Comma 2 2 9 5 10" xfId="14854" xr:uid="{EFB2669F-CA4E-4A1C-94AD-20D4CADF3656}"/>
    <cellStyle name="Comma 2 2 9 5 2" xfId="9966" xr:uid="{2AD112B5-4C36-4560-A38B-DCA08B617E1E}"/>
    <cellStyle name="Comma 2 2 9 5 2 2" xfId="13272" xr:uid="{51C21D46-FC89-4686-A5B0-0E87FAAE3B20}"/>
    <cellStyle name="Comma 2 2 9 5 2 2 2" xfId="48369" xr:uid="{B9FD99E6-5D78-43E5-BC15-D6FD941F4532}"/>
    <cellStyle name="Comma 2 2 9 5 2 3" xfId="51170" xr:uid="{911091BE-63E0-4BBE-92F0-2D3B18DE6384}"/>
    <cellStyle name="Comma 2 2 9 5 2 4" xfId="52568" xr:uid="{6866BF50-D2E6-4452-84A5-7400E3B7C089}"/>
    <cellStyle name="Comma 2 2 9 5 2 5" xfId="39246" xr:uid="{3243C942-8F9F-41ED-903B-FE266872290B}"/>
    <cellStyle name="Comma 2 2 9 5 3" xfId="11987" xr:uid="{032D6D6F-70BF-4643-BE8C-A6CA5FCAD1CD}"/>
    <cellStyle name="Comma 2 2 9 5 3 2" xfId="41115" xr:uid="{08E327AC-1E4C-4B2C-9B9A-9A76BEAB78E2}"/>
    <cellStyle name="Comma 2 2 9 5 4" xfId="42923" xr:uid="{E978EB08-2EA0-4109-AA4A-598C511CF816}"/>
    <cellStyle name="Comma 2 2 9 5 5" xfId="45030" xr:uid="{6C4F2BDA-DCE7-468A-9028-CBA07B7F1795}"/>
    <cellStyle name="Comma 2 2 9 5 6" xfId="46818" xr:uid="{0CC04D84-0478-4EAC-9970-796CD8339240}"/>
    <cellStyle name="Comma 2 2 9 5 7" xfId="49842" xr:uid="{57689849-1813-412E-868F-BFFCF0EAA609}"/>
    <cellStyle name="Comma 2 2 9 5 8" xfId="52569" xr:uid="{756DD967-F9E9-466C-80D8-7C90249F2466}"/>
    <cellStyle name="Comma 2 2 9 5 9" xfId="20491" xr:uid="{5C2E2042-127F-4035-9102-A41E155B4FEF}"/>
    <cellStyle name="Comma 2 2 9 6" xfId="8140" xr:uid="{9A9A1C17-916D-4907-A80A-A779B2D68C3E}"/>
    <cellStyle name="Comma 2 2 9 6 2" xfId="12596" xr:uid="{0FADFA0B-D8C5-44E4-A4D1-9C4E88A97221}"/>
    <cellStyle name="Comma 2 2 9 6 2 2" xfId="51521" xr:uid="{F055FEAF-8254-4FE5-8938-149280B9C3FF}"/>
    <cellStyle name="Comma 2 2 9 6 2 3" xfId="52570" xr:uid="{339E8611-B5E9-49BD-8330-528B63384C17}"/>
    <cellStyle name="Comma 2 2 9 6 2 4" xfId="48786" xr:uid="{76FD2D1E-613E-46D7-9B62-71F7A127FBA9}"/>
    <cellStyle name="Comma 2 2 9 6 3" xfId="47215" xr:uid="{6A9BED7D-47CC-4BE3-BC0F-F6A095AF6A1A}"/>
    <cellStyle name="Comma 2 2 9 6 4" xfId="50193" xr:uid="{97ED5D17-F530-4050-A036-DD10D35B1859}"/>
    <cellStyle name="Comma 2 2 9 6 5" xfId="52571" xr:uid="{83B1071C-FD3B-4301-B165-83C9F6221882}"/>
    <cellStyle name="Comma 2 2 9 6 6" xfId="19898" xr:uid="{A70C15B8-5130-4E7C-9594-A23525026EE6}"/>
    <cellStyle name="Comma 2 2 9 7" xfId="7927" xr:uid="{DC9E1B0B-C89C-4B93-965E-CDCD7CACA11B}"/>
    <cellStyle name="Comma 2 2 9 7 2" xfId="12440" xr:uid="{EE002389-A18C-474F-ADF7-A2AE180E8533}"/>
    <cellStyle name="Comma 2 2 9 7 2 2" xfId="47676" xr:uid="{326742C9-0669-419C-B772-9620F3854B7B}"/>
    <cellStyle name="Comma 2 2 9 7 3" xfId="50584" xr:uid="{B99AB275-A029-4E0A-A522-E79F7577D4FE}"/>
    <cellStyle name="Comma 2 2 9 7 4" xfId="52572" xr:uid="{79D14A57-EB6D-4F3C-8B2F-71270D4F9686}"/>
    <cellStyle name="Comma 2 2 9 7 5" xfId="23740" xr:uid="{10115FBA-36B8-45D8-9710-F349D1D1059D}"/>
    <cellStyle name="Comma 2 2 9 8" xfId="5824" xr:uid="{CDAC3A0A-7A89-42F6-984C-9E26122EB50B}"/>
    <cellStyle name="Comma 2 2 9 8 2" xfId="38237" xr:uid="{5C9ECB31-3337-4A6B-9CD4-A28036E18AEB}"/>
    <cellStyle name="Comma 2 2 9 9" xfId="11312" xr:uid="{082ECDD6-C914-4061-8A8B-807C8073AD54}"/>
    <cellStyle name="Comma 2 2 9 9 2" xfId="38655" xr:uid="{2E92DC74-294D-4D7C-842B-D4DCC56A62AE}"/>
    <cellStyle name="Comma 2 20" xfId="11289" xr:uid="{E1200924-9258-4262-B208-535190FDDF59}"/>
    <cellStyle name="Comma 2 20 2" xfId="23527" xr:uid="{33EBF09F-4C1B-4398-AF1F-789A321055CE}"/>
    <cellStyle name="Comma 2 21" xfId="38024" xr:uid="{28CADFA0-5B71-4F2B-9656-8DA657DDD53A}"/>
    <cellStyle name="Comma 2 22" xfId="38616" xr:uid="{F6281D38-734D-45F0-83B7-D03739B90D3B}"/>
    <cellStyle name="Comma 2 23" xfId="39847" xr:uid="{FF22E626-97C3-48BF-83A7-6BC102941BEE}"/>
    <cellStyle name="Comma 2 24" xfId="40489" xr:uid="{93691826-D7D6-4BE9-BFB5-048A276FF1FA}"/>
    <cellStyle name="Comma 2 25" xfId="41701" xr:uid="{5B11CBAD-BC7C-4479-91B8-735E839CCC52}"/>
    <cellStyle name="Comma 2 26" xfId="42293" xr:uid="{4C6FF1C1-6617-494A-B007-20695B816D97}"/>
    <cellStyle name="Comma 2 27" xfId="43503" xr:uid="{C0EB0E9F-2A7D-4D23-B8F5-8AEF1564B40B}"/>
    <cellStyle name="Comma 2 28" xfId="44366" xr:uid="{BCBE8B8A-1BC8-4E7B-8D06-2ED758F59B91}"/>
    <cellStyle name="Comma 2 29" xfId="45608" xr:uid="{6A7ED8B0-1950-477C-BF8A-069E1E3BDD5D}"/>
    <cellStyle name="Comma 2 3" xfId="1754" xr:uid="{88DA220F-D602-401A-9DFD-6D064578D90F}"/>
    <cellStyle name="Comma 2 3 10" xfId="8141" xr:uid="{96E4A979-638D-496B-8250-599B04523EAC}"/>
    <cellStyle name="Comma 2 3 10 10" xfId="42876" xr:uid="{6BF5F959-F661-40B9-A667-974AF84A9E79}"/>
    <cellStyle name="Comma 2 3 10 11" xfId="44983" xr:uid="{6E65DA92-7BF4-4C11-9CF1-C040C2E6B9E6}"/>
    <cellStyle name="Comma 2 3 10 12" xfId="47163" xr:uid="{35B58866-6FF8-4037-B254-98B6613C060A}"/>
    <cellStyle name="Comma 2 3 10 13" xfId="50144" xr:uid="{6BEB4F8C-FFB1-492D-A481-32D868E09F21}"/>
    <cellStyle name="Comma 2 3 10 14" xfId="52573" xr:uid="{1F3B682B-D4B8-4300-9818-78413F0D7907}"/>
    <cellStyle name="Comma 2 3 10 15" xfId="19814" xr:uid="{0EB58C01-C526-4989-BEEA-29C322E7A989}"/>
    <cellStyle name="Comma 2 3 10 2" xfId="12597" xr:uid="{ED9A3F72-74DA-42DC-A06F-0B38F689107A}"/>
    <cellStyle name="Comma 2 3 10 2 2" xfId="39790" xr:uid="{DB3B71B8-60DA-4DE6-946B-EE7EED17C989}"/>
    <cellStyle name="Comma 2 3 10 2 3" xfId="41643" xr:uid="{125B6378-BABD-4128-9F64-9F111A4ADF08}"/>
    <cellStyle name="Comma 2 3 10 2 4" xfId="43467" xr:uid="{80AFF843-B5AA-40E6-9016-21AFC4937F97}"/>
    <cellStyle name="Comma 2 3 10 2 5" xfId="45540" xr:uid="{CDEB5691-61D7-4470-8FD5-837B7946E310}"/>
    <cellStyle name="Comma 2 3 10 2 6" xfId="48728" xr:uid="{9F885528-E2D0-4D61-BBF7-600283696ED0}"/>
    <cellStyle name="Comma 2 3 10 2 7" xfId="51472" xr:uid="{AC1B399A-2BE3-49C5-85C0-72C5F8DE722E}"/>
    <cellStyle name="Comma 2 3 10 2 8" xfId="52574" xr:uid="{AA78C09F-F794-430C-9945-B3D3D9AF1F6A}"/>
    <cellStyle name="Comma 2 3 10 2 9" xfId="23427" xr:uid="{D2807871-6CC8-4FA6-82E7-A313023BB96E}"/>
    <cellStyle name="Comma 2 3 10 3" xfId="20444" xr:uid="{CC3919F7-9885-4E6C-AD74-CC0FC244AD6C}"/>
    <cellStyle name="Comma 2 3 10 4" xfId="23746" xr:uid="{84E3553B-8661-4006-BEF8-BCDC3FB1A2FD}"/>
    <cellStyle name="Comma 2 3 10 5" xfId="38243" xr:uid="{537D22DD-138B-43E4-93F2-D56857B0EBAC}"/>
    <cellStyle name="Comma 2 3 10 6" xfId="39199" xr:uid="{43FA76BB-F045-4169-B66D-DBBD15934558}"/>
    <cellStyle name="Comma 2 3 10 7" xfId="40066" xr:uid="{2ADB5155-DB2B-4ABF-82AE-98F7BB60EEFF}"/>
    <cellStyle name="Comma 2 3 10 8" xfId="40708" xr:uid="{8310F2F9-13E4-4E95-82C2-CEEDD8C8331B}"/>
    <cellStyle name="Comma 2 3 10 9" xfId="41920" xr:uid="{9E1DF191-1D9E-4278-A8BD-096265E8D1B0}"/>
    <cellStyle name="Comma 2 3 11" xfId="8103" xr:uid="{5E4F81AB-CB88-4024-8FBC-205CE0970CBE}"/>
    <cellStyle name="Comma 2 3 11 2" xfId="12559" xr:uid="{7DE500E2-28D3-4093-BBFA-C43D37B7F7D6}"/>
    <cellStyle name="Comma 2 3 11 2 2" xfId="39222" xr:uid="{47375B70-FBC0-41FA-97CB-63A1C7CE4CFB}"/>
    <cellStyle name="Comma 2 3 11 3" xfId="41094" xr:uid="{D61C93DE-CD76-43CA-BD90-B31F7088ACEE}"/>
    <cellStyle name="Comma 2 3 11 4" xfId="42899" xr:uid="{59211CE0-161B-4B94-8FA7-6157ABBF8D29}"/>
    <cellStyle name="Comma 2 3 11 5" xfId="45006" xr:uid="{5FDEA9D0-4371-4A8E-9D96-CF70CA6FA6D9}"/>
    <cellStyle name="Comma 2 3 11 6" xfId="47626" xr:uid="{E52E7695-838E-4AB4-9299-E5253F8F2429}"/>
    <cellStyle name="Comma 2 3 11 7" xfId="50539" xr:uid="{128C9FCE-B0D7-4E53-8F15-DDD62A727E77}"/>
    <cellStyle name="Comma 2 3 11 8" xfId="52575" xr:uid="{0A4AD44A-62A4-4252-9900-2BD5CB3E1C3C}"/>
    <cellStyle name="Comma 2 3 11 9" xfId="20467" xr:uid="{4EA5F507-BEFB-476E-ABB6-5B65D018D53E}"/>
    <cellStyle name="Comma 2 3 12" xfId="7928" xr:uid="{476DAB72-EBE4-4535-920A-069701820F9A}"/>
    <cellStyle name="Comma 2 3 12 2" xfId="12441" xr:uid="{B238F14B-0985-44AB-A97F-3C8D3F4F5F8D}"/>
    <cellStyle name="Comma 2 3 12 3" xfId="19873" xr:uid="{E914600F-3FE8-480F-A7EF-035CAD35537F}"/>
    <cellStyle name="Comma 2 3 13" xfId="11273" xr:uid="{B4057C22-A5FE-4B27-AA35-00059316430D}"/>
    <cellStyle name="Comma 2 3 13 2" xfId="13832" xr:uid="{ABA89E79-C6A7-401A-AAA8-3764BA85B81B}"/>
    <cellStyle name="Comma 2 3 13 3" xfId="23745" xr:uid="{19CD1829-7484-40B6-AA59-BE87B70FD4B0}"/>
    <cellStyle name="Comma 2 3 14" xfId="5825" xr:uid="{6CDDF62E-CD37-49F2-B5D0-46C05F56E22C}"/>
    <cellStyle name="Comma 2 3 14 2" xfId="38242" xr:uid="{DE695685-6B1E-434E-A44B-AD9CC7EC5474}"/>
    <cellStyle name="Comma 2 3 15" xfId="11313" xr:uid="{D9DF79D4-2034-4BF8-A1B7-8EB2679679CC}"/>
    <cellStyle name="Comma 2 3 15 2" xfId="38631" xr:uid="{8511433D-ADF2-4B33-89FF-E8478F24FEC8}"/>
    <cellStyle name="Comma 2 3 16" xfId="40065" xr:uid="{26D99A7B-3AFD-4FAB-852D-B9B8F6736423}"/>
    <cellStyle name="Comma 2 3 17" xfId="40707" xr:uid="{AF0F52BB-B51A-4073-A671-12D5FBF43B70}"/>
    <cellStyle name="Comma 2 3 18" xfId="41919" xr:uid="{F0078EDC-A885-4BD3-AEA6-712EB3FE64A8}"/>
    <cellStyle name="Comma 2 3 19" xfId="42308" xr:uid="{250E8428-3C6E-4741-A6D4-D1E6CA31DE0D}"/>
    <cellStyle name="Comma 2 3 2" xfId="1755" xr:uid="{E7F6922D-F29A-499F-88C1-531A6D5115AB}"/>
    <cellStyle name="Comma 2 3 2 10" xfId="19874" xr:uid="{6263A4DC-8868-47FA-82FD-6C2A6686C154}"/>
    <cellStyle name="Comma 2 3 2 11" xfId="23747" xr:uid="{3431C9E1-7A76-4EDA-A666-B8A83848287B}"/>
    <cellStyle name="Comma 2 3 2 12" xfId="38244" xr:uid="{89046AE3-B463-4840-A416-EA809036AC94}"/>
    <cellStyle name="Comma 2 3 2 13" xfId="38632" xr:uid="{E58251EC-FBCA-4F27-8C2B-19F7E3AB3CC7}"/>
    <cellStyle name="Comma 2 3 2 14" xfId="40067" xr:uid="{C0D85AC0-1CAD-4769-9602-C80F65A72613}"/>
    <cellStyle name="Comma 2 3 2 15" xfId="40709" xr:uid="{18748F2D-608E-45E8-A74C-AE5F53199477}"/>
    <cellStyle name="Comma 2 3 2 16" xfId="41921" xr:uid="{40E8FF4B-1410-4B32-BEC3-A00AF22FE235}"/>
    <cellStyle name="Comma 2 3 2 17" xfId="42309" xr:uid="{6DBBEFE8-D442-4079-B011-28E83DD17BEF}"/>
    <cellStyle name="Comma 2 3 2 18" xfId="43528" xr:uid="{9875D294-1CBC-4962-A7C6-EBA1DD3D298D}"/>
    <cellStyle name="Comma 2 3 2 19" xfId="44391" xr:uid="{130C812B-2B7D-4C0D-AA19-800F4A2FDC2F}"/>
    <cellStyle name="Comma 2 3 2 2" xfId="4431" xr:uid="{8C6275D9-524F-4851-8B14-C66BA49F472B}"/>
    <cellStyle name="Comma 2 3 2 2 10" xfId="40710" xr:uid="{C6CFD0D6-E1CE-4C9F-A770-42F52AFBC124}"/>
    <cellStyle name="Comma 2 3 2 2 11" xfId="41922" xr:uid="{DDD427EA-F4DF-43C6-90F1-90F5677338A1}"/>
    <cellStyle name="Comma 2 3 2 2 12" xfId="42347" xr:uid="{097B1B8B-88D6-4AA9-8038-B45E5CD0B14A}"/>
    <cellStyle name="Comma 2 3 2 2 13" xfId="44232" xr:uid="{185D0F7F-8DB9-4A13-80E7-61479944C028}"/>
    <cellStyle name="Comma 2 3 2 2 14" xfId="44532" xr:uid="{3B3D8719-6C0D-4B25-8515-5BC492E57492}"/>
    <cellStyle name="Comma 2 3 2 2 15" xfId="45703" xr:uid="{5A0676A2-86B1-4AA8-B858-EBB51911755C}"/>
    <cellStyle name="Comma 2 3 2 2 16" xfId="49331" xr:uid="{1255E113-8A7E-4E40-AD41-2492D4ECC59C}"/>
    <cellStyle name="Comma 2 3 2 2 17" xfId="52576" xr:uid="{93840D25-02D9-400D-86AA-7BD8EDF20C95}"/>
    <cellStyle name="Comma 2 3 2 2 18" xfId="15313" xr:uid="{2E591A18-7795-4551-B73D-623567C1E9FC}"/>
    <cellStyle name="Comma 2 3 2 2 19" xfId="14225" xr:uid="{A6A65162-95BD-41E1-B383-F4ABF9421B57}"/>
    <cellStyle name="Comma 2 3 2 2 2" xfId="5688" xr:uid="{383B9599-1561-4CE3-80A6-205F3DF1C320}"/>
    <cellStyle name="Comma 2 3 2 2 2 10" xfId="41923" xr:uid="{9DBBD562-F345-4D82-BBCC-DC9BF860C0F6}"/>
    <cellStyle name="Comma 2 3 2 2 2 11" xfId="42499" xr:uid="{5DDAE758-44AA-44C5-8267-6CFC50367FE9}"/>
    <cellStyle name="Comma 2 3 2 2 2 12" xfId="44682" xr:uid="{9A31CE4F-408E-43E5-9CAD-E3BE3C8D8DA9}"/>
    <cellStyle name="Comma 2 3 2 2 2 13" xfId="46700" xr:uid="{F1CFE6E3-AB15-4CA3-A466-31136A6BBC16}"/>
    <cellStyle name="Comma 2 3 2 2 2 14" xfId="49732" xr:uid="{038589F9-506A-4D0B-8E21-F6184569BBC4}"/>
    <cellStyle name="Comma 2 3 2 2 2 15" xfId="52577" xr:uid="{7A4B5362-6A5C-4B70-B21D-CE3CFD11A8C1}"/>
    <cellStyle name="Comma 2 3 2 2 2 16" xfId="16762" xr:uid="{F8FEFD6C-CF80-4D29-B861-F1D9000C835D}"/>
    <cellStyle name="Comma 2 3 2 2 2 17" xfId="14717" xr:uid="{78F0CD96-1464-4491-98B8-C76EBE7E09C1}"/>
    <cellStyle name="Comma 2 3 2 2 2 2" xfId="10282" xr:uid="{476A6ECC-A917-43C6-A58A-8525C2216651}"/>
    <cellStyle name="Comma 2 3 2 2 2 2 10" xfId="42662" xr:uid="{E772DA14-5613-4654-8735-739F003E2BFB}"/>
    <cellStyle name="Comma 2 3 2 2 2 2 11" xfId="44829" xr:uid="{A9CBA4B1-207F-46F8-B137-5FDC5679C3DF}"/>
    <cellStyle name="Comma 2 3 2 2 2 2 12" xfId="48242" xr:uid="{9CB807F1-ED65-4B4C-AB12-452C854961E4}"/>
    <cellStyle name="Comma 2 3 2 2 2 2 13" xfId="51060" xr:uid="{DB52E477-F79C-4979-9514-E23E63C72C6C}"/>
    <cellStyle name="Comma 2 3 2 2 2 2 14" xfId="52578" xr:uid="{0054A807-2794-4AF1-ACBB-039B006ADFBC}"/>
    <cellStyle name="Comma 2 3 2 2 2 2 15" xfId="17015" xr:uid="{45A37A22-2C15-495A-B095-22CA4A11FC1B}"/>
    <cellStyle name="Comma 2 3 2 2 2 2 2" xfId="13588" xr:uid="{C2250AA2-A362-4C0A-9125-DE60661D65D3}"/>
    <cellStyle name="Comma 2 3 2 2 2 2 2 2" xfId="39576" xr:uid="{71EE4BDD-C174-437B-8094-BE117279C130}"/>
    <cellStyle name="Comma 2 3 2 2 2 2 2 3" xfId="41430" xr:uid="{F8D9103E-9BD6-41F0-8F8C-EC4370812E65}"/>
    <cellStyle name="Comma 2 3 2 2 2 2 2 4" xfId="43253" xr:uid="{0A81ADE5-9532-4135-9D77-D4946AA9B430}"/>
    <cellStyle name="Comma 2 3 2 2 2 2 2 5" xfId="45350" xr:uid="{E5564647-F3AE-4D69-917A-A412447F9299}"/>
    <cellStyle name="Comma 2 3 2 2 2 2 2 6" xfId="21010" xr:uid="{E6756541-43EC-4CB7-896D-13B9094B0503}"/>
    <cellStyle name="Comma 2 3 2 2 2 2 3" xfId="20229" xr:uid="{68867B11-4437-4185-83C2-1FF3DB51E511}"/>
    <cellStyle name="Comma 2 3 2 2 2 2 4" xfId="23750" xr:uid="{A35E28D1-D2B1-475D-8EE8-E9D9B84D1F3D}"/>
    <cellStyle name="Comma 2 3 2 2 2 2 5" xfId="38247" xr:uid="{14681036-C11F-4E24-9C19-D764D208A9D0}"/>
    <cellStyle name="Comma 2 3 2 2 2 2 6" xfId="38985" xr:uid="{05D1E625-2A2C-4D05-BF68-5FE604717657}"/>
    <cellStyle name="Comma 2 3 2 2 2 2 7" xfId="40070" xr:uid="{9F29441F-A583-4D9A-9869-AF6583EC7CD9}"/>
    <cellStyle name="Comma 2 3 2 2 2 2 8" xfId="40712" xr:uid="{C7E5AA66-9BBD-4450-A221-07474E9D7039}"/>
    <cellStyle name="Comma 2 3 2 2 2 2 9" xfId="41924" xr:uid="{43C095F1-B250-45DD-8F85-5902BF842B2F}"/>
    <cellStyle name="Comma 2 3 2 2 2 3" xfId="7790" xr:uid="{F42B1D68-F198-4F8A-8027-26C734207380}"/>
    <cellStyle name="Comma 2 3 2 2 2 3 2" xfId="39413" xr:uid="{3ED93895-008A-4100-A2C6-78B445BDDC69}"/>
    <cellStyle name="Comma 2 3 2 2 2 3 3" xfId="41269" xr:uid="{2B3D7847-468D-486D-8FA5-00F983FCBA93}"/>
    <cellStyle name="Comma 2 3 2 2 2 3 4" xfId="43090" xr:uid="{9F24228D-5001-4B90-B7E7-35DDC12B4D7E}"/>
    <cellStyle name="Comma 2 3 2 2 2 3 5" xfId="45189" xr:uid="{CCDDE991-B0F1-45F5-9650-C2A5C2B1EAD1}"/>
    <cellStyle name="Comma 2 3 2 2 2 3 6" xfId="20788" xr:uid="{0D4B0FAC-F11B-4256-A460-D73D54A526EE}"/>
    <cellStyle name="Comma 2 3 2 2 2 4" xfId="12303" xr:uid="{F103DC29-482C-4A07-8322-6F2079C8EFA9}"/>
    <cellStyle name="Comma 2 3 2 2 2 4 2" xfId="20066" xr:uid="{FEFD19FF-EEF0-4633-90D2-8A990ED93EF3}"/>
    <cellStyle name="Comma 2 3 2 2 2 5" xfId="23749" xr:uid="{23CAD809-88BE-4E2F-B5F1-3C816C3E3BED}"/>
    <cellStyle name="Comma 2 3 2 2 2 6" xfId="38246" xr:uid="{5A8977B3-A7D7-4E8B-8988-2EBC81EA5FE2}"/>
    <cellStyle name="Comma 2 3 2 2 2 7" xfId="38822" xr:uid="{F666441D-F1AF-4E34-9E5B-AC8B4954ABD3}"/>
    <cellStyle name="Comma 2 3 2 2 2 8" xfId="40069" xr:uid="{F25489DD-AB9B-4389-BC11-7D91E585F6E4}"/>
    <cellStyle name="Comma 2 3 2 2 2 9" xfId="40711" xr:uid="{D45450C9-599F-492C-8C4E-ED95930073BB}"/>
    <cellStyle name="Comma 2 3 2 2 3" xfId="11133" xr:uid="{6B6B6422-844F-472A-BC21-E80531F6831E}"/>
    <cellStyle name="Comma 2 3 2 2 3 10" xfId="42661" xr:uid="{A27C70DE-F050-4D1D-80C4-131A4A853452}"/>
    <cellStyle name="Comma 2 3 2 2 3 11" xfId="44828" xr:uid="{1FC6A820-DBAA-4BB3-9B7C-5BA72101D29E}"/>
    <cellStyle name="Comma 2 3 2 2 3 12" xfId="46920" xr:uid="{90E838DD-16B6-4F3A-BC4A-2B3BF7921653}"/>
    <cellStyle name="Comma 2 3 2 2 3 13" xfId="49939" xr:uid="{22352BC5-C8B2-44E1-904D-06A49B82C7E3}"/>
    <cellStyle name="Comma 2 3 2 2 3 14" xfId="52579" xr:uid="{224261D9-053E-47B7-9D94-E6226E818075}"/>
    <cellStyle name="Comma 2 3 2 2 3 15" xfId="17014" xr:uid="{A9E16D6C-88B7-46DC-9363-EB2D413D51E8}"/>
    <cellStyle name="Comma 2 3 2 2 3 16" xfId="15032" xr:uid="{27EA398A-D747-443E-AE58-9B6CA30EB72B}"/>
    <cellStyle name="Comma 2 3 2 2 3 2" xfId="13730" xr:uid="{2F7DE355-427D-410F-80E4-4E41551828B2}"/>
    <cellStyle name="Comma 2 3 2 2 3 2 2" xfId="39575" xr:uid="{DFFB1860-D9E5-4A6D-9991-D931CA8C36B3}"/>
    <cellStyle name="Comma 2 3 2 2 3 2 3" xfId="41429" xr:uid="{B580C234-4C6D-4B04-871D-1001557A2E0B}"/>
    <cellStyle name="Comma 2 3 2 2 3 2 4" xfId="43252" xr:uid="{7BC93CD3-B1ED-4B90-AD82-2EA29AC95C4E}"/>
    <cellStyle name="Comma 2 3 2 2 3 2 5" xfId="45349" xr:uid="{A6372136-3ABC-4FAE-BF7A-ACF326A2F462}"/>
    <cellStyle name="Comma 2 3 2 2 3 2 6" xfId="48481" xr:uid="{51E15C60-822B-4219-9442-CEBFF1AF9087}"/>
    <cellStyle name="Comma 2 3 2 2 3 2 7" xfId="51267" xr:uid="{F0701A1C-5527-4B14-8130-2A120D877728}"/>
    <cellStyle name="Comma 2 3 2 2 3 2 8" xfId="52580" xr:uid="{30BB51F1-8305-426D-911A-75B4BBB00EBA}"/>
    <cellStyle name="Comma 2 3 2 2 3 2 9" xfId="21009" xr:uid="{683C4557-3E18-4485-BC47-91F7FD04414A}"/>
    <cellStyle name="Comma 2 3 2 2 3 3" xfId="20228" xr:uid="{61A41E14-0EFA-4C88-BFDD-2D0C42418FE0}"/>
    <cellStyle name="Comma 2 3 2 2 3 4" xfId="23751" xr:uid="{211F0E83-4B8E-4059-8AD0-D3B6C6B8392D}"/>
    <cellStyle name="Comma 2 3 2 2 3 5" xfId="38248" xr:uid="{3C0FFB36-9EA5-483E-AD6B-915D5BA185CC}"/>
    <cellStyle name="Comma 2 3 2 2 3 6" xfId="38984" xr:uid="{10C0CB6E-CC1F-4ABC-9511-3A7BA7A27B2F}"/>
    <cellStyle name="Comma 2 3 2 2 3 7" xfId="40071" xr:uid="{4186712C-01B2-4D57-89B9-6602CB23D465}"/>
    <cellStyle name="Comma 2 3 2 2 3 8" xfId="40713" xr:uid="{9470E6D9-2562-4B5A-B28B-03263ED8F33F}"/>
    <cellStyle name="Comma 2 3 2 2 3 9" xfId="41925" xr:uid="{AD2D8EC8-F80A-414C-B518-E4EC58F60F5A}"/>
    <cellStyle name="Comma 2 3 2 2 4" xfId="9788" xr:uid="{B608053F-AF1E-4987-95B1-55D6555FAAAE}"/>
    <cellStyle name="Comma 2 3 2 2 4 2" xfId="13094" xr:uid="{14293C9A-E83D-4316-A746-F15758973AE7}"/>
    <cellStyle name="Comma 2 3 2 2 4 2 2" xfId="49098" xr:uid="{65B14110-A4E8-45EC-8CDC-122D4635103F}"/>
    <cellStyle name="Comma 2 3 2 2 4 2 3" xfId="51778" xr:uid="{52870648-FF99-4CB7-B0AE-018CCB7DFFAD}"/>
    <cellStyle name="Comma 2 3 2 2 4 2 4" xfId="52581" xr:uid="{A1E15051-6C8A-44BC-A86D-8E96B8D35C21}"/>
    <cellStyle name="Comma 2 3 2 2 4 2 5" xfId="39261" xr:uid="{49945663-1230-4E63-94FC-EDB22D4F2E4D}"/>
    <cellStyle name="Comma 2 3 2 2 4 3" xfId="41129" xr:uid="{0ED5ACA2-9F13-486D-BB86-EB6A98D02676}"/>
    <cellStyle name="Comma 2 3 2 2 4 4" xfId="42938" xr:uid="{C3402393-6A51-4E4B-972C-5906DD10F575}"/>
    <cellStyle name="Comma 2 3 2 2 4 5" xfId="45045" xr:uid="{2F57741D-99B1-4846-A926-F4F11D6E0296}"/>
    <cellStyle name="Comma 2 3 2 2 4 6" xfId="47515" xr:uid="{B019EA54-2A47-4BD6-8497-9BFD704CF292}"/>
    <cellStyle name="Comma 2 3 2 2 4 7" xfId="50450" xr:uid="{288742DE-7156-4B56-B5C9-3B8CEB21F58B}"/>
    <cellStyle name="Comma 2 3 2 2 4 8" xfId="52582" xr:uid="{B6AFF4FE-AA30-4485-A2CF-E9661382C9A4}"/>
    <cellStyle name="Comma 2 3 2 2 4 9" xfId="20506" xr:uid="{A9936A40-F91A-402C-B2B3-330FB9E91922}"/>
    <cellStyle name="Comma 2 3 2 2 5" xfId="7286" xr:uid="{C5C31BE5-D157-439B-ACFC-47E8E19E77B3}"/>
    <cellStyle name="Comma 2 3 2 2 5 2" xfId="47760" xr:uid="{042DA496-4755-43FB-A497-9F71CEEC8D19}"/>
    <cellStyle name="Comma 2 3 2 2 5 3" xfId="50659" xr:uid="{11EA8662-0309-4B93-88B9-1BC0599E1D0C}"/>
    <cellStyle name="Comma 2 3 2 2 5 4" xfId="52583" xr:uid="{FE513D09-709E-4F7D-9A71-2B96291B32B8}"/>
    <cellStyle name="Comma 2 3 2 2 5 5" xfId="19913" xr:uid="{B6DEF6B3-98D3-4ED3-9FA9-8256409E6152}"/>
    <cellStyle name="Comma 2 3 2 2 6" xfId="11809" xr:uid="{200BBE66-B121-41D1-912D-10D8B7F222DC}"/>
    <cellStyle name="Comma 2 3 2 2 6 2" xfId="23748" xr:uid="{2A88C30B-7CE7-4BE2-9370-C1F9BA232F0D}"/>
    <cellStyle name="Comma 2 3 2 2 7" xfId="38245" xr:uid="{D7559A13-BC01-493D-A528-F5F3C880539F}"/>
    <cellStyle name="Comma 2 3 2 2 8" xfId="38670" xr:uid="{CEBBD7B4-6CD8-46CD-97A9-82B75B54A23D}"/>
    <cellStyle name="Comma 2 3 2 2 9" xfId="40068" xr:uid="{3F050EE2-6216-4805-83B2-17C5B96E3162}"/>
    <cellStyle name="Comma 2 3 2 20" xfId="45629" xr:uid="{D1CFF6C3-C43F-42BE-AE8C-DF71D01792C9}"/>
    <cellStyle name="Comma 2 3 2 21" xfId="49258" xr:uid="{835A2422-C33C-4724-86E7-4E2B9247100B}"/>
    <cellStyle name="Comma 2 3 2 22" xfId="52584" xr:uid="{7925F6A2-09EE-4BD4-9A70-E6A1C198C39A}"/>
    <cellStyle name="Comma 2 3 2 23" xfId="15211" xr:uid="{2F202CE4-61F4-4128-98AA-B9A4DFCAB219}"/>
    <cellStyle name="Comma 2 3 2 24" xfId="13911" xr:uid="{9CF177D4-D96B-42C1-9FFC-C84970CCD001}"/>
    <cellStyle name="Comma 2 3 2 3" xfId="5512" xr:uid="{C1548DB8-9A57-4B60-AE8A-94D60EA08A3C}"/>
    <cellStyle name="Comma 2 3 2 3 10" xfId="40714" xr:uid="{3C6A43BD-A962-4269-B629-708911A88B0A}"/>
    <cellStyle name="Comma 2 3 2 3 11" xfId="41926" xr:uid="{78A4AD69-B9E7-44FE-95A8-B13499B5E237}"/>
    <cellStyle name="Comma 2 3 2 3 12" xfId="42371" xr:uid="{4F045860-8899-4FF7-AAF9-356E2DF11FEB}"/>
    <cellStyle name="Comma 2 3 2 3 13" xfId="43801" xr:uid="{9E5B0F10-1B95-4ABE-918C-7C2D5F8B6E39}"/>
    <cellStyle name="Comma 2 3 2 3 14" xfId="44357" xr:uid="{13D6EC4E-C57C-4BB5-81EB-2F857FEF5BE4}"/>
    <cellStyle name="Comma 2 3 2 3 15" xfId="46559" xr:uid="{B0B8B1F9-7E5B-4C2C-9534-244A85397401}"/>
    <cellStyle name="Comma 2 3 2 3 16" xfId="49592" xr:uid="{85602AEE-CA36-4436-975D-493B96DC529F}"/>
    <cellStyle name="Comma 2 3 2 3 17" xfId="52585" xr:uid="{0A2AA0D5-CEA6-4DCA-B1A9-462A2F39A398}"/>
    <cellStyle name="Comma 2 3 2 3 18" xfId="15795" xr:uid="{A5285EB0-A1CE-4D13-9338-CC896247C772}"/>
    <cellStyle name="Comma 2 3 2 3 19" xfId="14049" xr:uid="{3D886C4C-DA25-467A-B107-9DE1106CA390}"/>
    <cellStyle name="Comma 2 3 2 3 2" xfId="7614" xr:uid="{95683BE4-B2C6-44EE-BC88-C51D3EAB40F0}"/>
    <cellStyle name="Comma 2 3 2 3 2 10" xfId="41927" xr:uid="{0126D361-2527-436A-8214-96CF5AF9150E}"/>
    <cellStyle name="Comma 2 3 2 3 2 11" xfId="42523" xr:uid="{1F5EB45C-D037-430C-A78A-02CFB5AA018E}"/>
    <cellStyle name="Comma 2 3 2 3 2 12" xfId="44693" xr:uid="{F47EA88D-D608-4263-A88E-DC5F7CB4C2D3}"/>
    <cellStyle name="Comma 2 3 2 3 2 13" xfId="47049" xr:uid="{98E6609D-B302-4DE7-90D4-ACEE45904E2F}"/>
    <cellStyle name="Comma 2 3 2 3 2 14" xfId="50050" xr:uid="{5AD45299-1429-4369-B31A-D70710B82F65}"/>
    <cellStyle name="Comma 2 3 2 3 2 15" xfId="52586" xr:uid="{5E25FD6D-69CE-472D-A3BD-719AAD1933DE}"/>
    <cellStyle name="Comma 2 3 2 3 2 16" xfId="16813" xr:uid="{72898136-580E-46D2-B57B-A434497B6868}"/>
    <cellStyle name="Comma 2 3 2 3 2 17" xfId="14541" xr:uid="{F1C0B160-795C-47D1-A16C-59314089F87D}"/>
    <cellStyle name="Comma 2 3 2 3 2 2" xfId="10106" xr:uid="{72D85E9D-B8DC-4E77-8537-DAE59BD78F28}"/>
    <cellStyle name="Comma 2 3 2 3 2 2 10" xfId="42664" xr:uid="{B1BB8FB4-B2B4-4204-AA49-491857642D75}"/>
    <cellStyle name="Comma 2 3 2 3 2 2 11" xfId="44831" xr:uid="{4ED00533-86EA-44DB-A681-EC524EAF31F9}"/>
    <cellStyle name="Comma 2 3 2 3 2 2 12" xfId="48615" xr:uid="{A7022D5E-9C5E-47DC-85F4-98FCE1E3A5AE}"/>
    <cellStyle name="Comma 2 3 2 3 2 2 13" xfId="51378" xr:uid="{9D70CA22-33AF-4788-ACF5-31212B42200A}"/>
    <cellStyle name="Comma 2 3 2 3 2 2 14" xfId="52587" xr:uid="{B42F728C-CB61-4033-BDC5-A224D0CAFD13}"/>
    <cellStyle name="Comma 2 3 2 3 2 2 15" xfId="17017" xr:uid="{E2EA3817-AA1B-4A71-A23B-501CC242C50F}"/>
    <cellStyle name="Comma 2 3 2 3 2 2 2" xfId="13412" xr:uid="{42FB02A8-9714-423B-85E7-484462CE053A}"/>
    <cellStyle name="Comma 2 3 2 3 2 2 2 2" xfId="39578" xr:uid="{67F934D4-FBCA-42E8-AB50-EEA6E6B2CDE4}"/>
    <cellStyle name="Comma 2 3 2 3 2 2 2 3" xfId="41432" xr:uid="{0F66FC2C-F15F-4C78-B7EB-895D8517FC9C}"/>
    <cellStyle name="Comma 2 3 2 3 2 2 2 4" xfId="43255" xr:uid="{48C9C513-205E-4C99-B621-2B0645377B79}"/>
    <cellStyle name="Comma 2 3 2 3 2 2 2 5" xfId="45352" xr:uid="{F0E0AD2D-2BFA-46F6-A739-D1386EEC7303}"/>
    <cellStyle name="Comma 2 3 2 3 2 2 2 6" xfId="21012" xr:uid="{C730F7C9-96DC-4787-AC29-4443812169A1}"/>
    <cellStyle name="Comma 2 3 2 3 2 2 3" xfId="20231" xr:uid="{5072A02F-D491-4557-B7BA-A6F883B428A1}"/>
    <cellStyle name="Comma 2 3 2 3 2 2 4" xfId="23754" xr:uid="{B3356C1F-CB6A-482C-974A-FD716119A3DF}"/>
    <cellStyle name="Comma 2 3 2 3 2 2 5" xfId="38251" xr:uid="{62CEB4D4-EA47-4D13-8A09-3C6142C01ACF}"/>
    <cellStyle name="Comma 2 3 2 3 2 2 6" xfId="38987" xr:uid="{B8D0FDCA-781F-4FB1-88A8-F7CF597D1DEE}"/>
    <cellStyle name="Comma 2 3 2 3 2 2 7" xfId="40074" xr:uid="{EE16F369-6CA2-4230-9B2A-0C17C0A36ADD}"/>
    <cellStyle name="Comma 2 3 2 3 2 2 8" xfId="40716" xr:uid="{F46CBCA1-08D4-4683-ABAC-E7909A3657A1}"/>
    <cellStyle name="Comma 2 3 2 3 2 2 9" xfId="41928" xr:uid="{F19B41F8-A80F-4FB9-AA32-A02DDCF3965E}"/>
    <cellStyle name="Comma 2 3 2 3 2 3" xfId="12127" xr:uid="{6B7613F1-70C0-48ED-9EAA-C49469F007CB}"/>
    <cellStyle name="Comma 2 3 2 3 2 3 2" xfId="39437" xr:uid="{C20ECF5D-41FF-4715-B4D5-652235DEDB77}"/>
    <cellStyle name="Comma 2 3 2 3 2 3 3" xfId="41291" xr:uid="{B12F63DA-BBD0-43AD-AFE4-EC5DFB7A3754}"/>
    <cellStyle name="Comma 2 3 2 3 2 3 4" xfId="43114" xr:uid="{8D655A88-54B3-4F35-9B7E-EA1C90F2EA65}"/>
    <cellStyle name="Comma 2 3 2 3 2 3 5" xfId="45211" xr:uid="{533B9776-0F46-46BE-B0C2-80588D4E7966}"/>
    <cellStyle name="Comma 2 3 2 3 2 3 6" xfId="20815" xr:uid="{47870A7F-D3F2-4E19-B5A2-0FB9D8468608}"/>
    <cellStyle name="Comma 2 3 2 3 2 4" xfId="20090" xr:uid="{D4482E21-5BD4-48A8-A6AC-23C229B122B2}"/>
    <cellStyle name="Comma 2 3 2 3 2 5" xfId="23753" xr:uid="{4C0E373D-81CC-4DF3-B110-2549C732F75E}"/>
    <cellStyle name="Comma 2 3 2 3 2 6" xfId="38250" xr:uid="{9E9D0F50-CF84-4EEB-84F0-0649FB5040B9}"/>
    <cellStyle name="Comma 2 3 2 3 2 7" xfId="38846" xr:uid="{9EB55289-A26C-4715-AF58-0EF28878D7FC}"/>
    <cellStyle name="Comma 2 3 2 3 2 8" xfId="40073" xr:uid="{93706C16-0443-4FEF-9B97-01B42026E8F1}"/>
    <cellStyle name="Comma 2 3 2 3 2 9" xfId="40715" xr:uid="{95E2A60D-DB35-435E-8391-52358FD90F03}"/>
    <cellStyle name="Comma 2 3 2 3 3" xfId="9612" xr:uid="{96C80562-F5D9-4EBC-B046-56E0A0F2BDB3}"/>
    <cellStyle name="Comma 2 3 2 3 3 10" xfId="42663" xr:uid="{75ABC3C5-FB1D-4C67-A00A-BE7036D67444}"/>
    <cellStyle name="Comma 2 3 2 3 3 11" xfId="44830" xr:uid="{7CFE663D-6013-4BEF-A22B-EF3BE0F2C075}"/>
    <cellStyle name="Comma 2 3 2 3 3 12" xfId="47350" xr:uid="{B14E7DA3-F37C-4BA7-8840-61FF7074E23F}"/>
    <cellStyle name="Comma 2 3 2 3 3 13" xfId="50310" xr:uid="{15C7D88D-671C-46BC-8CDF-46D98EC878AA}"/>
    <cellStyle name="Comma 2 3 2 3 3 14" xfId="52588" xr:uid="{C502491B-04B9-414E-9224-65D784529330}"/>
    <cellStyle name="Comma 2 3 2 3 3 15" xfId="17016" xr:uid="{5C864060-F126-4D30-80E3-B683AA49A45D}"/>
    <cellStyle name="Comma 2 3 2 3 3 2" xfId="12918" xr:uid="{79DB2300-9FAB-4553-A0EC-BB8AB3057188}"/>
    <cellStyle name="Comma 2 3 2 3 3 2 2" xfId="39577" xr:uid="{CBC1641C-D24F-45C2-9789-22032D76255C}"/>
    <cellStyle name="Comma 2 3 2 3 3 2 3" xfId="41431" xr:uid="{7A677258-995A-4644-B3E8-F122D205C851}"/>
    <cellStyle name="Comma 2 3 2 3 3 2 4" xfId="43254" xr:uid="{CDAA5026-7650-4D36-8CA6-BDEA16543D32}"/>
    <cellStyle name="Comma 2 3 2 3 3 2 5" xfId="45351" xr:uid="{B594CD9D-82B0-46F6-B031-987AD0FE5A19}"/>
    <cellStyle name="Comma 2 3 2 3 3 2 6" xfId="48926" xr:uid="{6C435C3E-F9CE-4C8E-839F-34156FD33C64}"/>
    <cellStyle name="Comma 2 3 2 3 3 2 7" xfId="51638" xr:uid="{00342B42-9D4E-4564-A327-CEC8C82C01B2}"/>
    <cellStyle name="Comma 2 3 2 3 3 2 8" xfId="52589" xr:uid="{B2736000-4270-4784-A93B-F7A1CFBD58E2}"/>
    <cellStyle name="Comma 2 3 2 3 3 2 9" xfId="21011" xr:uid="{D7406720-A90C-4532-B881-B0C719CEA42D}"/>
    <cellStyle name="Comma 2 3 2 3 3 3" xfId="20230" xr:uid="{207267E4-5D5B-42B0-A59A-1F7B19506927}"/>
    <cellStyle name="Comma 2 3 2 3 3 4" xfId="23755" xr:uid="{90759F87-9610-4B8E-8E76-F599C4D071C0}"/>
    <cellStyle name="Comma 2 3 2 3 3 5" xfId="38252" xr:uid="{7FDBD34B-A41F-4799-BAEC-1EF96AFC89AC}"/>
    <cellStyle name="Comma 2 3 2 3 3 6" xfId="38986" xr:uid="{5D47F845-1EB8-4B1E-80C7-2D5365F9290D}"/>
    <cellStyle name="Comma 2 3 2 3 3 7" xfId="40075" xr:uid="{D5036149-156E-480D-894C-25A88BDC880D}"/>
    <cellStyle name="Comma 2 3 2 3 3 8" xfId="40717" xr:uid="{79BE0EED-222B-445E-9A3F-A9840DDE547E}"/>
    <cellStyle name="Comma 2 3 2 3 3 9" xfId="41929" xr:uid="{DDFB31C2-E8B6-4066-94A4-D8B75F048606}"/>
    <cellStyle name="Comma 2 3 2 3 4" xfId="7108" xr:uid="{B98D25B2-99B1-4D8B-B884-88FEA9931140}"/>
    <cellStyle name="Comma 2 3 2 3 4 2" xfId="39285" xr:uid="{92EB2B4A-C0CA-4F6A-B0F5-10723E31658C}"/>
    <cellStyle name="Comma 2 3 2 3 4 3" xfId="41147" xr:uid="{2BEED8F1-C35F-476A-B016-DC0ED1597EFC}"/>
    <cellStyle name="Comma 2 3 2 3 4 4" xfId="42962" xr:uid="{11CA8E56-9D32-4876-9AD2-DA3C689F5323}"/>
    <cellStyle name="Comma 2 3 2 3 4 5" xfId="45067" xr:uid="{E22BCA8F-70EE-4F67-91F9-A542BC340E14}"/>
    <cellStyle name="Comma 2 3 2 3 4 6" xfId="48071" xr:uid="{F44C73A1-F04C-4AAA-86A7-1ADA7EAF8FB5}"/>
    <cellStyle name="Comma 2 3 2 3 4 7" xfId="50920" xr:uid="{FF91FD3B-562B-4A1C-B4F7-4AA8CE352DE1}"/>
    <cellStyle name="Comma 2 3 2 3 4 8" xfId="52590" xr:uid="{E8C22113-B4B3-420E-AFAA-BBD36131C103}"/>
    <cellStyle name="Comma 2 3 2 3 4 9" xfId="20531" xr:uid="{A1B37DD9-3665-4FA2-9B00-BCB40B95FB9A}"/>
    <cellStyle name="Comma 2 3 2 3 5" xfId="11633" xr:uid="{5D2C8994-B49A-4B31-AFEB-B1F041DC9CE1}"/>
    <cellStyle name="Comma 2 3 2 3 5 2" xfId="19938" xr:uid="{2D4E6DF7-8144-4FBC-97B6-A87D13D1800A}"/>
    <cellStyle name="Comma 2 3 2 3 6" xfId="23752" xr:uid="{D2A72854-6227-4101-B3A8-075E2D5EE8A2}"/>
    <cellStyle name="Comma 2 3 2 3 7" xfId="38249" xr:uid="{26361D7B-C408-45B8-8D11-9DCED768EAC3}"/>
    <cellStyle name="Comma 2 3 2 3 8" xfId="38694" xr:uid="{B714A298-FFAA-4047-AE7F-F04EA5B570D2}"/>
    <cellStyle name="Comma 2 3 2 3 9" xfId="40072" xr:uid="{9C5262A8-B6A3-46BB-9112-9BFC6F206A0F}"/>
    <cellStyle name="Comma 2 3 2 4" xfId="6502" xr:uid="{F6B6FF6E-0E58-47DF-88D4-582702D5FB1B}"/>
    <cellStyle name="Comma 2 3 2 4 10" xfId="41930" xr:uid="{A5890689-66FE-4073-9886-F6F3178F3B12}"/>
    <cellStyle name="Comma 2 3 2 4 11" xfId="42460" xr:uid="{7E5041E6-4B9E-44E6-AE56-4DDF142DF873}"/>
    <cellStyle name="Comma 2 3 2 4 12" xfId="44659" xr:uid="{543CC253-0D0B-45C8-A30A-1530B5A65F85}"/>
    <cellStyle name="Comma 2 3 2 4 13" xfId="46141" xr:uid="{2F621ED1-E392-456E-899A-7DF5E7121071}"/>
    <cellStyle name="Comma 2 3 2 4 14" xfId="49477" xr:uid="{EFBC98DF-7B91-4E49-8229-C4D760844DFF}"/>
    <cellStyle name="Comma 2 3 2 4 15" xfId="52591" xr:uid="{1CA89E3C-BE68-4B9F-A252-F5B11DE210EC}"/>
    <cellStyle name="Comma 2 3 2 4 16" xfId="16654" xr:uid="{7DFB1020-163B-46DB-9B7C-131C6C8CE1B5}"/>
    <cellStyle name="Comma 2 3 2 4 17" xfId="14403" xr:uid="{24F9C3AA-AA64-4DA3-A92B-0BA9B9F4BDF6}"/>
    <cellStyle name="Comma 2 3 2 4 2" xfId="9474" xr:uid="{24D54CC8-A5F3-4D8F-A5AE-2014E3E0AFEA}"/>
    <cellStyle name="Comma 2 3 2 4 2 10" xfId="42665" xr:uid="{9C80EFE1-8C9D-4206-8905-DA44BD4B8FF6}"/>
    <cellStyle name="Comma 2 3 2 4 2 11" xfId="44832" xr:uid="{FB322C59-C163-4E06-8FD3-80CA15AE07D5}"/>
    <cellStyle name="Comma 2 3 2 4 2 12" xfId="47936" xr:uid="{629D348C-1977-418D-AC1C-DCE6069DD9D2}"/>
    <cellStyle name="Comma 2 3 2 4 2 13" xfId="50805" xr:uid="{49CDDC84-F104-47B0-A2C0-43C272570496}"/>
    <cellStyle name="Comma 2 3 2 4 2 14" xfId="52592" xr:uid="{52ED9012-3568-4842-A87E-09E35C742D37}"/>
    <cellStyle name="Comma 2 3 2 4 2 15" xfId="17018" xr:uid="{42B577C9-5F82-4609-9AD2-B71ADF1CEBAE}"/>
    <cellStyle name="Comma 2 3 2 4 2 2" xfId="12780" xr:uid="{23E0EA11-7FE6-47D3-80D0-F1BF8C69460F}"/>
    <cellStyle name="Comma 2 3 2 4 2 2 2" xfId="39579" xr:uid="{ECB3E039-88A2-49E6-A760-E625A8789361}"/>
    <cellStyle name="Comma 2 3 2 4 2 2 3" xfId="41433" xr:uid="{6A8327AD-071E-400B-AB61-B54FD482823C}"/>
    <cellStyle name="Comma 2 3 2 4 2 2 4" xfId="43256" xr:uid="{26518103-6641-4359-BF73-C6DFA27371C0}"/>
    <cellStyle name="Comma 2 3 2 4 2 2 5" xfId="45353" xr:uid="{1E540E3F-FEAA-4C31-B884-82BD225957E8}"/>
    <cellStyle name="Comma 2 3 2 4 2 2 6" xfId="21013" xr:uid="{D50EC177-D9FE-4421-AEBD-39952C57DA4A}"/>
    <cellStyle name="Comma 2 3 2 4 2 3" xfId="20232" xr:uid="{964CC16E-0B9F-4ABA-A0DC-9228FFC85971}"/>
    <cellStyle name="Comma 2 3 2 4 2 4" xfId="23757" xr:uid="{E0F55655-976B-4DA6-BED2-FF05697C531E}"/>
    <cellStyle name="Comma 2 3 2 4 2 5" xfId="38254" xr:uid="{38E969AA-EB40-4D8A-8DF0-CA81EC3D71A1}"/>
    <cellStyle name="Comma 2 3 2 4 2 6" xfId="38988" xr:uid="{752EFD9D-4D74-4A20-A6E6-3BFA0D66E4B3}"/>
    <cellStyle name="Comma 2 3 2 4 2 7" xfId="40077" xr:uid="{2A471F66-55A0-4F22-AB97-47D27FBB6BDE}"/>
    <cellStyle name="Comma 2 3 2 4 2 8" xfId="40719" xr:uid="{DB8A2127-09ED-47A2-BCB0-63F2F5CBE800}"/>
    <cellStyle name="Comma 2 3 2 4 2 9" xfId="41931" xr:uid="{854BBE86-722F-4BB3-B20F-948BDC729AD7}"/>
    <cellStyle name="Comma 2 3 2 4 3" xfId="11495" xr:uid="{C8DBA3C5-808A-4348-884D-47EEB2639DA7}"/>
    <cellStyle name="Comma 2 3 2 4 3 2" xfId="39374" xr:uid="{A1254CDB-7144-4C31-8F47-B61F50D55B81}"/>
    <cellStyle name="Comma 2 3 2 4 3 3" xfId="41232" xr:uid="{AB3798AE-3E5A-458D-905C-BA4EE96DFF34}"/>
    <cellStyle name="Comma 2 3 2 4 3 4" xfId="43051" xr:uid="{C17669E3-06D3-4982-83AA-8DBF12832CB2}"/>
    <cellStyle name="Comma 2 3 2 4 3 5" xfId="45152" xr:uid="{346F4A40-247B-4C06-8500-98529BB0335B}"/>
    <cellStyle name="Comma 2 3 2 4 3 6" xfId="20748" xr:uid="{08D8AC8E-052F-4AD4-8ED1-9269E38976ED}"/>
    <cellStyle name="Comma 2 3 2 4 4" xfId="20027" xr:uid="{C3E632A6-8937-40A9-BC30-976661BD104B}"/>
    <cellStyle name="Comma 2 3 2 4 5" xfId="23756" xr:uid="{7BE4E553-891F-4925-8276-759211FD6A8A}"/>
    <cellStyle name="Comma 2 3 2 4 6" xfId="38253" xr:uid="{443C98D0-DDCA-4DBF-B77A-BDAC1C278C83}"/>
    <cellStyle name="Comma 2 3 2 4 7" xfId="38783" xr:uid="{7B91AA7D-430F-4994-A1AB-11FFEC593618}"/>
    <cellStyle name="Comma 2 3 2 4 8" xfId="40076" xr:uid="{8AAC615D-FDDE-4CF4-8B99-A6E2502675E3}"/>
    <cellStyle name="Comma 2 3 2 4 9" xfId="40718" xr:uid="{9CCEC93E-C807-4802-AD6F-756FA81C716F}"/>
    <cellStyle name="Comma 2 3 2 5" xfId="7476" xr:uid="{B62CFD33-8396-4782-86D2-273512C7B2EC}"/>
    <cellStyle name="Comma 2 3 2 5 10" xfId="41932" xr:uid="{0D1F6051-9AFF-4D06-8590-BD53070100D4}"/>
    <cellStyle name="Comma 2 3 2 5 11" xfId="42399" xr:uid="{33C1C9A8-1D5E-4433-9001-2728B83C1A0E}"/>
    <cellStyle name="Comma 2 3 2 5 12" xfId="44627" xr:uid="{9A9180DA-BF42-408A-9F32-72AC129CE791}"/>
    <cellStyle name="Comma 2 3 2 5 13" xfId="46820" xr:uid="{5C1AE981-00CB-4D0A-BAF7-59DAFD9EBAFF}"/>
    <cellStyle name="Comma 2 3 2 5 14" xfId="49844" xr:uid="{F1AE1961-1812-42F1-8F37-0D132DB131D0}"/>
    <cellStyle name="Comma 2 3 2 5 15" xfId="52593" xr:uid="{3618332C-D9E9-443A-B362-0E3632779124}"/>
    <cellStyle name="Comma 2 3 2 5 16" xfId="16374" xr:uid="{2704CDDB-E1AA-4AF0-9EC0-9343C566024C}"/>
    <cellStyle name="Comma 2 3 2 5 17" xfId="14856" xr:uid="{8EAC370C-8A6A-42A7-B878-B46B33E5309A}"/>
    <cellStyle name="Comma 2 3 2 5 2" xfId="9968" xr:uid="{3BBA54B6-0F20-46F4-895E-788794E292E0}"/>
    <cellStyle name="Comma 2 3 2 5 2 10" xfId="42666" xr:uid="{7E6C5DE0-A434-4295-8DF6-16E7DA44F7BB}"/>
    <cellStyle name="Comma 2 3 2 5 2 11" xfId="44833" xr:uid="{1D93F987-5952-445E-B53B-E3CC7BEF3415}"/>
    <cellStyle name="Comma 2 3 2 5 2 12" xfId="48371" xr:uid="{34C73523-A4E2-436E-B1CA-7C5830957FDB}"/>
    <cellStyle name="Comma 2 3 2 5 2 13" xfId="51172" xr:uid="{01DE63E8-99DD-434F-AF7E-E0BEEFA1D6CF}"/>
    <cellStyle name="Comma 2 3 2 5 2 14" xfId="52594" xr:uid="{D98A552F-AF35-44A4-83AB-B6DF088D3009}"/>
    <cellStyle name="Comma 2 3 2 5 2 15" xfId="17019" xr:uid="{40D53E3D-2F96-4A75-8E59-FAE08FEF4B87}"/>
    <cellStyle name="Comma 2 3 2 5 2 2" xfId="13274" xr:uid="{CD5C3E46-2DC7-4463-AA2F-6067ED37395F}"/>
    <cellStyle name="Comma 2 3 2 5 2 2 2" xfId="39580" xr:uid="{307A1D35-5AB5-48D7-AABC-D65CEE6F2931}"/>
    <cellStyle name="Comma 2 3 2 5 2 2 3" xfId="41434" xr:uid="{CAB90314-4307-4C7B-B408-D31E52DAF5B3}"/>
    <cellStyle name="Comma 2 3 2 5 2 2 4" xfId="43257" xr:uid="{3548ADAF-430F-40E8-AE6C-64251553DC22}"/>
    <cellStyle name="Comma 2 3 2 5 2 2 5" xfId="45354" xr:uid="{29511350-4F98-4602-AA71-FAB43E334141}"/>
    <cellStyle name="Comma 2 3 2 5 2 2 6" xfId="21014" xr:uid="{B19200D3-D76B-45D3-BE8C-AA8F1E301682}"/>
    <cellStyle name="Comma 2 3 2 5 2 3" xfId="20233" xr:uid="{777EA351-2CB1-4993-A2EB-6DB1C4460352}"/>
    <cellStyle name="Comma 2 3 2 5 2 4" xfId="23759" xr:uid="{2598871F-9DAF-4167-8D9E-EC4274846180}"/>
    <cellStyle name="Comma 2 3 2 5 2 5" xfId="38256" xr:uid="{A13B6AF4-B9B0-492C-B7DB-FBD1BA115D27}"/>
    <cellStyle name="Comma 2 3 2 5 2 6" xfId="38989" xr:uid="{B07A2C85-2D48-47EB-8E4A-F1002D5647CE}"/>
    <cellStyle name="Comma 2 3 2 5 2 7" xfId="40079" xr:uid="{73EC738B-024B-4713-91AD-C660420583DE}"/>
    <cellStyle name="Comma 2 3 2 5 2 8" xfId="40721" xr:uid="{E2158229-BCC6-426E-BBDE-0CB1203F88E7}"/>
    <cellStyle name="Comma 2 3 2 5 2 9" xfId="41933" xr:uid="{AC1E4619-B881-4DA1-8AD0-C540403029D8}"/>
    <cellStyle name="Comma 2 3 2 5 3" xfId="11989" xr:uid="{4239579D-1FCF-4BF9-B32B-1F3D328950CF}"/>
    <cellStyle name="Comma 2 3 2 5 3 2" xfId="39313" xr:uid="{4879121A-A22C-4C13-AC99-59B9D461DE12}"/>
    <cellStyle name="Comma 2 3 2 5 3 3" xfId="41175" xr:uid="{931F5CEA-8664-4E11-AC92-4EAEE4C98C4D}"/>
    <cellStyle name="Comma 2 3 2 5 3 4" xfId="42990" xr:uid="{47FA9D6B-26B0-4AD1-A6B7-4C6F877763A4}"/>
    <cellStyle name="Comma 2 3 2 5 3 5" xfId="45095" xr:uid="{05D8D8EF-8BC9-4ADF-9759-CCA9D65ED494}"/>
    <cellStyle name="Comma 2 3 2 5 3 6" xfId="20619" xr:uid="{C468B914-6B21-4AD5-B151-6E04D6122C45}"/>
    <cellStyle name="Comma 2 3 2 5 4" xfId="19966" xr:uid="{88821A1F-0B69-4F4B-A302-203445EE3510}"/>
    <cellStyle name="Comma 2 3 2 5 5" xfId="23758" xr:uid="{4C1A58A8-4712-42EA-B9D6-DE217A6C46CD}"/>
    <cellStyle name="Comma 2 3 2 5 6" xfId="38255" xr:uid="{03A313A6-D7F3-424E-B9F1-BDB18A348063}"/>
    <cellStyle name="Comma 2 3 2 5 7" xfId="38722" xr:uid="{2F8A1AE8-AF3B-406B-9DBD-F58310780EEB}"/>
    <cellStyle name="Comma 2 3 2 5 8" xfId="40078" xr:uid="{A3AD50FC-9B71-47BB-B5ED-805DE7FA21EE}"/>
    <cellStyle name="Comma 2 3 2 5 9" xfId="40720" xr:uid="{4D88D3C8-8088-4850-B46C-E48711CD96E1}"/>
    <cellStyle name="Comma 2 3 2 6" xfId="8142" xr:uid="{AE7D936B-E793-4E26-B230-43C9D67F3FFD}"/>
    <cellStyle name="Comma 2 3 2 6 10" xfId="42660" xr:uid="{7E677D6C-6278-430E-8BAA-4FBC3AB4EFD2}"/>
    <cellStyle name="Comma 2 3 2 6 11" xfId="44827" xr:uid="{08F2992A-31C6-4BC9-9EA6-0A0640588A42}"/>
    <cellStyle name="Comma 2 3 2 6 12" xfId="47217" xr:uid="{C72DDEF7-AEC6-4394-B321-5AF585971C65}"/>
    <cellStyle name="Comma 2 3 2 6 13" xfId="50195" xr:uid="{1C5CEAE6-DDE4-48C4-A5CA-2A86873AFADA}"/>
    <cellStyle name="Comma 2 3 2 6 14" xfId="52595" xr:uid="{1084BB56-C77A-4DAD-8C99-5D0F449AAABF}"/>
    <cellStyle name="Comma 2 3 2 6 15" xfId="17013" xr:uid="{D71240AA-EAF9-4B03-B3B1-B51AA3B2EB61}"/>
    <cellStyle name="Comma 2 3 2 6 2" xfId="12598" xr:uid="{F3A18FE1-9A52-4155-8C89-C9E60A28AAC1}"/>
    <cellStyle name="Comma 2 3 2 6 2 2" xfId="39574" xr:uid="{9DB28E08-7188-489D-87CE-C169D75EE5C8}"/>
    <cellStyle name="Comma 2 3 2 6 2 3" xfId="41428" xr:uid="{9F09999F-DE5F-442F-95D8-389479C8C8F4}"/>
    <cellStyle name="Comma 2 3 2 6 2 4" xfId="43251" xr:uid="{9D8F17BD-C1F9-495D-9D8C-4538D463B525}"/>
    <cellStyle name="Comma 2 3 2 6 2 5" xfId="45348" xr:uid="{2272109F-765E-49A4-8618-6528B62A9A86}"/>
    <cellStyle name="Comma 2 3 2 6 2 6" xfId="48788" xr:uid="{9428BB76-6B08-4751-8BAD-F0E592E6CB70}"/>
    <cellStyle name="Comma 2 3 2 6 2 7" xfId="51523" xr:uid="{F8749FDC-F856-4FF5-BE2A-9BA56414D4B7}"/>
    <cellStyle name="Comma 2 3 2 6 2 8" xfId="52596" xr:uid="{6179BB29-42AC-4C76-87EB-7B600716474A}"/>
    <cellStyle name="Comma 2 3 2 6 2 9" xfId="21008" xr:uid="{D359A922-1FC4-41DF-A16A-B493C75132F5}"/>
    <cellStyle name="Comma 2 3 2 6 3" xfId="20227" xr:uid="{A8A0859C-2D57-4391-84E1-5E2AC5600F32}"/>
    <cellStyle name="Comma 2 3 2 6 4" xfId="23760" xr:uid="{114147AA-39F2-4087-B7AC-298818D4AD3F}"/>
    <cellStyle name="Comma 2 3 2 6 5" xfId="38257" xr:uid="{9C8BC396-4B1D-4CAA-AFBE-7C5E63A15BD0}"/>
    <cellStyle name="Comma 2 3 2 6 6" xfId="38983" xr:uid="{F8B54547-E2C0-4F3E-85D6-8447519ABCF8}"/>
    <cellStyle name="Comma 2 3 2 6 7" xfId="40080" xr:uid="{8ACE8E28-F2B7-4CDD-9002-2CBA3A2AB86D}"/>
    <cellStyle name="Comma 2 3 2 6 8" xfId="40722" xr:uid="{37C329B2-13ED-4494-AA09-6B9BB2324708}"/>
    <cellStyle name="Comma 2 3 2 6 9" xfId="41934" xr:uid="{979AE6B3-618C-4D39-B054-C9FDCD8F38BA}"/>
    <cellStyle name="Comma 2 3 2 7" xfId="7929" xr:uid="{703A4F69-189C-4E1F-8DB5-7CF3C450A1A2}"/>
    <cellStyle name="Comma 2 3 2 7 10" xfId="42826" xr:uid="{B96039AA-0014-49AE-8DF0-890B6A414FBB}"/>
    <cellStyle name="Comma 2 3 2 7 11" xfId="44953" xr:uid="{4A7BA87B-86A5-434F-8C9A-9A91DF54A934}"/>
    <cellStyle name="Comma 2 3 2 7 12" xfId="47678" xr:uid="{BFC59A7E-5C26-4CB5-90BF-587735DA9A04}"/>
    <cellStyle name="Comma 2 3 2 7 13" xfId="50586" xr:uid="{D6BE0026-ACFD-4507-B007-D11C3C66A317}"/>
    <cellStyle name="Comma 2 3 2 7 14" xfId="52597" xr:uid="{EA437F9A-4746-42C7-8EA1-F19BD2762FE5}"/>
    <cellStyle name="Comma 2 3 2 7 15" xfId="19732" xr:uid="{3112A0DC-0345-47B4-BA02-A220267A138C}"/>
    <cellStyle name="Comma 2 3 2 7 2" xfId="12442" xr:uid="{8FE83199-A65C-497B-A184-A4C895889FF2}"/>
    <cellStyle name="Comma 2 3 2 7 2 2" xfId="39740" xr:uid="{98437B57-7066-4F9B-A411-D1A30C913A87}"/>
    <cellStyle name="Comma 2 3 2 7 2 3" xfId="41593" xr:uid="{146D6AC5-D490-488C-8C21-B675B6A67A73}"/>
    <cellStyle name="Comma 2 3 2 7 2 4" xfId="43417" xr:uid="{9E51B60F-E298-4591-83F6-58FB46C0FFBE}"/>
    <cellStyle name="Comma 2 3 2 7 2 5" xfId="45496" xr:uid="{597A44C4-C504-4956-B120-6B9BF01D9E13}"/>
    <cellStyle name="Comma 2 3 2 7 2 6" xfId="23349" xr:uid="{62593379-1C76-4216-B5F1-CF2903D9CFCC}"/>
    <cellStyle name="Comma 2 3 2 7 3" xfId="20393" xr:uid="{C277F615-0383-42E0-B235-342178CCEA94}"/>
    <cellStyle name="Comma 2 3 2 7 4" xfId="23761" xr:uid="{979D98B3-8E5B-48B8-800E-82ACF1164181}"/>
    <cellStyle name="Comma 2 3 2 7 5" xfId="38258" xr:uid="{39948022-95FE-42A2-A0CE-BF86A6039D05}"/>
    <cellStyle name="Comma 2 3 2 7 6" xfId="39149" xr:uid="{268EC0FF-9C4B-44A0-91A4-759F77F07858}"/>
    <cellStyle name="Comma 2 3 2 7 7" xfId="40081" xr:uid="{02EBA90F-FE99-4924-859F-B937A12C8015}"/>
    <cellStyle name="Comma 2 3 2 7 8" xfId="40723" xr:uid="{F8110C9F-D002-4CAD-B493-70A0067455C0}"/>
    <cellStyle name="Comma 2 3 2 7 9" xfId="41935" xr:uid="{4863E597-9358-4CF3-B9BE-39B9992DD913}"/>
    <cellStyle name="Comma 2 3 2 8" xfId="5826" xr:uid="{3165EC19-132F-4DAC-B522-FCCD2BA9B592}"/>
    <cellStyle name="Comma 2 3 2 8 2" xfId="23428" xr:uid="{AB5196AB-B09F-4D29-9BEA-1D24C9BDC1EA}"/>
    <cellStyle name="Comma 2 3 2 8 2 2" xfId="39791" xr:uid="{DA65CBAE-7419-46FC-80DC-45954D3142A9}"/>
    <cellStyle name="Comma 2 3 2 8 2 3" xfId="41644" xr:uid="{AF71D8CD-DB74-48C3-B21D-E4EBDB6BD76B}"/>
    <cellStyle name="Comma 2 3 2 8 2 4" xfId="43468" xr:uid="{E5362DAC-F9CF-4DDE-94CB-D3BB5AE37585}"/>
    <cellStyle name="Comma 2 3 2 8 2 5" xfId="45541" xr:uid="{3ACD9D38-2EF4-4DF8-8875-70FC95D74138}"/>
    <cellStyle name="Comma 2 3 2 8 3" xfId="20445" xr:uid="{97BA5139-0304-4DA2-963F-A6C39052FD63}"/>
    <cellStyle name="Comma 2 3 2 8 4" xfId="39200" xr:uid="{57E1E7A5-03C7-4CFF-8940-DE2FB0E04510}"/>
    <cellStyle name="Comma 2 3 2 8 5" xfId="41075" xr:uid="{1ACA4340-598E-4721-A41F-424973013DDA}"/>
    <cellStyle name="Comma 2 3 2 8 6" xfId="42877" xr:uid="{62F0EF6A-4BBB-4529-A157-3E977C743815}"/>
    <cellStyle name="Comma 2 3 2 8 7" xfId="44984" xr:uid="{F6F8DDDE-FB0A-4E9C-B7D7-474C18EF6DD1}"/>
    <cellStyle name="Comma 2 3 2 8 8" xfId="19815" xr:uid="{8E3A460E-A0A5-4D09-8146-3AF5695D9AA5}"/>
    <cellStyle name="Comma 2 3 2 9" xfId="11314" xr:uid="{FC3FBE0F-0A41-401A-AC17-8D7F097AC46A}"/>
    <cellStyle name="Comma 2 3 2 9 2" xfId="39223" xr:uid="{EC53E3AB-DAF1-4FC0-85C6-8867F8252FF4}"/>
    <cellStyle name="Comma 2 3 2 9 3" xfId="41095" xr:uid="{9C58ABC6-0C09-4A5B-BE2D-A8BDE23020DF}"/>
    <cellStyle name="Comma 2 3 2 9 4" xfId="42900" xr:uid="{001F845B-43B8-4B56-A331-8B5785DF183B}"/>
    <cellStyle name="Comma 2 3 2 9 5" xfId="45007" xr:uid="{E0A69BA5-ACC4-41F3-A30E-4C2877F53F8B}"/>
    <cellStyle name="Comma 2 3 2 9 6" xfId="20468" xr:uid="{3BD5CB69-13C7-434A-99A5-140CA1144F78}"/>
    <cellStyle name="Comma 2 3 20" xfId="43475" xr:uid="{0E1B71C2-A6BE-446F-8045-6F46A861F534}"/>
    <cellStyle name="Comma 2 3 21" xfId="44390" xr:uid="{2B5DA23D-39A5-44A9-8209-B2868C1340CD}"/>
    <cellStyle name="Comma 2 3 22" xfId="45581" xr:uid="{439B96E9-4A29-440F-A356-6D326C25605A}"/>
    <cellStyle name="Comma 2 3 23" xfId="49211" xr:uid="{2E59F5EB-8BC3-4300-B015-00152D29D4BA}"/>
    <cellStyle name="Comma 2 3 24" xfId="52598" xr:uid="{00589287-B68F-43CC-AD15-84102C5B8244}"/>
    <cellStyle name="Comma 2 3 25" xfId="15210" xr:uid="{C94D350C-7113-41B2-B15F-A6675F47BC63}"/>
    <cellStyle name="Comma 2 3 26" xfId="13847" xr:uid="{0BC27627-9786-49E3-8BDF-CE5D27800FA9}"/>
    <cellStyle name="Comma 2 3 3" xfId="1756" xr:uid="{B07EC495-3BC4-4EE7-AD1D-3D258744D4D3}"/>
    <cellStyle name="Comma 2 3 3 10" xfId="40082" xr:uid="{144B6679-B251-4C00-8F00-7DD854636960}"/>
    <cellStyle name="Comma 2 3 3 11" xfId="40724" xr:uid="{BE6917C3-30A6-4EB7-84FD-3EE814FE9A79}"/>
    <cellStyle name="Comma 2 3 3 12" xfId="41936" xr:uid="{8BD6788B-78D3-4C43-A439-3EF21B01E399}"/>
    <cellStyle name="Comma 2 3 3 13" xfId="42346" xr:uid="{A6AF1A8F-169A-48B0-850F-C485C07FC52D}"/>
    <cellStyle name="Comma 2 3 3 14" xfId="43529" xr:uid="{A8FFFEEB-D1F2-4258-B7FC-FF0F746729D0}"/>
    <cellStyle name="Comma 2 3 3 15" xfId="44392" xr:uid="{7C826263-0F91-4523-A39D-4A641A7E0BCE}"/>
    <cellStyle name="Comma 2 3 3 16" xfId="45630" xr:uid="{1F4A3331-D643-4335-B439-20B4DA09BAAE}"/>
    <cellStyle name="Comma 2 3 3 17" xfId="49259" xr:uid="{4C81777D-A155-43D3-A67D-C11B6B928DBD}"/>
    <cellStyle name="Comma 2 3 3 18" xfId="52599" xr:uid="{6AD97A61-4B47-4B51-9D2F-FD4EB79C3D28}"/>
    <cellStyle name="Comma 2 3 3 19" xfId="15312" xr:uid="{A1CCBFDD-6D2C-4082-8335-5F0346F51E56}"/>
    <cellStyle name="Comma 2 3 3 2" xfId="4432" xr:uid="{549A0EF4-9137-426F-AB01-4F643EAD45FD}"/>
    <cellStyle name="Comma 2 3 3 2 10" xfId="41937" xr:uid="{C0767966-9FD2-4A12-B9A6-ED3B9FECB90A}"/>
    <cellStyle name="Comma 2 3 3 2 11" xfId="42498" xr:uid="{28873241-DC24-46DA-95D5-FA566C2364C9}"/>
    <cellStyle name="Comma 2 3 3 2 12" xfId="44233" xr:uid="{84AF6157-C286-4280-99C0-DEB3392E3237}"/>
    <cellStyle name="Comma 2 3 3 2 13" xfId="44533" xr:uid="{8DA84EC6-D6B7-4380-B20E-D8BF64AA6F16}"/>
    <cellStyle name="Comma 2 3 3 2 14" xfId="45704" xr:uid="{F9FB86D9-D392-405F-A24C-B07AE95C92B1}"/>
    <cellStyle name="Comma 2 3 3 2 15" xfId="49332" xr:uid="{2F5F01CA-29BF-4BBF-9EC3-07FD560480F8}"/>
    <cellStyle name="Comma 2 3 3 2 16" xfId="52600" xr:uid="{219FB789-7BB7-4DE3-816C-F6C801CB773C}"/>
    <cellStyle name="Comma 2 3 3 2 17" xfId="16761" xr:uid="{B9557D34-BEF3-44AF-AB30-48E780ACA958}"/>
    <cellStyle name="Comma 2 3 3 2 18" xfId="14226" xr:uid="{7B199380-B242-4278-B641-74B361B88F7B}"/>
    <cellStyle name="Comma 2 3 3 2 2" xfId="5689" xr:uid="{D3A9DA09-D96D-4B46-BFF3-B73701AD0781}"/>
    <cellStyle name="Comma 2 3 3 2 2 10" xfId="42668" xr:uid="{4E4E87D2-501C-42B3-AFCD-148B5AB7BBD9}"/>
    <cellStyle name="Comma 2 3 3 2 2 11" xfId="44835" xr:uid="{6C05D989-9789-458D-9B48-BBFE555FC7B7}"/>
    <cellStyle name="Comma 2 3 3 2 2 12" xfId="46701" xr:uid="{B6C027CE-6224-40A4-BBFF-687A40809A96}"/>
    <cellStyle name="Comma 2 3 3 2 2 13" xfId="49733" xr:uid="{75683EB0-103C-44EB-A41E-CA269B5BF956}"/>
    <cellStyle name="Comma 2 3 3 2 2 14" xfId="52601" xr:uid="{A92BAAA0-9F33-44E0-B263-CFA78B6D373B}"/>
    <cellStyle name="Comma 2 3 3 2 2 15" xfId="17021" xr:uid="{11F0F24A-1A35-4643-8428-7FFAF29F3162}"/>
    <cellStyle name="Comma 2 3 3 2 2 16" xfId="14718" xr:uid="{4649AB83-82CD-4612-AA70-59E4E91B40C5}"/>
    <cellStyle name="Comma 2 3 3 2 2 2" xfId="10283" xr:uid="{0125BB8E-0C3B-47BF-84C2-4CBDA6142FB4}"/>
    <cellStyle name="Comma 2 3 3 2 2 2 2" xfId="13589" xr:uid="{A04D88FE-5E31-4568-BC3A-34F8FAB4C10F}"/>
    <cellStyle name="Comma 2 3 3 2 2 2 2 2" xfId="39582" xr:uid="{94BA2333-3CF0-43A6-8453-7E01F4E6511C}"/>
    <cellStyle name="Comma 2 3 3 2 2 2 3" xfId="41436" xr:uid="{243ACD76-1824-402F-AA66-CEB8BC5E1269}"/>
    <cellStyle name="Comma 2 3 3 2 2 2 4" xfId="43259" xr:uid="{81FADDB5-B8CC-4BE3-9B2B-5B8D9D1BF3E6}"/>
    <cellStyle name="Comma 2 3 3 2 2 2 5" xfId="45356" xr:uid="{A09DE798-C140-4715-86A0-D54D6F7D0DEE}"/>
    <cellStyle name="Comma 2 3 3 2 2 2 6" xfId="48243" xr:uid="{EEA4B8F1-F3D3-4954-901C-0A77EB8EBFAF}"/>
    <cellStyle name="Comma 2 3 3 2 2 2 7" xfId="51061" xr:uid="{D335026F-4E1E-400C-B875-135194A9F042}"/>
    <cellStyle name="Comma 2 3 3 2 2 2 8" xfId="52602" xr:uid="{A73A7F25-F9C8-4163-81E8-B26F877B3390}"/>
    <cellStyle name="Comma 2 3 3 2 2 2 9" xfId="21016" xr:uid="{522F2696-3004-4A46-AE16-CCB059740285}"/>
    <cellStyle name="Comma 2 3 3 2 2 3" xfId="7791" xr:uid="{EC235528-9568-4A95-BDE2-988A7D3DB5F3}"/>
    <cellStyle name="Comma 2 3 3 2 2 3 2" xfId="20235" xr:uid="{613573D5-B13E-4546-85F9-5B005F80C4AE}"/>
    <cellStyle name="Comma 2 3 3 2 2 4" xfId="12304" xr:uid="{E9C1DA08-A9E5-4255-BB7C-6C024C8DC5F8}"/>
    <cellStyle name="Comma 2 3 3 2 2 4 2" xfId="23764" xr:uid="{3A32EDBB-3121-4DF2-BE8D-FE7CD5BA9DCE}"/>
    <cellStyle name="Comma 2 3 3 2 2 5" xfId="38261" xr:uid="{BECA5970-5636-4F7F-ADDC-D4586E6B3528}"/>
    <cellStyle name="Comma 2 3 3 2 2 6" xfId="38991" xr:uid="{54ECCFFE-73E4-4CD9-A1E9-3179733996DA}"/>
    <cellStyle name="Comma 2 3 3 2 2 7" xfId="40084" xr:uid="{7ACC96D3-DC71-4086-A2B6-13C7680238CF}"/>
    <cellStyle name="Comma 2 3 3 2 2 8" xfId="40726" xr:uid="{F55227BC-7572-4B09-B36A-0E20E6965590}"/>
    <cellStyle name="Comma 2 3 3 2 2 9" xfId="41938" xr:uid="{63D819EE-4843-4ADC-9B93-8B9492D2A77F}"/>
    <cellStyle name="Comma 2 3 3 2 3" xfId="11134" xr:uid="{1F2106A9-52C5-4606-BD65-816EEAB367A4}"/>
    <cellStyle name="Comma 2 3 3 2 3 10" xfId="15033" xr:uid="{F7F3667A-1308-43AB-A38D-BBDB49398DF2}"/>
    <cellStyle name="Comma 2 3 3 2 3 2" xfId="13731" xr:uid="{06E7849D-E313-4ACD-8A8C-5B11C6CB7DE3}"/>
    <cellStyle name="Comma 2 3 3 2 3 2 2" xfId="48482" xr:uid="{979327A6-E213-41B1-B21C-0A4091148095}"/>
    <cellStyle name="Comma 2 3 3 2 3 2 3" xfId="51268" xr:uid="{8CA2F2EA-9F10-4679-8EC7-FC6DA08BFC86}"/>
    <cellStyle name="Comma 2 3 3 2 3 2 4" xfId="52603" xr:uid="{FC7A6AE4-99EB-4EB7-827D-A7B9CC1DCF97}"/>
    <cellStyle name="Comma 2 3 3 2 3 2 5" xfId="39412" xr:uid="{9B0A5BE6-A57A-4326-A0BE-5B16F6A463E5}"/>
    <cellStyle name="Comma 2 3 3 2 3 3" xfId="41268" xr:uid="{E048C3E4-E1E7-41CB-9518-DBB0764F8BE3}"/>
    <cellStyle name="Comma 2 3 3 2 3 4" xfId="43089" xr:uid="{F02AE9ED-B971-4780-9C32-D2106D8C7E4E}"/>
    <cellStyle name="Comma 2 3 3 2 3 5" xfId="45188" xr:uid="{42497C6F-44BE-417A-906E-1A94BAB92FA4}"/>
    <cellStyle name="Comma 2 3 3 2 3 6" xfId="46921" xr:uid="{F50E25CB-F538-419A-81AF-4C2FD8425283}"/>
    <cellStyle name="Comma 2 3 3 2 3 7" xfId="49940" xr:uid="{31EF90A6-B375-410E-A050-658B5D4781C5}"/>
    <cellStyle name="Comma 2 3 3 2 3 8" xfId="52604" xr:uid="{43482566-509E-4598-B544-56EA1586D51B}"/>
    <cellStyle name="Comma 2 3 3 2 3 9" xfId="20787" xr:uid="{3E749AAC-1A94-4DBC-B58A-CD4BE2D9E9C7}"/>
    <cellStyle name="Comma 2 3 3 2 4" xfId="9789" xr:uid="{1612385F-AB19-455A-ABCC-F6A95C17195F}"/>
    <cellStyle name="Comma 2 3 3 2 4 2" xfId="13095" xr:uid="{40156A95-5E21-438D-A5F9-C46C10EF9586}"/>
    <cellStyle name="Comma 2 3 3 2 4 2 2" xfId="51779" xr:uid="{4058AF0E-F8C7-4709-9AD3-B18A5B426CD0}"/>
    <cellStyle name="Comma 2 3 3 2 4 2 3" xfId="52605" xr:uid="{ABFC619C-AFD1-48E9-B877-DE4F390F813A}"/>
    <cellStyle name="Comma 2 3 3 2 4 2 4" xfId="49099" xr:uid="{DD830260-D104-4755-B0FF-B82D305C9F62}"/>
    <cellStyle name="Comma 2 3 3 2 4 3" xfId="47516" xr:uid="{C17BADDD-0D22-4AB1-A3E2-98C509AFC2A7}"/>
    <cellStyle name="Comma 2 3 3 2 4 4" xfId="50451" xr:uid="{616047AC-CA98-4835-9C68-877A5F50179D}"/>
    <cellStyle name="Comma 2 3 3 2 4 5" xfId="52606" xr:uid="{9592892E-BD26-4D80-8ABA-0E6B2374FE8A}"/>
    <cellStyle name="Comma 2 3 3 2 4 6" xfId="20065" xr:uid="{4B57C5B0-B0DC-4CE1-8A7C-876D5EECFFED}"/>
    <cellStyle name="Comma 2 3 3 2 5" xfId="7287" xr:uid="{FC7FDD03-8792-4751-A341-CC040AA4C918}"/>
    <cellStyle name="Comma 2 3 3 2 5 2" xfId="47761" xr:uid="{C6990F01-217F-4E5F-8033-337B4DF648E6}"/>
    <cellStyle name="Comma 2 3 3 2 5 3" xfId="50660" xr:uid="{A74750CC-9214-40AD-842E-94B7B652914E}"/>
    <cellStyle name="Comma 2 3 3 2 5 4" xfId="52607" xr:uid="{8CEFEC24-0596-4AC7-979A-1AB3E14BFD07}"/>
    <cellStyle name="Comma 2 3 3 2 5 5" xfId="23763" xr:uid="{F55D4286-1A5A-44E1-8FEE-4DCBD9B9EC7E}"/>
    <cellStyle name="Comma 2 3 3 2 6" xfId="11810" xr:uid="{3FCB5395-00B0-4602-8A1D-E4E41A2C9C60}"/>
    <cellStyle name="Comma 2 3 3 2 6 2" xfId="38260" xr:uid="{CAE78C79-5F04-422F-861E-329F401EF0AC}"/>
    <cellStyle name="Comma 2 3 3 2 7" xfId="38821" xr:uid="{A40EF7C7-A605-44C7-B3E0-A4E819E9947C}"/>
    <cellStyle name="Comma 2 3 3 2 8" xfId="40083" xr:uid="{4F653609-5E4D-481E-BA26-EBAC8D1F41CF}"/>
    <cellStyle name="Comma 2 3 3 2 9" xfId="40725" xr:uid="{7F97D928-FB50-4239-930B-3CFD988D2497}"/>
    <cellStyle name="Comma 2 3 3 20" xfId="13912" xr:uid="{CFCAB517-BD64-47ED-89A3-EB6874B64AA6}"/>
    <cellStyle name="Comma 2 3 3 3" xfId="5513" xr:uid="{793CAA41-2119-4871-A78F-F63E295FBB94}"/>
    <cellStyle name="Comma 2 3 3 3 10" xfId="42667" xr:uid="{527D3677-A07E-4B3D-838C-DCCCB2286344}"/>
    <cellStyle name="Comma 2 3 3 3 11" xfId="43802" xr:uid="{E79E53B3-40A9-4607-9B99-2492093FFC3D}"/>
    <cellStyle name="Comma 2 3 3 3 12" xfId="44834" xr:uid="{EE011573-9BF0-4B2C-B5FC-E4B117F7A587}"/>
    <cellStyle name="Comma 2 3 3 3 13" xfId="46560" xr:uid="{AF3FD64E-E635-4514-979C-19A1F572B27C}"/>
    <cellStyle name="Comma 2 3 3 3 14" xfId="49593" xr:uid="{21B2E166-204C-402F-AFF1-BEA5A5740884}"/>
    <cellStyle name="Comma 2 3 3 3 15" xfId="52608" xr:uid="{2818D6C2-EA81-4564-AFD8-4B411DDFF032}"/>
    <cellStyle name="Comma 2 3 3 3 16" xfId="17020" xr:uid="{5FBEABD3-A4E3-438C-8BEF-BE5583AE199B}"/>
    <cellStyle name="Comma 2 3 3 3 17" xfId="14050" xr:uid="{AA983101-5772-4B2E-B925-3C9D43B2E403}"/>
    <cellStyle name="Comma 2 3 3 3 2" xfId="7615" xr:uid="{70E721D6-04B8-4813-8CA9-CCFF393B02CF}"/>
    <cellStyle name="Comma 2 3 3 3 2 10" xfId="14542" xr:uid="{A483425F-8309-4AF2-9067-3E9C1F343527}"/>
    <cellStyle name="Comma 2 3 3 3 2 2" xfId="10107" xr:uid="{B3826171-83EF-4C0A-AE28-E26A120B12E5}"/>
    <cellStyle name="Comma 2 3 3 3 2 2 2" xfId="13413" xr:uid="{C01D8805-E8C3-49D4-BF7B-231C6682C198}"/>
    <cellStyle name="Comma 2 3 3 3 2 2 2 2" xfId="48616" xr:uid="{C8FDF25B-048C-4ED0-81D8-91C06CE08CC6}"/>
    <cellStyle name="Comma 2 3 3 3 2 2 3" xfId="51379" xr:uid="{388CF2DF-D574-48F6-AB8A-FD63B358CD63}"/>
    <cellStyle name="Comma 2 3 3 3 2 2 4" xfId="52609" xr:uid="{F588AEA4-94B4-4486-84D7-B1274B3C3590}"/>
    <cellStyle name="Comma 2 3 3 3 2 2 5" xfId="39581" xr:uid="{2C78AE66-6A11-4F4C-9461-04B4956751A8}"/>
    <cellStyle name="Comma 2 3 3 3 2 3" xfId="12128" xr:uid="{9C610E2A-9A71-4CDA-AB59-69D6524BD2AB}"/>
    <cellStyle name="Comma 2 3 3 3 2 3 2" xfId="41435" xr:uid="{C44B0FB6-C15B-4868-A201-8531A59640CD}"/>
    <cellStyle name="Comma 2 3 3 3 2 4" xfId="43258" xr:uid="{3739D6DF-C3DE-4DA6-B3E2-1F9A5D16EF89}"/>
    <cellStyle name="Comma 2 3 3 3 2 5" xfId="45355" xr:uid="{80453DBE-19E5-4754-B4C7-44ECF378B9D6}"/>
    <cellStyle name="Comma 2 3 3 3 2 6" xfId="47050" xr:uid="{BCAEC7F7-65A7-4FB6-BDF9-EA1D9AC4F873}"/>
    <cellStyle name="Comma 2 3 3 3 2 7" xfId="50051" xr:uid="{E8A66F26-4A39-4CA4-9CD6-6E02163A1DE5}"/>
    <cellStyle name="Comma 2 3 3 3 2 8" xfId="52610" xr:uid="{17D8BF17-C4BA-451E-BA28-0C44F5503D96}"/>
    <cellStyle name="Comma 2 3 3 3 2 9" xfId="21015" xr:uid="{F34BFCE4-EBFD-44B4-A892-590C98C5D36D}"/>
    <cellStyle name="Comma 2 3 3 3 3" xfId="9613" xr:uid="{5BDFB018-843E-4713-B3F2-146CE31CDDEB}"/>
    <cellStyle name="Comma 2 3 3 3 3 2" xfId="12919" xr:uid="{2879CE29-05C2-48F5-B10E-B5B3809FADFD}"/>
    <cellStyle name="Comma 2 3 3 3 3 2 2" xfId="51639" xr:uid="{846CD8AB-16A5-4002-8C03-525048FB561B}"/>
    <cellStyle name="Comma 2 3 3 3 3 2 3" xfId="52611" xr:uid="{9EB5AC35-5DB7-45E7-8748-24388256C961}"/>
    <cellStyle name="Comma 2 3 3 3 3 2 4" xfId="48927" xr:uid="{8221A1FF-EF31-4706-AA18-BFFEED87FBA6}"/>
    <cellStyle name="Comma 2 3 3 3 3 3" xfId="47351" xr:uid="{7867AA4B-89F4-4636-B6C2-B2B6F05B9E83}"/>
    <cellStyle name="Comma 2 3 3 3 3 4" xfId="50311" xr:uid="{A9C36CD5-1F9B-4E16-9068-39B83C2326F4}"/>
    <cellStyle name="Comma 2 3 3 3 3 5" xfId="52612" xr:uid="{9C5ED591-D443-4651-BF66-D475FADDB5DD}"/>
    <cellStyle name="Comma 2 3 3 3 3 6" xfId="20234" xr:uid="{B8222124-3A35-4F9A-900E-2E5729B669E5}"/>
    <cellStyle name="Comma 2 3 3 3 4" xfId="7109" xr:uid="{A2E1E3EB-40E6-49E1-9403-9FB21925BB0B}"/>
    <cellStyle name="Comma 2 3 3 3 4 2" xfId="48072" xr:uid="{34A600A7-ABD6-41E2-ABA0-A6BE694AD74A}"/>
    <cellStyle name="Comma 2 3 3 3 4 3" xfId="50921" xr:uid="{5F0F6CE0-2A0C-4823-8F9D-7B3BBEDE5151}"/>
    <cellStyle name="Comma 2 3 3 3 4 4" xfId="52613" xr:uid="{B6CB62A1-51F6-4BB5-8E12-8BF829A2725B}"/>
    <cellStyle name="Comma 2 3 3 3 4 5" xfId="23765" xr:uid="{FF316D11-A549-4A46-88E6-B7307DC10CB2}"/>
    <cellStyle name="Comma 2 3 3 3 5" xfId="11634" xr:uid="{0984E480-8C57-4185-826A-BAB0ED408654}"/>
    <cellStyle name="Comma 2 3 3 3 5 2" xfId="38262" xr:uid="{1194ACCA-7DF8-4A11-9C14-96FE4749B353}"/>
    <cellStyle name="Comma 2 3 3 3 6" xfId="38990" xr:uid="{4F2BD82C-A1AC-4268-9732-1124BBE4F149}"/>
    <cellStyle name="Comma 2 3 3 3 7" xfId="40085" xr:uid="{19398309-3CE4-4ECF-A05D-E6F624ACA62E}"/>
    <cellStyle name="Comma 2 3 3 3 8" xfId="40727" xr:uid="{77BCD1D0-5713-4CBA-812A-AF4917799F2D}"/>
    <cellStyle name="Comma 2 3 3 3 9" xfId="41939" xr:uid="{098B4028-8190-404F-8CEF-971D7F95B9DF}"/>
    <cellStyle name="Comma 2 3 3 4" xfId="6503" xr:uid="{98CE1E9F-7002-49EB-B4F3-D8447A22F128}"/>
    <cellStyle name="Comma 2 3 3 4 10" xfId="42827" xr:uid="{D6DBA428-542E-4DB0-89D9-0F2D960BF413}"/>
    <cellStyle name="Comma 2 3 3 4 11" xfId="44954" xr:uid="{E3EB04D4-C6ED-4354-9078-BAAF9663E638}"/>
    <cellStyle name="Comma 2 3 3 4 12" xfId="46142" xr:uid="{9E69CEC5-3ECC-41E2-8F5C-66B05F4FD9E0}"/>
    <cellStyle name="Comma 2 3 3 4 13" xfId="49478" xr:uid="{57F3F009-8AE8-46D8-B4AA-41869CC326A8}"/>
    <cellStyle name="Comma 2 3 3 4 14" xfId="52614" xr:uid="{ADA2D9D5-9D05-4C3F-980D-F26DE3468B8C}"/>
    <cellStyle name="Comma 2 3 3 4 15" xfId="19733" xr:uid="{3CC9305E-AF5C-488E-9D6C-295351E24AB1}"/>
    <cellStyle name="Comma 2 3 3 4 16" xfId="14404" xr:uid="{EC85572A-8D49-4D8C-B978-CD7EDF8DAA17}"/>
    <cellStyle name="Comma 2 3 3 4 2" xfId="9475" xr:uid="{7102A5B8-EF54-40BA-9A11-B7784726524F}"/>
    <cellStyle name="Comma 2 3 3 4 2 2" xfId="12781" xr:uid="{7CF7F7B9-7D3B-4454-BB5E-936236E1B8FB}"/>
    <cellStyle name="Comma 2 3 3 4 2 2 2" xfId="39741" xr:uid="{57255E77-6686-4F12-8B56-BD147CF67698}"/>
    <cellStyle name="Comma 2 3 3 4 2 3" xfId="41594" xr:uid="{5ABD5A72-DFCE-4BDF-8E94-11662B961D1D}"/>
    <cellStyle name="Comma 2 3 3 4 2 4" xfId="43418" xr:uid="{95876C05-2151-4E80-A3CC-4D8826668395}"/>
    <cellStyle name="Comma 2 3 3 4 2 5" xfId="45497" xr:uid="{E4B52A6B-138B-484B-BA12-ED03705716E5}"/>
    <cellStyle name="Comma 2 3 3 4 2 6" xfId="47937" xr:uid="{BB20F369-C5D1-4CAC-8869-618AEAB14509}"/>
    <cellStyle name="Comma 2 3 3 4 2 7" xfId="50806" xr:uid="{88AA3367-6EB3-4CEC-BE1A-4008A256A47C}"/>
    <cellStyle name="Comma 2 3 3 4 2 8" xfId="52615" xr:uid="{47BDEDFC-B7FB-4095-AD5A-470DF54C4F16}"/>
    <cellStyle name="Comma 2 3 3 4 2 9" xfId="23350" xr:uid="{149E446D-EBF7-4A10-BA72-2F8DE0F3457F}"/>
    <cellStyle name="Comma 2 3 3 4 3" xfId="11496" xr:uid="{58FC0E5F-2F36-4EFC-A823-66C298FF5643}"/>
    <cellStyle name="Comma 2 3 3 4 3 2" xfId="20394" xr:uid="{79531051-E41E-4E63-BC5E-584807B9E52E}"/>
    <cellStyle name="Comma 2 3 3 4 4" xfId="23766" xr:uid="{4AA29D48-A64F-47C2-BD07-59A81E0C4874}"/>
    <cellStyle name="Comma 2 3 3 4 5" xfId="38263" xr:uid="{FF11AF97-3B91-4532-A594-625D5CD0B6FE}"/>
    <cellStyle name="Comma 2 3 3 4 6" xfId="39150" xr:uid="{D5E3AF18-7F2E-48BC-A2CB-49883A1BEA43}"/>
    <cellStyle name="Comma 2 3 3 4 7" xfId="40086" xr:uid="{B6E48C01-31F8-43A7-B3C6-35BCC49893D5}"/>
    <cellStyle name="Comma 2 3 3 4 8" xfId="40728" xr:uid="{52FE24AB-96E0-4760-914F-D56D2187F66E}"/>
    <cellStyle name="Comma 2 3 3 4 9" xfId="41940" xr:uid="{63CCC700-D6A8-43F0-9FD8-F96CDF779E8C}"/>
    <cellStyle name="Comma 2 3 3 5" xfId="7477" xr:uid="{AD9ACCCD-A494-452F-8154-3CC5E08392BE}"/>
    <cellStyle name="Comma 2 3 3 5 10" xfId="14857" xr:uid="{817466D4-3C87-41FF-B1C0-0C5043D721E7}"/>
    <cellStyle name="Comma 2 3 3 5 2" xfId="9969" xr:uid="{864E7949-3868-4969-8E3D-DCE1226A870F}"/>
    <cellStyle name="Comma 2 3 3 5 2 2" xfId="13275" xr:uid="{C8A24270-0397-4F68-B81F-094313B34F12}"/>
    <cellStyle name="Comma 2 3 3 5 2 2 2" xfId="48372" xr:uid="{EBF9612E-095A-48DC-A11D-0127E490A558}"/>
    <cellStyle name="Comma 2 3 3 5 2 3" xfId="51173" xr:uid="{70072CF5-1884-4799-89AE-BFB138B4F91E}"/>
    <cellStyle name="Comma 2 3 3 5 2 4" xfId="52616" xr:uid="{822548B1-9D22-4E94-9AEF-8D152FB42194}"/>
    <cellStyle name="Comma 2 3 3 5 2 5" xfId="39260" xr:uid="{ED823129-F6E8-478B-B0F3-F21EDF97059D}"/>
    <cellStyle name="Comma 2 3 3 5 3" xfId="11990" xr:uid="{D95A55A0-6D68-495D-919C-243C46BABFFF}"/>
    <cellStyle name="Comma 2 3 3 5 3 2" xfId="41128" xr:uid="{9784EDA0-7C05-4B24-ADC4-3ED188DE5E93}"/>
    <cellStyle name="Comma 2 3 3 5 4" xfId="42937" xr:uid="{99743293-4517-4112-9461-8DE85EE690DA}"/>
    <cellStyle name="Comma 2 3 3 5 5" xfId="45044" xr:uid="{9E6F77BA-223A-4A60-AD83-5AB3891F45DF}"/>
    <cellStyle name="Comma 2 3 3 5 6" xfId="46821" xr:uid="{0FD4F496-D698-4C07-8937-65AC36A2AFA1}"/>
    <cellStyle name="Comma 2 3 3 5 7" xfId="49845" xr:uid="{46CB475D-3E29-4D01-9535-2DE0EECF2777}"/>
    <cellStyle name="Comma 2 3 3 5 8" xfId="52617" xr:uid="{2646584A-5682-4D21-A927-0A6CB2487708}"/>
    <cellStyle name="Comma 2 3 3 5 9" xfId="20505" xr:uid="{3A0F3AAF-431C-4215-898F-C45B101A69E7}"/>
    <cellStyle name="Comma 2 3 3 6" xfId="8143" xr:uid="{D20C09A9-418B-4256-BBE2-AA862210811B}"/>
    <cellStyle name="Comma 2 3 3 6 2" xfId="12599" xr:uid="{3B0B7EE0-2024-4F58-82EA-E42FA1C00486}"/>
    <cellStyle name="Comma 2 3 3 6 2 2" xfId="51524" xr:uid="{1898003E-9343-4F19-AB4C-888BB4DB90B7}"/>
    <cellStyle name="Comma 2 3 3 6 2 3" xfId="52618" xr:uid="{F7FA8EE1-AEEF-404E-8FC7-A83FBE5B6BAC}"/>
    <cellStyle name="Comma 2 3 3 6 2 4" xfId="48789" xr:uid="{790BBD67-44D0-4B53-B92F-77F436E01F86}"/>
    <cellStyle name="Comma 2 3 3 6 3" xfId="47218" xr:uid="{467957DC-E15A-4039-9A6D-0CBEA8F3044E}"/>
    <cellStyle name="Comma 2 3 3 6 4" xfId="50196" xr:uid="{C734C2EA-4573-43FC-A457-13AB2D7A408D}"/>
    <cellStyle name="Comma 2 3 3 6 5" xfId="52619" xr:uid="{3F41AF33-8ECE-47D5-8E2A-7BFDBB2C6F88}"/>
    <cellStyle name="Comma 2 3 3 6 6" xfId="19912" xr:uid="{3E62DD3E-D35C-4EF7-9523-2C04F3D11C1A}"/>
    <cellStyle name="Comma 2 3 3 7" xfId="7930" xr:uid="{634381CF-3223-4683-A8C4-EAA130724463}"/>
    <cellStyle name="Comma 2 3 3 7 2" xfId="12443" xr:uid="{D6CCE95B-3BE8-475C-A12E-A597C022B2BF}"/>
    <cellStyle name="Comma 2 3 3 7 2 2" xfId="47679" xr:uid="{30590CA2-3660-4EC9-8ED5-4652E93C47F6}"/>
    <cellStyle name="Comma 2 3 3 7 3" xfId="50587" xr:uid="{F789BF4C-D986-458D-B675-85D57BD8B713}"/>
    <cellStyle name="Comma 2 3 3 7 4" xfId="52620" xr:uid="{1E4FE47C-A453-4E62-A511-B682D225878E}"/>
    <cellStyle name="Comma 2 3 3 7 5" xfId="23762" xr:uid="{196BD9B5-56C0-4733-821F-7BD2BBCBC327}"/>
    <cellStyle name="Comma 2 3 3 8" xfId="5827" xr:uid="{157D7FE5-B6A0-4ED3-A057-00A04D753546}"/>
    <cellStyle name="Comma 2 3 3 8 2" xfId="38259" xr:uid="{5F9A9F52-BBA7-4B5F-878B-9AD7BD27EDFB}"/>
    <cellStyle name="Comma 2 3 3 9" xfId="11315" xr:uid="{433C5148-3834-43F1-96E1-9C51B612B95D}"/>
    <cellStyle name="Comma 2 3 3 9 2" xfId="38669" xr:uid="{DEB397D5-8590-42A5-B465-6DD52ECD5924}"/>
    <cellStyle name="Comma 2 3 4" xfId="1757" xr:uid="{AE36571D-CD46-4FA4-9144-C364D65B4F79}"/>
    <cellStyle name="Comma 2 3 4 10" xfId="40729" xr:uid="{D33C5393-4599-4EAB-B370-4199E65B77B1}"/>
    <cellStyle name="Comma 2 3 4 11" xfId="41941" xr:uid="{0289520C-9674-4249-84F8-69C69DF89F2D}"/>
    <cellStyle name="Comma 2 3 4 12" xfId="42370" xr:uid="{262DB327-1A41-496A-ACA2-1D5B25B97498}"/>
    <cellStyle name="Comma 2 3 4 13" xfId="43530" xr:uid="{FB4EA4E1-8F08-4917-B48C-4928821D6394}"/>
    <cellStyle name="Comma 2 3 4 14" xfId="44393" xr:uid="{52D7010E-58F9-40F5-BB58-50E3D9BEAE93}"/>
    <cellStyle name="Comma 2 3 4 15" xfId="45628" xr:uid="{1B279B74-7699-4C8A-8960-6AB00669FC1D}"/>
    <cellStyle name="Comma 2 3 4 16" xfId="49257" xr:uid="{4671E784-2164-4A7A-895E-1D8E8283FB36}"/>
    <cellStyle name="Comma 2 3 4 17" xfId="52621" xr:uid="{9CE85494-A42E-428F-8676-AA31E138CA80}"/>
    <cellStyle name="Comma 2 3 4 18" xfId="15794" xr:uid="{2F6617A5-2CB6-45B1-8D54-0572C52107CB}"/>
    <cellStyle name="Comma 2 3 4 19" xfId="13913" xr:uid="{CD9442DD-6FFA-4D76-8872-55A1BEAFBAE3}"/>
    <cellStyle name="Comma 2 3 4 2" xfId="4433" xr:uid="{2784EB37-FB9A-48A4-98E9-23AC5F634E7F}"/>
    <cellStyle name="Comma 2 3 4 2 10" xfId="41942" xr:uid="{B5EA0B57-AD92-46A2-AC88-5FCF3D81F7FB}"/>
    <cellStyle name="Comma 2 3 4 2 11" xfId="42522" xr:uid="{C7A33FB4-4CAE-4FD5-BCD9-4DF04B8ED3DF}"/>
    <cellStyle name="Comma 2 3 4 2 12" xfId="44234" xr:uid="{97BE7300-8A39-442D-8EF4-DEC5FFB1F927}"/>
    <cellStyle name="Comma 2 3 4 2 13" xfId="44534" xr:uid="{23A4F791-0836-4A52-BE8C-437E7C7C6479}"/>
    <cellStyle name="Comma 2 3 4 2 14" xfId="45762" xr:uid="{D16750C0-DA82-42D7-B133-144563E66E02}"/>
    <cellStyle name="Comma 2 3 4 2 15" xfId="49390" xr:uid="{1A8BDF13-1CF5-422A-86B1-4FC262BE4002}"/>
    <cellStyle name="Comma 2 3 4 2 16" xfId="52622" xr:uid="{4A1EBD77-79C6-4536-B85B-B7E552565EA8}"/>
    <cellStyle name="Comma 2 3 4 2 17" xfId="16812" xr:uid="{2449D7D4-5A43-4969-B577-49A7FF58EFC9}"/>
    <cellStyle name="Comma 2 3 4 2 18" xfId="14227" xr:uid="{40BA42C4-C8BD-4EE1-9F7A-6E004787F31B}"/>
    <cellStyle name="Comma 2 3 4 2 2" xfId="5690" xr:uid="{33624F37-0AA1-4517-AEA2-4A02EE32D802}"/>
    <cellStyle name="Comma 2 3 4 2 2 10" xfId="42670" xr:uid="{ECCE25C0-4957-4EE2-8F98-BB8355ADC37C}"/>
    <cellStyle name="Comma 2 3 4 2 2 11" xfId="44837" xr:uid="{651097AA-72D3-4B8F-9381-110ACE404A6F}"/>
    <cellStyle name="Comma 2 3 4 2 2 12" xfId="46702" xr:uid="{D50D7AED-BD6E-4A3F-8935-859EA96DEC11}"/>
    <cellStyle name="Comma 2 3 4 2 2 13" xfId="49734" xr:uid="{7407FBCA-DE6D-45BE-8446-6E66B131F56D}"/>
    <cellStyle name="Comma 2 3 4 2 2 14" xfId="52623" xr:uid="{FF2D5DB5-B581-45B2-BCEF-D45CCF1623D8}"/>
    <cellStyle name="Comma 2 3 4 2 2 15" xfId="17023" xr:uid="{4DC31C76-19E8-4C13-8223-AA784B30A15F}"/>
    <cellStyle name="Comma 2 3 4 2 2 16" xfId="14719" xr:uid="{8C662ADB-F752-4E1A-9A28-90C39C0723F7}"/>
    <cellStyle name="Comma 2 3 4 2 2 2" xfId="10284" xr:uid="{84EBD835-11F4-40E3-897E-3E0ED69260E8}"/>
    <cellStyle name="Comma 2 3 4 2 2 2 2" xfId="13590" xr:uid="{F5A937E2-C79B-410F-A2A5-1DD95D2F158C}"/>
    <cellStyle name="Comma 2 3 4 2 2 2 2 2" xfId="39584" xr:uid="{49E4D30B-B745-4F8F-9BA4-83C6332D06F2}"/>
    <cellStyle name="Comma 2 3 4 2 2 2 3" xfId="41438" xr:uid="{C5D55386-FD80-4B0E-A29F-2B91EC500640}"/>
    <cellStyle name="Comma 2 3 4 2 2 2 4" xfId="43261" xr:uid="{BEAE97CD-A60A-4DF3-A431-F9F7EA84F4CF}"/>
    <cellStyle name="Comma 2 3 4 2 2 2 5" xfId="45358" xr:uid="{A363B10B-68C1-4D94-9C6A-0F90E5D7802C}"/>
    <cellStyle name="Comma 2 3 4 2 2 2 6" xfId="48244" xr:uid="{F3029A3D-E60F-4E67-9E1E-714DEFC4EEA7}"/>
    <cellStyle name="Comma 2 3 4 2 2 2 7" xfId="51062" xr:uid="{DB786EC5-D8A7-4E77-AC83-C8969769E5AF}"/>
    <cellStyle name="Comma 2 3 4 2 2 2 8" xfId="52624" xr:uid="{11D4051D-E6B5-4106-81B5-4D110900A622}"/>
    <cellStyle name="Comma 2 3 4 2 2 2 9" xfId="21018" xr:uid="{16EBEAB3-1500-4630-ACB2-80948F8AC23F}"/>
    <cellStyle name="Comma 2 3 4 2 2 3" xfId="7792" xr:uid="{A7E7CEF0-9BFF-4B4E-8AAD-90F725EA0B8A}"/>
    <cellStyle name="Comma 2 3 4 2 2 3 2" xfId="20237" xr:uid="{E30A7D18-8163-4BB5-B52D-BC9A25CAB164}"/>
    <cellStyle name="Comma 2 3 4 2 2 4" xfId="12305" xr:uid="{B9BC5FBB-27D8-4559-8951-3FF72F8E839F}"/>
    <cellStyle name="Comma 2 3 4 2 2 4 2" xfId="23769" xr:uid="{54AE8B90-8F16-496E-8F21-82CF4B7A4869}"/>
    <cellStyle name="Comma 2 3 4 2 2 5" xfId="38266" xr:uid="{14A5C110-C3B2-498A-80CB-9BCB83BEFD64}"/>
    <cellStyle name="Comma 2 3 4 2 2 6" xfId="38993" xr:uid="{9B40841D-EC86-4A06-B232-C91FD0296F02}"/>
    <cellStyle name="Comma 2 3 4 2 2 7" xfId="40089" xr:uid="{1BF2E064-4252-4A1E-9418-C6EA52674343}"/>
    <cellStyle name="Comma 2 3 4 2 2 8" xfId="40731" xr:uid="{D0990A57-99CC-4100-B6F9-FFEC34058222}"/>
    <cellStyle name="Comma 2 3 4 2 2 9" xfId="41943" xr:uid="{D1707875-195E-442D-8E23-F83128BDDB07}"/>
    <cellStyle name="Comma 2 3 4 2 3" xfId="11224" xr:uid="{3328EFE5-83C2-497F-AAA5-FA7613FC7D64}"/>
    <cellStyle name="Comma 2 3 4 2 3 10" xfId="15034" xr:uid="{0DE35550-468E-4948-9DDE-9B846C6E45B9}"/>
    <cellStyle name="Comma 2 3 4 2 3 2" xfId="13787" xr:uid="{ECD8E952-07F2-48F7-BB50-30E674756ADD}"/>
    <cellStyle name="Comma 2 3 4 2 3 2 2" xfId="48666" xr:uid="{73C18C6B-6EA0-49AB-AB96-3CA345155155}"/>
    <cellStyle name="Comma 2 3 4 2 3 2 3" xfId="51421" xr:uid="{84DCB5DE-8B7E-4F29-A417-9A2336971008}"/>
    <cellStyle name="Comma 2 3 4 2 3 2 4" xfId="52625" xr:uid="{C76D1489-04D3-449D-8F03-BD6222FE6E4F}"/>
    <cellStyle name="Comma 2 3 4 2 3 2 5" xfId="39436" xr:uid="{15580981-2C0E-48CB-86B0-5749AEB22EFE}"/>
    <cellStyle name="Comma 2 3 4 2 3 3" xfId="41290" xr:uid="{DC5FCDCF-673A-495B-BCED-4EF77B2E9F2F}"/>
    <cellStyle name="Comma 2 3 4 2 3 4" xfId="43113" xr:uid="{7D750273-ADAC-4FD8-B4E1-0CAB0E4F4E48}"/>
    <cellStyle name="Comma 2 3 4 2 3 5" xfId="45210" xr:uid="{40D919DC-61D2-45C4-AA9F-C4662D8EAA09}"/>
    <cellStyle name="Comma 2 3 4 2 3 6" xfId="47103" xr:uid="{282557D6-9218-4B87-A99B-13C525D0E1CF}"/>
    <cellStyle name="Comma 2 3 4 2 3 7" xfId="50093" xr:uid="{8417381F-A955-489A-996C-94E40AF2CBD1}"/>
    <cellStyle name="Comma 2 3 4 2 3 8" xfId="52626" xr:uid="{2A240402-3F12-41F8-A0FB-24C65BEB26B9}"/>
    <cellStyle name="Comma 2 3 4 2 3 9" xfId="20814" xr:uid="{B3AA27BE-CEEF-4D7B-BC08-0469826F5209}"/>
    <cellStyle name="Comma 2 3 4 2 4" xfId="9790" xr:uid="{5346F593-050B-4399-8F10-F50C6D73DBAB}"/>
    <cellStyle name="Comma 2 3 4 2 4 2" xfId="13096" xr:uid="{60D90828-88B5-4C35-8D1E-1EE388E0AD5D}"/>
    <cellStyle name="Comma 2 3 4 2 4 2 2" xfId="51780" xr:uid="{F333DCE1-232C-477E-AB7E-B1516983FFCB}"/>
    <cellStyle name="Comma 2 3 4 2 4 2 3" xfId="52627" xr:uid="{EED3AAAF-B47B-42AB-818E-C66765126351}"/>
    <cellStyle name="Comma 2 3 4 2 4 2 4" xfId="49100" xr:uid="{63214ED0-E578-4615-9060-475A1D020922}"/>
    <cellStyle name="Comma 2 3 4 2 4 3" xfId="47517" xr:uid="{FDD21DF4-E784-40B0-95C7-472F5D1F0BF7}"/>
    <cellStyle name="Comma 2 3 4 2 4 4" xfId="50452" xr:uid="{DC4E484A-4034-4FC0-B933-9589880C80DF}"/>
    <cellStyle name="Comma 2 3 4 2 4 5" xfId="52628" xr:uid="{FD860EC8-6FAB-4858-9E2F-C3DB610C835A}"/>
    <cellStyle name="Comma 2 3 4 2 4 6" xfId="20089" xr:uid="{8F24FEBC-9E37-4188-8995-2C974B1FF9FE}"/>
    <cellStyle name="Comma 2 3 4 2 5" xfId="7288" xr:uid="{FE92D9A6-87AA-4BE6-BA55-5F2D43547C62}"/>
    <cellStyle name="Comma 2 3 4 2 5 2" xfId="47830" xr:uid="{C83031E5-0E67-4C90-94AF-4C70B8569C9C}"/>
    <cellStyle name="Comma 2 3 4 2 5 3" xfId="50718" xr:uid="{84777BF8-CA73-448A-A73D-F626A0FEBFD8}"/>
    <cellStyle name="Comma 2 3 4 2 5 4" xfId="52629" xr:uid="{AFB12849-C1DD-4ACD-8235-40B647AF2F0F}"/>
    <cellStyle name="Comma 2 3 4 2 5 5" xfId="23768" xr:uid="{0E01523B-254E-43D7-BC0C-C9D117009CFC}"/>
    <cellStyle name="Comma 2 3 4 2 6" xfId="11811" xr:uid="{B7E054B2-8BF4-4A0B-8085-3710E5228412}"/>
    <cellStyle name="Comma 2 3 4 2 6 2" xfId="38265" xr:uid="{F3930929-3290-48DC-AF70-D8233210EA36}"/>
    <cellStyle name="Comma 2 3 4 2 7" xfId="38845" xr:uid="{B3E71B27-531D-42BC-A478-E64769B7CCFE}"/>
    <cellStyle name="Comma 2 3 4 2 8" xfId="40088" xr:uid="{5B8E64EB-6B20-44C7-BA14-13EA25253D06}"/>
    <cellStyle name="Comma 2 3 4 2 9" xfId="40730" xr:uid="{1B3CE9DF-D3B6-44FC-9700-6A97F1E0E7F1}"/>
    <cellStyle name="Comma 2 3 4 3" xfId="5514" xr:uid="{67A1132A-2BED-4462-9A1C-2DD7445823DA}"/>
    <cellStyle name="Comma 2 3 4 3 10" xfId="42669" xr:uid="{02267D51-0388-42C2-A99A-0D9BB60AB43B}"/>
    <cellStyle name="Comma 2 3 4 3 11" xfId="43803" xr:uid="{2DB22E64-E083-43CD-8617-9687F7BBE61D}"/>
    <cellStyle name="Comma 2 3 4 3 12" xfId="44836" xr:uid="{6B1E410F-9BA3-45B8-9823-1D9E8EA88DDB}"/>
    <cellStyle name="Comma 2 3 4 3 13" xfId="46561" xr:uid="{C49CB0E5-FBE3-4E71-99D8-E8A81C4B306C}"/>
    <cellStyle name="Comma 2 3 4 3 14" xfId="49594" xr:uid="{5C051280-A41F-4DCD-9BD5-3240EB2E87DB}"/>
    <cellStyle name="Comma 2 3 4 3 15" xfId="52630" xr:uid="{56D47147-EA30-411E-99E3-557CD165FDC7}"/>
    <cellStyle name="Comma 2 3 4 3 16" xfId="17022" xr:uid="{59323E19-E878-4232-A4E1-C0DF63461819}"/>
    <cellStyle name="Comma 2 3 4 3 17" xfId="14051" xr:uid="{6055F46A-88C8-4AFC-873B-7305374C7E7F}"/>
    <cellStyle name="Comma 2 3 4 3 2" xfId="7616" xr:uid="{4298CEC3-40D9-4754-8AC0-BA7551DF85CF}"/>
    <cellStyle name="Comma 2 3 4 3 2 10" xfId="14543" xr:uid="{180C9CC5-1EAA-4F13-AF90-32B1427A52B5}"/>
    <cellStyle name="Comma 2 3 4 3 2 2" xfId="10108" xr:uid="{9C83A01D-B829-46F4-955D-56BE6AD69C5A}"/>
    <cellStyle name="Comma 2 3 4 3 2 2 2" xfId="13414" xr:uid="{ADF0C3E9-115A-4BB4-9D48-B534943BBDB2}"/>
    <cellStyle name="Comma 2 3 4 3 2 2 2 2" xfId="48928" xr:uid="{7ACC5968-C25B-4B95-B6C9-0EDCBC6DD921}"/>
    <cellStyle name="Comma 2 3 4 3 2 2 3" xfId="51640" xr:uid="{01C33705-7A3E-41EC-84D3-3F9A95276151}"/>
    <cellStyle name="Comma 2 3 4 3 2 2 4" xfId="52631" xr:uid="{8543DBB2-5743-4A2C-AF40-8ADAFC8EA922}"/>
    <cellStyle name="Comma 2 3 4 3 2 2 5" xfId="39583" xr:uid="{19FA4047-0CB9-4E1E-A1B3-73CE0106AD3D}"/>
    <cellStyle name="Comma 2 3 4 3 2 3" xfId="12129" xr:uid="{89AA697B-46D5-49B6-BB53-1E102290A151}"/>
    <cellStyle name="Comma 2 3 4 3 2 3 2" xfId="41437" xr:uid="{29F2E1E6-A824-4643-90C9-BA6B8B87D9B6}"/>
    <cellStyle name="Comma 2 3 4 3 2 4" xfId="43260" xr:uid="{66452F1A-2361-4DC9-A489-B51DE2A8AB0A}"/>
    <cellStyle name="Comma 2 3 4 3 2 5" xfId="45357" xr:uid="{C65B47DC-77B0-4CFA-82D9-879F117785AA}"/>
    <cellStyle name="Comma 2 3 4 3 2 6" xfId="47352" xr:uid="{5D5CC1D4-F589-449A-BD98-694BEFC6783A}"/>
    <cellStyle name="Comma 2 3 4 3 2 7" xfId="50312" xr:uid="{0F09CA65-5E91-45C8-950F-CAFADD6EEE10}"/>
    <cellStyle name="Comma 2 3 4 3 2 8" xfId="52632" xr:uid="{A6C94FE5-E5D2-44A2-91ED-3EC602034678}"/>
    <cellStyle name="Comma 2 3 4 3 2 9" xfId="21017" xr:uid="{539B7D94-E0DA-43E1-97C7-E87C0255BA9E}"/>
    <cellStyle name="Comma 2 3 4 3 3" xfId="9614" xr:uid="{BE0C834B-7C4C-4263-995E-E715EDC992A1}"/>
    <cellStyle name="Comma 2 3 4 3 3 2" xfId="12920" xr:uid="{F9E066C2-0D00-4D8E-AB49-DE60F1C63467}"/>
    <cellStyle name="Comma 2 3 4 3 3 2 2" xfId="48073" xr:uid="{F5264847-54EE-4CC7-8ABF-B0883A44B42C}"/>
    <cellStyle name="Comma 2 3 4 3 3 3" xfId="50922" xr:uid="{CE1AAFBD-0195-47F7-9075-E38F568C94B0}"/>
    <cellStyle name="Comma 2 3 4 3 3 4" xfId="52633" xr:uid="{EFEE940A-277B-4EB5-90BB-53F6E27CA16B}"/>
    <cellStyle name="Comma 2 3 4 3 3 5" xfId="20236" xr:uid="{111D68E5-375B-4AAA-9844-B18F665CF836}"/>
    <cellStyle name="Comma 2 3 4 3 4" xfId="7110" xr:uid="{5F0A3980-DFC6-4E17-A5A0-DF512AF8CBBF}"/>
    <cellStyle name="Comma 2 3 4 3 4 2" xfId="23770" xr:uid="{EE825E74-CFCA-4931-8143-AE6F8EB1D6A6}"/>
    <cellStyle name="Comma 2 3 4 3 5" xfId="11635" xr:uid="{6BCB759C-77C4-4491-A65F-6134E6FBE154}"/>
    <cellStyle name="Comma 2 3 4 3 5 2" xfId="38267" xr:uid="{39DC67AA-C882-4B29-A6B5-0288D0F8E315}"/>
    <cellStyle name="Comma 2 3 4 3 6" xfId="38992" xr:uid="{DD310B91-D455-4FCF-BACF-827B84A4CA40}"/>
    <cellStyle name="Comma 2 3 4 3 7" xfId="40090" xr:uid="{74FDCCA2-0993-4C66-A03C-248C89E525EA}"/>
    <cellStyle name="Comma 2 3 4 3 8" xfId="40732" xr:uid="{0CE1BCF7-C213-4C89-9AAD-5B65197698E3}"/>
    <cellStyle name="Comma 2 3 4 3 9" xfId="41944" xr:uid="{0A343AEC-1060-4B85-9B3F-7E41057B805F}"/>
    <cellStyle name="Comma 2 3 4 4" xfId="6504" xr:uid="{CF0AAA62-7D25-467F-99E6-7982935319C2}"/>
    <cellStyle name="Comma 2 3 4 4 10" xfId="14405" xr:uid="{A4504292-4F2C-40DE-8953-848E27240FE3}"/>
    <cellStyle name="Comma 2 3 4 4 2" xfId="9476" xr:uid="{B6992F86-7A48-484D-A597-96379559AF00}"/>
    <cellStyle name="Comma 2 3 4 4 2 2" xfId="12782" xr:uid="{009A4D7A-4E79-4DF4-86B9-94C9A3B0A908}"/>
    <cellStyle name="Comma 2 3 4 4 2 2 2" xfId="47938" xr:uid="{135971A7-9779-4237-B52B-BB2A1B21616C}"/>
    <cellStyle name="Comma 2 3 4 4 2 3" xfId="50807" xr:uid="{43CBAD10-C90D-425C-AFAB-17AB23DAEBA6}"/>
    <cellStyle name="Comma 2 3 4 4 2 4" xfId="52634" xr:uid="{8414DB86-AADA-4526-AB55-8F0DF6317BE6}"/>
    <cellStyle name="Comma 2 3 4 4 2 5" xfId="39284" xr:uid="{0817644A-FC78-4B10-9C6C-000B1E412C4B}"/>
    <cellStyle name="Comma 2 3 4 4 3" xfId="11497" xr:uid="{5FDE243B-F20D-49D2-8CFE-5CFF178A51B2}"/>
    <cellStyle name="Comma 2 3 4 4 3 2" xfId="41146" xr:uid="{26E40EC1-9592-46E6-806A-682670377BD6}"/>
    <cellStyle name="Comma 2 3 4 4 4" xfId="42961" xr:uid="{19C45173-36AA-4897-974F-ABFDB8DE4F9F}"/>
    <cellStyle name="Comma 2 3 4 4 5" xfId="45066" xr:uid="{1ED2358B-8C8A-4EFF-A98A-6D8612399C13}"/>
    <cellStyle name="Comma 2 3 4 4 6" xfId="46143" xr:uid="{D795A2F5-F644-4B3D-8362-D4C26291A381}"/>
    <cellStyle name="Comma 2 3 4 4 7" xfId="49479" xr:uid="{17BE41A3-33AB-455C-80F3-C6BE627060F7}"/>
    <cellStyle name="Comma 2 3 4 4 8" xfId="52635" xr:uid="{6F156DFD-DFB6-435E-B7AB-848825D0D1C2}"/>
    <cellStyle name="Comma 2 3 4 4 9" xfId="20530" xr:uid="{A3746E42-9916-43B7-9155-A84394C6A50E}"/>
    <cellStyle name="Comma 2 3 4 5" xfId="7478" xr:uid="{D4EFDA6E-9158-4CD7-ACA3-626667004B9B}"/>
    <cellStyle name="Comma 2 3 4 5 2" xfId="9970" xr:uid="{99D56C9F-FDED-4F5B-8313-73D6C233A8BE}"/>
    <cellStyle name="Comma 2 3 4 5 2 2" xfId="13276" xr:uid="{6766FD85-E23E-4C34-A0CA-20C860C8C5D4}"/>
    <cellStyle name="Comma 2 3 4 5 2 2 2" xfId="51269" xr:uid="{EA4E647E-DE18-4B39-A43B-627392D2F144}"/>
    <cellStyle name="Comma 2 3 4 5 2 3" xfId="52636" xr:uid="{7CEDB57E-C38D-4279-B439-BEB53D9657E3}"/>
    <cellStyle name="Comma 2 3 4 5 2 4" xfId="48483" xr:uid="{8D101C0E-7D42-43EB-B34D-BA65039893DF}"/>
    <cellStyle name="Comma 2 3 4 5 3" xfId="11991" xr:uid="{A354F216-909D-405C-B5B0-D03A0AA4A6F2}"/>
    <cellStyle name="Comma 2 3 4 5 3 2" xfId="46922" xr:uid="{82A022D1-3DC4-4FA8-BA0A-A75B05546F45}"/>
    <cellStyle name="Comma 2 3 4 5 4" xfId="49941" xr:uid="{13FC44FD-58DF-4382-96E2-BE5282DBCF08}"/>
    <cellStyle name="Comma 2 3 4 5 5" xfId="52637" xr:uid="{B0EFE902-D191-4D3E-BEE9-212E3C038722}"/>
    <cellStyle name="Comma 2 3 4 5 6" xfId="19937" xr:uid="{5E246ACA-B81C-46CF-8562-9AE1E08D375E}"/>
    <cellStyle name="Comma 2 3 4 5 7" xfId="14858" xr:uid="{C13B5AF1-929C-4F68-8212-4AC046758C9A}"/>
    <cellStyle name="Comma 2 3 4 6" xfId="8144" xr:uid="{2A84D2FC-C95C-4421-BC1F-C5D371F3D156}"/>
    <cellStyle name="Comma 2 3 4 6 2" xfId="12600" xr:uid="{33EB89E9-57C7-4CCE-AD8B-6599813B2084}"/>
    <cellStyle name="Comma 2 3 4 6 2 2" xfId="51525" xr:uid="{05850CB4-24A0-48F1-9B75-A471EBD673C2}"/>
    <cellStyle name="Comma 2 3 4 6 2 3" xfId="52638" xr:uid="{2EEF5047-E11C-4BF2-AAC5-B0A24B09777D}"/>
    <cellStyle name="Comma 2 3 4 6 2 4" xfId="48790" xr:uid="{B699551A-3DB5-4817-B482-216B3D5DF6FD}"/>
    <cellStyle name="Comma 2 3 4 6 3" xfId="47219" xr:uid="{748EA130-38C7-4495-8BB1-B5E1704D3F70}"/>
    <cellStyle name="Comma 2 3 4 6 4" xfId="50197" xr:uid="{436B394D-CBE5-465E-B965-9D5DA330A479}"/>
    <cellStyle name="Comma 2 3 4 6 5" xfId="52639" xr:uid="{016F42A2-4C1B-40AF-96BB-FF6818921D97}"/>
    <cellStyle name="Comma 2 3 4 6 6" xfId="23767" xr:uid="{35E257A2-50DE-4BAB-9F46-61A31411FECF}"/>
    <cellStyle name="Comma 2 3 4 7" xfId="7931" xr:uid="{B1E7616A-9DF6-44D4-BB66-01A545897E1A}"/>
    <cellStyle name="Comma 2 3 4 7 2" xfId="12444" xr:uid="{3F2BD341-9C68-423A-8AC3-0A8F672FDA50}"/>
    <cellStyle name="Comma 2 3 4 7 2 2" xfId="47677" xr:uid="{AD0E82CB-4605-4E0B-B987-7EC458234EDD}"/>
    <cellStyle name="Comma 2 3 4 7 3" xfId="50585" xr:uid="{77BC3133-B154-42D8-8103-D0E4F83620D6}"/>
    <cellStyle name="Comma 2 3 4 7 4" xfId="52640" xr:uid="{DBCD34AA-B598-4736-8BDC-21973D8D20BC}"/>
    <cellStyle name="Comma 2 3 4 7 5" xfId="38264" xr:uid="{C604C486-9B26-4DC4-9145-A23CA2ABA9D7}"/>
    <cellStyle name="Comma 2 3 4 8" xfId="5828" xr:uid="{F39D3EDD-A2AF-477F-98C8-CFCD45E4A7FD}"/>
    <cellStyle name="Comma 2 3 4 8 2" xfId="38693" xr:uid="{558B7ABF-1F2B-4DCF-8093-E72AAE67905A}"/>
    <cellStyle name="Comma 2 3 4 9" xfId="11316" xr:uid="{91FB6879-730D-4EC5-9F51-287125182EDE}"/>
    <cellStyle name="Comma 2 3 4 9 2" xfId="40087" xr:uid="{9DC8A978-475B-4BEA-83A0-11169B704415}"/>
    <cellStyle name="Comma 2 3 5" xfId="4430" xr:uid="{49AC8432-CB28-491B-9B45-CF93003D8A9C}"/>
    <cellStyle name="Comma 2 3 5 10" xfId="41945" xr:uid="{9B5FE481-E0DB-4F1E-A604-34D53E3F4057}"/>
    <cellStyle name="Comma 2 3 5 11" xfId="42459" xr:uid="{DFEAE5C4-5982-426C-8811-C076F8217364}"/>
    <cellStyle name="Comma 2 3 5 12" xfId="43527" xr:uid="{939CF697-951D-4F73-820F-F3439A18FEEE}"/>
    <cellStyle name="Comma 2 3 5 13" xfId="44531" xr:uid="{174A927E-81EF-4BCF-ABDD-02E23CA5BDBC}"/>
    <cellStyle name="Comma 2 3 5 14" xfId="45702" xr:uid="{AE02F215-282A-4E65-BEA4-DAC6C4C3849D}"/>
    <cellStyle name="Comma 2 3 5 15" xfId="49330" xr:uid="{3477781A-DAA7-4620-8E1C-FC2B01401924}"/>
    <cellStyle name="Comma 2 3 5 16" xfId="52641" xr:uid="{C4C09FD2-78C5-4D47-9BF9-36B6777E1C95}"/>
    <cellStyle name="Comma 2 3 5 17" xfId="16653" xr:uid="{A2BDD94D-F33D-4FF1-9236-FB1A97C1FB98}"/>
    <cellStyle name="Comma 2 3 5 18" xfId="13910" xr:uid="{5C119AFA-B796-45D3-B7B3-236724FB4DEA}"/>
    <cellStyle name="Comma 2 3 5 2" xfId="5687" xr:uid="{702601BA-7B55-4378-A598-4FA5FE4F9B81}"/>
    <cellStyle name="Comma 2 3 5 2 10" xfId="42671" xr:uid="{AF3EB3B7-5F6C-469D-BD8F-BE6390767CE7}"/>
    <cellStyle name="Comma 2 3 5 2 11" xfId="44231" xr:uid="{CDFDC8E1-266D-4A8A-A874-2954F7945E0C}"/>
    <cellStyle name="Comma 2 3 5 2 12" xfId="44838" xr:uid="{3FB3ECA5-2F44-4F2F-AA57-56CD86D8B1FE}"/>
    <cellStyle name="Comma 2 3 5 2 13" xfId="46699" xr:uid="{C1C3E2C4-A872-4AC7-BB3A-5EB4A27A2279}"/>
    <cellStyle name="Comma 2 3 5 2 14" xfId="49731" xr:uid="{F02C9B0E-6839-4F92-A1C9-B2879489DCF8}"/>
    <cellStyle name="Comma 2 3 5 2 15" xfId="52642" xr:uid="{C603F195-F287-4A9B-9E1C-1FAC422B2386}"/>
    <cellStyle name="Comma 2 3 5 2 16" xfId="17024" xr:uid="{2103332D-FE86-4233-B0CA-7A3A9B3E153D}"/>
    <cellStyle name="Comma 2 3 5 2 17" xfId="14224" xr:uid="{ECCAF620-B95E-4CDF-AC82-332AD934DBDB}"/>
    <cellStyle name="Comma 2 3 5 2 2" xfId="7789" xr:uid="{93C06211-B171-4D5B-9EA8-240EF322472D}"/>
    <cellStyle name="Comma 2 3 5 2 2 10" xfId="14716" xr:uid="{8EC44CF1-7D90-4D5A-91EF-7276BCEE1453}"/>
    <cellStyle name="Comma 2 3 5 2 2 2" xfId="10281" xr:uid="{2B66190F-D91D-4D20-98D3-A618B097176F}"/>
    <cellStyle name="Comma 2 3 5 2 2 2 2" xfId="13587" xr:uid="{D925B652-B24E-446C-BAC6-39602C8F8126}"/>
    <cellStyle name="Comma 2 3 5 2 2 2 2 2" xfId="49097" xr:uid="{D66A1BAE-C211-4259-A1CE-1A02548B9C31}"/>
    <cellStyle name="Comma 2 3 5 2 2 2 3" xfId="51777" xr:uid="{C08F1151-F495-495E-A906-59D12D10CE59}"/>
    <cellStyle name="Comma 2 3 5 2 2 2 4" xfId="52643" xr:uid="{C628020D-B2B6-4E6C-ADD5-37772FE746DE}"/>
    <cellStyle name="Comma 2 3 5 2 2 2 5" xfId="39585" xr:uid="{3FDAACBA-8AD0-4B7E-BC56-A4A54F3787A1}"/>
    <cellStyle name="Comma 2 3 5 2 2 3" xfId="12302" xr:uid="{69DA42EF-91FC-4E50-B3D7-B204AFF6FF38}"/>
    <cellStyle name="Comma 2 3 5 2 2 3 2" xfId="41439" xr:uid="{4C47F4AD-4488-4C3D-8F28-E6AE76697D9C}"/>
    <cellStyle name="Comma 2 3 5 2 2 4" xfId="43262" xr:uid="{026C740B-0739-418C-88D6-72EBADE33D71}"/>
    <cellStyle name="Comma 2 3 5 2 2 5" xfId="45359" xr:uid="{2444D8D1-A0D2-4B00-99E0-16EE7CB12B14}"/>
    <cellStyle name="Comma 2 3 5 2 2 6" xfId="47514" xr:uid="{AB305F45-44F6-4365-90A2-3BE7F4D4DB5F}"/>
    <cellStyle name="Comma 2 3 5 2 2 7" xfId="50449" xr:uid="{167CC432-0C9B-4387-8B2D-44DDEADAB4AE}"/>
    <cellStyle name="Comma 2 3 5 2 2 8" xfId="52644" xr:uid="{0942FC29-9755-49E9-B441-5A5CE32D2CCD}"/>
    <cellStyle name="Comma 2 3 5 2 2 9" xfId="21019" xr:uid="{2590A30A-7EC6-47E9-B3C8-F90F5021A673}"/>
    <cellStyle name="Comma 2 3 5 2 3" xfId="9787" xr:uid="{FDC14071-A044-4954-A777-ADA8A98BFA3A}"/>
    <cellStyle name="Comma 2 3 5 2 3 2" xfId="13093" xr:uid="{88684943-B8EC-41EC-9777-B41073A3F0F7}"/>
    <cellStyle name="Comma 2 3 5 2 3 2 2" xfId="48241" xr:uid="{8B531B1C-7F9C-44C6-9ABF-B99B26AADF1A}"/>
    <cellStyle name="Comma 2 3 5 2 3 3" xfId="51059" xr:uid="{C07525B3-F90E-498D-8966-84DEDDA1F240}"/>
    <cellStyle name="Comma 2 3 5 2 3 4" xfId="52645" xr:uid="{75A48A05-07BA-41F4-814B-1B94E65815DC}"/>
    <cellStyle name="Comma 2 3 5 2 3 5" xfId="20238" xr:uid="{E72434A8-EEF9-49CE-9416-C674156FABB6}"/>
    <cellStyle name="Comma 2 3 5 2 4" xfId="7285" xr:uid="{12271AE7-E3E8-4935-88B9-5FEC834599D9}"/>
    <cellStyle name="Comma 2 3 5 2 4 2" xfId="23772" xr:uid="{1EEF40B8-C648-4C5A-8A78-FF408E5F1A2D}"/>
    <cellStyle name="Comma 2 3 5 2 5" xfId="11808" xr:uid="{880AE9A1-10BA-436E-BEA3-33AE89257C5C}"/>
    <cellStyle name="Comma 2 3 5 2 5 2" xfId="38269" xr:uid="{CB2E0C40-2AB1-4C90-B5AB-F4F1AFB77509}"/>
    <cellStyle name="Comma 2 3 5 2 6" xfId="38994" xr:uid="{F08F3354-F8D4-4A02-A42F-451F5E4C748B}"/>
    <cellStyle name="Comma 2 3 5 2 7" xfId="40092" xr:uid="{B42D87F1-F875-417D-8666-5FC1FACC4FD5}"/>
    <cellStyle name="Comma 2 3 5 2 8" xfId="40734" xr:uid="{A9CD5F52-4405-410C-9F58-D64F59C9976D}"/>
    <cellStyle name="Comma 2 3 5 2 9" xfId="41946" xr:uid="{4F5FADD9-8897-47A9-99AE-78A1AC0ADCF4}"/>
    <cellStyle name="Comma 2 3 5 3" xfId="7475" xr:uid="{5F9EDC96-501C-40B5-A6E5-CC954ADE83F5}"/>
    <cellStyle name="Comma 2 3 5 3 10" xfId="14402" xr:uid="{157FB04B-7A9C-4256-BF7C-2AB79AA47DA7}"/>
    <cellStyle name="Comma 2 3 5 3 2" xfId="9967" xr:uid="{FD1DDB41-AE2B-4757-B913-5CFF472C291E}"/>
    <cellStyle name="Comma 2 3 5 3 2 2" xfId="13273" xr:uid="{AAA8EB22-D203-4D16-ADF3-A57782A16CF5}"/>
    <cellStyle name="Comma 2 3 5 3 2 2 2" xfId="47935" xr:uid="{5AE269E3-17AB-4FB3-ACA1-2B5054D00FE0}"/>
    <cellStyle name="Comma 2 3 5 3 2 3" xfId="50804" xr:uid="{2BD7B292-E3D2-4C9E-9131-2EA18923D248}"/>
    <cellStyle name="Comma 2 3 5 3 2 4" xfId="52646" xr:uid="{92DD4BF4-8E7C-4C12-A9CC-55636C8A13A0}"/>
    <cellStyle name="Comma 2 3 5 3 2 5" xfId="39373" xr:uid="{DB5CBFF2-E70B-464C-AAA7-48323C0E5103}"/>
    <cellStyle name="Comma 2 3 5 3 3" xfId="11988" xr:uid="{04306C0C-08CD-4626-8261-57C68242F4D5}"/>
    <cellStyle name="Comma 2 3 5 3 3 2" xfId="41231" xr:uid="{1DE866CE-44EE-49CD-9B93-3183D2CB70E8}"/>
    <cellStyle name="Comma 2 3 5 3 4" xfId="43050" xr:uid="{EC0C4479-5778-4D18-8868-90CB6A59CC5E}"/>
    <cellStyle name="Comma 2 3 5 3 5" xfId="45151" xr:uid="{A08EF1AE-1E55-4163-99A4-D4255FEFE495}"/>
    <cellStyle name="Comma 2 3 5 3 6" xfId="46140" xr:uid="{DB4DC150-B530-4C7D-B67A-535741CBDDA6}"/>
    <cellStyle name="Comma 2 3 5 3 7" xfId="49476" xr:uid="{CBF5CCBF-73A0-4DEB-8729-37A5ADF7E444}"/>
    <cellStyle name="Comma 2 3 5 3 8" xfId="52647" xr:uid="{7BC6C9F4-9501-4F2F-B07A-1574463C13A4}"/>
    <cellStyle name="Comma 2 3 5 3 9" xfId="20747" xr:uid="{CC3654ED-7CD9-4B02-A80D-0AFA88AC1D85}"/>
    <cellStyle name="Comma 2 3 5 4" xfId="11132" xr:uid="{196F3DA8-0EFB-4571-A6D0-22EDE83BB32D}"/>
    <cellStyle name="Comma 2 3 5 4 2" xfId="13729" xr:uid="{CE7FD7D2-BA64-402A-ABDF-0DBA4D57E975}"/>
    <cellStyle name="Comma 2 3 5 4 2 2" xfId="51266" xr:uid="{492077ED-1AED-4042-B8C6-3BD603B687DC}"/>
    <cellStyle name="Comma 2 3 5 4 2 3" xfId="52648" xr:uid="{E5570C18-D123-4CE1-9A57-4F0C5B474777}"/>
    <cellStyle name="Comma 2 3 5 4 2 4" xfId="48480" xr:uid="{AC06757A-5022-4D10-BA4F-CC4DC55DAD24}"/>
    <cellStyle name="Comma 2 3 5 4 3" xfId="46919" xr:uid="{285A5D0E-F3B1-47FD-8C3E-D6611A30A3A8}"/>
    <cellStyle name="Comma 2 3 5 4 4" xfId="49938" xr:uid="{6517DF89-1A69-48AB-9083-B9ABCA06B3B8}"/>
    <cellStyle name="Comma 2 3 5 4 5" xfId="52649" xr:uid="{C678895A-D5E0-4F33-AC96-2A766F32BDCD}"/>
    <cellStyle name="Comma 2 3 5 4 6" xfId="20026" xr:uid="{C35F3512-B67B-4A45-B3B0-9DD62F64A40F}"/>
    <cellStyle name="Comma 2 3 5 4 7" xfId="15031" xr:uid="{58AE0A73-9B1C-450C-9322-7C4948D54B7A}"/>
    <cellStyle name="Comma 2 3 5 5" xfId="9473" xr:uid="{9680E84D-BEE1-4D45-94DA-F5650BFF5C00}"/>
    <cellStyle name="Comma 2 3 5 5 2" xfId="12779" xr:uid="{1E0443E2-8B8A-4171-9CDD-E036119F7D22}"/>
    <cellStyle name="Comma 2 3 5 5 2 2" xfId="51522" xr:uid="{19A2AD16-9847-4803-84CD-25218BDF2368}"/>
    <cellStyle name="Comma 2 3 5 5 2 3" xfId="52650" xr:uid="{2B82A467-C0F8-4021-8FA6-C8A9C6E7FEAA}"/>
    <cellStyle name="Comma 2 3 5 5 2 4" xfId="48787" xr:uid="{8DA08390-45E0-447E-BD0F-49B0C4BB0CF9}"/>
    <cellStyle name="Comma 2 3 5 5 3" xfId="47216" xr:uid="{B4A3CD1B-4694-4FEE-B6F3-8E6F1C8064BB}"/>
    <cellStyle name="Comma 2 3 5 5 4" xfId="50194" xr:uid="{D991F48C-F7B5-4618-863C-575188B24861}"/>
    <cellStyle name="Comma 2 3 5 5 5" xfId="52651" xr:uid="{7C4DA61A-9FA2-4806-ACBA-C1BDB4015DF2}"/>
    <cellStyle name="Comma 2 3 5 5 6" xfId="23771" xr:uid="{AE174A44-B831-437B-8996-802A8C377BC1}"/>
    <cellStyle name="Comma 2 3 5 6" xfId="6501" xr:uid="{B5F6B5C5-5A2A-48EC-B101-9563D394E362}"/>
    <cellStyle name="Comma 2 3 5 6 2" xfId="47759" xr:uid="{789E167A-4BF3-4760-9B88-9AF9B8F12284}"/>
    <cellStyle name="Comma 2 3 5 6 3" xfId="50658" xr:uid="{55D83FB7-BE54-4BC5-85BF-C0145BC8F558}"/>
    <cellStyle name="Comma 2 3 5 6 4" xfId="52652" xr:uid="{C428042E-3EA0-43AD-A0A4-DA73E65FB85A}"/>
    <cellStyle name="Comma 2 3 5 6 5" xfId="38268" xr:uid="{314FD367-023B-44D4-8D72-4C29195231FF}"/>
    <cellStyle name="Comma 2 3 5 7" xfId="11494" xr:uid="{FABC9734-D4C5-4B44-ADFB-58B1D5E5F94E}"/>
    <cellStyle name="Comma 2 3 5 7 2" xfId="38782" xr:uid="{FFE428C9-E9C3-4F50-BEBD-A67DD20B0661}"/>
    <cellStyle name="Comma 2 3 5 8" xfId="40091" xr:uid="{8C957F7A-365E-43E2-81FA-350AF7944E17}"/>
    <cellStyle name="Comma 2 3 5 9" xfId="40733" xr:uid="{FE27F6EE-920A-441F-8D82-229440757CC8}"/>
    <cellStyle name="Comma 2 3 6" xfId="3883" xr:uid="{543B8B39-5817-4638-A6D0-04D1DEA28D9A}"/>
    <cellStyle name="Comma 2 3 6 10" xfId="41947" xr:uid="{550F183A-6A4E-4B9F-AEAE-45C156DD8EF0}"/>
    <cellStyle name="Comma 2 3 6 11" xfId="42398" xr:uid="{F5E01145-4AF2-40B4-8F4F-A875F0FD6AF5}"/>
    <cellStyle name="Comma 2 3 6 12" xfId="43894" xr:uid="{64AF4169-932E-46A5-A7AB-012C927F7A5A}"/>
    <cellStyle name="Comma 2 3 6 13" xfId="44481" xr:uid="{011E9F0F-513A-4E0B-B359-3E5C6D6D3163}"/>
    <cellStyle name="Comma 2 3 6 14" xfId="46648" xr:uid="{DD2B9954-A43E-4A72-819E-902AFB216615}"/>
    <cellStyle name="Comma 2 3 6 15" xfId="49681" xr:uid="{87CD550F-B18B-4067-B999-50F27CF14ECD}"/>
    <cellStyle name="Comma 2 3 6 16" xfId="52653" xr:uid="{B03DAA6A-3229-4C94-89AB-228F66A42EC1}"/>
    <cellStyle name="Comma 2 3 6 17" xfId="16373" xr:uid="{82981280-B81A-4607-91F2-DFDBD12484D9}"/>
    <cellStyle name="Comma 2 3 6 18" xfId="14162" xr:uid="{40E46ADC-40F8-416F-A9D6-CFB44B3758BF}"/>
    <cellStyle name="Comma 2 3 6 2" xfId="5625" xr:uid="{63403E1D-C4F9-49EB-A3C9-3A66E15696BD}"/>
    <cellStyle name="Comma 2 3 6 2 10" xfId="42672" xr:uid="{D53B335C-777A-46F3-BBCB-8924FDDE79CC}"/>
    <cellStyle name="Comma 2 3 6 2 11" xfId="44839" xr:uid="{0F1EF4D9-A3F2-4DDD-810D-1CB331BD9C3A}"/>
    <cellStyle name="Comma 2 3 6 2 12" xfId="46866" xr:uid="{13609AE0-92B4-49AC-B457-18CFBDFE52C0}"/>
    <cellStyle name="Comma 2 3 6 2 13" xfId="49888" xr:uid="{0108FE61-0DF5-4CFA-99B0-9F45D6913AA0}"/>
    <cellStyle name="Comma 2 3 6 2 14" xfId="52654" xr:uid="{FA33A121-9A4C-47D8-8351-AC41A6F29DB7}"/>
    <cellStyle name="Comma 2 3 6 2 15" xfId="17025" xr:uid="{6AE94C2A-C3AA-4CEC-8CB1-C0624A2C5198}"/>
    <cellStyle name="Comma 2 3 6 2 16" xfId="14654" xr:uid="{D4548452-7A3E-4C3C-AFD6-561C65A001C6}"/>
    <cellStyle name="Comma 2 3 6 2 2" xfId="10219" xr:uid="{A45AF0EB-4D96-4DDB-8D80-D561677BB006}"/>
    <cellStyle name="Comma 2 3 6 2 2 2" xfId="13525" xr:uid="{418838A8-813F-49A5-A17D-0AD99A163522}"/>
    <cellStyle name="Comma 2 3 6 2 2 2 2" xfId="39586" xr:uid="{4F27A6DE-F187-4C11-8AEC-D8E51A7CDE42}"/>
    <cellStyle name="Comma 2 3 6 2 2 3" xfId="41440" xr:uid="{C57CBB87-5653-436C-9EAF-F64C7D3B8408}"/>
    <cellStyle name="Comma 2 3 6 2 2 4" xfId="43263" xr:uid="{27A1F153-4838-4244-906A-A738AE1BF393}"/>
    <cellStyle name="Comma 2 3 6 2 2 5" xfId="45360" xr:uid="{1A322DA2-0A66-4872-B744-5AF230FED740}"/>
    <cellStyle name="Comma 2 3 6 2 2 6" xfId="48422" xr:uid="{A6DFC42A-2FE1-4750-81BA-535268A154AF}"/>
    <cellStyle name="Comma 2 3 6 2 2 7" xfId="51216" xr:uid="{1D427E1C-E3E4-4BAF-AE15-9CE7EABDC58D}"/>
    <cellStyle name="Comma 2 3 6 2 2 8" xfId="52655" xr:uid="{A3C09079-8306-4ED1-BC8C-54DCADC014A7}"/>
    <cellStyle name="Comma 2 3 6 2 2 9" xfId="21020" xr:uid="{335445A1-D4F1-4083-8987-C585627CE61E}"/>
    <cellStyle name="Comma 2 3 6 2 3" xfId="7727" xr:uid="{B03D7081-DC8E-40B2-9BFB-4DEC51128A67}"/>
    <cellStyle name="Comma 2 3 6 2 3 2" xfId="20239" xr:uid="{BDC600A1-334F-4D79-AC38-3A872939D6E1}"/>
    <cellStyle name="Comma 2 3 6 2 4" xfId="12240" xr:uid="{686B82B9-EFA9-4EA5-8399-FCC96700F812}"/>
    <cellStyle name="Comma 2 3 6 2 4 2" xfId="23774" xr:uid="{FEDD2CE2-F44D-40FB-8C33-2727E4C2C23C}"/>
    <cellStyle name="Comma 2 3 6 2 5" xfId="38271" xr:uid="{42796C38-D337-4396-BD9B-555A890B301E}"/>
    <cellStyle name="Comma 2 3 6 2 6" xfId="38995" xr:uid="{23C6FB57-895A-45D4-9C8F-9F3BF30A1E44}"/>
    <cellStyle name="Comma 2 3 6 2 7" xfId="40094" xr:uid="{114C424D-CE8D-4C62-AA16-DE49D7686E8B}"/>
    <cellStyle name="Comma 2 3 6 2 8" xfId="40736" xr:uid="{3A88F92C-FF02-497F-AF6F-04D06686411F}"/>
    <cellStyle name="Comma 2 3 6 2 9" xfId="41948" xr:uid="{B1552D6D-45C5-459D-8209-323358262BEE}"/>
    <cellStyle name="Comma 2 3 6 3" xfId="9725" xr:uid="{30E6F18E-3322-4F1F-9165-1887A1098295}"/>
    <cellStyle name="Comma 2 3 6 3 10" xfId="14969" xr:uid="{CED66EBC-649A-44B7-9DC7-535492618BA7}"/>
    <cellStyle name="Comma 2 3 6 3 2" xfId="13031" xr:uid="{7713EF94-D94C-4798-8CC9-2EABD54A015E}"/>
    <cellStyle name="Comma 2 3 6 3 2 2" xfId="49037" xr:uid="{81E945D8-7722-4562-A638-EF55715A4DD4}"/>
    <cellStyle name="Comma 2 3 6 3 2 3" xfId="51727" xr:uid="{6AF95B95-5D78-44B0-832E-C6A6BBD15118}"/>
    <cellStyle name="Comma 2 3 6 3 2 4" xfId="52656" xr:uid="{028C7921-B426-49FA-92A4-ADE8C9E104B2}"/>
    <cellStyle name="Comma 2 3 6 3 2 5" xfId="39312" xr:uid="{88C5B147-F86C-4E85-923C-A65BCE9E5F9A}"/>
    <cellStyle name="Comma 2 3 6 3 3" xfId="41174" xr:uid="{F963D709-8C63-4800-BD92-089F254F0321}"/>
    <cellStyle name="Comma 2 3 6 3 4" xfId="42989" xr:uid="{473315AF-9D17-4A3E-AE4E-A5E532F365E0}"/>
    <cellStyle name="Comma 2 3 6 3 5" xfId="45094" xr:uid="{A29C3A74-2C2B-47C3-A208-72EB036FE655}"/>
    <cellStyle name="Comma 2 3 6 3 6" xfId="47456" xr:uid="{7F7A5ECB-E044-4C13-A302-9E8C013238BA}"/>
    <cellStyle name="Comma 2 3 6 3 7" xfId="50399" xr:uid="{F52CCE9F-3DA9-48B0-820B-84E31F076A1D}"/>
    <cellStyle name="Comma 2 3 6 3 8" xfId="52657" xr:uid="{2D3D4C25-8662-474F-9D74-5451A3913719}"/>
    <cellStyle name="Comma 2 3 6 3 9" xfId="20618" xr:uid="{3D83F8B6-9D4D-457A-B9EB-CF4E53EE6281}"/>
    <cellStyle name="Comma 2 3 6 4" xfId="7221" xr:uid="{059538DF-4177-4FD4-ACCE-2C5DE479ADEE}"/>
    <cellStyle name="Comma 2 3 6 4 2" xfId="48182" xr:uid="{D223C424-E441-4391-A7B0-6D2A063C073B}"/>
    <cellStyle name="Comma 2 3 6 4 3" xfId="51009" xr:uid="{C20249EC-DCAA-45B7-9F8E-6AAED3080573}"/>
    <cellStyle name="Comma 2 3 6 4 4" xfId="52658" xr:uid="{0F7B9718-689E-4436-8DF3-7C1B252DA8DB}"/>
    <cellStyle name="Comma 2 3 6 4 5" xfId="19965" xr:uid="{5A3924C3-B3BA-4261-AC57-40B30C25D9BD}"/>
    <cellStyle name="Comma 2 3 6 5" xfId="11746" xr:uid="{6D5D6D6A-0F29-4725-92E6-7E53BE8E9C00}"/>
    <cellStyle name="Comma 2 3 6 5 2" xfId="23773" xr:uid="{4FB4976E-596A-403B-BD83-D416B469156C}"/>
    <cellStyle name="Comma 2 3 6 6" xfId="38270" xr:uid="{9A9B1E7E-E529-406D-924E-9051567D6851}"/>
    <cellStyle name="Comma 2 3 6 7" xfId="38721" xr:uid="{D577DC36-1A55-4940-A18F-A5AE37761168}"/>
    <cellStyle name="Comma 2 3 6 8" xfId="40093" xr:uid="{4157AECB-A0DF-4B74-B751-0E594B7A6DCC}"/>
    <cellStyle name="Comma 2 3 6 9" xfId="40735" xr:uid="{194D45D8-968E-4B42-9181-DBAEC709E4FC}"/>
    <cellStyle name="Comma 2 3 7" xfId="5511" xr:uid="{5C35E55E-5F2C-4E89-B097-11BAB5C10A90}"/>
    <cellStyle name="Comma 2 3 7 10" xfId="42673" xr:uid="{6A5C2356-9FAF-4A38-95F0-1CE01C6BC008}"/>
    <cellStyle name="Comma 2 3 7 11" xfId="43800" xr:uid="{534C71DD-553F-46D2-BF59-DB606F2C818B}"/>
    <cellStyle name="Comma 2 3 7 12" xfId="44840" xr:uid="{240AABBE-4046-4726-AD0F-D18492488A36}"/>
    <cellStyle name="Comma 2 3 7 13" xfId="46558" xr:uid="{E7E9675A-E00A-4747-8E32-1B69864DCF55}"/>
    <cellStyle name="Comma 2 3 7 14" xfId="49591" xr:uid="{CCA99F92-B613-4239-AB3A-044A148E037F}"/>
    <cellStyle name="Comma 2 3 7 15" xfId="52659" xr:uid="{B3D0D9A9-D5AE-43C8-8D00-86927B9DF55C}"/>
    <cellStyle name="Comma 2 3 7 16" xfId="17026" xr:uid="{070FAD45-3EDC-4CC6-B6BD-20FC31BDCCD8}"/>
    <cellStyle name="Comma 2 3 7 17" xfId="14048" xr:uid="{9CA6BFDC-C458-460E-86F5-258A5CF4332C}"/>
    <cellStyle name="Comma 2 3 7 2" xfId="7613" xr:uid="{4C9F37EC-C073-4410-8F30-5F863BAFCB42}"/>
    <cellStyle name="Comma 2 3 7 2 10" xfId="14540" xr:uid="{9DEBBDD9-8D3D-4C1C-B6DA-84E438E6A159}"/>
    <cellStyle name="Comma 2 3 7 2 2" xfId="10105" xr:uid="{A1EAD4E2-6BB4-41D5-8B41-D40EB0DD1C3E}"/>
    <cellStyle name="Comma 2 3 7 2 2 2" xfId="13411" xr:uid="{ECEB91E6-8589-49A1-B955-FF33D593ECC9}"/>
    <cellStyle name="Comma 2 3 7 2 2 2 2" xfId="48614" xr:uid="{42F502B1-5710-4D47-8CEE-34114EFD196A}"/>
    <cellStyle name="Comma 2 3 7 2 2 3" xfId="51377" xr:uid="{47ECA853-B584-4B75-85D9-A4D71B15E1A4}"/>
    <cellStyle name="Comma 2 3 7 2 2 4" xfId="52660" xr:uid="{13777E5A-0107-42E0-8581-5689EB4ABD05}"/>
    <cellStyle name="Comma 2 3 7 2 2 5" xfId="39587" xr:uid="{03E365D4-9FE2-42CF-A3E5-E83A8BD86EDB}"/>
    <cellStyle name="Comma 2 3 7 2 3" xfId="12126" xr:uid="{4AD72BE6-D57D-4998-BF8A-088876540716}"/>
    <cellStyle name="Comma 2 3 7 2 3 2" xfId="41441" xr:uid="{7EFFB15A-AAB5-4987-B34D-21DA80C41A8D}"/>
    <cellStyle name="Comma 2 3 7 2 4" xfId="43264" xr:uid="{606F898A-6C52-4CF1-95B4-AE69084A54A1}"/>
    <cellStyle name="Comma 2 3 7 2 5" xfId="45361" xr:uid="{FC507CF8-9BA3-4B2E-BAA3-4F4EB14FCB7F}"/>
    <cellStyle name="Comma 2 3 7 2 6" xfId="47048" xr:uid="{D5480BC2-C05F-4281-8358-AA7EF458FE93}"/>
    <cellStyle name="Comma 2 3 7 2 7" xfId="50049" xr:uid="{468889ED-1398-46EA-9614-B02ACBA02DAA}"/>
    <cellStyle name="Comma 2 3 7 2 8" xfId="52661" xr:uid="{0AE6F678-2EC3-4371-9D17-F9D67EF85950}"/>
    <cellStyle name="Comma 2 3 7 2 9" xfId="21021" xr:uid="{35E4BE2A-48C9-4428-B7F7-64AF3A40C0B2}"/>
    <cellStyle name="Comma 2 3 7 3" xfId="9611" xr:uid="{3CF0A553-FB8C-4E29-9A83-B10875EF4FD6}"/>
    <cellStyle name="Comma 2 3 7 3 2" xfId="12917" xr:uid="{414FF6D5-ACEF-4CC0-9C9E-842501306CF1}"/>
    <cellStyle name="Comma 2 3 7 3 2 2" xfId="51637" xr:uid="{A4A6EEE3-0C16-4E43-8B98-9ED5680601CD}"/>
    <cellStyle name="Comma 2 3 7 3 2 3" xfId="52662" xr:uid="{DC145AD1-D72B-41FE-8CCB-F618A04555F9}"/>
    <cellStyle name="Comma 2 3 7 3 2 4" xfId="48925" xr:uid="{5D13DC5A-59D1-486D-A7D5-2A5D839E47D9}"/>
    <cellStyle name="Comma 2 3 7 3 3" xfId="47349" xr:uid="{49EFA47B-7C75-4C21-A289-3E7B53A5DF1C}"/>
    <cellStyle name="Comma 2 3 7 3 4" xfId="50309" xr:uid="{9C2218A8-1FFC-4662-96D9-015226A176AF}"/>
    <cellStyle name="Comma 2 3 7 3 5" xfId="52663" xr:uid="{AF647F3D-9861-4037-B53D-F7ACD1C17A5D}"/>
    <cellStyle name="Comma 2 3 7 3 6" xfId="20240" xr:uid="{B1F22151-5279-4564-94CD-65CA70C179BF}"/>
    <cellStyle name="Comma 2 3 7 4" xfId="7107" xr:uid="{DBA01AAD-C422-4BC3-8AB2-F65193880C47}"/>
    <cellStyle name="Comma 2 3 7 4 2" xfId="48070" xr:uid="{4F0B2C07-DEC2-48E0-995D-FBDA247B3897}"/>
    <cellStyle name="Comma 2 3 7 4 3" xfId="50919" xr:uid="{6413BE29-6386-467D-A3D7-CB65E5F5F818}"/>
    <cellStyle name="Comma 2 3 7 4 4" xfId="52664" xr:uid="{1BDDD869-F35A-4DEF-A34C-762B75FAFCFA}"/>
    <cellStyle name="Comma 2 3 7 4 5" xfId="23775" xr:uid="{5AB31B18-CE1B-4E2B-9C31-F01B469F32D4}"/>
    <cellStyle name="Comma 2 3 7 5" xfId="11632" xr:uid="{A782B9E2-9DEC-4FE5-9AB5-3622A19B44FA}"/>
    <cellStyle name="Comma 2 3 7 5 2" xfId="38272" xr:uid="{82E3452C-66D7-4E76-9534-F11111C957EA}"/>
    <cellStyle name="Comma 2 3 7 6" xfId="38996" xr:uid="{58EB2BD2-F6A2-4D4D-9D3B-DDFCE93044A4}"/>
    <cellStyle name="Comma 2 3 7 7" xfId="40095" xr:uid="{A49DDB05-5A9B-4E95-820E-F9F71BF579A8}"/>
    <cellStyle name="Comma 2 3 7 8" xfId="40737" xr:uid="{C1F88B0D-F1F3-4F42-88FB-86903235C511}"/>
    <cellStyle name="Comma 2 3 7 9" xfId="41949" xr:uid="{AE773806-5C10-49B2-9143-85A9F995FB15}"/>
    <cellStyle name="Comma 2 3 8" xfId="5950" xr:uid="{44FBDE16-4781-4461-B1E5-D0A0E9A8224B}"/>
    <cellStyle name="Comma 2 3 8 10" xfId="42659" xr:uid="{2BB8B807-6FD7-423B-A11C-D63E3A4931AC}"/>
    <cellStyle name="Comma 2 3 8 11" xfId="44826" xr:uid="{1CBFEC84-1017-4507-8C7D-78557AF099CA}"/>
    <cellStyle name="Comma 2 3 8 12" xfId="45804" xr:uid="{8FBED86C-4520-423E-9BA7-24A5CB831A53}"/>
    <cellStyle name="Comma 2 3 8 13" xfId="49426" xr:uid="{FB6B7A57-1B9E-4E28-8CD1-85650C95FE21}"/>
    <cellStyle name="Comma 2 3 8 14" xfId="52665" xr:uid="{C6A1A84E-41BE-4EBE-BC7A-0EF3A5FB930E}"/>
    <cellStyle name="Comma 2 3 8 15" xfId="17012" xr:uid="{C43CBAA7-DC51-4E51-8836-C73A01A589D8}"/>
    <cellStyle name="Comma 2 3 8 16" xfId="14340" xr:uid="{5FF833C3-5134-457E-9472-FAC2B7EE9EDD}"/>
    <cellStyle name="Comma 2 3 8 2" xfId="9408" xr:uid="{8AFE21FA-B2EF-4F48-AA70-A0CE772F4E0B}"/>
    <cellStyle name="Comma 2 3 8 2 2" xfId="12714" xr:uid="{7FA83D48-8970-4A9E-87F6-B3111B8682AD}"/>
    <cellStyle name="Comma 2 3 8 2 2 2" xfId="39573" xr:uid="{73DF1E09-0C97-474C-9AF4-24A1437C7599}"/>
    <cellStyle name="Comma 2 3 8 2 3" xfId="41427" xr:uid="{75B9A5B7-2D6E-4C08-925E-78FBAFD1C800}"/>
    <cellStyle name="Comma 2 3 8 2 4" xfId="43250" xr:uid="{8A8DC576-4275-47FD-8339-99E1A90E611E}"/>
    <cellStyle name="Comma 2 3 8 2 5" xfId="45347" xr:uid="{597908D0-50AE-48AA-8FD8-84042A628013}"/>
    <cellStyle name="Comma 2 3 8 2 6" xfId="47877" xr:uid="{A662A68C-CC00-4BED-8093-1000DE12BD9E}"/>
    <cellStyle name="Comma 2 3 8 2 7" xfId="50754" xr:uid="{6388B971-2EA3-4003-8CEB-6C237A233038}"/>
    <cellStyle name="Comma 2 3 8 2 8" xfId="52666" xr:uid="{99C53CD2-4E11-4D66-968A-32A27A2F93E5}"/>
    <cellStyle name="Comma 2 3 8 2 9" xfId="21007" xr:uid="{F1180D83-B385-4CC2-94D4-5D30530515BC}"/>
    <cellStyle name="Comma 2 3 8 3" xfId="11429" xr:uid="{5785FCAB-A5DC-4CF3-84AA-761487C28AB8}"/>
    <cellStyle name="Comma 2 3 8 3 2" xfId="20226" xr:uid="{10EF1E0A-CA87-4000-B0CF-4489222BF9FB}"/>
    <cellStyle name="Comma 2 3 8 4" xfId="23776" xr:uid="{08A42575-7A0F-468E-AC9C-598E46CCEDCB}"/>
    <cellStyle name="Comma 2 3 8 5" xfId="38273" xr:uid="{CCE22A4C-FBD5-48AE-9298-901AF837D705}"/>
    <cellStyle name="Comma 2 3 8 6" xfId="38982" xr:uid="{C46186BC-98AA-474F-8481-78CA2EE5F8A9}"/>
    <cellStyle name="Comma 2 3 8 7" xfId="40096" xr:uid="{7D1E5DAB-D8BD-4872-83C7-890822D9D533}"/>
    <cellStyle name="Comma 2 3 8 8" xfId="40738" xr:uid="{4A9AFA26-352D-4931-A8F6-EBCF3AA9D199}"/>
    <cellStyle name="Comma 2 3 8 9" xfId="41950" xr:uid="{33B203DD-620A-49CD-B5B2-56ABDC29760D}"/>
    <cellStyle name="Comma 2 3 9" xfId="7413" xr:uid="{C22AB272-0A25-4E53-B44A-ECCA895A50CC}"/>
    <cellStyle name="Comma 2 3 9 10" xfId="42825" xr:uid="{B098E2FF-5CDF-4C13-9E03-94264A22FFCB}"/>
    <cellStyle name="Comma 2 3 9 11" xfId="44952" xr:uid="{8C7D0F63-25FC-4920-8E4C-C9F31565D0F0}"/>
    <cellStyle name="Comma 2 3 9 12" xfId="46819" xr:uid="{A1F231F5-A6B4-479D-9561-5996CB0CF241}"/>
    <cellStyle name="Comma 2 3 9 13" xfId="49843" xr:uid="{233EAA7A-6154-40C5-8998-92438E1AB6EF}"/>
    <cellStyle name="Comma 2 3 9 14" xfId="52667" xr:uid="{619EC391-8EFE-40DF-B231-954405A4150C}"/>
    <cellStyle name="Comma 2 3 9 15" xfId="19731" xr:uid="{E14A75E5-175A-46B4-A7D5-2ED4A27201AE}"/>
    <cellStyle name="Comma 2 3 9 16" xfId="14855" xr:uid="{4E9145BA-8C04-46CD-82E5-67CF422D2E63}"/>
    <cellStyle name="Comma 2 3 9 2" xfId="9905" xr:uid="{ACB69BCD-96E0-40D6-A0C9-E1D928859614}"/>
    <cellStyle name="Comma 2 3 9 2 2" xfId="13211" xr:uid="{59FF342D-1B44-4EA3-9FF4-76D79F5FE1AA}"/>
    <cellStyle name="Comma 2 3 9 2 2 2" xfId="39739" xr:uid="{BFB1FD61-2402-484E-9402-66A05402FDB0}"/>
    <cellStyle name="Comma 2 3 9 2 3" xfId="41592" xr:uid="{51FF8A40-9ABD-4FB2-99BE-188BC78F1061}"/>
    <cellStyle name="Comma 2 3 9 2 4" xfId="43416" xr:uid="{796C0174-05E9-4665-832B-FEC10D4A2CD6}"/>
    <cellStyle name="Comma 2 3 9 2 5" xfId="45495" xr:uid="{A3396223-D0C3-44FB-BAC4-A4ACB7CC572B}"/>
    <cellStyle name="Comma 2 3 9 2 6" xfId="48370" xr:uid="{4520F264-8A1D-4EA7-B55C-EE3D80F71EB3}"/>
    <cellStyle name="Comma 2 3 9 2 7" xfId="51171" xr:uid="{B0E461B3-C9C7-4967-8B8C-D8D134445FD0}"/>
    <cellStyle name="Comma 2 3 9 2 8" xfId="52668" xr:uid="{02FCC2C7-13CD-4DB6-9F16-C584E9F2B82A}"/>
    <cellStyle name="Comma 2 3 9 2 9" xfId="23348" xr:uid="{9117D854-A13B-4BF0-BD71-72091804CB66}"/>
    <cellStyle name="Comma 2 3 9 3" xfId="11926" xr:uid="{8247B533-5207-490C-90E0-5E49E3065DAE}"/>
    <cellStyle name="Comma 2 3 9 3 2" xfId="20392" xr:uid="{4FEDE24A-53F3-4510-9D02-32DFF75AF515}"/>
    <cellStyle name="Comma 2 3 9 4" xfId="23777" xr:uid="{0B741384-88EE-4BCD-BFB4-C06D09AE3F6D}"/>
    <cellStyle name="Comma 2 3 9 5" xfId="38274" xr:uid="{8DFC327D-BDD0-4440-91AD-1B9D7BB8894B}"/>
    <cellStyle name="Comma 2 3 9 6" xfId="39148" xr:uid="{E24E96F3-9048-4016-A34D-54A5129EE749}"/>
    <cellStyle name="Comma 2 3 9 7" xfId="40097" xr:uid="{C99142C6-42FD-49EC-B1F8-82564924AB65}"/>
    <cellStyle name="Comma 2 3 9 8" xfId="40739" xr:uid="{7CFCD4BB-91AF-4E82-BC2D-EC9F38A725C7}"/>
    <cellStyle name="Comma 2 3 9 9" xfId="41951" xr:uid="{94E69F6E-EB62-4DF9-8D0D-5A6D3A81E411}"/>
    <cellStyle name="Comma 2 30" xfId="49237" xr:uid="{718A6736-9E56-45CC-B216-6FA1E79B1E38}"/>
    <cellStyle name="Comma 2 31" xfId="52669" xr:uid="{8738BEC2-79EB-41ED-B356-AEF490EE87F7}"/>
    <cellStyle name="Comma 2 32" xfId="15195" xr:uid="{309588AC-1285-4828-AD9B-9DDC4DE9A281}"/>
    <cellStyle name="Comma 2 33" xfId="13886" xr:uid="{0A51478A-E408-49AE-9921-8654D85011B4}"/>
    <cellStyle name="Comma 2 4" xfId="1758" xr:uid="{6E5B4D94-B943-46AF-9578-1365FE59E3B5}"/>
    <cellStyle name="Comma 2 4 10" xfId="8102" xr:uid="{6A9A0899-2351-48CA-9194-726392C78192}"/>
    <cellStyle name="Comma 2 4 10 2" xfId="12558" xr:uid="{B0D1C339-52C1-4D33-A12A-8D6F615D285B}"/>
    <cellStyle name="Comma 2 4 10 2 2" xfId="47627" xr:uid="{C2BF1054-8C28-4745-9A82-B57F56005E0E}"/>
    <cellStyle name="Comma 2 4 10 3" xfId="50540" xr:uid="{136511F9-78FD-4C85-8F4E-87977BE9FE5A}"/>
    <cellStyle name="Comma 2 4 10 4" xfId="52670" xr:uid="{B59FE231-F95A-4F69-949D-B9339DB176A1}"/>
    <cellStyle name="Comma 2 4 10 5" xfId="19875" xr:uid="{734C2588-6D72-4A33-997A-A90BCF520E33}"/>
    <cellStyle name="Comma 2 4 11" xfId="7932" xr:uid="{847C8552-D9A1-4AD7-80DE-0F9992327137}"/>
    <cellStyle name="Comma 2 4 11 2" xfId="12445" xr:uid="{17650511-69AF-4854-AF48-0E797435C52F}"/>
    <cellStyle name="Comma 2 4 11 3" xfId="23778" xr:uid="{0E05B553-1351-401D-A942-94C00B06E850}"/>
    <cellStyle name="Comma 2 4 12" xfId="11274" xr:uid="{CD665518-7C6C-47C9-BED6-856FF1EFC2BA}"/>
    <cellStyle name="Comma 2 4 12 2" xfId="13833" xr:uid="{2E0F19AD-59E5-4421-A731-84770123CD8F}"/>
    <cellStyle name="Comma 2 4 12 3" xfId="38275" xr:uid="{4ECA1EDB-2D73-4A35-A680-B05AB779AEF3}"/>
    <cellStyle name="Comma 2 4 13" xfId="5829" xr:uid="{6970345F-FBA0-4967-9365-EF990E8B6211}"/>
    <cellStyle name="Comma 2 4 13 2" xfId="38633" xr:uid="{1A180234-7B29-48A1-B4D2-F3964226BF19}"/>
    <cellStyle name="Comma 2 4 14" xfId="11317" xr:uid="{5C34092B-F3D7-4E1B-A120-07CBB2A1D6AE}"/>
    <cellStyle name="Comma 2 4 14 2" xfId="40098" xr:uid="{F7E98F97-A457-442B-949A-C2FEA7D9B5C2}"/>
    <cellStyle name="Comma 2 4 15" xfId="40740" xr:uid="{45421172-FFA8-41D9-96B0-BF4F20F81477}"/>
    <cellStyle name="Comma 2 4 16" xfId="41952" xr:uid="{754714F4-B44E-4CA7-9D57-6050ADF035D6}"/>
    <cellStyle name="Comma 2 4 17" xfId="42310" xr:uid="{8C13C2DC-2B90-4A79-B75D-3351FF527851}"/>
    <cellStyle name="Comma 2 4 18" xfId="43476" xr:uid="{AF51050B-D323-4BA1-B805-9DFFCC05BD1B}"/>
    <cellStyle name="Comma 2 4 19" xfId="44394" xr:uid="{1DE790E9-3452-42CA-B7E4-818C014AF47D}"/>
    <cellStyle name="Comma 2 4 2" xfId="1759" xr:uid="{8D25EE19-1C68-49A4-882F-2E251EC2FE4E}"/>
    <cellStyle name="Comma 2 4 2 10" xfId="5830" xr:uid="{7C66D0F5-E684-4409-B3D3-0E186FEA0DE7}"/>
    <cellStyle name="Comma 2 4 2 10 2" xfId="38671" xr:uid="{8B08AD6C-C8C2-40FD-B1AB-C76C9D060C21}"/>
    <cellStyle name="Comma 2 4 2 11" xfId="11318" xr:uid="{F241562F-19EC-4503-BAF7-1C3F32975F7C}"/>
    <cellStyle name="Comma 2 4 2 11 2" xfId="40099" xr:uid="{C2497946-354A-4A26-B12A-E965269C08CF}"/>
    <cellStyle name="Comma 2 4 2 12" xfId="40741" xr:uid="{59DA245C-FC93-4FA6-901C-448E9C4C06F2}"/>
    <cellStyle name="Comma 2 4 2 13" xfId="41953" xr:uid="{88C104BC-929A-47FA-9DEC-034F3833099C}"/>
    <cellStyle name="Comma 2 4 2 14" xfId="42348" xr:uid="{73549D5A-64C7-43D7-9799-3EAC69DADF6D}"/>
    <cellStyle name="Comma 2 4 2 15" xfId="43532" xr:uid="{95374024-0FEA-4B5F-8E8F-1DEA7A4738AF}"/>
    <cellStyle name="Comma 2 4 2 16" xfId="44395" xr:uid="{0ECFC9BC-3E37-4654-BA65-387F056A2081}"/>
    <cellStyle name="Comma 2 4 2 17" xfId="45632" xr:uid="{BD410686-646E-4293-A108-78E391BCE801}"/>
    <cellStyle name="Comma 2 4 2 18" xfId="49261" xr:uid="{FDA2F7FA-68AE-4CBB-B13C-F2E971F63CF6}"/>
    <cellStyle name="Comma 2 4 2 19" xfId="52671" xr:uid="{7E5E84C9-CA45-48D4-A948-9EE5B77173AB}"/>
    <cellStyle name="Comma 2 4 2 2" xfId="4435" xr:uid="{B84D4AC3-0F58-4F3C-B3CE-468C4AE28665}"/>
    <cellStyle name="Comma 2 4 2 2 10" xfId="41954" xr:uid="{CE949254-D9B6-45E0-8EF0-7E1888658CE6}"/>
    <cellStyle name="Comma 2 4 2 2 11" xfId="42500" xr:uid="{55870430-AF74-4042-BA46-E8B9CFE0F8F6}"/>
    <cellStyle name="Comma 2 4 2 2 12" xfId="44236" xr:uid="{F6D7BBA0-F90C-43EF-9534-A10D5C8E0B60}"/>
    <cellStyle name="Comma 2 4 2 2 13" xfId="44536" xr:uid="{052069F0-41E2-4D0D-B51A-E6018D99A896}"/>
    <cellStyle name="Comma 2 4 2 2 14" xfId="45706" xr:uid="{17542D5C-21B9-4FE3-980C-14B71A653A07}"/>
    <cellStyle name="Comma 2 4 2 2 15" xfId="49334" xr:uid="{8449C676-A62C-4986-9866-AA4F885AD73B}"/>
    <cellStyle name="Comma 2 4 2 2 16" xfId="52672" xr:uid="{DCD8AC85-29C8-4C4D-92B8-53964EB990B5}"/>
    <cellStyle name="Comma 2 4 2 2 17" xfId="16763" xr:uid="{B26C5FB2-1C4B-47C7-BAA4-49D3B6BF32D4}"/>
    <cellStyle name="Comma 2 4 2 2 18" xfId="14229" xr:uid="{B214790B-533F-4B93-BED4-450471A909D1}"/>
    <cellStyle name="Comma 2 4 2 2 2" xfId="5692" xr:uid="{DB23950B-3440-45B7-AC04-5FD2E0237C47}"/>
    <cellStyle name="Comma 2 4 2 2 2 10" xfId="42676" xr:uid="{9431F206-0C7C-4221-950F-225388B30C73}"/>
    <cellStyle name="Comma 2 4 2 2 2 11" xfId="44843" xr:uid="{9A5201DB-F049-4BA3-BF3E-5E1BBBA8C76B}"/>
    <cellStyle name="Comma 2 4 2 2 2 12" xfId="46704" xr:uid="{365D597A-9293-4EF8-A721-AD8CB4A59DE9}"/>
    <cellStyle name="Comma 2 4 2 2 2 13" xfId="49736" xr:uid="{FAD00183-06D6-4BCB-8C57-4909ECCD2EF3}"/>
    <cellStyle name="Comma 2 4 2 2 2 14" xfId="52673" xr:uid="{5213A26E-EB1B-421E-B0FA-5153AF784CFF}"/>
    <cellStyle name="Comma 2 4 2 2 2 15" xfId="17029" xr:uid="{84D36DBB-FED4-4723-86B4-C8E30AFC654A}"/>
    <cellStyle name="Comma 2 4 2 2 2 16" xfId="14721" xr:uid="{58701783-8921-4F5A-8A19-0AD51C752BA8}"/>
    <cellStyle name="Comma 2 4 2 2 2 2" xfId="10286" xr:uid="{BDBBA913-B903-4ADB-B3D7-7C0454240A1E}"/>
    <cellStyle name="Comma 2 4 2 2 2 2 2" xfId="13592" xr:uid="{22984A00-59D3-46C6-A327-9FC7394C476A}"/>
    <cellStyle name="Comma 2 4 2 2 2 2 2 2" xfId="39590" xr:uid="{6F4BBE60-CD6C-400A-8E52-CBAF7DEE74DC}"/>
    <cellStyle name="Comma 2 4 2 2 2 2 3" xfId="41444" xr:uid="{FF24842B-7368-4B9A-ADE2-63F6B39096D2}"/>
    <cellStyle name="Comma 2 4 2 2 2 2 4" xfId="43267" xr:uid="{FC6EC675-2997-4702-B782-6910807F3D97}"/>
    <cellStyle name="Comma 2 4 2 2 2 2 5" xfId="45364" xr:uid="{58F6159F-551A-432A-B5B3-7CDB0F7F716D}"/>
    <cellStyle name="Comma 2 4 2 2 2 2 6" xfId="48246" xr:uid="{DB675D59-2FC9-4914-925F-C11881643B41}"/>
    <cellStyle name="Comma 2 4 2 2 2 2 7" xfId="51064" xr:uid="{140B542C-6EE5-4A36-BB38-A8DCD20D14B3}"/>
    <cellStyle name="Comma 2 4 2 2 2 2 8" xfId="52674" xr:uid="{6677C100-72FA-4E94-94DB-CC6B97571CA6}"/>
    <cellStyle name="Comma 2 4 2 2 2 2 9" xfId="21024" xr:uid="{DBFCE53A-C39B-4CBC-A6A5-1908A7F28E49}"/>
    <cellStyle name="Comma 2 4 2 2 2 3" xfId="7794" xr:uid="{8D0310BE-D8C2-4DA6-80C0-C466BD9B9E14}"/>
    <cellStyle name="Comma 2 4 2 2 2 3 2" xfId="20243" xr:uid="{BE1EEAEF-A24B-4D24-B9CE-7809F5FF3385}"/>
    <cellStyle name="Comma 2 4 2 2 2 4" xfId="12307" xr:uid="{B3DFE4C9-3AD0-4B08-910B-3C0817AF8C2C}"/>
    <cellStyle name="Comma 2 4 2 2 2 4 2" xfId="23781" xr:uid="{65EFC55E-DF8F-4174-9FB2-7EB9211034AC}"/>
    <cellStyle name="Comma 2 4 2 2 2 5" xfId="38278" xr:uid="{EC7E03C3-1E96-48C4-A91F-4A3703C0495C}"/>
    <cellStyle name="Comma 2 4 2 2 2 6" xfId="38999" xr:uid="{34816B91-2214-479F-A2EF-78DCDDA0B1B3}"/>
    <cellStyle name="Comma 2 4 2 2 2 7" xfId="40101" xr:uid="{96E8D2FD-85B1-4E43-83E6-C17B654ADA4E}"/>
    <cellStyle name="Comma 2 4 2 2 2 8" xfId="40743" xr:uid="{7B43402F-15B1-40FA-B6F4-AE7183BDC3F0}"/>
    <cellStyle name="Comma 2 4 2 2 2 9" xfId="41955" xr:uid="{71926993-2E99-4825-9E55-8B9654691671}"/>
    <cellStyle name="Comma 2 4 2 2 3" xfId="11137" xr:uid="{1D69E96A-D408-419B-B630-9DFEB1F7A18E}"/>
    <cellStyle name="Comma 2 4 2 2 3 10" xfId="15036" xr:uid="{87658323-CAB6-4F16-B612-1564E7C9E39F}"/>
    <cellStyle name="Comma 2 4 2 2 3 2" xfId="13733" xr:uid="{039A84D3-69BF-4381-8CA1-1F8CF9979A7A}"/>
    <cellStyle name="Comma 2 4 2 2 3 2 2" xfId="48485" xr:uid="{43FCB232-D625-4B7E-97D9-F08D4DFEDBD1}"/>
    <cellStyle name="Comma 2 4 2 2 3 2 3" xfId="51271" xr:uid="{6F6ECE13-5838-4D05-ABDC-D84480A271B0}"/>
    <cellStyle name="Comma 2 4 2 2 3 2 4" xfId="52675" xr:uid="{2761B555-A13B-4078-A4A6-0BCC9731170F}"/>
    <cellStyle name="Comma 2 4 2 2 3 2 5" xfId="39414" xr:uid="{B52A6577-A273-41C0-B77E-1942AD39A15B}"/>
    <cellStyle name="Comma 2 4 2 2 3 3" xfId="41270" xr:uid="{BC1128C5-0273-48BF-9C5E-2922CD9D6F3C}"/>
    <cellStyle name="Comma 2 4 2 2 3 4" xfId="43091" xr:uid="{20175C46-0960-4FD4-B78A-A7E3D9AF34C9}"/>
    <cellStyle name="Comma 2 4 2 2 3 5" xfId="45190" xr:uid="{48CE167A-BCDF-49BC-9BC2-DC030458025E}"/>
    <cellStyle name="Comma 2 4 2 2 3 6" xfId="46924" xr:uid="{32C9D50C-25FA-4C8A-9129-B9E7BA76C72B}"/>
    <cellStyle name="Comma 2 4 2 2 3 7" xfId="49943" xr:uid="{5EC78106-F3C4-4650-A55B-F4DB5E65A37B}"/>
    <cellStyle name="Comma 2 4 2 2 3 8" xfId="52676" xr:uid="{923F9C99-E44E-47B5-A034-D9D79C401F29}"/>
    <cellStyle name="Comma 2 4 2 2 3 9" xfId="20789" xr:uid="{888BF25D-6BE1-4771-BC18-5F6E86B33DB9}"/>
    <cellStyle name="Comma 2 4 2 2 4" xfId="9792" xr:uid="{95807E57-F108-4540-9EF5-025D991EC9E2}"/>
    <cellStyle name="Comma 2 4 2 2 4 2" xfId="13098" xr:uid="{04A8619B-B74C-4AE6-8B3A-A08FA9703A91}"/>
    <cellStyle name="Comma 2 4 2 2 4 2 2" xfId="51782" xr:uid="{0FE9CB90-5AE8-4C89-BE56-C9D6D4924A50}"/>
    <cellStyle name="Comma 2 4 2 2 4 2 3" xfId="52677" xr:uid="{2C655AF7-D7D2-4CEA-939E-A225D8BE63DD}"/>
    <cellStyle name="Comma 2 4 2 2 4 2 4" xfId="49102" xr:uid="{28AF6DFD-FB70-44F5-BFA7-7029536495DF}"/>
    <cellStyle name="Comma 2 4 2 2 4 3" xfId="47519" xr:uid="{E5FC312B-2E05-4F42-A283-586D92114943}"/>
    <cellStyle name="Comma 2 4 2 2 4 4" xfId="50454" xr:uid="{9CD0EE04-923B-4839-8466-B66A6F0A6D89}"/>
    <cellStyle name="Comma 2 4 2 2 4 5" xfId="52678" xr:uid="{6C949C30-38A7-444E-9A8F-1F74B2F72CDD}"/>
    <cellStyle name="Comma 2 4 2 2 4 6" xfId="20067" xr:uid="{D2FEF597-94C9-46BC-9410-69769A70C199}"/>
    <cellStyle name="Comma 2 4 2 2 5" xfId="7290" xr:uid="{98BA6B05-7242-48DC-871B-7AD68C0B54CB}"/>
    <cellStyle name="Comma 2 4 2 2 5 2" xfId="47763" xr:uid="{F32EA255-95B4-46ED-88A4-219987238FB5}"/>
    <cellStyle name="Comma 2 4 2 2 5 3" xfId="50662" xr:uid="{5FEA757F-03BD-4BAA-9EB5-C433AC849214}"/>
    <cellStyle name="Comma 2 4 2 2 5 4" xfId="52679" xr:uid="{E0AFE278-C927-4A0B-A1CA-38EFDCD84DF2}"/>
    <cellStyle name="Comma 2 4 2 2 5 5" xfId="23780" xr:uid="{381CAC63-B8F9-4C4F-9932-2E4609C5C264}"/>
    <cellStyle name="Comma 2 4 2 2 6" xfId="11813" xr:uid="{3F698050-5FE5-4987-A542-9A1EB9FF33AD}"/>
    <cellStyle name="Comma 2 4 2 2 6 2" xfId="38277" xr:uid="{0D7E236B-FF55-44A1-91D6-F037A9E957D1}"/>
    <cellStyle name="Comma 2 4 2 2 7" xfId="38823" xr:uid="{0E56A639-BFF5-45C4-8E39-449A9F320F24}"/>
    <cellStyle name="Comma 2 4 2 2 8" xfId="40100" xr:uid="{A3C01193-37B9-402B-96E3-BFC2B4F7163B}"/>
    <cellStyle name="Comma 2 4 2 2 9" xfId="40742" xr:uid="{3EEF25A5-E6D0-41E5-8A4A-AD9E02B23F40}"/>
    <cellStyle name="Comma 2 4 2 20" xfId="15314" xr:uid="{9C8D3CA1-837A-4F15-9C84-FD9D5F5D27A8}"/>
    <cellStyle name="Comma 2 4 2 21" xfId="13915" xr:uid="{490913E3-49C0-485C-B599-25D7FF88E861}"/>
    <cellStyle name="Comma 2 4 2 3" xfId="5516" xr:uid="{AA803ED2-E72E-4545-80C7-2FB6BCE91DE4}"/>
    <cellStyle name="Comma 2 4 2 3 10" xfId="41956" xr:uid="{808C75A4-80E1-4114-A847-6F6F688F52E3}"/>
    <cellStyle name="Comma 2 4 2 3 11" xfId="42401" xr:uid="{5AC2B8B7-8C0C-41FA-AB83-824B0C2C55D4}"/>
    <cellStyle name="Comma 2 4 2 3 12" xfId="43805" xr:uid="{5293F2FD-AE12-427C-8C83-3AF407D902B7}"/>
    <cellStyle name="Comma 2 4 2 3 13" xfId="44628" xr:uid="{CB92EB52-334E-4590-B6E1-66E315F0E9B9}"/>
    <cellStyle name="Comma 2 4 2 3 14" xfId="46563" xr:uid="{03BE0ADE-2692-4FC5-90EE-93CCAFF789C5}"/>
    <cellStyle name="Comma 2 4 2 3 15" xfId="49596" xr:uid="{50EEFC69-E227-41A5-A162-704B72FC3000}"/>
    <cellStyle name="Comma 2 4 2 3 16" xfId="52680" xr:uid="{4559753A-ECFA-46A6-A365-5FC3EF6C4529}"/>
    <cellStyle name="Comma 2 4 2 3 17" xfId="16376" xr:uid="{C8C9181E-A2F6-461D-8AA6-23FA67F573B0}"/>
    <cellStyle name="Comma 2 4 2 3 18" xfId="14053" xr:uid="{C6583E53-2596-4C82-A5A1-86E6D6E5C427}"/>
    <cellStyle name="Comma 2 4 2 3 2" xfId="7618" xr:uid="{ED2EF5FE-60AA-4EDB-865A-02CD7CD5625A}"/>
    <cellStyle name="Comma 2 4 2 3 2 10" xfId="42677" xr:uid="{95495DF1-9A27-4364-BB71-0438EF682B81}"/>
    <cellStyle name="Comma 2 4 2 3 2 11" xfId="44844" xr:uid="{12A12F08-D8E9-4193-923A-FCE41DD60CC9}"/>
    <cellStyle name="Comma 2 4 2 3 2 12" xfId="47052" xr:uid="{111743C7-A904-4942-B313-309BEE496437}"/>
    <cellStyle name="Comma 2 4 2 3 2 13" xfId="50053" xr:uid="{06FD7EE4-C2B4-4253-81F7-CEE1C9553158}"/>
    <cellStyle name="Comma 2 4 2 3 2 14" xfId="52681" xr:uid="{99E54359-106E-499A-ADB6-D4C8520BF37A}"/>
    <cellStyle name="Comma 2 4 2 3 2 15" xfId="17030" xr:uid="{F4344BB4-2115-49C6-96C4-B550353F2192}"/>
    <cellStyle name="Comma 2 4 2 3 2 16" xfId="14545" xr:uid="{8F8CE101-436B-4ADB-85E5-B37A175DA800}"/>
    <cellStyle name="Comma 2 4 2 3 2 2" xfId="10110" xr:uid="{2C1D9D28-CFD1-4773-91AB-FD971B083F88}"/>
    <cellStyle name="Comma 2 4 2 3 2 2 2" xfId="13416" xr:uid="{59111AD1-952C-4CDB-A91D-DEDE094A7F60}"/>
    <cellStyle name="Comma 2 4 2 3 2 2 2 2" xfId="39591" xr:uid="{9185675A-BCB4-4E71-AF0A-F2A34977A5A7}"/>
    <cellStyle name="Comma 2 4 2 3 2 2 3" xfId="41445" xr:uid="{52A85B06-B71D-494D-AF22-A9D6EC29D1B8}"/>
    <cellStyle name="Comma 2 4 2 3 2 2 4" xfId="43268" xr:uid="{06BDF2FD-483A-47B5-8BB9-77F27D49F24A}"/>
    <cellStyle name="Comma 2 4 2 3 2 2 5" xfId="45365" xr:uid="{8458E00F-D6A3-4DB7-95F6-80FB34D6A15E}"/>
    <cellStyle name="Comma 2 4 2 3 2 2 6" xfId="48618" xr:uid="{72E62276-593B-40DD-A7E0-E24DD93D3F4C}"/>
    <cellStyle name="Comma 2 4 2 3 2 2 7" xfId="51381" xr:uid="{89E276FA-2693-4213-9794-056A7095A462}"/>
    <cellStyle name="Comma 2 4 2 3 2 2 8" xfId="52682" xr:uid="{EE2B1B8C-DE0F-4892-AB87-689A83EB111B}"/>
    <cellStyle name="Comma 2 4 2 3 2 2 9" xfId="21025" xr:uid="{5C3CE03C-4CFB-4807-BC3D-D9F033820567}"/>
    <cellStyle name="Comma 2 4 2 3 2 3" xfId="12131" xr:uid="{616A18D6-8954-4099-BF74-359C51516A28}"/>
    <cellStyle name="Comma 2 4 2 3 2 3 2" xfId="20244" xr:uid="{9EC9137B-0BBB-4842-8ADF-1DB58121F982}"/>
    <cellStyle name="Comma 2 4 2 3 2 4" xfId="23783" xr:uid="{2722B2FA-9358-4F3C-9117-55944E2928F1}"/>
    <cellStyle name="Comma 2 4 2 3 2 5" xfId="38280" xr:uid="{7A221E46-925C-4A95-9B97-5D03EF87FC33}"/>
    <cellStyle name="Comma 2 4 2 3 2 6" xfId="39000" xr:uid="{AD7D6A8B-99F6-405C-9169-DD9B6825FC98}"/>
    <cellStyle name="Comma 2 4 2 3 2 7" xfId="40103" xr:uid="{2FBF5DCB-6D1F-44B0-B9E5-BD702FC32CBF}"/>
    <cellStyle name="Comma 2 4 2 3 2 8" xfId="40745" xr:uid="{2AD9BD32-8046-4DC4-8476-204CB542B1D4}"/>
    <cellStyle name="Comma 2 4 2 3 2 9" xfId="41957" xr:uid="{0C97903C-4B88-41C3-82D5-09EB3A6A7E02}"/>
    <cellStyle name="Comma 2 4 2 3 3" xfId="9616" xr:uid="{D724C582-5EAC-4607-92B6-0608EFC46C74}"/>
    <cellStyle name="Comma 2 4 2 3 3 2" xfId="12922" xr:uid="{83ADBABF-4D8B-4C96-82CC-646DE7D1EFA3}"/>
    <cellStyle name="Comma 2 4 2 3 3 2 2" xfId="48930" xr:uid="{CC2502CA-CB63-40BF-8BDC-FEBD0A1D9FE0}"/>
    <cellStyle name="Comma 2 4 2 3 3 2 3" xfId="51642" xr:uid="{C4002846-E763-4818-A680-C57D8B9FE76B}"/>
    <cellStyle name="Comma 2 4 2 3 3 2 4" xfId="52683" xr:uid="{187E53A0-3774-4600-985D-5F350E0EAEE0}"/>
    <cellStyle name="Comma 2 4 2 3 3 2 5" xfId="39315" xr:uid="{D5EBB96C-100B-475C-9D1A-E37E2F913716}"/>
    <cellStyle name="Comma 2 4 2 3 3 3" xfId="41177" xr:uid="{3D0EFED7-F705-4B49-A4B9-885CDB81063A}"/>
    <cellStyle name="Comma 2 4 2 3 3 4" xfId="42992" xr:uid="{4507B676-96CD-42BF-9FEF-3ADF3180A3A7}"/>
    <cellStyle name="Comma 2 4 2 3 3 5" xfId="45097" xr:uid="{230F3FBB-B538-4E88-AA94-7F934687989F}"/>
    <cellStyle name="Comma 2 4 2 3 3 6" xfId="47354" xr:uid="{4F19B67D-B6E0-43E4-83E4-699240B6E1F8}"/>
    <cellStyle name="Comma 2 4 2 3 3 7" xfId="50314" xr:uid="{F8769A0B-4B04-4EB8-A0D4-9CD127B87DCE}"/>
    <cellStyle name="Comma 2 4 2 3 3 8" xfId="52684" xr:uid="{B990C50F-59D2-4884-A586-B281BCD02B0C}"/>
    <cellStyle name="Comma 2 4 2 3 3 9" xfId="20621" xr:uid="{DB465967-3412-467A-8C07-B3FBCBCD8007}"/>
    <cellStyle name="Comma 2 4 2 3 4" xfId="7112" xr:uid="{AF1154C3-A736-448B-AA21-44777552C381}"/>
    <cellStyle name="Comma 2 4 2 3 4 2" xfId="48075" xr:uid="{86FF99BC-964D-46F4-8195-9A9358E7E33F}"/>
    <cellStyle name="Comma 2 4 2 3 4 3" xfId="50924" xr:uid="{145A250F-1759-4698-875C-488E786F103E}"/>
    <cellStyle name="Comma 2 4 2 3 4 4" xfId="52685" xr:uid="{17C409B8-0845-4E57-8ACF-FF815B2DC041}"/>
    <cellStyle name="Comma 2 4 2 3 4 5" xfId="19968" xr:uid="{D25478FC-4918-49E4-8CAC-80A7BF1E907B}"/>
    <cellStyle name="Comma 2 4 2 3 5" xfId="11637" xr:uid="{E6BDC7E9-909F-4220-9162-73889AF1DB58}"/>
    <cellStyle name="Comma 2 4 2 3 5 2" xfId="23782" xr:uid="{C4C64004-B123-459C-B7E9-CAE2011BD818}"/>
    <cellStyle name="Comma 2 4 2 3 6" xfId="38279" xr:uid="{5F7B2C5B-119F-4397-888B-D3A8721FE4BA}"/>
    <cellStyle name="Comma 2 4 2 3 7" xfId="38724" xr:uid="{5F33A75A-ECFA-4EA5-AF7D-0573D98C2C1C}"/>
    <cellStyle name="Comma 2 4 2 3 8" xfId="40102" xr:uid="{2FEDCA9F-A6D3-4326-8522-100E0546E6CC}"/>
    <cellStyle name="Comma 2 4 2 3 9" xfId="40744" xr:uid="{CD335232-55CB-4453-A407-8240E74DE4EC}"/>
    <cellStyle name="Comma 2 4 2 4" xfId="6506" xr:uid="{F685893C-FF89-4223-8ACE-179ACDD525CA}"/>
    <cellStyle name="Comma 2 4 2 4 10" xfId="42675" xr:uid="{746CB4D1-BF5C-4D43-B11B-62C34DA5726B}"/>
    <cellStyle name="Comma 2 4 2 4 11" xfId="44842" xr:uid="{3C167E5C-AB43-48D5-9472-E2C4957795E9}"/>
    <cellStyle name="Comma 2 4 2 4 12" xfId="46145" xr:uid="{B4A4B05A-65B7-48E2-9A39-26F7DFB53209}"/>
    <cellStyle name="Comma 2 4 2 4 13" xfId="49481" xr:uid="{070194AD-BAF2-4885-B211-EFA4C6AAD1E6}"/>
    <cellStyle name="Comma 2 4 2 4 14" xfId="52686" xr:uid="{3A1CEE2D-0E6F-4A46-B6F1-933344CDA5DE}"/>
    <cellStyle name="Comma 2 4 2 4 15" xfId="17028" xr:uid="{E3D1B82D-7DF5-43DE-AF5C-D11FD91A92A8}"/>
    <cellStyle name="Comma 2 4 2 4 16" xfId="14407" xr:uid="{7D10A0C0-0D99-4272-B465-0FAC88DB5712}"/>
    <cellStyle name="Comma 2 4 2 4 2" xfId="9478" xr:uid="{959F4FB8-8C9D-428A-A410-4F1E26086C37}"/>
    <cellStyle name="Comma 2 4 2 4 2 2" xfId="12784" xr:uid="{A8AABA88-DB5F-49C3-9A3E-8C14AAB707F9}"/>
    <cellStyle name="Comma 2 4 2 4 2 2 2" xfId="39589" xr:uid="{1E1A3CC2-C8A5-4C60-A3CA-564C108CA8C4}"/>
    <cellStyle name="Comma 2 4 2 4 2 3" xfId="41443" xr:uid="{F31C54E1-EB97-44B2-84E4-4EAAF9FC8C01}"/>
    <cellStyle name="Comma 2 4 2 4 2 4" xfId="43266" xr:uid="{3490E551-2571-4179-9EC3-F5CA87942C3E}"/>
    <cellStyle name="Comma 2 4 2 4 2 5" xfId="45363" xr:uid="{A293FD5A-2D28-4F0B-8446-A3DF4E6F023A}"/>
    <cellStyle name="Comma 2 4 2 4 2 6" xfId="47940" xr:uid="{F8B798DB-554E-4CA4-A861-F8EAFB19F45C}"/>
    <cellStyle name="Comma 2 4 2 4 2 7" xfId="50809" xr:uid="{85679F97-2460-4315-9806-3E0CA1B077F6}"/>
    <cellStyle name="Comma 2 4 2 4 2 8" xfId="52687" xr:uid="{A7414E2E-0204-4358-9F2C-A092F6C8D4E8}"/>
    <cellStyle name="Comma 2 4 2 4 2 9" xfId="21023" xr:uid="{60B04627-DB4A-4CA1-A921-06854ED2F190}"/>
    <cellStyle name="Comma 2 4 2 4 3" xfId="11499" xr:uid="{701BF9F0-D5C8-4A0A-939F-780890318590}"/>
    <cellStyle name="Comma 2 4 2 4 3 2" xfId="20242" xr:uid="{B42FCF75-6A99-41FA-B682-4E589F988ED4}"/>
    <cellStyle name="Comma 2 4 2 4 4" xfId="23784" xr:uid="{0015F8A2-F6AC-4B27-8092-AB8DEF9CA80A}"/>
    <cellStyle name="Comma 2 4 2 4 5" xfId="38281" xr:uid="{12EDD963-A997-48AB-9782-BE5EA1556C7F}"/>
    <cellStyle name="Comma 2 4 2 4 6" xfId="38998" xr:uid="{810C6886-E4A6-42B8-905F-EC0190D86230}"/>
    <cellStyle name="Comma 2 4 2 4 7" xfId="40104" xr:uid="{26047B6E-849F-48BA-8B6A-E22B85298474}"/>
    <cellStyle name="Comma 2 4 2 4 8" xfId="40746" xr:uid="{2CA5FEC7-0A8B-4E74-9CB0-0EE9A3BB319D}"/>
    <cellStyle name="Comma 2 4 2 4 9" xfId="41958" xr:uid="{A6F5BCD4-0311-40CD-B6C8-6F66B90B07A4}"/>
    <cellStyle name="Comma 2 4 2 5" xfId="7480" xr:uid="{5A83C1AE-57B0-47A3-B740-83F2BF53BD10}"/>
    <cellStyle name="Comma 2 4 2 5 10" xfId="42829" xr:uid="{6331A618-50F0-4730-8E11-FCCE82FBF079}"/>
    <cellStyle name="Comma 2 4 2 5 11" xfId="44956" xr:uid="{8EB63832-3786-46ED-A190-2E855ADCB964}"/>
    <cellStyle name="Comma 2 4 2 5 12" xfId="46823" xr:uid="{806D382B-95BE-4972-8DDA-D21BC51A8056}"/>
    <cellStyle name="Comma 2 4 2 5 13" xfId="49847" xr:uid="{831F7D14-0F20-4184-B87C-ED8AE4083989}"/>
    <cellStyle name="Comma 2 4 2 5 14" xfId="52688" xr:uid="{B8D11218-26E7-4A51-87B1-C885E4828D48}"/>
    <cellStyle name="Comma 2 4 2 5 15" xfId="19735" xr:uid="{A48220B2-3E18-4A99-97EE-8B3922A41644}"/>
    <cellStyle name="Comma 2 4 2 5 16" xfId="14860" xr:uid="{96C19FAF-44EB-4752-8DBA-A9082CFF79A0}"/>
    <cellStyle name="Comma 2 4 2 5 2" xfId="9972" xr:uid="{7A204B6E-77F2-4874-B70C-6DC4FA5C5E9E}"/>
    <cellStyle name="Comma 2 4 2 5 2 2" xfId="13278" xr:uid="{4747A5D8-F0A1-4AE3-9D5A-283E4EA6B667}"/>
    <cellStyle name="Comma 2 4 2 5 2 2 2" xfId="39743" xr:uid="{3EB53D68-59EC-473A-8CF9-76B2B09ED612}"/>
    <cellStyle name="Comma 2 4 2 5 2 3" xfId="41596" xr:uid="{6BE9735D-07BF-4DA5-AEA2-C4D32DB3BC36}"/>
    <cellStyle name="Comma 2 4 2 5 2 4" xfId="43420" xr:uid="{6E46B588-59DD-4CDD-90C2-53C67D232840}"/>
    <cellStyle name="Comma 2 4 2 5 2 5" xfId="45499" xr:uid="{62473610-ED8F-4493-A473-8BF2A1302084}"/>
    <cellStyle name="Comma 2 4 2 5 2 6" xfId="48374" xr:uid="{E1AD2320-3BC5-4F4D-A59A-C88ED489F53D}"/>
    <cellStyle name="Comma 2 4 2 5 2 7" xfId="51175" xr:uid="{7D5BCDF2-79B0-4E48-8B91-5DD96B6C90FF}"/>
    <cellStyle name="Comma 2 4 2 5 2 8" xfId="52689" xr:uid="{58E8F053-45AE-405D-AAA3-E235CF971569}"/>
    <cellStyle name="Comma 2 4 2 5 2 9" xfId="23352" xr:uid="{791C10F6-5D02-4850-8371-3888B89CEBC4}"/>
    <cellStyle name="Comma 2 4 2 5 3" xfId="11993" xr:uid="{FA702A17-3DC4-40C4-ABE8-8FC18D16AF19}"/>
    <cellStyle name="Comma 2 4 2 5 3 2" xfId="20396" xr:uid="{B932311E-A24E-4E3A-902B-FA4B90D0CF19}"/>
    <cellStyle name="Comma 2 4 2 5 4" xfId="23785" xr:uid="{E97BDF9D-03C2-4E13-87C8-5CBBA309CE82}"/>
    <cellStyle name="Comma 2 4 2 5 5" xfId="38282" xr:uid="{CE1E3545-DCD2-4794-BE61-9B2F20599C43}"/>
    <cellStyle name="Comma 2 4 2 5 6" xfId="39152" xr:uid="{B0B000E1-A93D-497F-B17E-9B83850BE58C}"/>
    <cellStyle name="Comma 2 4 2 5 7" xfId="40105" xr:uid="{33341BB4-935B-4212-B65F-75B2812CD8E7}"/>
    <cellStyle name="Comma 2 4 2 5 8" xfId="40747" xr:uid="{6BDF98AF-0F84-40A9-9BC2-8FC6CF634119}"/>
    <cellStyle name="Comma 2 4 2 5 9" xfId="41959" xr:uid="{669B44C3-6FC5-429D-AD7D-AB92D699AEAF}"/>
    <cellStyle name="Comma 2 4 2 6" xfId="8146" xr:uid="{8AE968E9-AF3E-4ED8-982D-185ABE76CEB6}"/>
    <cellStyle name="Comma 2 4 2 6 2" xfId="12602" xr:uid="{B7CBE87E-4F9E-431B-89AF-B8C5BD0C453F}"/>
    <cellStyle name="Comma 2 4 2 6 2 2" xfId="48792" xr:uid="{00F39E89-BEEC-42A2-B854-29B7386AB02D}"/>
    <cellStyle name="Comma 2 4 2 6 2 3" xfId="51527" xr:uid="{1AB85788-D266-4C49-BA6C-2B8D3497A523}"/>
    <cellStyle name="Comma 2 4 2 6 2 4" xfId="52690" xr:uid="{2A6BB2CF-B9B3-4470-9101-7799D2D7E99F}"/>
    <cellStyle name="Comma 2 4 2 6 2 5" xfId="39262" xr:uid="{FC788E17-ACB8-4250-8D8D-A8403663BCCC}"/>
    <cellStyle name="Comma 2 4 2 6 3" xfId="41130" xr:uid="{7467DEF9-95CA-4BD8-A1DB-6743EB77297A}"/>
    <cellStyle name="Comma 2 4 2 6 4" xfId="42939" xr:uid="{6350C36F-444C-43A1-9FEB-50563420C274}"/>
    <cellStyle name="Comma 2 4 2 6 5" xfId="45046" xr:uid="{58814AC5-62FB-47B9-99C1-DE6B343E0C6F}"/>
    <cellStyle name="Comma 2 4 2 6 6" xfId="47221" xr:uid="{570A50FE-3077-4E58-93F0-A9909DB5FD8E}"/>
    <cellStyle name="Comma 2 4 2 6 7" xfId="50199" xr:uid="{7A510394-A520-4B4E-B278-299F2BA48549}"/>
    <cellStyle name="Comma 2 4 2 6 8" xfId="52691" xr:uid="{9BC97F9A-8ECC-4FAE-962C-B745440B8B13}"/>
    <cellStyle name="Comma 2 4 2 6 9" xfId="20507" xr:uid="{9369EF28-F40E-4A17-A724-57F9764189E9}"/>
    <cellStyle name="Comma 2 4 2 7" xfId="8101" xr:uid="{8D761D23-05B1-4BBB-AC8B-11D5F623CC7D}"/>
    <cellStyle name="Comma 2 4 2 7 2" xfId="12557" xr:uid="{7E8154EE-3DAE-4AC2-BC5D-A16A6FA813E5}"/>
    <cellStyle name="Comma 2 4 2 7 2 2" xfId="47681" xr:uid="{C68BBDCA-D7D0-45D0-967C-9A95935FE90D}"/>
    <cellStyle name="Comma 2 4 2 7 3" xfId="50589" xr:uid="{12864DB5-F00F-45E9-A28F-D345C417C799}"/>
    <cellStyle name="Comma 2 4 2 7 4" xfId="52692" xr:uid="{98B4FE4E-C69F-4933-9430-B9354241E556}"/>
    <cellStyle name="Comma 2 4 2 7 5" xfId="19914" xr:uid="{898D6350-257F-4481-B048-9BC96AED3053}"/>
    <cellStyle name="Comma 2 4 2 8" xfId="7933" xr:uid="{61ACD5F9-83DF-4AAA-81A6-54105A31C17A}"/>
    <cellStyle name="Comma 2 4 2 8 2" xfId="12446" xr:uid="{71F8C929-601E-44E9-988B-0910FA09CE73}"/>
    <cellStyle name="Comma 2 4 2 8 3" xfId="23779" xr:uid="{054D04AA-5728-4322-A0E0-937076703739}"/>
    <cellStyle name="Comma 2 4 2 9" xfId="11275" xr:uid="{9436DB4F-7CCA-46C1-BA84-DB176BAF71D7}"/>
    <cellStyle name="Comma 2 4 2 9 2" xfId="13834" xr:uid="{E69C59BC-5FCE-439A-B045-092F0B998094}"/>
    <cellStyle name="Comma 2 4 2 9 3" xfId="38276" xr:uid="{EAC107F2-4E8A-41E4-92E8-EFB67B5EDB47}"/>
    <cellStyle name="Comma 2 4 20" xfId="45582" xr:uid="{0295F6B5-17CC-46B1-80F3-95F18BF88DDD}"/>
    <cellStyle name="Comma 2 4 21" xfId="49212" xr:uid="{75FA401F-EFEE-486B-8FC5-CBA85F7B06F2}"/>
    <cellStyle name="Comma 2 4 22" xfId="52693" xr:uid="{43103573-96D2-4FC7-ADDE-455399613C94}"/>
    <cellStyle name="Comma 2 4 23" xfId="15212" xr:uid="{1E0AD3D3-9DCD-4E7B-998E-CFD562E4A79E}"/>
    <cellStyle name="Comma 2 4 24" xfId="13848" xr:uid="{57A2580D-34FE-41F3-9E0A-D249E0533CE5}"/>
    <cellStyle name="Comma 2 4 3" xfId="1760" xr:uid="{636D9A5A-5288-47B7-B773-A42C98650267}"/>
    <cellStyle name="Comma 2 4 3 10" xfId="40748" xr:uid="{57FCF2B7-3CF2-4B7A-9999-0854EDA535E2}"/>
    <cellStyle name="Comma 2 4 3 11" xfId="41960" xr:uid="{EFA3CF41-AE4C-4D21-899E-261522529472}"/>
    <cellStyle name="Comma 2 4 3 12" xfId="42372" xr:uid="{2383C0BE-5870-4E09-A202-58ECEF2FBE9B}"/>
    <cellStyle name="Comma 2 4 3 13" xfId="43533" xr:uid="{58A902B2-1AAA-4BAC-BF3A-935AD3960965}"/>
    <cellStyle name="Comma 2 4 3 14" xfId="44396" xr:uid="{2AF4CB68-48C7-41FF-938B-B8A5D839F04D}"/>
    <cellStyle name="Comma 2 4 3 15" xfId="45631" xr:uid="{DC9E582D-3AFC-4026-A5D3-01276AD04AEE}"/>
    <cellStyle name="Comma 2 4 3 16" xfId="49260" xr:uid="{5BA2C398-D922-4688-995C-021E8C122546}"/>
    <cellStyle name="Comma 2 4 3 17" xfId="52694" xr:uid="{C400685C-0026-4543-B0F8-E50BBFA3520D}"/>
    <cellStyle name="Comma 2 4 3 18" xfId="15796" xr:uid="{499CBAE9-B5B1-4E3D-843C-17439B8E5AF1}"/>
    <cellStyle name="Comma 2 4 3 19" xfId="13916" xr:uid="{D7602C92-4C33-4813-AD1F-4EC28B6D9BA7}"/>
    <cellStyle name="Comma 2 4 3 2" xfId="4436" xr:uid="{233C95BD-7E4B-4BE4-981C-689DCD8D602A}"/>
    <cellStyle name="Comma 2 4 3 2 10" xfId="41961" xr:uid="{ADD519D2-50A0-4C35-8699-AE450A09AD0C}"/>
    <cellStyle name="Comma 2 4 3 2 11" xfId="42524" xr:uid="{46AB74F3-FF92-4424-BF31-C0644A8FB1FB}"/>
    <cellStyle name="Comma 2 4 3 2 12" xfId="44237" xr:uid="{C22ED456-193E-4F7F-8AC7-1124C74F626A}"/>
    <cellStyle name="Comma 2 4 3 2 13" xfId="44537" xr:uid="{0A992E48-A367-4175-8A1D-AD9A65ED5014}"/>
    <cellStyle name="Comma 2 4 3 2 14" xfId="45763" xr:uid="{308B48E8-083F-4C81-BD24-94FA553AB49C}"/>
    <cellStyle name="Comma 2 4 3 2 15" xfId="49391" xr:uid="{A5B61451-965B-45A4-8F91-503727435FC0}"/>
    <cellStyle name="Comma 2 4 3 2 16" xfId="52695" xr:uid="{D06E456B-75EE-42F2-9B5B-42BB959460F3}"/>
    <cellStyle name="Comma 2 4 3 2 17" xfId="16814" xr:uid="{0C0C8B30-5C1E-4D9B-8B7F-5032F6CE0E97}"/>
    <cellStyle name="Comma 2 4 3 2 18" xfId="14230" xr:uid="{F54ABC42-AD51-4FE8-91ED-6B2EF262A5F5}"/>
    <cellStyle name="Comma 2 4 3 2 2" xfId="5693" xr:uid="{CAB998D5-B715-46A0-B27D-4B2299B9EFB1}"/>
    <cellStyle name="Comma 2 4 3 2 2 10" xfId="42679" xr:uid="{1FFF2EC2-1002-4277-A754-D233B179F938}"/>
    <cellStyle name="Comma 2 4 3 2 2 11" xfId="44846" xr:uid="{5A5016D8-0EFC-4AD6-883B-CFCEE3A1A2A4}"/>
    <cellStyle name="Comma 2 4 3 2 2 12" xfId="46705" xr:uid="{4B08A58B-F597-454E-BE52-684D240388DF}"/>
    <cellStyle name="Comma 2 4 3 2 2 13" xfId="49737" xr:uid="{82F6C4AF-2A30-484B-9568-11C3B01D901E}"/>
    <cellStyle name="Comma 2 4 3 2 2 14" xfId="52696" xr:uid="{865CA58A-91A5-41C3-9FA1-084148D9EAE8}"/>
    <cellStyle name="Comma 2 4 3 2 2 15" xfId="17032" xr:uid="{2B2825EA-D107-4CFF-B1FF-C68754ADE430}"/>
    <cellStyle name="Comma 2 4 3 2 2 16" xfId="14722" xr:uid="{31A324BB-DAAD-4C2A-A8A1-D94AFB6BA20E}"/>
    <cellStyle name="Comma 2 4 3 2 2 2" xfId="10287" xr:uid="{B0B51D92-5F69-4668-AE2D-B7F16E0EC4EC}"/>
    <cellStyle name="Comma 2 4 3 2 2 2 2" xfId="13593" xr:uid="{CE5DAC8E-F76B-4260-9EB9-2EF14E702A78}"/>
    <cellStyle name="Comma 2 4 3 2 2 2 2 2" xfId="39593" xr:uid="{1DCFB941-A5EA-4919-A75D-7F482BAF72F8}"/>
    <cellStyle name="Comma 2 4 3 2 2 2 3" xfId="41447" xr:uid="{87601096-E407-4461-99E9-F8A9AC63C3B3}"/>
    <cellStyle name="Comma 2 4 3 2 2 2 4" xfId="43270" xr:uid="{3865A4C0-1858-4CCE-A07D-279CE108A790}"/>
    <cellStyle name="Comma 2 4 3 2 2 2 5" xfId="45367" xr:uid="{D8650010-2FD9-4D22-B8B1-47E0F1FDF4C0}"/>
    <cellStyle name="Comma 2 4 3 2 2 2 6" xfId="48247" xr:uid="{022C16AB-CA73-478F-B88D-0126894335AC}"/>
    <cellStyle name="Comma 2 4 3 2 2 2 7" xfId="51065" xr:uid="{B40F40DA-AD9F-421B-A3A3-910B48DBBB98}"/>
    <cellStyle name="Comma 2 4 3 2 2 2 8" xfId="52697" xr:uid="{44654262-8783-4407-8438-ADB806B57149}"/>
    <cellStyle name="Comma 2 4 3 2 2 2 9" xfId="21027" xr:uid="{B8C207FD-031B-4D71-9324-335364D43BD7}"/>
    <cellStyle name="Comma 2 4 3 2 2 3" xfId="7795" xr:uid="{C5532D8D-A65C-4C3E-A374-7453580898FB}"/>
    <cellStyle name="Comma 2 4 3 2 2 3 2" xfId="20246" xr:uid="{5D19CF59-E6BB-4680-AA64-643535865486}"/>
    <cellStyle name="Comma 2 4 3 2 2 4" xfId="12308" xr:uid="{620D11DF-F96E-4D6B-91C5-3A17495F70E2}"/>
    <cellStyle name="Comma 2 4 3 2 2 4 2" xfId="23788" xr:uid="{11CE4A2B-C7BD-4680-9308-1EC56450ACC8}"/>
    <cellStyle name="Comma 2 4 3 2 2 5" xfId="38285" xr:uid="{71E83C5C-0B2D-49A0-81B8-767E45C1C77E}"/>
    <cellStyle name="Comma 2 4 3 2 2 6" xfId="39002" xr:uid="{2FBEF3D0-3C30-42DC-B0F9-F2B05E20D929}"/>
    <cellStyle name="Comma 2 4 3 2 2 7" xfId="40108" xr:uid="{4EE4E644-F548-4D1F-9677-6C4332FE35FE}"/>
    <cellStyle name="Comma 2 4 3 2 2 8" xfId="40750" xr:uid="{3609F62E-3210-4A83-ADF0-9B9A6D94D5DB}"/>
    <cellStyle name="Comma 2 4 3 2 2 9" xfId="41962" xr:uid="{589E2381-797D-4ECF-88F5-62D796BF75BA}"/>
    <cellStyle name="Comma 2 4 3 2 3" xfId="11225" xr:uid="{F7905EC9-3C42-48B1-959B-FC6C4E5912ED}"/>
    <cellStyle name="Comma 2 4 3 2 3 10" xfId="15037" xr:uid="{570CFF29-CE03-4713-AA28-51A814576F2C}"/>
    <cellStyle name="Comma 2 4 3 2 3 2" xfId="13788" xr:uid="{5720B4DC-C518-414B-AA09-A6A4759A80D9}"/>
    <cellStyle name="Comma 2 4 3 2 3 2 2" xfId="48667" xr:uid="{40B320E0-C60A-4F70-9425-94D1D4A43A98}"/>
    <cellStyle name="Comma 2 4 3 2 3 2 3" xfId="51422" xr:uid="{95B257C4-2000-438B-9F3A-A908D4D79175}"/>
    <cellStyle name="Comma 2 4 3 2 3 2 4" xfId="52698" xr:uid="{BE41C980-50C3-4C83-8D7D-13651929D9EA}"/>
    <cellStyle name="Comma 2 4 3 2 3 2 5" xfId="39438" xr:uid="{06122E3C-23C3-41EC-BFA8-50ADE68F33EE}"/>
    <cellStyle name="Comma 2 4 3 2 3 3" xfId="41292" xr:uid="{93A3AE22-AE6B-4865-8B7C-CC3430BC70DA}"/>
    <cellStyle name="Comma 2 4 3 2 3 4" xfId="43115" xr:uid="{B357759B-B304-4101-ACA3-3019253506B6}"/>
    <cellStyle name="Comma 2 4 3 2 3 5" xfId="45212" xr:uid="{44F154AA-8173-4045-B8E0-552E3B52474B}"/>
    <cellStyle name="Comma 2 4 3 2 3 6" xfId="47104" xr:uid="{F04FDEEA-B052-430F-843B-2683F9D36602}"/>
    <cellStyle name="Comma 2 4 3 2 3 7" xfId="50094" xr:uid="{D75B0767-23BB-47B6-84E0-E7788704BD63}"/>
    <cellStyle name="Comma 2 4 3 2 3 8" xfId="52699" xr:uid="{1F9775AD-DD83-4D6B-91BC-B461710F59F1}"/>
    <cellStyle name="Comma 2 4 3 2 3 9" xfId="20816" xr:uid="{6D06B7B9-2775-4ECD-8A3B-225540D0F0E1}"/>
    <cellStyle name="Comma 2 4 3 2 4" xfId="9793" xr:uid="{E1BB9755-15C9-4C3B-BDCF-3B5BB81DAAA0}"/>
    <cellStyle name="Comma 2 4 3 2 4 2" xfId="13099" xr:uid="{A53C9D95-8123-42A0-ADBC-3605B0F5F865}"/>
    <cellStyle name="Comma 2 4 3 2 4 2 2" xfId="51783" xr:uid="{93143710-F984-43EA-8DF0-6334BDA00677}"/>
    <cellStyle name="Comma 2 4 3 2 4 2 3" xfId="52700" xr:uid="{C30D3CA6-1447-4333-969A-7EDC0C9403B5}"/>
    <cellStyle name="Comma 2 4 3 2 4 2 4" xfId="49103" xr:uid="{5F736212-DC83-4441-9AB0-63256F117057}"/>
    <cellStyle name="Comma 2 4 3 2 4 3" xfId="47520" xr:uid="{29D581DC-35CB-4115-A406-F00B6C40276E}"/>
    <cellStyle name="Comma 2 4 3 2 4 4" xfId="50455" xr:uid="{EB4733DC-D33E-4A1F-9B86-7413E82BA0EE}"/>
    <cellStyle name="Comma 2 4 3 2 4 5" xfId="52701" xr:uid="{3B38DD11-B9B5-46C4-96C4-FBC5BAEC0B46}"/>
    <cellStyle name="Comma 2 4 3 2 4 6" xfId="20091" xr:uid="{174FDB46-1CEA-451C-8D53-ECD2EC8D5435}"/>
    <cellStyle name="Comma 2 4 3 2 5" xfId="7291" xr:uid="{F04EDB72-7B11-4C31-89A1-AC3D0C7EE5D5}"/>
    <cellStyle name="Comma 2 4 3 2 5 2" xfId="47831" xr:uid="{183BF91D-811D-46DC-AAB7-369F60689819}"/>
    <cellStyle name="Comma 2 4 3 2 5 3" xfId="50719" xr:uid="{C7C1FCF7-CB0C-450A-8C5D-72DC59DAF801}"/>
    <cellStyle name="Comma 2 4 3 2 5 4" xfId="52702" xr:uid="{47CE98B6-0254-4E66-BC86-00BB6D13BB1D}"/>
    <cellStyle name="Comma 2 4 3 2 5 5" xfId="23787" xr:uid="{9B58CE9C-FC4C-45CA-A25B-00BDDA974AD7}"/>
    <cellStyle name="Comma 2 4 3 2 6" xfId="11814" xr:uid="{F1C78375-3E9E-46AB-98DD-A398D7F4F548}"/>
    <cellStyle name="Comma 2 4 3 2 6 2" xfId="38284" xr:uid="{A0F82D7C-2CB2-4385-A1B3-B1F2A5DCDEB2}"/>
    <cellStyle name="Comma 2 4 3 2 7" xfId="38847" xr:uid="{458141E3-5AA7-49F2-B609-3B67B2D9FAC4}"/>
    <cellStyle name="Comma 2 4 3 2 8" xfId="40107" xr:uid="{574F09AB-ABC4-42F6-B105-3F9D75E12462}"/>
    <cellStyle name="Comma 2 4 3 2 9" xfId="40749" xr:uid="{7A1B2BB2-69DA-4AEC-9325-11C682C5F5D8}"/>
    <cellStyle name="Comma 2 4 3 3" xfId="5517" xr:uid="{74F2452E-4FAC-45AB-9342-E129F0296708}"/>
    <cellStyle name="Comma 2 4 3 3 10" xfId="42678" xr:uid="{93FCFDDC-D95E-4067-9A99-ECD264844949}"/>
    <cellStyle name="Comma 2 4 3 3 11" xfId="43806" xr:uid="{42B324DD-A897-43AA-89CA-0F25B1420575}"/>
    <cellStyle name="Comma 2 4 3 3 12" xfId="44845" xr:uid="{33DF2D97-6BD1-44F1-9658-0391FC94AD29}"/>
    <cellStyle name="Comma 2 4 3 3 13" xfId="46564" xr:uid="{3A04543B-E7C4-4D42-A53E-1180D8ECD0F0}"/>
    <cellStyle name="Comma 2 4 3 3 14" xfId="49597" xr:uid="{CDCCE3C2-A2CE-41C1-882C-D695264DC638}"/>
    <cellStyle name="Comma 2 4 3 3 15" xfId="52703" xr:uid="{EC888693-1E59-4CDE-BE7C-728110327CF2}"/>
    <cellStyle name="Comma 2 4 3 3 16" xfId="17031" xr:uid="{3F6B977E-6B27-4C95-BCF5-31E7800BE475}"/>
    <cellStyle name="Comma 2 4 3 3 17" xfId="14054" xr:uid="{AB60EE8D-CDFF-4C7B-B5A0-CCB98405C835}"/>
    <cellStyle name="Comma 2 4 3 3 2" xfId="7619" xr:uid="{5E5D3FD2-522E-4BCC-B747-3008D82AA231}"/>
    <cellStyle name="Comma 2 4 3 3 2 10" xfId="14546" xr:uid="{1B44BCF1-85DB-45C4-8660-0C360CF8CEB1}"/>
    <cellStyle name="Comma 2 4 3 3 2 2" xfId="10111" xr:uid="{E7BA2898-53AA-44A4-B002-7038763078E2}"/>
    <cellStyle name="Comma 2 4 3 3 2 2 2" xfId="13417" xr:uid="{502025B9-2D02-4988-880F-2C4C89889E6F}"/>
    <cellStyle name="Comma 2 4 3 3 2 2 2 2" xfId="48931" xr:uid="{F5D1C743-92B4-4B71-A980-0C81F6E0F0AB}"/>
    <cellStyle name="Comma 2 4 3 3 2 2 3" xfId="51643" xr:uid="{C3157AB3-2CAE-4D08-84EA-DF8D247E46E5}"/>
    <cellStyle name="Comma 2 4 3 3 2 2 4" xfId="52704" xr:uid="{023FCCCE-BB8D-4BE3-A92A-C16B72E0282A}"/>
    <cellStyle name="Comma 2 4 3 3 2 2 5" xfId="39592" xr:uid="{C415CD5A-02CD-4B75-ADAA-08EC2195FE24}"/>
    <cellStyle name="Comma 2 4 3 3 2 3" xfId="12132" xr:uid="{C7E2A32B-6737-4333-A806-C19385B380ED}"/>
    <cellStyle name="Comma 2 4 3 3 2 3 2" xfId="41446" xr:uid="{64527F13-28B6-486C-A829-C83D174DB132}"/>
    <cellStyle name="Comma 2 4 3 3 2 4" xfId="43269" xr:uid="{E4F1DF3E-265C-42E9-9F2A-7939D57EDE45}"/>
    <cellStyle name="Comma 2 4 3 3 2 5" xfId="45366" xr:uid="{4D39BC47-9378-4A0E-B775-37D4C91F4F1F}"/>
    <cellStyle name="Comma 2 4 3 3 2 6" xfId="47355" xr:uid="{BB807A3D-89FC-4314-B4AC-443BD95A0267}"/>
    <cellStyle name="Comma 2 4 3 3 2 7" xfId="50315" xr:uid="{1EF00F7B-5A8C-4F5B-B381-E9308C6A4929}"/>
    <cellStyle name="Comma 2 4 3 3 2 8" xfId="52705" xr:uid="{CFB90D29-4031-4393-B652-4AF66604D304}"/>
    <cellStyle name="Comma 2 4 3 3 2 9" xfId="21026" xr:uid="{A9249BF7-B7F0-496C-94FE-A85919BCB139}"/>
    <cellStyle name="Comma 2 4 3 3 3" xfId="9617" xr:uid="{55AA940C-1B98-4B5A-A547-71897EEF5D67}"/>
    <cellStyle name="Comma 2 4 3 3 3 2" xfId="12923" xr:uid="{E5D45562-B70F-45DB-AD92-7D0E606E2CC3}"/>
    <cellStyle name="Comma 2 4 3 3 3 2 2" xfId="48076" xr:uid="{EF056782-E724-4EC5-ACD6-EC95DB880621}"/>
    <cellStyle name="Comma 2 4 3 3 3 3" xfId="50925" xr:uid="{83ABEF52-33E4-411A-8C14-6BEC3093B40D}"/>
    <cellStyle name="Comma 2 4 3 3 3 4" xfId="52706" xr:uid="{8FEA1E49-B150-4E48-AF3E-071344C2B886}"/>
    <cellStyle name="Comma 2 4 3 3 3 5" xfId="20245" xr:uid="{FBD849C9-7E71-4943-AE07-D4C79320FEE3}"/>
    <cellStyle name="Comma 2 4 3 3 4" xfId="7113" xr:uid="{83F48116-5AF8-43C6-8E18-C5DF7471DE32}"/>
    <cellStyle name="Comma 2 4 3 3 4 2" xfId="23789" xr:uid="{C15D8FA3-76EF-447A-A397-3A656A0A9D43}"/>
    <cellStyle name="Comma 2 4 3 3 5" xfId="11638" xr:uid="{ABC5B532-DBF9-4E4D-9093-103B3FEC13FC}"/>
    <cellStyle name="Comma 2 4 3 3 5 2" xfId="38286" xr:uid="{20500041-26A4-4F96-8333-23A9BD923232}"/>
    <cellStyle name="Comma 2 4 3 3 6" xfId="39001" xr:uid="{5C5476DA-165A-4D05-9B7E-B273970A0F39}"/>
    <cellStyle name="Comma 2 4 3 3 7" xfId="40109" xr:uid="{DBFC7ADC-0CA7-45E2-8122-413114581EA0}"/>
    <cellStyle name="Comma 2 4 3 3 8" xfId="40751" xr:uid="{2E5B4714-0013-4767-93EB-7944A7B7B417}"/>
    <cellStyle name="Comma 2 4 3 3 9" xfId="41963" xr:uid="{EA9ED4C4-B156-4E3B-9385-C63B2E0CE311}"/>
    <cellStyle name="Comma 2 4 3 4" xfId="6507" xr:uid="{A1900F46-C816-47D8-AB6F-ED1E7CB1BD45}"/>
    <cellStyle name="Comma 2 4 3 4 10" xfId="14408" xr:uid="{97EB8620-474F-45D2-BEC8-5C09D0E29038}"/>
    <cellStyle name="Comma 2 4 3 4 2" xfId="9479" xr:uid="{8E3A899E-391B-4F9D-BAED-7F4DEDF4DE19}"/>
    <cellStyle name="Comma 2 4 3 4 2 2" xfId="12785" xr:uid="{8DE21B76-8922-41DA-9D40-56EE01BD15CF}"/>
    <cellStyle name="Comma 2 4 3 4 2 2 2" xfId="47941" xr:uid="{8DC12ED8-DC01-4F91-9CCA-D50EAA6C3FEB}"/>
    <cellStyle name="Comma 2 4 3 4 2 3" xfId="50810" xr:uid="{93BD5046-9897-47DC-B2C4-CCE093B080B1}"/>
    <cellStyle name="Comma 2 4 3 4 2 4" xfId="52707" xr:uid="{68E56FC2-CF20-4DFB-BD7C-93B9E8E824CF}"/>
    <cellStyle name="Comma 2 4 3 4 2 5" xfId="39286" xr:uid="{B4A724DC-7840-4D01-854B-9CE0D04E847A}"/>
    <cellStyle name="Comma 2 4 3 4 3" xfId="11500" xr:uid="{7BE93705-8526-4D6F-B14F-616BDBFCAD76}"/>
    <cellStyle name="Comma 2 4 3 4 3 2" xfId="41148" xr:uid="{5E1DD424-4396-4D3F-8137-882AF7EFB415}"/>
    <cellStyle name="Comma 2 4 3 4 4" xfId="42963" xr:uid="{90D33020-3B77-412C-8DCF-9C76AB2FF762}"/>
    <cellStyle name="Comma 2 4 3 4 5" xfId="45068" xr:uid="{734DAE31-4225-491A-B096-5A324C6750B6}"/>
    <cellStyle name="Comma 2 4 3 4 6" xfId="46146" xr:uid="{3BE5A55D-1FCE-47D1-BC17-08977DBE06BB}"/>
    <cellStyle name="Comma 2 4 3 4 7" xfId="49482" xr:uid="{76653CA0-DA8C-4091-A06C-72E2441B0C87}"/>
    <cellStyle name="Comma 2 4 3 4 8" xfId="52708" xr:uid="{1CCD213C-7434-472A-90C9-CD1FCB80838B}"/>
    <cellStyle name="Comma 2 4 3 4 9" xfId="20532" xr:uid="{3FE74EF3-20BB-4FEB-AB0F-6C0E29BB766D}"/>
    <cellStyle name="Comma 2 4 3 5" xfId="7481" xr:uid="{119AD083-FB91-4BB9-AA38-08E77DB4BE50}"/>
    <cellStyle name="Comma 2 4 3 5 2" xfId="9973" xr:uid="{E9966241-C609-4EA1-A398-B263B3D10AF6}"/>
    <cellStyle name="Comma 2 4 3 5 2 2" xfId="13279" xr:uid="{687E4A92-F7AD-4A28-9FCD-54B2EB164233}"/>
    <cellStyle name="Comma 2 4 3 5 2 2 2" xfId="51272" xr:uid="{F642A146-6AA3-493B-AC47-3A230694570C}"/>
    <cellStyle name="Comma 2 4 3 5 2 3" xfId="52709" xr:uid="{979E70C7-6158-4058-85B0-3C13A5682F66}"/>
    <cellStyle name="Comma 2 4 3 5 2 4" xfId="48486" xr:uid="{4F27254D-1C49-4474-B2D3-373F5A77C34A}"/>
    <cellStyle name="Comma 2 4 3 5 3" xfId="11994" xr:uid="{2E42FA68-3A61-459A-88AA-5C5AC5F5EB11}"/>
    <cellStyle name="Comma 2 4 3 5 3 2" xfId="46925" xr:uid="{60EE1747-AAAA-4712-81A0-9A74ECF7E105}"/>
    <cellStyle name="Comma 2 4 3 5 4" xfId="49944" xr:uid="{766F075E-FECB-448C-A0A7-8CF597E7FC1C}"/>
    <cellStyle name="Comma 2 4 3 5 5" xfId="52710" xr:uid="{74ACDB3D-A42E-421F-9795-F7744934F9F2}"/>
    <cellStyle name="Comma 2 4 3 5 6" xfId="19939" xr:uid="{A0EAFBA6-A723-4394-91CD-73A2D9B10885}"/>
    <cellStyle name="Comma 2 4 3 5 7" xfId="14861" xr:uid="{0965CBC5-504E-41EA-9BED-9C66A4082660}"/>
    <cellStyle name="Comma 2 4 3 6" xfId="8147" xr:uid="{A11F3744-F048-4BC0-B179-923FB2D1C732}"/>
    <cellStyle name="Comma 2 4 3 6 2" xfId="12603" xr:uid="{2EEF6016-3C65-4468-8B4C-F5F77619CAB1}"/>
    <cellStyle name="Comma 2 4 3 6 2 2" xfId="51528" xr:uid="{C28C3CDE-F515-4244-8416-6DE34B5D60A5}"/>
    <cellStyle name="Comma 2 4 3 6 2 3" xfId="52711" xr:uid="{1F0498F4-9379-4E7D-A2E5-C9F58674C568}"/>
    <cellStyle name="Comma 2 4 3 6 2 4" xfId="48793" xr:uid="{AD919ACA-E70A-42BB-9E8D-D3AA8D90A46F}"/>
    <cellStyle name="Comma 2 4 3 6 3" xfId="47222" xr:uid="{E827E42D-DA6E-4D95-B4E6-7EBFFC2E61B8}"/>
    <cellStyle name="Comma 2 4 3 6 4" xfId="50200" xr:uid="{DD2A9DC6-0465-4CDF-8962-D3217B97886D}"/>
    <cellStyle name="Comma 2 4 3 6 5" xfId="52712" xr:uid="{C8BCDD1C-7279-4CC1-81D8-B5E0CA061E53}"/>
    <cellStyle name="Comma 2 4 3 6 6" xfId="23786" xr:uid="{B1145ACC-5BE9-44BD-82CC-492B5359178E}"/>
    <cellStyle name="Comma 2 4 3 7" xfId="7934" xr:uid="{3FA6CFCB-0A65-469A-A6A9-D39551F0D0DF}"/>
    <cellStyle name="Comma 2 4 3 7 2" xfId="12447" xr:uid="{3009BDB1-C3C1-4770-B547-BAD61268FACC}"/>
    <cellStyle name="Comma 2 4 3 7 2 2" xfId="47680" xr:uid="{735FB7D7-314D-4376-8424-EA6FFAD2BC71}"/>
    <cellStyle name="Comma 2 4 3 7 3" xfId="50588" xr:uid="{3C9285AD-80BA-48E5-9805-8D5D6C52AE0D}"/>
    <cellStyle name="Comma 2 4 3 7 4" xfId="52713" xr:uid="{87F8DC12-471F-4D1B-AF6B-353B4551A6F5}"/>
    <cellStyle name="Comma 2 4 3 7 5" xfId="38283" xr:uid="{4E902BA4-7762-4496-B11F-727BE0DE327A}"/>
    <cellStyle name="Comma 2 4 3 8" xfId="5831" xr:uid="{A31954FC-6BD5-4ABD-9F5C-AE45A50B39E3}"/>
    <cellStyle name="Comma 2 4 3 8 2" xfId="38695" xr:uid="{1439243A-D8EA-43A1-ABCC-77A803B96BC0}"/>
    <cellStyle name="Comma 2 4 3 9" xfId="11319" xr:uid="{B90AF451-E057-4177-A2C3-14CE9FA837E7}"/>
    <cellStyle name="Comma 2 4 3 9 2" xfId="40106" xr:uid="{12E3DDC3-50AB-4B45-91DD-060B8BCCC722}"/>
    <cellStyle name="Comma 2 4 4" xfId="4434" xr:uid="{49D8EAF1-3361-4617-B657-CDA62EC833C0}"/>
    <cellStyle name="Comma 2 4 4 10" xfId="41964" xr:uid="{710C4895-1384-4509-875C-7A6AB21010BF}"/>
    <cellStyle name="Comma 2 4 4 11" xfId="42461" xr:uid="{1AB84680-4E91-4B49-AEEA-4F77A3B170CB}"/>
    <cellStyle name="Comma 2 4 4 12" xfId="43531" xr:uid="{27AA085C-FD68-4205-A2F7-8EAAF4B70215}"/>
    <cellStyle name="Comma 2 4 4 13" xfId="44535" xr:uid="{F46E5D88-C471-450B-9822-374DA7B8C068}"/>
    <cellStyle name="Comma 2 4 4 14" xfId="45705" xr:uid="{B046ECC4-6368-4FD2-A76C-FDBA4015D76B}"/>
    <cellStyle name="Comma 2 4 4 15" xfId="49333" xr:uid="{50D25DF3-ABA2-4189-8F6F-6C41C4B7DC8F}"/>
    <cellStyle name="Comma 2 4 4 16" xfId="52714" xr:uid="{F74EA08E-CDE2-4A29-9F2C-6E1AEE6D69B4}"/>
    <cellStyle name="Comma 2 4 4 17" xfId="16655" xr:uid="{74585990-F3DA-4EBA-9C0A-4BA32430D910}"/>
    <cellStyle name="Comma 2 4 4 18" xfId="13914" xr:uid="{0C0A63E2-3C4F-431D-A3A6-EDF3571E6ADF}"/>
    <cellStyle name="Comma 2 4 4 2" xfId="5691" xr:uid="{2F58C532-2CE9-4418-86AB-004037FC10BF}"/>
    <cellStyle name="Comma 2 4 4 2 10" xfId="42680" xr:uid="{EF08372E-A2E5-4CC5-9779-14418CCF069B}"/>
    <cellStyle name="Comma 2 4 4 2 11" xfId="44235" xr:uid="{E43AECEC-0845-402E-A810-09D17DD584EC}"/>
    <cellStyle name="Comma 2 4 4 2 12" xfId="44847" xr:uid="{20FF11C5-2699-4835-9187-5F18DA001A4D}"/>
    <cellStyle name="Comma 2 4 4 2 13" xfId="46703" xr:uid="{728F2B2B-51FF-4ECF-843E-A21A4CEB181E}"/>
    <cellStyle name="Comma 2 4 4 2 14" xfId="49735" xr:uid="{86FDCD94-4BCC-4D4F-9E94-F288247CC123}"/>
    <cellStyle name="Comma 2 4 4 2 15" xfId="52715" xr:uid="{85860144-DD76-496F-8195-BB1C28098A9D}"/>
    <cellStyle name="Comma 2 4 4 2 16" xfId="17033" xr:uid="{15D0F519-5540-4BA2-9700-ABD2539476C6}"/>
    <cellStyle name="Comma 2 4 4 2 17" xfId="14228" xr:uid="{C78E624F-10B4-46A9-955A-241ED5B89486}"/>
    <cellStyle name="Comma 2 4 4 2 2" xfId="7793" xr:uid="{4E32C37B-DF33-4C6C-A3E8-249BA26D79DD}"/>
    <cellStyle name="Comma 2 4 4 2 2 10" xfId="14720" xr:uid="{DE914E0C-B5DC-4847-884E-E65B148AF1AD}"/>
    <cellStyle name="Comma 2 4 4 2 2 2" xfId="10285" xr:uid="{69D54A74-9A7F-49F8-86DB-3A61294CE191}"/>
    <cellStyle name="Comma 2 4 4 2 2 2 2" xfId="13591" xr:uid="{36224EC2-9D87-4BF5-88D3-30D6F5DB7679}"/>
    <cellStyle name="Comma 2 4 4 2 2 2 2 2" xfId="49101" xr:uid="{418D28B7-2A5F-430B-84B7-EDCF6ED2E9DF}"/>
    <cellStyle name="Comma 2 4 4 2 2 2 3" xfId="51781" xr:uid="{B4957E34-488C-4761-B6D0-C7AC9A8AB766}"/>
    <cellStyle name="Comma 2 4 4 2 2 2 4" xfId="52716" xr:uid="{39C34420-BFC9-4B1A-93D5-6C146AEDA67B}"/>
    <cellStyle name="Comma 2 4 4 2 2 2 5" xfId="39594" xr:uid="{3E0DBA9A-BA4B-4E25-A269-4BEDB1361E12}"/>
    <cellStyle name="Comma 2 4 4 2 2 3" xfId="12306" xr:uid="{13CE0D34-0066-476A-B0BC-061AADCF5F9E}"/>
    <cellStyle name="Comma 2 4 4 2 2 3 2" xfId="41448" xr:uid="{473EE23D-C90A-426A-8D38-661981DD7C16}"/>
    <cellStyle name="Comma 2 4 4 2 2 4" xfId="43271" xr:uid="{4678CB7E-A6F6-4627-8D77-2096F109C53F}"/>
    <cellStyle name="Comma 2 4 4 2 2 5" xfId="45368" xr:uid="{39A586D9-A903-4B8F-98D3-48F58F455A84}"/>
    <cellStyle name="Comma 2 4 4 2 2 6" xfId="47518" xr:uid="{ED8C5FF7-198C-4808-8B7B-774BE3F29F48}"/>
    <cellStyle name="Comma 2 4 4 2 2 7" xfId="50453" xr:uid="{78E583A0-7810-419A-AB43-CF6E7B5724E8}"/>
    <cellStyle name="Comma 2 4 4 2 2 8" xfId="52717" xr:uid="{C012F7FF-C9DF-45CA-9A52-64F13B78C3AD}"/>
    <cellStyle name="Comma 2 4 4 2 2 9" xfId="21028" xr:uid="{524398DB-325A-447D-977C-278919D89D1E}"/>
    <cellStyle name="Comma 2 4 4 2 3" xfId="9791" xr:uid="{491E829E-21CF-46EC-ADE6-2A8FD0AD1BF0}"/>
    <cellStyle name="Comma 2 4 4 2 3 2" xfId="13097" xr:uid="{3862EB11-B7E2-4CAE-9FAF-800C5F559BB8}"/>
    <cellStyle name="Comma 2 4 4 2 3 2 2" xfId="48245" xr:uid="{79B96708-ED2F-459F-B01A-6773C9DFC0A5}"/>
    <cellStyle name="Comma 2 4 4 2 3 3" xfId="51063" xr:uid="{1A69EE8C-15AB-4E90-A33E-3FFAF9D642C8}"/>
    <cellStyle name="Comma 2 4 4 2 3 4" xfId="52718" xr:uid="{333A6EBF-E6E4-4530-9FAD-01C29F7FB2C9}"/>
    <cellStyle name="Comma 2 4 4 2 3 5" xfId="20247" xr:uid="{023F6F77-7CC3-4289-91B7-7C8C4D4748C5}"/>
    <cellStyle name="Comma 2 4 4 2 4" xfId="7289" xr:uid="{0E51F067-3330-4B92-9762-29CBE345E1CF}"/>
    <cellStyle name="Comma 2 4 4 2 4 2" xfId="23791" xr:uid="{74AA3FCF-A219-454B-B3DF-1872014F127B}"/>
    <cellStyle name="Comma 2 4 4 2 5" xfId="11812" xr:uid="{F1E93DD9-7541-4FCC-875C-CF759A22F167}"/>
    <cellStyle name="Comma 2 4 4 2 5 2" xfId="38288" xr:uid="{5882A316-4112-474C-98BD-2FA427C730AF}"/>
    <cellStyle name="Comma 2 4 4 2 6" xfId="39003" xr:uid="{A78DAE62-E974-466D-9812-2BCD200B38F3}"/>
    <cellStyle name="Comma 2 4 4 2 7" xfId="40111" xr:uid="{74772D51-FE39-4719-9620-0B4C52EB96CE}"/>
    <cellStyle name="Comma 2 4 4 2 8" xfId="40753" xr:uid="{38432FE8-223F-425D-8B13-F12A05B6FDAE}"/>
    <cellStyle name="Comma 2 4 4 2 9" xfId="41965" xr:uid="{B4AEC4B8-7E54-4F22-A154-EDA0769A9227}"/>
    <cellStyle name="Comma 2 4 4 3" xfId="7479" xr:uid="{66C9FCC7-76A1-43E6-ABAA-BBD46103F9E0}"/>
    <cellStyle name="Comma 2 4 4 3 10" xfId="14406" xr:uid="{DE11AC7B-DC1F-4C8A-A86A-D092877B9218}"/>
    <cellStyle name="Comma 2 4 4 3 2" xfId="9971" xr:uid="{17E15F55-22A1-4B7F-A5C0-DD26A07D2BFC}"/>
    <cellStyle name="Comma 2 4 4 3 2 2" xfId="13277" xr:uid="{C660B1C7-6726-47A8-A83F-E77E85842109}"/>
    <cellStyle name="Comma 2 4 4 3 2 2 2" xfId="47939" xr:uid="{4517393D-F6A0-4A3F-832C-C2CAACAA2E09}"/>
    <cellStyle name="Comma 2 4 4 3 2 3" xfId="50808" xr:uid="{6C53BAFF-3CD4-4556-B28F-057E2C06C279}"/>
    <cellStyle name="Comma 2 4 4 3 2 4" xfId="52719" xr:uid="{AC998355-9920-482E-8F30-131FB5508459}"/>
    <cellStyle name="Comma 2 4 4 3 2 5" xfId="39375" xr:uid="{72784F77-6572-46FF-8E84-F23B921C6AC7}"/>
    <cellStyle name="Comma 2 4 4 3 3" xfId="11992" xr:uid="{2F13C356-1E8B-4149-868F-FA312A795BEF}"/>
    <cellStyle name="Comma 2 4 4 3 3 2" xfId="41233" xr:uid="{3643287E-D0F8-40F6-9271-29D745D5C681}"/>
    <cellStyle name="Comma 2 4 4 3 4" xfId="43052" xr:uid="{411B8F9C-ECE5-46E3-8CAB-13AA8ED298A0}"/>
    <cellStyle name="Comma 2 4 4 3 5" xfId="45153" xr:uid="{F9E32D4E-C38B-4FF4-BA4C-E9265CC3DE59}"/>
    <cellStyle name="Comma 2 4 4 3 6" xfId="46144" xr:uid="{30F32631-EDB2-4EC2-AEE4-D5EB772FFF86}"/>
    <cellStyle name="Comma 2 4 4 3 7" xfId="49480" xr:uid="{84CBF3C8-B5DD-46D6-B592-CD570041BE36}"/>
    <cellStyle name="Comma 2 4 4 3 8" xfId="52720" xr:uid="{7FD072CE-4BDF-41D1-A128-7708A2E77F53}"/>
    <cellStyle name="Comma 2 4 4 3 9" xfId="20749" xr:uid="{1C7576E2-5887-4599-BD8C-1BD578CEF6C1}"/>
    <cellStyle name="Comma 2 4 4 4" xfId="11136" xr:uid="{E1BA69DC-8E27-4719-8FD3-79CE4EEB4676}"/>
    <cellStyle name="Comma 2 4 4 4 2" xfId="13732" xr:uid="{68090511-8B2C-4389-B945-303797B58DE7}"/>
    <cellStyle name="Comma 2 4 4 4 2 2" xfId="51270" xr:uid="{B72FAFC8-5B7F-4785-A347-4F62905BF865}"/>
    <cellStyle name="Comma 2 4 4 4 2 3" xfId="52721" xr:uid="{BD50D9F1-0233-4D0C-95F9-005E43682120}"/>
    <cellStyle name="Comma 2 4 4 4 2 4" xfId="48484" xr:uid="{EF38F166-8BAE-4263-84D8-07CC55627388}"/>
    <cellStyle name="Comma 2 4 4 4 3" xfId="46923" xr:uid="{237E2911-968D-48AD-A1F9-F78F240534B1}"/>
    <cellStyle name="Comma 2 4 4 4 4" xfId="49942" xr:uid="{1D980F3C-6735-46DE-91ED-19F1FA0CC48A}"/>
    <cellStyle name="Comma 2 4 4 4 5" xfId="52722" xr:uid="{4BE1D08A-A589-42A4-B849-441E931FF566}"/>
    <cellStyle name="Comma 2 4 4 4 6" xfId="20028" xr:uid="{9D5DE35B-E8E0-4C14-8D82-514BB96DEBA3}"/>
    <cellStyle name="Comma 2 4 4 4 7" xfId="15035" xr:uid="{B623A4DA-0075-40C9-A99B-1008210FB367}"/>
    <cellStyle name="Comma 2 4 4 5" xfId="9477" xr:uid="{4CB844F1-DB6B-4427-BF0C-A1A9453536CB}"/>
    <cellStyle name="Comma 2 4 4 5 2" xfId="12783" xr:uid="{3B85E400-4D40-4A5C-A840-1EA20D258FE3}"/>
    <cellStyle name="Comma 2 4 4 5 2 2" xfId="51526" xr:uid="{D45537CD-61C4-486E-84D8-F82C254A9ACC}"/>
    <cellStyle name="Comma 2 4 4 5 2 3" xfId="52723" xr:uid="{CC63F8C8-F776-402B-97B1-CCAD84337D1B}"/>
    <cellStyle name="Comma 2 4 4 5 2 4" xfId="48791" xr:uid="{CEE3DA94-7A8D-4DBE-BB61-821DD6A5E2AD}"/>
    <cellStyle name="Comma 2 4 4 5 3" xfId="47220" xr:uid="{09E62208-47BA-42EA-8A89-9AFC02DE78E2}"/>
    <cellStyle name="Comma 2 4 4 5 4" xfId="50198" xr:uid="{8531CE4D-4D48-49E2-A660-8E50D7555AA4}"/>
    <cellStyle name="Comma 2 4 4 5 5" xfId="52724" xr:uid="{799C74AC-8D6C-4117-B5C4-7E49F2AB4CCA}"/>
    <cellStyle name="Comma 2 4 4 5 6" xfId="23790" xr:uid="{2CDDD2F9-CED2-4950-9FA7-AF1D34022256}"/>
    <cellStyle name="Comma 2 4 4 6" xfId="6505" xr:uid="{97B00475-30F9-4DC3-9A19-AB30510CA067}"/>
    <cellStyle name="Comma 2 4 4 6 2" xfId="47762" xr:uid="{C3B8B96E-4143-4A95-990A-77B409A5A777}"/>
    <cellStyle name="Comma 2 4 4 6 3" xfId="50661" xr:uid="{760BCAC2-3891-4713-9AF5-F0AF1C1DF1FB}"/>
    <cellStyle name="Comma 2 4 4 6 4" xfId="52725" xr:uid="{BCC43D6F-1584-4636-9B99-FEE8365E65C1}"/>
    <cellStyle name="Comma 2 4 4 6 5" xfId="38287" xr:uid="{0B0AB5A0-3FA4-4478-91BD-C68535593D09}"/>
    <cellStyle name="Comma 2 4 4 7" xfId="11498" xr:uid="{96F30F55-2455-4C37-BFFF-E3D939F5CA56}"/>
    <cellStyle name="Comma 2 4 4 7 2" xfId="38784" xr:uid="{525AB731-2B00-4FAD-934D-4268170286E3}"/>
    <cellStyle name="Comma 2 4 4 8" xfId="40110" xr:uid="{C009889F-E2AF-4BDB-9FA6-2C86F6159766}"/>
    <cellStyle name="Comma 2 4 4 9" xfId="40752" xr:uid="{E6F91F4B-A708-4E82-934B-7937EB9D6F21}"/>
    <cellStyle name="Comma 2 4 5" xfId="3884" xr:uid="{9803783F-6393-40ED-BB91-8080B3EAA455}"/>
    <cellStyle name="Comma 2 4 5 10" xfId="41966" xr:uid="{CE6F0967-FE6A-4E1D-A5C9-BA072846A6B6}"/>
    <cellStyle name="Comma 2 4 5 11" xfId="42400" xr:uid="{3EF4491C-357D-48E0-BBAE-16D715AF88DF}"/>
    <cellStyle name="Comma 2 4 5 12" xfId="43895" xr:uid="{7C4FB585-95C6-46E2-98FE-2E57585DDBEF}"/>
    <cellStyle name="Comma 2 4 5 13" xfId="44482" xr:uid="{AE00755E-2CBB-4146-90B0-E9083DE85A78}"/>
    <cellStyle name="Comma 2 4 5 14" xfId="46649" xr:uid="{E6DED68A-4360-462C-92B6-164981A7E0B9}"/>
    <cellStyle name="Comma 2 4 5 15" xfId="49682" xr:uid="{7AFDE768-9787-4D5B-90E2-EE57037A110A}"/>
    <cellStyle name="Comma 2 4 5 16" xfId="52726" xr:uid="{6EC7A2F2-2FC6-42EF-A2AD-B3C7604BCCB9}"/>
    <cellStyle name="Comma 2 4 5 17" xfId="16375" xr:uid="{57CA1C1E-EE27-4153-82E5-0A3207709E0C}"/>
    <cellStyle name="Comma 2 4 5 18" xfId="14163" xr:uid="{A0127B57-C887-405A-836E-803968946429}"/>
    <cellStyle name="Comma 2 4 5 2" xfId="5626" xr:uid="{0796ADE7-C479-42CC-AE48-5DCEAE6AE5FD}"/>
    <cellStyle name="Comma 2 4 5 2 10" xfId="42681" xr:uid="{09EE3614-1EE6-41B6-B1E6-35AED484527C}"/>
    <cellStyle name="Comma 2 4 5 2 11" xfId="44848" xr:uid="{6AD90845-328C-4284-A70E-EB7AB940A990}"/>
    <cellStyle name="Comma 2 4 5 2 12" xfId="46867" xr:uid="{E66875D4-C988-4FDD-8EF9-8404A6408581}"/>
    <cellStyle name="Comma 2 4 5 2 13" xfId="49889" xr:uid="{5EB7AD5B-4553-439F-B402-3DF9D068B025}"/>
    <cellStyle name="Comma 2 4 5 2 14" xfId="52727" xr:uid="{26D75AB4-E2D1-4686-B802-DCDC2489F84A}"/>
    <cellStyle name="Comma 2 4 5 2 15" xfId="17034" xr:uid="{C780FA2D-685B-45AF-9372-DD68379EEA8D}"/>
    <cellStyle name="Comma 2 4 5 2 16" xfId="14655" xr:uid="{93161878-0075-4605-9D86-42EC48349F82}"/>
    <cellStyle name="Comma 2 4 5 2 2" xfId="10220" xr:uid="{F56775E5-CF5E-4719-A7F7-37F87CABA7F9}"/>
    <cellStyle name="Comma 2 4 5 2 2 2" xfId="13526" xr:uid="{7CA84C4A-D6A4-403C-9205-9355B0D1770F}"/>
    <cellStyle name="Comma 2 4 5 2 2 2 2" xfId="39595" xr:uid="{89341BEA-3084-4036-9F13-00065218F670}"/>
    <cellStyle name="Comma 2 4 5 2 2 3" xfId="41449" xr:uid="{D0EE51AD-E168-41CE-8ED9-83DA95F5D891}"/>
    <cellStyle name="Comma 2 4 5 2 2 4" xfId="43272" xr:uid="{0C84BBCE-EA6D-40F7-AD34-5AA0730481E5}"/>
    <cellStyle name="Comma 2 4 5 2 2 5" xfId="45369" xr:uid="{9C60A69A-E634-4AB5-AD9C-6525B7AD0AC0}"/>
    <cellStyle name="Comma 2 4 5 2 2 6" xfId="48423" xr:uid="{A6D2E28A-B2F4-475B-B565-259BACA68896}"/>
    <cellStyle name="Comma 2 4 5 2 2 7" xfId="51217" xr:uid="{B65025F7-C117-4002-B0E9-8D96173055BC}"/>
    <cellStyle name="Comma 2 4 5 2 2 8" xfId="52728" xr:uid="{893D7027-612F-43D4-9FBD-4350CB08BBFA}"/>
    <cellStyle name="Comma 2 4 5 2 2 9" xfId="21029" xr:uid="{3353053B-30FB-4BB0-A845-1956AB80FC28}"/>
    <cellStyle name="Comma 2 4 5 2 3" xfId="7728" xr:uid="{592DB09C-F69A-4241-B8C5-7C4DE45D0058}"/>
    <cellStyle name="Comma 2 4 5 2 3 2" xfId="20248" xr:uid="{1E6F50E0-272F-4DD2-83F1-804B9968571E}"/>
    <cellStyle name="Comma 2 4 5 2 4" xfId="12241" xr:uid="{61AC0AC6-E8FA-4BB6-8CA8-DEBE3305BA4D}"/>
    <cellStyle name="Comma 2 4 5 2 4 2" xfId="23793" xr:uid="{AE2DC8ED-2391-44D3-8221-472958262AA7}"/>
    <cellStyle name="Comma 2 4 5 2 5" xfId="38290" xr:uid="{694E39C1-EA7F-40CF-B37C-3A0DE7B23C4F}"/>
    <cellStyle name="Comma 2 4 5 2 6" xfId="39004" xr:uid="{3B9E7541-18DB-43C0-BF3C-1D4D041ACC77}"/>
    <cellStyle name="Comma 2 4 5 2 7" xfId="40113" xr:uid="{9E3B038D-2E70-4FA2-86C9-1C6DF496AFBC}"/>
    <cellStyle name="Comma 2 4 5 2 8" xfId="40755" xr:uid="{7159FF86-0DF6-42EC-AA8B-24B336C1F4C0}"/>
    <cellStyle name="Comma 2 4 5 2 9" xfId="41967" xr:uid="{4F846A8C-F7BB-4D09-90CD-F8EAEDE79340}"/>
    <cellStyle name="Comma 2 4 5 3" xfId="9726" xr:uid="{511C2CC7-6EF7-4A18-A286-8882DBED3B47}"/>
    <cellStyle name="Comma 2 4 5 3 10" xfId="14970" xr:uid="{BBFEB208-3BEB-4210-B449-4CE37EF1AD20}"/>
    <cellStyle name="Comma 2 4 5 3 2" xfId="13032" xr:uid="{0AFD6BD2-DC98-43FF-BD0C-79204A29F4CC}"/>
    <cellStyle name="Comma 2 4 5 3 2 2" xfId="49038" xr:uid="{AC370F63-19EC-4EFD-8AFF-250C30BE934C}"/>
    <cellStyle name="Comma 2 4 5 3 2 3" xfId="51728" xr:uid="{5C36ABAC-C42B-4500-9F3D-9D9F9E8CA5C1}"/>
    <cellStyle name="Comma 2 4 5 3 2 4" xfId="52729" xr:uid="{2CF1C112-F2D3-45A6-847F-8011D7D13270}"/>
    <cellStyle name="Comma 2 4 5 3 2 5" xfId="39314" xr:uid="{B3F39EAB-81BB-416A-B6E9-6DEDED91A750}"/>
    <cellStyle name="Comma 2 4 5 3 3" xfId="41176" xr:uid="{9CE2F810-7B21-4375-8BA6-E59ADBBDA84F}"/>
    <cellStyle name="Comma 2 4 5 3 4" xfId="42991" xr:uid="{A95BEABE-E421-4C35-B92E-5DEAEFE2AA95}"/>
    <cellStyle name="Comma 2 4 5 3 5" xfId="45096" xr:uid="{0E3ECD82-671C-4618-8352-762F50CA0069}"/>
    <cellStyle name="Comma 2 4 5 3 6" xfId="47457" xr:uid="{580DA1AC-6619-4A0B-85A5-D311D7F8CC4C}"/>
    <cellStyle name="Comma 2 4 5 3 7" xfId="50400" xr:uid="{801BE918-0EEF-4D91-A09B-86529718BDB7}"/>
    <cellStyle name="Comma 2 4 5 3 8" xfId="52730" xr:uid="{EBF863EE-E209-4D29-8BFB-830EC553BF35}"/>
    <cellStyle name="Comma 2 4 5 3 9" xfId="20620" xr:uid="{6D694997-88CC-438F-98B4-A8711EAEEA89}"/>
    <cellStyle name="Comma 2 4 5 4" xfId="7222" xr:uid="{61E4AFFC-BE9D-4B9B-8F48-AA044A7FA9C5}"/>
    <cellStyle name="Comma 2 4 5 4 2" xfId="48183" xr:uid="{60601E4B-E7FF-43EE-97FC-CA4F2B60081C}"/>
    <cellStyle name="Comma 2 4 5 4 3" xfId="51010" xr:uid="{62631067-E533-411D-96B9-04E28E30E9EF}"/>
    <cellStyle name="Comma 2 4 5 4 4" xfId="52731" xr:uid="{09CC6690-64FE-4519-B552-11149B58104F}"/>
    <cellStyle name="Comma 2 4 5 4 5" xfId="19967" xr:uid="{14D65E72-A0A5-43CC-A442-6DB84C9FCD33}"/>
    <cellStyle name="Comma 2 4 5 5" xfId="11747" xr:uid="{1552E594-2C7A-40EB-83EA-EEC9CA45E468}"/>
    <cellStyle name="Comma 2 4 5 5 2" xfId="23792" xr:uid="{B3F59B8F-A979-41A7-82CC-A9B7A0F7AD54}"/>
    <cellStyle name="Comma 2 4 5 6" xfId="38289" xr:uid="{B96158E0-0158-4E07-AD9D-38DB0CAB06CA}"/>
    <cellStyle name="Comma 2 4 5 7" xfId="38723" xr:uid="{D756CD19-B3B7-4889-B59B-0D6BA22ECBA4}"/>
    <cellStyle name="Comma 2 4 5 8" xfId="40112" xr:uid="{440244EE-1182-4836-9813-33ABBDA1A808}"/>
    <cellStyle name="Comma 2 4 5 9" xfId="40754" xr:uid="{03654AC6-CA11-4099-A8A3-955294B466F4}"/>
    <cellStyle name="Comma 2 4 6" xfId="5515" xr:uid="{E4DD5B64-9879-4922-9630-EA884DC5F0EB}"/>
    <cellStyle name="Comma 2 4 6 10" xfId="42682" xr:uid="{B8F9FB57-8D03-4088-BFAE-70054AC65185}"/>
    <cellStyle name="Comma 2 4 6 11" xfId="43804" xr:uid="{EFE8EFD7-EF1D-434C-9F13-521724355DA4}"/>
    <cellStyle name="Comma 2 4 6 12" xfId="44849" xr:uid="{C91C2E10-BFCD-49FB-A824-B05BB4695919}"/>
    <cellStyle name="Comma 2 4 6 13" xfId="46562" xr:uid="{AE18B91E-B213-45A6-BEB1-E25D25BE0D59}"/>
    <cellStyle name="Comma 2 4 6 14" xfId="49595" xr:uid="{2531F006-0829-4EDB-B604-D35B4D06AEC5}"/>
    <cellStyle name="Comma 2 4 6 15" xfId="52732" xr:uid="{F254AC15-D562-4CD7-AD37-41D173CF0A0C}"/>
    <cellStyle name="Comma 2 4 6 16" xfId="17035" xr:uid="{0226528C-5506-489C-9398-19DB70FE90C7}"/>
    <cellStyle name="Comma 2 4 6 17" xfId="14052" xr:uid="{E98AC436-5D03-48DA-A5E6-3ECFDE947320}"/>
    <cellStyle name="Comma 2 4 6 2" xfId="7617" xr:uid="{9304290A-23CE-4848-BE53-2FFF6BE03268}"/>
    <cellStyle name="Comma 2 4 6 2 10" xfId="14544" xr:uid="{3A1936FA-02D9-4398-9D82-14280162598C}"/>
    <cellStyle name="Comma 2 4 6 2 2" xfId="10109" xr:uid="{88B3BA57-079C-4905-9531-422F59DD71E4}"/>
    <cellStyle name="Comma 2 4 6 2 2 2" xfId="13415" xr:uid="{C103E0CE-09DC-4FE4-B339-CB389DA5880D}"/>
    <cellStyle name="Comma 2 4 6 2 2 2 2" xfId="48617" xr:uid="{08E28BF3-6CA5-42F0-8668-F60227B1CFE2}"/>
    <cellStyle name="Comma 2 4 6 2 2 3" xfId="51380" xr:uid="{5A26AAC0-6E27-48BF-90D9-AF8454234AA9}"/>
    <cellStyle name="Comma 2 4 6 2 2 4" xfId="52733" xr:uid="{0608563B-6C8D-4480-9BFD-029F9312FD30}"/>
    <cellStyle name="Comma 2 4 6 2 2 5" xfId="39596" xr:uid="{E4D01463-7237-4D18-94DC-BC4B37853CC3}"/>
    <cellStyle name="Comma 2 4 6 2 3" xfId="12130" xr:uid="{5B98443B-5B52-425B-8405-69BDDCAD4E82}"/>
    <cellStyle name="Comma 2 4 6 2 3 2" xfId="41450" xr:uid="{7B26790E-C006-4003-9536-34CE6BE53195}"/>
    <cellStyle name="Comma 2 4 6 2 4" xfId="43273" xr:uid="{2A918433-BE63-4E4F-A770-B5A7CBC4B157}"/>
    <cellStyle name="Comma 2 4 6 2 5" xfId="45370" xr:uid="{ABE7481B-CD8B-4C95-B323-48DC06F560E0}"/>
    <cellStyle name="Comma 2 4 6 2 6" xfId="47051" xr:uid="{73674D58-BFB3-41E5-B192-8D033ADC4A90}"/>
    <cellStyle name="Comma 2 4 6 2 7" xfId="50052" xr:uid="{6B5B8F68-B60A-4211-84EE-0C2B55DA5F8C}"/>
    <cellStyle name="Comma 2 4 6 2 8" xfId="52734" xr:uid="{5EEB63D1-FF8E-4E84-B2D9-3D19A26036F2}"/>
    <cellStyle name="Comma 2 4 6 2 9" xfId="21030" xr:uid="{7D086FC0-F63D-4120-BA47-13B0247986A0}"/>
    <cellStyle name="Comma 2 4 6 3" xfId="9615" xr:uid="{6F4E8747-5582-4676-B4C6-76F883D3DEF5}"/>
    <cellStyle name="Comma 2 4 6 3 2" xfId="12921" xr:uid="{1AD1BD5E-688A-4ACD-B90B-E9E202A0E447}"/>
    <cellStyle name="Comma 2 4 6 3 2 2" xfId="51641" xr:uid="{64A7F367-3BDD-44A2-8269-35883F1C36CA}"/>
    <cellStyle name="Comma 2 4 6 3 2 3" xfId="52735" xr:uid="{007AD1CB-DAB0-4314-B5E4-CF133D6B4C4B}"/>
    <cellStyle name="Comma 2 4 6 3 2 4" xfId="48929" xr:uid="{187A4C50-D0FE-4833-9650-0D1A2D9C8D16}"/>
    <cellStyle name="Comma 2 4 6 3 3" xfId="47353" xr:uid="{37171A1B-6039-402C-ACED-60A2AA28D163}"/>
    <cellStyle name="Comma 2 4 6 3 4" xfId="50313" xr:uid="{D27951A5-EF2D-4836-A72C-FC345193D46D}"/>
    <cellStyle name="Comma 2 4 6 3 5" xfId="52736" xr:uid="{AE27D9DF-C11A-4998-84CA-0471593A4A9D}"/>
    <cellStyle name="Comma 2 4 6 3 6" xfId="20249" xr:uid="{B0FE27CE-78FA-48E9-B3A8-AF44FD101D57}"/>
    <cellStyle name="Comma 2 4 6 4" xfId="7111" xr:uid="{A060FC26-30D7-4A43-AD7F-C22D9D753236}"/>
    <cellStyle name="Comma 2 4 6 4 2" xfId="48074" xr:uid="{2165BA94-BB62-460F-950C-B8F01EDD6997}"/>
    <cellStyle name="Comma 2 4 6 4 3" xfId="50923" xr:uid="{FCB3A62E-5288-4D15-853A-E1CADCB23E40}"/>
    <cellStyle name="Comma 2 4 6 4 4" xfId="52737" xr:uid="{6DF0B1DA-A68D-45A9-ADC2-9C308656BF2F}"/>
    <cellStyle name="Comma 2 4 6 4 5" xfId="23794" xr:uid="{23358D26-A9FF-481C-B12E-F02140CD6E87}"/>
    <cellStyle name="Comma 2 4 6 5" xfId="11636" xr:uid="{C88AAF8C-A964-433A-A494-9BAA422D9D47}"/>
    <cellStyle name="Comma 2 4 6 5 2" xfId="38291" xr:uid="{4075675C-DC76-4984-B640-E0C70FDBB500}"/>
    <cellStyle name="Comma 2 4 6 6" xfId="39005" xr:uid="{AB224F65-49F6-43FC-84C5-4D39215FD01E}"/>
    <cellStyle name="Comma 2 4 6 7" xfId="40114" xr:uid="{E2F4E250-E62F-4116-89B1-7A56EF657868}"/>
    <cellStyle name="Comma 2 4 6 8" xfId="40756" xr:uid="{B63AA547-1D01-4DA8-956D-83C314B7BB03}"/>
    <cellStyle name="Comma 2 4 6 9" xfId="41968" xr:uid="{168E087B-A780-486D-8E9A-4F230876685E}"/>
    <cellStyle name="Comma 2 4 7" xfId="5951" xr:uid="{7CD7392F-0972-4D95-949B-D691B131A982}"/>
    <cellStyle name="Comma 2 4 7 10" xfId="42674" xr:uid="{ACCDBF84-9C07-453C-B7AA-842329615D96}"/>
    <cellStyle name="Comma 2 4 7 11" xfId="44841" xr:uid="{3B749653-F385-41FA-92EA-959AE3B30212}"/>
    <cellStyle name="Comma 2 4 7 12" xfId="45805" xr:uid="{7A9D956E-A40C-4B0C-99B3-3B150ABE6DB4}"/>
    <cellStyle name="Comma 2 4 7 13" xfId="49427" xr:uid="{3F63F475-553B-466F-95F7-285C03880CF8}"/>
    <cellStyle name="Comma 2 4 7 14" xfId="52738" xr:uid="{D8D57A4E-F817-4609-B1DF-A92AECE372CC}"/>
    <cellStyle name="Comma 2 4 7 15" xfId="17027" xr:uid="{426B980B-AC08-4E26-A146-F9A1A088A5C1}"/>
    <cellStyle name="Comma 2 4 7 16" xfId="14341" xr:uid="{25A29B41-B3B2-48AF-B9CF-2738F26F2463}"/>
    <cellStyle name="Comma 2 4 7 2" xfId="9409" xr:uid="{DA7C4DAD-7C83-46A0-AEA0-037F0F55A63F}"/>
    <cellStyle name="Comma 2 4 7 2 2" xfId="12715" xr:uid="{7683FF44-D2A1-407E-8A34-EAC277F51885}"/>
    <cellStyle name="Comma 2 4 7 2 2 2" xfId="39588" xr:uid="{947338FB-7320-485E-9E2B-26A512E88248}"/>
    <cellStyle name="Comma 2 4 7 2 3" xfId="41442" xr:uid="{4F10E6CE-7D5E-487D-A847-DCCA8EC42CDA}"/>
    <cellStyle name="Comma 2 4 7 2 4" xfId="43265" xr:uid="{954550CC-AAF2-4739-866D-C2C7A3C59F7F}"/>
    <cellStyle name="Comma 2 4 7 2 5" xfId="45362" xr:uid="{2A315DC8-9C1C-455E-A6C1-F9B16DB9F7C1}"/>
    <cellStyle name="Comma 2 4 7 2 6" xfId="47878" xr:uid="{58AEFE70-4B66-4BCB-9D0E-BF8546784EA0}"/>
    <cellStyle name="Comma 2 4 7 2 7" xfId="50755" xr:uid="{411CBB43-23A6-4254-B2DB-FFF7E30F789F}"/>
    <cellStyle name="Comma 2 4 7 2 8" xfId="52739" xr:uid="{3ECEA182-93DC-4696-9B8C-B6F3C51EF262}"/>
    <cellStyle name="Comma 2 4 7 2 9" xfId="21022" xr:uid="{BCE5DEE9-1D16-478F-BF72-16DC419451EE}"/>
    <cellStyle name="Comma 2 4 7 3" xfId="11430" xr:uid="{E1BEE3B1-F95D-4B01-B1D2-62D786C612D6}"/>
    <cellStyle name="Comma 2 4 7 3 2" xfId="20241" xr:uid="{8A177563-ADF7-4989-A25D-A8B998AEB8DE}"/>
    <cellStyle name="Comma 2 4 7 4" xfId="23795" xr:uid="{E43570BB-64B1-44E0-8363-103A1C805DC1}"/>
    <cellStyle name="Comma 2 4 7 5" xfId="38292" xr:uid="{6D6B3EC0-EB9B-4F6F-8430-9A4C62F99DCA}"/>
    <cellStyle name="Comma 2 4 7 6" xfId="38997" xr:uid="{61A0476C-9A0A-46DD-A928-8C0FFCF57732}"/>
    <cellStyle name="Comma 2 4 7 7" xfId="40115" xr:uid="{C0DA511A-028F-4EBA-AC2E-224D022DACA4}"/>
    <cellStyle name="Comma 2 4 7 8" xfId="40757" xr:uid="{8D8B302F-80D2-44F7-A6FA-A4991130CEDC}"/>
    <cellStyle name="Comma 2 4 7 9" xfId="41969" xr:uid="{4FF6E22A-AC0D-4010-9DF8-81A375E58C1D}"/>
    <cellStyle name="Comma 2 4 8" xfId="7414" xr:uid="{83F4F263-9F28-4970-A885-63C65655B64A}"/>
    <cellStyle name="Comma 2 4 8 10" xfId="42828" xr:uid="{D5E8C029-8B6A-4C9A-9699-D6CF7ED0D21E}"/>
    <cellStyle name="Comma 2 4 8 11" xfId="44955" xr:uid="{BCF690ED-08E9-4EBC-A1F4-A62BA7672F61}"/>
    <cellStyle name="Comma 2 4 8 12" xfId="46822" xr:uid="{9A9C06ED-950D-4290-9FC1-0E79431850FF}"/>
    <cellStyle name="Comma 2 4 8 13" xfId="49846" xr:uid="{409478D9-0E11-4A56-BBA2-15533A7C555D}"/>
    <cellStyle name="Comma 2 4 8 14" xfId="52740" xr:uid="{5BC4B9C4-28CD-4A64-BDA9-670A23094256}"/>
    <cellStyle name="Comma 2 4 8 15" xfId="19734" xr:uid="{46AAF08A-BC58-44A1-AD4A-7C973EF48D6C}"/>
    <cellStyle name="Comma 2 4 8 16" xfId="14859" xr:uid="{2E92674D-DEE1-4A0E-80CC-E8DB1E492068}"/>
    <cellStyle name="Comma 2 4 8 2" xfId="9906" xr:uid="{4C55726F-8551-4006-9C39-76AAB57EFD17}"/>
    <cellStyle name="Comma 2 4 8 2 2" xfId="13212" xr:uid="{4A41EC60-7ACB-49B0-9E75-25E570E2E08B}"/>
    <cellStyle name="Comma 2 4 8 2 2 2" xfId="39742" xr:uid="{D231AA70-4CFA-4215-8C3F-CB081A071544}"/>
    <cellStyle name="Comma 2 4 8 2 3" xfId="41595" xr:uid="{E1F1A082-8EFA-4E0D-9EAD-6740773247FD}"/>
    <cellStyle name="Comma 2 4 8 2 4" xfId="43419" xr:uid="{A43609C7-2E35-438C-A190-706255A3E2BD}"/>
    <cellStyle name="Comma 2 4 8 2 5" xfId="45498" xr:uid="{F582F0A1-BB15-4E46-A3F8-BCA9E9F783E1}"/>
    <cellStyle name="Comma 2 4 8 2 6" xfId="48373" xr:uid="{93724337-E27A-4E80-BA0A-2993FEB8B6C6}"/>
    <cellStyle name="Comma 2 4 8 2 7" xfId="51174" xr:uid="{44C87F9F-9770-4B99-8821-3AA2BD7D7DFE}"/>
    <cellStyle name="Comma 2 4 8 2 8" xfId="52741" xr:uid="{7D5060F0-0345-43CB-966B-5631065BE54E}"/>
    <cellStyle name="Comma 2 4 8 2 9" xfId="23351" xr:uid="{98DD3D44-600F-4309-93A4-2D63221B60F8}"/>
    <cellStyle name="Comma 2 4 8 3" xfId="11927" xr:uid="{2EE1A9D7-0D5B-4CDC-A59E-D17E994B7F75}"/>
    <cellStyle name="Comma 2 4 8 3 2" xfId="20395" xr:uid="{B122CC13-654F-4EEA-8C46-BE0BB16ED16B}"/>
    <cellStyle name="Comma 2 4 8 4" xfId="23796" xr:uid="{7BE92FBF-24BC-44C6-8C1E-0ADA737B137F}"/>
    <cellStyle name="Comma 2 4 8 5" xfId="38293" xr:uid="{9259E280-3060-4F93-8654-6D9DD353A3D3}"/>
    <cellStyle name="Comma 2 4 8 6" xfId="39151" xr:uid="{884C91B4-3840-4C90-A52B-20411F21D195}"/>
    <cellStyle name="Comma 2 4 8 7" xfId="40116" xr:uid="{D0148F6D-4491-44E9-8462-B9B8F338EAEC}"/>
    <cellStyle name="Comma 2 4 8 8" xfId="40758" xr:uid="{9FBD2237-303B-4BAA-BAAC-9278EE3DA42A}"/>
    <cellStyle name="Comma 2 4 8 9" xfId="41970" xr:uid="{FCBDE242-5B8E-4D28-9D94-3F16B7365282}"/>
    <cellStyle name="Comma 2 4 9" xfId="8145" xr:uid="{B3C0E5CF-363C-41FC-A50E-1310C4C4D56A}"/>
    <cellStyle name="Comma 2 4 9 10" xfId="47164" xr:uid="{0250BBF6-43EB-472F-A695-58A931E0607D}"/>
    <cellStyle name="Comma 2 4 9 11" xfId="50145" xr:uid="{4F3A8C72-70D5-4B7E-9BD5-F49C2E3B588C}"/>
    <cellStyle name="Comma 2 4 9 12" xfId="52742" xr:uid="{6A5E365B-9614-423E-9804-75BA0C9A82CE}"/>
    <cellStyle name="Comma 2 4 9 13" xfId="20469" xr:uid="{21FC3B90-E84A-4CF4-A985-840774CE656A}"/>
    <cellStyle name="Comma 2 4 9 2" xfId="12601" xr:uid="{1ECF6EF8-05BF-4982-B69C-92C57A1E1E0E}"/>
    <cellStyle name="Comma 2 4 9 2 2" xfId="48729" xr:uid="{BF754DAA-04AA-421C-8C14-395D28DC47C3}"/>
    <cellStyle name="Comma 2 4 9 2 3" xfId="51473" xr:uid="{3441F5B0-6855-498F-8E50-3B5E3F8058CA}"/>
    <cellStyle name="Comma 2 4 9 2 4" xfId="52743" xr:uid="{BC9DE993-C143-4167-B747-92564E2C0634}"/>
    <cellStyle name="Comma 2 4 9 2 5" xfId="23797" xr:uid="{6F2378E1-5A02-4BB8-97D2-4B7C793494D4}"/>
    <cellStyle name="Comma 2 4 9 3" xfId="38294" xr:uid="{18DD0526-E309-44AD-BC13-F2334B1B3F25}"/>
    <cellStyle name="Comma 2 4 9 4" xfId="39224" xr:uid="{E31FC64C-ACFC-41C9-A5D6-24D180E77F22}"/>
    <cellStyle name="Comma 2 4 9 5" xfId="40117" xr:uid="{64EF13A0-4C77-43F1-B3CD-61EEAE1105BF}"/>
    <cellStyle name="Comma 2 4 9 6" xfId="40759" xr:uid="{3D91DA73-3BCF-4B83-9FDD-A1ADC5F741C2}"/>
    <cellStyle name="Comma 2 4 9 7" xfId="41971" xr:uid="{51CE965D-89B8-4C43-B9EF-9759404D209A}"/>
    <cellStyle name="Comma 2 4 9 8" xfId="42901" xr:uid="{E70A6DD1-E092-4A65-8711-8C72DCCA8A92}"/>
    <cellStyle name="Comma 2 4 9 9" xfId="45008" xr:uid="{B10C53BA-4536-4F47-8D9F-111F8EA5A709}"/>
    <cellStyle name="Comma 2 5" xfId="1761" xr:uid="{5831F535-7D9B-41A3-AFC4-1D5A86CADA5A}"/>
    <cellStyle name="Comma 2 5 10" xfId="7415" xr:uid="{ACC3C5CF-C9AC-4B22-866D-2DEF5A509862}"/>
    <cellStyle name="Comma 2 5 10 10" xfId="42830" xr:uid="{B041CC60-F8DF-4B8B-9BEB-2D7AD73A709A}"/>
    <cellStyle name="Comma 2 5 10 11" xfId="44957" xr:uid="{624E5017-983D-4A07-8566-13F6676D5CBF}"/>
    <cellStyle name="Comma 2 5 10 12" xfId="46824" xr:uid="{0F336D91-6D56-4B51-A202-F601556D3DA3}"/>
    <cellStyle name="Comma 2 5 10 13" xfId="49848" xr:uid="{9DD3E713-A161-4A08-BC7F-E54E2CD677D7}"/>
    <cellStyle name="Comma 2 5 10 14" xfId="52744" xr:uid="{0FC1328D-4C70-4B74-8730-A62DF9ADD276}"/>
    <cellStyle name="Comma 2 5 10 15" xfId="19736" xr:uid="{613338CD-2721-45E6-8CA4-0F8213BCE9E7}"/>
    <cellStyle name="Comma 2 5 10 16" xfId="14862" xr:uid="{718EBAB4-2DBE-49A6-8C64-9C87E4DF77E9}"/>
    <cellStyle name="Comma 2 5 10 2" xfId="9907" xr:uid="{B78E41AB-6541-4D2E-A5C1-52B485FFAFE5}"/>
    <cellStyle name="Comma 2 5 10 2 2" xfId="13213" xr:uid="{5133B8BD-D10D-438B-8EE3-AB9381895499}"/>
    <cellStyle name="Comma 2 5 10 2 2 2" xfId="39744" xr:uid="{D9FBFC69-0D05-4210-BFD4-369DEC4A5955}"/>
    <cellStyle name="Comma 2 5 10 2 3" xfId="41597" xr:uid="{04197D43-A414-4179-B106-9FA66B1B518D}"/>
    <cellStyle name="Comma 2 5 10 2 4" xfId="43421" xr:uid="{BF6BE90D-35C7-4F63-BA4B-33EFA58EFB1E}"/>
    <cellStyle name="Comma 2 5 10 2 5" xfId="45500" xr:uid="{9571B07E-A196-4CF2-9EEA-55DEF1753B4D}"/>
    <cellStyle name="Comma 2 5 10 2 6" xfId="48375" xr:uid="{BD2A8E61-905C-444F-B87B-462CAA003703}"/>
    <cellStyle name="Comma 2 5 10 2 7" xfId="51176" xr:uid="{850AE1CA-01C7-4085-8EE8-E03804BFD859}"/>
    <cellStyle name="Comma 2 5 10 2 8" xfId="52745" xr:uid="{3F05CDC1-A22F-4AEC-B152-A4DB29E2B2AA}"/>
    <cellStyle name="Comma 2 5 10 2 9" xfId="23353" xr:uid="{84E54466-A3CF-4982-86A4-890AA3520A5A}"/>
    <cellStyle name="Comma 2 5 10 3" xfId="11928" xr:uid="{6982A7A5-C303-4E16-8B83-78BBEC71C4B8}"/>
    <cellStyle name="Comma 2 5 10 3 2" xfId="20397" xr:uid="{09FD20FF-ACA1-45F6-BCCA-925B808A605F}"/>
    <cellStyle name="Comma 2 5 10 4" xfId="23799" xr:uid="{932A063F-C5E8-4694-92C6-167872A6A6F3}"/>
    <cellStyle name="Comma 2 5 10 5" xfId="38296" xr:uid="{DC4C1893-95C0-42A9-BD73-FCDE4E928EEB}"/>
    <cellStyle name="Comma 2 5 10 6" xfId="39153" xr:uid="{8E66D0B4-8017-49B6-83CD-69E385E846D6}"/>
    <cellStyle name="Comma 2 5 10 7" xfId="40119" xr:uid="{DE344E74-C752-4213-92EA-75CCD63B485C}"/>
    <cellStyle name="Comma 2 5 10 8" xfId="40761" xr:uid="{C5BA1DBD-1051-4D32-9580-75D58AFBBFBA}"/>
    <cellStyle name="Comma 2 5 10 9" xfId="41973" xr:uid="{1C38AF48-A66B-4BC8-ADB8-5E5A7120503E}"/>
    <cellStyle name="Comma 2 5 11" xfId="8148" xr:uid="{38F0EE17-91AC-4990-B97A-0E7C1928D35E}"/>
    <cellStyle name="Comma 2 5 11 10" xfId="47165" xr:uid="{30EE1C4C-10B8-4CC2-95D3-11271DB5BAE8}"/>
    <cellStyle name="Comma 2 5 11 11" xfId="50146" xr:uid="{C0B994CE-83CB-4ABC-ACAD-B630B062A29C}"/>
    <cellStyle name="Comma 2 5 11 12" xfId="52746" xr:uid="{67FBEAE1-B4ED-4DCF-80C6-83ED754DEFE2}"/>
    <cellStyle name="Comma 2 5 11 13" xfId="20470" xr:uid="{EA30CEB2-1CFA-448A-85FE-8DE80E8A0541}"/>
    <cellStyle name="Comma 2 5 11 2" xfId="12604" xr:uid="{A730E875-6AC9-4F06-AA36-BDF18B8101CF}"/>
    <cellStyle name="Comma 2 5 11 2 2" xfId="48730" xr:uid="{6D9C1782-B21F-4376-AC01-E5FC71A893C9}"/>
    <cellStyle name="Comma 2 5 11 2 3" xfId="51474" xr:uid="{48CA3FDB-D3CB-442D-BFA5-2581AA84AC8B}"/>
    <cellStyle name="Comma 2 5 11 2 4" xfId="52747" xr:uid="{BA017233-3330-4FFF-BD28-EE32623B29AE}"/>
    <cellStyle name="Comma 2 5 11 2 5" xfId="23800" xr:uid="{FDE1805C-3403-4872-8C11-9D1B98896F3E}"/>
    <cellStyle name="Comma 2 5 11 3" xfId="38297" xr:uid="{F966A485-5256-44D9-90C5-591486B9102A}"/>
    <cellStyle name="Comma 2 5 11 4" xfId="39225" xr:uid="{695CA911-6099-4582-A8E7-7516EA441174}"/>
    <cellStyle name="Comma 2 5 11 5" xfId="40120" xr:uid="{E789B3AB-473F-4B53-B83B-D58311EB12FF}"/>
    <cellStyle name="Comma 2 5 11 6" xfId="40762" xr:uid="{02F12EA4-9FD8-4E8E-B449-808C470B2155}"/>
    <cellStyle name="Comma 2 5 11 7" xfId="41974" xr:uid="{27E6E2E5-72FE-4260-8ED1-F7F1EF1244E6}"/>
    <cellStyle name="Comma 2 5 11 8" xfId="42902" xr:uid="{3EDB499E-9BF1-4B28-B404-F9B5110C298D}"/>
    <cellStyle name="Comma 2 5 11 9" xfId="45009" xr:uid="{BC399E06-9B62-4C35-840E-EB14D37A4E3A}"/>
    <cellStyle name="Comma 2 5 12" xfId="8100" xr:uid="{1A6CB495-8072-43A0-A277-1C76C65217BD}"/>
    <cellStyle name="Comma 2 5 12 10" xfId="19876" xr:uid="{1FBE7B5E-3841-4E61-ADA1-C3907B28FC5C}"/>
    <cellStyle name="Comma 2 5 12 2" xfId="12556" xr:uid="{8B81730D-182D-4FB5-933C-9A8634C19780}"/>
    <cellStyle name="Comma 2 5 12 2 2" xfId="23801" xr:uid="{642C1CF8-1B2A-4686-920D-A807C1DCF3F1}"/>
    <cellStyle name="Comma 2 5 12 3" xfId="38298" xr:uid="{9C586B37-5B4C-4B35-8377-C39D2E56AE38}"/>
    <cellStyle name="Comma 2 5 12 4" xfId="40121" xr:uid="{BCB1B4B0-D730-4BDF-88D9-5DFE9A96A4ED}"/>
    <cellStyle name="Comma 2 5 12 5" xfId="40763" xr:uid="{C6313614-6258-427D-9B0A-0E54C707610A}"/>
    <cellStyle name="Comma 2 5 12 6" xfId="41975" xr:uid="{6B913208-46F3-404F-9949-ECAB2FAB655C}"/>
    <cellStyle name="Comma 2 5 12 7" xfId="47628" xr:uid="{07202DEE-A3F4-4AEA-9A2C-D6E57CCE2015}"/>
    <cellStyle name="Comma 2 5 12 8" xfId="50541" xr:uid="{FD001292-4914-4432-B4BE-E1270A4DB287}"/>
    <cellStyle name="Comma 2 5 12 9" xfId="52748" xr:uid="{9572B274-A911-4FD6-88D2-F2CEA88DB877}"/>
    <cellStyle name="Comma 2 5 13" xfId="7935" xr:uid="{34A52E2D-1029-4380-948E-B67C54539DC5}"/>
    <cellStyle name="Comma 2 5 13 2" xfId="12448" xr:uid="{532B069B-3C13-433C-B847-FEE7A7CF3339}"/>
    <cellStyle name="Comma 2 5 13 3" xfId="23798" xr:uid="{D957EA41-0AA8-41FF-8C94-0C50B5EAF566}"/>
    <cellStyle name="Comma 2 5 14" xfId="11276" xr:uid="{F2C1462A-A2D4-45C5-A0D9-4A46E712D4DE}"/>
    <cellStyle name="Comma 2 5 14 2" xfId="13835" xr:uid="{A93C053A-5D61-4345-8065-B70ADCE0EA0C}"/>
    <cellStyle name="Comma 2 5 14 3" xfId="38295" xr:uid="{73A843FA-A358-47F1-AE75-4EE616B7683D}"/>
    <cellStyle name="Comma 2 5 15" xfId="5832" xr:uid="{20E84591-8312-4229-AD86-B60ACDB57C01}"/>
    <cellStyle name="Comma 2 5 15 2" xfId="38634" xr:uid="{E3A2B179-75A0-42E6-8E98-CEB32460310B}"/>
    <cellStyle name="Comma 2 5 16" xfId="11320" xr:uid="{517A19D4-8922-437B-81FB-789F6722C349}"/>
    <cellStyle name="Comma 2 5 16 2" xfId="40118" xr:uid="{2CE518CA-1F69-4160-9BEC-7826B519D861}"/>
    <cellStyle name="Comma 2 5 17" xfId="40760" xr:uid="{6144C674-CA2E-4C86-8590-E28FE2CE773D}"/>
    <cellStyle name="Comma 2 5 18" xfId="41972" xr:uid="{5F7CCE48-FCB1-44FC-95B4-413830725C3F}"/>
    <cellStyle name="Comma 2 5 19" xfId="42311" xr:uid="{2DC60E3A-2D78-46D0-AB10-F43EBFA7C681}"/>
    <cellStyle name="Comma 2 5 2" xfId="1762" xr:uid="{CEB65238-A9CE-424A-BD05-DE6CFFB92942}"/>
    <cellStyle name="Comma 2 5 2 10" xfId="5833" xr:uid="{57BA42BD-0A85-49FB-A0F7-26DB7D495A4D}"/>
    <cellStyle name="Comma 2 5 2 10 2" xfId="23802" xr:uid="{BBC97029-C4DB-47A9-8F42-842A500AC7FB}"/>
    <cellStyle name="Comma 2 5 2 11" xfId="11321" xr:uid="{136D4C4E-2986-4D9E-9944-5B1490A9312C}"/>
    <cellStyle name="Comma 2 5 2 11 2" xfId="38299" xr:uid="{17844754-94F4-42F3-98E9-0AFF388E4E7E}"/>
    <cellStyle name="Comma 2 5 2 12" xfId="38635" xr:uid="{F52663B7-2780-46E3-B4D2-271DBB4FE59C}"/>
    <cellStyle name="Comma 2 5 2 13" xfId="40122" xr:uid="{9E50DB5B-F753-4E92-BCC9-E64D8FE8328F}"/>
    <cellStyle name="Comma 2 5 2 14" xfId="40764" xr:uid="{A3692894-BCDF-4531-BC67-FF5EDF982C21}"/>
    <cellStyle name="Comma 2 5 2 15" xfId="41976" xr:uid="{3CB61742-D4F1-4B9A-A864-8453D3E406FB}"/>
    <cellStyle name="Comma 2 5 2 16" xfId="42312" xr:uid="{20E3C8B8-EFF0-4064-B1D7-3B02D4152529}"/>
    <cellStyle name="Comma 2 5 2 17" xfId="43535" xr:uid="{8B0A2345-4276-4E49-8844-8D61E44DCA70}"/>
    <cellStyle name="Comma 2 5 2 18" xfId="44398" xr:uid="{74643523-94BB-42BB-9C22-910772AC7BC4}"/>
    <cellStyle name="Comma 2 5 2 19" xfId="45634" xr:uid="{C0B38C2C-C4B5-415D-A19C-48F3611FC8BE}"/>
    <cellStyle name="Comma 2 5 2 2" xfId="4438" xr:uid="{5755BDF2-4C8C-4098-BBE5-366AAAF87352}"/>
    <cellStyle name="Comma 2 5 2 2 10" xfId="40765" xr:uid="{BB7CE507-7529-4807-A315-9A38A7C54F87}"/>
    <cellStyle name="Comma 2 5 2 2 11" xfId="41977" xr:uid="{9FC9C1EC-41C6-4F57-BE32-24D9B1EEBB30}"/>
    <cellStyle name="Comma 2 5 2 2 12" xfId="42350" xr:uid="{ED87CC7D-1BD3-4534-8884-A6C858808CF6}"/>
    <cellStyle name="Comma 2 5 2 2 13" xfId="44239" xr:uid="{49088549-0015-411B-8C21-A539668E135E}"/>
    <cellStyle name="Comma 2 5 2 2 14" xfId="44539" xr:uid="{DF97194A-FC38-40F0-9576-9F222B01C56F}"/>
    <cellStyle name="Comma 2 5 2 2 15" xfId="45708" xr:uid="{099EA8B3-2227-47E3-A058-8D90DD5BFEE6}"/>
    <cellStyle name="Comma 2 5 2 2 16" xfId="49336" xr:uid="{D8AA9AC9-7F31-4B8E-9EFE-28892E815B18}"/>
    <cellStyle name="Comma 2 5 2 2 17" xfId="52749" xr:uid="{4EEAE13C-0016-46F5-8148-AEFAD916F817}"/>
    <cellStyle name="Comma 2 5 2 2 18" xfId="15316" xr:uid="{6941F4F9-9F46-4265-BB19-349F68A2C97F}"/>
    <cellStyle name="Comma 2 5 2 2 19" xfId="14232" xr:uid="{FDA98C3B-C977-4EAC-B8AD-1E4643299A6D}"/>
    <cellStyle name="Comma 2 5 2 2 2" xfId="5695" xr:uid="{478E0B14-35F0-43C3-8367-A6701E152ED8}"/>
    <cellStyle name="Comma 2 5 2 2 2 10" xfId="41978" xr:uid="{3A2BEDBC-FBE2-4C57-AD73-52001EB2A888}"/>
    <cellStyle name="Comma 2 5 2 2 2 11" xfId="42502" xr:uid="{2A2A571E-66A0-4A7C-A541-11A5ECDAB407}"/>
    <cellStyle name="Comma 2 5 2 2 2 12" xfId="44684" xr:uid="{D6A6901D-190B-46F1-9CA5-9032CB4C2F8E}"/>
    <cellStyle name="Comma 2 5 2 2 2 13" xfId="46707" xr:uid="{6C5EA655-4A24-47D2-B963-F78E3C724FC2}"/>
    <cellStyle name="Comma 2 5 2 2 2 14" xfId="49739" xr:uid="{9BA0F1FA-7A69-4F32-9754-A4624D84137A}"/>
    <cellStyle name="Comma 2 5 2 2 2 15" xfId="52750" xr:uid="{7F55E911-1921-4132-A362-2E6BABBF442C}"/>
    <cellStyle name="Comma 2 5 2 2 2 16" xfId="16765" xr:uid="{1430E0FA-30BB-4DC7-A5A8-C412893F3C96}"/>
    <cellStyle name="Comma 2 5 2 2 2 17" xfId="14724" xr:uid="{7E6C4197-DEAE-4949-9BB4-D204A44326C6}"/>
    <cellStyle name="Comma 2 5 2 2 2 2" xfId="10289" xr:uid="{2ED50A8D-A4A4-4603-BF85-E026F3C3311E}"/>
    <cellStyle name="Comma 2 5 2 2 2 2 10" xfId="42686" xr:uid="{A175734C-6957-4E50-BCC6-BE97FF523B4B}"/>
    <cellStyle name="Comma 2 5 2 2 2 2 11" xfId="44853" xr:uid="{EB3E2BB8-1517-476A-ADA0-41CCC434814D}"/>
    <cellStyle name="Comma 2 5 2 2 2 2 12" xfId="48249" xr:uid="{A09E055B-1200-45FD-AA29-E4C56ED7960E}"/>
    <cellStyle name="Comma 2 5 2 2 2 2 13" xfId="51067" xr:uid="{1B9EAC4E-DDFD-44F3-BB3B-70E69E8DE0BF}"/>
    <cellStyle name="Comma 2 5 2 2 2 2 14" xfId="52751" xr:uid="{5B306A9F-92F7-46C8-BEC2-B526974D687F}"/>
    <cellStyle name="Comma 2 5 2 2 2 2 15" xfId="17039" xr:uid="{FEE3FB4D-328B-4EA5-A7F1-0D770A31D19C}"/>
    <cellStyle name="Comma 2 5 2 2 2 2 2" xfId="13595" xr:uid="{35EA8004-E789-4D7B-A230-EA0EC9C4C05C}"/>
    <cellStyle name="Comma 2 5 2 2 2 2 2 2" xfId="39600" xr:uid="{F2B20B63-1F74-4D98-BF71-3A20729FA566}"/>
    <cellStyle name="Comma 2 5 2 2 2 2 2 3" xfId="41454" xr:uid="{0961A2A6-72C0-47C1-8ED5-F3578828A8A6}"/>
    <cellStyle name="Comma 2 5 2 2 2 2 2 4" xfId="43277" xr:uid="{27D6FB92-90BF-4B35-922D-E66EB27486CE}"/>
    <cellStyle name="Comma 2 5 2 2 2 2 2 5" xfId="45374" xr:uid="{68D688A6-1085-4C56-B21E-B53A6C7C4DE8}"/>
    <cellStyle name="Comma 2 5 2 2 2 2 2 6" xfId="21034" xr:uid="{1B35B494-3CD2-4971-8DE2-E97AA7A0EA91}"/>
    <cellStyle name="Comma 2 5 2 2 2 2 3" xfId="20253" xr:uid="{9718EB1F-612D-47E3-AFDA-29D794DC8011}"/>
    <cellStyle name="Comma 2 5 2 2 2 2 4" xfId="23805" xr:uid="{86B51646-20E1-411B-BBC9-3DBEEF4DA74B}"/>
    <cellStyle name="Comma 2 5 2 2 2 2 5" xfId="38302" xr:uid="{854ED959-BEBA-4ED3-9B73-108BE7038EA5}"/>
    <cellStyle name="Comma 2 5 2 2 2 2 6" xfId="39009" xr:uid="{E39089D8-F72A-4608-9A13-8A7184CCFD6A}"/>
    <cellStyle name="Comma 2 5 2 2 2 2 7" xfId="40125" xr:uid="{0B2C3D23-BDDF-4295-A8F7-56CA02D62026}"/>
    <cellStyle name="Comma 2 5 2 2 2 2 8" xfId="40767" xr:uid="{71AD2C28-03D3-4AB8-B42A-F8301D4D3B9F}"/>
    <cellStyle name="Comma 2 5 2 2 2 2 9" xfId="41979" xr:uid="{2647CCFF-BECE-408E-A4E8-AFAA9C784C6B}"/>
    <cellStyle name="Comma 2 5 2 2 2 3" xfId="7797" xr:uid="{EF642065-100B-45B6-837F-898F4D2D1D2D}"/>
    <cellStyle name="Comma 2 5 2 2 2 3 2" xfId="39416" xr:uid="{225ED7D6-7CB2-48FC-A67F-288C4539AB34}"/>
    <cellStyle name="Comma 2 5 2 2 2 3 3" xfId="41272" xr:uid="{B19DC598-5EE5-478B-815B-53AC11E4763D}"/>
    <cellStyle name="Comma 2 5 2 2 2 3 4" xfId="43093" xr:uid="{D4951D3D-64D1-46F5-A8F5-19627FF7D12E}"/>
    <cellStyle name="Comma 2 5 2 2 2 3 5" xfId="45192" xr:uid="{D7659721-A1E0-488F-91AF-9B6431C57EE3}"/>
    <cellStyle name="Comma 2 5 2 2 2 3 6" xfId="20791" xr:uid="{908B640A-4AA3-44A8-B80E-B5D1BC8969AA}"/>
    <cellStyle name="Comma 2 5 2 2 2 4" xfId="12310" xr:uid="{DD85A549-745C-4DCB-A0F2-67721FB5B5B2}"/>
    <cellStyle name="Comma 2 5 2 2 2 4 2" xfId="20069" xr:uid="{EF9735C1-4799-41FC-929D-84A67301A035}"/>
    <cellStyle name="Comma 2 5 2 2 2 5" xfId="23804" xr:uid="{0D1320E1-BD82-4349-9A6B-140502D08EB4}"/>
    <cellStyle name="Comma 2 5 2 2 2 6" xfId="38301" xr:uid="{30CB6C90-13E5-45A1-A775-2D51F2B51EF6}"/>
    <cellStyle name="Comma 2 5 2 2 2 7" xfId="38825" xr:uid="{9B66970C-4557-4B2E-8540-9960FF55388B}"/>
    <cellStyle name="Comma 2 5 2 2 2 8" xfId="40124" xr:uid="{3E6BB88A-908D-4B3D-829E-CE6317A5963A}"/>
    <cellStyle name="Comma 2 5 2 2 2 9" xfId="40766" xr:uid="{705DCD78-2933-40C7-9FE0-4840EB3DF59A}"/>
    <cellStyle name="Comma 2 5 2 2 3" xfId="11139" xr:uid="{CB73260F-F3B9-4D06-9717-5F23D8B7D3DB}"/>
    <cellStyle name="Comma 2 5 2 2 3 10" xfId="42685" xr:uid="{3C3C32FB-9D4B-4B1E-9156-8E47F8483174}"/>
    <cellStyle name="Comma 2 5 2 2 3 11" xfId="44852" xr:uid="{5EF52812-5A38-4D97-8230-E4A4EF5AC9F6}"/>
    <cellStyle name="Comma 2 5 2 2 3 12" xfId="46927" xr:uid="{FE261556-9FF6-4D71-86C4-585E3E6EAE7F}"/>
    <cellStyle name="Comma 2 5 2 2 3 13" xfId="49946" xr:uid="{2921F66A-696F-479B-8A1A-FF2C7F3BCEA7}"/>
    <cellStyle name="Comma 2 5 2 2 3 14" xfId="52752" xr:uid="{FC6BBEA7-1BA0-453B-AD40-5A7A0A7C3B9E}"/>
    <cellStyle name="Comma 2 5 2 2 3 15" xfId="17038" xr:uid="{B97D19F2-E017-411A-A6E6-6391F2D4D31A}"/>
    <cellStyle name="Comma 2 5 2 2 3 16" xfId="15039" xr:uid="{787F4DA7-5D83-4F41-A5A3-F684E66F0D86}"/>
    <cellStyle name="Comma 2 5 2 2 3 2" xfId="13735" xr:uid="{051FA73E-B9B4-458E-93F1-7DB4DC5A9129}"/>
    <cellStyle name="Comma 2 5 2 2 3 2 2" xfId="39599" xr:uid="{24234D87-4113-43A3-84C5-68E6D1918909}"/>
    <cellStyle name="Comma 2 5 2 2 3 2 3" xfId="41453" xr:uid="{E895413F-78C3-43FC-B421-4591836E66B1}"/>
    <cellStyle name="Comma 2 5 2 2 3 2 4" xfId="43276" xr:uid="{D29AF69F-BBE5-4BFD-A1C1-62DCBFE048AA}"/>
    <cellStyle name="Comma 2 5 2 2 3 2 5" xfId="45373" xr:uid="{303A7EC9-DAFF-4916-9EBD-5E65B8B04720}"/>
    <cellStyle name="Comma 2 5 2 2 3 2 6" xfId="48488" xr:uid="{2F1C5DA3-017F-41D2-8F87-7454309B80F1}"/>
    <cellStyle name="Comma 2 5 2 2 3 2 7" xfId="51274" xr:uid="{018ED085-FCAB-4608-BAF0-FF3982FFE807}"/>
    <cellStyle name="Comma 2 5 2 2 3 2 8" xfId="52753" xr:uid="{A4B070C5-9824-471F-8C67-56AC0688946B}"/>
    <cellStyle name="Comma 2 5 2 2 3 2 9" xfId="21033" xr:uid="{D7DC919F-A1E1-4FDF-ABE8-A526DC5B82ED}"/>
    <cellStyle name="Comma 2 5 2 2 3 3" xfId="20252" xr:uid="{A341521E-E2D2-4A17-86DF-6C0291542FF0}"/>
    <cellStyle name="Comma 2 5 2 2 3 4" xfId="23806" xr:uid="{EDA57741-731D-48DF-8667-371EF9EEEE6C}"/>
    <cellStyle name="Comma 2 5 2 2 3 5" xfId="38303" xr:uid="{E8CFBFAD-EDC8-4BFC-85DE-ED4062D5DA3A}"/>
    <cellStyle name="Comma 2 5 2 2 3 6" xfId="39008" xr:uid="{3D0FC0A6-C356-43DF-BDFE-FCB761562D61}"/>
    <cellStyle name="Comma 2 5 2 2 3 7" xfId="40126" xr:uid="{AE443480-0796-4449-83D8-E814EEF26EF4}"/>
    <cellStyle name="Comma 2 5 2 2 3 8" xfId="40768" xr:uid="{6664EBA2-DD35-44CF-8EAE-F14801E14316}"/>
    <cellStyle name="Comma 2 5 2 2 3 9" xfId="41980" xr:uid="{E39588C1-0339-4196-BF15-3095381CE520}"/>
    <cellStyle name="Comma 2 5 2 2 4" xfId="9795" xr:uid="{4AD058FA-9083-4668-B465-E72C8439C83E}"/>
    <cellStyle name="Comma 2 5 2 2 4 2" xfId="13101" xr:uid="{26AEE44C-042C-4516-9D59-4B5F5D1C1E7F}"/>
    <cellStyle name="Comma 2 5 2 2 4 2 2" xfId="49105" xr:uid="{BDA040E4-2C31-4048-8020-0172C52441C0}"/>
    <cellStyle name="Comma 2 5 2 2 4 2 3" xfId="51785" xr:uid="{B1B22AF7-4D5B-4940-8272-CE1AEF7B6AA0}"/>
    <cellStyle name="Comma 2 5 2 2 4 2 4" xfId="52754" xr:uid="{7EF741AF-A265-4463-B458-0685D1436D6E}"/>
    <cellStyle name="Comma 2 5 2 2 4 2 5" xfId="39264" xr:uid="{A639457A-A3A1-4789-AFEA-8C390915671B}"/>
    <cellStyle name="Comma 2 5 2 2 4 3" xfId="41132" xr:uid="{1DAE085F-E8F2-44D1-ADD1-BD4E1B1B9105}"/>
    <cellStyle name="Comma 2 5 2 2 4 4" xfId="42941" xr:uid="{8E6D4DD0-493D-4351-A58D-5BC3FFB69ABA}"/>
    <cellStyle name="Comma 2 5 2 2 4 5" xfId="45048" xr:uid="{30612B3A-0651-417E-8B5A-79648B4A5479}"/>
    <cellStyle name="Comma 2 5 2 2 4 6" xfId="47522" xr:uid="{C5045DE6-EC7F-4108-9174-92335D794464}"/>
    <cellStyle name="Comma 2 5 2 2 4 7" xfId="50457" xr:uid="{CE98270E-284B-4A2A-A591-257AECBF7AA7}"/>
    <cellStyle name="Comma 2 5 2 2 4 8" xfId="52755" xr:uid="{40192B8B-051F-46BC-82E2-6818036D8B67}"/>
    <cellStyle name="Comma 2 5 2 2 4 9" xfId="20509" xr:uid="{730141C1-AED6-4870-83A8-F2CF067E1F0B}"/>
    <cellStyle name="Comma 2 5 2 2 5" xfId="7293" xr:uid="{0A8B98DF-9415-4962-A5F0-13AE9CA01CC8}"/>
    <cellStyle name="Comma 2 5 2 2 5 2" xfId="47765" xr:uid="{11E5AC66-C2F8-4D14-8A67-F7E4A4FBC274}"/>
    <cellStyle name="Comma 2 5 2 2 5 3" xfId="50664" xr:uid="{79361EC0-FE61-495C-98D5-AB4B002CCDE9}"/>
    <cellStyle name="Comma 2 5 2 2 5 4" xfId="52756" xr:uid="{A1CD22A7-0DBB-42FA-AE85-D8FB17F0D9F8}"/>
    <cellStyle name="Comma 2 5 2 2 5 5" xfId="19916" xr:uid="{8CBB869C-F534-414D-AD9E-A037C99E1478}"/>
    <cellStyle name="Comma 2 5 2 2 6" xfId="11816" xr:uid="{A6ED309D-140E-4748-9B00-F2E24197FCAA}"/>
    <cellStyle name="Comma 2 5 2 2 6 2" xfId="23803" xr:uid="{9FDB3311-E53A-49BF-BD0B-8B1F59DA33C6}"/>
    <cellStyle name="Comma 2 5 2 2 7" xfId="38300" xr:uid="{3CF5F36F-D632-4D9C-9B2D-02DC745EC3D8}"/>
    <cellStyle name="Comma 2 5 2 2 8" xfId="38673" xr:uid="{740D6448-12C0-4B1F-96D2-D51F29998DA4}"/>
    <cellStyle name="Comma 2 5 2 2 9" xfId="40123" xr:uid="{00DD0AA0-4572-4176-B4DF-1ECA1375E4D0}"/>
    <cellStyle name="Comma 2 5 2 20" xfId="49263" xr:uid="{0B397C1C-BD3B-4F8A-8542-06AC2260F2FF}"/>
    <cellStyle name="Comma 2 5 2 21" xfId="52757" xr:uid="{4E3FB042-4837-4A7C-8769-E6F24BCC1B59}"/>
    <cellStyle name="Comma 2 5 2 22" xfId="15214" xr:uid="{0F73625A-27C7-42EB-B46A-B71CA1C76E4C}"/>
    <cellStyle name="Comma 2 5 2 23" xfId="13918" xr:uid="{991410BF-D856-4A12-A86A-F768F0E2D707}"/>
    <cellStyle name="Comma 2 5 2 3" xfId="5519" xr:uid="{1A27B060-FF95-4256-972C-E3385D7E533B}"/>
    <cellStyle name="Comma 2 5 2 3 10" xfId="40769" xr:uid="{007B8AD8-2273-475E-A900-97F72AF16663}"/>
    <cellStyle name="Comma 2 5 2 3 11" xfId="41981" xr:uid="{0BFF1356-E2F4-4502-A305-66695CD3ED25}"/>
    <cellStyle name="Comma 2 5 2 3 12" xfId="42374" xr:uid="{597FD145-B92F-48EA-8549-16934BE6A957}"/>
    <cellStyle name="Comma 2 5 2 3 13" xfId="43808" xr:uid="{6D148C88-5A2D-4E75-8CAB-9A17B036A77F}"/>
    <cellStyle name="Comma 2 5 2 3 14" xfId="44356" xr:uid="{0ADA7C9C-A892-4D2A-85BF-97B85F2137A1}"/>
    <cellStyle name="Comma 2 5 2 3 15" xfId="46566" xr:uid="{4A60751F-977C-4DA7-B7F5-FC3E0065C92A}"/>
    <cellStyle name="Comma 2 5 2 3 16" xfId="49599" xr:uid="{863E49AE-C3AF-450E-9043-6BE829BB73DA}"/>
    <cellStyle name="Comma 2 5 2 3 17" xfId="52758" xr:uid="{6E049065-E0F0-410B-843A-BB7301708434}"/>
    <cellStyle name="Comma 2 5 2 3 18" xfId="15798" xr:uid="{59F0A0DD-C75E-4F58-8976-AFD19B5574B1}"/>
    <cellStyle name="Comma 2 5 2 3 19" xfId="14056" xr:uid="{9961C187-73BD-4623-8E11-84B2500B2C95}"/>
    <cellStyle name="Comma 2 5 2 3 2" xfId="7621" xr:uid="{BEA35DF1-C453-41CD-8D9F-099BEF3D8015}"/>
    <cellStyle name="Comma 2 5 2 3 2 10" xfId="41982" xr:uid="{DA76E2E1-4DC8-4F67-9C4F-E13E154421EE}"/>
    <cellStyle name="Comma 2 5 2 3 2 11" xfId="42526" xr:uid="{C81A22CD-AEB7-416E-AA75-045FE7BC0A9E}"/>
    <cellStyle name="Comma 2 5 2 3 2 12" xfId="44694" xr:uid="{7766A746-4D17-4F2E-8EA3-3CF9FB7503CC}"/>
    <cellStyle name="Comma 2 5 2 3 2 13" xfId="47054" xr:uid="{43E74091-3429-4304-8166-D3736413C649}"/>
    <cellStyle name="Comma 2 5 2 3 2 14" xfId="50055" xr:uid="{C0337236-E754-4E18-A525-28272D355E72}"/>
    <cellStyle name="Comma 2 5 2 3 2 15" xfId="52759" xr:uid="{078B8EA7-8370-4339-A340-586D4E1907E0}"/>
    <cellStyle name="Comma 2 5 2 3 2 16" xfId="16816" xr:uid="{63CC1E1F-45D4-422C-9E08-8CAE67DD9764}"/>
    <cellStyle name="Comma 2 5 2 3 2 17" xfId="14548" xr:uid="{89360BDC-83F2-452A-AD47-F4C893D4AE8D}"/>
    <cellStyle name="Comma 2 5 2 3 2 2" xfId="10113" xr:uid="{A9A15AE9-C63A-412C-A009-868C7DE59B54}"/>
    <cellStyle name="Comma 2 5 2 3 2 2 10" xfId="42688" xr:uid="{9EB5F2F2-3EEF-4FC2-9FCF-C5589A11B53F}"/>
    <cellStyle name="Comma 2 5 2 3 2 2 11" xfId="44855" xr:uid="{900D33CD-9648-471C-88D2-23184A57B9C3}"/>
    <cellStyle name="Comma 2 5 2 3 2 2 12" xfId="48620" xr:uid="{BE3BC1D1-2963-40EF-8AF9-564EEA1E2C49}"/>
    <cellStyle name="Comma 2 5 2 3 2 2 13" xfId="51383" xr:uid="{8E4AD8DA-D73E-4077-B3DE-F443B709EFC0}"/>
    <cellStyle name="Comma 2 5 2 3 2 2 14" xfId="52760" xr:uid="{C7D32051-32EC-49EA-918E-CBF1076D2213}"/>
    <cellStyle name="Comma 2 5 2 3 2 2 15" xfId="17041" xr:uid="{E43FDA6E-BD30-4144-A380-5576FA18D4F8}"/>
    <cellStyle name="Comma 2 5 2 3 2 2 2" xfId="13419" xr:uid="{F4A5AE90-8900-4E53-AA96-5485E290FFC5}"/>
    <cellStyle name="Comma 2 5 2 3 2 2 2 2" xfId="39602" xr:uid="{2F682B3C-848A-4DB3-9B93-5276767282D9}"/>
    <cellStyle name="Comma 2 5 2 3 2 2 2 3" xfId="41456" xr:uid="{138D84F9-D33B-4A30-B1ED-5C930581B080}"/>
    <cellStyle name="Comma 2 5 2 3 2 2 2 4" xfId="43279" xr:uid="{81FC09DA-6276-4B12-B95B-9B4B089DDFF4}"/>
    <cellStyle name="Comma 2 5 2 3 2 2 2 5" xfId="45376" xr:uid="{5982C9E5-5524-42B2-A584-BAD75F057EA1}"/>
    <cellStyle name="Comma 2 5 2 3 2 2 2 6" xfId="21036" xr:uid="{BED55A5B-6661-4C58-AC55-EB619CC05E4F}"/>
    <cellStyle name="Comma 2 5 2 3 2 2 3" xfId="20255" xr:uid="{82292200-EB5F-4741-B75B-4E3713901E84}"/>
    <cellStyle name="Comma 2 5 2 3 2 2 4" xfId="23809" xr:uid="{CED8BFFD-96A8-459D-8C81-6730E4D3F921}"/>
    <cellStyle name="Comma 2 5 2 3 2 2 5" xfId="38306" xr:uid="{89DB8110-219A-4034-BCD5-8E42F384EB89}"/>
    <cellStyle name="Comma 2 5 2 3 2 2 6" xfId="39011" xr:uid="{83FB630E-0EBE-4D08-AF40-A82E1D7079A5}"/>
    <cellStyle name="Comma 2 5 2 3 2 2 7" xfId="40129" xr:uid="{EA7ABAEC-8AE5-4622-B064-C0B10068D4AC}"/>
    <cellStyle name="Comma 2 5 2 3 2 2 8" xfId="40771" xr:uid="{DD94244C-2130-4BD6-90D4-65E2CA13B88A}"/>
    <cellStyle name="Comma 2 5 2 3 2 2 9" xfId="41983" xr:uid="{2EC766DE-715B-41A8-8255-7A5F05EDD1DA}"/>
    <cellStyle name="Comma 2 5 2 3 2 3" xfId="12134" xr:uid="{DA3B0ADB-6FA1-4D94-BEE9-31395B430A72}"/>
    <cellStyle name="Comma 2 5 2 3 2 3 2" xfId="39440" xr:uid="{6DFDB459-CFE5-4514-8B7A-A289401BB39F}"/>
    <cellStyle name="Comma 2 5 2 3 2 3 3" xfId="41294" xr:uid="{C2ECF35B-55A1-41A6-9FAB-A1E1A4C3CBAE}"/>
    <cellStyle name="Comma 2 5 2 3 2 3 4" xfId="43117" xr:uid="{10FD499C-6A8A-4685-B76E-3D3AAF425620}"/>
    <cellStyle name="Comma 2 5 2 3 2 3 5" xfId="45214" xr:uid="{C40BDF5E-9A31-41DC-811D-2DD7DFC4CDAC}"/>
    <cellStyle name="Comma 2 5 2 3 2 3 6" xfId="20818" xr:uid="{79127607-A026-429C-8B4E-BDE98EE84030}"/>
    <cellStyle name="Comma 2 5 2 3 2 4" xfId="20093" xr:uid="{EAFC7878-C5E8-4DB4-99ED-94441C081C58}"/>
    <cellStyle name="Comma 2 5 2 3 2 5" xfId="23808" xr:uid="{3439900B-9B94-48AD-824A-56866D01121E}"/>
    <cellStyle name="Comma 2 5 2 3 2 6" xfId="38305" xr:uid="{C69CE2AA-0E5F-40AC-9DBE-504F347C0303}"/>
    <cellStyle name="Comma 2 5 2 3 2 7" xfId="38849" xr:uid="{710996AF-80F3-4BD4-BCCB-3698FC593322}"/>
    <cellStyle name="Comma 2 5 2 3 2 8" xfId="40128" xr:uid="{EE1E068F-2A5E-48D2-9383-E7FB738A23DE}"/>
    <cellStyle name="Comma 2 5 2 3 2 9" xfId="40770" xr:uid="{69BD5316-056B-4417-9FDC-B1DED5A5C7AC}"/>
    <cellStyle name="Comma 2 5 2 3 3" xfId="9619" xr:uid="{8E1F2508-BE18-4286-B6AF-DAB9B6FF0FF0}"/>
    <cellStyle name="Comma 2 5 2 3 3 10" xfId="42687" xr:uid="{B01A55CD-C8F7-41B5-B1B6-001CE66EA99D}"/>
    <cellStyle name="Comma 2 5 2 3 3 11" xfId="44854" xr:uid="{15ADCC4D-4547-4463-972F-AE70CE56D815}"/>
    <cellStyle name="Comma 2 5 2 3 3 12" xfId="47357" xr:uid="{CC712DAA-5B8C-42AD-9881-E439B7FA546C}"/>
    <cellStyle name="Comma 2 5 2 3 3 13" xfId="50317" xr:uid="{E2B8A829-3E67-4675-B071-4AC42299D0D2}"/>
    <cellStyle name="Comma 2 5 2 3 3 14" xfId="52761" xr:uid="{32988766-B2A9-48E5-816F-7A512962DB05}"/>
    <cellStyle name="Comma 2 5 2 3 3 15" xfId="17040" xr:uid="{54F4F9E4-F1E8-48CC-8403-617098AFD41B}"/>
    <cellStyle name="Comma 2 5 2 3 3 2" xfId="12925" xr:uid="{472E961D-0918-4E59-A5F7-BE1298740497}"/>
    <cellStyle name="Comma 2 5 2 3 3 2 2" xfId="39601" xr:uid="{3098AEBE-AB20-4DAF-813C-CF7F0E885CAB}"/>
    <cellStyle name="Comma 2 5 2 3 3 2 3" xfId="41455" xr:uid="{60F6B274-9625-402C-94FD-E53D2CA6C548}"/>
    <cellStyle name="Comma 2 5 2 3 3 2 4" xfId="43278" xr:uid="{85DC6590-1F19-4FDB-BC3A-DBF9079EAEF7}"/>
    <cellStyle name="Comma 2 5 2 3 3 2 5" xfId="45375" xr:uid="{92FDBFD3-9395-4939-98FE-7486924B4DBE}"/>
    <cellStyle name="Comma 2 5 2 3 3 2 6" xfId="48933" xr:uid="{3385754A-474F-4B25-A884-265A744CFC6D}"/>
    <cellStyle name="Comma 2 5 2 3 3 2 7" xfId="51645" xr:uid="{C3718FEE-4C92-441F-A76D-674D6F72E3C1}"/>
    <cellStyle name="Comma 2 5 2 3 3 2 8" xfId="52762" xr:uid="{64E5FB4A-3169-4FF7-B533-B29525F880F7}"/>
    <cellStyle name="Comma 2 5 2 3 3 2 9" xfId="21035" xr:uid="{BB8B0937-A5E2-4337-86AC-2EC03B4B6C00}"/>
    <cellStyle name="Comma 2 5 2 3 3 3" xfId="20254" xr:uid="{AE0B354E-9BB4-49B4-ACD4-7513F45DA1F7}"/>
    <cellStyle name="Comma 2 5 2 3 3 4" xfId="23810" xr:uid="{58DD8E32-255F-4975-B934-6CB8D77B99E6}"/>
    <cellStyle name="Comma 2 5 2 3 3 5" xfId="38307" xr:uid="{408350F3-505B-427E-A627-4D9618FA6857}"/>
    <cellStyle name="Comma 2 5 2 3 3 6" xfId="39010" xr:uid="{D4AFDAD7-B8D6-4A1C-9552-6F9C73DED82F}"/>
    <cellStyle name="Comma 2 5 2 3 3 7" xfId="40130" xr:uid="{6FA67F1D-FBCA-49D4-9A9A-2EC3DC7AFD75}"/>
    <cellStyle name="Comma 2 5 2 3 3 8" xfId="40772" xr:uid="{F1EB58CD-C396-4107-BF3E-CE87970167DE}"/>
    <cellStyle name="Comma 2 5 2 3 3 9" xfId="41984" xr:uid="{CF53D3C8-C36C-4240-920F-5BEF7DC281E0}"/>
    <cellStyle name="Comma 2 5 2 3 4" xfId="7115" xr:uid="{65866313-B2C0-4E6B-9916-F31BF811F5E0}"/>
    <cellStyle name="Comma 2 5 2 3 4 2" xfId="39288" xr:uid="{C816D91E-7E2F-4F92-A597-2F3469C3B27C}"/>
    <cellStyle name="Comma 2 5 2 3 4 3" xfId="41150" xr:uid="{A7306429-C857-412D-A01A-E4434D362C5B}"/>
    <cellStyle name="Comma 2 5 2 3 4 4" xfId="42965" xr:uid="{9F42EED8-FCE1-44C5-A2CA-80695E9D6F65}"/>
    <cellStyle name="Comma 2 5 2 3 4 5" xfId="45070" xr:uid="{668C97D6-1B59-4BC8-804E-1237CA8A2388}"/>
    <cellStyle name="Comma 2 5 2 3 4 6" xfId="48078" xr:uid="{EB8FA950-0545-4BD1-B3E4-88328C99B11D}"/>
    <cellStyle name="Comma 2 5 2 3 4 7" xfId="50927" xr:uid="{DCC87831-9F28-48D6-A2B2-233D98BDE56A}"/>
    <cellStyle name="Comma 2 5 2 3 4 8" xfId="52763" xr:uid="{FE45FB4D-F6E6-4507-8A93-9600DAD9975B}"/>
    <cellStyle name="Comma 2 5 2 3 4 9" xfId="20534" xr:uid="{7A04FC86-BE8D-4415-838A-34F5FC4ACD81}"/>
    <cellStyle name="Comma 2 5 2 3 5" xfId="11640" xr:uid="{2F61E724-AA7C-4FA3-AC7D-D0A8BF2382F7}"/>
    <cellStyle name="Comma 2 5 2 3 5 2" xfId="19941" xr:uid="{F98DC778-FD78-43C3-A52C-20A6659C64BB}"/>
    <cellStyle name="Comma 2 5 2 3 6" xfId="23807" xr:uid="{F6B88216-CAA0-498B-B665-394C187F97F5}"/>
    <cellStyle name="Comma 2 5 2 3 7" xfId="38304" xr:uid="{69A18BBE-FFB4-4034-B538-E0ECF40BDDFC}"/>
    <cellStyle name="Comma 2 5 2 3 8" xfId="38697" xr:uid="{C1018C75-1FD3-4049-B755-5B6D1ECFA762}"/>
    <cellStyle name="Comma 2 5 2 3 9" xfId="40127" xr:uid="{DA5EB3F9-77A8-45ED-9BD0-6A043ABBB3F1}"/>
    <cellStyle name="Comma 2 5 2 4" xfId="6509" xr:uid="{29D27920-96A7-4837-A4AB-BFC7A881018B}"/>
    <cellStyle name="Comma 2 5 2 4 10" xfId="41985" xr:uid="{6CB61A39-1AF0-4FEE-A8D2-B048EF99220E}"/>
    <cellStyle name="Comma 2 5 2 4 11" xfId="42463" xr:uid="{E954D3F1-B41D-45CF-8056-38B276C94367}"/>
    <cellStyle name="Comma 2 5 2 4 12" xfId="44660" xr:uid="{804FB6A6-2780-4E3A-8AAF-123536084F02}"/>
    <cellStyle name="Comma 2 5 2 4 13" xfId="46148" xr:uid="{A145E517-1262-4A5F-B073-9384970EFCA8}"/>
    <cellStyle name="Comma 2 5 2 4 14" xfId="49484" xr:uid="{2C584ACF-FFAA-470C-B911-DFAB8627852C}"/>
    <cellStyle name="Comma 2 5 2 4 15" xfId="52764" xr:uid="{6133278E-9E04-4B4E-988F-A0DC70B16DDF}"/>
    <cellStyle name="Comma 2 5 2 4 16" xfId="16657" xr:uid="{0BD47C32-6770-4D5E-9248-C8269A8ED74F}"/>
    <cellStyle name="Comma 2 5 2 4 17" xfId="14410" xr:uid="{94A1DFA0-9507-4710-BB17-D6EE1E447624}"/>
    <cellStyle name="Comma 2 5 2 4 2" xfId="9481" xr:uid="{43D35637-1290-47CC-A1BD-E6C63B8741CC}"/>
    <cellStyle name="Comma 2 5 2 4 2 10" xfId="42689" xr:uid="{18A9185D-77A0-405E-AF7D-5F31B5ABAA12}"/>
    <cellStyle name="Comma 2 5 2 4 2 11" xfId="44856" xr:uid="{9D95E5E4-0BAC-4ABA-923E-9B38890FA2FC}"/>
    <cellStyle name="Comma 2 5 2 4 2 12" xfId="47943" xr:uid="{9DC46C07-445C-40E9-A574-114353729C76}"/>
    <cellStyle name="Comma 2 5 2 4 2 13" xfId="50812" xr:uid="{EBCECBD9-9768-4049-9ED5-821C7FECA39B}"/>
    <cellStyle name="Comma 2 5 2 4 2 14" xfId="52765" xr:uid="{9490ADE3-035B-4B80-BE96-D9DBAE0EF16C}"/>
    <cellStyle name="Comma 2 5 2 4 2 15" xfId="17042" xr:uid="{B1FD2839-C972-45D6-9170-065EDF06B52E}"/>
    <cellStyle name="Comma 2 5 2 4 2 2" xfId="12787" xr:uid="{B4E93888-9708-47A0-B706-8509AB0E7271}"/>
    <cellStyle name="Comma 2 5 2 4 2 2 2" xfId="39603" xr:uid="{5B9267F0-DC99-42CE-83A3-91A13B21A86C}"/>
    <cellStyle name="Comma 2 5 2 4 2 2 3" xfId="41457" xr:uid="{3A409D72-EC39-464D-8604-017A846DA736}"/>
    <cellStyle name="Comma 2 5 2 4 2 2 4" xfId="43280" xr:uid="{85E0DD4A-8BF1-4516-8E4F-935310EFAE5C}"/>
    <cellStyle name="Comma 2 5 2 4 2 2 5" xfId="45377" xr:uid="{35934AC2-C425-442E-8F13-A6252D5A8ABE}"/>
    <cellStyle name="Comma 2 5 2 4 2 2 6" xfId="21037" xr:uid="{4C855CD6-DAA3-45CB-8765-7297EAA6E23B}"/>
    <cellStyle name="Comma 2 5 2 4 2 3" xfId="20256" xr:uid="{184B89BA-BCA9-4E24-A07B-BFA3035E2A2B}"/>
    <cellStyle name="Comma 2 5 2 4 2 4" xfId="23812" xr:uid="{9400D356-9CD4-4E65-B34C-15BA304AA813}"/>
    <cellStyle name="Comma 2 5 2 4 2 5" xfId="38309" xr:uid="{E529C40A-BC2C-4D95-B053-2583003770D0}"/>
    <cellStyle name="Comma 2 5 2 4 2 6" xfId="39012" xr:uid="{B0FAE2E9-A643-4BD9-9C54-2BE172E2E623}"/>
    <cellStyle name="Comma 2 5 2 4 2 7" xfId="40132" xr:uid="{D62FECBA-91FF-43CF-A9E8-7AC4D8F67CC8}"/>
    <cellStyle name="Comma 2 5 2 4 2 8" xfId="40774" xr:uid="{1B93E15E-640B-4354-8C3B-CB7C3AB178DF}"/>
    <cellStyle name="Comma 2 5 2 4 2 9" xfId="41986" xr:uid="{3422E7B6-3C78-4220-A16E-5126BAFD6DA0}"/>
    <cellStyle name="Comma 2 5 2 4 3" xfId="11502" xr:uid="{49A7EA78-C207-4C28-817C-C8B01A88EE3F}"/>
    <cellStyle name="Comma 2 5 2 4 3 2" xfId="39377" xr:uid="{CB384B7C-D9DF-4F48-BEAC-A4B7828F1D34}"/>
    <cellStyle name="Comma 2 5 2 4 3 3" xfId="41235" xr:uid="{044FE2E5-6AA2-4E23-BF77-4E49232327D6}"/>
    <cellStyle name="Comma 2 5 2 4 3 4" xfId="43054" xr:uid="{841A0527-33E8-4E52-A312-6B4A67B0FA1E}"/>
    <cellStyle name="Comma 2 5 2 4 3 5" xfId="45155" xr:uid="{9EF5F48C-1434-46FA-BFEB-6333BEED88C1}"/>
    <cellStyle name="Comma 2 5 2 4 3 6" xfId="20751" xr:uid="{A8062130-251C-4288-B0B4-8A21BFCAFE8D}"/>
    <cellStyle name="Comma 2 5 2 4 4" xfId="20030" xr:uid="{E8FCFBC4-CE45-4E52-A6BC-F456D974A3D5}"/>
    <cellStyle name="Comma 2 5 2 4 5" xfId="23811" xr:uid="{3251058B-1443-4D45-B114-5C72731891F3}"/>
    <cellStyle name="Comma 2 5 2 4 6" xfId="38308" xr:uid="{27550D30-ECA9-4683-B53E-71E31313AA4D}"/>
    <cellStyle name="Comma 2 5 2 4 7" xfId="38786" xr:uid="{BA3F4009-BDD1-4FD1-946A-AE988598602E}"/>
    <cellStyle name="Comma 2 5 2 4 8" xfId="40131" xr:uid="{553737CE-1246-4A16-8909-C1E7FBA7C7B0}"/>
    <cellStyle name="Comma 2 5 2 4 9" xfId="40773" xr:uid="{204D6414-5C7D-497E-978E-BBA7A72D6CDC}"/>
    <cellStyle name="Comma 2 5 2 5" xfId="7483" xr:uid="{C0463CA2-EBEF-44CF-8E06-769C0B8D2413}"/>
    <cellStyle name="Comma 2 5 2 5 10" xfId="41987" xr:uid="{840831ED-D2C9-4DED-837D-CC1D234DEEBA}"/>
    <cellStyle name="Comma 2 5 2 5 11" xfId="42403" xr:uid="{90573327-0007-406B-B3E2-E754D23AC6C2}"/>
    <cellStyle name="Comma 2 5 2 5 12" xfId="44629" xr:uid="{1AE74A6B-A261-4332-843A-2B47C2307277}"/>
    <cellStyle name="Comma 2 5 2 5 13" xfId="46825" xr:uid="{679F6776-1FD3-488A-AE33-666651E6606A}"/>
    <cellStyle name="Comma 2 5 2 5 14" xfId="49849" xr:uid="{BD433022-88B1-4403-AA51-EFE68191EF5A}"/>
    <cellStyle name="Comma 2 5 2 5 15" xfId="52766" xr:uid="{9522AC0C-B3C2-436D-BDCF-76C6566D8808}"/>
    <cellStyle name="Comma 2 5 2 5 16" xfId="16378" xr:uid="{D3EDAF58-6521-4663-A2E4-174358DC39FF}"/>
    <cellStyle name="Comma 2 5 2 5 17" xfId="14863" xr:uid="{7F4C0F8B-FB50-4418-BBF3-92E1ABE1118F}"/>
    <cellStyle name="Comma 2 5 2 5 2" xfId="9975" xr:uid="{29D61C01-0942-4E0B-AC73-BB1DB323ECEF}"/>
    <cellStyle name="Comma 2 5 2 5 2 10" xfId="42690" xr:uid="{AB78548F-81AB-4D44-801B-DA5223C86845}"/>
    <cellStyle name="Comma 2 5 2 5 2 11" xfId="44857" xr:uid="{3FBDC8D9-1E33-41BF-BA95-A98BA52F8F2F}"/>
    <cellStyle name="Comma 2 5 2 5 2 12" xfId="48376" xr:uid="{64648594-D0D1-45B7-AD45-77F8B560754C}"/>
    <cellStyle name="Comma 2 5 2 5 2 13" xfId="51177" xr:uid="{94FC7122-DAFC-4EA4-B6CF-1AB539E0F3F8}"/>
    <cellStyle name="Comma 2 5 2 5 2 14" xfId="52767" xr:uid="{A2A0FBE2-59B1-448F-A50E-5963E589930A}"/>
    <cellStyle name="Comma 2 5 2 5 2 15" xfId="17043" xr:uid="{CF707867-18A8-4AD2-9809-D4C3C6959B29}"/>
    <cellStyle name="Comma 2 5 2 5 2 2" xfId="13281" xr:uid="{2D260015-1D40-4234-BE80-830FB9D8D470}"/>
    <cellStyle name="Comma 2 5 2 5 2 2 2" xfId="39604" xr:uid="{1E4EBF96-E60F-4117-B36B-5D86170C51B2}"/>
    <cellStyle name="Comma 2 5 2 5 2 2 3" xfId="41458" xr:uid="{8FEF0192-E0C5-4741-B438-93063F4FFFBB}"/>
    <cellStyle name="Comma 2 5 2 5 2 2 4" xfId="43281" xr:uid="{85B80DC0-BB37-465F-A6BF-85EF2419DA17}"/>
    <cellStyle name="Comma 2 5 2 5 2 2 5" xfId="45378" xr:uid="{6B12958B-94E0-48AA-A1FE-69BC55756842}"/>
    <cellStyle name="Comma 2 5 2 5 2 2 6" xfId="21038" xr:uid="{44C254CD-14B3-45B3-AC41-DCC3A207AFAD}"/>
    <cellStyle name="Comma 2 5 2 5 2 3" xfId="20257" xr:uid="{6B2E9F92-49DB-449D-8D43-BF3420228629}"/>
    <cellStyle name="Comma 2 5 2 5 2 4" xfId="23814" xr:uid="{B51C941A-778D-4979-A2FB-C1D824C083A3}"/>
    <cellStyle name="Comma 2 5 2 5 2 5" xfId="38311" xr:uid="{BFAB1C2A-03F3-43D2-9892-1EE88CCAB2B9}"/>
    <cellStyle name="Comma 2 5 2 5 2 6" xfId="39013" xr:uid="{F27FF3AB-3530-49CD-84F6-864805465D7B}"/>
    <cellStyle name="Comma 2 5 2 5 2 7" xfId="40134" xr:uid="{0E77B9BD-AFDB-47A5-BAB4-9A3C5FAE3098}"/>
    <cellStyle name="Comma 2 5 2 5 2 8" xfId="40776" xr:uid="{CDE3B83C-FA0F-4B7B-9D5F-F60D019A7DB6}"/>
    <cellStyle name="Comma 2 5 2 5 2 9" xfId="41988" xr:uid="{3E7ACE83-BDBC-436A-A200-F405C516F0B2}"/>
    <cellStyle name="Comma 2 5 2 5 3" xfId="11996" xr:uid="{7498B9D8-73A3-4BB4-BA17-6D566696BD13}"/>
    <cellStyle name="Comma 2 5 2 5 3 2" xfId="39317" xr:uid="{AB7C72E6-10B9-4535-A8B7-9A51029A5A81}"/>
    <cellStyle name="Comma 2 5 2 5 3 3" xfId="41179" xr:uid="{B9FB7D0A-CA52-4D02-BA45-67612AB62EC8}"/>
    <cellStyle name="Comma 2 5 2 5 3 4" xfId="42994" xr:uid="{20BFF5EB-40B8-45D9-8B69-9561725369CB}"/>
    <cellStyle name="Comma 2 5 2 5 3 5" xfId="45099" xr:uid="{AE145A26-846F-4CA7-B00A-903234E7D7FD}"/>
    <cellStyle name="Comma 2 5 2 5 3 6" xfId="20623" xr:uid="{7965FBA5-17C1-4F08-9D46-2DEFE1E10CAB}"/>
    <cellStyle name="Comma 2 5 2 5 4" xfId="19970" xr:uid="{EAA296BF-D2FB-4EA8-81B3-7F91988473B7}"/>
    <cellStyle name="Comma 2 5 2 5 5" xfId="23813" xr:uid="{766E3156-3493-42F2-B12F-64ED9BBFF2E1}"/>
    <cellStyle name="Comma 2 5 2 5 6" xfId="38310" xr:uid="{96D62294-8180-4B0E-9E2C-C4D1E90A46B6}"/>
    <cellStyle name="Comma 2 5 2 5 7" xfId="38726" xr:uid="{952474F3-20A2-4941-8EA8-A188C69E877E}"/>
    <cellStyle name="Comma 2 5 2 5 8" xfId="40133" xr:uid="{4003ECDA-40B2-4611-90D5-6FC3ADB67B00}"/>
    <cellStyle name="Comma 2 5 2 5 9" xfId="40775" xr:uid="{24C1C47E-8FDB-488C-AC46-7E920470FB32}"/>
    <cellStyle name="Comma 2 5 2 6" xfId="8149" xr:uid="{B9F4F29F-5066-4CBF-8E57-16EF2D8349DC}"/>
    <cellStyle name="Comma 2 5 2 6 10" xfId="42684" xr:uid="{2F904190-11CC-41FA-8AE3-9D82A7A40B1D}"/>
    <cellStyle name="Comma 2 5 2 6 11" xfId="44851" xr:uid="{E5F65697-3435-46E7-A394-C309C3632E75}"/>
    <cellStyle name="Comma 2 5 2 6 12" xfId="47224" xr:uid="{84E7B3EA-8811-479A-99F6-B0740D745C1D}"/>
    <cellStyle name="Comma 2 5 2 6 13" xfId="50202" xr:uid="{152E6B6D-E12D-4692-AF27-6BA51B2A4266}"/>
    <cellStyle name="Comma 2 5 2 6 14" xfId="52768" xr:uid="{4804DE05-0D5D-40DC-9D29-6266DCA8D6EF}"/>
    <cellStyle name="Comma 2 5 2 6 15" xfId="17037" xr:uid="{6B68BA0A-AE1B-4C25-B9C8-65D6F16953F9}"/>
    <cellStyle name="Comma 2 5 2 6 2" xfId="12605" xr:uid="{A999C6AB-A6CB-46BF-A33E-B44716BA3784}"/>
    <cellStyle name="Comma 2 5 2 6 2 2" xfId="39598" xr:uid="{52D21896-04AC-4054-9815-10E4DD988A20}"/>
    <cellStyle name="Comma 2 5 2 6 2 3" xfId="41452" xr:uid="{64ED6385-47AE-4C2B-99F7-8889C943F9D9}"/>
    <cellStyle name="Comma 2 5 2 6 2 4" xfId="43275" xr:uid="{0425660C-46A9-4A69-9929-80B588DFF101}"/>
    <cellStyle name="Comma 2 5 2 6 2 5" xfId="45372" xr:uid="{3C29003C-D078-43F2-86C0-BF272CAE88DB}"/>
    <cellStyle name="Comma 2 5 2 6 2 6" xfId="48795" xr:uid="{5BC57467-D5DC-4FE8-9CA9-B556ABCF83B8}"/>
    <cellStyle name="Comma 2 5 2 6 2 7" xfId="51530" xr:uid="{B3A350A5-5872-4840-A295-E3EF19C36C0E}"/>
    <cellStyle name="Comma 2 5 2 6 2 8" xfId="52769" xr:uid="{A652ADF6-C5FB-4264-8FA9-5AC0F05948EF}"/>
    <cellStyle name="Comma 2 5 2 6 2 9" xfId="21032" xr:uid="{5D57E9EC-C1DF-4819-B756-102C0ACF4947}"/>
    <cellStyle name="Comma 2 5 2 6 3" xfId="20251" xr:uid="{8FF32F31-0724-414B-BCAB-617381A193E0}"/>
    <cellStyle name="Comma 2 5 2 6 4" xfId="23815" xr:uid="{A623EA6F-A52D-465B-BB39-66ECCE3BEFDA}"/>
    <cellStyle name="Comma 2 5 2 6 5" xfId="38312" xr:uid="{1EA3EB74-CB14-4E7F-8ACE-20E1A14C0F98}"/>
    <cellStyle name="Comma 2 5 2 6 6" xfId="39007" xr:uid="{B1E0F488-9A63-49D4-BDC2-64513BC60A51}"/>
    <cellStyle name="Comma 2 5 2 6 7" xfId="40135" xr:uid="{8C3CE2E6-2828-44BC-981D-1CEF0A8F3676}"/>
    <cellStyle name="Comma 2 5 2 6 8" xfId="40777" xr:uid="{44EC7400-1D13-4713-985A-D969B7B728A0}"/>
    <cellStyle name="Comma 2 5 2 6 9" xfId="41989" xr:uid="{982BD4F1-3035-4478-BEBD-2002F06CCA5E}"/>
    <cellStyle name="Comma 2 5 2 7" xfId="8099" xr:uid="{2CAF57C0-9E23-4163-B04E-0638487B1B92}"/>
    <cellStyle name="Comma 2 5 2 7 10" xfId="42831" xr:uid="{36E1E5C5-EE59-4F0B-AC4B-DD59DB871D50}"/>
    <cellStyle name="Comma 2 5 2 7 11" xfId="44958" xr:uid="{2D7630D8-B019-4A04-99A5-6836FDA95D4A}"/>
    <cellStyle name="Comma 2 5 2 7 12" xfId="47683" xr:uid="{C97B2526-0095-45FD-B420-1C25F75C4E1F}"/>
    <cellStyle name="Comma 2 5 2 7 13" xfId="50591" xr:uid="{3840F9F0-54A2-4C0D-BD5E-CC4C6DD742C7}"/>
    <cellStyle name="Comma 2 5 2 7 14" xfId="52770" xr:uid="{E9C4D996-595A-47C4-92DC-DF8D58672E9E}"/>
    <cellStyle name="Comma 2 5 2 7 15" xfId="19737" xr:uid="{B1ACECB2-DADC-4049-AC88-5C88E2FD0C9F}"/>
    <cellStyle name="Comma 2 5 2 7 2" xfId="12555" xr:uid="{EF3FFB29-2F49-4CF2-A9A7-562F07E5A71C}"/>
    <cellStyle name="Comma 2 5 2 7 2 2" xfId="39745" xr:uid="{E1818B67-9CA9-476C-B92A-703D4E06E37D}"/>
    <cellStyle name="Comma 2 5 2 7 2 3" xfId="41598" xr:uid="{699CB6CB-1777-4F0E-800B-96BE6C3E1C5D}"/>
    <cellStyle name="Comma 2 5 2 7 2 4" xfId="43422" xr:uid="{6C09EDE1-FCAB-4840-81C9-6ADF38535B8A}"/>
    <cellStyle name="Comma 2 5 2 7 2 5" xfId="45501" xr:uid="{3B65F667-734B-452E-9609-AE0FB04FB90A}"/>
    <cellStyle name="Comma 2 5 2 7 2 6" xfId="23354" xr:uid="{84C54DA7-EDDF-4327-8E21-E81E8FB2B0C7}"/>
    <cellStyle name="Comma 2 5 2 7 3" xfId="20398" xr:uid="{06009C25-592B-45D6-BBBE-982F44860226}"/>
    <cellStyle name="Comma 2 5 2 7 4" xfId="23816" xr:uid="{3990E786-ED1C-4049-AFA9-9D54BCC61437}"/>
    <cellStyle name="Comma 2 5 2 7 5" xfId="38313" xr:uid="{B2E5EBCD-5925-466D-BCC4-797F92F9FABA}"/>
    <cellStyle name="Comma 2 5 2 7 6" xfId="39154" xr:uid="{2139C8F5-6EE8-420B-9AE4-C2A8299CF3EB}"/>
    <cellStyle name="Comma 2 5 2 7 7" xfId="40136" xr:uid="{3BFAFFEA-F90D-4EBB-8D9F-DE8C37D9F933}"/>
    <cellStyle name="Comma 2 5 2 7 8" xfId="40778" xr:uid="{E04B0FDD-9ED7-45AA-8C32-C35D5844CFA3}"/>
    <cellStyle name="Comma 2 5 2 7 9" xfId="41990" xr:uid="{B0C60264-83F8-4EF3-91B5-FBABBE3D4A9D}"/>
    <cellStyle name="Comma 2 5 2 8" xfId="7936" xr:uid="{857506E3-FC65-49D3-AC5A-F1830DC80A9C}"/>
    <cellStyle name="Comma 2 5 2 8 2" xfId="12449" xr:uid="{65971A0F-FE91-4016-BE6B-52BC51C6415E}"/>
    <cellStyle name="Comma 2 5 2 8 2 2" xfId="39226" xr:uid="{D98F39EC-A568-4816-87E7-2D6CD3AA5B29}"/>
    <cellStyle name="Comma 2 5 2 8 3" xfId="41096" xr:uid="{DB429198-0BE4-4B90-87F3-38C51BD60138}"/>
    <cellStyle name="Comma 2 5 2 8 4" xfId="42903" xr:uid="{3B15CD34-E15A-4CD8-B3EA-D6C48F7B1871}"/>
    <cellStyle name="Comma 2 5 2 8 5" xfId="45010" xr:uid="{43894D04-691B-4553-9C21-AD064785A497}"/>
    <cellStyle name="Comma 2 5 2 8 6" xfId="20471" xr:uid="{BB7FD20E-1A72-4DBB-A3DB-D1BACB08F2CA}"/>
    <cellStyle name="Comma 2 5 2 9" xfId="11277" xr:uid="{D161BEE5-DCD7-4F5F-BDA1-9D85D318A9CE}"/>
    <cellStyle name="Comma 2 5 2 9 2" xfId="13836" xr:uid="{FB12667B-3CC7-46DC-8B72-8A63139C8C08}"/>
    <cellStyle name="Comma 2 5 2 9 3" xfId="19877" xr:uid="{93AFB8A5-E584-4219-9C51-D91F6A92B755}"/>
    <cellStyle name="Comma 2 5 20" xfId="43477" xr:uid="{60A8E25A-016F-4211-923A-43078A820813}"/>
    <cellStyle name="Comma 2 5 21" xfId="44397" xr:uid="{81CE828B-CD33-4DE0-A33A-A284E28B4671}"/>
    <cellStyle name="Comma 2 5 22" xfId="45583" xr:uid="{133B9553-EB42-45C4-BBF8-FAAFCD7B2CCA}"/>
    <cellStyle name="Comma 2 5 23" xfId="49213" xr:uid="{6D29831F-309E-4AC5-B526-50BD5CB9744B}"/>
    <cellStyle name="Comma 2 5 24" xfId="52771" xr:uid="{314BFDF4-B1AE-4038-9036-23568013CF44}"/>
    <cellStyle name="Comma 2 5 25" xfId="15213" xr:uid="{DEF2C999-D83C-49DA-A990-2112BD379E19}"/>
    <cellStyle name="Comma 2 5 26" xfId="13849" xr:uid="{4D7EEC25-1925-4910-BD5B-4FBAE00AC1D4}"/>
    <cellStyle name="Comma 2 5 3" xfId="1763" xr:uid="{C78C0787-FF67-45ED-8086-15F76E9F3D8E}"/>
    <cellStyle name="Comma 2 5 3 10" xfId="23817" xr:uid="{21E5BE98-EAB5-4023-BBCA-8C8883513702}"/>
    <cellStyle name="Comma 2 5 3 11" xfId="38314" xr:uid="{4BF545A1-10A8-4B51-82AE-67F7123C4D58}"/>
    <cellStyle name="Comma 2 5 3 12" xfId="38636" xr:uid="{D86FF584-B84F-4EAB-857F-D4DE06E87F7A}"/>
    <cellStyle name="Comma 2 5 3 13" xfId="40137" xr:uid="{BA89436F-B68B-4472-8080-92EAF59BEAC8}"/>
    <cellStyle name="Comma 2 5 3 14" xfId="40779" xr:uid="{0DB19ED5-34A1-49E3-BECC-A0FEA10D0142}"/>
    <cellStyle name="Comma 2 5 3 15" xfId="41991" xr:uid="{3A31A965-2124-4702-A04D-610912C7E032}"/>
    <cellStyle name="Comma 2 5 3 16" xfId="42313" xr:uid="{4FB7FFDB-8DE9-4FE1-8355-C39C443FA591}"/>
    <cellStyle name="Comma 2 5 3 17" xfId="43536" xr:uid="{5E778231-01ED-4892-AEC4-AFD0FD2870BE}"/>
    <cellStyle name="Comma 2 5 3 18" xfId="44399" xr:uid="{8186501F-591D-4263-9EE1-1B978EBD25B7}"/>
    <cellStyle name="Comma 2 5 3 19" xfId="45635" xr:uid="{EFBACA6C-37F3-4490-AD58-0062D3DAD1FF}"/>
    <cellStyle name="Comma 2 5 3 2" xfId="4439" xr:uid="{D5F24BF7-FA88-4E4F-92F9-0BB45AA35243}"/>
    <cellStyle name="Comma 2 5 3 2 10" xfId="40780" xr:uid="{24D1E873-0182-4DDB-95CB-69FAC2C86379}"/>
    <cellStyle name="Comma 2 5 3 2 11" xfId="41992" xr:uid="{C6FCBF5E-2CBF-4480-97B2-F2F3DD09D9E1}"/>
    <cellStyle name="Comma 2 5 3 2 12" xfId="42351" xr:uid="{885E481C-8F57-42C1-8226-315A480C1C02}"/>
    <cellStyle name="Comma 2 5 3 2 13" xfId="44240" xr:uid="{38F9E996-7701-48B3-9148-076D68C98E98}"/>
    <cellStyle name="Comma 2 5 3 2 14" xfId="44540" xr:uid="{509E6527-5682-4F97-9D73-E88C2D0493CE}"/>
    <cellStyle name="Comma 2 5 3 2 15" xfId="45709" xr:uid="{CC1B4118-FE02-4967-A8C9-6921CA57E8C1}"/>
    <cellStyle name="Comma 2 5 3 2 16" xfId="49337" xr:uid="{F8248FF3-1AA6-44DD-96A3-F7D2237E1526}"/>
    <cellStyle name="Comma 2 5 3 2 17" xfId="52772" xr:uid="{DC9E87D1-8F27-4564-89AF-65BBBC08CD43}"/>
    <cellStyle name="Comma 2 5 3 2 18" xfId="15317" xr:uid="{847916F7-2FA8-4D47-A3A1-3B77CD9C53B8}"/>
    <cellStyle name="Comma 2 5 3 2 19" xfId="14233" xr:uid="{5F50BB8B-EF39-44F5-B3B5-1590ECA6606C}"/>
    <cellStyle name="Comma 2 5 3 2 2" xfId="5696" xr:uid="{85B8D0EF-2112-4E4C-9155-FF8876387914}"/>
    <cellStyle name="Comma 2 5 3 2 2 10" xfId="41993" xr:uid="{47873358-E805-4611-8FA5-76730F120C4E}"/>
    <cellStyle name="Comma 2 5 3 2 2 11" xfId="42503" xr:uid="{08041D27-E0CB-4752-919B-05075851B6B9}"/>
    <cellStyle name="Comma 2 5 3 2 2 12" xfId="44685" xr:uid="{9941906F-1BF7-4D34-B315-B2AEAA777633}"/>
    <cellStyle name="Comma 2 5 3 2 2 13" xfId="46708" xr:uid="{C60C72B4-8446-4479-AC7A-57513E2680AC}"/>
    <cellStyle name="Comma 2 5 3 2 2 14" xfId="49740" xr:uid="{3AA80B4A-D8E8-4171-85F9-736797D82C73}"/>
    <cellStyle name="Comma 2 5 3 2 2 15" xfId="52773" xr:uid="{AD13F211-09EA-42AF-AA95-8F4C50C4B2AF}"/>
    <cellStyle name="Comma 2 5 3 2 2 16" xfId="16766" xr:uid="{C97C54A9-B067-4F99-B2B2-FAA566D2D463}"/>
    <cellStyle name="Comma 2 5 3 2 2 17" xfId="14725" xr:uid="{5A5DCA99-69FB-4778-88F3-DE4FB70C0734}"/>
    <cellStyle name="Comma 2 5 3 2 2 2" xfId="10290" xr:uid="{EA6A91E6-B9CB-4723-A1A3-C455C396E462}"/>
    <cellStyle name="Comma 2 5 3 2 2 2 10" xfId="42693" xr:uid="{82A0CDAA-45A0-4F3C-9E9E-8C62F3C22666}"/>
    <cellStyle name="Comma 2 5 3 2 2 2 11" xfId="44860" xr:uid="{C7BF2579-6FE4-4DBF-8780-EA51F02A78A1}"/>
    <cellStyle name="Comma 2 5 3 2 2 2 12" xfId="48250" xr:uid="{38592002-0361-44FF-A87A-F7718A5B6AE2}"/>
    <cellStyle name="Comma 2 5 3 2 2 2 13" xfId="51068" xr:uid="{128D6828-F32C-4F85-A307-A5A467359765}"/>
    <cellStyle name="Comma 2 5 3 2 2 2 14" xfId="52774" xr:uid="{BBD3A026-BEA2-487F-AD53-6E9EF4468704}"/>
    <cellStyle name="Comma 2 5 3 2 2 2 15" xfId="17046" xr:uid="{8696199D-1F1A-4FC6-B84F-410D18E34F88}"/>
    <cellStyle name="Comma 2 5 3 2 2 2 2" xfId="13596" xr:uid="{0388CFFC-0645-438C-888B-2886796E9230}"/>
    <cellStyle name="Comma 2 5 3 2 2 2 2 2" xfId="39607" xr:uid="{03574773-ED9D-4DA7-84B0-8D863B856B16}"/>
    <cellStyle name="Comma 2 5 3 2 2 2 2 3" xfId="41461" xr:uid="{3498E768-944F-47EA-AAE1-AD139C4059BA}"/>
    <cellStyle name="Comma 2 5 3 2 2 2 2 4" xfId="43284" xr:uid="{5DB05AA1-F3C5-45CE-9564-63EB956D32B7}"/>
    <cellStyle name="Comma 2 5 3 2 2 2 2 5" xfId="45381" xr:uid="{0527D013-8E89-4B3A-ABDE-873CAADFAE76}"/>
    <cellStyle name="Comma 2 5 3 2 2 2 2 6" xfId="21041" xr:uid="{A731FACC-3ACD-4D5B-BFFE-ACDBA3F1356C}"/>
    <cellStyle name="Comma 2 5 3 2 2 2 3" xfId="20260" xr:uid="{6E74C18F-AD15-4E0E-856C-F19FD9A929D0}"/>
    <cellStyle name="Comma 2 5 3 2 2 2 4" xfId="23820" xr:uid="{3217937C-714A-440F-8569-6AD93F69C5C2}"/>
    <cellStyle name="Comma 2 5 3 2 2 2 5" xfId="38317" xr:uid="{AB4A6451-7530-4D2A-B014-16E09E25921D}"/>
    <cellStyle name="Comma 2 5 3 2 2 2 6" xfId="39016" xr:uid="{759313E3-2A0F-4CD0-9529-451D8669BFA4}"/>
    <cellStyle name="Comma 2 5 3 2 2 2 7" xfId="40140" xr:uid="{D3440A4D-9BE2-4E44-B179-DFAB722C0DF8}"/>
    <cellStyle name="Comma 2 5 3 2 2 2 8" xfId="40782" xr:uid="{0651E93A-BEE8-4BFC-B17E-C43775E1F5ED}"/>
    <cellStyle name="Comma 2 5 3 2 2 2 9" xfId="41994" xr:uid="{CB7C84D3-4077-4DFA-9292-1880F5655D3E}"/>
    <cellStyle name="Comma 2 5 3 2 2 3" xfId="7798" xr:uid="{75A790BC-B9DB-4A58-94E7-484D267399A9}"/>
    <cellStyle name="Comma 2 5 3 2 2 3 2" xfId="39417" xr:uid="{6C8843A0-F047-46C3-B720-3AF982E75218}"/>
    <cellStyle name="Comma 2 5 3 2 2 3 3" xfId="41273" xr:uid="{8BD79127-7624-41DF-9685-D84D97D4C384}"/>
    <cellStyle name="Comma 2 5 3 2 2 3 4" xfId="43094" xr:uid="{C8B37D5B-3A81-446C-8A07-3CF58A127B52}"/>
    <cellStyle name="Comma 2 5 3 2 2 3 5" xfId="45193" xr:uid="{A071DCDE-97EF-4F83-95D2-1396623B5E4C}"/>
    <cellStyle name="Comma 2 5 3 2 2 3 6" xfId="20792" xr:uid="{09F6B57D-5A1D-4ADE-B3E2-B97B09B9E2EE}"/>
    <cellStyle name="Comma 2 5 3 2 2 4" xfId="12311" xr:uid="{0E6203AA-DF97-473E-84DF-C8C09CA03B73}"/>
    <cellStyle name="Comma 2 5 3 2 2 4 2" xfId="20070" xr:uid="{809BA222-C50A-4EB1-A61B-E081F6FD2224}"/>
    <cellStyle name="Comma 2 5 3 2 2 5" xfId="23819" xr:uid="{780DB7E8-C21E-496F-A5DE-035DB0C21046}"/>
    <cellStyle name="Comma 2 5 3 2 2 6" xfId="38316" xr:uid="{D9BFDE60-F53C-44E7-959B-D199DEEBBFBE}"/>
    <cellStyle name="Comma 2 5 3 2 2 7" xfId="38826" xr:uid="{F0D27B64-2AF4-4333-BCBD-97D6C62803E9}"/>
    <cellStyle name="Comma 2 5 3 2 2 8" xfId="40139" xr:uid="{41F4F000-2F6C-4577-9A2B-D0B5769A50B2}"/>
    <cellStyle name="Comma 2 5 3 2 2 9" xfId="40781" xr:uid="{AF245C26-B788-4F29-BBB5-F58765B179D7}"/>
    <cellStyle name="Comma 2 5 3 2 3" xfId="11140" xr:uid="{098B0701-144D-475B-9294-CC987AAF9AD1}"/>
    <cellStyle name="Comma 2 5 3 2 3 10" xfId="42692" xr:uid="{5592AD48-F74F-46DD-A9A5-D0019730CD1E}"/>
    <cellStyle name="Comma 2 5 3 2 3 11" xfId="44859" xr:uid="{F6ADC6A0-1D5D-4C1E-A0F7-A8B597E1D46C}"/>
    <cellStyle name="Comma 2 5 3 2 3 12" xfId="46928" xr:uid="{DDC7CAC6-81E1-4863-A81D-B333B07FA65D}"/>
    <cellStyle name="Comma 2 5 3 2 3 13" xfId="49947" xr:uid="{5B4A8D55-D56B-4466-AD42-E5E165D78DB9}"/>
    <cellStyle name="Comma 2 5 3 2 3 14" xfId="52775" xr:uid="{197C5C9A-28C2-4DE8-9BE0-158D27B7837E}"/>
    <cellStyle name="Comma 2 5 3 2 3 15" xfId="17045" xr:uid="{A074A5FC-683C-4728-A827-A0FAA324BDEF}"/>
    <cellStyle name="Comma 2 5 3 2 3 16" xfId="15040" xr:uid="{00F608F4-3B5A-40AB-A9B7-D7C58A02E26A}"/>
    <cellStyle name="Comma 2 5 3 2 3 2" xfId="13736" xr:uid="{A4F79201-C7D1-4BEF-9EB8-FF75F6450BC9}"/>
    <cellStyle name="Comma 2 5 3 2 3 2 2" xfId="39606" xr:uid="{777F9F27-485C-4DBF-BFB8-DCEAE234FB9C}"/>
    <cellStyle name="Comma 2 5 3 2 3 2 3" xfId="41460" xr:uid="{6D4C5D24-8114-495C-B6C4-7805D5156864}"/>
    <cellStyle name="Comma 2 5 3 2 3 2 4" xfId="43283" xr:uid="{C983364B-9882-45CA-8C03-4A81D50A2B02}"/>
    <cellStyle name="Comma 2 5 3 2 3 2 5" xfId="45380" xr:uid="{8A1320B0-C6BB-4DB8-942F-F245ECC7797C}"/>
    <cellStyle name="Comma 2 5 3 2 3 2 6" xfId="48489" xr:uid="{EAA20819-1E4D-40B9-A50C-4CD7485A614F}"/>
    <cellStyle name="Comma 2 5 3 2 3 2 7" xfId="51275" xr:uid="{324DFCCD-C247-44EE-9A0A-484BD129F38C}"/>
    <cellStyle name="Comma 2 5 3 2 3 2 8" xfId="52776" xr:uid="{F3BFC946-CB60-4FCD-9989-3E7D7012552E}"/>
    <cellStyle name="Comma 2 5 3 2 3 2 9" xfId="21040" xr:uid="{14AAF63A-8168-4301-9CF9-6E836EAF3EAB}"/>
    <cellStyle name="Comma 2 5 3 2 3 3" xfId="20259" xr:uid="{F17C8181-0E04-4ADE-94C0-AABA43616E62}"/>
    <cellStyle name="Comma 2 5 3 2 3 4" xfId="23821" xr:uid="{2B8410AA-A311-487E-ADA0-0122DCB2287A}"/>
    <cellStyle name="Comma 2 5 3 2 3 5" xfId="38318" xr:uid="{5214E80D-1C2A-4319-9242-3B1C01A378F7}"/>
    <cellStyle name="Comma 2 5 3 2 3 6" xfId="39015" xr:uid="{1D4440B5-D638-4070-9A14-7D8224894AF9}"/>
    <cellStyle name="Comma 2 5 3 2 3 7" xfId="40141" xr:uid="{CF4A9396-0389-4663-AAA7-B14F0AB08A08}"/>
    <cellStyle name="Comma 2 5 3 2 3 8" xfId="40783" xr:uid="{351DCAC0-55DC-41A8-A553-B25C8B18541B}"/>
    <cellStyle name="Comma 2 5 3 2 3 9" xfId="41995" xr:uid="{20FF5E4A-F148-4C10-9B54-34C7DB0E3FAD}"/>
    <cellStyle name="Comma 2 5 3 2 4" xfId="9796" xr:uid="{E3DE0763-859D-4F70-973D-759FF173CB52}"/>
    <cellStyle name="Comma 2 5 3 2 4 2" xfId="13102" xr:uid="{CB9EEAD8-1160-4F43-B0DC-4B45ED2BEC1B}"/>
    <cellStyle name="Comma 2 5 3 2 4 2 2" xfId="49106" xr:uid="{2B742CDF-00B2-44A4-88D5-35FB8965AEDE}"/>
    <cellStyle name="Comma 2 5 3 2 4 2 3" xfId="51786" xr:uid="{CFE9D41C-BCC3-4D8D-9619-653BB6B369D7}"/>
    <cellStyle name="Comma 2 5 3 2 4 2 4" xfId="52777" xr:uid="{88BC201B-99E1-4B0B-8E79-D5C9E03C6102}"/>
    <cellStyle name="Comma 2 5 3 2 4 2 5" xfId="39265" xr:uid="{BC726982-2B3E-4521-BE3A-1153F49D2BF2}"/>
    <cellStyle name="Comma 2 5 3 2 4 3" xfId="41133" xr:uid="{B0557037-73BD-48C0-93F1-B4E331B872B8}"/>
    <cellStyle name="Comma 2 5 3 2 4 4" xfId="42942" xr:uid="{CD936EF1-592D-415F-984F-A7DA8DC0ABE1}"/>
    <cellStyle name="Comma 2 5 3 2 4 5" xfId="45049" xr:uid="{D2B6E6C0-72D1-4AE7-8C7E-7D481CD8255E}"/>
    <cellStyle name="Comma 2 5 3 2 4 6" xfId="47523" xr:uid="{C8D370D2-AD3F-44CE-9763-AC01C60156A3}"/>
    <cellStyle name="Comma 2 5 3 2 4 7" xfId="50458" xr:uid="{F1FE64D9-5E06-49FD-90F6-59EA4C4F788E}"/>
    <cellStyle name="Comma 2 5 3 2 4 8" xfId="52778" xr:uid="{2FE555CC-482E-4A4A-9797-C2DADD109CE9}"/>
    <cellStyle name="Comma 2 5 3 2 4 9" xfId="20510" xr:uid="{315009CB-9A2B-46D2-97F1-A50F28252EDC}"/>
    <cellStyle name="Comma 2 5 3 2 5" xfId="7294" xr:uid="{82C7DF3A-656E-41EF-AE8A-6957C19C8F49}"/>
    <cellStyle name="Comma 2 5 3 2 5 2" xfId="47766" xr:uid="{610B027B-4989-42CB-9A86-72D9A75ED66C}"/>
    <cellStyle name="Comma 2 5 3 2 5 3" xfId="50665" xr:uid="{FB2F1768-DA8B-42DF-9C5B-08B06D072ADE}"/>
    <cellStyle name="Comma 2 5 3 2 5 4" xfId="52779" xr:uid="{58AACBFB-E229-4B64-BC77-F7BD1535D01A}"/>
    <cellStyle name="Comma 2 5 3 2 5 5" xfId="19917" xr:uid="{BE62A582-F5C5-4617-BFF3-F798022ED0C6}"/>
    <cellStyle name="Comma 2 5 3 2 6" xfId="11817" xr:uid="{A72AAFD9-77CD-4043-ABDC-024E986D9793}"/>
    <cellStyle name="Comma 2 5 3 2 6 2" xfId="23818" xr:uid="{ABC2D1FF-5312-42BA-83A8-D05AA3514F08}"/>
    <cellStyle name="Comma 2 5 3 2 7" xfId="38315" xr:uid="{8B7CA1E4-C659-4412-B4D9-DE0A6E51E5B3}"/>
    <cellStyle name="Comma 2 5 3 2 8" xfId="38674" xr:uid="{C8BF45B8-D783-4C72-84D4-00EC4800FD5F}"/>
    <cellStyle name="Comma 2 5 3 2 9" xfId="40138" xr:uid="{1111E6FA-8363-460D-BE60-92ADE1D41B4D}"/>
    <cellStyle name="Comma 2 5 3 20" xfId="49264" xr:uid="{85B47428-2B46-4938-8C6F-E76F64B5A321}"/>
    <cellStyle name="Comma 2 5 3 21" xfId="52780" xr:uid="{9A1B7348-60B8-4F6D-B6B2-1775F316E486}"/>
    <cellStyle name="Comma 2 5 3 22" xfId="15215" xr:uid="{813AAC8F-62CD-477D-AE7B-D395534F5F53}"/>
    <cellStyle name="Comma 2 5 3 23" xfId="13919" xr:uid="{DC996DAA-A272-4774-8C1F-99B965C403CB}"/>
    <cellStyle name="Comma 2 5 3 3" xfId="5520" xr:uid="{C2516960-1B4C-4B86-8B6E-F7642D56A196}"/>
    <cellStyle name="Comma 2 5 3 3 10" xfId="40784" xr:uid="{0BC80C44-7263-454A-93E2-2F1884A95C3F}"/>
    <cellStyle name="Comma 2 5 3 3 11" xfId="41996" xr:uid="{C3857236-009C-4588-A2F7-08AED89ADD3E}"/>
    <cellStyle name="Comma 2 5 3 3 12" xfId="42375" xr:uid="{AB86835A-5B60-4B74-A749-5C00926E6139}"/>
    <cellStyle name="Comma 2 5 3 3 13" xfId="43809" xr:uid="{434D9BE7-EB0B-44F3-86E7-F1A3916B2951}"/>
    <cellStyle name="Comma 2 5 3 3 14" xfId="44355" xr:uid="{6799BE82-809C-4CC6-8C01-C39E1E83AEDD}"/>
    <cellStyle name="Comma 2 5 3 3 15" xfId="46567" xr:uid="{828A59B4-37DA-4C17-A7D2-64A6D150B873}"/>
    <cellStyle name="Comma 2 5 3 3 16" xfId="49600" xr:uid="{6879869F-A6D1-4BBA-82A7-964FE23964DA}"/>
    <cellStyle name="Comma 2 5 3 3 17" xfId="52781" xr:uid="{46CC637D-3B22-4487-9542-23688980A1F5}"/>
    <cellStyle name="Comma 2 5 3 3 18" xfId="15799" xr:uid="{1DFF0964-525F-4B6B-833C-D97E40970A55}"/>
    <cellStyle name="Comma 2 5 3 3 19" xfId="14057" xr:uid="{227F71B6-CCFA-4781-BC05-380BC37FB374}"/>
    <cellStyle name="Comma 2 5 3 3 2" xfId="7622" xr:uid="{C02F7B2D-FC90-4012-A4EA-35340D913A97}"/>
    <cellStyle name="Comma 2 5 3 3 2 10" xfId="41997" xr:uid="{7FD47010-5521-4D46-A648-95A74E14453F}"/>
    <cellStyle name="Comma 2 5 3 3 2 11" xfId="42527" xr:uid="{43DE1068-0ABB-43F2-98F1-D6849FAB02DF}"/>
    <cellStyle name="Comma 2 5 3 3 2 12" xfId="44695" xr:uid="{0B180706-B1E8-4954-9618-57115D50ADBB}"/>
    <cellStyle name="Comma 2 5 3 3 2 13" xfId="47055" xr:uid="{7541BAD1-276A-4AC8-8B92-2EA2FC27D2CD}"/>
    <cellStyle name="Comma 2 5 3 3 2 14" xfId="50056" xr:uid="{E164B958-1E7E-47E1-A404-D6D51812F5ED}"/>
    <cellStyle name="Comma 2 5 3 3 2 15" xfId="52782" xr:uid="{3EDA6734-CDB1-4BDF-B274-AC0C80BDF9DF}"/>
    <cellStyle name="Comma 2 5 3 3 2 16" xfId="16817" xr:uid="{B6933D34-572E-4E5D-BDD5-F31CAB25F636}"/>
    <cellStyle name="Comma 2 5 3 3 2 17" xfId="14549" xr:uid="{D7CEA537-71B6-44B7-896C-30BAAF6EF00D}"/>
    <cellStyle name="Comma 2 5 3 3 2 2" xfId="10114" xr:uid="{87BCE1DA-866E-4920-B9AB-E41C14CE1142}"/>
    <cellStyle name="Comma 2 5 3 3 2 2 10" xfId="42695" xr:uid="{F115C6E4-1FA0-4993-851E-51E7CB8A3D8D}"/>
    <cellStyle name="Comma 2 5 3 3 2 2 11" xfId="44862" xr:uid="{17B3F793-1E85-4D71-BF45-17AA558A9093}"/>
    <cellStyle name="Comma 2 5 3 3 2 2 12" xfId="48621" xr:uid="{98877C58-0A6D-4921-BEFD-2D007D539C52}"/>
    <cellStyle name="Comma 2 5 3 3 2 2 13" xfId="51384" xr:uid="{D7DBEABF-4C13-474A-9683-5F8ED6294A9F}"/>
    <cellStyle name="Comma 2 5 3 3 2 2 14" xfId="52783" xr:uid="{DDC368F8-F113-4136-8176-1268001CDD65}"/>
    <cellStyle name="Comma 2 5 3 3 2 2 15" xfId="17048" xr:uid="{D7ECA2A4-D90B-417E-8F28-DADF5E265009}"/>
    <cellStyle name="Comma 2 5 3 3 2 2 2" xfId="13420" xr:uid="{BA04DA65-11E0-40B7-8CBE-136F48B538AE}"/>
    <cellStyle name="Comma 2 5 3 3 2 2 2 2" xfId="39609" xr:uid="{A9F05F20-68DD-4A5F-B6DD-E3C0441719C0}"/>
    <cellStyle name="Comma 2 5 3 3 2 2 2 3" xfId="41463" xr:uid="{77C5FBC6-49A9-4C8E-9132-4817E424EF02}"/>
    <cellStyle name="Comma 2 5 3 3 2 2 2 4" xfId="43286" xr:uid="{D04B6BCC-C3F2-49D2-BCF3-A61F63C041B0}"/>
    <cellStyle name="Comma 2 5 3 3 2 2 2 5" xfId="45383" xr:uid="{B5D0EC2A-1A51-4DCE-A809-E1E4A7515E42}"/>
    <cellStyle name="Comma 2 5 3 3 2 2 2 6" xfId="21043" xr:uid="{0A6EA46E-B3AF-404E-989B-133BF01A35DB}"/>
    <cellStyle name="Comma 2 5 3 3 2 2 3" xfId="20262" xr:uid="{982A3622-EE9A-429F-857E-4699D1C7E779}"/>
    <cellStyle name="Comma 2 5 3 3 2 2 4" xfId="23824" xr:uid="{B6733D82-9E8C-4322-AD57-B919B28E1A7C}"/>
    <cellStyle name="Comma 2 5 3 3 2 2 5" xfId="38321" xr:uid="{1EEB70A6-ADF8-46D8-992D-562393214F6D}"/>
    <cellStyle name="Comma 2 5 3 3 2 2 6" xfId="39018" xr:uid="{18287493-8AFE-480C-8D22-A44E850C62CD}"/>
    <cellStyle name="Comma 2 5 3 3 2 2 7" xfId="40144" xr:uid="{402F5190-F373-4D7F-93D3-62D62CBF5F9D}"/>
    <cellStyle name="Comma 2 5 3 3 2 2 8" xfId="40786" xr:uid="{B1E74A57-5B38-449E-8DE2-96D24ABE64E8}"/>
    <cellStyle name="Comma 2 5 3 3 2 2 9" xfId="41998" xr:uid="{C63EA27E-E837-4485-A296-C300C46B4338}"/>
    <cellStyle name="Comma 2 5 3 3 2 3" xfId="12135" xr:uid="{5F8B9B29-19E2-457F-B7E5-8F3D544B15A0}"/>
    <cellStyle name="Comma 2 5 3 3 2 3 2" xfId="39441" xr:uid="{C298A3A8-E733-4810-8C29-F89F812AD362}"/>
    <cellStyle name="Comma 2 5 3 3 2 3 3" xfId="41295" xr:uid="{86141472-7111-4F27-BAB7-EE4CBC584B83}"/>
    <cellStyle name="Comma 2 5 3 3 2 3 4" xfId="43118" xr:uid="{3FDE1656-7528-446D-A9B2-CDB6C84B6C95}"/>
    <cellStyle name="Comma 2 5 3 3 2 3 5" xfId="45215" xr:uid="{04CAD1B0-08C8-46FF-9AB9-2CFF460E7B75}"/>
    <cellStyle name="Comma 2 5 3 3 2 3 6" xfId="20819" xr:uid="{C633DEA9-54FB-4EA6-B134-87D5B8BA1320}"/>
    <cellStyle name="Comma 2 5 3 3 2 4" xfId="20094" xr:uid="{E6FE36B7-6885-4DB5-872D-B4C6FC7D4E97}"/>
    <cellStyle name="Comma 2 5 3 3 2 5" xfId="23823" xr:uid="{D2482B44-ED7C-4B5E-9940-EA286235050A}"/>
    <cellStyle name="Comma 2 5 3 3 2 6" xfId="38320" xr:uid="{8EFACEFD-1E58-4949-97EB-892DADB3EFD6}"/>
    <cellStyle name="Comma 2 5 3 3 2 7" xfId="38850" xr:uid="{77DB843B-60D4-4AC6-946E-5792CB9EB204}"/>
    <cellStyle name="Comma 2 5 3 3 2 8" xfId="40143" xr:uid="{0285EAAB-8563-4C48-A3BA-7ED9D7D48A07}"/>
    <cellStyle name="Comma 2 5 3 3 2 9" xfId="40785" xr:uid="{A9A2EE2E-505F-46AD-8E34-C3BF351F88F4}"/>
    <cellStyle name="Comma 2 5 3 3 3" xfId="9620" xr:uid="{0DF7496C-393C-40C9-B702-3FD32D57F5F9}"/>
    <cellStyle name="Comma 2 5 3 3 3 10" xfId="42694" xr:uid="{854AC352-CBC7-4C9B-B0D8-A7F49518BDA8}"/>
    <cellStyle name="Comma 2 5 3 3 3 11" xfId="44861" xr:uid="{436AC089-DEDE-42F1-8A7A-2F26418C13C3}"/>
    <cellStyle name="Comma 2 5 3 3 3 12" xfId="47358" xr:uid="{749A1FCB-50DF-4966-9B9D-9A79CB5A2ED9}"/>
    <cellStyle name="Comma 2 5 3 3 3 13" xfId="50318" xr:uid="{72CEDF0E-7EC3-43E8-A070-BE7FC7ECC7AE}"/>
    <cellStyle name="Comma 2 5 3 3 3 14" xfId="52784" xr:uid="{CFBDB943-556F-4278-8551-3C01BE12708B}"/>
    <cellStyle name="Comma 2 5 3 3 3 15" xfId="17047" xr:uid="{E19CF071-E6CF-4799-AC83-B26C8CA67714}"/>
    <cellStyle name="Comma 2 5 3 3 3 2" xfId="12926" xr:uid="{5A68C2DE-E464-487B-869F-96AB9D3D3218}"/>
    <cellStyle name="Comma 2 5 3 3 3 2 2" xfId="39608" xr:uid="{2B530F93-CCC1-4E88-92C2-5C7B7DBDE428}"/>
    <cellStyle name="Comma 2 5 3 3 3 2 3" xfId="41462" xr:uid="{37531A34-FB39-471F-AC5C-4B55F227141F}"/>
    <cellStyle name="Comma 2 5 3 3 3 2 4" xfId="43285" xr:uid="{E460D4F5-5E9F-4BDB-8F12-1DEC307F8A71}"/>
    <cellStyle name="Comma 2 5 3 3 3 2 5" xfId="45382" xr:uid="{5661E8C7-CE1A-4A19-A41F-C11D63827914}"/>
    <cellStyle name="Comma 2 5 3 3 3 2 6" xfId="48934" xr:uid="{2BE40C07-4EE8-4ABA-81F8-22FC2D504A16}"/>
    <cellStyle name="Comma 2 5 3 3 3 2 7" xfId="51646" xr:uid="{982BE398-49AC-4935-8131-FCDA34B7EC63}"/>
    <cellStyle name="Comma 2 5 3 3 3 2 8" xfId="52785" xr:uid="{D81997D0-7D4A-4C36-8DA8-7D69EB58F88B}"/>
    <cellStyle name="Comma 2 5 3 3 3 2 9" xfId="21042" xr:uid="{E0EC1B0F-5C8C-494D-A3AC-7CF4A4B6676D}"/>
    <cellStyle name="Comma 2 5 3 3 3 3" xfId="20261" xr:uid="{F6AB2525-2DD2-4290-8C18-4FAF6608DBB8}"/>
    <cellStyle name="Comma 2 5 3 3 3 4" xfId="23825" xr:uid="{D4087692-B6B8-45ED-9873-8954AA7440E1}"/>
    <cellStyle name="Comma 2 5 3 3 3 5" xfId="38322" xr:uid="{720578FB-9446-4C77-AFA3-C98D4AAE8FBA}"/>
    <cellStyle name="Comma 2 5 3 3 3 6" xfId="39017" xr:uid="{B3ABFB95-656B-4516-9A76-99B8EBB78381}"/>
    <cellStyle name="Comma 2 5 3 3 3 7" xfId="40145" xr:uid="{1FB750CF-426E-4F02-8BCE-A7763E152088}"/>
    <cellStyle name="Comma 2 5 3 3 3 8" xfId="40787" xr:uid="{E95745CB-7B01-470A-95BC-8CBA967CFF35}"/>
    <cellStyle name="Comma 2 5 3 3 3 9" xfId="41999" xr:uid="{69BCD6EA-62D0-46F9-8D0C-476F197B0DDA}"/>
    <cellStyle name="Comma 2 5 3 3 4" xfId="7116" xr:uid="{DB518DB5-9B1D-45CB-B825-370921E58350}"/>
    <cellStyle name="Comma 2 5 3 3 4 2" xfId="39289" xr:uid="{5BD972B5-E61E-48C9-817B-BED2867223AD}"/>
    <cellStyle name="Comma 2 5 3 3 4 3" xfId="41151" xr:uid="{35AE8D92-9DC5-418F-8334-F83B0A5FBB9A}"/>
    <cellStyle name="Comma 2 5 3 3 4 4" xfId="42966" xr:uid="{BFE7AC94-4549-4674-9CCE-B809169657F1}"/>
    <cellStyle name="Comma 2 5 3 3 4 5" xfId="45071" xr:uid="{A89962D0-ED42-4151-91AA-17FB5C66DB7E}"/>
    <cellStyle name="Comma 2 5 3 3 4 6" xfId="48079" xr:uid="{57C9E875-BA66-42A2-A336-9617B2097D5C}"/>
    <cellStyle name="Comma 2 5 3 3 4 7" xfId="50928" xr:uid="{5E88AE8F-0220-4C31-9C0B-FC1BF5BBB91C}"/>
    <cellStyle name="Comma 2 5 3 3 4 8" xfId="52786" xr:uid="{0B4A76C8-79B1-44A9-8C4B-DE78BC1EAFDE}"/>
    <cellStyle name="Comma 2 5 3 3 4 9" xfId="20535" xr:uid="{F1835D56-CE4B-440A-8DB2-00A3DEDCCFDE}"/>
    <cellStyle name="Comma 2 5 3 3 5" xfId="11641" xr:uid="{A9EAF2FB-2E20-4490-952C-E3D62C5D5D72}"/>
    <cellStyle name="Comma 2 5 3 3 5 2" xfId="19942" xr:uid="{45219B64-850E-4A05-91DA-A2EB5F45024B}"/>
    <cellStyle name="Comma 2 5 3 3 6" xfId="23822" xr:uid="{53D0EFB1-D828-438D-922B-FAC409E98EC8}"/>
    <cellStyle name="Comma 2 5 3 3 7" xfId="38319" xr:uid="{BC35C7ED-E567-4A48-9509-BC8F5FC83AA4}"/>
    <cellStyle name="Comma 2 5 3 3 8" xfId="38698" xr:uid="{9BFF476E-C4FC-48C6-BB16-2B867AFBCC4B}"/>
    <cellStyle name="Comma 2 5 3 3 9" xfId="40142" xr:uid="{2A3F209E-C0BF-4EDE-AC5A-F5A2885AB593}"/>
    <cellStyle name="Comma 2 5 3 4" xfId="6510" xr:uid="{B9FF0D4A-C30D-4989-B1F5-A9ECAC4FFDB4}"/>
    <cellStyle name="Comma 2 5 3 4 10" xfId="42000" xr:uid="{4909202C-F354-44A9-96CF-F994240BE5A2}"/>
    <cellStyle name="Comma 2 5 3 4 11" xfId="42464" xr:uid="{F6650F63-7626-4D29-AF6D-267354B12F0C}"/>
    <cellStyle name="Comma 2 5 3 4 12" xfId="44661" xr:uid="{D0C6D379-C63B-4E0E-A87A-E9AE47B574B5}"/>
    <cellStyle name="Comma 2 5 3 4 13" xfId="46149" xr:uid="{091957FD-9C07-4465-B5D8-F4BBB3F68E8D}"/>
    <cellStyle name="Comma 2 5 3 4 14" xfId="49485" xr:uid="{FF7FD90F-FC7A-441E-B6F2-E030C5DD3319}"/>
    <cellStyle name="Comma 2 5 3 4 15" xfId="52787" xr:uid="{33CAD6D0-0E8A-4AE7-910D-B0CEB8AF7173}"/>
    <cellStyle name="Comma 2 5 3 4 16" xfId="16658" xr:uid="{D6B6824D-5ABE-4DF1-84F4-EA4E467FCE0F}"/>
    <cellStyle name="Comma 2 5 3 4 17" xfId="14411" xr:uid="{0005F98C-580F-4235-87F2-D3022D873404}"/>
    <cellStyle name="Comma 2 5 3 4 2" xfId="9482" xr:uid="{EDC4EB8D-D9A9-4819-B441-1BD5333A429F}"/>
    <cellStyle name="Comma 2 5 3 4 2 10" xfId="42696" xr:uid="{D8DC69C5-EC70-41E4-9C73-F7E868CE226F}"/>
    <cellStyle name="Comma 2 5 3 4 2 11" xfId="44863" xr:uid="{9DB8314F-911F-4E30-B4A2-7CE05FD7CF5E}"/>
    <cellStyle name="Comma 2 5 3 4 2 12" xfId="47944" xr:uid="{C8124F9C-F40D-4339-9D68-37E5FE0FFC32}"/>
    <cellStyle name="Comma 2 5 3 4 2 13" xfId="50813" xr:uid="{289452E8-D9EB-4B96-9E7A-BBCEAB002184}"/>
    <cellStyle name="Comma 2 5 3 4 2 14" xfId="52788" xr:uid="{8C9E2BD8-9312-46A3-B0EE-8934F0273A70}"/>
    <cellStyle name="Comma 2 5 3 4 2 15" xfId="17049" xr:uid="{1A8B459D-CD5C-407C-B0C4-631771782315}"/>
    <cellStyle name="Comma 2 5 3 4 2 2" xfId="12788" xr:uid="{2A5546BC-0C02-41AF-BC88-C8582CDDCE62}"/>
    <cellStyle name="Comma 2 5 3 4 2 2 2" xfId="39610" xr:uid="{412A9A9C-604B-41B7-82DF-D34139B395FE}"/>
    <cellStyle name="Comma 2 5 3 4 2 2 3" xfId="40432" xr:uid="{6F5F5DC9-9EAE-4DD8-9B89-C5F3F2628E5F}"/>
    <cellStyle name="Comma 2 5 3 4 2 2 4" xfId="43287" xr:uid="{5DE722A2-1FD9-4D6A-830E-13FE373C86AE}"/>
    <cellStyle name="Comma 2 5 3 4 2 2 5" xfId="45384" xr:uid="{957D2A4D-51A8-455B-A82B-F7FCD708B464}"/>
    <cellStyle name="Comma 2 5 3 4 2 2 6" xfId="21044" xr:uid="{258E23FF-93C5-46F7-A674-987A14FCCD76}"/>
    <cellStyle name="Comma 2 5 3 4 2 3" xfId="20263" xr:uid="{DCF84AD7-2EC9-4EF3-A04C-15CAE462C822}"/>
    <cellStyle name="Comma 2 5 3 4 2 4" xfId="23827" xr:uid="{31490DF6-74D3-4CD1-9C7C-F218190DE32B}"/>
    <cellStyle name="Comma 2 5 3 4 2 5" xfId="38324" xr:uid="{A6A850C1-660F-44A4-A9F4-1649B563E403}"/>
    <cellStyle name="Comma 2 5 3 4 2 6" xfId="39019" xr:uid="{2F480B82-3D90-438E-9CCF-D2A7F3E5677D}"/>
    <cellStyle name="Comma 2 5 3 4 2 7" xfId="40147" xr:uid="{6276988D-8B9B-4E6F-88CF-EFEA8131949E}"/>
    <cellStyle name="Comma 2 5 3 4 2 8" xfId="40789" xr:uid="{C27EC1CB-1139-4828-B6EC-9684BE8FF134}"/>
    <cellStyle name="Comma 2 5 3 4 2 9" xfId="42001" xr:uid="{8590E22A-F85B-40CB-A9C0-FC66C34C5FD6}"/>
    <cellStyle name="Comma 2 5 3 4 3" xfId="11503" xr:uid="{DEE63D9A-405E-4664-97B1-C07276B896A0}"/>
    <cellStyle name="Comma 2 5 3 4 3 2" xfId="39378" xr:uid="{451F9AE8-C94A-4654-A5E0-06093FE6EF02}"/>
    <cellStyle name="Comma 2 5 3 4 3 3" xfId="41236" xr:uid="{849E5976-6BA1-47DB-8C18-A4EE5CF13030}"/>
    <cellStyle name="Comma 2 5 3 4 3 4" xfId="43055" xr:uid="{4432304C-D596-4012-B41A-FE18E2FE2606}"/>
    <cellStyle name="Comma 2 5 3 4 3 5" xfId="45156" xr:uid="{9C6AC317-DE9A-486A-936F-B27B670C6DB2}"/>
    <cellStyle name="Comma 2 5 3 4 3 6" xfId="20752" xr:uid="{31121FAE-8A74-4C67-9A4B-2067780BB7F8}"/>
    <cellStyle name="Comma 2 5 3 4 4" xfId="20031" xr:uid="{DD5E1E5F-3EE5-4FEF-A37A-82A2F2192B57}"/>
    <cellStyle name="Comma 2 5 3 4 5" xfId="23826" xr:uid="{14D53A6C-5F47-4FC6-8969-99F0A9538675}"/>
    <cellStyle name="Comma 2 5 3 4 6" xfId="38323" xr:uid="{98CE5557-28DA-4D03-9987-57FA102C03CA}"/>
    <cellStyle name="Comma 2 5 3 4 7" xfId="38787" xr:uid="{8AE378E6-0BEE-440E-BD26-8A3DA96A9367}"/>
    <cellStyle name="Comma 2 5 3 4 8" xfId="40146" xr:uid="{DD866306-1066-4166-A406-38BAFFE93DD5}"/>
    <cellStyle name="Comma 2 5 3 4 9" xfId="40788" xr:uid="{DACD8B1A-526E-4A6E-B6DE-3618E3070120}"/>
    <cellStyle name="Comma 2 5 3 5" xfId="7484" xr:uid="{24D9FB55-D608-4D60-B128-C5D9991D8EE0}"/>
    <cellStyle name="Comma 2 5 3 5 10" xfId="42002" xr:uid="{B8935CBD-5720-4BD0-B303-634546A510BE}"/>
    <cellStyle name="Comma 2 5 3 5 11" xfId="42404" xr:uid="{6F9E6D0C-BD75-4D7B-B028-8432C40E27B6}"/>
    <cellStyle name="Comma 2 5 3 5 12" xfId="44630" xr:uid="{5AC7E650-9966-4ECF-A681-7B7F36E80E2B}"/>
    <cellStyle name="Comma 2 5 3 5 13" xfId="46826" xr:uid="{EC4F9C65-20A7-4A50-A9E0-46090143D0C1}"/>
    <cellStyle name="Comma 2 5 3 5 14" xfId="49850" xr:uid="{586AE9D2-7C1C-4C7E-9A2F-383483488E69}"/>
    <cellStyle name="Comma 2 5 3 5 15" xfId="52789" xr:uid="{08CE2AB7-F1B9-4772-B96B-F44C7BA3219D}"/>
    <cellStyle name="Comma 2 5 3 5 16" xfId="16379" xr:uid="{6A9253E2-A6E2-4539-BC8E-188E579E30BE}"/>
    <cellStyle name="Comma 2 5 3 5 17" xfId="14864" xr:uid="{11474CEE-1A41-45EF-9045-FB1FDCBFF912}"/>
    <cellStyle name="Comma 2 5 3 5 2" xfId="9976" xr:uid="{A4BF4F6E-4129-431D-AB2B-029FDADF7C92}"/>
    <cellStyle name="Comma 2 5 3 5 2 10" xfId="42697" xr:uid="{9008F90B-C4B8-4ADE-AA72-07216B7CE916}"/>
    <cellStyle name="Comma 2 5 3 5 2 11" xfId="44864" xr:uid="{76CE7AFD-2FFB-4A22-B66A-43B5B126EAB1}"/>
    <cellStyle name="Comma 2 5 3 5 2 12" xfId="48377" xr:uid="{E014CB64-F78E-4EDF-8442-18509A8A88A3}"/>
    <cellStyle name="Comma 2 5 3 5 2 13" xfId="51178" xr:uid="{F4A282A9-DE7C-4FEA-BF8D-05907B5CB062}"/>
    <cellStyle name="Comma 2 5 3 5 2 14" xfId="52790" xr:uid="{6FC0A40F-E822-47CE-B447-FAD6BE254CC9}"/>
    <cellStyle name="Comma 2 5 3 5 2 15" xfId="17050" xr:uid="{C465F9F7-16E5-4CC0-A046-E7506770C7C6}"/>
    <cellStyle name="Comma 2 5 3 5 2 2" xfId="13282" xr:uid="{388F465E-013D-460F-8319-2EBCF8717094}"/>
    <cellStyle name="Comma 2 5 3 5 2 2 2" xfId="39611" xr:uid="{92F6F52E-D35D-49BE-AA39-B4BDDAD010E7}"/>
    <cellStyle name="Comma 2 5 3 5 2 2 3" xfId="41464" xr:uid="{0A328718-9FEA-4E63-A3D7-8DB4FDC77368}"/>
    <cellStyle name="Comma 2 5 3 5 2 2 4" xfId="43288" xr:uid="{2C7BEB93-4733-417E-AD04-9EC0C0D2CAB5}"/>
    <cellStyle name="Comma 2 5 3 5 2 2 5" xfId="45385" xr:uid="{D15801D6-A00B-48F9-A73A-2F1CDF668313}"/>
    <cellStyle name="Comma 2 5 3 5 2 2 6" xfId="21045" xr:uid="{31BCF010-0B31-4AB0-B131-C944B7B89BD9}"/>
    <cellStyle name="Comma 2 5 3 5 2 3" xfId="20264" xr:uid="{A2D4B0B7-1FF8-4624-B5C7-DF3B2E68CAFC}"/>
    <cellStyle name="Comma 2 5 3 5 2 4" xfId="23829" xr:uid="{928532CE-0A84-4D64-A55E-A4145738700F}"/>
    <cellStyle name="Comma 2 5 3 5 2 5" xfId="38326" xr:uid="{D624D6EB-2C71-4EFB-A288-8B7233527FF7}"/>
    <cellStyle name="Comma 2 5 3 5 2 6" xfId="39020" xr:uid="{6F5495C2-6EB0-4FA8-9D4A-E4F0D51F48BA}"/>
    <cellStyle name="Comma 2 5 3 5 2 7" xfId="40149" xr:uid="{30B116E0-776B-4A07-B088-2F81B8F621F7}"/>
    <cellStyle name="Comma 2 5 3 5 2 8" xfId="40791" xr:uid="{67AA2880-4C5D-41D7-8F88-E1335FA00B46}"/>
    <cellStyle name="Comma 2 5 3 5 2 9" xfId="42003" xr:uid="{6D38FA83-9816-4636-89A7-81B35C35AA13}"/>
    <cellStyle name="Comma 2 5 3 5 3" xfId="11997" xr:uid="{E7AD9DDC-737B-4A08-98D1-ABE6418ED559}"/>
    <cellStyle name="Comma 2 5 3 5 3 2" xfId="39318" xr:uid="{2C5CFA25-255A-4E7F-BD14-7E1A5A3F2A80}"/>
    <cellStyle name="Comma 2 5 3 5 3 3" xfId="41180" xr:uid="{FD9B0167-E3D9-4F62-BA98-93B58D89F78D}"/>
    <cellStyle name="Comma 2 5 3 5 3 4" xfId="42995" xr:uid="{6F9AB894-FCC9-42DB-899D-7B1B5BA59B2A}"/>
    <cellStyle name="Comma 2 5 3 5 3 5" xfId="45100" xr:uid="{08F1338E-A5B7-4DD4-A734-16454DCCA3A4}"/>
    <cellStyle name="Comma 2 5 3 5 3 6" xfId="20624" xr:uid="{7294EAD2-BE28-46F4-A354-0311948D1002}"/>
    <cellStyle name="Comma 2 5 3 5 4" xfId="19971" xr:uid="{B550BE6B-B5BB-470A-B6FA-04A9F34C22AA}"/>
    <cellStyle name="Comma 2 5 3 5 5" xfId="23828" xr:uid="{2FB0D3DE-78FF-4ACA-8CFF-E97D31EAB537}"/>
    <cellStyle name="Comma 2 5 3 5 6" xfId="38325" xr:uid="{DF04DB8D-6849-4B9A-BA7B-A698C039AD12}"/>
    <cellStyle name="Comma 2 5 3 5 7" xfId="38727" xr:uid="{11466A8C-8D37-40C5-9F77-03A2A48CDEB6}"/>
    <cellStyle name="Comma 2 5 3 5 8" xfId="40148" xr:uid="{FE4FF1A5-27BE-45B6-9FA3-EF166B471386}"/>
    <cellStyle name="Comma 2 5 3 5 9" xfId="40790" xr:uid="{28E0F118-BBC0-4ED4-909A-DABC653D428B}"/>
    <cellStyle name="Comma 2 5 3 6" xfId="8150" xr:uid="{58E4B470-9C1A-4A96-957F-046A05CE0469}"/>
    <cellStyle name="Comma 2 5 3 6 10" xfId="42691" xr:uid="{0D10B16E-B744-470F-87E0-FD113C44EB9C}"/>
    <cellStyle name="Comma 2 5 3 6 11" xfId="44858" xr:uid="{A3CEC81F-BA17-44C8-8BAD-F5BC4658A97D}"/>
    <cellStyle name="Comma 2 5 3 6 12" xfId="47225" xr:uid="{77C28FB9-A92D-4AA6-9B57-04A985AA9234}"/>
    <cellStyle name="Comma 2 5 3 6 13" xfId="50203" xr:uid="{77180DB9-0B4B-41BA-BA5D-65A280F9332D}"/>
    <cellStyle name="Comma 2 5 3 6 14" xfId="52791" xr:uid="{DBC56D05-4661-4990-9AD7-210164B6A18E}"/>
    <cellStyle name="Comma 2 5 3 6 15" xfId="17044" xr:uid="{6BB7757C-DDA8-4C62-8AB5-6B74B04597C7}"/>
    <cellStyle name="Comma 2 5 3 6 2" xfId="12606" xr:uid="{A0F06996-97DA-4A33-9B91-7877101688BF}"/>
    <cellStyle name="Comma 2 5 3 6 2 2" xfId="39605" xr:uid="{418540D1-81F4-495E-B111-58EDB733C2D5}"/>
    <cellStyle name="Comma 2 5 3 6 2 3" xfId="41459" xr:uid="{426E247B-FC3A-4E6B-93F8-94D1EC4ABE33}"/>
    <cellStyle name="Comma 2 5 3 6 2 4" xfId="43282" xr:uid="{3DEEA9DB-C43A-4BD9-BAF5-93639C846D04}"/>
    <cellStyle name="Comma 2 5 3 6 2 5" xfId="45379" xr:uid="{BDC601D4-7A77-4510-9F22-157DD971B20B}"/>
    <cellStyle name="Comma 2 5 3 6 2 6" xfId="48796" xr:uid="{B8330A26-FFCE-4C56-87CA-AE821E537C1A}"/>
    <cellStyle name="Comma 2 5 3 6 2 7" xfId="51531" xr:uid="{15134E8E-158F-495C-8644-18F166BD6BEC}"/>
    <cellStyle name="Comma 2 5 3 6 2 8" xfId="52792" xr:uid="{D69C4839-1271-4040-837A-42E0BD07E378}"/>
    <cellStyle name="Comma 2 5 3 6 2 9" xfId="21039" xr:uid="{3787A154-B646-4FF9-8573-BB160376D8D0}"/>
    <cellStyle name="Comma 2 5 3 6 3" xfId="20258" xr:uid="{1D04F141-D72C-405D-BC03-1BBE8980385C}"/>
    <cellStyle name="Comma 2 5 3 6 4" xfId="23830" xr:uid="{6666F2A6-26B5-4BF4-A416-CC2884B68923}"/>
    <cellStyle name="Comma 2 5 3 6 5" xfId="38327" xr:uid="{34F7A69F-A790-4E11-A3EF-DA5F0D6840B6}"/>
    <cellStyle name="Comma 2 5 3 6 6" xfId="39014" xr:uid="{05DFD71A-33B5-4141-B4A2-83899DD31991}"/>
    <cellStyle name="Comma 2 5 3 6 7" xfId="40150" xr:uid="{49EC0D45-05E3-4ED9-9EE1-BB86CFAA43BD}"/>
    <cellStyle name="Comma 2 5 3 6 8" xfId="40792" xr:uid="{E3D37342-7E1B-4FCE-AFD8-D4C59148AC5C}"/>
    <cellStyle name="Comma 2 5 3 6 9" xfId="42004" xr:uid="{A952AD89-3FA2-49FB-90DA-CF6F5C86BCBF}"/>
    <cellStyle name="Comma 2 5 3 7" xfId="7937" xr:uid="{3C86208D-A6AD-4646-B602-BD8002D55693}"/>
    <cellStyle name="Comma 2 5 3 7 10" xfId="42832" xr:uid="{7C1E6984-D2EB-40E7-959B-5C09B045CE03}"/>
    <cellStyle name="Comma 2 5 3 7 11" xfId="44959" xr:uid="{D47705A0-5BC3-4D81-8FA7-163985F74D92}"/>
    <cellStyle name="Comma 2 5 3 7 12" xfId="47684" xr:uid="{937E0B58-1350-41CE-BECE-9FA3B1163E3D}"/>
    <cellStyle name="Comma 2 5 3 7 13" xfId="50592" xr:uid="{B6A5CADC-BEB6-48D4-AD9E-D5E89CBBF5AB}"/>
    <cellStyle name="Comma 2 5 3 7 14" xfId="52793" xr:uid="{3E8D0C80-DFA3-4473-9772-20FDDAD52542}"/>
    <cellStyle name="Comma 2 5 3 7 15" xfId="19738" xr:uid="{FA8C9671-E41F-4E3C-9EED-A40F38666A1D}"/>
    <cellStyle name="Comma 2 5 3 7 2" xfId="12450" xr:uid="{08762F51-C04D-49A7-8FF8-EF240378E7BA}"/>
    <cellStyle name="Comma 2 5 3 7 2 2" xfId="39746" xr:uid="{CD23923C-CDCC-4918-9218-9A71A5030543}"/>
    <cellStyle name="Comma 2 5 3 7 2 3" xfId="41599" xr:uid="{FA0F96FD-D0BA-45A3-9F92-F73377426C33}"/>
    <cellStyle name="Comma 2 5 3 7 2 4" xfId="43423" xr:uid="{D2169AB6-E867-409C-BA80-80BDF287A8BE}"/>
    <cellStyle name="Comma 2 5 3 7 2 5" xfId="45502" xr:uid="{20DB3534-AADC-4623-8067-EFB8162BC5D0}"/>
    <cellStyle name="Comma 2 5 3 7 2 6" xfId="23355" xr:uid="{3CB319B7-9827-4ADC-AEE5-7E009BB711CB}"/>
    <cellStyle name="Comma 2 5 3 7 3" xfId="20399" xr:uid="{BA552EB8-1DBC-4DF9-A79D-854BB5FF8F30}"/>
    <cellStyle name="Comma 2 5 3 7 4" xfId="23831" xr:uid="{FF1D02A4-EA2D-4AA6-AE60-3F3132AB36AC}"/>
    <cellStyle name="Comma 2 5 3 7 5" xfId="38328" xr:uid="{BE1DE026-58DD-48F0-A9DD-C72F8AB6B0DE}"/>
    <cellStyle name="Comma 2 5 3 7 6" xfId="39155" xr:uid="{6ECF2DED-085B-42BC-B47A-29098D90284F}"/>
    <cellStyle name="Comma 2 5 3 7 7" xfId="40151" xr:uid="{D9DE4B58-E6A3-439C-A726-239C634F33AF}"/>
    <cellStyle name="Comma 2 5 3 7 8" xfId="40793" xr:uid="{960C5398-D9F1-41BB-A428-DD980A28FB4C}"/>
    <cellStyle name="Comma 2 5 3 7 9" xfId="42005" xr:uid="{3F5147FA-A0CC-4192-B2A1-FC10ACE7A58E}"/>
    <cellStyle name="Comma 2 5 3 8" xfId="5834" xr:uid="{405DF382-91D0-4B47-9CF6-3285C8774FC7}"/>
    <cellStyle name="Comma 2 5 3 8 2" xfId="39227" xr:uid="{3AA93474-6D03-43CB-AB5C-FC0A7EA6172D}"/>
    <cellStyle name="Comma 2 5 3 8 3" xfId="41097" xr:uid="{CD258D1A-10CD-40F2-BD35-008434656D14}"/>
    <cellStyle name="Comma 2 5 3 8 4" xfId="42904" xr:uid="{FD22517F-7677-4EC6-84B0-28EB55B802D4}"/>
    <cellStyle name="Comma 2 5 3 8 5" xfId="45011" xr:uid="{42D71347-740E-4895-9AD2-BF02B90C4831}"/>
    <cellStyle name="Comma 2 5 3 8 6" xfId="20472" xr:uid="{0E6DF658-D391-4A57-9885-5E85B09E1821}"/>
    <cellStyle name="Comma 2 5 3 9" xfId="11322" xr:uid="{CE0B1436-40A1-401D-9C67-A51CCD290BD8}"/>
    <cellStyle name="Comma 2 5 3 9 2" xfId="19878" xr:uid="{F46DB969-21EE-4394-A1AF-FD2072FA4259}"/>
    <cellStyle name="Comma 2 5 4" xfId="1764" xr:uid="{1CEF88A8-D3D6-4950-9703-80B37782361B}"/>
    <cellStyle name="Comma 2 5 4 10" xfId="38329" xr:uid="{E8C4CA7A-65A4-40B9-98E9-2BFD9B2A38D8}"/>
    <cellStyle name="Comma 2 5 4 11" xfId="38672" xr:uid="{2783F9F9-72DD-49E0-A326-3437D9F968D3}"/>
    <cellStyle name="Comma 2 5 4 12" xfId="40152" xr:uid="{C60B1486-EF99-490B-ACB4-863E68A9D879}"/>
    <cellStyle name="Comma 2 5 4 13" xfId="40794" xr:uid="{99EAF5D1-7F23-4A87-A724-B5417DA17A54}"/>
    <cellStyle name="Comma 2 5 4 14" xfId="42006" xr:uid="{E2FE9DBB-75DD-478C-85E1-1E599E428E55}"/>
    <cellStyle name="Comma 2 5 4 15" xfId="42349" xr:uid="{E43AA3EF-47EF-4745-91A1-B8B252DBC128}"/>
    <cellStyle name="Comma 2 5 4 16" xfId="43537" xr:uid="{B6A83DBB-DDA8-4BC5-B575-0125CF0E8218}"/>
    <cellStyle name="Comma 2 5 4 17" xfId="44400" xr:uid="{7B32D1D5-778C-4D4D-85EB-6C9965AE704E}"/>
    <cellStyle name="Comma 2 5 4 18" xfId="45636" xr:uid="{82D58642-C12F-48A1-8E6D-531D6B9567DD}"/>
    <cellStyle name="Comma 2 5 4 19" xfId="49265" xr:uid="{D90049D7-48BC-4546-9145-306F45F2A44D}"/>
    <cellStyle name="Comma 2 5 4 2" xfId="4440" xr:uid="{1CEF76E2-62D0-4266-801E-BB7CD4A3E51F}"/>
    <cellStyle name="Comma 2 5 4 2 10" xfId="40795" xr:uid="{4EF74934-C0D0-4423-AD39-48B9DE71C811}"/>
    <cellStyle name="Comma 2 5 4 2 11" xfId="42007" xr:uid="{E5595F41-368E-4A6D-9C46-1ED9BCAC64B1}"/>
    <cellStyle name="Comma 2 5 4 2 12" xfId="42376" xr:uid="{EF9BDDE5-D0FB-4B62-BF6B-AA837F4306AA}"/>
    <cellStyle name="Comma 2 5 4 2 13" xfId="44241" xr:uid="{3FCEE0AD-A8B4-4B63-AECC-0FBA2E0B1DA1}"/>
    <cellStyle name="Comma 2 5 4 2 14" xfId="44541" xr:uid="{20A37BB3-013F-43C9-9492-6191ABABD344}"/>
    <cellStyle name="Comma 2 5 4 2 15" xfId="45710" xr:uid="{A4D643B0-72ED-47F3-ABC8-55878DAF57EF}"/>
    <cellStyle name="Comma 2 5 4 2 16" xfId="49338" xr:uid="{1196C3C6-E424-4300-870A-1DA37149AD1C}"/>
    <cellStyle name="Comma 2 5 4 2 17" xfId="52794" xr:uid="{2D1E5B2D-C7A1-44F3-97D9-9FF88F1F2C63}"/>
    <cellStyle name="Comma 2 5 4 2 18" xfId="15800" xr:uid="{39DB7619-B5F0-40B1-8688-159AD88F7681}"/>
    <cellStyle name="Comma 2 5 4 2 19" xfId="14234" xr:uid="{E321ED63-0ADB-47BB-8F50-918CD0848F4B}"/>
    <cellStyle name="Comma 2 5 4 2 2" xfId="5697" xr:uid="{C51C83A3-32F6-42FB-BBE3-7C12F2E4ACF8}"/>
    <cellStyle name="Comma 2 5 4 2 2 10" xfId="42008" xr:uid="{B7ED530F-4D5F-4383-AC1C-CA215744DC5D}"/>
    <cellStyle name="Comma 2 5 4 2 2 11" xfId="42528" xr:uid="{8A2A5B08-8C50-46A4-9828-BD61E55640DB}"/>
    <cellStyle name="Comma 2 5 4 2 2 12" xfId="44696" xr:uid="{418FFAE8-3F7D-4291-9C0A-C5D4653C6674}"/>
    <cellStyle name="Comma 2 5 4 2 2 13" xfId="46709" xr:uid="{51373AF1-D1FB-447F-B675-54911E60F42F}"/>
    <cellStyle name="Comma 2 5 4 2 2 14" xfId="49741" xr:uid="{856AAA9A-D95A-4EF5-8679-4C156E54299F}"/>
    <cellStyle name="Comma 2 5 4 2 2 15" xfId="52795" xr:uid="{13F1C2A3-044D-47A5-B20E-DA17808A55BE}"/>
    <cellStyle name="Comma 2 5 4 2 2 16" xfId="16818" xr:uid="{717AF108-9531-4013-9E0D-99BCC76FF2CE}"/>
    <cellStyle name="Comma 2 5 4 2 2 17" xfId="14726" xr:uid="{AB90FF87-2752-4C25-8D28-DB977BA5A81E}"/>
    <cellStyle name="Comma 2 5 4 2 2 2" xfId="10291" xr:uid="{2854FD68-1A74-4181-9E8A-806820483AF1}"/>
    <cellStyle name="Comma 2 5 4 2 2 2 10" xfId="42700" xr:uid="{F20EA8A4-BDA5-4358-8626-39B9231E89DC}"/>
    <cellStyle name="Comma 2 5 4 2 2 2 11" xfId="44867" xr:uid="{C81ADFFE-E935-4856-B636-92D304F169F5}"/>
    <cellStyle name="Comma 2 5 4 2 2 2 12" xfId="48251" xr:uid="{C867C7EE-5770-4261-8A4B-E91D9B649BD4}"/>
    <cellStyle name="Comma 2 5 4 2 2 2 13" xfId="51069" xr:uid="{77DCC146-29BA-4CD7-9E6C-BF8ACD889D7D}"/>
    <cellStyle name="Comma 2 5 4 2 2 2 14" xfId="52796" xr:uid="{BF8A2CF2-3F9F-489A-9204-D272FCE9C39B}"/>
    <cellStyle name="Comma 2 5 4 2 2 2 15" xfId="17053" xr:uid="{93C92A1D-C10B-477F-9A93-E0674DD03B0C}"/>
    <cellStyle name="Comma 2 5 4 2 2 2 2" xfId="13597" xr:uid="{E4DAFAA8-136B-49B5-886D-ADE740145E24}"/>
    <cellStyle name="Comma 2 5 4 2 2 2 2 2" xfId="39614" xr:uid="{50BA0208-7C62-4161-9C2E-0F1B9E9DFA94}"/>
    <cellStyle name="Comma 2 5 4 2 2 2 2 3" xfId="41467" xr:uid="{4BC69FED-B7BF-4333-8BAD-7D1445AFEBB0}"/>
    <cellStyle name="Comma 2 5 4 2 2 2 2 4" xfId="43291" xr:uid="{CE8A9D06-3DF2-42C4-8FB4-99AF4A566097}"/>
    <cellStyle name="Comma 2 5 4 2 2 2 2 5" xfId="45388" xr:uid="{120C7D24-CB52-43ED-9768-286C56DE62EF}"/>
    <cellStyle name="Comma 2 5 4 2 2 2 2 6" xfId="21048" xr:uid="{F2588C7D-BE27-41BC-A982-BD9BBEEFF70A}"/>
    <cellStyle name="Comma 2 5 4 2 2 2 3" xfId="20267" xr:uid="{F5991FF8-C350-458D-B1E0-999CCD7A835C}"/>
    <cellStyle name="Comma 2 5 4 2 2 2 4" xfId="23835" xr:uid="{D4B35332-C674-425C-8F4B-19100A998CCD}"/>
    <cellStyle name="Comma 2 5 4 2 2 2 5" xfId="38332" xr:uid="{C0CCB226-C035-42B6-9AFA-0B75CCCA57ED}"/>
    <cellStyle name="Comma 2 5 4 2 2 2 6" xfId="39023" xr:uid="{26365E7B-B0A4-4BAA-9F6E-A56939CE7883}"/>
    <cellStyle name="Comma 2 5 4 2 2 2 7" xfId="40155" xr:uid="{CD1B5AAD-0389-4D56-84D4-DF6CA4515259}"/>
    <cellStyle name="Comma 2 5 4 2 2 2 8" xfId="40797" xr:uid="{74BE63D9-8F50-45A2-AC57-9852A1A29822}"/>
    <cellStyle name="Comma 2 5 4 2 2 2 9" xfId="42009" xr:uid="{CFF386B4-BF94-4B7B-879B-7FBE928C727E}"/>
    <cellStyle name="Comma 2 5 4 2 2 3" xfId="7799" xr:uid="{B47B50CE-20B8-48C3-B603-DF3FBB06B3D3}"/>
    <cellStyle name="Comma 2 5 4 2 2 3 2" xfId="39442" xr:uid="{392D91AB-A9AE-4EA9-B30C-DF39487123E6}"/>
    <cellStyle name="Comma 2 5 4 2 2 3 3" xfId="41296" xr:uid="{2BC0C6C3-5240-45F1-B727-AA251D647C77}"/>
    <cellStyle name="Comma 2 5 4 2 2 3 4" xfId="43119" xr:uid="{89211185-912A-498C-9201-7F3A33DC7127}"/>
    <cellStyle name="Comma 2 5 4 2 2 3 5" xfId="45216" xr:uid="{76F73481-6AA1-4EE3-929E-3EB571EEA603}"/>
    <cellStyle name="Comma 2 5 4 2 2 3 6" xfId="20820" xr:uid="{40233166-BE73-4E05-95C9-EDBDB8322812}"/>
    <cellStyle name="Comma 2 5 4 2 2 4" xfId="12312" xr:uid="{25F3E87F-7C74-4BEA-8048-9A88F5B4C5E6}"/>
    <cellStyle name="Comma 2 5 4 2 2 4 2" xfId="20095" xr:uid="{7C56E049-F338-4829-893C-79CECF3EA1E7}"/>
    <cellStyle name="Comma 2 5 4 2 2 5" xfId="23834" xr:uid="{31A51D8B-C505-45C8-8FBD-11F93F26B61B}"/>
    <cellStyle name="Comma 2 5 4 2 2 6" xfId="38331" xr:uid="{BFEFCE06-8CA4-48E7-96D1-B1802B4124B9}"/>
    <cellStyle name="Comma 2 5 4 2 2 7" xfId="38851" xr:uid="{2D7F0BE3-A180-4E55-9271-3591332FE32A}"/>
    <cellStyle name="Comma 2 5 4 2 2 8" xfId="40154" xr:uid="{7C013773-D7AC-43BF-8621-C261317D61A1}"/>
    <cellStyle name="Comma 2 5 4 2 2 9" xfId="40796" xr:uid="{B3DD48E7-F79A-4DD0-BC60-3F70A1A347DA}"/>
    <cellStyle name="Comma 2 5 4 2 3" xfId="11141" xr:uid="{A7680F83-4C8A-457F-997E-88F7E9C187D7}"/>
    <cellStyle name="Comma 2 5 4 2 3 10" xfId="42699" xr:uid="{B79EC053-1A9F-4D67-A402-877BA49B0C85}"/>
    <cellStyle name="Comma 2 5 4 2 3 11" xfId="44866" xr:uid="{FCB649B3-25CA-4CE4-90C7-73A6FE8EEECB}"/>
    <cellStyle name="Comma 2 5 4 2 3 12" xfId="46929" xr:uid="{71312FAC-A968-47CC-8DD1-676B3D62E517}"/>
    <cellStyle name="Comma 2 5 4 2 3 13" xfId="49948" xr:uid="{D0A3E237-4A06-4A2A-A56F-678834DCC391}"/>
    <cellStyle name="Comma 2 5 4 2 3 14" xfId="52797" xr:uid="{867D87FD-73A4-4028-8EEB-E9BE97BFC605}"/>
    <cellStyle name="Comma 2 5 4 2 3 15" xfId="17052" xr:uid="{A582EBCB-F40D-4467-BD55-549AC6283B0A}"/>
    <cellStyle name="Comma 2 5 4 2 3 16" xfId="15041" xr:uid="{129DDB4C-77D3-4F64-8C56-A635E5B5E9A1}"/>
    <cellStyle name="Comma 2 5 4 2 3 2" xfId="13737" xr:uid="{0F21F5DD-B553-4BFA-8158-8C99B51B407B}"/>
    <cellStyle name="Comma 2 5 4 2 3 2 2" xfId="39613" xr:uid="{91EA9C15-B0E8-4C22-A4CA-10842507FA72}"/>
    <cellStyle name="Comma 2 5 4 2 3 2 3" xfId="41466" xr:uid="{3583C9D2-29CC-44D1-810F-6418145A6790}"/>
    <cellStyle name="Comma 2 5 4 2 3 2 4" xfId="43290" xr:uid="{8A574486-16D4-4946-8AF9-AFA11FB7BA57}"/>
    <cellStyle name="Comma 2 5 4 2 3 2 5" xfId="45387" xr:uid="{C811ADDE-82D1-4E8C-B7D8-86DE1F5E4F67}"/>
    <cellStyle name="Comma 2 5 4 2 3 2 6" xfId="48490" xr:uid="{6A59F0A0-C377-493E-8910-200EF3698CEE}"/>
    <cellStyle name="Comma 2 5 4 2 3 2 7" xfId="51276" xr:uid="{F56EAF40-3E52-4FF2-86DA-C7B35726E4D4}"/>
    <cellStyle name="Comma 2 5 4 2 3 2 8" xfId="52798" xr:uid="{4EF6E042-6AFC-47FE-8694-CA308F1196F8}"/>
    <cellStyle name="Comma 2 5 4 2 3 2 9" xfId="21047" xr:uid="{45BC38A7-FA32-4F54-BD96-63FF94F97B47}"/>
    <cellStyle name="Comma 2 5 4 2 3 3" xfId="20266" xr:uid="{D1B50890-8C1D-45F4-83A5-1FF220A2924F}"/>
    <cellStyle name="Comma 2 5 4 2 3 4" xfId="23836" xr:uid="{F29F006C-1967-4E50-9333-46094F83A3A9}"/>
    <cellStyle name="Comma 2 5 4 2 3 5" xfId="38333" xr:uid="{AFFC0D28-A6C6-4B67-8FEF-9B7D36E1FC4A}"/>
    <cellStyle name="Comma 2 5 4 2 3 6" xfId="39022" xr:uid="{6A78398D-4141-4670-A155-99925EFF34AC}"/>
    <cellStyle name="Comma 2 5 4 2 3 7" xfId="40156" xr:uid="{0C6F41FB-0A0E-4E29-A1DE-EC37852834CD}"/>
    <cellStyle name="Comma 2 5 4 2 3 8" xfId="40798" xr:uid="{122DEB36-D1C1-4323-93FA-EBBE5CA9D27F}"/>
    <cellStyle name="Comma 2 5 4 2 3 9" xfId="42010" xr:uid="{9EA8CD2A-A4CE-419C-BDD2-77ECD8D297D6}"/>
    <cellStyle name="Comma 2 5 4 2 4" xfId="9797" xr:uid="{F9C5A31C-EBCF-4643-9FD6-A2741B823A85}"/>
    <cellStyle name="Comma 2 5 4 2 4 2" xfId="13103" xr:uid="{5512343E-06EF-416E-BDBB-7ECD3ADE7F57}"/>
    <cellStyle name="Comma 2 5 4 2 4 2 2" xfId="49107" xr:uid="{C088EF85-4CF3-4B39-B796-0C3D6C9B25F1}"/>
    <cellStyle name="Comma 2 5 4 2 4 2 3" xfId="51787" xr:uid="{EA04C0D3-C9F8-4721-BAAB-D8F1FA014D0F}"/>
    <cellStyle name="Comma 2 5 4 2 4 2 4" xfId="52799" xr:uid="{88CA376B-766A-4A71-A579-3BE5EB230160}"/>
    <cellStyle name="Comma 2 5 4 2 4 2 5" xfId="39290" xr:uid="{2848E7E3-6DC0-4F42-9E7D-C873350DFFFA}"/>
    <cellStyle name="Comma 2 5 4 2 4 3" xfId="41152" xr:uid="{C1968F42-CDCF-494C-AFA4-9D8359330EC1}"/>
    <cellStyle name="Comma 2 5 4 2 4 4" xfId="42967" xr:uid="{E171C807-204F-4D32-88B3-BBF6DF9D9308}"/>
    <cellStyle name="Comma 2 5 4 2 4 5" xfId="45072" xr:uid="{D900ACCC-F909-486C-8B5F-EFB494F71D37}"/>
    <cellStyle name="Comma 2 5 4 2 4 6" xfId="47524" xr:uid="{4D1EB9B8-C9C1-4DC7-881F-34000D58EA74}"/>
    <cellStyle name="Comma 2 5 4 2 4 7" xfId="50459" xr:uid="{606C21D1-AB05-4D35-BC92-50849A3B2C6B}"/>
    <cellStyle name="Comma 2 5 4 2 4 8" xfId="52800" xr:uid="{F36594DA-D0C5-496E-A11D-7903420D6903}"/>
    <cellStyle name="Comma 2 5 4 2 4 9" xfId="20536" xr:uid="{DC9757B2-159E-42D3-AAB2-659C5D7D68EC}"/>
    <cellStyle name="Comma 2 5 4 2 5" xfId="7295" xr:uid="{F38EA0DC-5C3C-4329-A868-CDAF3A3875F6}"/>
    <cellStyle name="Comma 2 5 4 2 5 2" xfId="47767" xr:uid="{5CDDEF65-422A-4EB6-8739-1F9E6518A3B3}"/>
    <cellStyle name="Comma 2 5 4 2 5 3" xfId="50666" xr:uid="{79E89DE6-C85C-420D-8646-3482D54EF8B2}"/>
    <cellStyle name="Comma 2 5 4 2 5 4" xfId="52801" xr:uid="{2999F5F9-8CB4-4AD6-B2A9-37AC4E7D01BA}"/>
    <cellStyle name="Comma 2 5 4 2 5 5" xfId="19943" xr:uid="{4F828ABE-D530-433C-8970-FD3AD5A57F48}"/>
    <cellStyle name="Comma 2 5 4 2 6" xfId="11818" xr:uid="{59F44298-7544-40B0-A7EA-BFB8BB4599D7}"/>
    <cellStyle name="Comma 2 5 4 2 6 2" xfId="23833" xr:uid="{057D831E-C1B6-4379-8EBA-CB76CB5C4474}"/>
    <cellStyle name="Comma 2 5 4 2 7" xfId="38330" xr:uid="{9044D91A-365F-4928-9EE3-B5238D6DA1AA}"/>
    <cellStyle name="Comma 2 5 4 2 8" xfId="38699" xr:uid="{BBC487F2-0DD3-4DB1-8C18-EF611D23C6F4}"/>
    <cellStyle name="Comma 2 5 4 2 9" xfId="40153" xr:uid="{0B7F96EF-F43B-4A43-830C-8E30EC2CC8F5}"/>
    <cellStyle name="Comma 2 5 4 20" xfId="52802" xr:uid="{3E0C3EC3-A91E-4E4B-863B-3F7681BF2BBE}"/>
    <cellStyle name="Comma 2 5 4 21" xfId="15315" xr:uid="{7F4AD0BC-0F24-477A-8A79-9EBDC4D627E1}"/>
    <cellStyle name="Comma 2 5 4 22" xfId="13920" xr:uid="{C5DB393B-2932-4A6A-8E91-9CE3B906C471}"/>
    <cellStyle name="Comma 2 5 4 3" xfId="5521" xr:uid="{6616E69B-2D7F-4A34-BD5C-06F68E6F6AC4}"/>
    <cellStyle name="Comma 2 5 4 3 10" xfId="42011" xr:uid="{E5A52B29-D024-420E-A601-5E2EF5894EEB}"/>
    <cellStyle name="Comma 2 5 4 3 11" xfId="42501" xr:uid="{3A94BB79-7D91-4893-8669-3D9BD6599633}"/>
    <cellStyle name="Comma 2 5 4 3 12" xfId="43810" xr:uid="{FF70D162-A4D6-42B8-AA5A-EAB0555317DF}"/>
    <cellStyle name="Comma 2 5 4 3 13" xfId="44683" xr:uid="{3019D887-AAD0-438C-B534-E10E285BF643}"/>
    <cellStyle name="Comma 2 5 4 3 14" xfId="46568" xr:uid="{CB373E5C-E61E-4138-A738-01E8E4DD7D21}"/>
    <cellStyle name="Comma 2 5 4 3 15" xfId="49601" xr:uid="{41776769-DD5A-45BE-A155-241A2696ECCA}"/>
    <cellStyle name="Comma 2 5 4 3 16" xfId="52803" xr:uid="{D217C319-5BF9-480B-8090-702F9A0C4BA4}"/>
    <cellStyle name="Comma 2 5 4 3 17" xfId="16764" xr:uid="{A378EF9E-FBC3-4BBF-8923-8A20521340B1}"/>
    <cellStyle name="Comma 2 5 4 3 18" xfId="14058" xr:uid="{DB28CBB8-1C43-4067-8D0A-E0048DF43605}"/>
    <cellStyle name="Comma 2 5 4 3 2" xfId="7623" xr:uid="{61EECA9A-6D14-4FFD-8AAF-659D6C1A6B14}"/>
    <cellStyle name="Comma 2 5 4 3 2 10" xfId="42701" xr:uid="{86D5D0AB-9219-46CB-8F81-1C9918D06A71}"/>
    <cellStyle name="Comma 2 5 4 3 2 11" xfId="44868" xr:uid="{E8B7D823-D30E-45F0-A347-45C231757FAF}"/>
    <cellStyle name="Comma 2 5 4 3 2 12" xfId="47056" xr:uid="{3AFD22AE-97A0-4DE5-80EE-C28896749EF5}"/>
    <cellStyle name="Comma 2 5 4 3 2 13" xfId="50057" xr:uid="{4FF32EF4-25FE-42D5-AA4F-309D13478EE4}"/>
    <cellStyle name="Comma 2 5 4 3 2 14" xfId="52804" xr:uid="{B1E8BEDB-A660-4DE8-BADB-D39B146C0378}"/>
    <cellStyle name="Comma 2 5 4 3 2 15" xfId="17054" xr:uid="{0FF58D8A-D87F-4666-9565-4C58B5569E3E}"/>
    <cellStyle name="Comma 2 5 4 3 2 16" xfId="14550" xr:uid="{1064BC31-9B7F-4DE4-A1AF-D255D38A41B7}"/>
    <cellStyle name="Comma 2 5 4 3 2 2" xfId="10115" xr:uid="{B5A2F89C-EA2A-4994-AA9F-97357605B93A}"/>
    <cellStyle name="Comma 2 5 4 3 2 2 2" xfId="13421" xr:uid="{31EC786A-0BF4-41A1-B03F-CD075338A225}"/>
    <cellStyle name="Comma 2 5 4 3 2 2 2 2" xfId="39615" xr:uid="{E099ED69-6BBF-40A0-A87D-96FB3E4D2213}"/>
    <cellStyle name="Comma 2 5 4 3 2 2 3" xfId="41468" xr:uid="{A9D3C766-B106-4633-B2AE-5CAD750BDC4D}"/>
    <cellStyle name="Comma 2 5 4 3 2 2 4" xfId="43292" xr:uid="{2A578594-7E23-42BF-9C88-E9946089E793}"/>
    <cellStyle name="Comma 2 5 4 3 2 2 5" xfId="45389" xr:uid="{EE910A23-DEBB-4BA0-8B22-2F07079EB9C3}"/>
    <cellStyle name="Comma 2 5 4 3 2 2 6" xfId="48622" xr:uid="{67430707-4A5E-4184-B4F5-4B35654EBEDE}"/>
    <cellStyle name="Comma 2 5 4 3 2 2 7" xfId="51385" xr:uid="{27E153F0-0143-4659-94BA-2F0F4F33DF2F}"/>
    <cellStyle name="Comma 2 5 4 3 2 2 8" xfId="52805" xr:uid="{76B94EAB-124E-4D50-8420-75A427E01221}"/>
    <cellStyle name="Comma 2 5 4 3 2 2 9" xfId="21049" xr:uid="{140491CB-548C-4D2E-A2DA-C52109150966}"/>
    <cellStyle name="Comma 2 5 4 3 2 3" xfId="12136" xr:uid="{3144E5BF-C5DA-46F0-8567-5F3323EFBFAD}"/>
    <cellStyle name="Comma 2 5 4 3 2 3 2" xfId="20268" xr:uid="{DEF424A2-76C6-47AF-A287-6B2F20D977E0}"/>
    <cellStyle name="Comma 2 5 4 3 2 4" xfId="23838" xr:uid="{CE12040A-EF21-4581-A5CF-4F3E03039076}"/>
    <cellStyle name="Comma 2 5 4 3 2 5" xfId="38335" xr:uid="{1788EB7F-1A77-4318-80AB-C52A2D3972BE}"/>
    <cellStyle name="Comma 2 5 4 3 2 6" xfId="39024" xr:uid="{AA5ECF3B-A2C2-4972-8FF3-377014D2824B}"/>
    <cellStyle name="Comma 2 5 4 3 2 7" xfId="40158" xr:uid="{7A446A21-49B9-4CB4-9476-60DE8FDAA5FB}"/>
    <cellStyle name="Comma 2 5 4 3 2 8" xfId="40800" xr:uid="{CE3B8689-705A-4A8F-80BE-7FD4953DCA1E}"/>
    <cellStyle name="Comma 2 5 4 3 2 9" xfId="42012" xr:uid="{55749EC0-9BA0-4786-A06E-1D0B4F8B63A1}"/>
    <cellStyle name="Comma 2 5 4 3 3" xfId="9621" xr:uid="{AFB38CBD-781A-457C-84B4-FA4BC35F1184}"/>
    <cellStyle name="Comma 2 5 4 3 3 2" xfId="12927" xr:uid="{3B735181-576C-4905-8DEF-A1BB0DA162E0}"/>
    <cellStyle name="Comma 2 5 4 3 3 2 2" xfId="48935" xr:uid="{DA363B91-6287-4347-9E19-61BD71B57763}"/>
    <cellStyle name="Comma 2 5 4 3 3 2 3" xfId="51647" xr:uid="{B307A191-00F3-44C2-9E28-23A1B8159853}"/>
    <cellStyle name="Comma 2 5 4 3 3 2 4" xfId="52806" xr:uid="{C0F5393E-B6BD-426F-A8E1-A9129E569648}"/>
    <cellStyle name="Comma 2 5 4 3 3 2 5" xfId="39415" xr:uid="{2D03E98A-C9B4-4ECE-9443-3A42B81CDF92}"/>
    <cellStyle name="Comma 2 5 4 3 3 3" xfId="41271" xr:uid="{0850E571-0B70-447B-905D-30B3B02F41D6}"/>
    <cellStyle name="Comma 2 5 4 3 3 4" xfId="43092" xr:uid="{13BD71E9-9AFC-4AE6-90A7-43D37BBD810E}"/>
    <cellStyle name="Comma 2 5 4 3 3 5" xfId="45191" xr:uid="{D680BBDB-A5AA-42E3-B233-C307184F71E9}"/>
    <cellStyle name="Comma 2 5 4 3 3 6" xfId="47359" xr:uid="{A9ABB2D4-F43B-4EB6-8674-27089AC6D582}"/>
    <cellStyle name="Comma 2 5 4 3 3 7" xfId="50319" xr:uid="{3F4F1B07-1276-4E6E-8E6F-35A4878A96C8}"/>
    <cellStyle name="Comma 2 5 4 3 3 8" xfId="52807" xr:uid="{C7CD7409-DDD2-4CD6-BA33-E26EAE0B5EB4}"/>
    <cellStyle name="Comma 2 5 4 3 3 9" xfId="20790" xr:uid="{9C02A22F-C7AB-4189-853C-BA884C317A34}"/>
    <cellStyle name="Comma 2 5 4 3 4" xfId="7117" xr:uid="{A837695D-2DBE-4BE3-A05A-68B3F5368842}"/>
    <cellStyle name="Comma 2 5 4 3 4 2" xfId="48080" xr:uid="{ECBC58D0-BCC2-4B5D-B341-CB098DE51472}"/>
    <cellStyle name="Comma 2 5 4 3 4 3" xfId="50929" xr:uid="{FDC75E1B-DBC7-4602-9AA3-5F4546CC154B}"/>
    <cellStyle name="Comma 2 5 4 3 4 4" xfId="52808" xr:uid="{F13519D5-A4FF-407E-B9B2-7713223DCCE3}"/>
    <cellStyle name="Comma 2 5 4 3 4 5" xfId="20068" xr:uid="{A0E6E83D-6B64-4823-B5EF-F7F3D8983044}"/>
    <cellStyle name="Comma 2 5 4 3 5" xfId="11642" xr:uid="{AAFAF9AB-D114-4481-8C51-B317C3986F30}"/>
    <cellStyle name="Comma 2 5 4 3 5 2" xfId="23837" xr:uid="{FED0715A-342C-450E-BB06-0CB52DEA1852}"/>
    <cellStyle name="Comma 2 5 4 3 6" xfId="38334" xr:uid="{3B95D3E7-85F4-484F-AB1E-3226EC8114D1}"/>
    <cellStyle name="Comma 2 5 4 3 7" xfId="38824" xr:uid="{092E3F9A-0F19-4540-B220-8AFA7F81DD88}"/>
    <cellStyle name="Comma 2 5 4 3 8" xfId="40157" xr:uid="{27046815-E8F7-44FD-807C-6A84785F4A92}"/>
    <cellStyle name="Comma 2 5 4 3 9" xfId="40799" xr:uid="{4FD2798A-B759-4195-AA10-61A8144A07E3}"/>
    <cellStyle name="Comma 2 5 4 4" xfId="6511" xr:uid="{79628C69-313C-42CF-A60E-1B8B7317C3A9}"/>
    <cellStyle name="Comma 2 5 4 4 10" xfId="42013" xr:uid="{C6B68D05-214B-4E62-8BCD-ED2EBA56CB30}"/>
    <cellStyle name="Comma 2 5 4 4 11" xfId="42436" xr:uid="{902FE01C-3733-4962-A91D-568C3B5A5332}"/>
    <cellStyle name="Comma 2 5 4 4 12" xfId="44641" xr:uid="{D41E8E6C-7C66-4CA3-98FA-33D4BE9C3410}"/>
    <cellStyle name="Comma 2 5 4 4 13" xfId="46150" xr:uid="{180C32EE-44C5-4B6D-80CA-A584CD77488C}"/>
    <cellStyle name="Comma 2 5 4 4 14" xfId="49486" xr:uid="{09F8C78B-5C4E-4AB2-AC6A-E55F9EBD9FA8}"/>
    <cellStyle name="Comma 2 5 4 4 15" xfId="52809" xr:uid="{2C294B16-915A-4FD4-BAAC-70ECCE60E32D}"/>
    <cellStyle name="Comma 2 5 4 4 16" xfId="16603" xr:uid="{17F6F1DD-91BD-446F-B80D-BB25754163B2}"/>
    <cellStyle name="Comma 2 5 4 4 17" xfId="14412" xr:uid="{A476C88B-DF94-4D86-AEB3-AC93F0774A50}"/>
    <cellStyle name="Comma 2 5 4 4 2" xfId="9483" xr:uid="{98C36B72-0A8A-4E57-A2A9-C7AD7C6B9BE0}"/>
    <cellStyle name="Comma 2 5 4 4 2 10" xfId="42702" xr:uid="{493C7D8D-CDDD-40F3-BD95-0FEA6B8A955A}"/>
    <cellStyle name="Comma 2 5 4 4 2 11" xfId="44869" xr:uid="{38D7AD31-01B7-4907-8332-DCAC34C577CC}"/>
    <cellStyle name="Comma 2 5 4 4 2 12" xfId="47945" xr:uid="{2BD1B199-5007-4F53-B883-7DFD1CCEC308}"/>
    <cellStyle name="Comma 2 5 4 4 2 13" xfId="50814" xr:uid="{16EEAB9C-F4DF-4BD0-BC8A-77BAE60B6D92}"/>
    <cellStyle name="Comma 2 5 4 4 2 14" xfId="52810" xr:uid="{B2D52178-AACA-41C6-9F0E-B71F0312C187}"/>
    <cellStyle name="Comma 2 5 4 4 2 15" xfId="17055" xr:uid="{B0E87E13-EDE9-4B92-8744-618B207D757F}"/>
    <cellStyle name="Comma 2 5 4 4 2 2" xfId="12789" xr:uid="{0E83D3DE-407A-49CE-92DC-6552A641FFFC}"/>
    <cellStyle name="Comma 2 5 4 4 2 2 10" xfId="45390" xr:uid="{BFB027E4-8017-4F8F-B0D3-F0FD35D2650A}"/>
    <cellStyle name="Comma 2 5 4 4 2 2 11" xfId="21050" xr:uid="{7F345D44-8128-4771-99A4-D6B7613B9920}"/>
    <cellStyle name="Comma 2 5 4 4 2 2 2" xfId="23841" xr:uid="{98EB7CDF-28F4-4CFA-9F7A-81394D57B581}"/>
    <cellStyle name="Comma 2 5 4 4 2 2 3" xfId="38338" xr:uid="{91E715CC-67FD-475D-9C8E-19CD3C84A8EB}"/>
    <cellStyle name="Comma 2 5 4 4 2 2 4" xfId="39616" xr:uid="{859281E8-6888-4A50-AE1B-A22D62765190}"/>
    <cellStyle name="Comma 2 5 4 4 2 2 5" xfId="40161" xr:uid="{FD1C5144-1713-4BDA-99A6-636E1C53ED22}"/>
    <cellStyle name="Comma 2 5 4 4 2 2 6" xfId="40803" xr:uid="{7DD5C8AD-B67C-4BAC-A64E-94E99AF6C849}"/>
    <cellStyle name="Comma 2 5 4 4 2 2 7" xfId="41469" xr:uid="{54068573-4C4C-4567-97F8-5BBADDC7F31F}"/>
    <cellStyle name="Comma 2 5 4 4 2 2 8" xfId="42015" xr:uid="{F8C14A19-A470-438A-856E-3451A1718B4E}"/>
    <cellStyle name="Comma 2 5 4 4 2 2 9" xfId="43293" xr:uid="{89D74908-D312-4098-9506-B3CF290A4E63}"/>
    <cellStyle name="Comma 2 5 4 4 2 3" xfId="20269" xr:uid="{7BC44CF5-EFAD-44F6-8994-D1054181D588}"/>
    <cellStyle name="Comma 2 5 4 4 2 4" xfId="23840" xr:uid="{217838AF-92E0-457C-9198-3D9670158437}"/>
    <cellStyle name="Comma 2 5 4 4 2 5" xfId="38337" xr:uid="{971ECF68-2FA1-4D2B-9C75-3F69711F40C6}"/>
    <cellStyle name="Comma 2 5 4 4 2 6" xfId="39025" xr:uid="{9EF78CF2-0B69-4C30-A82E-220FF59D6F57}"/>
    <cellStyle name="Comma 2 5 4 4 2 7" xfId="40160" xr:uid="{A40C3E5D-4664-4DB8-AE2D-2A470E4D11BB}"/>
    <cellStyle name="Comma 2 5 4 4 2 8" xfId="40802" xr:uid="{D8F1063D-1406-4F40-847D-F4C03FB40B39}"/>
    <cellStyle name="Comma 2 5 4 4 2 9" xfId="42014" xr:uid="{784CFA23-5155-4F13-9DB1-01064F95AEEE}"/>
    <cellStyle name="Comma 2 5 4 4 3" xfId="11504" xr:uid="{A266EC5F-AE80-4CF9-8869-A7CA3A7815CF}"/>
    <cellStyle name="Comma 2 5 4 4 3 10" xfId="45128" xr:uid="{65D819D8-DFF7-4DB5-9ADA-106F236658BB}"/>
    <cellStyle name="Comma 2 5 4 4 3 11" xfId="20713" xr:uid="{470C0956-5766-4AEA-A8A8-888363077337}"/>
    <cellStyle name="Comma 2 5 4 4 3 2" xfId="23842" xr:uid="{149924AA-6257-423C-B9E9-74689745DD91}"/>
    <cellStyle name="Comma 2 5 4 4 3 3" xfId="38339" xr:uid="{074E8EC8-56E0-4043-9720-A6CAC0309B51}"/>
    <cellStyle name="Comma 2 5 4 4 3 4" xfId="39350" xr:uid="{CE1AF5EC-40AD-4A6E-BC32-6BD0780313A5}"/>
    <cellStyle name="Comma 2 5 4 4 3 5" xfId="40162" xr:uid="{73F27976-9D2F-4B4B-A74A-E2F62D64261A}"/>
    <cellStyle name="Comma 2 5 4 4 3 6" xfId="40804" xr:uid="{27AC1A88-9EBC-420E-AC62-CE6463C66FE1}"/>
    <cellStyle name="Comma 2 5 4 4 3 7" xfId="41208" xr:uid="{F81F1AF1-CB86-4D62-8987-08BAAEAC1EA9}"/>
    <cellStyle name="Comma 2 5 4 4 3 8" xfId="42016" xr:uid="{237F3142-7D9D-40C0-837F-3590457A1826}"/>
    <cellStyle name="Comma 2 5 4 4 3 9" xfId="43027" xr:uid="{8110E043-C268-407E-93E1-F25AB7D7F196}"/>
    <cellStyle name="Comma 2 5 4 4 4" xfId="20003" xr:uid="{A2AD4ADF-F619-43FE-8398-FD0409DD3B64}"/>
    <cellStyle name="Comma 2 5 4 4 5" xfId="23839" xr:uid="{50FD7142-5749-4269-AD23-E5B8162C2B02}"/>
    <cellStyle name="Comma 2 5 4 4 6" xfId="38336" xr:uid="{651B841D-4416-48AD-B349-F8F72E0BFFA8}"/>
    <cellStyle name="Comma 2 5 4 4 7" xfId="38759" xr:uid="{74D0ED11-2586-447F-B951-036D52BA2405}"/>
    <cellStyle name="Comma 2 5 4 4 8" xfId="40159" xr:uid="{2EEB8E34-4996-4EFC-8B86-B62A259AAA9E}"/>
    <cellStyle name="Comma 2 5 4 4 9" xfId="40801" xr:uid="{6927ACF0-6636-4DCB-AF71-723219973276}"/>
    <cellStyle name="Comma 2 5 4 5" xfId="7485" xr:uid="{8B4464FD-053F-4087-8164-C64CC74D086B}"/>
    <cellStyle name="Comma 2 5 4 5 10" xfId="42698" xr:uid="{4820BEF0-ED85-4F43-9F44-821E908FBC9F}"/>
    <cellStyle name="Comma 2 5 4 5 11" xfId="44865" xr:uid="{04DDD415-EF2E-4587-A386-8DCB5175C471}"/>
    <cellStyle name="Comma 2 5 4 5 12" xfId="46827" xr:uid="{18A5798D-115B-409E-BC0B-E01312EE92A9}"/>
    <cellStyle name="Comma 2 5 4 5 13" xfId="49851" xr:uid="{E33406E3-57D6-4B9A-8C5D-019F4EB80DFA}"/>
    <cellStyle name="Comma 2 5 4 5 14" xfId="52811" xr:uid="{97520F2B-138C-4545-8A06-3D46938317F4}"/>
    <cellStyle name="Comma 2 5 4 5 15" xfId="17051" xr:uid="{CAC94AB8-EEEE-4506-B48B-C7C0D5BCFD3D}"/>
    <cellStyle name="Comma 2 5 4 5 16" xfId="14865" xr:uid="{827FC285-18A4-4BAD-B2D2-A83BF4A11660}"/>
    <cellStyle name="Comma 2 5 4 5 2" xfId="9977" xr:uid="{119582C4-FBD9-4106-8467-526A40DA881D}"/>
    <cellStyle name="Comma 2 5 4 5 2 2" xfId="13283" xr:uid="{2ECA9EFA-32FA-4CA4-83F0-B0031827A7BC}"/>
    <cellStyle name="Comma 2 5 4 5 2 2 2" xfId="39612" xr:uid="{4201AC89-38B9-4EFB-AB91-CD4BDF4395F9}"/>
    <cellStyle name="Comma 2 5 4 5 2 3" xfId="41465" xr:uid="{74D471F4-6D98-4B94-9EE0-E52EE557B7C7}"/>
    <cellStyle name="Comma 2 5 4 5 2 4" xfId="43289" xr:uid="{FBDB8A3C-F2AF-43D8-9CA4-609084BBD883}"/>
    <cellStyle name="Comma 2 5 4 5 2 5" xfId="45386" xr:uid="{05C2AF36-8BC0-4605-B7E7-8957CB3063C3}"/>
    <cellStyle name="Comma 2 5 4 5 2 6" xfId="48378" xr:uid="{DA4C6B3B-1038-4792-AFD0-5E5DC8B66335}"/>
    <cellStyle name="Comma 2 5 4 5 2 7" xfId="51179" xr:uid="{ECDBACE8-2AEF-456A-A025-77B4AC1F6F6B}"/>
    <cellStyle name="Comma 2 5 4 5 2 8" xfId="52812" xr:uid="{005E6AA1-E076-476D-99F2-B5AB28DED2D0}"/>
    <cellStyle name="Comma 2 5 4 5 2 9" xfId="21046" xr:uid="{8431E7CD-98C5-4EA7-BA7C-0956D09B6F1C}"/>
    <cellStyle name="Comma 2 5 4 5 3" xfId="11998" xr:uid="{81B77A25-C4C1-42AF-9CA3-0FF2BCB61343}"/>
    <cellStyle name="Comma 2 5 4 5 3 2" xfId="20265" xr:uid="{AB92FD30-D97A-4C95-9DB3-ACCC4849741B}"/>
    <cellStyle name="Comma 2 5 4 5 4" xfId="23843" xr:uid="{F62BB8FF-A4C4-4F84-895D-F1157F844604}"/>
    <cellStyle name="Comma 2 5 4 5 5" xfId="38340" xr:uid="{E8DF763A-A8D2-4C99-8696-709734AB2A14}"/>
    <cellStyle name="Comma 2 5 4 5 6" xfId="39021" xr:uid="{F58491C2-F45D-4832-A010-26ADF8332C25}"/>
    <cellStyle name="Comma 2 5 4 5 7" xfId="40163" xr:uid="{0588AFEE-161C-499C-91B6-FB5B61F5A2AF}"/>
    <cellStyle name="Comma 2 5 4 5 8" xfId="40805" xr:uid="{3884A2B6-31AE-4C8E-B3B4-72F2764FA248}"/>
    <cellStyle name="Comma 2 5 4 5 9" xfId="42017" xr:uid="{7025F6B2-60DA-4B37-9B1F-317A32DFCDE2}"/>
    <cellStyle name="Comma 2 5 4 6" xfId="8151" xr:uid="{4F39D885-725D-40C6-B551-086FD6797DFA}"/>
    <cellStyle name="Comma 2 5 4 6 10" xfId="42833" xr:uid="{3984D58E-4725-4345-ABA0-7442C0829336}"/>
    <cellStyle name="Comma 2 5 4 6 11" xfId="44960" xr:uid="{6D1DFD61-CA9F-40F1-B20A-AA554D3AA2F8}"/>
    <cellStyle name="Comma 2 5 4 6 12" xfId="47226" xr:uid="{015C3665-FB1F-4207-8BF3-39FD3CA02DAD}"/>
    <cellStyle name="Comma 2 5 4 6 13" xfId="50204" xr:uid="{E0DBF545-9F4F-402A-B0F0-D5EAF89C7B12}"/>
    <cellStyle name="Comma 2 5 4 6 14" xfId="52813" xr:uid="{E91E7EAA-B15C-474D-81F0-2A261CD2DF19}"/>
    <cellStyle name="Comma 2 5 4 6 15" xfId="19739" xr:uid="{EA018EF1-E407-4A29-91D7-004BF4D270F6}"/>
    <cellStyle name="Comma 2 5 4 6 2" xfId="12607" xr:uid="{B4B2B380-B785-4587-AA6F-9A88E74CAB00}"/>
    <cellStyle name="Comma 2 5 4 6 2 2" xfId="39747" xr:uid="{A822A4C4-6B7E-4EB9-8F75-9EB3F6906006}"/>
    <cellStyle name="Comma 2 5 4 6 2 3" xfId="41600" xr:uid="{E198B796-49C6-40F6-BBDE-E59DC99C5A25}"/>
    <cellStyle name="Comma 2 5 4 6 2 4" xfId="43424" xr:uid="{F23BCC8B-FE61-4278-B058-A313E7F49018}"/>
    <cellStyle name="Comma 2 5 4 6 2 5" xfId="45503" xr:uid="{38EA05CA-26D0-4517-B4A8-FA389E99458C}"/>
    <cellStyle name="Comma 2 5 4 6 2 6" xfId="48797" xr:uid="{9B6190BF-F135-4209-8D8A-59774EDCBF46}"/>
    <cellStyle name="Comma 2 5 4 6 2 7" xfId="51532" xr:uid="{B3E222F3-048A-49AB-B8F0-529F6587EF56}"/>
    <cellStyle name="Comma 2 5 4 6 2 8" xfId="52814" xr:uid="{736CE92B-7238-4EEF-BCC4-9FAEF3A4DFAC}"/>
    <cellStyle name="Comma 2 5 4 6 2 9" xfId="23356" xr:uid="{434DBAA7-8809-4EE9-8C1D-C5369CDE347B}"/>
    <cellStyle name="Comma 2 5 4 6 3" xfId="20400" xr:uid="{E9D93896-707F-407D-8803-EDB7A1DEBAF1}"/>
    <cellStyle name="Comma 2 5 4 6 4" xfId="23844" xr:uid="{5AA0658E-ADC4-4B42-8608-4F3BB83CC702}"/>
    <cellStyle name="Comma 2 5 4 6 5" xfId="38341" xr:uid="{48F09A87-4519-4891-BD2D-38C7F33D2013}"/>
    <cellStyle name="Comma 2 5 4 6 6" xfId="39156" xr:uid="{7683B306-3E68-49A7-87C8-9163DE50FFD8}"/>
    <cellStyle name="Comma 2 5 4 6 7" xfId="40164" xr:uid="{5FB4B7A6-5508-42F1-922D-160BDA0BE4F4}"/>
    <cellStyle name="Comma 2 5 4 6 8" xfId="40806" xr:uid="{CCF46718-0D44-4A7A-AF6B-7131B1927629}"/>
    <cellStyle name="Comma 2 5 4 6 9" xfId="42018" xr:uid="{188B1CF7-F1DE-4F8C-BB9D-601FC35B7E5B}"/>
    <cellStyle name="Comma 2 5 4 7" xfId="7938" xr:uid="{6B4EC3C0-1160-4BD9-A2D4-655CC2114754}"/>
    <cellStyle name="Comma 2 5 4 7 2" xfId="12451" xr:uid="{0BFB54D3-3B25-477A-982D-624449359B26}"/>
    <cellStyle name="Comma 2 5 4 7 2 2" xfId="39263" xr:uid="{A48360E2-EEE0-4914-A8DB-4ADEB7DCCD2A}"/>
    <cellStyle name="Comma 2 5 4 7 3" xfId="41131" xr:uid="{73C162FB-801E-40E4-AFAD-634CF47A2099}"/>
    <cellStyle name="Comma 2 5 4 7 4" xfId="42940" xr:uid="{65975389-B0C9-403D-87F4-C95FCDD070F2}"/>
    <cellStyle name="Comma 2 5 4 7 5" xfId="45047" xr:uid="{8F921228-1EC4-4578-AAA9-4266863B81B7}"/>
    <cellStyle name="Comma 2 5 4 7 6" xfId="47685" xr:uid="{7BE18006-8AD4-4D63-8343-ADD784FB9F60}"/>
    <cellStyle name="Comma 2 5 4 7 7" xfId="50593" xr:uid="{198A445A-CE0F-4C97-87A7-64707CCEF4B8}"/>
    <cellStyle name="Comma 2 5 4 7 8" xfId="52815" xr:uid="{36D84F90-CCD0-465D-858E-5E751D846A17}"/>
    <cellStyle name="Comma 2 5 4 7 9" xfId="20508" xr:uid="{4A18E26B-1BC1-4880-B006-86E625CA70B3}"/>
    <cellStyle name="Comma 2 5 4 8" xfId="5835" xr:uid="{28DE8BB6-E3DE-442A-BFE0-F457CF08A9B8}"/>
    <cellStyle name="Comma 2 5 4 8 2" xfId="19915" xr:uid="{18F988B9-D393-4196-9921-33FAE56E4456}"/>
    <cellStyle name="Comma 2 5 4 9" xfId="11323" xr:uid="{8B20AB45-6F3B-4F3C-A602-A0390A77122A}"/>
    <cellStyle name="Comma 2 5 4 9 2" xfId="23832" xr:uid="{57315A52-2AA7-4B18-A1A7-FBF6DC13A91E}"/>
    <cellStyle name="Comma 2 5 5" xfId="1765" xr:uid="{1B4B2974-A0C6-43F4-9088-49C6FDA58253}"/>
    <cellStyle name="Comma 2 5 5 10" xfId="40807" xr:uid="{454697B1-6072-4B97-85AD-E8C9F356A293}"/>
    <cellStyle name="Comma 2 5 5 11" xfId="42019" xr:uid="{101C68D6-7820-4F80-B507-0A0C9EB45910}"/>
    <cellStyle name="Comma 2 5 5 12" xfId="42373" xr:uid="{03803745-C986-4907-B986-4893C11FC01E}"/>
    <cellStyle name="Comma 2 5 5 13" xfId="43538" xr:uid="{515C97B6-FF54-49F7-A587-8C3B5776862F}"/>
    <cellStyle name="Comma 2 5 5 14" xfId="44401" xr:uid="{16D0D45B-7309-4AD9-BF58-F62D6B5FE8CB}"/>
    <cellStyle name="Comma 2 5 5 15" xfId="45633" xr:uid="{212A5A64-67D2-4A80-85EA-11E2E5105BB2}"/>
    <cellStyle name="Comma 2 5 5 16" xfId="49262" xr:uid="{86660823-08C7-48B9-9AFA-D59306AA14DD}"/>
    <cellStyle name="Comma 2 5 5 17" xfId="52816" xr:uid="{43BE764C-03B0-4B25-A474-4BA40CC3DBDB}"/>
    <cellStyle name="Comma 2 5 5 18" xfId="15797" xr:uid="{BF08A32E-DC16-4B4E-BAF0-8AC54FFF811C}"/>
    <cellStyle name="Comma 2 5 5 19" xfId="13921" xr:uid="{B168EE91-D448-4470-AD17-144226D94078}"/>
    <cellStyle name="Comma 2 5 5 2" xfId="4441" xr:uid="{18C43FF3-6503-430D-8E91-737E9D0645C0}"/>
    <cellStyle name="Comma 2 5 5 2 10" xfId="42020" xr:uid="{F06A9C28-F46B-45AE-84DD-618A0692931F}"/>
    <cellStyle name="Comma 2 5 5 2 11" xfId="42525" xr:uid="{1D089229-7246-494A-A23C-57CD08FBC50A}"/>
    <cellStyle name="Comma 2 5 5 2 12" xfId="44242" xr:uid="{BE5EC87A-6091-479E-8ED3-F5F4BE142133}"/>
    <cellStyle name="Comma 2 5 5 2 13" xfId="44542" xr:uid="{25185224-5600-41D2-B2C4-711241F28413}"/>
    <cellStyle name="Comma 2 5 5 2 14" xfId="45764" xr:uid="{7051F08F-2ACD-4F80-99FF-45BAA8441C9B}"/>
    <cellStyle name="Comma 2 5 5 2 15" xfId="49392" xr:uid="{947D4868-0D10-4850-8DB7-9CDBF95FE768}"/>
    <cellStyle name="Comma 2 5 5 2 16" xfId="52817" xr:uid="{4879EFC7-306B-435B-8607-983849C6FACB}"/>
    <cellStyle name="Comma 2 5 5 2 17" xfId="16815" xr:uid="{27B561C8-85F9-4562-8A85-5FF9B22B6EEC}"/>
    <cellStyle name="Comma 2 5 5 2 18" xfId="14235" xr:uid="{17F13D05-FEF8-4BF2-826A-7894D8F31D99}"/>
    <cellStyle name="Comma 2 5 5 2 2" xfId="5698" xr:uid="{3D39841F-6A65-4C43-8DB5-24088EDC2E89}"/>
    <cellStyle name="Comma 2 5 5 2 2 10" xfId="42704" xr:uid="{D91D2371-F82F-4FE9-874E-D1B6C58541E3}"/>
    <cellStyle name="Comma 2 5 5 2 2 11" xfId="44871" xr:uid="{36726179-CDD1-4F65-A3B5-A47DBBA65A69}"/>
    <cellStyle name="Comma 2 5 5 2 2 12" xfId="46710" xr:uid="{DAF4889C-7105-4A7E-AF1C-551BA6E508B6}"/>
    <cellStyle name="Comma 2 5 5 2 2 13" xfId="49742" xr:uid="{E6D86E21-5545-466C-9A72-AC8195CD8EBD}"/>
    <cellStyle name="Comma 2 5 5 2 2 14" xfId="52818" xr:uid="{4C82735A-CC6B-4F77-A8C6-1A1C2996A32F}"/>
    <cellStyle name="Comma 2 5 5 2 2 15" xfId="17057" xr:uid="{BB829438-305D-4FE3-906B-5751196D2E1F}"/>
    <cellStyle name="Comma 2 5 5 2 2 16" xfId="14727" xr:uid="{5F6B0E9C-9CED-4574-9320-DD8FD61DD914}"/>
    <cellStyle name="Comma 2 5 5 2 2 2" xfId="10292" xr:uid="{AFC8A846-3C53-42E0-8D32-D56CA4B23356}"/>
    <cellStyle name="Comma 2 5 5 2 2 2 2" xfId="13598" xr:uid="{F1A1152C-064D-45EE-92A9-BCDEF545B394}"/>
    <cellStyle name="Comma 2 5 5 2 2 2 2 2" xfId="39618" xr:uid="{4329CD1F-0399-4463-952C-B9166443176D}"/>
    <cellStyle name="Comma 2 5 5 2 2 2 3" xfId="41471" xr:uid="{E4C396B5-FF7C-469F-A223-79E1377D78CC}"/>
    <cellStyle name="Comma 2 5 5 2 2 2 4" xfId="43295" xr:uid="{543C0238-D64A-4D3D-BBD3-3937DF147290}"/>
    <cellStyle name="Comma 2 5 5 2 2 2 5" xfId="45392" xr:uid="{88F97FFE-C255-4EDE-85FA-71DA15A6F19A}"/>
    <cellStyle name="Comma 2 5 5 2 2 2 6" xfId="48252" xr:uid="{E740BF69-DB0D-44E6-80C2-1ACB781B6361}"/>
    <cellStyle name="Comma 2 5 5 2 2 2 7" xfId="51070" xr:uid="{6D40DCEF-9F02-477B-83C7-3F77B880E2D7}"/>
    <cellStyle name="Comma 2 5 5 2 2 2 8" xfId="52819" xr:uid="{C2E5D6CF-6D2E-4C5D-822B-E0FEA9F1E6EC}"/>
    <cellStyle name="Comma 2 5 5 2 2 2 9" xfId="21052" xr:uid="{49DB15B8-53A5-4F2F-B63F-3BF3504EA0A4}"/>
    <cellStyle name="Comma 2 5 5 2 2 3" xfId="7800" xr:uid="{419535E2-CE7C-4056-A417-6BCB5DA6FE3A}"/>
    <cellStyle name="Comma 2 5 5 2 2 3 2" xfId="20271" xr:uid="{A3BF78B5-66C8-4B61-85EE-FC9907BE3794}"/>
    <cellStyle name="Comma 2 5 5 2 2 4" xfId="12313" xr:uid="{2ACB6443-D170-4769-BBBD-6FEDD9FA7964}"/>
    <cellStyle name="Comma 2 5 5 2 2 4 2" xfId="23847" xr:uid="{0EEF0817-DE2C-4989-840C-E4F87978C43D}"/>
    <cellStyle name="Comma 2 5 5 2 2 5" xfId="38344" xr:uid="{D3FC5D93-EFA6-49E3-B2E5-498F0A263B65}"/>
    <cellStyle name="Comma 2 5 5 2 2 6" xfId="39027" xr:uid="{107D2CAB-8FFF-4927-B855-B8B2B8CDFBC9}"/>
    <cellStyle name="Comma 2 5 5 2 2 7" xfId="40167" xr:uid="{8905AE30-8811-4CFA-BC9F-38BB9449A847}"/>
    <cellStyle name="Comma 2 5 5 2 2 8" xfId="40809" xr:uid="{25813227-2DD8-497B-A53A-4AB22138AEDA}"/>
    <cellStyle name="Comma 2 5 5 2 2 9" xfId="42021" xr:uid="{F1538A3F-4A31-46F7-872D-DCC5367BF49B}"/>
    <cellStyle name="Comma 2 5 5 2 3" xfId="11226" xr:uid="{77990F52-5A2A-4EAB-98A9-C2A5F7D96DF8}"/>
    <cellStyle name="Comma 2 5 5 2 3 10" xfId="15042" xr:uid="{774F87C4-9C92-4FBA-B07B-6B270291F0A6}"/>
    <cellStyle name="Comma 2 5 5 2 3 2" xfId="13789" xr:uid="{735FC50C-EFBB-4FA0-B34C-A715CFC0D464}"/>
    <cellStyle name="Comma 2 5 5 2 3 2 2" xfId="48668" xr:uid="{58AD0200-23CD-430D-BB98-1118AFBBCC90}"/>
    <cellStyle name="Comma 2 5 5 2 3 2 3" xfId="51423" xr:uid="{3B675B73-792C-4047-9F8D-6099793CA55F}"/>
    <cellStyle name="Comma 2 5 5 2 3 2 4" xfId="52820" xr:uid="{F1A3FFF3-1918-449C-A412-9BA04EB6DE28}"/>
    <cellStyle name="Comma 2 5 5 2 3 2 5" xfId="39439" xr:uid="{92216E7D-37C6-46C1-9424-8C60C0D7B2C7}"/>
    <cellStyle name="Comma 2 5 5 2 3 3" xfId="41293" xr:uid="{850BB23F-8079-4733-8F99-C3B7FE0950BA}"/>
    <cellStyle name="Comma 2 5 5 2 3 4" xfId="43116" xr:uid="{C0DBE5B8-A7CA-4AE5-BFAF-BF7369764D49}"/>
    <cellStyle name="Comma 2 5 5 2 3 5" xfId="45213" xr:uid="{41D2DD74-07A2-468C-9200-507D19B8ED29}"/>
    <cellStyle name="Comma 2 5 5 2 3 6" xfId="47105" xr:uid="{3A6E3A74-F17D-4354-973E-B41112AC253F}"/>
    <cellStyle name="Comma 2 5 5 2 3 7" xfId="50095" xr:uid="{C1FA4340-44D4-4709-880E-95C62D92D254}"/>
    <cellStyle name="Comma 2 5 5 2 3 8" xfId="52821" xr:uid="{05BE209E-ACF8-451B-A302-EC0F879DBE56}"/>
    <cellStyle name="Comma 2 5 5 2 3 9" xfId="20817" xr:uid="{AD1DCB2C-8E5E-4768-B370-83072A1CD26E}"/>
    <cellStyle name="Comma 2 5 5 2 4" xfId="9798" xr:uid="{04FF3FD9-43E2-4661-8C6D-8452C42E199F}"/>
    <cellStyle name="Comma 2 5 5 2 4 2" xfId="13104" xr:uid="{3468EA0F-5D51-4D22-8D11-067EB6A816A1}"/>
    <cellStyle name="Comma 2 5 5 2 4 2 2" xfId="51788" xr:uid="{0661FD44-58BC-4AAD-A32A-6B4EC62BFB85}"/>
    <cellStyle name="Comma 2 5 5 2 4 2 3" xfId="52822" xr:uid="{2FE14294-0F1D-4AE8-8856-5FC8275B2943}"/>
    <cellStyle name="Comma 2 5 5 2 4 2 4" xfId="49108" xr:uid="{220AC632-F1D3-42AD-B569-FDCCEE10577D}"/>
    <cellStyle name="Comma 2 5 5 2 4 3" xfId="47525" xr:uid="{6662A5F7-3F2F-4186-A1D4-66116B845F8F}"/>
    <cellStyle name="Comma 2 5 5 2 4 4" xfId="50460" xr:uid="{04A226D2-7E5A-46E3-BC4C-47E52EBA21CB}"/>
    <cellStyle name="Comma 2 5 5 2 4 5" xfId="52823" xr:uid="{BFB8667D-C1EC-424E-907F-8BE904969433}"/>
    <cellStyle name="Comma 2 5 5 2 4 6" xfId="20092" xr:uid="{D40427E0-636C-468C-B827-722427363903}"/>
    <cellStyle name="Comma 2 5 5 2 5" xfId="7296" xr:uid="{E0FD5586-89C5-47C0-ABBB-39C90FCA1AFB}"/>
    <cellStyle name="Comma 2 5 5 2 5 2" xfId="47832" xr:uid="{9FE8992F-B3D4-40B2-A183-B2576D78A379}"/>
    <cellStyle name="Comma 2 5 5 2 5 3" xfId="50720" xr:uid="{41411E77-FC51-45E6-8BC9-B310C760FDB4}"/>
    <cellStyle name="Comma 2 5 5 2 5 4" xfId="52824" xr:uid="{2BA04F69-1ECE-4A9B-BE71-990EF4CAC478}"/>
    <cellStyle name="Comma 2 5 5 2 5 5" xfId="23846" xr:uid="{F1E09794-7913-411B-99CA-8D1378B0606A}"/>
    <cellStyle name="Comma 2 5 5 2 6" xfId="11819" xr:uid="{D28D9766-F065-4379-AAEF-A5706B38A2C6}"/>
    <cellStyle name="Comma 2 5 5 2 6 2" xfId="38343" xr:uid="{5EC50692-40B3-4851-8E98-5DE3A2719DA5}"/>
    <cellStyle name="Comma 2 5 5 2 7" xfId="38848" xr:uid="{77FA5D94-F3FA-4439-9615-346977E31617}"/>
    <cellStyle name="Comma 2 5 5 2 8" xfId="40166" xr:uid="{E2C492C5-99CB-4E1D-8F64-BCA557C0603D}"/>
    <cellStyle name="Comma 2 5 5 2 9" xfId="40808" xr:uid="{8BED3517-F9A4-43BB-8353-E4F94AD70DBA}"/>
    <cellStyle name="Comma 2 5 5 3" xfId="5522" xr:uid="{A234EB79-B369-4AE5-AEA8-6016B6072F4D}"/>
    <cellStyle name="Comma 2 5 5 3 10" xfId="42703" xr:uid="{26340F7D-E6A7-4537-878E-7341526C41FE}"/>
    <cellStyle name="Comma 2 5 5 3 11" xfId="43811" xr:uid="{C8EE6CB3-9CA0-4AC6-8480-26FA79F991FF}"/>
    <cellStyle name="Comma 2 5 5 3 12" xfId="44870" xr:uid="{030EC061-319E-42D8-B854-B5EC9B151469}"/>
    <cellStyle name="Comma 2 5 5 3 13" xfId="46569" xr:uid="{E31D3684-788C-4F47-BBB8-DA3B18304CC1}"/>
    <cellStyle name="Comma 2 5 5 3 14" xfId="49602" xr:uid="{8BD0EB8F-1438-47DF-AE06-5426281C33A9}"/>
    <cellStyle name="Comma 2 5 5 3 15" xfId="52825" xr:uid="{74D31770-57B8-4E7E-9BBA-F08668446B76}"/>
    <cellStyle name="Comma 2 5 5 3 16" xfId="17056" xr:uid="{7B042264-5393-4ED4-BE76-869F5EE2EF7D}"/>
    <cellStyle name="Comma 2 5 5 3 17" xfId="14059" xr:uid="{A6F3634D-67AA-41F4-B063-4BA7B0A79138}"/>
    <cellStyle name="Comma 2 5 5 3 2" xfId="7624" xr:uid="{DBD4C180-0A49-49FE-9A39-7D960EC6C340}"/>
    <cellStyle name="Comma 2 5 5 3 2 10" xfId="14551" xr:uid="{EB8454B2-1984-46E6-82F4-C7B74F1A2701}"/>
    <cellStyle name="Comma 2 5 5 3 2 2" xfId="10116" xr:uid="{A8DE9653-A22D-44FC-BA3D-DC5ABCC06155}"/>
    <cellStyle name="Comma 2 5 5 3 2 2 2" xfId="13422" xr:uid="{E69F806A-1509-4561-8454-9D73E39C0918}"/>
    <cellStyle name="Comma 2 5 5 3 2 2 2 2" xfId="48936" xr:uid="{B26E99FE-C1B9-4A28-A823-DF82C992FDD4}"/>
    <cellStyle name="Comma 2 5 5 3 2 2 3" xfId="51648" xr:uid="{076EFDD8-E64A-4405-99C3-5E93ABF85B59}"/>
    <cellStyle name="Comma 2 5 5 3 2 2 4" xfId="52826" xr:uid="{60DE1885-432E-49F1-BA80-6CCBA40872C5}"/>
    <cellStyle name="Comma 2 5 5 3 2 2 5" xfId="39617" xr:uid="{D0A84E88-185B-42B2-917E-0BC0994E86ED}"/>
    <cellStyle name="Comma 2 5 5 3 2 3" xfId="12137" xr:uid="{F9EC062B-1364-444D-A4C8-2CA81B76AC13}"/>
    <cellStyle name="Comma 2 5 5 3 2 3 2" xfId="41470" xr:uid="{464847F7-C7C2-44F2-A80F-1077B8DC345A}"/>
    <cellStyle name="Comma 2 5 5 3 2 4" xfId="43294" xr:uid="{8F07D88C-96B7-433D-9541-DA3DF0970A47}"/>
    <cellStyle name="Comma 2 5 5 3 2 5" xfId="45391" xr:uid="{4BDB4FE0-FA45-400D-BB71-BF77FC01F94A}"/>
    <cellStyle name="Comma 2 5 5 3 2 6" xfId="47360" xr:uid="{28B0BAB5-98AB-4092-A7D7-7B31CA07ED49}"/>
    <cellStyle name="Comma 2 5 5 3 2 7" xfId="50320" xr:uid="{29844517-DA4F-4675-B3AA-FEE8D718814D}"/>
    <cellStyle name="Comma 2 5 5 3 2 8" xfId="52827" xr:uid="{CA67D7A6-ADE1-4E37-9298-51FA11694CE3}"/>
    <cellStyle name="Comma 2 5 5 3 2 9" xfId="21051" xr:uid="{90912161-5CBE-4A0A-9CCD-4DE8B2721905}"/>
    <cellStyle name="Comma 2 5 5 3 3" xfId="9622" xr:uid="{F831662C-5AFA-4797-9033-B6A6DE2BDF45}"/>
    <cellStyle name="Comma 2 5 5 3 3 2" xfId="12928" xr:uid="{99974E82-BC62-4492-AC0B-58E9925AB2AF}"/>
    <cellStyle name="Comma 2 5 5 3 3 2 2" xfId="48081" xr:uid="{AEB0F879-9949-4B96-8377-62E13B270D40}"/>
    <cellStyle name="Comma 2 5 5 3 3 3" xfId="50930" xr:uid="{E9E9697D-3CA8-45BE-BE5C-30901631AA36}"/>
    <cellStyle name="Comma 2 5 5 3 3 4" xfId="52828" xr:uid="{5D6443C9-EFB2-4BFD-9D86-D4865129CAD9}"/>
    <cellStyle name="Comma 2 5 5 3 3 5" xfId="20270" xr:uid="{BF8CE16D-38C6-495F-9ED0-82DED916ECD0}"/>
    <cellStyle name="Comma 2 5 5 3 4" xfId="7118" xr:uid="{CAD38F46-E0EE-439F-9B22-4012E3CBD739}"/>
    <cellStyle name="Comma 2 5 5 3 4 2" xfId="23848" xr:uid="{ABCCA881-5EDA-440B-B57C-4DA56131ADBB}"/>
    <cellStyle name="Comma 2 5 5 3 5" xfId="11643" xr:uid="{98FAFA5A-B46F-4341-9AC7-9B598BDEEACB}"/>
    <cellStyle name="Comma 2 5 5 3 5 2" xfId="38345" xr:uid="{EB3BC577-CC9F-4B4B-8712-5AD6EA6AA19C}"/>
    <cellStyle name="Comma 2 5 5 3 6" xfId="39026" xr:uid="{CAFCB51C-6FCC-44A1-B44A-A51AD85DE719}"/>
    <cellStyle name="Comma 2 5 5 3 7" xfId="40168" xr:uid="{7D0D256E-106B-4490-BA59-9EBB85A5FE43}"/>
    <cellStyle name="Comma 2 5 5 3 8" xfId="40810" xr:uid="{366272A4-9A54-4AA7-8F8A-CC863223040F}"/>
    <cellStyle name="Comma 2 5 5 3 9" xfId="42022" xr:uid="{05A91C21-249E-4D49-9511-8FEB83666269}"/>
    <cellStyle name="Comma 2 5 5 4" xfId="6512" xr:uid="{AAE4879E-448B-41E4-AC07-7DF85D537D84}"/>
    <cellStyle name="Comma 2 5 5 4 10" xfId="14413" xr:uid="{BF385BD8-5C1E-4E2B-9C11-28C66C905C54}"/>
    <cellStyle name="Comma 2 5 5 4 2" xfId="9484" xr:uid="{74179F10-F857-41D2-BEF1-48AABE6A675C}"/>
    <cellStyle name="Comma 2 5 5 4 2 2" xfId="12790" xr:uid="{4F3F023D-2676-4DA4-8700-D66585293D97}"/>
    <cellStyle name="Comma 2 5 5 4 2 2 2" xfId="47946" xr:uid="{635A58F4-C315-4EE2-B8FA-E35924F000F9}"/>
    <cellStyle name="Comma 2 5 5 4 2 3" xfId="50815" xr:uid="{055FED79-DD89-4988-A768-428EFCDA39E0}"/>
    <cellStyle name="Comma 2 5 5 4 2 4" xfId="52829" xr:uid="{9D534011-AEFA-4C86-A46A-6BA8BE8F79F3}"/>
    <cellStyle name="Comma 2 5 5 4 2 5" xfId="39287" xr:uid="{0FAD3AB9-B066-469B-B962-EDEFBF42097C}"/>
    <cellStyle name="Comma 2 5 5 4 3" xfId="11505" xr:uid="{15B4388F-FA8A-40D5-A68D-FAABB8186124}"/>
    <cellStyle name="Comma 2 5 5 4 3 2" xfId="41149" xr:uid="{7E1BF2F8-9FD7-4533-8B99-5867A3CFACA7}"/>
    <cellStyle name="Comma 2 5 5 4 4" xfId="42964" xr:uid="{689DFAED-8079-45A1-9FD4-2C6087397F47}"/>
    <cellStyle name="Comma 2 5 5 4 5" xfId="45069" xr:uid="{29AE111B-F979-4A43-8978-360DB250907D}"/>
    <cellStyle name="Comma 2 5 5 4 6" xfId="46151" xr:uid="{FD232CA7-C806-49A2-AB70-B7CE7F7B5D93}"/>
    <cellStyle name="Comma 2 5 5 4 7" xfId="49487" xr:uid="{CC2CDAD0-D1C5-4654-862E-636CA3DB9312}"/>
    <cellStyle name="Comma 2 5 5 4 8" xfId="52830" xr:uid="{07E6CD98-124E-489E-A06C-B13C30F7B356}"/>
    <cellStyle name="Comma 2 5 5 4 9" xfId="20533" xr:uid="{8CC34DA4-CAF5-4B57-AF90-F24FF1CD0FB5}"/>
    <cellStyle name="Comma 2 5 5 5" xfId="7486" xr:uid="{4A186CA2-B279-4FAA-BCFA-BC5902FB710F}"/>
    <cellStyle name="Comma 2 5 5 5 2" xfId="9978" xr:uid="{0DE3A522-F8A9-48EC-B21D-671523988B4D}"/>
    <cellStyle name="Comma 2 5 5 5 2 2" xfId="13284" xr:uid="{BF9F436A-3409-4A10-BD11-97AE790C6D77}"/>
    <cellStyle name="Comma 2 5 5 5 2 2 2" xfId="51277" xr:uid="{E1C42504-E1AB-4076-B235-7AEEFB5A04B4}"/>
    <cellStyle name="Comma 2 5 5 5 2 3" xfId="52831" xr:uid="{AA6505F1-217F-4B08-BBCB-259F0DA96A44}"/>
    <cellStyle name="Comma 2 5 5 5 2 4" xfId="48491" xr:uid="{995F4E64-ECE4-4E47-AE6B-CBBABE4EDA55}"/>
    <cellStyle name="Comma 2 5 5 5 3" xfId="11999" xr:uid="{7D15C711-E3F8-42E6-B0AB-CAFE7EA48BA2}"/>
    <cellStyle name="Comma 2 5 5 5 3 2" xfId="46930" xr:uid="{A13AF246-9AA4-4AEB-B153-52964C3EA32E}"/>
    <cellStyle name="Comma 2 5 5 5 4" xfId="49949" xr:uid="{FA260A1F-4B0F-4D2A-862A-4BA648BCB6AB}"/>
    <cellStyle name="Comma 2 5 5 5 5" xfId="52832" xr:uid="{58F935FC-B3FA-40D9-A52E-3C3304A89F07}"/>
    <cellStyle name="Comma 2 5 5 5 6" xfId="19940" xr:uid="{9369C78C-1DEC-4BD3-AFFC-A3627443D3A8}"/>
    <cellStyle name="Comma 2 5 5 5 7" xfId="14866" xr:uid="{EB3254BC-D1DF-43EC-B5E6-4A6B15FF33BA}"/>
    <cellStyle name="Comma 2 5 5 6" xfId="8152" xr:uid="{72A59E23-79AB-4735-87C5-B810A8EBD802}"/>
    <cellStyle name="Comma 2 5 5 6 2" xfId="12608" xr:uid="{FBAFC00A-FEB4-4073-9AA1-AFECC060CD64}"/>
    <cellStyle name="Comma 2 5 5 6 2 2" xfId="51533" xr:uid="{E07D2F11-8723-41FE-A709-42E8457960DB}"/>
    <cellStyle name="Comma 2 5 5 6 2 3" xfId="52833" xr:uid="{123AADF6-D85D-4910-9382-0CDEB64CA47E}"/>
    <cellStyle name="Comma 2 5 5 6 2 4" xfId="48798" xr:uid="{6A3100ED-3177-4B5A-8F5B-E6AFB56A3AC0}"/>
    <cellStyle name="Comma 2 5 5 6 3" xfId="47227" xr:uid="{BF4D852B-AC7C-4883-BF4E-4E2BC8E3550B}"/>
    <cellStyle name="Comma 2 5 5 6 4" xfId="50205" xr:uid="{C9BBBC0E-124C-490D-80A4-EB264EBE04C5}"/>
    <cellStyle name="Comma 2 5 5 6 5" xfId="52834" xr:uid="{47BC3E18-DE33-4EB5-9BFF-BE84E3E0B32E}"/>
    <cellStyle name="Comma 2 5 5 6 6" xfId="23845" xr:uid="{EF4E0EAB-53DF-47DB-9343-6F22E122ABAD}"/>
    <cellStyle name="Comma 2 5 5 7" xfId="7939" xr:uid="{15236593-0D87-4D91-8F88-EAB7BAEA127E}"/>
    <cellStyle name="Comma 2 5 5 7 2" xfId="12452" xr:uid="{DA32BCD0-0796-4499-95E5-6389B5C5BA82}"/>
    <cellStyle name="Comma 2 5 5 7 2 2" xfId="47682" xr:uid="{77A6E578-7569-46AC-A780-C0E070A13955}"/>
    <cellStyle name="Comma 2 5 5 7 3" xfId="50590" xr:uid="{124AD41A-6348-4EB6-8BE3-4D00ED35F1F8}"/>
    <cellStyle name="Comma 2 5 5 7 4" xfId="52835" xr:uid="{E05A0565-0C43-4D47-9F7A-1595413AB451}"/>
    <cellStyle name="Comma 2 5 5 7 5" xfId="38342" xr:uid="{0D94E547-6A54-41E7-9DF8-FAEC0AA9CCFC}"/>
    <cellStyle name="Comma 2 5 5 8" xfId="5836" xr:uid="{D6087B0D-487D-4598-92D1-C14BB30566CE}"/>
    <cellStyle name="Comma 2 5 5 8 2" xfId="38696" xr:uid="{9368AE38-C3D0-4C3A-BE9D-4AE5DC5D64AC}"/>
    <cellStyle name="Comma 2 5 5 9" xfId="11324" xr:uid="{C7EC0C4E-7A11-44B0-8862-30FD5CED6790}"/>
    <cellStyle name="Comma 2 5 5 9 2" xfId="40165" xr:uid="{E0BD3776-36AC-440F-BACB-5E1DB67A0D76}"/>
    <cellStyle name="Comma 2 5 6" xfId="4437" xr:uid="{0403A34F-BA76-400F-BA93-1481A67C48F4}"/>
    <cellStyle name="Comma 2 5 6 10" xfId="42023" xr:uid="{C129735A-FF94-4467-B9C1-8D6BD9330F56}"/>
    <cellStyle name="Comma 2 5 6 11" xfId="42462" xr:uid="{F40301EB-B970-4B28-B1D6-092568CFEB4B}"/>
    <cellStyle name="Comma 2 5 6 12" xfId="43534" xr:uid="{D67310E0-88A6-47D4-A507-91B405B35EE8}"/>
    <cellStyle name="Comma 2 5 6 13" xfId="44538" xr:uid="{89875514-2404-4F96-80C9-C076C8726336}"/>
    <cellStyle name="Comma 2 5 6 14" xfId="45707" xr:uid="{943DDF5D-4941-4105-8E7F-5A406C43D58D}"/>
    <cellStyle name="Comma 2 5 6 15" xfId="49335" xr:uid="{A2A5BB12-BC09-416B-8E7B-973D16C415BC}"/>
    <cellStyle name="Comma 2 5 6 16" xfId="52836" xr:uid="{FE4F5392-998D-4C04-A410-0BB05A39225B}"/>
    <cellStyle name="Comma 2 5 6 17" xfId="16656" xr:uid="{538D18DA-176C-433A-8009-2D5DE15FAB3B}"/>
    <cellStyle name="Comma 2 5 6 18" xfId="13917" xr:uid="{F13CAA91-AFF5-4248-9572-FE868E312062}"/>
    <cellStyle name="Comma 2 5 6 2" xfId="5694" xr:uid="{791D7A4F-D720-43AA-8BC4-C103DF03208A}"/>
    <cellStyle name="Comma 2 5 6 2 10" xfId="42705" xr:uid="{E7B3690F-28BE-43A3-82CE-E79EAD57D1BD}"/>
    <cellStyle name="Comma 2 5 6 2 11" xfId="44238" xr:uid="{50515AC2-010C-4E38-A565-EBBAC3D62B8C}"/>
    <cellStyle name="Comma 2 5 6 2 12" xfId="44872" xr:uid="{E9577886-78D7-4089-929F-3FC4248ED43E}"/>
    <cellStyle name="Comma 2 5 6 2 13" xfId="46706" xr:uid="{CD486E61-3176-448F-94E3-AE45781787AF}"/>
    <cellStyle name="Comma 2 5 6 2 14" xfId="49738" xr:uid="{20CC8A61-2791-4808-ABE6-B7F388C79510}"/>
    <cellStyle name="Comma 2 5 6 2 15" xfId="52837" xr:uid="{B4958DE3-F73C-49CB-A518-08C526CBDD39}"/>
    <cellStyle name="Comma 2 5 6 2 16" xfId="17058" xr:uid="{1A684514-D008-4D4E-967B-D8E903F6BC58}"/>
    <cellStyle name="Comma 2 5 6 2 17" xfId="14231" xr:uid="{59CC4346-86AB-41C3-9B45-365DA505F442}"/>
    <cellStyle name="Comma 2 5 6 2 2" xfId="7796" xr:uid="{85027985-62FF-4F1E-A56A-4FEBA6276AF2}"/>
    <cellStyle name="Comma 2 5 6 2 2 10" xfId="14723" xr:uid="{75B93040-BC03-46DA-B69A-12E9C7AE4A99}"/>
    <cellStyle name="Comma 2 5 6 2 2 2" xfId="10288" xr:uid="{15A3B4A7-D4E1-4267-B2F1-FEFBB1E9D395}"/>
    <cellStyle name="Comma 2 5 6 2 2 2 2" xfId="13594" xr:uid="{52D942AD-AC8C-46ED-BFC8-8C486DF57597}"/>
    <cellStyle name="Comma 2 5 6 2 2 2 2 2" xfId="49104" xr:uid="{D4A995AE-17CB-4058-95F0-07FB485AFDD2}"/>
    <cellStyle name="Comma 2 5 6 2 2 2 3" xfId="51784" xr:uid="{03288F8D-A43E-42A0-BCB0-75DEE4637FD2}"/>
    <cellStyle name="Comma 2 5 6 2 2 2 4" xfId="52838" xr:uid="{07C90223-BB6F-4F25-8061-F66D32A742FB}"/>
    <cellStyle name="Comma 2 5 6 2 2 2 5" xfId="39619" xr:uid="{8C1BABBE-146E-4658-ADDB-1006CBFCDEC9}"/>
    <cellStyle name="Comma 2 5 6 2 2 3" xfId="12309" xr:uid="{BDDF43DC-3772-4FFC-8183-F5FBF736455D}"/>
    <cellStyle name="Comma 2 5 6 2 2 3 2" xfId="41472" xr:uid="{C0AF28DC-E5B5-4A46-9B86-28DF088CEDB6}"/>
    <cellStyle name="Comma 2 5 6 2 2 4" xfId="43296" xr:uid="{743D40BE-8ADF-4E3D-9320-7613BBBE3523}"/>
    <cellStyle name="Comma 2 5 6 2 2 5" xfId="45393" xr:uid="{3DE41C82-CE15-46F4-BA7A-E03C4A7C0F34}"/>
    <cellStyle name="Comma 2 5 6 2 2 6" xfId="47521" xr:uid="{BEE22A4A-2BE4-406F-9538-C046398B7B4A}"/>
    <cellStyle name="Comma 2 5 6 2 2 7" xfId="50456" xr:uid="{D347ED8B-E324-4005-85D9-3C039EF14FC9}"/>
    <cellStyle name="Comma 2 5 6 2 2 8" xfId="52839" xr:uid="{8A00158F-A66D-4D28-BB39-B24B4DB433D3}"/>
    <cellStyle name="Comma 2 5 6 2 2 9" xfId="21053" xr:uid="{228F0084-98A5-41A7-A524-F8385694672A}"/>
    <cellStyle name="Comma 2 5 6 2 3" xfId="9794" xr:uid="{E8DC1F33-19E0-49B6-8877-31F76BEAC3F8}"/>
    <cellStyle name="Comma 2 5 6 2 3 2" xfId="13100" xr:uid="{12EE3D70-8A29-482B-B4BB-35709E14CA37}"/>
    <cellStyle name="Comma 2 5 6 2 3 2 2" xfId="48248" xr:uid="{53EB831C-507B-467A-BD5A-D451D6169CBA}"/>
    <cellStyle name="Comma 2 5 6 2 3 3" xfId="51066" xr:uid="{8C0D37C7-D627-43D0-892E-C90C4C42FEDB}"/>
    <cellStyle name="Comma 2 5 6 2 3 4" xfId="52840" xr:uid="{A0418B6A-CC8E-4407-80C9-58BF8C13E7A3}"/>
    <cellStyle name="Comma 2 5 6 2 3 5" xfId="20272" xr:uid="{2F3D96A5-FB43-4CB3-847D-487CBFE7896E}"/>
    <cellStyle name="Comma 2 5 6 2 4" xfId="7292" xr:uid="{C0F08781-40E9-4DDE-A260-8EB6AD384616}"/>
    <cellStyle name="Comma 2 5 6 2 4 2" xfId="23850" xr:uid="{38B8AEEA-F7F2-41C3-BCCB-CDD4A288E631}"/>
    <cellStyle name="Comma 2 5 6 2 5" xfId="11815" xr:uid="{9DA088D6-4110-41F9-A15F-829F4E88D66D}"/>
    <cellStyle name="Comma 2 5 6 2 5 2" xfId="38347" xr:uid="{7A9F462F-5C05-4561-89E5-1CC7217FD6B2}"/>
    <cellStyle name="Comma 2 5 6 2 6" xfId="39028" xr:uid="{B4098CDF-4B5D-43A5-8F06-E9C9B702C435}"/>
    <cellStyle name="Comma 2 5 6 2 7" xfId="40170" xr:uid="{2D97C3E5-A367-4972-AB65-93B7C3F64D79}"/>
    <cellStyle name="Comma 2 5 6 2 8" xfId="40812" xr:uid="{EB82C9FB-BDE8-4F41-A6D8-187DCBCD376C}"/>
    <cellStyle name="Comma 2 5 6 2 9" xfId="42024" xr:uid="{8693869E-9EE9-42B4-A06D-2BDD3F7806D5}"/>
    <cellStyle name="Comma 2 5 6 3" xfId="7482" xr:uid="{1145A3E5-3F54-4C61-8DF4-B667F59DA07E}"/>
    <cellStyle name="Comma 2 5 6 3 10" xfId="14409" xr:uid="{DCEBCD78-5173-46F0-98EA-5E5FEBED2B3A}"/>
    <cellStyle name="Comma 2 5 6 3 2" xfId="9974" xr:uid="{66644FB1-2104-4D46-A7C2-647AB39BB473}"/>
    <cellStyle name="Comma 2 5 6 3 2 2" xfId="13280" xr:uid="{691246A3-9C4D-43E0-B420-C06D9BD23A1B}"/>
    <cellStyle name="Comma 2 5 6 3 2 2 2" xfId="47942" xr:uid="{F4209BB9-5F12-4C84-AC45-DDA19764D2DB}"/>
    <cellStyle name="Comma 2 5 6 3 2 3" xfId="50811" xr:uid="{73360D11-40DE-41E8-B757-60E790E1F7E3}"/>
    <cellStyle name="Comma 2 5 6 3 2 4" xfId="52841" xr:uid="{E32233EE-FF9E-4FA7-AFC4-E4194D777379}"/>
    <cellStyle name="Comma 2 5 6 3 2 5" xfId="39376" xr:uid="{87831FB5-386D-49DF-AE0C-95FB6709F740}"/>
    <cellStyle name="Comma 2 5 6 3 3" xfId="11995" xr:uid="{4EB4B219-6F4C-4788-8441-F8495B4E05E8}"/>
    <cellStyle name="Comma 2 5 6 3 3 2" xfId="41234" xr:uid="{ED311DBC-7A65-41FA-96E7-8CBD78A00F80}"/>
    <cellStyle name="Comma 2 5 6 3 4" xfId="43053" xr:uid="{F28DF67F-8A66-4344-8C5A-1177C58634C0}"/>
    <cellStyle name="Comma 2 5 6 3 5" xfId="45154" xr:uid="{48564A73-9F47-4286-BCE5-0C90EA627571}"/>
    <cellStyle name="Comma 2 5 6 3 6" xfId="46147" xr:uid="{1D3C2994-ED30-4519-861C-51548DDF89EA}"/>
    <cellStyle name="Comma 2 5 6 3 7" xfId="49483" xr:uid="{FB12B64A-D74E-41C1-89EF-DC6022168348}"/>
    <cellStyle name="Comma 2 5 6 3 8" xfId="52842" xr:uid="{0A160CA9-2B39-4F1F-830B-A6953914AC97}"/>
    <cellStyle name="Comma 2 5 6 3 9" xfId="20750" xr:uid="{F3B75E76-1991-4E49-A9E3-5EE2EBC5D402}"/>
    <cellStyle name="Comma 2 5 6 4" xfId="11138" xr:uid="{6C16BB2F-098E-4451-818B-695BFF24D9CA}"/>
    <cellStyle name="Comma 2 5 6 4 2" xfId="13734" xr:uid="{6F0ABD6A-B18F-4E8A-9113-BA406FE5CB80}"/>
    <cellStyle name="Comma 2 5 6 4 2 2" xfId="51273" xr:uid="{24475B4C-E024-4F76-82C3-E031C80FE3AE}"/>
    <cellStyle name="Comma 2 5 6 4 2 3" xfId="52843" xr:uid="{D93B1065-B330-42A2-ADE3-965F1188EF60}"/>
    <cellStyle name="Comma 2 5 6 4 2 4" xfId="48487" xr:uid="{C35BB877-0FE1-48B6-AA48-E15DF4B9EC63}"/>
    <cellStyle name="Comma 2 5 6 4 3" xfId="46926" xr:uid="{3D571307-9730-4736-8867-2739291EDBB4}"/>
    <cellStyle name="Comma 2 5 6 4 4" xfId="49945" xr:uid="{0E76E275-7E1F-40A1-A610-5BE006D68DD6}"/>
    <cellStyle name="Comma 2 5 6 4 5" xfId="52844" xr:uid="{168DE7B7-0C1E-4FE5-B69B-DEAB7A4E7E86}"/>
    <cellStyle name="Comma 2 5 6 4 6" xfId="20029" xr:uid="{E7643477-A986-4D72-A636-2305CEAA0853}"/>
    <cellStyle name="Comma 2 5 6 4 7" xfId="15038" xr:uid="{29CBBB71-97A8-47BC-85D6-F9128F71FC3D}"/>
    <cellStyle name="Comma 2 5 6 5" xfId="9480" xr:uid="{FB8E7562-436E-4E55-9283-0B6253AF5DBF}"/>
    <cellStyle name="Comma 2 5 6 5 2" xfId="12786" xr:uid="{92AE1CA3-426F-4543-A100-522B5EF1F005}"/>
    <cellStyle name="Comma 2 5 6 5 2 2" xfId="51529" xr:uid="{1FD0982D-E7F5-441B-8D0F-4CE9784170B1}"/>
    <cellStyle name="Comma 2 5 6 5 2 3" xfId="52845" xr:uid="{3E9D7E07-7CE1-49EF-8B3A-F3EB195A2C2D}"/>
    <cellStyle name="Comma 2 5 6 5 2 4" xfId="48794" xr:uid="{EFAECB75-0517-4817-81A0-F4857F786F8D}"/>
    <cellStyle name="Comma 2 5 6 5 3" xfId="47223" xr:uid="{335DFE4D-E25B-4EE4-AAFD-B1AA91E18E7E}"/>
    <cellStyle name="Comma 2 5 6 5 4" xfId="50201" xr:uid="{9C77EE5D-812A-4708-BDD2-35D7976F349B}"/>
    <cellStyle name="Comma 2 5 6 5 5" xfId="52846" xr:uid="{5A5C833D-A74E-4964-B5F9-5C591AD2CEE6}"/>
    <cellStyle name="Comma 2 5 6 5 6" xfId="23849" xr:uid="{5CA0C430-1452-41A5-B80D-48CC604ED54D}"/>
    <cellStyle name="Comma 2 5 6 6" xfId="6508" xr:uid="{7BA0F7B7-0493-4874-B8BB-FFE71C046373}"/>
    <cellStyle name="Comma 2 5 6 6 2" xfId="47764" xr:uid="{C65FAF44-7FBA-42F4-ABF7-F046E881CF96}"/>
    <cellStyle name="Comma 2 5 6 6 3" xfId="50663" xr:uid="{45264492-D2CB-479F-B7C9-33A7F1C6B17F}"/>
    <cellStyle name="Comma 2 5 6 6 4" xfId="52847" xr:uid="{B91D5534-A4CC-496A-B2F2-B900BC463836}"/>
    <cellStyle name="Comma 2 5 6 6 5" xfId="38346" xr:uid="{8114C18A-3F3D-4DBB-8EBE-A2A6B69261CF}"/>
    <cellStyle name="Comma 2 5 6 7" xfId="11501" xr:uid="{C4C79C08-04AF-4C5D-B814-B8B983394556}"/>
    <cellStyle name="Comma 2 5 6 7 2" xfId="38785" xr:uid="{E62BA56C-DD70-4B62-B8AE-AAD8ACD5474B}"/>
    <cellStyle name="Comma 2 5 6 8" xfId="40169" xr:uid="{3DAE6ACF-9F24-4F40-AA72-BFD80D46B697}"/>
    <cellStyle name="Comma 2 5 6 9" xfId="40811" xr:uid="{CD26AC28-FE08-4308-A138-F886C2E41C35}"/>
    <cellStyle name="Comma 2 5 7" xfId="3885" xr:uid="{22FEA70B-C4AD-499D-B1F3-9AAA340116BA}"/>
    <cellStyle name="Comma 2 5 7 10" xfId="42025" xr:uid="{8EE4FD99-506F-4944-8555-29B949B49579}"/>
    <cellStyle name="Comma 2 5 7 11" xfId="42402" xr:uid="{5BA223E5-0CCA-4DE0-B81A-545627C8FCCB}"/>
    <cellStyle name="Comma 2 5 7 12" xfId="43896" xr:uid="{B855FEF6-3B44-4163-805E-3E722592AA14}"/>
    <cellStyle name="Comma 2 5 7 13" xfId="44483" xr:uid="{B8FF8E88-BE64-4EB9-82C4-8336177BDE38}"/>
    <cellStyle name="Comma 2 5 7 14" xfId="46650" xr:uid="{7D50112A-2638-4479-8F70-51D83CB04DD6}"/>
    <cellStyle name="Comma 2 5 7 15" xfId="49683" xr:uid="{CEDD62AE-8C01-438C-9D98-10F5CF30986D}"/>
    <cellStyle name="Comma 2 5 7 16" xfId="52848" xr:uid="{39AB800F-6F8B-4FF4-A64F-961CAF142A8C}"/>
    <cellStyle name="Comma 2 5 7 17" xfId="16377" xr:uid="{705D8A0A-BBF6-44F5-8FCE-09A3F56844CD}"/>
    <cellStyle name="Comma 2 5 7 18" xfId="14164" xr:uid="{6CC23452-3BB7-4601-B314-290A2FA3D6D3}"/>
    <cellStyle name="Comma 2 5 7 2" xfId="5627" xr:uid="{1182C164-E3A6-4E5A-B2A6-A97C21DADC61}"/>
    <cellStyle name="Comma 2 5 7 2 10" xfId="42706" xr:uid="{8435ABDA-AABE-48B0-B159-4DCDB8970A6F}"/>
    <cellStyle name="Comma 2 5 7 2 11" xfId="44873" xr:uid="{1E85C82E-F121-4E4C-9DA5-7B605D6DA2CC}"/>
    <cellStyle name="Comma 2 5 7 2 12" xfId="46868" xr:uid="{B5DF5E4A-A860-4BD4-A45A-C312624C10A9}"/>
    <cellStyle name="Comma 2 5 7 2 13" xfId="49890" xr:uid="{A3965D96-E420-4CF6-A2C1-E490AD41F640}"/>
    <cellStyle name="Comma 2 5 7 2 14" xfId="52849" xr:uid="{2A66662F-D3CD-4D9C-8BBE-23F5B37D4323}"/>
    <cellStyle name="Comma 2 5 7 2 15" xfId="17059" xr:uid="{7EC9EF8E-6DDC-41BB-9393-AF71AFBD9661}"/>
    <cellStyle name="Comma 2 5 7 2 16" xfId="14656" xr:uid="{E50EF99F-353C-4486-B4D3-700380C41704}"/>
    <cellStyle name="Comma 2 5 7 2 2" xfId="10221" xr:uid="{8B76DD74-9162-4D65-8702-DD98E92120CD}"/>
    <cellStyle name="Comma 2 5 7 2 2 2" xfId="13527" xr:uid="{97DEF115-3C99-4FB3-A8F1-A9118994620B}"/>
    <cellStyle name="Comma 2 5 7 2 2 2 2" xfId="39620" xr:uid="{114A1A51-BD58-4CD7-B0AC-2273C6309B7C}"/>
    <cellStyle name="Comma 2 5 7 2 2 3" xfId="41473" xr:uid="{B7541B3C-4417-4996-815C-76B98157E398}"/>
    <cellStyle name="Comma 2 5 7 2 2 4" xfId="43297" xr:uid="{72A7AF0C-1C2B-4461-8D75-D1A7A84987FB}"/>
    <cellStyle name="Comma 2 5 7 2 2 5" xfId="45394" xr:uid="{829F2883-8BFF-465E-90A1-8DCD55B79D33}"/>
    <cellStyle name="Comma 2 5 7 2 2 6" xfId="48424" xr:uid="{E73382B1-EC25-4295-BB41-D66A70889CEF}"/>
    <cellStyle name="Comma 2 5 7 2 2 7" xfId="51218" xr:uid="{84BBF1D2-05C5-4B32-BA70-42D80EB2F447}"/>
    <cellStyle name="Comma 2 5 7 2 2 8" xfId="52850" xr:uid="{0C921A7E-24B6-4869-B834-A57335517CC2}"/>
    <cellStyle name="Comma 2 5 7 2 2 9" xfId="21054" xr:uid="{07E745C1-9681-4298-AE5D-C8731B9FC485}"/>
    <cellStyle name="Comma 2 5 7 2 3" xfId="7729" xr:uid="{3902C2CB-ECC3-428D-883F-3DC4E0311303}"/>
    <cellStyle name="Comma 2 5 7 2 3 2" xfId="20273" xr:uid="{513CA49B-CDA2-4808-8531-A0E927DC9F26}"/>
    <cellStyle name="Comma 2 5 7 2 4" xfId="12242" xr:uid="{DDD46C1B-1F07-4FD2-8DFF-EC98F3DDA358}"/>
    <cellStyle name="Comma 2 5 7 2 4 2" xfId="23852" xr:uid="{3B12F067-2258-4261-85DC-486ED97E443D}"/>
    <cellStyle name="Comma 2 5 7 2 5" xfId="38349" xr:uid="{235CBD4E-A97E-4AF9-AD79-F7F1B61AD82F}"/>
    <cellStyle name="Comma 2 5 7 2 6" xfId="39029" xr:uid="{D69DF8B4-8B04-455F-82ED-13B917864E4E}"/>
    <cellStyle name="Comma 2 5 7 2 7" xfId="40172" xr:uid="{0BDECA56-8407-49B6-ACD7-3BEC079B84AE}"/>
    <cellStyle name="Comma 2 5 7 2 8" xfId="40814" xr:uid="{4E566A94-6CBC-4828-B64C-12802FC25B64}"/>
    <cellStyle name="Comma 2 5 7 2 9" xfId="42026" xr:uid="{E8AA9D34-1423-4ED2-99EF-1477C64B3DC6}"/>
    <cellStyle name="Comma 2 5 7 3" xfId="9727" xr:uid="{A9FC0232-F07A-44C1-AC82-8C7CBD3AA3C5}"/>
    <cellStyle name="Comma 2 5 7 3 10" xfId="14971" xr:uid="{17733F27-3545-451B-A944-760A1ED592B7}"/>
    <cellStyle name="Comma 2 5 7 3 2" xfId="13033" xr:uid="{B487EA5F-57BA-4357-B224-B9A74BC76173}"/>
    <cellStyle name="Comma 2 5 7 3 2 2" xfId="49039" xr:uid="{617CC810-778B-457A-9B58-72CB4B3E2610}"/>
    <cellStyle name="Comma 2 5 7 3 2 3" xfId="51729" xr:uid="{1F36802B-4E96-4DC8-B42A-04B52F92EEE8}"/>
    <cellStyle name="Comma 2 5 7 3 2 4" xfId="52851" xr:uid="{AFF6E525-D25C-4E42-8972-16B0D5C0F74D}"/>
    <cellStyle name="Comma 2 5 7 3 2 5" xfId="39316" xr:uid="{18773CE9-F3E8-4E44-A097-D3586BEB4361}"/>
    <cellStyle name="Comma 2 5 7 3 3" xfId="41178" xr:uid="{DCD0D1A0-905C-452B-B127-3D1609B4A8E8}"/>
    <cellStyle name="Comma 2 5 7 3 4" xfId="42993" xr:uid="{5D3266DC-C655-404E-9578-45AC0F46D0ED}"/>
    <cellStyle name="Comma 2 5 7 3 5" xfId="45098" xr:uid="{E1DC752A-589E-462E-B552-5E701878638D}"/>
    <cellStyle name="Comma 2 5 7 3 6" xfId="47458" xr:uid="{4E505CC2-EC9B-4511-A8EB-04F7AFA1B9DC}"/>
    <cellStyle name="Comma 2 5 7 3 7" xfId="50401" xr:uid="{BCBBE7DA-D1CA-4721-A54C-46C8048DCDCB}"/>
    <cellStyle name="Comma 2 5 7 3 8" xfId="52852" xr:uid="{CDEC6A9B-C63B-44BB-A5B7-3DD3F77CD7EA}"/>
    <cellStyle name="Comma 2 5 7 3 9" xfId="20622" xr:uid="{A37C24D3-8C63-4AFC-986E-6C93E737048D}"/>
    <cellStyle name="Comma 2 5 7 4" xfId="7223" xr:uid="{BF481C6C-8F19-4313-9E6E-4BE9718D334C}"/>
    <cellStyle name="Comma 2 5 7 4 2" xfId="48184" xr:uid="{444F8F4A-20DA-4C7E-9903-52258F5EF496}"/>
    <cellStyle name="Comma 2 5 7 4 3" xfId="51011" xr:uid="{96638DD2-9FA6-4029-8D11-B6A54F4F7211}"/>
    <cellStyle name="Comma 2 5 7 4 4" xfId="52853" xr:uid="{0D5878EF-72A7-4974-B126-9EE20861F224}"/>
    <cellStyle name="Comma 2 5 7 4 5" xfId="19969" xr:uid="{72A00FD8-3D98-4F01-BA2F-0994E9E04A85}"/>
    <cellStyle name="Comma 2 5 7 5" xfId="11748" xr:uid="{DC774753-38F1-4F73-8930-B9A3FF6673A2}"/>
    <cellStyle name="Comma 2 5 7 5 2" xfId="23851" xr:uid="{2DE032F4-1F10-49C7-9E26-123EFA1FB80F}"/>
    <cellStyle name="Comma 2 5 7 6" xfId="38348" xr:uid="{8B275DE1-9B8C-4E0F-94D9-4E8C48823712}"/>
    <cellStyle name="Comma 2 5 7 7" xfId="38725" xr:uid="{462F82EE-2B71-46C6-80F2-AE0947DC2447}"/>
    <cellStyle name="Comma 2 5 7 8" xfId="40171" xr:uid="{213141B6-F6A8-4C38-8B53-4C107A4D302C}"/>
    <cellStyle name="Comma 2 5 7 9" xfId="40813" xr:uid="{A9104858-D80A-4CCC-8EA3-1F237C9E7CF3}"/>
    <cellStyle name="Comma 2 5 8" xfId="5518" xr:uid="{52D0ED6F-410B-48C6-B41D-6FAB632AA8C8}"/>
    <cellStyle name="Comma 2 5 8 10" xfId="42707" xr:uid="{626F937A-CDB9-4541-93E4-61FC99CACB37}"/>
    <cellStyle name="Comma 2 5 8 11" xfId="43807" xr:uid="{94ADD04F-DA13-47C2-B8F9-9859E2510D8E}"/>
    <cellStyle name="Comma 2 5 8 12" xfId="44874" xr:uid="{7B0123B2-0B41-4FE8-AC77-C4AA31A7C6BC}"/>
    <cellStyle name="Comma 2 5 8 13" xfId="46565" xr:uid="{A3A375B1-003D-4686-8D69-8F643D82954A}"/>
    <cellStyle name="Comma 2 5 8 14" xfId="49598" xr:uid="{509C2960-1907-4B37-A6C0-62FDB7FCF5EB}"/>
    <cellStyle name="Comma 2 5 8 15" xfId="52854" xr:uid="{49539C33-328D-4468-9764-F7499BEC4704}"/>
    <cellStyle name="Comma 2 5 8 16" xfId="17060" xr:uid="{DEB07316-AB30-47E3-A0C6-E54AE3200066}"/>
    <cellStyle name="Comma 2 5 8 17" xfId="14055" xr:uid="{41BDC20D-F57F-4CD6-BAF8-06E77B3BD8DC}"/>
    <cellStyle name="Comma 2 5 8 2" xfId="7620" xr:uid="{6DE37EA7-2F0B-42BC-BA9E-BAF3469E9980}"/>
    <cellStyle name="Comma 2 5 8 2 10" xfId="14547" xr:uid="{5C34820A-85B4-4885-BE4C-C34C9EF9CCDC}"/>
    <cellStyle name="Comma 2 5 8 2 2" xfId="10112" xr:uid="{12301F1D-A902-4CC5-A005-D448E544048A}"/>
    <cellStyle name="Comma 2 5 8 2 2 2" xfId="13418" xr:uid="{879D6DE5-4C22-48FF-B17C-25B6B8AC6930}"/>
    <cellStyle name="Comma 2 5 8 2 2 2 2" xfId="48619" xr:uid="{F1531937-A90F-4649-9AEE-4A7A2F4A202B}"/>
    <cellStyle name="Comma 2 5 8 2 2 3" xfId="51382" xr:uid="{68B7A8F0-2527-4926-9A9D-24D1A08571F0}"/>
    <cellStyle name="Comma 2 5 8 2 2 4" xfId="52855" xr:uid="{A442858F-3DF0-47C5-85F5-E6BE92D9EE37}"/>
    <cellStyle name="Comma 2 5 8 2 2 5" xfId="39621" xr:uid="{3B26ACAC-0F0B-4887-94EE-CA8869237FB0}"/>
    <cellStyle name="Comma 2 5 8 2 3" xfId="12133" xr:uid="{5A7D39F1-8DFF-4C73-AE86-4348272CBF35}"/>
    <cellStyle name="Comma 2 5 8 2 3 2" xfId="41474" xr:uid="{A3F8AF85-F168-4564-8298-459690163DF1}"/>
    <cellStyle name="Comma 2 5 8 2 4" xfId="43298" xr:uid="{6DC69431-5ED0-4391-8C2F-46B102DA2BA0}"/>
    <cellStyle name="Comma 2 5 8 2 5" xfId="45395" xr:uid="{DFB8854C-4850-4CBF-B2C3-E25155703E81}"/>
    <cellStyle name="Comma 2 5 8 2 6" xfId="47053" xr:uid="{4348C7AF-DD3B-480B-BD9E-F77B13E8855A}"/>
    <cellStyle name="Comma 2 5 8 2 7" xfId="50054" xr:uid="{88704575-D434-4BB6-B39A-6516602DB4F5}"/>
    <cellStyle name="Comma 2 5 8 2 8" xfId="52856" xr:uid="{A8E4ACD1-679C-43B8-A278-E2A6DE4ECCCA}"/>
    <cellStyle name="Comma 2 5 8 2 9" xfId="21055" xr:uid="{4C654447-E95B-4CDA-91D3-C10186DED8DD}"/>
    <cellStyle name="Comma 2 5 8 3" xfId="9618" xr:uid="{EB264E34-456E-44A5-9E79-14000A70B326}"/>
    <cellStyle name="Comma 2 5 8 3 2" xfId="12924" xr:uid="{10C7440A-1427-41AE-8AA6-E03B93AB1F8F}"/>
    <cellStyle name="Comma 2 5 8 3 2 2" xfId="51644" xr:uid="{98448BB5-D523-40B9-AFB1-5514F6925079}"/>
    <cellStyle name="Comma 2 5 8 3 2 3" xfId="52857" xr:uid="{90AB3AAD-188E-4836-A704-4ADFF0530AB1}"/>
    <cellStyle name="Comma 2 5 8 3 2 4" xfId="48932" xr:uid="{EDEB566F-2A5B-4A19-8A12-21687A5E508B}"/>
    <cellStyle name="Comma 2 5 8 3 3" xfId="47356" xr:uid="{EA678C23-75E2-46AB-A399-BBE77FAEF7CC}"/>
    <cellStyle name="Comma 2 5 8 3 4" xfId="50316" xr:uid="{6DF13518-C79A-456D-AFCC-0034C74C6612}"/>
    <cellStyle name="Comma 2 5 8 3 5" xfId="52858" xr:uid="{5153E5A6-DDBE-4001-AFFF-ACBFBC2A5D0F}"/>
    <cellStyle name="Comma 2 5 8 3 6" xfId="20274" xr:uid="{3B39EF11-EBF0-42AE-9088-A939C1FAA880}"/>
    <cellStyle name="Comma 2 5 8 4" xfId="7114" xr:uid="{B6A44FCF-E405-4B00-B6FB-603E0893D6E1}"/>
    <cellStyle name="Comma 2 5 8 4 2" xfId="48077" xr:uid="{7C53E620-F969-464A-A0A0-E1CAD6E204EB}"/>
    <cellStyle name="Comma 2 5 8 4 3" xfId="50926" xr:uid="{D7D23253-6AB8-4159-BC00-80145F52F6B0}"/>
    <cellStyle name="Comma 2 5 8 4 4" xfId="52859" xr:uid="{481A1B7F-A1C1-47CD-AE3B-221CBFA57CEF}"/>
    <cellStyle name="Comma 2 5 8 4 5" xfId="23853" xr:uid="{610A4219-899B-4843-BD5D-ABEA2370D905}"/>
    <cellStyle name="Comma 2 5 8 5" xfId="11639" xr:uid="{DAF47D15-F6DA-41CA-B249-3E5B51DACC25}"/>
    <cellStyle name="Comma 2 5 8 5 2" xfId="38350" xr:uid="{E0AE19B8-7225-48F7-B4DB-633748978727}"/>
    <cellStyle name="Comma 2 5 8 6" xfId="39030" xr:uid="{0CD9C6E1-B757-46A1-80BD-C901A7543F9F}"/>
    <cellStyle name="Comma 2 5 8 7" xfId="40173" xr:uid="{00F3B1C5-663C-41E7-87CB-F8541638522E}"/>
    <cellStyle name="Comma 2 5 8 8" xfId="40815" xr:uid="{19B2B2C2-0263-424C-BA31-371162D9688A}"/>
    <cellStyle name="Comma 2 5 8 9" xfId="42027" xr:uid="{20437BA4-C80A-4E6D-BD56-643A53AF8588}"/>
    <cellStyle name="Comma 2 5 9" xfId="5952" xr:uid="{B4622A42-0756-4301-9453-219D6B3251CD}"/>
    <cellStyle name="Comma 2 5 9 10" xfId="42683" xr:uid="{6425143A-9A95-4177-85B3-C589F2AC97F8}"/>
    <cellStyle name="Comma 2 5 9 11" xfId="44850" xr:uid="{CFB833B2-B27B-44AA-8C58-752B15EBB494}"/>
    <cellStyle name="Comma 2 5 9 12" xfId="45806" xr:uid="{2238BF8C-F450-4FF1-B6B0-94D4804D0EA3}"/>
    <cellStyle name="Comma 2 5 9 13" xfId="49428" xr:uid="{66345951-244F-4B8F-BF7B-B91DB107A277}"/>
    <cellStyle name="Comma 2 5 9 14" xfId="52860" xr:uid="{FB185A6D-6C5A-4658-9AEB-629A5718B77F}"/>
    <cellStyle name="Comma 2 5 9 15" xfId="17036" xr:uid="{770D1DFE-5900-4E78-ABBA-637373AAAD3A}"/>
    <cellStyle name="Comma 2 5 9 16" xfId="14342" xr:uid="{C6C5F756-8DE7-44E7-A2E5-B1BECE75E769}"/>
    <cellStyle name="Comma 2 5 9 2" xfId="9410" xr:uid="{482F027E-43C9-4B25-A322-AA174A8AE7B2}"/>
    <cellStyle name="Comma 2 5 9 2 10" xfId="45371" xr:uid="{7F813405-933D-435D-BD19-96B33452AA0D}"/>
    <cellStyle name="Comma 2 5 9 2 11" xfId="47879" xr:uid="{53B10FB7-2A70-496C-BE45-3BA2BB527BCD}"/>
    <cellStyle name="Comma 2 5 9 2 12" xfId="50756" xr:uid="{59B53060-5072-4E7C-86DF-54356C4EE777}"/>
    <cellStyle name="Comma 2 5 9 2 13" xfId="52861" xr:uid="{F1F93B3D-92CF-4E95-BB9D-67C86603A299}"/>
    <cellStyle name="Comma 2 5 9 2 14" xfId="21031" xr:uid="{E579FAB9-A82A-4B93-B426-39BC899B1CE5}"/>
    <cellStyle name="Comma 2 5 9 2 2" xfId="12716" xr:uid="{45079E0B-D195-4E62-8AD2-4FEE18A92A89}"/>
    <cellStyle name="Comma 2 5 9 2 2 2" xfId="23855" xr:uid="{4A2D41E7-AE5C-4DBF-A4D2-B6793A49120B}"/>
    <cellStyle name="Comma 2 5 9 2 3" xfId="38352" xr:uid="{18892C62-8173-4FDB-8641-09BA6EC40E4B}"/>
    <cellStyle name="Comma 2 5 9 2 4" xfId="39597" xr:uid="{9F41A7B7-E7DF-4A69-8A32-5BCF59365141}"/>
    <cellStyle name="Comma 2 5 9 2 5" xfId="40175" xr:uid="{A107144E-EEBC-4514-9995-159591AC82BC}"/>
    <cellStyle name="Comma 2 5 9 2 6" xfId="40817" xr:uid="{CD417005-E14F-4C11-BEDC-724D6B4BDAF8}"/>
    <cellStyle name="Comma 2 5 9 2 7" xfId="41451" xr:uid="{E14D7EC8-7387-4911-AC81-52A309F41977}"/>
    <cellStyle name="Comma 2 5 9 2 8" xfId="42029" xr:uid="{7789F08F-7E54-4236-ABF7-41B2EE7EE6B3}"/>
    <cellStyle name="Comma 2 5 9 2 9" xfId="43274" xr:uid="{C2A61A08-4EDA-4D8E-B2C3-B544D7B1F68D}"/>
    <cellStyle name="Comma 2 5 9 3" xfId="11431" xr:uid="{FD0372FA-E743-4121-9225-951C6B4ECED1}"/>
    <cellStyle name="Comma 2 5 9 3 2" xfId="20250" xr:uid="{B1B6DC57-DA84-405E-991B-62C3D8B628A8}"/>
    <cellStyle name="Comma 2 5 9 4" xfId="23854" xr:uid="{BCB579B8-A28B-4272-90BC-16010D53CFF1}"/>
    <cellStyle name="Comma 2 5 9 5" xfId="38351" xr:uid="{F3045743-3495-476D-B20E-81E58E705715}"/>
    <cellStyle name="Comma 2 5 9 6" xfId="39006" xr:uid="{2A97AF76-BEA4-4ADA-94CB-88EE8FDD0DEC}"/>
    <cellStyle name="Comma 2 5 9 7" xfId="40174" xr:uid="{AA099B57-B75D-477F-A853-94E40F5B3E6D}"/>
    <cellStyle name="Comma 2 5 9 8" xfId="40816" xr:uid="{A5A92F1F-4E38-4BE5-B5E3-2535E40ECD4B}"/>
    <cellStyle name="Comma 2 5 9 9" xfId="42028" xr:uid="{57654FDB-CB07-480B-87CD-8315FFD37488}"/>
    <cellStyle name="Comma 2 6" xfId="1766" xr:uid="{62517E03-AE1F-4204-9BE3-B9E7ABCD237E}"/>
    <cellStyle name="Comma 2 6 10" xfId="7940" xr:uid="{D1BF7CBB-81F1-4F5E-BC15-C6752F8394C6}"/>
    <cellStyle name="Comma 2 6 10 10" xfId="47629" xr:uid="{8F0A0E85-45BE-4D87-9D90-9204A931E507}"/>
    <cellStyle name="Comma 2 6 10 11" xfId="50542" xr:uid="{CB3F147D-BF27-4194-B9B0-EA6F50A352B2}"/>
    <cellStyle name="Comma 2 6 10 12" xfId="52862" xr:uid="{722E0EA9-CAD6-4D6C-8351-253F0145381B}"/>
    <cellStyle name="Comma 2 6 10 13" xfId="20473" xr:uid="{58541143-0355-4BE6-ADD1-D5B29B8282C7}"/>
    <cellStyle name="Comma 2 6 10 2" xfId="12453" xr:uid="{B32081DC-4FF4-490E-85D2-6753167E0FBF}"/>
    <cellStyle name="Comma 2 6 10 2 2" xfId="23857" xr:uid="{241D389F-8DA7-4EB5-A45F-1F6530A3D35A}"/>
    <cellStyle name="Comma 2 6 10 3" xfId="38354" xr:uid="{7AE8BCE1-0D97-4FD8-8029-79F37E686553}"/>
    <cellStyle name="Comma 2 6 10 4" xfId="39228" xr:uid="{E92CFFDF-77BF-4C4E-B31B-4B5B80E4F294}"/>
    <cellStyle name="Comma 2 6 10 5" xfId="40177" xr:uid="{9FA0D261-218D-4E51-A527-B9BF2F8B40AF}"/>
    <cellStyle name="Comma 2 6 10 6" xfId="40819" xr:uid="{81118328-877E-4254-B89C-C8059848A477}"/>
    <cellStyle name="Comma 2 6 10 7" xfId="42031" xr:uid="{F829FB0F-D3C8-42E3-B962-1C8C4D18B090}"/>
    <cellStyle name="Comma 2 6 10 8" xfId="42905" xr:uid="{10C70D5D-2D18-4788-8A10-A9E3BD298920}"/>
    <cellStyle name="Comma 2 6 10 9" xfId="45012" xr:uid="{E6B5D70B-830C-416A-88AD-859E4356B8B7}"/>
    <cellStyle name="Comma 2 6 11" xfId="5837" xr:uid="{DD849278-44BD-4231-8AF3-B59B68022DF1}"/>
    <cellStyle name="Comma 2 6 11 2" xfId="19879" xr:uid="{DFA74D1A-E0E7-4C18-907F-B63856F4EFEC}"/>
    <cellStyle name="Comma 2 6 12" xfId="11325" xr:uid="{B13E1AD1-3E7C-4EBF-9060-7D501E2FCBCC}"/>
    <cellStyle name="Comma 2 6 12 2" xfId="23856" xr:uid="{9FE88CD5-DFA0-4626-AB43-73C5D6458AD5}"/>
    <cellStyle name="Comma 2 6 13" xfId="38353" xr:uid="{7BAB1033-1DC7-4D6A-B5EF-9B86D186FEEF}"/>
    <cellStyle name="Comma 2 6 14" xfId="38637" xr:uid="{DAFF06A9-6B1F-4F90-BEC9-FA0BBB2BBB3D}"/>
    <cellStyle name="Comma 2 6 15" xfId="40176" xr:uid="{32D9AA79-FFE5-4C9D-A7C9-909162E0A84A}"/>
    <cellStyle name="Comma 2 6 16" xfId="40818" xr:uid="{0D2526CA-EBF5-4211-9288-C862F6EC6554}"/>
    <cellStyle name="Comma 2 6 17" xfId="42030" xr:uid="{15DA575C-5DB5-4146-8C3F-08554E91AACD}"/>
    <cellStyle name="Comma 2 6 18" xfId="42314" xr:uid="{C9C9DB5F-9960-4500-B425-EC03155E4769}"/>
    <cellStyle name="Comma 2 6 19" xfId="43478" xr:uid="{90249D71-0E26-41FF-AFF5-218221E08069}"/>
    <cellStyle name="Comma 2 6 2" xfId="1767" xr:uid="{60EFD5FA-DE47-47AC-A502-BE85545C1350}"/>
    <cellStyle name="Comma 2 6 2 10" xfId="38355" xr:uid="{7A2DCE92-35B9-47FF-8F02-C7559E1EA2D1}"/>
    <cellStyle name="Comma 2 6 2 11" xfId="38675" xr:uid="{48B87652-CDAB-4427-8E76-F7F304F0DC22}"/>
    <cellStyle name="Comma 2 6 2 12" xfId="40178" xr:uid="{EBC34BFA-794D-450F-B787-33B5BA76D5B8}"/>
    <cellStyle name="Comma 2 6 2 13" xfId="40820" xr:uid="{DB67AADB-08EF-479C-98A9-D477AE27B3EC}"/>
    <cellStyle name="Comma 2 6 2 14" xfId="42032" xr:uid="{D666AF10-AF6D-4191-BBC9-9698C1593B95}"/>
    <cellStyle name="Comma 2 6 2 15" xfId="42352" xr:uid="{598F24B2-6726-4A03-8DEF-C6CC354A262A}"/>
    <cellStyle name="Comma 2 6 2 16" xfId="43540" xr:uid="{05BC6E62-AAF2-426F-9190-097803869F87}"/>
    <cellStyle name="Comma 2 6 2 17" xfId="44403" xr:uid="{4E7DC777-F42A-4C3D-9604-1BBED81740FB}"/>
    <cellStyle name="Comma 2 6 2 18" xfId="45638" xr:uid="{C2018427-A171-4D89-B161-12B89F59E3AA}"/>
    <cellStyle name="Comma 2 6 2 19" xfId="49267" xr:uid="{03FBC2FB-D95F-4014-8CBD-8A2AACDA97A9}"/>
    <cellStyle name="Comma 2 6 2 2" xfId="4443" xr:uid="{DF7538F4-4537-4094-82AB-92B20536D510}"/>
    <cellStyle name="Comma 2 6 2 2 10" xfId="40821" xr:uid="{1942ABBB-71DB-42ED-8C3A-9271575CEBE5}"/>
    <cellStyle name="Comma 2 6 2 2 11" xfId="42033" xr:uid="{FDA26EEF-EA04-494A-A4A8-BE17EC090867}"/>
    <cellStyle name="Comma 2 6 2 2 12" xfId="42378" xr:uid="{FF7DF681-B6E3-43E8-BBB3-E9D56D51A874}"/>
    <cellStyle name="Comma 2 6 2 2 13" xfId="44244" xr:uid="{25A94D50-FBCB-49AB-B943-95361D27DCA3}"/>
    <cellStyle name="Comma 2 6 2 2 14" xfId="44544" xr:uid="{9C4E2D95-CF38-46F9-ABFB-7A679C13238B}"/>
    <cellStyle name="Comma 2 6 2 2 15" xfId="45712" xr:uid="{7104DE22-B72C-4C4F-9509-ECDC11DA12CA}"/>
    <cellStyle name="Comma 2 6 2 2 16" xfId="49340" xr:uid="{ACD60A95-2892-48F9-80B4-68CD699799A1}"/>
    <cellStyle name="Comma 2 6 2 2 17" xfId="52863" xr:uid="{98F1B3AB-71CF-4D74-BAF1-8674BC391B2E}"/>
    <cellStyle name="Comma 2 6 2 2 18" xfId="15802" xr:uid="{5DBA881A-683A-4533-A79C-272C08E2FAB0}"/>
    <cellStyle name="Comma 2 6 2 2 19" xfId="14237" xr:uid="{24B30A80-17B3-4B26-813D-DDFB063033E0}"/>
    <cellStyle name="Comma 2 6 2 2 2" xfId="5700" xr:uid="{0F082696-9AD2-4F8C-961D-CDA1F4FD32D1}"/>
    <cellStyle name="Comma 2 6 2 2 2 10" xfId="42034" xr:uid="{30A7B0B9-0A14-4FBA-924D-743E715D3E93}"/>
    <cellStyle name="Comma 2 6 2 2 2 11" xfId="42530" xr:uid="{4FB1D8ED-3687-419D-994E-3D43479D74AF}"/>
    <cellStyle name="Comma 2 6 2 2 2 12" xfId="44698" xr:uid="{FF3EF544-579C-422C-B95D-B5267286957C}"/>
    <cellStyle name="Comma 2 6 2 2 2 13" xfId="46712" xr:uid="{3FB875DD-AED4-48DF-BCD2-F660AA816128}"/>
    <cellStyle name="Comma 2 6 2 2 2 14" xfId="49744" xr:uid="{C69055BE-4C9C-455C-95FD-D9E9CD1F11CF}"/>
    <cellStyle name="Comma 2 6 2 2 2 15" xfId="52864" xr:uid="{26F37E41-2AFC-40A1-9B8D-67E0FD6E97B4}"/>
    <cellStyle name="Comma 2 6 2 2 2 16" xfId="16820" xr:uid="{BC8ADF77-C4AC-4824-99D0-C138079C74A2}"/>
    <cellStyle name="Comma 2 6 2 2 2 17" xfId="14729" xr:uid="{F4F01672-2651-4D5F-8E1D-028A5C9C6292}"/>
    <cellStyle name="Comma 2 6 2 2 2 2" xfId="10294" xr:uid="{4DEF6686-8CEF-404E-8BDE-D403ED76BA99}"/>
    <cellStyle name="Comma 2 6 2 2 2 2 10" xfId="42711" xr:uid="{85D088AE-E528-4F5E-AB6F-AE9593914313}"/>
    <cellStyle name="Comma 2 6 2 2 2 2 11" xfId="44878" xr:uid="{9A2ECA10-9628-4617-87BC-5E01D4054CE9}"/>
    <cellStyle name="Comma 2 6 2 2 2 2 12" xfId="48254" xr:uid="{CC5A1E53-9C61-4EC5-A964-B13635FBC262}"/>
    <cellStyle name="Comma 2 6 2 2 2 2 13" xfId="51072" xr:uid="{A25617FB-F61B-44AA-87A0-91897EBD3C91}"/>
    <cellStyle name="Comma 2 6 2 2 2 2 14" xfId="52865" xr:uid="{7447BA0F-D3EE-42C2-AB7A-5422A9DD18F3}"/>
    <cellStyle name="Comma 2 6 2 2 2 2 15" xfId="17064" xr:uid="{11C24F66-C7EF-48A0-A8B6-D73DDDFCB20B}"/>
    <cellStyle name="Comma 2 6 2 2 2 2 2" xfId="13600" xr:uid="{39C2F057-712E-43DC-AB80-2B963C527499}"/>
    <cellStyle name="Comma 2 6 2 2 2 2 2 2" xfId="39625" xr:uid="{EE24224C-51B7-4D7E-9061-106025CEB7B0}"/>
    <cellStyle name="Comma 2 6 2 2 2 2 2 3" xfId="41478" xr:uid="{52184F5D-C441-498E-8933-7049A7448C4D}"/>
    <cellStyle name="Comma 2 6 2 2 2 2 2 4" xfId="43302" xr:uid="{40A17AD7-2F67-4D6C-8696-F3EC5A3B2932}"/>
    <cellStyle name="Comma 2 6 2 2 2 2 2 5" xfId="45399" xr:uid="{4D0B2D3C-EB23-4D53-BC16-C232AB3958A1}"/>
    <cellStyle name="Comma 2 6 2 2 2 2 2 6" xfId="21059" xr:uid="{C7F10841-1087-4E41-8606-EFE152CF5AC5}"/>
    <cellStyle name="Comma 2 6 2 2 2 2 3" xfId="20278" xr:uid="{E8C81622-036E-4F61-B07E-B995B84AF798}"/>
    <cellStyle name="Comma 2 6 2 2 2 2 4" xfId="23861" xr:uid="{C960539C-B86B-412E-A49D-954BA61DE492}"/>
    <cellStyle name="Comma 2 6 2 2 2 2 5" xfId="38358" xr:uid="{05D155D5-09F4-4C4D-8E8C-36DAC414D798}"/>
    <cellStyle name="Comma 2 6 2 2 2 2 6" xfId="39034" xr:uid="{D682FE45-E05D-4DFA-A79E-9506A5C0FDB0}"/>
    <cellStyle name="Comma 2 6 2 2 2 2 7" xfId="40181" xr:uid="{1875515A-BDD6-4840-A094-966DB97C3451}"/>
    <cellStyle name="Comma 2 6 2 2 2 2 8" xfId="40823" xr:uid="{4E6B86DB-661B-43DB-BFA3-8443812994D1}"/>
    <cellStyle name="Comma 2 6 2 2 2 2 9" xfId="42035" xr:uid="{AD4917EF-E6A0-4F5B-8833-6C9EA09EB619}"/>
    <cellStyle name="Comma 2 6 2 2 2 3" xfId="7802" xr:uid="{5C62E56E-77DF-4FBB-B97A-292571F5074C}"/>
    <cellStyle name="Comma 2 6 2 2 2 3 2" xfId="39444" xr:uid="{7836C6E0-9C75-40E4-9441-A7CE969C9368}"/>
    <cellStyle name="Comma 2 6 2 2 2 3 3" xfId="41298" xr:uid="{27DA3A52-54BC-42E8-A3B5-BCF573BBAE3D}"/>
    <cellStyle name="Comma 2 6 2 2 2 3 4" xfId="43121" xr:uid="{7A6D6863-50C5-4475-A4B3-82440F872029}"/>
    <cellStyle name="Comma 2 6 2 2 2 3 5" xfId="45218" xr:uid="{DAF68A3E-2780-4F07-AB4D-8661A878314E}"/>
    <cellStyle name="Comma 2 6 2 2 2 3 6" xfId="20822" xr:uid="{AE5DBC07-80D4-4E1D-85AF-4D089B2CA6E1}"/>
    <cellStyle name="Comma 2 6 2 2 2 4" xfId="12315" xr:uid="{5C585640-9213-4209-8BB6-AA01680E8FA5}"/>
    <cellStyle name="Comma 2 6 2 2 2 4 2" xfId="20097" xr:uid="{C18B5A6D-A8C3-4C68-B2D0-E7257DF16783}"/>
    <cellStyle name="Comma 2 6 2 2 2 5" xfId="23860" xr:uid="{F467B2B6-031C-407A-A1A2-E39D3BEAB5FC}"/>
    <cellStyle name="Comma 2 6 2 2 2 6" xfId="38357" xr:uid="{09EB120E-8984-4777-930A-FD3E82AA89B2}"/>
    <cellStyle name="Comma 2 6 2 2 2 7" xfId="38853" xr:uid="{254EB493-EF5A-4F3F-AE1A-E17250A9F5B7}"/>
    <cellStyle name="Comma 2 6 2 2 2 8" xfId="40180" xr:uid="{1F155C83-0426-4267-A82A-DF358EC5DFA7}"/>
    <cellStyle name="Comma 2 6 2 2 2 9" xfId="40822" xr:uid="{0BF4E697-0A54-4FB1-8C1E-A947E0D9E61C}"/>
    <cellStyle name="Comma 2 6 2 2 3" xfId="11143" xr:uid="{CFB2DED9-797B-4504-AA28-D8EA366481C7}"/>
    <cellStyle name="Comma 2 6 2 2 3 10" xfId="42710" xr:uid="{3D6D5C76-94E2-49F6-AF99-FC0BE1591526}"/>
    <cellStyle name="Comma 2 6 2 2 3 11" xfId="44877" xr:uid="{A93D6C54-ED39-46CE-AB11-F2C929651F1C}"/>
    <cellStyle name="Comma 2 6 2 2 3 12" xfId="46932" xr:uid="{8A3EB05C-4A34-44A9-B3EE-DE80526B7AE6}"/>
    <cellStyle name="Comma 2 6 2 2 3 13" xfId="49951" xr:uid="{91EC882D-E2B4-474A-B53B-087A514B1C66}"/>
    <cellStyle name="Comma 2 6 2 2 3 14" xfId="52866" xr:uid="{B35EFA7F-9407-4978-821A-55F81B37410B}"/>
    <cellStyle name="Comma 2 6 2 2 3 15" xfId="17063" xr:uid="{1138C2F7-12FE-4198-8FFA-B36EA4A14B4C}"/>
    <cellStyle name="Comma 2 6 2 2 3 16" xfId="15044" xr:uid="{6E3F5282-F342-49DB-93A1-84387FF8DC6E}"/>
    <cellStyle name="Comma 2 6 2 2 3 2" xfId="13739" xr:uid="{CC179D0D-58DC-4671-BBCC-5E314A1D95F5}"/>
    <cellStyle name="Comma 2 6 2 2 3 2 2" xfId="39624" xr:uid="{AFCE09F3-603E-4A17-96DB-14D375073DC7}"/>
    <cellStyle name="Comma 2 6 2 2 3 2 3" xfId="41477" xr:uid="{852EBEE3-7C99-4041-876A-7D083C47F272}"/>
    <cellStyle name="Comma 2 6 2 2 3 2 4" xfId="43301" xr:uid="{E5D65E8F-1E34-4F77-9880-26613C7D47C9}"/>
    <cellStyle name="Comma 2 6 2 2 3 2 5" xfId="45398" xr:uid="{3604E30E-EE28-46C5-B7C4-A41E99BB671D}"/>
    <cellStyle name="Comma 2 6 2 2 3 2 6" xfId="48493" xr:uid="{AE8FE4F0-BCE2-4A2C-9DC5-58F1D0206E5A}"/>
    <cellStyle name="Comma 2 6 2 2 3 2 7" xfId="51279" xr:uid="{74436D22-9A25-40CD-8D94-AB927F1D94BC}"/>
    <cellStyle name="Comma 2 6 2 2 3 2 8" xfId="52867" xr:uid="{D7C4DD37-E9F4-4CB9-A6EF-8249FEEE8A6D}"/>
    <cellStyle name="Comma 2 6 2 2 3 2 9" xfId="21058" xr:uid="{F1F6CD0D-631B-41BE-81B3-3AB47FBA1FE2}"/>
    <cellStyle name="Comma 2 6 2 2 3 3" xfId="20277" xr:uid="{FBFFE603-8BCF-41D3-913A-EC5F7B2B9E3A}"/>
    <cellStyle name="Comma 2 6 2 2 3 4" xfId="23862" xr:uid="{A9EDA235-9F09-43BD-9E6D-D7674CE5E049}"/>
    <cellStyle name="Comma 2 6 2 2 3 5" xfId="38359" xr:uid="{FA83BD71-AEB2-4C85-A95D-D824FC151FE4}"/>
    <cellStyle name="Comma 2 6 2 2 3 6" xfId="39033" xr:uid="{810168FC-A9DD-40CB-AF8E-55AF10857463}"/>
    <cellStyle name="Comma 2 6 2 2 3 7" xfId="40182" xr:uid="{F4F72BBB-71A0-46E4-96A8-3F62F798C57B}"/>
    <cellStyle name="Comma 2 6 2 2 3 8" xfId="40824" xr:uid="{486B160A-7B58-4626-A2FC-68E5A710234A}"/>
    <cellStyle name="Comma 2 6 2 2 3 9" xfId="42036" xr:uid="{A3EE85E8-9B64-4911-98C0-35A1FC8A83C2}"/>
    <cellStyle name="Comma 2 6 2 2 4" xfId="9800" xr:uid="{BDEB7ECC-DBDA-4074-82AC-0077F4947337}"/>
    <cellStyle name="Comma 2 6 2 2 4 2" xfId="13106" xr:uid="{197F2A7D-7956-4FBC-95BC-403F6623DD4E}"/>
    <cellStyle name="Comma 2 6 2 2 4 2 2" xfId="49110" xr:uid="{0EA7D9D4-D82F-4373-A212-55CC26FAF42B}"/>
    <cellStyle name="Comma 2 6 2 2 4 2 3" xfId="51790" xr:uid="{63CA113F-3B0A-44C7-96A6-9CBC059CC7A5}"/>
    <cellStyle name="Comma 2 6 2 2 4 2 4" xfId="52868" xr:uid="{992CE6C2-422D-4908-B356-A5CD6F790F48}"/>
    <cellStyle name="Comma 2 6 2 2 4 2 5" xfId="39292" xr:uid="{9E1CD3F6-D05D-47BD-B491-C73260AB4D60}"/>
    <cellStyle name="Comma 2 6 2 2 4 3" xfId="41154" xr:uid="{233D9032-AB48-43D6-A237-A7101233E75C}"/>
    <cellStyle name="Comma 2 6 2 2 4 4" xfId="42969" xr:uid="{8938D099-50B5-4666-85C9-49D76948D501}"/>
    <cellStyle name="Comma 2 6 2 2 4 5" xfId="45074" xr:uid="{4F44580E-85FD-47D3-BF37-D6FFA26254C6}"/>
    <cellStyle name="Comma 2 6 2 2 4 6" xfId="47527" xr:uid="{6EABA995-A447-4F59-9BB9-C304580025AA}"/>
    <cellStyle name="Comma 2 6 2 2 4 7" xfId="50462" xr:uid="{EBE62A04-1FCF-48CC-8F39-3A5F65F60182}"/>
    <cellStyle name="Comma 2 6 2 2 4 8" xfId="52869" xr:uid="{2CC9CAA0-00A7-4F43-9714-568CF8A8BB8C}"/>
    <cellStyle name="Comma 2 6 2 2 4 9" xfId="20538" xr:uid="{CE62E53F-7705-454F-86B9-B8E8103887DA}"/>
    <cellStyle name="Comma 2 6 2 2 5" xfId="7298" xr:uid="{7317E5B0-3B56-45EA-8BEA-6AAAA95A71A3}"/>
    <cellStyle name="Comma 2 6 2 2 5 2" xfId="47769" xr:uid="{F6387A16-5AD2-4B41-BDF2-B200F4DD95D7}"/>
    <cellStyle name="Comma 2 6 2 2 5 3" xfId="50668" xr:uid="{07EE6153-4C5B-42EE-A053-AA87783AB2D6}"/>
    <cellStyle name="Comma 2 6 2 2 5 4" xfId="52870" xr:uid="{A32B0C3E-84A6-47A7-8680-B90CE89CCB1E}"/>
    <cellStyle name="Comma 2 6 2 2 5 5" xfId="19945" xr:uid="{626AD349-F138-48BA-A1CC-DC036A358E4E}"/>
    <cellStyle name="Comma 2 6 2 2 6" xfId="11821" xr:uid="{190E8528-FA63-4C05-B46B-327DAEC7816F}"/>
    <cellStyle name="Comma 2 6 2 2 6 2" xfId="23859" xr:uid="{2DF30875-4A1E-4D5D-884D-48AA365DC2D9}"/>
    <cellStyle name="Comma 2 6 2 2 7" xfId="38356" xr:uid="{CCE1E568-E9AB-483C-8CF0-989A99406AD9}"/>
    <cellStyle name="Comma 2 6 2 2 8" xfId="38701" xr:uid="{6DE827EC-F276-43F6-B24A-A225725DBD4B}"/>
    <cellStyle name="Comma 2 6 2 2 9" xfId="40179" xr:uid="{71F4F9D9-5A51-4B50-9316-0ED99D8C7ECB}"/>
    <cellStyle name="Comma 2 6 2 20" xfId="52871" xr:uid="{79714A21-FFF8-428F-AFFD-85FC4827A0C3}"/>
    <cellStyle name="Comma 2 6 2 21" xfId="15318" xr:uid="{D963FD77-6690-4E3F-B804-C36913D1947E}"/>
    <cellStyle name="Comma 2 6 2 22" xfId="13923" xr:uid="{ED888C8D-84F1-4923-98CA-676C8FF62203}"/>
    <cellStyle name="Comma 2 6 2 3" xfId="5524" xr:uid="{C263784C-0EB0-4CE5-AD57-9F28638A01D0}"/>
    <cellStyle name="Comma 2 6 2 3 10" xfId="42037" xr:uid="{B0AA00AF-4734-4377-B9EF-6B80E19B9918}"/>
    <cellStyle name="Comma 2 6 2 3 11" xfId="42504" xr:uid="{F0C40DE0-1BDD-4AB0-93DB-EAE7CA465B1F}"/>
    <cellStyle name="Comma 2 6 2 3 12" xfId="43813" xr:uid="{11CC62BE-7A17-4A44-98E8-6FEAE26A72C9}"/>
    <cellStyle name="Comma 2 6 2 3 13" xfId="44686" xr:uid="{3F80ADB0-35FF-403A-A298-3A0EF1C74C1E}"/>
    <cellStyle name="Comma 2 6 2 3 14" xfId="46571" xr:uid="{51FD6127-6D95-40F8-A2CD-9BF87E84AB59}"/>
    <cellStyle name="Comma 2 6 2 3 15" xfId="49604" xr:uid="{A669694E-1D68-4A46-827B-0FF5B08AD60C}"/>
    <cellStyle name="Comma 2 6 2 3 16" xfId="52872" xr:uid="{52BAA296-C8F2-4502-A863-00F00B3A4E13}"/>
    <cellStyle name="Comma 2 6 2 3 17" xfId="16767" xr:uid="{0902DD81-0BC1-41F4-89D4-9955FB4571DC}"/>
    <cellStyle name="Comma 2 6 2 3 18" xfId="14061" xr:uid="{B64B7963-21FE-494E-B6D4-136DD060D80A}"/>
    <cellStyle name="Comma 2 6 2 3 2" xfId="7626" xr:uid="{6EE18336-D2AA-44EA-A008-D9B00447F249}"/>
    <cellStyle name="Comma 2 6 2 3 2 10" xfId="42712" xr:uid="{ACDB413B-FABA-4CD5-8B55-8A36DFE64AD2}"/>
    <cellStyle name="Comma 2 6 2 3 2 11" xfId="44879" xr:uid="{44507453-8F51-40B0-93FF-60702AA9199E}"/>
    <cellStyle name="Comma 2 6 2 3 2 12" xfId="47058" xr:uid="{5230A16C-2BD5-486B-958D-307430BBA27D}"/>
    <cellStyle name="Comma 2 6 2 3 2 13" xfId="50059" xr:uid="{6D75FB9D-C8E4-4839-95B7-36269B34EB8F}"/>
    <cellStyle name="Comma 2 6 2 3 2 14" xfId="52873" xr:uid="{B978E62C-906C-48F8-B9EE-7F26AF801536}"/>
    <cellStyle name="Comma 2 6 2 3 2 15" xfId="17065" xr:uid="{702359B9-AE94-42AC-AB69-A5CB9AD5B5B1}"/>
    <cellStyle name="Comma 2 6 2 3 2 16" xfId="14553" xr:uid="{D4266735-0D3D-45A3-BB8E-BF56B2E549A9}"/>
    <cellStyle name="Comma 2 6 2 3 2 2" xfId="10118" xr:uid="{C7C86959-867B-4AFC-94A3-6336D54EEBF5}"/>
    <cellStyle name="Comma 2 6 2 3 2 2 2" xfId="13424" xr:uid="{1A799FF7-27DB-4406-A46F-0420F4D8B4DF}"/>
    <cellStyle name="Comma 2 6 2 3 2 2 2 2" xfId="39626" xr:uid="{D6DBDBD1-F008-4D18-A7EA-9F3D8E1DF909}"/>
    <cellStyle name="Comma 2 6 2 3 2 2 3" xfId="41479" xr:uid="{894F319B-7FA4-454B-8987-62DD0765384C}"/>
    <cellStyle name="Comma 2 6 2 3 2 2 4" xfId="43303" xr:uid="{25C9B319-FABC-4927-8088-52087CF0EAFA}"/>
    <cellStyle name="Comma 2 6 2 3 2 2 5" xfId="45400" xr:uid="{77BC360C-0C25-4AA0-BA51-532D3EA4D698}"/>
    <cellStyle name="Comma 2 6 2 3 2 2 6" xfId="48624" xr:uid="{CE5C08EF-80CE-4AAA-9A3D-F5F14A1CD054}"/>
    <cellStyle name="Comma 2 6 2 3 2 2 7" xfId="51387" xr:uid="{8239F6C1-EE0E-4AA6-A0E5-7B1865B658D4}"/>
    <cellStyle name="Comma 2 6 2 3 2 2 8" xfId="52874" xr:uid="{9E240AC9-EE68-4AAD-8D07-22C5C3E84631}"/>
    <cellStyle name="Comma 2 6 2 3 2 2 9" xfId="21060" xr:uid="{30C0D4F2-5EC3-4E2C-94C0-2C1C5ADA8706}"/>
    <cellStyle name="Comma 2 6 2 3 2 3" xfId="12139" xr:uid="{571DAC75-9D65-4618-BF4C-61E42427C2D8}"/>
    <cellStyle name="Comma 2 6 2 3 2 3 2" xfId="20279" xr:uid="{A75E87C4-653F-457E-8B74-D60086C5F207}"/>
    <cellStyle name="Comma 2 6 2 3 2 4" xfId="23864" xr:uid="{CF7294B0-AFCF-4A34-9A69-F25F970A5932}"/>
    <cellStyle name="Comma 2 6 2 3 2 5" xfId="38361" xr:uid="{98C8D003-5846-4542-9DB9-09C0BD3A09B1}"/>
    <cellStyle name="Comma 2 6 2 3 2 6" xfId="39035" xr:uid="{F4566422-4D95-432A-88FE-C160CD84E370}"/>
    <cellStyle name="Comma 2 6 2 3 2 7" xfId="40184" xr:uid="{86DCD698-6D51-4AA5-A25B-F2AFB86D81F0}"/>
    <cellStyle name="Comma 2 6 2 3 2 8" xfId="40826" xr:uid="{CF3AC2A4-680D-4521-9C8C-8EB1CBFE75CD}"/>
    <cellStyle name="Comma 2 6 2 3 2 9" xfId="42038" xr:uid="{4843300F-D96E-4ADA-AEA3-B23918A80085}"/>
    <cellStyle name="Comma 2 6 2 3 3" xfId="9624" xr:uid="{003AC0E1-B193-49F0-9574-519D1BCCC062}"/>
    <cellStyle name="Comma 2 6 2 3 3 2" xfId="12930" xr:uid="{9E4EFB62-AA9E-4945-85BA-DAE65E84A25E}"/>
    <cellStyle name="Comma 2 6 2 3 3 2 2" xfId="48938" xr:uid="{CFAD4328-2B8D-405F-8349-FBC8268F54CD}"/>
    <cellStyle name="Comma 2 6 2 3 3 2 3" xfId="51650" xr:uid="{BDA6F042-FEC8-471F-B4A8-618294E41CD6}"/>
    <cellStyle name="Comma 2 6 2 3 3 2 4" xfId="52875" xr:uid="{440D4D24-E244-4E0C-9170-7CBDC84A3E4E}"/>
    <cellStyle name="Comma 2 6 2 3 3 2 5" xfId="39418" xr:uid="{7CEBD8CD-21B7-4B0B-B652-EE8856A3AD3D}"/>
    <cellStyle name="Comma 2 6 2 3 3 3" xfId="41274" xr:uid="{74014163-0FC0-4BFD-84BE-468D1DC81381}"/>
    <cellStyle name="Comma 2 6 2 3 3 4" xfId="43095" xr:uid="{F3401914-4DFB-426B-B044-D8BF92D1E05C}"/>
    <cellStyle name="Comma 2 6 2 3 3 5" xfId="45194" xr:uid="{BA8E1D1B-6259-4931-A009-A30F6E77ACB4}"/>
    <cellStyle name="Comma 2 6 2 3 3 6" xfId="47362" xr:uid="{D0B11889-EC9F-4B8F-A33C-0E293B88ED37}"/>
    <cellStyle name="Comma 2 6 2 3 3 7" xfId="50322" xr:uid="{DA584A88-8049-4BEE-ABEE-52B4E45115B5}"/>
    <cellStyle name="Comma 2 6 2 3 3 8" xfId="52876" xr:uid="{89E53871-AA70-4F52-9218-0923830A2C72}"/>
    <cellStyle name="Comma 2 6 2 3 3 9" xfId="20793" xr:uid="{A3A275F7-4249-4CF8-91CD-28C96B3CF229}"/>
    <cellStyle name="Comma 2 6 2 3 4" xfId="7120" xr:uid="{ED2B1D42-D262-4173-827C-BA2F2C655688}"/>
    <cellStyle name="Comma 2 6 2 3 4 2" xfId="48083" xr:uid="{22CBC17E-2668-40D6-8699-E8EA58B003FB}"/>
    <cellStyle name="Comma 2 6 2 3 4 3" xfId="50932" xr:uid="{C94C9223-3DEE-4FEE-BE62-74BD32E87759}"/>
    <cellStyle name="Comma 2 6 2 3 4 4" xfId="52877" xr:uid="{FCCA7711-B619-4125-8893-F98041395597}"/>
    <cellStyle name="Comma 2 6 2 3 4 5" xfId="20071" xr:uid="{B73E7461-CEAB-459F-868D-CDCBB4513A50}"/>
    <cellStyle name="Comma 2 6 2 3 5" xfId="11645" xr:uid="{2BA40315-2638-4375-B231-A2A5049FCEC7}"/>
    <cellStyle name="Comma 2 6 2 3 5 2" xfId="23863" xr:uid="{89800743-A91B-438C-AFB3-5E4C707792C1}"/>
    <cellStyle name="Comma 2 6 2 3 6" xfId="38360" xr:uid="{C1313A18-E5B8-4354-9249-7800B95A3975}"/>
    <cellStyle name="Comma 2 6 2 3 7" xfId="38827" xr:uid="{D843F712-4475-4992-89EC-8B83405B9298}"/>
    <cellStyle name="Comma 2 6 2 3 8" xfId="40183" xr:uid="{2DB4DCB1-7864-49B5-AB58-922DF8E296EC}"/>
    <cellStyle name="Comma 2 6 2 3 9" xfId="40825" xr:uid="{6D4E351B-7323-4B92-94EE-8D51F3BBE159}"/>
    <cellStyle name="Comma 2 6 2 4" xfId="6514" xr:uid="{8A4504D4-243E-498A-84C5-636E751AECAC}"/>
    <cellStyle name="Comma 2 6 2 4 10" xfId="42039" xr:uid="{185AA34B-BAB5-4731-AFCC-A3C49B3053CD}"/>
    <cellStyle name="Comma 2 6 2 4 11" xfId="42406" xr:uid="{9E4394EC-7A93-4753-BBC9-FB7F55D9082F}"/>
    <cellStyle name="Comma 2 6 2 4 12" xfId="44632" xr:uid="{4444D749-9301-49C1-AB9C-05DCD409A352}"/>
    <cellStyle name="Comma 2 6 2 4 13" xfId="46153" xr:uid="{2C16ADE2-FA57-4B42-8EF0-6A95D80A6CB9}"/>
    <cellStyle name="Comma 2 6 2 4 14" xfId="49489" xr:uid="{B1C981CD-C238-4D32-8586-5451428FF222}"/>
    <cellStyle name="Comma 2 6 2 4 15" xfId="52878" xr:uid="{AA37AECF-FB83-43F3-818C-C720D9A84148}"/>
    <cellStyle name="Comma 2 6 2 4 16" xfId="16381" xr:uid="{835F141C-8A82-42FD-86B8-8A038CFD90AA}"/>
    <cellStyle name="Comma 2 6 2 4 17" xfId="14415" xr:uid="{855AC0E7-A85D-4535-AF59-7FA0D941665D}"/>
    <cellStyle name="Comma 2 6 2 4 2" xfId="9486" xr:uid="{E8C1968E-0DEE-43AD-826E-96BBB22B52DE}"/>
    <cellStyle name="Comma 2 6 2 4 2 10" xfId="42713" xr:uid="{34DDB315-DD36-4D99-ACE6-F92EF3A33900}"/>
    <cellStyle name="Comma 2 6 2 4 2 11" xfId="44880" xr:uid="{FD3280F9-592A-4186-A04F-FB5EB658611D}"/>
    <cellStyle name="Comma 2 6 2 4 2 12" xfId="47948" xr:uid="{E82E8493-F570-4005-8DD0-25E8F10D8141}"/>
    <cellStyle name="Comma 2 6 2 4 2 13" xfId="50817" xr:uid="{0C3B9CB1-E1F4-43C5-8111-3A26E4B5A9A1}"/>
    <cellStyle name="Comma 2 6 2 4 2 14" xfId="52879" xr:uid="{926606B4-E3D4-4E56-8859-6EB67C2BF136}"/>
    <cellStyle name="Comma 2 6 2 4 2 15" xfId="17066" xr:uid="{CAE17A08-F74F-4EB0-B8DF-70A705AB3CD8}"/>
    <cellStyle name="Comma 2 6 2 4 2 2" xfId="12792" xr:uid="{EE33A73D-9727-4874-80FC-28EF64E160F7}"/>
    <cellStyle name="Comma 2 6 2 4 2 2 2" xfId="39627" xr:uid="{0C3F800A-5C7A-431C-9EC0-3235FB4CF6A3}"/>
    <cellStyle name="Comma 2 6 2 4 2 2 3" xfId="41480" xr:uid="{79F8E64C-884B-49DB-ACE2-9CB26F8320F4}"/>
    <cellStyle name="Comma 2 6 2 4 2 2 4" xfId="43304" xr:uid="{E37B0E98-06CC-4052-8CBC-D1D49669553A}"/>
    <cellStyle name="Comma 2 6 2 4 2 2 5" xfId="45401" xr:uid="{577FB7F2-E13A-42AD-9875-289C1B968831}"/>
    <cellStyle name="Comma 2 6 2 4 2 2 6" xfId="21061" xr:uid="{95EC097B-089A-4C8C-AB0D-92CBC8705F29}"/>
    <cellStyle name="Comma 2 6 2 4 2 3" xfId="20280" xr:uid="{4DD2D02F-E6DB-4647-9605-87D47A653ECF}"/>
    <cellStyle name="Comma 2 6 2 4 2 4" xfId="23866" xr:uid="{4284F81A-8696-409E-9D67-7066CE01291A}"/>
    <cellStyle name="Comma 2 6 2 4 2 5" xfId="38363" xr:uid="{752EC3E7-90E6-4A48-8888-533ADA4BA717}"/>
    <cellStyle name="Comma 2 6 2 4 2 6" xfId="39036" xr:uid="{DDC6B2FB-704E-414B-B0CE-C87E595B5F50}"/>
    <cellStyle name="Comma 2 6 2 4 2 7" xfId="40186" xr:uid="{CDDFEBF8-9CF6-4E7E-B72F-C062762D8445}"/>
    <cellStyle name="Comma 2 6 2 4 2 8" xfId="40828" xr:uid="{69F15A1B-3B4C-41F8-99CD-34A26F758EBF}"/>
    <cellStyle name="Comma 2 6 2 4 2 9" xfId="42040" xr:uid="{EFAD4FC9-28BB-4EE8-82CF-9C838DD70F9E}"/>
    <cellStyle name="Comma 2 6 2 4 3" xfId="11507" xr:uid="{F5C760D5-DCDB-4609-8625-5ABCECE63806}"/>
    <cellStyle name="Comma 2 6 2 4 3 2" xfId="39320" xr:uid="{DE8309AA-5BA2-4544-8616-A5286E808C47}"/>
    <cellStyle name="Comma 2 6 2 4 3 3" xfId="41182" xr:uid="{9BABBC52-AB1B-4AE3-80A2-7BF307EFD94B}"/>
    <cellStyle name="Comma 2 6 2 4 3 4" xfId="42997" xr:uid="{E1487C36-AFDB-4EDF-9DCA-CD5AF0D79F92}"/>
    <cellStyle name="Comma 2 6 2 4 3 5" xfId="45102" xr:uid="{4CFF2735-44C8-4879-942E-3AB09D4DBF90}"/>
    <cellStyle name="Comma 2 6 2 4 3 6" xfId="20626" xr:uid="{D4B1C687-4C29-4C54-8884-2942C659EE86}"/>
    <cellStyle name="Comma 2 6 2 4 4" xfId="19973" xr:uid="{165975D6-B6F5-49BE-836A-D6671E8D5836}"/>
    <cellStyle name="Comma 2 6 2 4 5" xfId="23865" xr:uid="{DE380199-31E3-4355-97D6-0F6539BF935A}"/>
    <cellStyle name="Comma 2 6 2 4 6" xfId="38362" xr:uid="{0CEFEE17-7D4E-48E5-887B-CDAEC986EA78}"/>
    <cellStyle name="Comma 2 6 2 4 7" xfId="38729" xr:uid="{A3C22B8C-C7EB-41CF-8131-7933478B921F}"/>
    <cellStyle name="Comma 2 6 2 4 8" xfId="40185" xr:uid="{42CC0024-EECF-4E86-A4C4-A235001F9DD8}"/>
    <cellStyle name="Comma 2 6 2 4 9" xfId="40827" xr:uid="{9FF33F18-F210-4433-ADB4-909A35C1CDBC}"/>
    <cellStyle name="Comma 2 6 2 5" xfId="7488" xr:uid="{A969CE2F-41AE-4D86-832E-2802BDDE627E}"/>
    <cellStyle name="Comma 2 6 2 5 10" xfId="42709" xr:uid="{661E2C80-031E-40E6-B049-2BBCF5DE0F22}"/>
    <cellStyle name="Comma 2 6 2 5 11" xfId="44876" xr:uid="{DF8B543E-8F92-418C-9206-28F6A9FA35DA}"/>
    <cellStyle name="Comma 2 6 2 5 12" xfId="46829" xr:uid="{155819A4-DDB1-4FCA-8C78-0ED4B41827A4}"/>
    <cellStyle name="Comma 2 6 2 5 13" xfId="49853" xr:uid="{6829FD25-FA28-4E5B-B919-12DC7E1E787F}"/>
    <cellStyle name="Comma 2 6 2 5 14" xfId="52880" xr:uid="{D0CEE059-BA2E-4623-B251-0A2FA1B4669C}"/>
    <cellStyle name="Comma 2 6 2 5 15" xfId="17062" xr:uid="{E2422212-C60F-425D-98ED-7002D3FFD9AE}"/>
    <cellStyle name="Comma 2 6 2 5 16" xfId="14868" xr:uid="{BB4C57F1-8D06-49AE-BBB3-EA345BCC15AE}"/>
    <cellStyle name="Comma 2 6 2 5 2" xfId="9980" xr:uid="{A892D0FB-8F42-45C9-BF22-A322C2277CCF}"/>
    <cellStyle name="Comma 2 6 2 5 2 2" xfId="13286" xr:uid="{6BCA4DA8-31BB-4368-AE5F-C40B18502730}"/>
    <cellStyle name="Comma 2 6 2 5 2 2 2" xfId="39623" xr:uid="{C84FA84F-1216-4443-8EBB-F6A4FF07BD6A}"/>
    <cellStyle name="Comma 2 6 2 5 2 3" xfId="41476" xr:uid="{9F9E584C-6DF2-4256-BC54-98D5D9B6CAF4}"/>
    <cellStyle name="Comma 2 6 2 5 2 4" xfId="43300" xr:uid="{8CB2F091-B235-4596-80B1-0514225F9D5F}"/>
    <cellStyle name="Comma 2 6 2 5 2 5" xfId="45397" xr:uid="{DE27D641-305C-47B6-B0A9-DDA2D486875C}"/>
    <cellStyle name="Comma 2 6 2 5 2 6" xfId="48380" xr:uid="{3C9AE707-4190-463E-8634-8FAC53EE458B}"/>
    <cellStyle name="Comma 2 6 2 5 2 7" xfId="51181" xr:uid="{F15AD939-8480-4745-84F9-0852AF4B8E78}"/>
    <cellStyle name="Comma 2 6 2 5 2 8" xfId="52881" xr:uid="{22F89E77-663C-4AC0-A58B-9246665D0FE6}"/>
    <cellStyle name="Comma 2 6 2 5 2 9" xfId="21057" xr:uid="{AE93EF88-46EC-458B-AA67-7E23F164345E}"/>
    <cellStyle name="Comma 2 6 2 5 3" xfId="12001" xr:uid="{AFB58DD6-56D2-43A9-A3CA-E7BEB2E0D2D9}"/>
    <cellStyle name="Comma 2 6 2 5 3 2" xfId="20276" xr:uid="{0A261F30-0735-4830-A908-3CE7DA622B85}"/>
    <cellStyle name="Comma 2 6 2 5 4" xfId="23867" xr:uid="{2698B391-0F4A-43F1-892F-5E305144C8C2}"/>
    <cellStyle name="Comma 2 6 2 5 5" xfId="38364" xr:uid="{3E78FDB9-9178-4004-BDD1-F4DC8804EBA7}"/>
    <cellStyle name="Comma 2 6 2 5 6" xfId="39032" xr:uid="{1FFA9668-74A7-4400-991F-76FDE24C2C8C}"/>
    <cellStyle name="Comma 2 6 2 5 7" xfId="40187" xr:uid="{DAD0A5CE-0CAB-443C-800F-2748E4E85F86}"/>
    <cellStyle name="Comma 2 6 2 5 8" xfId="40829" xr:uid="{FB19187C-1F75-4D44-BE6D-791A691E49D9}"/>
    <cellStyle name="Comma 2 6 2 5 9" xfId="42041" xr:uid="{9BE719C1-BFF7-4559-9B84-C41FF9BE9934}"/>
    <cellStyle name="Comma 2 6 2 6" xfId="8154" xr:uid="{9ED05407-EAAD-4DFF-BBA4-E8698F7ECD08}"/>
    <cellStyle name="Comma 2 6 2 6 10" xfId="42835" xr:uid="{4AD2B8D6-3222-4EBE-B321-19A1CE0C9358}"/>
    <cellStyle name="Comma 2 6 2 6 11" xfId="44962" xr:uid="{256F2FC9-9B41-480B-ACB7-9AE3EDF2ED01}"/>
    <cellStyle name="Comma 2 6 2 6 12" xfId="47229" xr:uid="{D68D2A0B-9A9D-455D-905C-39D51E9DEB61}"/>
    <cellStyle name="Comma 2 6 2 6 13" xfId="50207" xr:uid="{B3A7F789-D542-4F26-BDC3-8510A3EFCC76}"/>
    <cellStyle name="Comma 2 6 2 6 14" xfId="52882" xr:uid="{14EFA077-DF76-4B20-A09F-2FFEBB48B93E}"/>
    <cellStyle name="Comma 2 6 2 6 15" xfId="19741" xr:uid="{CF964285-D972-4392-A13A-ECEFD17CE835}"/>
    <cellStyle name="Comma 2 6 2 6 2" xfId="12610" xr:uid="{301C3189-BA10-46B2-A129-F7FD2DC80C67}"/>
    <cellStyle name="Comma 2 6 2 6 2 2" xfId="39749" xr:uid="{9B61F94D-8D1B-4CBE-A552-7261A87F768E}"/>
    <cellStyle name="Comma 2 6 2 6 2 3" xfId="41602" xr:uid="{1AE78FDE-B8AA-46AA-B9CC-FC8A56EACA84}"/>
    <cellStyle name="Comma 2 6 2 6 2 4" xfId="43426" xr:uid="{99036AA6-51EE-42CA-AF05-9C68D433F3BF}"/>
    <cellStyle name="Comma 2 6 2 6 2 5" xfId="45505" xr:uid="{16715E0C-59F8-410E-B04A-144DC3E6D32D}"/>
    <cellStyle name="Comma 2 6 2 6 2 6" xfId="48800" xr:uid="{6C7CBCBF-A128-41AA-AD4A-09BB80BA2BEC}"/>
    <cellStyle name="Comma 2 6 2 6 2 7" xfId="51535" xr:uid="{F3465F94-5E3C-42D8-B5C7-81E7C50282D6}"/>
    <cellStyle name="Comma 2 6 2 6 2 8" xfId="52883" xr:uid="{0968D09F-CDB5-4D1D-B6ED-EB48642FB5B3}"/>
    <cellStyle name="Comma 2 6 2 6 2 9" xfId="23358" xr:uid="{AC18A8E4-5F4A-4A7D-A7BF-E3445E434A58}"/>
    <cellStyle name="Comma 2 6 2 6 3" xfId="20402" xr:uid="{037C1702-2AD9-44B2-852B-661A2DBD8BE7}"/>
    <cellStyle name="Comma 2 6 2 6 4" xfId="23868" xr:uid="{B46617BD-F1A8-418F-A8E4-0064C34CAA32}"/>
    <cellStyle name="Comma 2 6 2 6 5" xfId="38365" xr:uid="{A0680C4F-A5C5-4F94-B357-5CEC493D7F07}"/>
    <cellStyle name="Comma 2 6 2 6 6" xfId="39158" xr:uid="{36E7A6E6-E34B-4C95-9F13-CDA8D88B7A22}"/>
    <cellStyle name="Comma 2 6 2 6 7" xfId="40188" xr:uid="{18796C6E-D44B-4A92-B5DF-BE2467571A52}"/>
    <cellStyle name="Comma 2 6 2 6 8" xfId="40830" xr:uid="{410F8FFE-5994-4599-98C5-0D1A44E96880}"/>
    <cellStyle name="Comma 2 6 2 6 9" xfId="42042" xr:uid="{1EC7C2CD-494E-4708-91B0-D3858BF461E8}"/>
    <cellStyle name="Comma 2 6 2 7" xfId="7941" xr:uid="{A94FD285-2A93-4665-A16F-560BC9BC21C8}"/>
    <cellStyle name="Comma 2 6 2 7 2" xfId="12454" xr:uid="{B12AB177-9D6C-42FD-8A72-53E89B4BEF7C}"/>
    <cellStyle name="Comma 2 6 2 7 2 2" xfId="39266" xr:uid="{D2D86AEB-FC9D-4063-A97A-0ADC1CE1A651}"/>
    <cellStyle name="Comma 2 6 2 7 3" xfId="41134" xr:uid="{CB2A9355-EF25-4CAC-BF82-B37248D0BAA6}"/>
    <cellStyle name="Comma 2 6 2 7 4" xfId="42943" xr:uid="{831468C1-C425-49A5-B029-91B9F064ADCC}"/>
    <cellStyle name="Comma 2 6 2 7 5" xfId="45050" xr:uid="{FE35622A-74D8-460C-856E-66248543C513}"/>
    <cellStyle name="Comma 2 6 2 7 6" xfId="47687" xr:uid="{C2F12925-FA3E-4ED5-9ABB-3A4DF13B2244}"/>
    <cellStyle name="Comma 2 6 2 7 7" xfId="50595" xr:uid="{8826C5E1-41C2-4003-8E27-2E149C4FA46E}"/>
    <cellStyle name="Comma 2 6 2 7 8" xfId="52884" xr:uid="{B3802E3E-8329-4ACF-8DDF-8CFCE2F70ED9}"/>
    <cellStyle name="Comma 2 6 2 7 9" xfId="20511" xr:uid="{DE166A08-7A6C-4EB9-98F0-D4622069E16B}"/>
    <cellStyle name="Comma 2 6 2 8" xfId="5838" xr:uid="{B3146B00-956D-41EA-A6CD-5F70E8DC389F}"/>
    <cellStyle name="Comma 2 6 2 8 2" xfId="19918" xr:uid="{CD84AE18-076E-4E80-ABE8-8349CB8E83C2}"/>
    <cellStyle name="Comma 2 6 2 9" xfId="11326" xr:uid="{775ABE18-185D-4E1C-8F3B-B1406D21C8EE}"/>
    <cellStyle name="Comma 2 6 2 9 2" xfId="23858" xr:uid="{3481B22D-82CC-4EB5-B522-0D4DAC7212E7}"/>
    <cellStyle name="Comma 2 6 20" xfId="44402" xr:uid="{91FA662A-9564-4504-A493-D3399D6B35B7}"/>
    <cellStyle name="Comma 2 6 21" xfId="45584" xr:uid="{85D8A8D7-7582-43E8-AA71-CC0DC9745A5F}"/>
    <cellStyle name="Comma 2 6 22" xfId="49214" xr:uid="{A34ADD2A-5B07-4BC0-853A-DBEBBA02B95F}"/>
    <cellStyle name="Comma 2 6 23" xfId="52885" xr:uid="{430C892B-74C3-4018-A8D5-5760D9EAF675}"/>
    <cellStyle name="Comma 2 6 24" xfId="15216" xr:uid="{32F846B5-61AA-4279-AC00-859FF14A73E2}"/>
    <cellStyle name="Comma 2 6 25" xfId="13850" xr:uid="{34372ABF-E44A-44F6-8741-BDBD7B213A7D}"/>
    <cellStyle name="Comma 2 6 3" xfId="1768" xr:uid="{F6BD74EE-DCDC-4637-BEB9-DB3A356FB468}"/>
    <cellStyle name="Comma 2 6 3 10" xfId="40831" xr:uid="{A8A8FC8A-A73F-43AB-8EFB-6030422C847A}"/>
    <cellStyle name="Comma 2 6 3 11" xfId="42043" xr:uid="{88E971D0-D8D4-475D-B805-F25F48CB0D69}"/>
    <cellStyle name="Comma 2 6 3 12" xfId="42379" xr:uid="{355744A8-7AEF-4830-A9E9-003986B944A1}"/>
    <cellStyle name="Comma 2 6 3 13" xfId="43541" xr:uid="{6AA19E1F-71D8-4D78-8E38-C3177C4783A9}"/>
    <cellStyle name="Comma 2 6 3 14" xfId="44404" xr:uid="{1BFCEDB5-96B2-407C-821F-91E8B43FE492}"/>
    <cellStyle name="Comma 2 6 3 15" xfId="45637" xr:uid="{ED5FDA47-F6C6-4493-A1EE-5D599B81E47B}"/>
    <cellStyle name="Comma 2 6 3 16" xfId="49266" xr:uid="{06EE5391-8D43-4FA9-9858-8699DFC753C9}"/>
    <cellStyle name="Comma 2 6 3 17" xfId="52886" xr:uid="{0D1063FB-D7D3-46FB-A500-71A9B4C02943}"/>
    <cellStyle name="Comma 2 6 3 18" xfId="15803" xr:uid="{03FFBEDF-C2F3-441C-9509-00A6DCE1DC34}"/>
    <cellStyle name="Comma 2 6 3 19" xfId="13924" xr:uid="{9B85BA14-DBA9-49E2-8DD0-9802E744F721}"/>
    <cellStyle name="Comma 2 6 3 2" xfId="4444" xr:uid="{2D18DC0F-6706-470A-8E48-A65C99D941B0}"/>
    <cellStyle name="Comma 2 6 3 2 10" xfId="42044" xr:uid="{942028B4-BFFF-4001-B69D-60BB465E85C9}"/>
    <cellStyle name="Comma 2 6 3 2 11" xfId="42531" xr:uid="{EA1A50A3-655C-4F85-A7F4-F7FE5109E813}"/>
    <cellStyle name="Comma 2 6 3 2 12" xfId="44245" xr:uid="{ECE61BD8-B700-4C97-93B7-3060F8497EBD}"/>
    <cellStyle name="Comma 2 6 3 2 13" xfId="44545" xr:uid="{A9791E79-3DC6-4ADC-827E-5A1D82CD85C2}"/>
    <cellStyle name="Comma 2 6 3 2 14" xfId="45765" xr:uid="{4683E68C-C323-4154-AB07-7323EB262D35}"/>
    <cellStyle name="Comma 2 6 3 2 15" xfId="49393" xr:uid="{CFC8E73E-365B-4F9A-A61E-C574A9114291}"/>
    <cellStyle name="Comma 2 6 3 2 16" xfId="52887" xr:uid="{FDC5EAE6-8B29-48F6-B3DD-5FBB67439712}"/>
    <cellStyle name="Comma 2 6 3 2 17" xfId="16821" xr:uid="{356611D7-5440-4EC3-A55B-E7BD12EEB78F}"/>
    <cellStyle name="Comma 2 6 3 2 18" xfId="14238" xr:uid="{7CDF874B-76ED-4215-B9CB-F217D4142BBE}"/>
    <cellStyle name="Comma 2 6 3 2 2" xfId="5701" xr:uid="{A6A10B38-4E4C-482C-9D6F-AB82BBC82602}"/>
    <cellStyle name="Comma 2 6 3 2 2 10" xfId="42715" xr:uid="{DE5429D9-FD16-4AAD-ACE8-E328D741A706}"/>
    <cellStyle name="Comma 2 6 3 2 2 11" xfId="44882" xr:uid="{10B95C6B-61AA-49CE-AC7F-3EAB04B680BD}"/>
    <cellStyle name="Comma 2 6 3 2 2 12" xfId="46713" xr:uid="{B41DAF97-C635-47D0-81D1-C243BB14C832}"/>
    <cellStyle name="Comma 2 6 3 2 2 13" xfId="49745" xr:uid="{E7A83485-109A-413E-947A-75D76DC81764}"/>
    <cellStyle name="Comma 2 6 3 2 2 14" xfId="52888" xr:uid="{DC546E9C-16BC-44EB-B733-7A64A9B340D4}"/>
    <cellStyle name="Comma 2 6 3 2 2 15" xfId="17068" xr:uid="{A8FCDD7B-F7EB-4BB1-A9AB-DD5C76C58322}"/>
    <cellStyle name="Comma 2 6 3 2 2 16" xfId="14730" xr:uid="{D5EC5340-BB6E-4F60-A6CB-CD1DFFD2EC03}"/>
    <cellStyle name="Comma 2 6 3 2 2 2" xfId="10295" xr:uid="{E16DA941-2F5A-4B57-8E7C-2EBF6D405397}"/>
    <cellStyle name="Comma 2 6 3 2 2 2 2" xfId="13601" xr:uid="{01F0C4C4-9EBE-448E-86DB-F51F291AC599}"/>
    <cellStyle name="Comma 2 6 3 2 2 2 2 2" xfId="39629" xr:uid="{EFFFC1A5-4DD5-4DD1-A89F-288F6DB2CEA5}"/>
    <cellStyle name="Comma 2 6 3 2 2 2 3" xfId="41482" xr:uid="{FACE6B03-A10A-4C7E-B89B-92E790D37895}"/>
    <cellStyle name="Comma 2 6 3 2 2 2 4" xfId="43306" xr:uid="{4EE0A708-9E19-4B9B-A863-98B4465559D4}"/>
    <cellStyle name="Comma 2 6 3 2 2 2 5" xfId="45403" xr:uid="{2A9B6007-AB53-4579-8B99-D08EC29E8A0F}"/>
    <cellStyle name="Comma 2 6 3 2 2 2 6" xfId="48255" xr:uid="{6053E888-DC21-4D84-9DD7-AB410D7BED58}"/>
    <cellStyle name="Comma 2 6 3 2 2 2 7" xfId="51073" xr:uid="{A6483415-EA99-4FAF-8F4E-4D0D0192DF66}"/>
    <cellStyle name="Comma 2 6 3 2 2 2 8" xfId="52889" xr:uid="{FD07F03E-686F-46B1-8322-BAECF506A863}"/>
    <cellStyle name="Comma 2 6 3 2 2 2 9" xfId="21063" xr:uid="{B0302236-81EA-4B0C-A02E-A5466ADA5779}"/>
    <cellStyle name="Comma 2 6 3 2 2 3" xfId="7803" xr:uid="{1527C8A9-B4E8-4078-97E9-03F3BA46C692}"/>
    <cellStyle name="Comma 2 6 3 2 2 3 2" xfId="20282" xr:uid="{2BA40AA5-D416-44B7-BF5A-1140CDAB2564}"/>
    <cellStyle name="Comma 2 6 3 2 2 4" xfId="12316" xr:uid="{D8641A27-C1AC-4EFE-94FB-919EB0086BBF}"/>
    <cellStyle name="Comma 2 6 3 2 2 4 2" xfId="23871" xr:uid="{51DD0A7B-0966-4467-8BBD-82905502B852}"/>
    <cellStyle name="Comma 2 6 3 2 2 5" xfId="38368" xr:uid="{488F26FD-69DE-47E2-BC5A-2FE7CC6B3B39}"/>
    <cellStyle name="Comma 2 6 3 2 2 6" xfId="39038" xr:uid="{BD0C19AD-2AA9-443F-98DC-5ECC13216A92}"/>
    <cellStyle name="Comma 2 6 3 2 2 7" xfId="40191" xr:uid="{63FF7C31-964B-44FA-BD74-E65B414FC5C0}"/>
    <cellStyle name="Comma 2 6 3 2 2 8" xfId="40833" xr:uid="{2E9AFAE3-41D9-4385-BDF4-BBA8501F72FC}"/>
    <cellStyle name="Comma 2 6 3 2 2 9" xfId="42045" xr:uid="{7A093464-94C4-4951-9313-34BEC2DC2BDB}"/>
    <cellStyle name="Comma 2 6 3 2 3" xfId="11227" xr:uid="{74531BF6-072E-4169-8B91-AE411A7D37A7}"/>
    <cellStyle name="Comma 2 6 3 2 3 10" xfId="15045" xr:uid="{3574AFD4-C25C-43C2-A00A-AEEE3518A6DD}"/>
    <cellStyle name="Comma 2 6 3 2 3 2" xfId="13790" xr:uid="{AD0B5A09-6FCC-4D66-A8BD-12DF93F5BFFE}"/>
    <cellStyle name="Comma 2 6 3 2 3 2 2" xfId="48669" xr:uid="{1E67C051-4716-4286-AAE3-2EA08FCF97B3}"/>
    <cellStyle name="Comma 2 6 3 2 3 2 3" xfId="51424" xr:uid="{AFF96A4D-9215-4BB6-A613-2CB7106D32B5}"/>
    <cellStyle name="Comma 2 6 3 2 3 2 4" xfId="52890" xr:uid="{9CAC4F47-AF2B-464D-B563-341AC235DB76}"/>
    <cellStyle name="Comma 2 6 3 2 3 2 5" xfId="39445" xr:uid="{645870EA-5A6E-41E1-860B-1DFEF4AB1AAA}"/>
    <cellStyle name="Comma 2 6 3 2 3 3" xfId="41299" xr:uid="{B7106332-BBC3-40DD-89BA-D7CB2EE9E1CB}"/>
    <cellStyle name="Comma 2 6 3 2 3 4" xfId="43122" xr:uid="{9C2EA291-C780-4090-8B53-45CEBE8B6224}"/>
    <cellStyle name="Comma 2 6 3 2 3 5" xfId="45219" xr:uid="{65F5545B-86A0-4521-B921-203AA79422EB}"/>
    <cellStyle name="Comma 2 6 3 2 3 6" xfId="47106" xr:uid="{A9DA3CEE-7645-4241-8035-35A78D00ABC9}"/>
    <cellStyle name="Comma 2 6 3 2 3 7" xfId="50096" xr:uid="{7D5A291A-A9E2-453B-9478-F77735E4D517}"/>
    <cellStyle name="Comma 2 6 3 2 3 8" xfId="52891" xr:uid="{EDD2A24A-8780-4081-A1D5-5A9E4CF31BA9}"/>
    <cellStyle name="Comma 2 6 3 2 3 9" xfId="20823" xr:uid="{F86AD0E2-9B5F-4B6C-9BFA-E27825D339B6}"/>
    <cellStyle name="Comma 2 6 3 2 4" xfId="9801" xr:uid="{D857997F-B30D-429B-BC01-83C780A6D31F}"/>
    <cellStyle name="Comma 2 6 3 2 4 2" xfId="13107" xr:uid="{A7EF2702-D04B-4527-8A85-4A21A3261634}"/>
    <cellStyle name="Comma 2 6 3 2 4 2 2" xfId="51791" xr:uid="{990388A9-80A0-475A-8A49-504162AB2E50}"/>
    <cellStyle name="Comma 2 6 3 2 4 2 3" xfId="52892" xr:uid="{CDE0B6B1-7E35-4D14-ACC6-19AC6B31EEEF}"/>
    <cellStyle name="Comma 2 6 3 2 4 2 4" xfId="49111" xr:uid="{46AFEAE7-BB86-475E-AAED-A29B134BE1C0}"/>
    <cellStyle name="Comma 2 6 3 2 4 3" xfId="47528" xr:uid="{CB5298F1-0684-4AA5-A341-D170ED62879D}"/>
    <cellStyle name="Comma 2 6 3 2 4 4" xfId="50463" xr:uid="{DFA672E2-1742-4312-9B0F-BCD5493E4E45}"/>
    <cellStyle name="Comma 2 6 3 2 4 5" xfId="52893" xr:uid="{A1DBE150-6D51-46DA-AFD9-1195DF7D94A5}"/>
    <cellStyle name="Comma 2 6 3 2 4 6" xfId="20098" xr:uid="{7A8192A2-F046-412E-9786-A453B99EADFB}"/>
    <cellStyle name="Comma 2 6 3 2 5" xfId="7299" xr:uid="{1E0395B4-0458-42AC-AD7A-F4AAED4A5857}"/>
    <cellStyle name="Comma 2 6 3 2 5 2" xfId="47833" xr:uid="{A5122906-B053-45CF-AAEF-60905B98DDB5}"/>
    <cellStyle name="Comma 2 6 3 2 5 3" xfId="50721" xr:uid="{77E6DDC7-9D33-4878-AF33-91C7FFECEA30}"/>
    <cellStyle name="Comma 2 6 3 2 5 4" xfId="52894" xr:uid="{1B2A913D-E180-42EB-8D6C-CFB32E824621}"/>
    <cellStyle name="Comma 2 6 3 2 5 5" xfId="23870" xr:uid="{292167D6-6F0B-4860-93FC-8F5BBA5769AA}"/>
    <cellStyle name="Comma 2 6 3 2 6" xfId="11822" xr:uid="{81BA18F6-BC01-4B00-9239-257DE191B4DE}"/>
    <cellStyle name="Comma 2 6 3 2 6 2" xfId="38367" xr:uid="{2EE653EA-0AC0-4E9D-B38D-98F866C9E125}"/>
    <cellStyle name="Comma 2 6 3 2 7" xfId="38854" xr:uid="{48E596DD-1A94-4B5B-B73D-8206133F7A32}"/>
    <cellStyle name="Comma 2 6 3 2 8" xfId="40190" xr:uid="{34467E72-D755-460B-BF6D-B14A8CFA8E46}"/>
    <cellStyle name="Comma 2 6 3 2 9" xfId="40832" xr:uid="{2D324FBF-7CBC-458D-B2AF-5D9F2E775861}"/>
    <cellStyle name="Comma 2 6 3 3" xfId="5525" xr:uid="{7A506AE4-B5AB-48C6-8396-EE45A44DC70B}"/>
    <cellStyle name="Comma 2 6 3 3 10" xfId="42714" xr:uid="{282840FD-3039-47DE-91FB-7C6A6E2F2DC9}"/>
    <cellStyle name="Comma 2 6 3 3 11" xfId="43814" xr:uid="{6B0D4405-8224-45D7-9D7F-AD94FF1065A8}"/>
    <cellStyle name="Comma 2 6 3 3 12" xfId="44881" xr:uid="{7282C198-93CA-4FE0-82A4-62F53FD23A4D}"/>
    <cellStyle name="Comma 2 6 3 3 13" xfId="46572" xr:uid="{BC45142D-8380-49F8-A5FD-D3AED30C300A}"/>
    <cellStyle name="Comma 2 6 3 3 14" xfId="49605" xr:uid="{6F8AE702-9D20-46CE-91B0-FA9A365917A4}"/>
    <cellStyle name="Comma 2 6 3 3 15" xfId="52895" xr:uid="{D9DD0926-7CE7-4535-931D-27E3C5E939E1}"/>
    <cellStyle name="Comma 2 6 3 3 16" xfId="17067" xr:uid="{9E13678B-736B-4A6D-9C8A-33BE505873C5}"/>
    <cellStyle name="Comma 2 6 3 3 17" xfId="14062" xr:uid="{62BC2D97-E0DB-4964-B2B1-634F98B649A0}"/>
    <cellStyle name="Comma 2 6 3 3 2" xfId="7627" xr:uid="{02980490-5BFC-4368-B21B-6A6BAA8EEDF3}"/>
    <cellStyle name="Comma 2 6 3 3 2 10" xfId="14554" xr:uid="{B317D07E-6254-4F20-9C1B-F4159EE791D2}"/>
    <cellStyle name="Comma 2 6 3 3 2 2" xfId="10119" xr:uid="{EAA445B2-FF36-4C24-8D63-CAC762DF1D0C}"/>
    <cellStyle name="Comma 2 6 3 3 2 2 2" xfId="13425" xr:uid="{D8437301-18D1-4807-AC1E-C940F9832CB8}"/>
    <cellStyle name="Comma 2 6 3 3 2 2 2 2" xfId="48939" xr:uid="{6E2D88AF-7676-4D95-8EDE-67FE67CF74AD}"/>
    <cellStyle name="Comma 2 6 3 3 2 2 3" xfId="51651" xr:uid="{FA68942B-4180-402D-8EDE-4D89D961B660}"/>
    <cellStyle name="Comma 2 6 3 3 2 2 4" xfId="52896" xr:uid="{06E20504-5C8A-42CD-94E7-56B1DFDDD978}"/>
    <cellStyle name="Comma 2 6 3 3 2 2 5" xfId="39628" xr:uid="{C6362AF2-376B-4F0B-8382-310048DB084C}"/>
    <cellStyle name="Comma 2 6 3 3 2 3" xfId="12140" xr:uid="{9762D307-8713-485B-93C1-6AB98392E30D}"/>
    <cellStyle name="Comma 2 6 3 3 2 3 2" xfId="41481" xr:uid="{C412A6D3-69E1-4459-9D38-76C74A1C18A8}"/>
    <cellStyle name="Comma 2 6 3 3 2 4" xfId="43305" xr:uid="{187113F0-276B-4A3F-B326-AB3F66F22DBB}"/>
    <cellStyle name="Comma 2 6 3 3 2 5" xfId="45402" xr:uid="{93FED482-372E-46A5-9FB9-4E6EBFF2A2E8}"/>
    <cellStyle name="Comma 2 6 3 3 2 6" xfId="47363" xr:uid="{A3EA2439-2506-4B20-8C64-73D9506F0E1C}"/>
    <cellStyle name="Comma 2 6 3 3 2 7" xfId="50323" xr:uid="{5A8C121E-2FDB-45A9-AAEC-8B206929FB83}"/>
    <cellStyle name="Comma 2 6 3 3 2 8" xfId="52897" xr:uid="{B754E760-460F-4E01-AE4C-751D1C333685}"/>
    <cellStyle name="Comma 2 6 3 3 2 9" xfId="21062" xr:uid="{76E8F9B1-ED22-442D-8A68-F52699CC8C96}"/>
    <cellStyle name="Comma 2 6 3 3 3" xfId="9625" xr:uid="{50B8B606-089C-4B6C-B6F4-5BDF8F4036C0}"/>
    <cellStyle name="Comma 2 6 3 3 3 2" xfId="12931" xr:uid="{C6ADBC75-3364-434B-AC86-E29067D3C913}"/>
    <cellStyle name="Comma 2 6 3 3 3 2 2" xfId="48084" xr:uid="{8CC16CCE-A0E1-4DC2-A9DD-D0733EC60BC1}"/>
    <cellStyle name="Comma 2 6 3 3 3 3" xfId="50933" xr:uid="{DD54F5E0-E032-405B-8D63-6A0AADEEA03A}"/>
    <cellStyle name="Comma 2 6 3 3 3 4" xfId="52898" xr:uid="{09D6276D-D6C4-4184-A90C-78A56106D380}"/>
    <cellStyle name="Comma 2 6 3 3 3 5" xfId="20281" xr:uid="{F0EC3DB1-CF13-4CC5-A404-940477B280E9}"/>
    <cellStyle name="Comma 2 6 3 3 4" xfId="7121" xr:uid="{445C8CE7-5017-4255-8EA7-993095A18045}"/>
    <cellStyle name="Comma 2 6 3 3 4 2" xfId="23872" xr:uid="{97DB8D6C-EE8A-4F48-9FB2-D8700A16E7D2}"/>
    <cellStyle name="Comma 2 6 3 3 5" xfId="11646" xr:uid="{2151EEB2-BB5B-4C1B-A398-FD47D08E68AE}"/>
    <cellStyle name="Comma 2 6 3 3 5 2" xfId="38369" xr:uid="{30EA7C7E-6120-4714-BE1E-9FCFDCC1ED0B}"/>
    <cellStyle name="Comma 2 6 3 3 6" xfId="39037" xr:uid="{A2674CC2-12B1-4504-98F4-384101EB4CD3}"/>
    <cellStyle name="Comma 2 6 3 3 7" xfId="40192" xr:uid="{9D982DCB-5BB6-42C6-AFE3-29D7F562F323}"/>
    <cellStyle name="Comma 2 6 3 3 8" xfId="40834" xr:uid="{CD72BC6C-7E23-413B-B2B6-91435E5FCA97}"/>
    <cellStyle name="Comma 2 6 3 3 9" xfId="42046" xr:uid="{10919FAD-FA99-4A35-8B31-5DF286AD7AD1}"/>
    <cellStyle name="Comma 2 6 3 4" xfId="6515" xr:uid="{1CC15886-653E-4FFC-9A2C-BE2BCE09C7A7}"/>
    <cellStyle name="Comma 2 6 3 4 10" xfId="14416" xr:uid="{1BAABAC6-1FFF-41FF-A162-4D5C72A16AF5}"/>
    <cellStyle name="Comma 2 6 3 4 2" xfId="9487" xr:uid="{227AAF1A-906E-49B8-A870-A27D0149E6B6}"/>
    <cellStyle name="Comma 2 6 3 4 2 2" xfId="12793" xr:uid="{D56FE985-1A17-4A57-BF80-3285B34F4C6F}"/>
    <cellStyle name="Comma 2 6 3 4 2 2 2" xfId="47949" xr:uid="{BC6C1771-9595-429F-9692-15264C8E100E}"/>
    <cellStyle name="Comma 2 6 3 4 2 3" xfId="50818" xr:uid="{EA6A90B5-C7BE-4411-A930-4BE994A9832A}"/>
    <cellStyle name="Comma 2 6 3 4 2 4" xfId="52899" xr:uid="{79D82BED-B2AB-43B4-B431-5792D2ED9E52}"/>
    <cellStyle name="Comma 2 6 3 4 2 5" xfId="39293" xr:uid="{DDE7EB21-7C62-4FB8-8220-35B5D7B489D5}"/>
    <cellStyle name="Comma 2 6 3 4 3" xfId="11508" xr:uid="{1D9C509C-0031-4CC0-BF60-6EED9BEF5909}"/>
    <cellStyle name="Comma 2 6 3 4 3 2" xfId="41155" xr:uid="{FA663B39-3137-4F7A-88FA-62D77505BD4B}"/>
    <cellStyle name="Comma 2 6 3 4 4" xfId="42970" xr:uid="{DA63118B-02B5-40DA-856A-1F8E2178DABC}"/>
    <cellStyle name="Comma 2 6 3 4 5" xfId="45075" xr:uid="{B4487E8C-3FC0-407C-994D-B5D6D0D44E30}"/>
    <cellStyle name="Comma 2 6 3 4 6" xfId="46154" xr:uid="{B2ACDC50-9F0A-4135-B280-950C10CB6D20}"/>
    <cellStyle name="Comma 2 6 3 4 7" xfId="49490" xr:uid="{FB6CB67A-077A-4E24-B80E-A6CBFB838964}"/>
    <cellStyle name="Comma 2 6 3 4 8" xfId="52900" xr:uid="{F266FF4B-5A09-4BEB-9600-5B791FAE6FE2}"/>
    <cellStyle name="Comma 2 6 3 4 9" xfId="20539" xr:uid="{C38A3E62-6C80-4A98-A4BF-361B6C14037D}"/>
    <cellStyle name="Comma 2 6 3 5" xfId="7489" xr:uid="{D7E8368F-CEBF-43AE-964B-A58AB1B802CC}"/>
    <cellStyle name="Comma 2 6 3 5 2" xfId="9981" xr:uid="{29152339-B160-4AAB-A8E1-054C5FE09E99}"/>
    <cellStyle name="Comma 2 6 3 5 2 2" xfId="13287" xr:uid="{938D3569-726B-4B07-9659-0D6C680EB770}"/>
    <cellStyle name="Comma 2 6 3 5 2 2 2" xfId="51280" xr:uid="{DAB4AE2E-1604-4F87-A476-4A7C3F3ECC90}"/>
    <cellStyle name="Comma 2 6 3 5 2 3" xfId="52901" xr:uid="{18C012B9-5C2B-49F2-AF6D-81D48ACE72B4}"/>
    <cellStyle name="Comma 2 6 3 5 2 4" xfId="48494" xr:uid="{BC36540B-CF8F-4D17-B387-783E97760CA7}"/>
    <cellStyle name="Comma 2 6 3 5 3" xfId="12002" xr:uid="{118C0ABD-00CF-4D6C-B4FB-11E6904BAC99}"/>
    <cellStyle name="Comma 2 6 3 5 3 2" xfId="46933" xr:uid="{0D06592D-5124-44E0-9561-4CFEFE7A5F6F}"/>
    <cellStyle name="Comma 2 6 3 5 4" xfId="49952" xr:uid="{1FF85682-8C7A-4FEC-83AC-866ED6E8717C}"/>
    <cellStyle name="Comma 2 6 3 5 5" xfId="52902" xr:uid="{C04F9D31-6930-4CDA-8EAB-A88DA8E08571}"/>
    <cellStyle name="Comma 2 6 3 5 6" xfId="19946" xr:uid="{CC2F4CBA-D193-46A0-A94F-AF76C5248402}"/>
    <cellStyle name="Comma 2 6 3 5 7" xfId="14869" xr:uid="{11FC10E0-49FD-476C-A59D-07D531025E00}"/>
    <cellStyle name="Comma 2 6 3 6" xfId="8155" xr:uid="{EA386015-2DFB-4171-8ECB-B526409F640F}"/>
    <cellStyle name="Comma 2 6 3 6 2" xfId="12611" xr:uid="{7E3CDACB-A174-4831-83F2-793B64BE14C4}"/>
    <cellStyle name="Comma 2 6 3 6 2 2" xfId="51536" xr:uid="{A84BFEB6-0A88-4823-BED4-992EF98D825E}"/>
    <cellStyle name="Comma 2 6 3 6 2 3" xfId="52903" xr:uid="{88B08479-3FDA-4F9F-8257-699ADEAA4D35}"/>
    <cellStyle name="Comma 2 6 3 6 2 4" xfId="48801" xr:uid="{07CABB6B-1D73-4BD0-8676-8C3414F5CCF2}"/>
    <cellStyle name="Comma 2 6 3 6 3" xfId="47230" xr:uid="{E3FFD900-E1FE-411E-87E5-1386DA830C8A}"/>
    <cellStyle name="Comma 2 6 3 6 4" xfId="50208" xr:uid="{5CE8EE00-6C7E-483F-904F-D8CDD74836C7}"/>
    <cellStyle name="Comma 2 6 3 6 5" xfId="52904" xr:uid="{45BBA48E-92C3-468C-BF96-FB265EE897A8}"/>
    <cellStyle name="Comma 2 6 3 6 6" xfId="23869" xr:uid="{68FCBED0-E980-446B-A9DB-BC6E51F1659E}"/>
    <cellStyle name="Comma 2 6 3 7" xfId="7942" xr:uid="{1A8DCC39-CB22-4B5C-84E2-B0F9966FEAE7}"/>
    <cellStyle name="Comma 2 6 3 7 2" xfId="12455" xr:uid="{69CE850E-2292-446B-ACDD-D0D17225CA13}"/>
    <cellStyle name="Comma 2 6 3 7 2 2" xfId="47686" xr:uid="{1A552AAD-D282-416F-8494-404F1E54B83D}"/>
    <cellStyle name="Comma 2 6 3 7 3" xfId="50594" xr:uid="{D62FB3B7-51CF-4D87-A06E-420087D60DFE}"/>
    <cellStyle name="Comma 2 6 3 7 4" xfId="52905" xr:uid="{9C3CC0E0-9C56-4FB5-86DB-56655EAA313F}"/>
    <cellStyle name="Comma 2 6 3 7 5" xfId="38366" xr:uid="{5E6D92A8-40EB-4637-B156-80E38ABA27ED}"/>
    <cellStyle name="Comma 2 6 3 8" xfId="5839" xr:uid="{BB870F76-BAF2-4CAF-811A-593B1EBCCF23}"/>
    <cellStyle name="Comma 2 6 3 8 2" xfId="38702" xr:uid="{F5A3811B-31C9-4A26-819A-AAB465CCD0C4}"/>
    <cellStyle name="Comma 2 6 3 9" xfId="11327" xr:uid="{24753FE8-EFE0-49E5-84B6-D2749D7929CD}"/>
    <cellStyle name="Comma 2 6 3 9 2" xfId="40189" xr:uid="{46C4D95B-66CE-4DC4-BDAB-7024AF8CC733}"/>
    <cellStyle name="Comma 2 6 4" xfId="4442" xr:uid="{2F8C6BA3-1FF5-4517-A281-0E026BB73AF3}"/>
    <cellStyle name="Comma 2 6 4 10" xfId="40835" xr:uid="{FA61D32C-94C1-4B1B-9323-18C4E38A82C0}"/>
    <cellStyle name="Comma 2 6 4 11" xfId="42047" xr:uid="{0CF25A6C-CE4D-4EA4-A9D4-6FD260D38411}"/>
    <cellStyle name="Comma 2 6 4 12" xfId="42380" xr:uid="{2A824AE8-C366-43F2-A410-2B81CEAABF8B}"/>
    <cellStyle name="Comma 2 6 4 13" xfId="43539" xr:uid="{2FF99699-AA69-4600-BE87-843210468D58}"/>
    <cellStyle name="Comma 2 6 4 14" xfId="44543" xr:uid="{5114990E-C0E1-46DB-AB66-ABD03925134F}"/>
    <cellStyle name="Comma 2 6 4 15" xfId="45711" xr:uid="{CEEC4E7F-C288-4168-AA37-5CF5770FD070}"/>
    <cellStyle name="Comma 2 6 4 16" xfId="49339" xr:uid="{D022A137-12B0-439C-B1AC-0BD9DB608FB2}"/>
    <cellStyle name="Comma 2 6 4 17" xfId="52906" xr:uid="{59C9E564-96F3-43D1-A89D-89B7957BCBAD}"/>
    <cellStyle name="Comma 2 6 4 18" xfId="15804" xr:uid="{42390D48-4CEF-4217-9BB5-ABADA0569B81}"/>
    <cellStyle name="Comma 2 6 4 19" xfId="13922" xr:uid="{333B0684-8E58-4FBD-A85F-2569BA5C63AA}"/>
    <cellStyle name="Comma 2 6 4 2" xfId="5699" xr:uid="{CF6E9D00-4E96-4A33-BB8E-E36D4E198FE5}"/>
    <cellStyle name="Comma 2 6 4 2 10" xfId="42048" xr:uid="{29F7800F-C141-48B0-9A14-65E63F61240B}"/>
    <cellStyle name="Comma 2 6 4 2 11" xfId="42532" xr:uid="{8EC1FCC8-2DEF-43BD-86A9-C79152F3F346}"/>
    <cellStyle name="Comma 2 6 4 2 12" xfId="44243" xr:uid="{ABD92925-5215-4103-ABE1-409BED98C538}"/>
    <cellStyle name="Comma 2 6 4 2 13" xfId="44699" xr:uid="{688E886D-08FC-4688-8739-06D7BFF4B2FC}"/>
    <cellStyle name="Comma 2 6 4 2 14" xfId="46711" xr:uid="{61BF3F9C-0488-4553-9383-4A32901C9BE8}"/>
    <cellStyle name="Comma 2 6 4 2 15" xfId="49743" xr:uid="{0C1D68C8-2F80-4A23-A1D9-46AD10723FDA}"/>
    <cellStyle name="Comma 2 6 4 2 16" xfId="52907" xr:uid="{92C87C68-E022-4E51-8425-BAF7433190A7}"/>
    <cellStyle name="Comma 2 6 4 2 17" xfId="16822" xr:uid="{0B0011DA-7648-4CB7-B6DC-209F0AF786EA}"/>
    <cellStyle name="Comma 2 6 4 2 18" xfId="14236" xr:uid="{63A1AE9D-CE2E-4516-80D7-85CB784F2D4E}"/>
    <cellStyle name="Comma 2 6 4 2 2" xfId="7801" xr:uid="{C0FDA420-2667-4CF2-A2E0-FDF65709FB6A}"/>
    <cellStyle name="Comma 2 6 4 2 2 10" xfId="42717" xr:uid="{14076B44-9DA1-414F-9B3B-344CDD64980D}"/>
    <cellStyle name="Comma 2 6 4 2 2 11" xfId="44884" xr:uid="{55CB9E6E-5F39-4922-9EB0-00457E82B594}"/>
    <cellStyle name="Comma 2 6 4 2 2 12" xfId="47526" xr:uid="{42C1AC13-B80F-44DE-B6EB-64569CCDB4C6}"/>
    <cellStyle name="Comma 2 6 4 2 2 13" xfId="50461" xr:uid="{2949626D-127D-43B7-93F7-2A5F679B515C}"/>
    <cellStyle name="Comma 2 6 4 2 2 14" xfId="52908" xr:uid="{5D64A667-50B6-4BB4-808E-F73D12DE1BE0}"/>
    <cellStyle name="Comma 2 6 4 2 2 15" xfId="17070" xr:uid="{163177DA-CA8B-4F06-A685-AD9D91204C06}"/>
    <cellStyle name="Comma 2 6 4 2 2 16" xfId="14728" xr:uid="{8946710F-F19D-43C5-9BAF-D808F2586D1F}"/>
    <cellStyle name="Comma 2 6 4 2 2 2" xfId="10293" xr:uid="{B89B1B93-0533-40A6-B44B-93A12DAC4A62}"/>
    <cellStyle name="Comma 2 6 4 2 2 2 2" xfId="13599" xr:uid="{569D5A1A-8581-4968-8AED-AF1B63462659}"/>
    <cellStyle name="Comma 2 6 4 2 2 2 2 2" xfId="39631" xr:uid="{531A3E6F-A91E-4611-BF0E-E2769DC05B0E}"/>
    <cellStyle name="Comma 2 6 4 2 2 2 3" xfId="41484" xr:uid="{826703DB-A24A-47DA-86C5-63EE1A474CB1}"/>
    <cellStyle name="Comma 2 6 4 2 2 2 4" xfId="43308" xr:uid="{80F015DA-8580-49F6-B92B-DED6D46DC542}"/>
    <cellStyle name="Comma 2 6 4 2 2 2 5" xfId="45405" xr:uid="{F95814EB-6739-44C1-B097-07F145238815}"/>
    <cellStyle name="Comma 2 6 4 2 2 2 6" xfId="49109" xr:uid="{686A26B4-5C93-4DB8-A116-2138B1344E59}"/>
    <cellStyle name="Comma 2 6 4 2 2 2 7" xfId="51789" xr:uid="{FC30B65A-02F5-4E4E-A82D-3D1D91B06719}"/>
    <cellStyle name="Comma 2 6 4 2 2 2 8" xfId="52909" xr:uid="{F45FBA74-3743-4E98-BF6C-3EA7824A1916}"/>
    <cellStyle name="Comma 2 6 4 2 2 2 9" xfId="21065" xr:uid="{EAD0D37A-5901-4ED7-BBC8-E616E5C5439B}"/>
    <cellStyle name="Comma 2 6 4 2 2 3" xfId="12314" xr:uid="{CE247E40-48EE-466E-A5EF-CA2C88812719}"/>
    <cellStyle name="Comma 2 6 4 2 2 3 2" xfId="20284" xr:uid="{78C594CB-CE43-4DA0-BB73-A250FC1C2FCB}"/>
    <cellStyle name="Comma 2 6 4 2 2 4" xfId="23875" xr:uid="{15889C64-8B7E-4EDF-BE88-0E2AD4232B4A}"/>
    <cellStyle name="Comma 2 6 4 2 2 5" xfId="38372" xr:uid="{6B171418-A66E-4A27-808E-044437218A33}"/>
    <cellStyle name="Comma 2 6 4 2 2 6" xfId="39040" xr:uid="{789D0C33-9070-40BA-8D1F-70FD68A6BB37}"/>
    <cellStyle name="Comma 2 6 4 2 2 7" xfId="40195" xr:uid="{C8DC6B12-0C75-44A3-AD29-F63AC73B72BF}"/>
    <cellStyle name="Comma 2 6 4 2 2 8" xfId="40837" xr:uid="{06D4AE7D-B05C-41B1-B7BE-0391B927EB44}"/>
    <cellStyle name="Comma 2 6 4 2 2 9" xfId="42049" xr:uid="{8A7D605F-22CC-4150-80FB-F2FD08FC7916}"/>
    <cellStyle name="Comma 2 6 4 2 3" xfId="9799" xr:uid="{025A3E07-06F3-464F-B9B6-ABCAE319EF83}"/>
    <cellStyle name="Comma 2 6 4 2 3 2" xfId="13105" xr:uid="{DA5265E6-4557-4229-BFEB-DD02B059C454}"/>
    <cellStyle name="Comma 2 6 4 2 3 2 2" xfId="39446" xr:uid="{6EDAC0AB-EADF-4E91-BAFE-F05E30D6CF82}"/>
    <cellStyle name="Comma 2 6 4 2 3 3" xfId="41300" xr:uid="{159FA2C2-F37E-4C2E-AE75-496B42094278}"/>
    <cellStyle name="Comma 2 6 4 2 3 4" xfId="43123" xr:uid="{75B04B25-8605-4A35-A695-41D10CB4071F}"/>
    <cellStyle name="Comma 2 6 4 2 3 5" xfId="45220" xr:uid="{A6956896-412A-47FE-A9AD-B0846073B617}"/>
    <cellStyle name="Comma 2 6 4 2 3 6" xfId="48253" xr:uid="{B8C89612-8561-4BB3-98DC-C7D2A38B4253}"/>
    <cellStyle name="Comma 2 6 4 2 3 7" xfId="51071" xr:uid="{3365C957-3A08-41F7-BC78-ED6131258589}"/>
    <cellStyle name="Comma 2 6 4 2 3 8" xfId="52910" xr:uid="{8311151D-97DE-486F-85A3-9DD729EA7A3B}"/>
    <cellStyle name="Comma 2 6 4 2 3 9" xfId="20824" xr:uid="{588FB3A1-5BAA-43E9-93E1-9CD72BB5ABA0}"/>
    <cellStyle name="Comma 2 6 4 2 4" xfId="7297" xr:uid="{3BC749DE-00D9-47F6-9FFA-28A03E06EC8F}"/>
    <cellStyle name="Comma 2 6 4 2 4 2" xfId="20099" xr:uid="{402AA5EE-65E3-4F7E-A8B1-42F3BBDB48D3}"/>
    <cellStyle name="Comma 2 6 4 2 5" xfId="11820" xr:uid="{96EDC004-B552-4095-BDD6-6B90CEA1FE22}"/>
    <cellStyle name="Comma 2 6 4 2 5 2" xfId="23874" xr:uid="{53DF1DFC-3227-45EA-8E58-F8E8B38F6DA1}"/>
    <cellStyle name="Comma 2 6 4 2 6" xfId="38371" xr:uid="{1C22A504-EFFB-4C9C-8089-46B0073D2661}"/>
    <cellStyle name="Comma 2 6 4 2 7" xfId="38855" xr:uid="{70ECC9BA-D077-45AA-A0EC-E53A0ACE4EC8}"/>
    <cellStyle name="Comma 2 6 4 2 8" xfId="40194" xr:uid="{851421C4-E764-43FD-B065-6416CB532057}"/>
    <cellStyle name="Comma 2 6 4 2 9" xfId="40836" xr:uid="{6B3EF767-5D79-4C70-B07D-3FDD98871A58}"/>
    <cellStyle name="Comma 2 6 4 3" xfId="7487" xr:uid="{D5ED4BF5-6F4D-4D66-A84F-1D0512996C29}"/>
    <cellStyle name="Comma 2 6 4 3 10" xfId="42716" xr:uid="{405940E1-2E92-4035-99FD-FEE65AF623D2}"/>
    <cellStyle name="Comma 2 6 4 3 11" xfId="44883" xr:uid="{88FE887E-0A82-4958-892F-E346F30A9DD5}"/>
    <cellStyle name="Comma 2 6 4 3 12" xfId="46152" xr:uid="{63CB0F95-D164-416B-A2CE-CEB3AC2021A7}"/>
    <cellStyle name="Comma 2 6 4 3 13" xfId="49488" xr:uid="{C2E082CF-DE8F-4459-9503-C44DC4D79973}"/>
    <cellStyle name="Comma 2 6 4 3 14" xfId="52911" xr:uid="{E72944C1-647B-4EFA-9AF8-05F993F1DA4F}"/>
    <cellStyle name="Comma 2 6 4 3 15" xfId="17069" xr:uid="{989F9559-A2D9-48FD-A405-2A35387B5B51}"/>
    <cellStyle name="Comma 2 6 4 3 16" xfId="14414" xr:uid="{119F221F-11E4-4795-AC69-69E7FDCBBE01}"/>
    <cellStyle name="Comma 2 6 4 3 2" xfId="9979" xr:uid="{25536E3F-46C9-4C80-A57D-2466D7768360}"/>
    <cellStyle name="Comma 2 6 4 3 2 2" xfId="13285" xr:uid="{D70FC9F6-4D50-4C12-801B-E83F53529037}"/>
    <cellStyle name="Comma 2 6 4 3 2 2 2" xfId="39630" xr:uid="{50F36663-74C9-439E-9424-E8593FDD880B}"/>
    <cellStyle name="Comma 2 6 4 3 2 3" xfId="41483" xr:uid="{D81B405C-0614-4A57-BDED-0FF3A4D5ADC4}"/>
    <cellStyle name="Comma 2 6 4 3 2 4" xfId="43307" xr:uid="{D2AD2812-9861-4232-AAAC-F24308BD8B78}"/>
    <cellStyle name="Comma 2 6 4 3 2 5" xfId="45404" xr:uid="{16482F3E-82FD-42BF-85D0-5F651FAE977B}"/>
    <cellStyle name="Comma 2 6 4 3 2 6" xfId="47947" xr:uid="{1153D807-A9DF-466B-8C20-D671756784D4}"/>
    <cellStyle name="Comma 2 6 4 3 2 7" xfId="50816" xr:uid="{DDB5E94F-F699-4866-90C1-0C2937662C7B}"/>
    <cellStyle name="Comma 2 6 4 3 2 8" xfId="52912" xr:uid="{0F4BD950-B68A-48CE-AECC-E5A21130732A}"/>
    <cellStyle name="Comma 2 6 4 3 2 9" xfId="21064" xr:uid="{779C9A69-BF6E-402B-92AF-269D12C12839}"/>
    <cellStyle name="Comma 2 6 4 3 3" xfId="12000" xr:uid="{D64464A8-3742-456C-B87F-74B0BE2B6BE8}"/>
    <cellStyle name="Comma 2 6 4 3 3 2" xfId="20283" xr:uid="{5C9AC45D-9FB3-4A72-A53C-9A142A028AA9}"/>
    <cellStyle name="Comma 2 6 4 3 4" xfId="23876" xr:uid="{F5953181-8F56-4C91-B2F0-4DE98EF96310}"/>
    <cellStyle name="Comma 2 6 4 3 5" xfId="38373" xr:uid="{76DF2105-6B79-481A-8392-7D19790008FA}"/>
    <cellStyle name="Comma 2 6 4 3 6" xfId="39039" xr:uid="{DD6762E5-8109-418C-B9C6-A684AEE61015}"/>
    <cellStyle name="Comma 2 6 4 3 7" xfId="40196" xr:uid="{BEEA036B-4DE2-457C-8034-4F8221B8FC69}"/>
    <cellStyle name="Comma 2 6 4 3 8" xfId="40838" xr:uid="{A55EA55E-A7D9-45DA-9676-2A86FFA1E4DE}"/>
    <cellStyle name="Comma 2 6 4 3 9" xfId="42050" xr:uid="{BA35D6DD-5ED8-4D11-8F6B-CAAAE8379934}"/>
    <cellStyle name="Comma 2 6 4 4" xfId="11142" xr:uid="{54E51E78-3800-4CC4-8E37-589F3CCB436D}"/>
    <cellStyle name="Comma 2 6 4 4 10" xfId="15043" xr:uid="{BB8A8A91-8023-4FF6-978F-F95C4111E04F}"/>
    <cellStyle name="Comma 2 6 4 4 2" xfId="13738" xr:uid="{1BBFDC6D-D777-4ADC-8C38-77638DD9F87E}"/>
    <cellStyle name="Comma 2 6 4 4 2 2" xfId="48492" xr:uid="{5DBB6B2D-98B5-4879-824D-F1C7419FB985}"/>
    <cellStyle name="Comma 2 6 4 4 2 3" xfId="51278" xr:uid="{7AFFDB53-3466-426B-8DC3-2519CBD03A76}"/>
    <cellStyle name="Comma 2 6 4 4 2 4" xfId="52913" xr:uid="{30AA8AF1-69DF-47E6-A415-960608CA9A72}"/>
    <cellStyle name="Comma 2 6 4 4 2 5" xfId="39294" xr:uid="{624DA4FE-26FE-4F46-AF1C-4E1CBDB9517A}"/>
    <cellStyle name="Comma 2 6 4 4 3" xfId="41156" xr:uid="{C455CD6E-EBA4-4C81-9219-7195E4351785}"/>
    <cellStyle name="Comma 2 6 4 4 4" xfId="42971" xr:uid="{BEADB87E-F05F-4972-BF7E-DBF24E979A59}"/>
    <cellStyle name="Comma 2 6 4 4 5" xfId="45076" xr:uid="{29A99120-0AD5-4D1A-B8F9-C5CE1639E1A1}"/>
    <cellStyle name="Comma 2 6 4 4 6" xfId="46931" xr:uid="{20C9B4A5-915B-4F29-A7F6-F729ADCB880A}"/>
    <cellStyle name="Comma 2 6 4 4 7" xfId="49950" xr:uid="{24803B1F-0ED3-4F66-B960-F590B9F1250C}"/>
    <cellStyle name="Comma 2 6 4 4 8" xfId="52914" xr:uid="{E3B4B86C-110E-4651-84CE-9C3978F79ED1}"/>
    <cellStyle name="Comma 2 6 4 4 9" xfId="20540" xr:uid="{6034936B-3E47-4895-8D6F-50ADE1642B0B}"/>
    <cellStyle name="Comma 2 6 4 5" xfId="9485" xr:uid="{46413566-082F-45AF-B968-E9DAC043AA21}"/>
    <cellStyle name="Comma 2 6 4 5 2" xfId="12791" xr:uid="{BB72FC5E-DC76-4E0A-8AA4-BBF859485026}"/>
    <cellStyle name="Comma 2 6 4 5 2 2" xfId="51534" xr:uid="{B1F34AD8-8EFD-40DC-B877-2C4A5E414B9F}"/>
    <cellStyle name="Comma 2 6 4 5 2 3" xfId="52915" xr:uid="{9568E281-6012-4569-B9A1-A739E325A5CF}"/>
    <cellStyle name="Comma 2 6 4 5 2 4" xfId="48799" xr:uid="{D4E75E67-38A1-49F3-9ACA-1BB7A006BBB5}"/>
    <cellStyle name="Comma 2 6 4 5 3" xfId="47228" xr:uid="{78784C4C-F501-4FE1-9B08-C4E6E2063553}"/>
    <cellStyle name="Comma 2 6 4 5 4" xfId="50206" xr:uid="{995E8EF4-0D90-437C-996F-3F642054FFA4}"/>
    <cellStyle name="Comma 2 6 4 5 5" xfId="52916" xr:uid="{86F2FD8A-88F2-4687-8122-A457EF8861F0}"/>
    <cellStyle name="Comma 2 6 4 5 6" xfId="19947" xr:uid="{BE740CA2-2760-4526-918E-60D882777556}"/>
    <cellStyle name="Comma 2 6 4 6" xfId="6513" xr:uid="{9BB8EA1C-3F2D-4C5E-ACCA-2737C2096F04}"/>
    <cellStyle name="Comma 2 6 4 6 2" xfId="47768" xr:uid="{F9980A59-FB27-4D29-A41B-8DF2AE061E17}"/>
    <cellStyle name="Comma 2 6 4 6 3" xfId="50667" xr:uid="{E02931CB-13FF-45F2-A8FE-305CAD68E5D7}"/>
    <cellStyle name="Comma 2 6 4 6 4" xfId="52917" xr:uid="{8ADFDCA0-2503-44EB-8D73-D251579AF236}"/>
    <cellStyle name="Comma 2 6 4 6 5" xfId="23873" xr:uid="{2F13AC03-0AE3-482A-AACE-91E287C9A377}"/>
    <cellStyle name="Comma 2 6 4 7" xfId="11506" xr:uid="{CB7BAAD5-075A-47E8-BD30-CA8484B52ACF}"/>
    <cellStyle name="Comma 2 6 4 7 2" xfId="38370" xr:uid="{D58E1EA3-894B-4D68-96E9-E87C2887576E}"/>
    <cellStyle name="Comma 2 6 4 8" xfId="38703" xr:uid="{A322700C-25E5-4B73-8E46-B44FC8D9751A}"/>
    <cellStyle name="Comma 2 6 4 9" xfId="40193" xr:uid="{95461FCF-F98F-4D44-8BE7-8C58363B3AAA}"/>
    <cellStyle name="Comma 2 6 5" xfId="3886" xr:uid="{64D03D1A-F0F6-4B64-A64F-D269AA2EBFB6}"/>
    <cellStyle name="Comma 2 6 5 10" xfId="40839" xr:uid="{E66BB80D-7A28-470A-96F9-9CBA30C69967}"/>
    <cellStyle name="Comma 2 6 5 11" xfId="42051" xr:uid="{6B55D834-603D-43E0-AE54-2BA34EA98BAF}"/>
    <cellStyle name="Comma 2 6 5 12" xfId="42377" xr:uid="{F470DFF0-1BC3-4974-AB0B-6936C1C1E090}"/>
    <cellStyle name="Comma 2 6 5 13" xfId="43897" xr:uid="{9A9D4D8E-C088-4B34-B9B0-E404A7458DDC}"/>
    <cellStyle name="Comma 2 6 5 14" xfId="44484" xr:uid="{01AF0D25-1697-44BD-9110-FCC3DE6143B8}"/>
    <cellStyle name="Comma 2 6 5 15" xfId="46651" xr:uid="{26BAF557-696C-42ED-A1BC-1C26A4E038AF}"/>
    <cellStyle name="Comma 2 6 5 16" xfId="49684" xr:uid="{3AA38E03-629E-43D8-9816-C92CA3F7BF87}"/>
    <cellStyle name="Comma 2 6 5 17" xfId="52918" xr:uid="{49F30D26-C2D1-44D7-BB70-B01CF9450DDF}"/>
    <cellStyle name="Comma 2 6 5 18" xfId="15801" xr:uid="{3DC58762-2587-4CE7-B06E-CB5501F0FA28}"/>
    <cellStyle name="Comma 2 6 5 19" xfId="14165" xr:uid="{66605613-3CEB-4F22-A830-D51691FDFC08}"/>
    <cellStyle name="Comma 2 6 5 2" xfId="5628" xr:uid="{A0105330-4FD2-4682-873D-9C4BEFD7296B}"/>
    <cellStyle name="Comma 2 6 5 2 10" xfId="42052" xr:uid="{5F099C9F-91C6-41F3-BBD8-A714E9359FE6}"/>
    <cellStyle name="Comma 2 6 5 2 11" xfId="42529" xr:uid="{ED1283C0-05A9-4580-890B-D643DFD9E361}"/>
    <cellStyle name="Comma 2 6 5 2 12" xfId="44697" xr:uid="{BD6969DB-AF7F-418E-BC66-58BB49F16730}"/>
    <cellStyle name="Comma 2 6 5 2 13" xfId="46869" xr:uid="{8AF232CE-C2E7-4093-AA62-4C0C48AFEFD3}"/>
    <cellStyle name="Comma 2 6 5 2 14" xfId="49891" xr:uid="{C06BE1CC-0CBA-4991-B8A2-96F59A6A334B}"/>
    <cellStyle name="Comma 2 6 5 2 15" xfId="52919" xr:uid="{C916EA97-74B9-408D-9FC0-E6D341F82B4B}"/>
    <cellStyle name="Comma 2 6 5 2 16" xfId="16819" xr:uid="{1FC14BEF-3BB0-429A-9B12-F56D7A060ADD}"/>
    <cellStyle name="Comma 2 6 5 2 17" xfId="14657" xr:uid="{01676497-1130-467E-BF36-BC7E635091C0}"/>
    <cellStyle name="Comma 2 6 5 2 2" xfId="10222" xr:uid="{C4DE03A9-71DC-447A-9037-BFF85886E6BB}"/>
    <cellStyle name="Comma 2 6 5 2 2 10" xfId="42719" xr:uid="{87F64AFD-B3E7-44D6-BC81-AC16D86B5BD4}"/>
    <cellStyle name="Comma 2 6 5 2 2 11" xfId="44886" xr:uid="{3C527977-B731-4CBF-8A63-D0766E32B4E1}"/>
    <cellStyle name="Comma 2 6 5 2 2 12" xfId="48425" xr:uid="{F66E741D-5673-4AEB-A51A-39C7AB8E5E08}"/>
    <cellStyle name="Comma 2 6 5 2 2 13" xfId="51219" xr:uid="{DC8D820D-06BB-45E9-95A5-5DBBF267C115}"/>
    <cellStyle name="Comma 2 6 5 2 2 14" xfId="52920" xr:uid="{FFFA5283-CD1D-49EA-A161-989F2D3297CF}"/>
    <cellStyle name="Comma 2 6 5 2 2 15" xfId="17072" xr:uid="{CD01E428-E578-4DF4-8494-52F3F370A02A}"/>
    <cellStyle name="Comma 2 6 5 2 2 2" xfId="13528" xr:uid="{68B237E9-4B67-43FB-B284-B3DF048672E0}"/>
    <cellStyle name="Comma 2 6 5 2 2 2 2" xfId="39633" xr:uid="{0D265E41-923C-4982-9A42-9A65D3636BDB}"/>
    <cellStyle name="Comma 2 6 5 2 2 2 3" xfId="41486" xr:uid="{6898D121-BF30-4A21-A057-7B47E5607BFC}"/>
    <cellStyle name="Comma 2 6 5 2 2 2 4" xfId="43310" xr:uid="{E8791AF0-D508-460D-8168-28F41E145EC9}"/>
    <cellStyle name="Comma 2 6 5 2 2 2 5" xfId="45407" xr:uid="{F327A1A8-FD0F-49ED-85EA-314D652AC2B3}"/>
    <cellStyle name="Comma 2 6 5 2 2 2 6" xfId="21067" xr:uid="{D387DD95-23E0-477B-AFFA-04DA5822335A}"/>
    <cellStyle name="Comma 2 6 5 2 2 3" xfId="20286" xr:uid="{907E2E6C-2A4B-478D-AD60-3FF189C0C150}"/>
    <cellStyle name="Comma 2 6 5 2 2 4" xfId="23879" xr:uid="{5D8AEB0C-F96C-49C8-A3F0-6D28646A27A6}"/>
    <cellStyle name="Comma 2 6 5 2 2 5" xfId="38376" xr:uid="{DD167811-89E6-4FA2-900C-79821B40F3C7}"/>
    <cellStyle name="Comma 2 6 5 2 2 6" xfId="39042" xr:uid="{BA985543-3CD9-4EEC-90BF-7E0B7AFB03DD}"/>
    <cellStyle name="Comma 2 6 5 2 2 7" xfId="40199" xr:uid="{630FE7D1-9C90-4EA1-8164-897F722DE32E}"/>
    <cellStyle name="Comma 2 6 5 2 2 8" xfId="40841" xr:uid="{4D17A524-1767-429F-9825-6B24325029F1}"/>
    <cellStyle name="Comma 2 6 5 2 2 9" xfId="42053" xr:uid="{B6885A8B-CAF4-4A91-A36A-5F4894DE8E4A}"/>
    <cellStyle name="Comma 2 6 5 2 3" xfId="7730" xr:uid="{7335964A-BEF5-4503-98BF-5EE8DEBD2E6F}"/>
    <cellStyle name="Comma 2 6 5 2 3 2" xfId="39443" xr:uid="{553ABD8A-FDFE-4F04-B923-B6DAE2F63571}"/>
    <cellStyle name="Comma 2 6 5 2 3 3" xfId="41297" xr:uid="{29027057-C3B9-4524-AC54-EBF5B71C53C6}"/>
    <cellStyle name="Comma 2 6 5 2 3 4" xfId="43120" xr:uid="{0E4E35AF-2F9C-48AC-BAC9-7B1A8C9BC7A3}"/>
    <cellStyle name="Comma 2 6 5 2 3 5" xfId="45217" xr:uid="{6B082F92-EE37-4265-872C-A8D3E9482DBF}"/>
    <cellStyle name="Comma 2 6 5 2 3 6" xfId="20821" xr:uid="{B1A68595-0729-470D-B2DC-217E8C1F83F2}"/>
    <cellStyle name="Comma 2 6 5 2 4" xfId="12243" xr:uid="{6A4744DA-5BDF-4E00-8C2C-F42F71164A85}"/>
    <cellStyle name="Comma 2 6 5 2 4 2" xfId="20096" xr:uid="{FE6CCE78-5A51-46EB-A671-17527AF92936}"/>
    <cellStyle name="Comma 2 6 5 2 5" xfId="23878" xr:uid="{620BB239-D292-4BBA-A267-956873F48CBC}"/>
    <cellStyle name="Comma 2 6 5 2 6" xfId="38375" xr:uid="{7CF16A3C-1177-4BDA-A955-87F89749C519}"/>
    <cellStyle name="Comma 2 6 5 2 7" xfId="38852" xr:uid="{5D805AE4-C6D2-4FDC-8F9C-F6B8616A251F}"/>
    <cellStyle name="Comma 2 6 5 2 8" xfId="40198" xr:uid="{4234F511-889B-48FC-8F39-68C9647A2D9D}"/>
    <cellStyle name="Comma 2 6 5 2 9" xfId="40840" xr:uid="{718C901A-7FF2-440B-9F09-9A8EAB472E92}"/>
    <cellStyle name="Comma 2 6 5 3" xfId="9728" xr:uid="{EAECDC3F-4B42-40B0-B44D-B5D800C0B9EC}"/>
    <cellStyle name="Comma 2 6 5 3 10" xfId="42718" xr:uid="{FB9E590F-E513-4A97-8A9D-598A0459A047}"/>
    <cellStyle name="Comma 2 6 5 3 11" xfId="44885" xr:uid="{AE849597-4E03-4952-9F6D-8E76C61FADC0}"/>
    <cellStyle name="Comma 2 6 5 3 12" xfId="47459" xr:uid="{98D77F7E-406A-4D27-BB0D-0469112A9A0E}"/>
    <cellStyle name="Comma 2 6 5 3 13" xfId="50402" xr:uid="{AFED9347-E492-4E71-BEEF-353C7E158F0A}"/>
    <cellStyle name="Comma 2 6 5 3 14" xfId="52921" xr:uid="{1B04EB72-84F3-4B81-88FC-8A26D9F59580}"/>
    <cellStyle name="Comma 2 6 5 3 15" xfId="17071" xr:uid="{430C4351-5120-43E0-95BE-9ED1C49C1AB7}"/>
    <cellStyle name="Comma 2 6 5 3 16" xfId="14972" xr:uid="{74B9DF45-366C-4C0C-96A9-30A08E28C6AB}"/>
    <cellStyle name="Comma 2 6 5 3 2" xfId="13034" xr:uid="{DC1B93E1-E3CE-401E-B2FA-749957E2CDA8}"/>
    <cellStyle name="Comma 2 6 5 3 2 2" xfId="39632" xr:uid="{7B40880C-4009-4000-AD0C-A638A2B6C154}"/>
    <cellStyle name="Comma 2 6 5 3 2 3" xfId="41485" xr:uid="{5D6F4A10-610F-401A-A78B-612AD29DC284}"/>
    <cellStyle name="Comma 2 6 5 3 2 4" xfId="43309" xr:uid="{8B5E25C7-88C7-4022-AA93-D5B29D25101F}"/>
    <cellStyle name="Comma 2 6 5 3 2 5" xfId="45406" xr:uid="{CD07C54D-B7C4-4E46-82E7-028745E59312}"/>
    <cellStyle name="Comma 2 6 5 3 2 6" xfId="49040" xr:uid="{1FCA89D7-5566-4E4E-A3E6-9B4EF478F3B1}"/>
    <cellStyle name="Comma 2 6 5 3 2 7" xfId="51730" xr:uid="{491B0F21-6191-48AB-BC5F-378E45B9B137}"/>
    <cellStyle name="Comma 2 6 5 3 2 8" xfId="52922" xr:uid="{3C330822-EA12-4881-AF3E-623265DA204D}"/>
    <cellStyle name="Comma 2 6 5 3 2 9" xfId="21066" xr:uid="{CC297250-9DEA-486D-9164-620373AA8C25}"/>
    <cellStyle name="Comma 2 6 5 3 3" xfId="20285" xr:uid="{8DE763F6-5545-40C6-A97E-F35ECB5616F3}"/>
    <cellStyle name="Comma 2 6 5 3 4" xfId="23880" xr:uid="{4C0E5161-1EDE-4F50-9D37-0537053958D1}"/>
    <cellStyle name="Comma 2 6 5 3 5" xfId="38377" xr:uid="{5266F68E-C716-4565-BC9D-6E432FD6F19A}"/>
    <cellStyle name="Comma 2 6 5 3 6" xfId="39041" xr:uid="{935E640C-6116-4404-9F0C-7A99B95868AE}"/>
    <cellStyle name="Comma 2 6 5 3 7" xfId="40200" xr:uid="{2BCEF097-7477-4928-A81C-4B03076457F0}"/>
    <cellStyle name="Comma 2 6 5 3 8" xfId="40842" xr:uid="{9270647F-1ACD-4BCA-9303-8633B70FC2F6}"/>
    <cellStyle name="Comma 2 6 5 3 9" xfId="42054" xr:uid="{9F9C9DF4-1F59-4988-9A68-A2050BEEC5DB}"/>
    <cellStyle name="Comma 2 6 5 4" xfId="7224" xr:uid="{97F892EC-A157-4B7D-AA5C-F1D830FD5608}"/>
    <cellStyle name="Comma 2 6 5 4 2" xfId="39291" xr:uid="{DF65861C-DAB6-451A-8548-838E5046A785}"/>
    <cellStyle name="Comma 2 6 5 4 3" xfId="41153" xr:uid="{77D9D25D-9371-4808-A5FF-77AA07861C0B}"/>
    <cellStyle name="Comma 2 6 5 4 4" xfId="42968" xr:uid="{D4084990-04D8-48B9-9555-0FA152E1D61A}"/>
    <cellStyle name="Comma 2 6 5 4 5" xfId="45073" xr:uid="{F876D2A3-06D4-4A92-9011-5B3818398823}"/>
    <cellStyle name="Comma 2 6 5 4 6" xfId="48185" xr:uid="{8E6F5503-7666-47F9-B626-05056940D93E}"/>
    <cellStyle name="Comma 2 6 5 4 7" xfId="51012" xr:uid="{757694F1-5FFD-4367-B23B-ABD626153413}"/>
    <cellStyle name="Comma 2 6 5 4 8" xfId="52923" xr:uid="{AA3077A5-636A-45EF-BC09-0204F0D6B0A9}"/>
    <cellStyle name="Comma 2 6 5 4 9" xfId="20537" xr:uid="{BE85B8EC-0A3A-43CC-A2E6-2D8F701103F0}"/>
    <cellStyle name="Comma 2 6 5 5" xfId="11749" xr:uid="{F8AE681B-2C50-4847-BF26-C444ABA9FA29}"/>
    <cellStyle name="Comma 2 6 5 5 2" xfId="19944" xr:uid="{A5969875-B416-47E0-A98D-9F619131DD92}"/>
    <cellStyle name="Comma 2 6 5 6" xfId="23877" xr:uid="{143EEBF8-F51F-4C2A-8BA1-D1CE0D240731}"/>
    <cellStyle name="Comma 2 6 5 7" xfId="38374" xr:uid="{A0C3DB2A-7BC1-4F42-BFE0-AD6C507E06C7}"/>
    <cellStyle name="Comma 2 6 5 8" xfId="38700" xr:uid="{81E4980F-B0DD-488A-9B0F-B55D9D8C44AE}"/>
    <cellStyle name="Comma 2 6 5 9" xfId="40197" xr:uid="{14359195-67B2-434B-B07D-DCC75A91C610}"/>
    <cellStyle name="Comma 2 6 6" xfId="5523" xr:uid="{FA98985C-36A0-433D-A819-4B5DAA49698B}"/>
    <cellStyle name="Comma 2 6 6 10" xfId="42055" xr:uid="{9684069A-92B2-466B-BB05-9EB7BBA93842}"/>
    <cellStyle name="Comma 2 6 6 11" xfId="42465" xr:uid="{93A9D2CE-20C6-48E7-9FB9-42D17E7B889B}"/>
    <cellStyle name="Comma 2 6 6 12" xfId="43812" xr:uid="{EAAC2211-0FDB-4974-90AF-E026FEF677A5}"/>
    <cellStyle name="Comma 2 6 6 13" xfId="44662" xr:uid="{F7A18386-4CA0-4E90-96F4-9FB8ED8BE76F}"/>
    <cellStyle name="Comma 2 6 6 14" xfId="46570" xr:uid="{18BD9BD5-6A15-442D-8D05-5F51CFDDE2B7}"/>
    <cellStyle name="Comma 2 6 6 15" xfId="49603" xr:uid="{C5D36FDE-7245-452E-A7A4-9C7FB4A2943D}"/>
    <cellStyle name="Comma 2 6 6 16" xfId="52924" xr:uid="{31095CEE-44D4-4000-95E9-74EB694501C0}"/>
    <cellStyle name="Comma 2 6 6 17" xfId="16659" xr:uid="{F9528C7A-B3E6-4064-83F3-F856EA130CF8}"/>
    <cellStyle name="Comma 2 6 6 18" xfId="14060" xr:uid="{A8E9F54E-AE9E-472B-9BE8-8D8BEC5D76F8}"/>
    <cellStyle name="Comma 2 6 6 2" xfId="7625" xr:uid="{19827DF6-A663-4E13-B716-BF3F2569C622}"/>
    <cellStyle name="Comma 2 6 6 2 10" xfId="42720" xr:uid="{6FD4C441-4C27-4F64-9F3A-03C7C5DDC4BE}"/>
    <cellStyle name="Comma 2 6 6 2 11" xfId="44887" xr:uid="{71EC6398-F2AF-4B21-814D-981E25A77F44}"/>
    <cellStyle name="Comma 2 6 6 2 12" xfId="47057" xr:uid="{291DE6C1-B64D-4FC3-A1CD-32F9CF287553}"/>
    <cellStyle name="Comma 2 6 6 2 13" xfId="50058" xr:uid="{A717DAD3-42C5-41F3-829B-932AEFF6A72E}"/>
    <cellStyle name="Comma 2 6 6 2 14" xfId="52925" xr:uid="{F9A20E55-6DF7-45EE-BA1A-4B17CCAE17FE}"/>
    <cellStyle name="Comma 2 6 6 2 15" xfId="17073" xr:uid="{EE0661AC-14F5-45DE-A82E-C10C556C9AF8}"/>
    <cellStyle name="Comma 2 6 6 2 16" xfId="14552" xr:uid="{A7C44C95-C995-4C0E-86ED-FFD4E1789A41}"/>
    <cellStyle name="Comma 2 6 6 2 2" xfId="10117" xr:uid="{724BC888-ABFD-4C19-908F-550F0DBACC1A}"/>
    <cellStyle name="Comma 2 6 6 2 2 2" xfId="13423" xr:uid="{1A740F7A-C6E9-483A-8E40-1FA1409A3B21}"/>
    <cellStyle name="Comma 2 6 6 2 2 2 2" xfId="39634" xr:uid="{8A8D558A-C9C8-4BBE-94F6-B7D4D7423A25}"/>
    <cellStyle name="Comma 2 6 6 2 2 3" xfId="41487" xr:uid="{5AFAB6FD-2847-4239-8C11-CFCE5FC2BDB4}"/>
    <cellStyle name="Comma 2 6 6 2 2 4" xfId="43311" xr:uid="{5606D9BB-A480-468D-975C-B27AA68A6E7C}"/>
    <cellStyle name="Comma 2 6 6 2 2 5" xfId="45408" xr:uid="{6474A068-3BD2-488C-B906-B57BE19B3C08}"/>
    <cellStyle name="Comma 2 6 6 2 2 6" xfId="48623" xr:uid="{C4EFD297-715D-4840-AA80-63FF9312BA34}"/>
    <cellStyle name="Comma 2 6 6 2 2 7" xfId="51386" xr:uid="{6B9FF434-485A-4FAE-99BD-13DF540CA79C}"/>
    <cellStyle name="Comma 2 6 6 2 2 8" xfId="52926" xr:uid="{0E94A63C-5B81-45A8-A9B2-AB8B45C44687}"/>
    <cellStyle name="Comma 2 6 6 2 2 9" xfId="21068" xr:uid="{4B0082E7-194A-465F-8E69-CC9797F97B1C}"/>
    <cellStyle name="Comma 2 6 6 2 3" xfId="12138" xr:uid="{B52307D7-D18B-44F4-9AB2-6E032F2188BF}"/>
    <cellStyle name="Comma 2 6 6 2 3 2" xfId="20287" xr:uid="{5AE2B311-FBEC-4266-9836-0973B405B81D}"/>
    <cellStyle name="Comma 2 6 6 2 4" xfId="23882" xr:uid="{3D824264-CD54-4475-BF60-DC405194CB99}"/>
    <cellStyle name="Comma 2 6 6 2 5" xfId="38379" xr:uid="{F152F644-2603-46E6-8B8F-3B1DCFC1B8B6}"/>
    <cellStyle name="Comma 2 6 6 2 6" xfId="39043" xr:uid="{AE357C09-EC71-4DED-A007-09B7476D0895}"/>
    <cellStyle name="Comma 2 6 6 2 7" xfId="40202" xr:uid="{4FF2EAED-2E92-4F2B-8817-2848391D49CA}"/>
    <cellStyle name="Comma 2 6 6 2 8" xfId="40844" xr:uid="{6A671520-27A9-4DB0-B15E-A6DB26827089}"/>
    <cellStyle name="Comma 2 6 6 2 9" xfId="42056" xr:uid="{1B41D898-E486-4FB2-9C58-15C97A6CCB54}"/>
    <cellStyle name="Comma 2 6 6 3" xfId="9623" xr:uid="{D28D0DCC-69BE-4EAE-95AB-BF7D2A8DD569}"/>
    <cellStyle name="Comma 2 6 6 3 2" xfId="12929" xr:uid="{7E5BEA6B-3B92-4F43-BE09-15B8AE11AA60}"/>
    <cellStyle name="Comma 2 6 6 3 2 2" xfId="48937" xr:uid="{BB25FB2A-4DE5-400D-8DB6-6F658A5D3A2A}"/>
    <cellStyle name="Comma 2 6 6 3 2 3" xfId="51649" xr:uid="{796D28F3-B2EF-49B5-9A03-B4BC036F4736}"/>
    <cellStyle name="Comma 2 6 6 3 2 4" xfId="52927" xr:uid="{68FA4458-3274-474A-A92B-52A8AA47058C}"/>
    <cellStyle name="Comma 2 6 6 3 2 5" xfId="39379" xr:uid="{95F26511-450D-466D-9859-93A208E58BD5}"/>
    <cellStyle name="Comma 2 6 6 3 3" xfId="41237" xr:uid="{64D9DD27-8C48-48F1-9C08-155B0400E81A}"/>
    <cellStyle name="Comma 2 6 6 3 4" xfId="43056" xr:uid="{3976F246-2C3E-447D-AB49-C2E9E3B1046B}"/>
    <cellStyle name="Comma 2 6 6 3 5" xfId="45157" xr:uid="{6E3F00AE-B802-4153-8451-10CA76CF8DE8}"/>
    <cellStyle name="Comma 2 6 6 3 6" xfId="47361" xr:uid="{02553FDC-DFBF-4BE2-8D22-581992AEEB67}"/>
    <cellStyle name="Comma 2 6 6 3 7" xfId="50321" xr:uid="{EBA8666C-5499-471D-AFED-ED592E70D43F}"/>
    <cellStyle name="Comma 2 6 6 3 8" xfId="52928" xr:uid="{F88230F1-D34F-47B0-840A-DFDF412BF9BB}"/>
    <cellStyle name="Comma 2 6 6 3 9" xfId="20753" xr:uid="{284B65E8-F9AC-422E-9CF3-4D015A63C8F1}"/>
    <cellStyle name="Comma 2 6 6 4" xfId="7119" xr:uid="{B2FACD7D-82D1-4A6B-A396-3B2AC28E2A1B}"/>
    <cellStyle name="Comma 2 6 6 4 2" xfId="48082" xr:uid="{06FC5CA3-BBDB-4D3C-B6AD-167630EF8CB5}"/>
    <cellStyle name="Comma 2 6 6 4 3" xfId="50931" xr:uid="{F65C402F-AEBF-46A0-846B-02F9F0749819}"/>
    <cellStyle name="Comma 2 6 6 4 4" xfId="52929" xr:uid="{858079EC-8152-4A30-A831-70079ED560CC}"/>
    <cellStyle name="Comma 2 6 6 4 5" xfId="20032" xr:uid="{02C0452B-F961-4608-BDB4-16E798C2F7E1}"/>
    <cellStyle name="Comma 2 6 6 5" xfId="11644" xr:uid="{D64D6A2D-3E82-442C-9426-2D7F9635760A}"/>
    <cellStyle name="Comma 2 6 6 5 2" xfId="23881" xr:uid="{D443511E-4084-443B-8F3A-1814358AE3D7}"/>
    <cellStyle name="Comma 2 6 6 6" xfId="38378" xr:uid="{147BC982-A682-40F8-88F9-EE2AB1CD260E}"/>
    <cellStyle name="Comma 2 6 6 7" xfId="38788" xr:uid="{50BC36A9-8C50-4570-8BD7-5FA6C9C215FC}"/>
    <cellStyle name="Comma 2 6 6 8" xfId="40201" xr:uid="{AFBCB42E-6EDB-49FE-8AD9-03D4700324C2}"/>
    <cellStyle name="Comma 2 6 6 9" xfId="40843" xr:uid="{9F08326E-C54F-445F-B59E-8ABE1D2AACE1}"/>
    <cellStyle name="Comma 2 6 7" xfId="5953" xr:uid="{ECF5819B-4E8D-47F4-A6F6-7BA927DC7B07}"/>
    <cellStyle name="Comma 2 6 7 10" xfId="42057" xr:uid="{BBFD890E-669D-4DFE-8829-1D01BCABB58D}"/>
    <cellStyle name="Comma 2 6 7 11" xfId="42405" xr:uid="{EA2B5EDD-64AE-4B2D-9E9B-A898204FC955}"/>
    <cellStyle name="Comma 2 6 7 12" xfId="44631" xr:uid="{5F345D53-64EC-4467-A789-06428478FA3F}"/>
    <cellStyle name="Comma 2 6 7 13" xfId="45807" xr:uid="{976D505B-6E6D-43C2-BD36-6F24B9A80901}"/>
    <cellStyle name="Comma 2 6 7 14" xfId="49429" xr:uid="{4E1ABCE8-FC67-46FF-8E49-CFE5FDDE497E}"/>
    <cellStyle name="Comma 2 6 7 15" xfId="52930" xr:uid="{453CC51C-1A5C-49DE-9E15-5C7446EC0E8E}"/>
    <cellStyle name="Comma 2 6 7 16" xfId="16380" xr:uid="{B8F927B0-27AA-478E-962A-C8C9470E1D02}"/>
    <cellStyle name="Comma 2 6 7 17" xfId="14343" xr:uid="{A6A03DD8-81A4-48F1-8C1D-4EC96F33EBCC}"/>
    <cellStyle name="Comma 2 6 7 2" xfId="9411" xr:uid="{3D083AD1-4BA3-4377-9D0E-30937D081419}"/>
    <cellStyle name="Comma 2 6 7 2 10" xfId="42721" xr:uid="{0FEC3E53-FDE5-4167-9E19-BFDC218B2AFE}"/>
    <cellStyle name="Comma 2 6 7 2 11" xfId="44888" xr:uid="{FA1E99EE-3442-4EA6-8C62-FD9D47E01601}"/>
    <cellStyle name="Comma 2 6 7 2 12" xfId="47880" xr:uid="{90D65179-8F0F-4818-AE9A-F85A24ED1A27}"/>
    <cellStyle name="Comma 2 6 7 2 13" xfId="50757" xr:uid="{A839D21E-A74E-4042-A1A6-7BC54C44431D}"/>
    <cellStyle name="Comma 2 6 7 2 14" xfId="52931" xr:uid="{76B68887-CCD4-424E-9103-01B0CB6C528E}"/>
    <cellStyle name="Comma 2 6 7 2 15" xfId="17074" xr:uid="{458FAEB9-98B6-4B49-985E-C0FAA4CF7FFA}"/>
    <cellStyle name="Comma 2 6 7 2 2" xfId="12717" xr:uid="{9F25D350-1E44-42CC-8931-ED2B42E0E302}"/>
    <cellStyle name="Comma 2 6 7 2 2 2" xfId="39635" xr:uid="{089423B8-379E-4F6C-A6BA-37DF9A2D7727}"/>
    <cellStyle name="Comma 2 6 7 2 2 3" xfId="41488" xr:uid="{9E0A8A0D-E17B-439D-BF19-7E07CAAAF27C}"/>
    <cellStyle name="Comma 2 6 7 2 2 4" xfId="43312" xr:uid="{6BC20CE5-6AB9-484C-9066-D5B2CDE4E040}"/>
    <cellStyle name="Comma 2 6 7 2 2 5" xfId="45409" xr:uid="{2830C664-3709-4A06-B1C3-D1300140090F}"/>
    <cellStyle name="Comma 2 6 7 2 2 6" xfId="21069" xr:uid="{1AC3C609-DA80-431E-9404-2A737C2F2360}"/>
    <cellStyle name="Comma 2 6 7 2 3" xfId="20288" xr:uid="{C0785605-0930-4F76-AB82-265661E1FDD6}"/>
    <cellStyle name="Comma 2 6 7 2 4" xfId="23884" xr:uid="{C4581F3B-9954-43E4-8728-88A148B724CB}"/>
    <cellStyle name="Comma 2 6 7 2 5" xfId="38381" xr:uid="{8C953900-05FD-41A4-8E64-2B28C3B612C0}"/>
    <cellStyle name="Comma 2 6 7 2 6" xfId="39044" xr:uid="{F88422A3-E520-4B59-9EF5-02A25992FA1B}"/>
    <cellStyle name="Comma 2 6 7 2 7" xfId="40204" xr:uid="{FA15B1B5-2276-49D5-BDFF-DF17E58B2F9A}"/>
    <cellStyle name="Comma 2 6 7 2 8" xfId="40846" xr:uid="{C2B0DA3E-E504-49B7-B50C-76DC2B252369}"/>
    <cellStyle name="Comma 2 6 7 2 9" xfId="42058" xr:uid="{C78E4CE4-1D9E-4E9E-B9E3-545EFBF93DA4}"/>
    <cellStyle name="Comma 2 6 7 3" xfId="11432" xr:uid="{5F777C9A-C337-4EF2-997A-D34153B44350}"/>
    <cellStyle name="Comma 2 6 7 3 2" xfId="39319" xr:uid="{13BEEB0E-12BC-4841-90F1-D8645DC2C568}"/>
    <cellStyle name="Comma 2 6 7 3 3" xfId="41181" xr:uid="{666FC543-19C6-4D3D-AC08-566AAC61CD45}"/>
    <cellStyle name="Comma 2 6 7 3 4" xfId="42996" xr:uid="{45BC38EE-C3B2-444B-9FA3-2417AF3A6BE3}"/>
    <cellStyle name="Comma 2 6 7 3 5" xfId="45101" xr:uid="{9ECB6086-85A2-4B9B-9092-253119E7D68C}"/>
    <cellStyle name="Comma 2 6 7 3 6" xfId="20625" xr:uid="{723BAE53-73CF-4015-8AAA-D81DF6C6C62C}"/>
    <cellStyle name="Comma 2 6 7 4" xfId="19972" xr:uid="{CD64A655-C17E-417D-990B-A38975041520}"/>
    <cellStyle name="Comma 2 6 7 5" xfId="23883" xr:uid="{04172CF4-DB5C-4386-8123-80343AF840DF}"/>
    <cellStyle name="Comma 2 6 7 6" xfId="38380" xr:uid="{9F7FFFE2-FACF-4E51-83B1-D28099F371D5}"/>
    <cellStyle name="Comma 2 6 7 7" xfId="38728" xr:uid="{8A115DAA-FE6E-4E07-A2E0-4D50B2FDCAAF}"/>
    <cellStyle name="Comma 2 6 7 8" xfId="40203" xr:uid="{35704BDE-16EF-45CC-87D3-5C22EC56F7F5}"/>
    <cellStyle name="Comma 2 6 7 9" xfId="40845" xr:uid="{FF057C36-F792-487C-AA6B-CBC780C871FD}"/>
    <cellStyle name="Comma 2 6 8" xfId="7416" xr:uid="{E16A19FC-A339-44AF-87A7-58D88390087D}"/>
    <cellStyle name="Comma 2 6 8 10" xfId="42708" xr:uid="{670D9082-28BC-4742-869A-E0D4FB98D037}"/>
    <cellStyle name="Comma 2 6 8 11" xfId="44875" xr:uid="{19B756E0-6686-4B6D-BB48-3DDC521B2AA9}"/>
    <cellStyle name="Comma 2 6 8 12" xfId="46828" xr:uid="{17CB73F3-2169-4056-AB98-750BF693D2B0}"/>
    <cellStyle name="Comma 2 6 8 13" xfId="49852" xr:uid="{F97CB571-2D5E-4250-8ECD-DDEA47FCCC8F}"/>
    <cellStyle name="Comma 2 6 8 14" xfId="52932" xr:uid="{8B0DA87A-F37C-415C-86A9-4837A23DBE35}"/>
    <cellStyle name="Comma 2 6 8 15" xfId="17061" xr:uid="{BF019B61-E7B3-4AF0-9BB9-4E52FDFD948D}"/>
    <cellStyle name="Comma 2 6 8 16" xfId="14867" xr:uid="{50B9B68D-ED94-4E62-9801-7EA6883F6BBC}"/>
    <cellStyle name="Comma 2 6 8 2" xfId="9908" xr:uid="{680480F2-5691-41C2-B1BD-8073D21F9DB0}"/>
    <cellStyle name="Comma 2 6 8 2 2" xfId="13214" xr:uid="{96357684-DACE-4438-B0E9-6947614B081F}"/>
    <cellStyle name="Comma 2 6 8 2 2 2" xfId="39622" xr:uid="{F22BCECB-9F71-4BD4-9BCD-F7BE16F69253}"/>
    <cellStyle name="Comma 2 6 8 2 3" xfId="41475" xr:uid="{57658108-8C59-4379-A8D0-F33C29657F5B}"/>
    <cellStyle name="Comma 2 6 8 2 4" xfId="43299" xr:uid="{23062737-BE61-45D1-B95E-479A58D1367A}"/>
    <cellStyle name="Comma 2 6 8 2 5" xfId="45396" xr:uid="{E2350DC5-0FB1-43B4-B405-0D0E94C6BCC9}"/>
    <cellStyle name="Comma 2 6 8 2 6" xfId="48379" xr:uid="{185D372B-B252-4833-964E-82068ECC51EB}"/>
    <cellStyle name="Comma 2 6 8 2 7" xfId="51180" xr:uid="{99E3547E-47B6-4E22-A1C0-76CE05C7F30F}"/>
    <cellStyle name="Comma 2 6 8 2 8" xfId="52933" xr:uid="{7D040DE2-73E6-44A7-9FE8-49CE22354185}"/>
    <cellStyle name="Comma 2 6 8 2 9" xfId="21056" xr:uid="{36DA739C-CC3B-428D-B387-AF7684D10F3A}"/>
    <cellStyle name="Comma 2 6 8 3" xfId="11929" xr:uid="{EDD1751C-8DD9-48DC-89A9-9D25B608CF8A}"/>
    <cellStyle name="Comma 2 6 8 3 2" xfId="20275" xr:uid="{6DA3E0C5-767B-47CA-A526-A7D805D79BC2}"/>
    <cellStyle name="Comma 2 6 8 4" xfId="23885" xr:uid="{86EA0D80-63CB-4766-A86B-D43439E38DDE}"/>
    <cellStyle name="Comma 2 6 8 5" xfId="38382" xr:uid="{93898C6D-0A68-4032-ACD2-E18A26974F0D}"/>
    <cellStyle name="Comma 2 6 8 6" xfId="39031" xr:uid="{90859BB3-9701-4727-A3C0-B31BC111C26F}"/>
    <cellStyle name="Comma 2 6 8 7" xfId="40205" xr:uid="{27D4C93E-ABE9-4474-A686-F33E2BE04512}"/>
    <cellStyle name="Comma 2 6 8 8" xfId="40847" xr:uid="{DF7B6743-3EFD-45F7-B3FE-19854E841CF8}"/>
    <cellStyle name="Comma 2 6 8 9" xfId="42059" xr:uid="{19F7954F-C977-46EF-A8F1-EAD9F251E5BD}"/>
    <cellStyle name="Comma 2 6 9" xfId="8153" xr:uid="{4B5F6135-B0E5-4471-A490-4C834316F4F7}"/>
    <cellStyle name="Comma 2 6 9 10" xfId="42834" xr:uid="{349D8433-4059-4193-BF50-FF31884021EF}"/>
    <cellStyle name="Comma 2 6 9 11" xfId="44961" xr:uid="{0DE12F59-44DF-4B73-8F17-25AB98D06750}"/>
    <cellStyle name="Comma 2 6 9 12" xfId="47166" xr:uid="{2BB025B6-1B23-4D2F-9C57-39F39DCEA914}"/>
    <cellStyle name="Comma 2 6 9 13" xfId="50147" xr:uid="{F10C7F57-4F73-49E3-A0C0-69E30E3A203E}"/>
    <cellStyle name="Comma 2 6 9 14" xfId="52934" xr:uid="{EF4CF75B-9785-4D89-8707-27F90CD31843}"/>
    <cellStyle name="Comma 2 6 9 15" xfId="19740" xr:uid="{CEAE6F87-A705-4E27-9A3D-28D2FBCFBEED}"/>
    <cellStyle name="Comma 2 6 9 2" xfId="12609" xr:uid="{EE3858DB-238A-4533-8576-36C6810D119E}"/>
    <cellStyle name="Comma 2 6 9 2 2" xfId="39748" xr:uid="{8E87F057-DBB4-462C-9CC9-EF7F97D149CC}"/>
    <cellStyle name="Comma 2 6 9 2 3" xfId="41601" xr:uid="{2923E180-19DD-4048-897F-473DEE3D2B16}"/>
    <cellStyle name="Comma 2 6 9 2 4" xfId="43425" xr:uid="{0DAC1DAB-7EA1-4623-B487-2D69BF8E74FD}"/>
    <cellStyle name="Comma 2 6 9 2 5" xfId="45504" xr:uid="{0DEA4F45-EDA9-4DF5-AC8F-5D863A3775EA}"/>
    <cellStyle name="Comma 2 6 9 2 6" xfId="48731" xr:uid="{F2F9D612-9A94-43B1-B7C7-02D2B7DA9171}"/>
    <cellStyle name="Comma 2 6 9 2 7" xfId="51475" xr:uid="{6FB4BADE-10E1-4905-AFC4-6AE2B3005BC3}"/>
    <cellStyle name="Comma 2 6 9 2 8" xfId="52935" xr:uid="{313B5767-AC90-4100-9C68-E3C1575038AE}"/>
    <cellStyle name="Comma 2 6 9 2 9" xfId="23357" xr:uid="{6A594D4A-4209-4948-8B20-031837030EF4}"/>
    <cellStyle name="Comma 2 6 9 3" xfId="20401" xr:uid="{285D1139-780D-4DA5-BC89-0EA161E61CFA}"/>
    <cellStyle name="Comma 2 6 9 4" xfId="23886" xr:uid="{BCE448C6-E7AA-4596-B962-68EE5D106390}"/>
    <cellStyle name="Comma 2 6 9 5" xfId="38383" xr:uid="{ADE5FC36-CEE7-48B0-AACB-CFAC7E39D9C8}"/>
    <cellStyle name="Comma 2 6 9 6" xfId="39157" xr:uid="{2345DD54-6C75-4C64-8551-C37D5C9FFCCC}"/>
    <cellStyle name="Comma 2 6 9 7" xfId="40206" xr:uid="{23196225-3F1C-4447-BA57-F552B01D6ECE}"/>
    <cellStyle name="Comma 2 6 9 8" xfId="40848" xr:uid="{02F6837D-5184-44C7-B3E3-C996A7CD4ABE}"/>
    <cellStyle name="Comma 2 6 9 9" xfId="42060" xr:uid="{C6B38437-E385-4819-A347-8C98DD9AD7B6}"/>
    <cellStyle name="Comma 2 7" xfId="1769" xr:uid="{5ED8A534-386B-4C1F-9E75-03C160DBF566}"/>
    <cellStyle name="Comma 2 7 10" xfId="23887" xr:uid="{1E93BA2C-F52C-46C8-9E47-9009C498F22A}"/>
    <cellStyle name="Comma 2 7 11" xfId="38384" xr:uid="{98393FF8-7DFB-4CC1-AB60-BBCE98F82424}"/>
    <cellStyle name="Comma 2 7 12" xfId="38638" xr:uid="{B2202318-1210-4FFF-9611-4B1768EB6E97}"/>
    <cellStyle name="Comma 2 7 13" xfId="40207" xr:uid="{5EF750B2-9F65-4AB1-AEEE-DB12353D4AD9}"/>
    <cellStyle name="Comma 2 7 14" xfId="40849" xr:uid="{173A2373-F4D6-4CF3-8724-3F6C4C671A88}"/>
    <cellStyle name="Comma 2 7 15" xfId="42061" xr:uid="{B7D98B83-B034-4E47-A931-68893E7A4894}"/>
    <cellStyle name="Comma 2 7 16" xfId="42315" xr:uid="{7E0E8185-11C5-4160-8AFF-B9727F8EAA70}"/>
    <cellStyle name="Comma 2 7 17" xfId="43542" xr:uid="{1A3DA434-AE9C-46FC-8C79-2BA23DBE8F5E}"/>
    <cellStyle name="Comma 2 7 18" xfId="44405" xr:uid="{8A4792A6-87E7-4A46-9F9C-E9C9BEDA1B72}"/>
    <cellStyle name="Comma 2 7 19" xfId="45639" xr:uid="{D0D5860D-80DF-427D-938E-2FC79EFB65F9}"/>
    <cellStyle name="Comma 2 7 2" xfId="4445" xr:uid="{9779A1FF-B314-4537-81F3-2BCF8C5A4A71}"/>
    <cellStyle name="Comma 2 7 2 10" xfId="40208" xr:uid="{25F7F672-C07D-4A6D-87B8-AA6C30B63901}"/>
    <cellStyle name="Comma 2 7 2 11" xfId="40850" xr:uid="{F614936A-4C19-4671-B842-4F3D347B960B}"/>
    <cellStyle name="Comma 2 7 2 12" xfId="42062" xr:uid="{11FB699D-CAE5-4971-B2ED-82DF7E867475}"/>
    <cellStyle name="Comma 2 7 2 13" xfId="42353" xr:uid="{358AB7BA-BA57-4E98-9286-81AC17AC0C8D}"/>
    <cellStyle name="Comma 2 7 2 14" xfId="44246" xr:uid="{DDAC5477-80DD-445C-8895-2AD8FB16AE03}"/>
    <cellStyle name="Comma 2 7 2 15" xfId="44546" xr:uid="{1B7EBC1C-20EC-4E83-8FB6-EA539951AD5E}"/>
    <cellStyle name="Comma 2 7 2 16" xfId="45713" xr:uid="{C7A417D3-BF60-4064-82FF-03DCEAE1C5F2}"/>
    <cellStyle name="Comma 2 7 2 17" xfId="49341" xr:uid="{8F8874CE-0521-4572-AF1F-74DFD45AFDB8}"/>
    <cellStyle name="Comma 2 7 2 18" xfId="52936" xr:uid="{9DC30A1C-8B44-4469-865D-497D39BF676F}"/>
    <cellStyle name="Comma 2 7 2 19" xfId="15319" xr:uid="{057F021B-39E0-4E59-ADD1-B5328BA9394E}"/>
    <cellStyle name="Comma 2 7 2 2" xfId="5702" xr:uid="{812CB088-1756-4245-A942-7C7646B62B30}"/>
    <cellStyle name="Comma 2 7 2 2 10" xfId="42063" xr:uid="{D3BB3FDD-4F3D-4D59-B632-395CFF6A85C1}"/>
    <cellStyle name="Comma 2 7 2 2 11" xfId="42505" xr:uid="{28319F87-896D-4818-8E65-EB7072F8A0CE}"/>
    <cellStyle name="Comma 2 7 2 2 12" xfId="44687" xr:uid="{DB331975-E732-4CBD-A832-DF7F445F68B9}"/>
    <cellStyle name="Comma 2 7 2 2 13" xfId="46714" xr:uid="{1EDB1F25-E4E6-46A2-8237-0AC2EB036740}"/>
    <cellStyle name="Comma 2 7 2 2 14" xfId="49746" xr:uid="{E7212ECA-3D0D-410C-80E1-0A9319AA8AC6}"/>
    <cellStyle name="Comma 2 7 2 2 15" xfId="52937" xr:uid="{C502CCB0-D58E-41F5-ABEC-4724DCC48AE7}"/>
    <cellStyle name="Comma 2 7 2 2 16" xfId="16768" xr:uid="{75BF2AB7-22D8-4A30-988E-81C7A9F4EE3A}"/>
    <cellStyle name="Comma 2 7 2 2 17" xfId="14731" xr:uid="{1C77B526-820E-410A-8C73-BC0845C91E58}"/>
    <cellStyle name="Comma 2 7 2 2 2" xfId="10296" xr:uid="{A238B75E-C975-4412-8647-684E3FDFDFF4}"/>
    <cellStyle name="Comma 2 7 2 2 2 10" xfId="42724" xr:uid="{721D4A38-32A5-438E-ACFD-6FA5E40AE9FA}"/>
    <cellStyle name="Comma 2 7 2 2 2 11" xfId="44891" xr:uid="{F11097FB-8F69-4947-BCB7-2B7A15F5F38A}"/>
    <cellStyle name="Comma 2 7 2 2 2 12" xfId="48256" xr:uid="{2A4A0EB0-B4B3-426D-AA90-FD50CE1201C7}"/>
    <cellStyle name="Comma 2 7 2 2 2 13" xfId="51074" xr:uid="{308DEBE2-32AD-46D3-9EA9-6F52866B168B}"/>
    <cellStyle name="Comma 2 7 2 2 2 14" xfId="52938" xr:uid="{7110AB4E-D950-424E-87ED-2DBAC3A20C4D}"/>
    <cellStyle name="Comma 2 7 2 2 2 15" xfId="17077" xr:uid="{242ED807-D5B7-4100-9D4B-2FDE41E2E2DA}"/>
    <cellStyle name="Comma 2 7 2 2 2 2" xfId="13602" xr:uid="{4DBEBD5B-ED25-489D-9FAE-1072CBA130F0}"/>
    <cellStyle name="Comma 2 7 2 2 2 2 2" xfId="39638" xr:uid="{B6B64EB1-FC8F-4405-B49B-B590BD6BEB9C}"/>
    <cellStyle name="Comma 2 7 2 2 2 2 3" xfId="41491" xr:uid="{4A5AC095-F70A-4688-80DE-6EC4F0E3B3E8}"/>
    <cellStyle name="Comma 2 7 2 2 2 2 4" xfId="43315" xr:uid="{2111C9DE-ED7E-4EA2-B3D9-248086FFDA77}"/>
    <cellStyle name="Comma 2 7 2 2 2 2 5" xfId="45412" xr:uid="{6A5A001E-EF16-4E12-96A0-6D88B8577110}"/>
    <cellStyle name="Comma 2 7 2 2 2 2 6" xfId="21072" xr:uid="{94552178-2413-4380-881D-5BB80ACF9999}"/>
    <cellStyle name="Comma 2 7 2 2 2 3" xfId="20291" xr:uid="{BD7334D4-CF6B-4F56-A407-4D47709D2039}"/>
    <cellStyle name="Comma 2 7 2 2 2 4" xfId="23890" xr:uid="{8D28A669-56A4-4FF0-8E54-448D9CB7CB00}"/>
    <cellStyle name="Comma 2 7 2 2 2 5" xfId="38387" xr:uid="{F4F87F63-093E-4655-BB49-6892AEEEB770}"/>
    <cellStyle name="Comma 2 7 2 2 2 6" xfId="39047" xr:uid="{CF260495-8DE7-4AB5-ABC5-E77C20770AE9}"/>
    <cellStyle name="Comma 2 7 2 2 2 7" xfId="40210" xr:uid="{927D1B6C-6D86-4CFF-85DB-EB3EBC93722C}"/>
    <cellStyle name="Comma 2 7 2 2 2 8" xfId="40852" xr:uid="{A2C4FDB2-323F-45CA-88CF-DE2400837283}"/>
    <cellStyle name="Comma 2 7 2 2 2 9" xfId="42064" xr:uid="{39609E4A-4DA1-4725-A0A1-D3080A740FCE}"/>
    <cellStyle name="Comma 2 7 2 2 3" xfId="7804" xr:uid="{28CCD2AD-9241-4115-AFC7-92560F7FBB22}"/>
    <cellStyle name="Comma 2 7 2 2 3 2" xfId="39419" xr:uid="{9349982D-5370-46FE-9C31-F8F784F75BC8}"/>
    <cellStyle name="Comma 2 7 2 2 3 3" xfId="41275" xr:uid="{2DF0611B-6862-4F42-992E-999221D728A3}"/>
    <cellStyle name="Comma 2 7 2 2 3 4" xfId="43096" xr:uid="{3E5E25AB-9F79-45EA-AF09-51E796CF3551}"/>
    <cellStyle name="Comma 2 7 2 2 3 5" xfId="45195" xr:uid="{3A80B79D-89F3-4781-BFEF-D56FBD6C38BA}"/>
    <cellStyle name="Comma 2 7 2 2 3 6" xfId="20794" xr:uid="{F2E5CE4A-F314-4440-BAF7-C1772D697B82}"/>
    <cellStyle name="Comma 2 7 2 2 4" xfId="12317" xr:uid="{FF382F73-E65A-4BA8-B0DF-3E44550FA40B}"/>
    <cellStyle name="Comma 2 7 2 2 4 2" xfId="20072" xr:uid="{F6F286D3-1ED3-434B-B3EE-D387C8B29470}"/>
    <cellStyle name="Comma 2 7 2 2 5" xfId="23889" xr:uid="{71FC3CB5-154A-4852-922A-7B1B0D92B231}"/>
    <cellStyle name="Comma 2 7 2 2 6" xfId="38386" xr:uid="{26722716-E7E3-4EC3-BAD9-6AFFC8209024}"/>
    <cellStyle name="Comma 2 7 2 2 7" xfId="38828" xr:uid="{C11B953E-699C-492F-8982-F5D71D74F206}"/>
    <cellStyle name="Comma 2 7 2 2 8" xfId="40209" xr:uid="{68D0AB11-1110-4AD0-B2CC-6B5661AE147F}"/>
    <cellStyle name="Comma 2 7 2 2 9" xfId="40851" xr:uid="{216C3878-B65D-42C2-BC2F-45E9C95BD5C6}"/>
    <cellStyle name="Comma 2 7 2 20" xfId="14239" xr:uid="{693E131B-DA89-4114-BAAB-1FA5D7D0DC1A}"/>
    <cellStyle name="Comma 2 7 2 3" xfId="11144" xr:uid="{23097684-C2F4-45AE-9DCF-2100F2CB073A}"/>
    <cellStyle name="Comma 2 7 2 3 10" xfId="42065" xr:uid="{43BB90DA-F4B3-4C03-BFC9-A1F2585A8A26}"/>
    <cellStyle name="Comma 2 7 2 3 11" xfId="42408" xr:uid="{2BEBCBE6-60F8-4AE6-83F3-158896C05151}"/>
    <cellStyle name="Comma 2 7 2 3 12" xfId="44634" xr:uid="{824CD6AC-4549-4555-9930-3DF98A09BAFE}"/>
    <cellStyle name="Comma 2 7 2 3 13" xfId="46934" xr:uid="{2E2313DA-2346-45E8-B0D1-BE5FBC5C0EF4}"/>
    <cellStyle name="Comma 2 7 2 3 14" xfId="49953" xr:uid="{725148B2-A8F3-4189-888C-B36C11695C5B}"/>
    <cellStyle name="Comma 2 7 2 3 15" xfId="52939" xr:uid="{6D90FF1D-0C24-479B-8C37-3BF31ED54733}"/>
    <cellStyle name="Comma 2 7 2 3 16" xfId="16383" xr:uid="{4F0D1C2E-2676-4BB7-8C85-49680E312457}"/>
    <cellStyle name="Comma 2 7 2 3 17" xfId="15046" xr:uid="{085773F1-FDEA-470B-A161-F261548DF88E}"/>
    <cellStyle name="Comma 2 7 2 3 2" xfId="13740" xr:uid="{4E3B1EBA-0E7B-467C-B17A-EDA952892347}"/>
    <cellStyle name="Comma 2 7 2 3 2 10" xfId="42725" xr:uid="{CE63EF51-BF5C-4851-B22A-D92371BAFD72}"/>
    <cellStyle name="Comma 2 7 2 3 2 11" xfId="44892" xr:uid="{A4FD6EA6-B9AA-4B4F-A613-80CB7818039A}"/>
    <cellStyle name="Comma 2 7 2 3 2 12" xfId="48495" xr:uid="{78C26D69-ED7D-4116-949A-0F18D6C152F3}"/>
    <cellStyle name="Comma 2 7 2 3 2 13" xfId="51281" xr:uid="{8A998543-AA85-4E2E-A445-A1B6A747AB59}"/>
    <cellStyle name="Comma 2 7 2 3 2 14" xfId="52940" xr:uid="{AE9F70FB-2F3A-4F2A-894D-C92D946EB598}"/>
    <cellStyle name="Comma 2 7 2 3 2 15" xfId="17078" xr:uid="{88756170-1F60-480A-BFAE-1742BBEFF9F4}"/>
    <cellStyle name="Comma 2 7 2 3 2 2" xfId="21073" xr:uid="{11212535-0604-40C5-8D28-A8122860B1B3}"/>
    <cellStyle name="Comma 2 7 2 3 2 2 2" xfId="39639" xr:uid="{45FD73DC-4D0E-4841-BC35-B454AA7A2298}"/>
    <cellStyle name="Comma 2 7 2 3 2 2 3" xfId="41492" xr:uid="{2937C3AE-B733-4C7F-B751-3ADAD36BC3F1}"/>
    <cellStyle name="Comma 2 7 2 3 2 2 4" xfId="43316" xr:uid="{2FA7091E-11BB-4C84-8B2C-4B13640C2EA1}"/>
    <cellStyle name="Comma 2 7 2 3 2 2 5" xfId="45413" xr:uid="{59BE4B30-522C-4F3E-A765-81C93AF1E719}"/>
    <cellStyle name="Comma 2 7 2 3 2 3" xfId="20292" xr:uid="{F20F8275-3C61-4A4D-BD41-E18E824E76A6}"/>
    <cellStyle name="Comma 2 7 2 3 2 4" xfId="23892" xr:uid="{5D55B57D-8A8A-4577-9D15-9295C04224A4}"/>
    <cellStyle name="Comma 2 7 2 3 2 5" xfId="38389" xr:uid="{2F565DAF-EA6A-4D7A-859B-CE60FFB32F3F}"/>
    <cellStyle name="Comma 2 7 2 3 2 6" xfId="39048" xr:uid="{3CB628C8-AA92-453D-AAD7-98652211AD33}"/>
    <cellStyle name="Comma 2 7 2 3 2 7" xfId="40212" xr:uid="{85FA54F8-9336-42A6-8B28-20539388B208}"/>
    <cellStyle name="Comma 2 7 2 3 2 8" xfId="40854" xr:uid="{5867FF72-50CC-4310-BC8B-AFBB29703620}"/>
    <cellStyle name="Comma 2 7 2 3 2 9" xfId="42066" xr:uid="{33F7B384-7499-49F6-A4FA-8F3C238EF387}"/>
    <cellStyle name="Comma 2 7 2 3 3" xfId="20628" xr:uid="{4DC880D2-F8B1-4287-A340-7492D6D1C64D}"/>
    <cellStyle name="Comma 2 7 2 3 3 2" xfId="39322" xr:uid="{88E054FD-2353-441C-BD40-745D5C783C0D}"/>
    <cellStyle name="Comma 2 7 2 3 3 3" xfId="41184" xr:uid="{F1F8E5F9-66BE-4DBF-AA7B-8E1AB1C7C120}"/>
    <cellStyle name="Comma 2 7 2 3 3 4" xfId="42999" xr:uid="{D381E9C3-114E-4F54-877B-27043F71EE13}"/>
    <cellStyle name="Comma 2 7 2 3 3 5" xfId="45104" xr:uid="{BE05FD4F-36FA-486D-B611-A5C7D2DF607A}"/>
    <cellStyle name="Comma 2 7 2 3 4" xfId="19975" xr:uid="{AAA7A0DB-A3B5-40CA-A18E-A68DF9AE0B0E}"/>
    <cellStyle name="Comma 2 7 2 3 5" xfId="23891" xr:uid="{06CE684A-999B-481B-876B-257BA99D1AE5}"/>
    <cellStyle name="Comma 2 7 2 3 6" xfId="38388" xr:uid="{A185C475-C897-4274-A1BA-3FABE7C272D2}"/>
    <cellStyle name="Comma 2 7 2 3 7" xfId="38731" xr:uid="{94B90990-7524-4F6F-83CB-EC469A678A94}"/>
    <cellStyle name="Comma 2 7 2 3 8" xfId="40211" xr:uid="{41FF0F64-A471-4F5B-ABEE-1FBAA63CD53D}"/>
    <cellStyle name="Comma 2 7 2 3 9" xfId="40853" xr:uid="{DBE5BEC1-C2A1-4716-8070-3343CB44F331}"/>
    <cellStyle name="Comma 2 7 2 4" xfId="9802" xr:uid="{A25D5C55-DB6B-4E54-8379-D89F97E511D3}"/>
    <cellStyle name="Comma 2 7 2 4 10" xfId="42723" xr:uid="{1FC257FA-A2D5-43C4-AD6B-34E6A0DB6AFE}"/>
    <cellStyle name="Comma 2 7 2 4 11" xfId="44890" xr:uid="{11465473-FF98-4A14-B66E-493125F7C723}"/>
    <cellStyle name="Comma 2 7 2 4 12" xfId="47529" xr:uid="{B2C8533F-3136-4380-B55D-981E038C6D62}"/>
    <cellStyle name="Comma 2 7 2 4 13" xfId="50464" xr:uid="{306B960A-6C43-4E93-913F-6B44C11C1875}"/>
    <cellStyle name="Comma 2 7 2 4 14" xfId="52941" xr:uid="{5AE2ECA2-B165-48D5-9F23-973024B0A12D}"/>
    <cellStyle name="Comma 2 7 2 4 15" xfId="17076" xr:uid="{81D15A19-FA29-4D20-81F5-8F4F096D0645}"/>
    <cellStyle name="Comma 2 7 2 4 2" xfId="13108" xr:uid="{68057D48-C420-4F4D-857A-9266D6A5E848}"/>
    <cellStyle name="Comma 2 7 2 4 2 2" xfId="39637" xr:uid="{4850812D-0540-44D7-8F48-6A51D76D6DB1}"/>
    <cellStyle name="Comma 2 7 2 4 2 3" xfId="41490" xr:uid="{381F0E00-2AE9-4A07-AF90-666694B6DAE2}"/>
    <cellStyle name="Comma 2 7 2 4 2 4" xfId="43314" xr:uid="{08DFD997-EF97-477A-96BC-3AAA00FCC497}"/>
    <cellStyle name="Comma 2 7 2 4 2 5" xfId="45411" xr:uid="{63EB60D7-B128-43F0-A519-B81BBAE4AC43}"/>
    <cellStyle name="Comma 2 7 2 4 2 6" xfId="49112" xr:uid="{B22D1C12-418E-4B21-9FDA-625FBFEB772F}"/>
    <cellStyle name="Comma 2 7 2 4 2 7" xfId="51792" xr:uid="{468EFEC4-F236-41B2-BFE6-04987F86AF8C}"/>
    <cellStyle name="Comma 2 7 2 4 2 8" xfId="52942" xr:uid="{053104D3-3CDC-4FEE-9AF2-544327291C54}"/>
    <cellStyle name="Comma 2 7 2 4 2 9" xfId="21071" xr:uid="{A1B98145-7E9C-4D58-91DD-4D5CEBEE2EE2}"/>
    <cellStyle name="Comma 2 7 2 4 3" xfId="20290" xr:uid="{82D10E3D-4BA3-43AB-8F24-6165AE746CCC}"/>
    <cellStyle name="Comma 2 7 2 4 4" xfId="23893" xr:uid="{8F67F491-7D48-48E1-BC25-C1BE3D09FD73}"/>
    <cellStyle name="Comma 2 7 2 4 5" xfId="38390" xr:uid="{140666C6-04D3-4E8D-BC9D-DC4332B0BC43}"/>
    <cellStyle name="Comma 2 7 2 4 6" xfId="39046" xr:uid="{E7BAAE9A-4831-4BBB-9DF7-38BFE9CFE220}"/>
    <cellStyle name="Comma 2 7 2 4 7" xfId="40213" xr:uid="{DBD9D48F-081E-4BD2-97A5-FE4BD9976DA8}"/>
    <cellStyle name="Comma 2 7 2 4 8" xfId="40855" xr:uid="{47F51974-348B-41EC-9F58-82899920B481}"/>
    <cellStyle name="Comma 2 7 2 4 9" xfId="42067" xr:uid="{ECC1623A-2EAB-47ED-8582-0B702D363812}"/>
    <cellStyle name="Comma 2 7 2 5" xfId="7300" xr:uid="{F10050C6-37CA-4B5A-B057-8554D5D0209F}"/>
    <cellStyle name="Comma 2 7 2 5 2" xfId="39267" xr:uid="{5A436294-5E51-446A-96EE-714B0A4F6396}"/>
    <cellStyle name="Comma 2 7 2 5 3" xfId="41135" xr:uid="{B318E4D2-5726-4D29-A35D-28EB6AF3E0FE}"/>
    <cellStyle name="Comma 2 7 2 5 4" xfId="42944" xr:uid="{FC850A8B-5721-4EB1-8C8B-D83A9D3C663D}"/>
    <cellStyle name="Comma 2 7 2 5 5" xfId="45051" xr:uid="{24015410-02E3-4775-9A6F-54F5729448A5}"/>
    <cellStyle name="Comma 2 7 2 5 6" xfId="47770" xr:uid="{42C121D0-4E7F-48AF-8D4D-337F5CE25965}"/>
    <cellStyle name="Comma 2 7 2 5 7" xfId="50669" xr:uid="{164E95CE-3753-4354-810C-3C31FCCB1D63}"/>
    <cellStyle name="Comma 2 7 2 5 8" xfId="52943" xr:uid="{8FD24879-2DCC-4CA5-900F-75FF37927830}"/>
    <cellStyle name="Comma 2 7 2 5 9" xfId="20512" xr:uid="{455D1F50-2595-463F-8A23-2F7D948CFDBF}"/>
    <cellStyle name="Comma 2 7 2 6" xfId="11823" xr:uid="{6EE2D396-3B3D-48AD-AA9B-B7BED99331B5}"/>
    <cellStyle name="Comma 2 7 2 6 2" xfId="19919" xr:uid="{EE58B0BC-31F0-425E-90D7-70B6704B7979}"/>
    <cellStyle name="Comma 2 7 2 7" xfId="23888" xr:uid="{22A14123-FE04-4630-9735-D7C45F1C1C68}"/>
    <cellStyle name="Comma 2 7 2 8" xfId="38385" xr:uid="{CBA94A34-33B8-431F-B1C4-1C949D8A2BB7}"/>
    <cellStyle name="Comma 2 7 2 9" xfId="38676" xr:uid="{4A12AFD9-845B-4311-850B-4DA97D587CB4}"/>
    <cellStyle name="Comma 2 7 20" xfId="49268" xr:uid="{CEAD01C5-1BDE-4FA3-8808-67F523369BF0}"/>
    <cellStyle name="Comma 2 7 21" xfId="52944" xr:uid="{2DB2257C-4D1E-4D91-9D10-9C6C7427CF95}"/>
    <cellStyle name="Comma 2 7 22" xfId="15217" xr:uid="{85692853-207C-4E0C-9029-1B2EB0BBBCCE}"/>
    <cellStyle name="Comma 2 7 23" xfId="13925" xr:uid="{648830AC-B142-4901-A99E-DA0E7E819EFF}"/>
    <cellStyle name="Comma 2 7 3" xfId="5526" xr:uid="{6C0AB479-6AC9-44DF-A1EB-F3A8D92CA70B}"/>
    <cellStyle name="Comma 2 7 3 10" xfId="40856" xr:uid="{3441BD07-4818-49B7-942F-8C83FEFE18FB}"/>
    <cellStyle name="Comma 2 7 3 11" xfId="42068" xr:uid="{D5111B88-696D-4673-A701-4AABD3890637}"/>
    <cellStyle name="Comma 2 7 3 12" xfId="42381" xr:uid="{059B25B0-5E97-4035-B969-A4CB9DA6A82A}"/>
    <cellStyle name="Comma 2 7 3 13" xfId="43815" xr:uid="{245F938F-6E08-4D87-93D0-8EAAC8E7CE25}"/>
    <cellStyle name="Comma 2 7 3 14" xfId="44354" xr:uid="{0BED815D-D6AA-49A0-832D-24743CD8B0E3}"/>
    <cellStyle name="Comma 2 7 3 15" xfId="46573" xr:uid="{5AD744C7-BE42-414E-BFC8-9C91554D90C3}"/>
    <cellStyle name="Comma 2 7 3 16" xfId="49606" xr:uid="{08A1BDD4-0B69-44C0-94F9-16B7ED72D242}"/>
    <cellStyle name="Comma 2 7 3 17" xfId="52945" xr:uid="{CD918930-ECB5-4D89-AB02-9035E84D108B}"/>
    <cellStyle name="Comma 2 7 3 18" xfId="15805" xr:uid="{31AA0B1E-36DB-40D2-8ACE-85BE05992D44}"/>
    <cellStyle name="Comma 2 7 3 19" xfId="14063" xr:uid="{290394F9-6234-47FB-8713-73B819C7C65C}"/>
    <cellStyle name="Comma 2 7 3 2" xfId="7628" xr:uid="{969C50C5-8AD2-4828-8B75-FCF78A81B1CF}"/>
    <cellStyle name="Comma 2 7 3 2 10" xfId="42069" xr:uid="{B0CC201E-3671-4B3A-9CCE-65000A6BC47F}"/>
    <cellStyle name="Comma 2 7 3 2 11" xfId="42533" xr:uid="{17B23771-5A47-422A-97B8-7A9EBC7A6BD2}"/>
    <cellStyle name="Comma 2 7 3 2 12" xfId="44700" xr:uid="{B6C69215-1C40-4B95-8B3C-FA299E3E2E45}"/>
    <cellStyle name="Comma 2 7 3 2 13" xfId="47059" xr:uid="{780FD8C9-4C1A-401A-A3E1-6C5480E0462B}"/>
    <cellStyle name="Comma 2 7 3 2 14" xfId="50060" xr:uid="{B8AC49AD-3986-4DF1-8E55-7CD75257D556}"/>
    <cellStyle name="Comma 2 7 3 2 15" xfId="52946" xr:uid="{571A2DB0-7168-40A5-B638-0585B3324CCC}"/>
    <cellStyle name="Comma 2 7 3 2 16" xfId="16823" xr:uid="{281EEDFD-BE2D-4EA8-AE3B-E8F7829505FC}"/>
    <cellStyle name="Comma 2 7 3 2 17" xfId="14555" xr:uid="{59EC00CE-9F7D-4B48-B75D-68ED3D3A7ADA}"/>
    <cellStyle name="Comma 2 7 3 2 2" xfId="10120" xr:uid="{B500294A-3855-4AF9-AE5C-5727108E8641}"/>
    <cellStyle name="Comma 2 7 3 2 2 10" xfId="42727" xr:uid="{13C10B57-529B-4D04-B351-0F617EE5CEB5}"/>
    <cellStyle name="Comma 2 7 3 2 2 11" xfId="44894" xr:uid="{D252049B-3325-47DF-97C4-3D9725937A21}"/>
    <cellStyle name="Comma 2 7 3 2 2 12" xfId="48625" xr:uid="{6F2FA952-F8A9-4750-A7E9-8839F1962636}"/>
    <cellStyle name="Comma 2 7 3 2 2 13" xfId="51388" xr:uid="{28951B8A-7DBC-4B4E-B030-65F356FE5E19}"/>
    <cellStyle name="Comma 2 7 3 2 2 14" xfId="52947" xr:uid="{3DF72C74-7607-41E1-9532-424FDEDDB9A3}"/>
    <cellStyle name="Comma 2 7 3 2 2 15" xfId="17080" xr:uid="{DFB11D5F-36DD-481A-9FCB-AB3788D640C4}"/>
    <cellStyle name="Comma 2 7 3 2 2 2" xfId="13426" xr:uid="{655F6AFA-A64F-49B5-81BF-6DF91EE0D0FD}"/>
    <cellStyle name="Comma 2 7 3 2 2 2 2" xfId="39641" xr:uid="{485D55A5-2193-4472-A4B7-865D0B966AC0}"/>
    <cellStyle name="Comma 2 7 3 2 2 2 3" xfId="41494" xr:uid="{43B63B8E-8EEE-48B1-AC3E-BCE8BD9C155F}"/>
    <cellStyle name="Comma 2 7 3 2 2 2 4" xfId="43318" xr:uid="{0F5653B1-C553-4594-BD81-61028E1538D7}"/>
    <cellStyle name="Comma 2 7 3 2 2 2 5" xfId="45415" xr:uid="{34715CCF-E061-486E-862B-5FA50FF00C0B}"/>
    <cellStyle name="Comma 2 7 3 2 2 2 6" xfId="21075" xr:uid="{ADB3DA69-5881-4410-9226-B5AD1D4A12B7}"/>
    <cellStyle name="Comma 2 7 3 2 2 3" xfId="20294" xr:uid="{7CB59338-6872-4135-BDE6-BDF4DC20EE5C}"/>
    <cellStyle name="Comma 2 7 3 2 2 4" xfId="23896" xr:uid="{3F544CFF-DD3A-45E3-AC28-5B4B9E09593A}"/>
    <cellStyle name="Comma 2 7 3 2 2 5" xfId="38393" xr:uid="{5EF296D5-EE42-4A27-AE13-9DAB737B471B}"/>
    <cellStyle name="Comma 2 7 3 2 2 6" xfId="39050" xr:uid="{185A1075-2C15-4BF3-8990-8E142551C062}"/>
    <cellStyle name="Comma 2 7 3 2 2 7" xfId="40216" xr:uid="{B8C08870-D34C-4DC6-B9B9-D6DF5EEA8524}"/>
    <cellStyle name="Comma 2 7 3 2 2 8" xfId="40858" xr:uid="{D6EAA240-05EB-4D76-A2A5-D8390EEDCD05}"/>
    <cellStyle name="Comma 2 7 3 2 2 9" xfId="42070" xr:uid="{D0D8B304-D34F-4791-9CE4-C321D95F1C1E}"/>
    <cellStyle name="Comma 2 7 3 2 3" xfId="12141" xr:uid="{D5DDD819-B753-439C-860E-37D81002DFE5}"/>
    <cellStyle name="Comma 2 7 3 2 3 2" xfId="39447" xr:uid="{3D398B30-D7CE-4DC0-B768-9AA5D7993D46}"/>
    <cellStyle name="Comma 2 7 3 2 3 3" xfId="41301" xr:uid="{70ACDCBF-5F89-4B35-9A19-94AC71A92F99}"/>
    <cellStyle name="Comma 2 7 3 2 3 4" xfId="43124" xr:uid="{40D398DA-EC4C-4EFA-AB0A-F7285D3D587F}"/>
    <cellStyle name="Comma 2 7 3 2 3 5" xfId="45221" xr:uid="{5DB2B977-5B51-41E9-A3DE-FB07A1404297}"/>
    <cellStyle name="Comma 2 7 3 2 3 6" xfId="20825" xr:uid="{3BBA0D12-A8DD-4FE6-B2D3-8B12B54D473C}"/>
    <cellStyle name="Comma 2 7 3 2 4" xfId="20100" xr:uid="{356440EE-22BE-4944-81A6-1EB29764C03F}"/>
    <cellStyle name="Comma 2 7 3 2 5" xfId="23895" xr:uid="{CD5844E4-9302-40B8-A525-24B8195B35D4}"/>
    <cellStyle name="Comma 2 7 3 2 6" xfId="38392" xr:uid="{76FC3DBC-466F-4D74-95B5-7542905313C9}"/>
    <cellStyle name="Comma 2 7 3 2 7" xfId="38856" xr:uid="{E5C4096D-7809-4FB8-B34A-954BE4C4CF00}"/>
    <cellStyle name="Comma 2 7 3 2 8" xfId="40215" xr:uid="{8647D5BD-3BE3-49B7-B41F-48CFF1051A73}"/>
    <cellStyle name="Comma 2 7 3 2 9" xfId="40857" xr:uid="{7879F60B-0253-4866-9CD6-EC04054E04B9}"/>
    <cellStyle name="Comma 2 7 3 3" xfId="9626" xr:uid="{A1840D70-A897-4D18-AE0C-AC6DF5317C86}"/>
    <cellStyle name="Comma 2 7 3 3 10" xfId="42726" xr:uid="{843FCE2D-571C-4881-BE2C-1B912630B61A}"/>
    <cellStyle name="Comma 2 7 3 3 11" xfId="44893" xr:uid="{C914CA68-609F-4080-BBB6-0DEACE606FD8}"/>
    <cellStyle name="Comma 2 7 3 3 12" xfId="47364" xr:uid="{B959E483-BEE8-402B-8A2B-2C1C95A7B568}"/>
    <cellStyle name="Comma 2 7 3 3 13" xfId="50324" xr:uid="{81AC8F9D-186E-4DC9-BBED-453F6E46B39B}"/>
    <cellStyle name="Comma 2 7 3 3 14" xfId="52948" xr:uid="{01A83BBF-3359-4671-8AA3-F976C6B62F1D}"/>
    <cellStyle name="Comma 2 7 3 3 15" xfId="17079" xr:uid="{50792CE9-BCC3-466A-A9F4-6E3B6AF3124D}"/>
    <cellStyle name="Comma 2 7 3 3 2" xfId="12932" xr:uid="{0434CB79-0436-47D5-AF85-17C3264282F8}"/>
    <cellStyle name="Comma 2 7 3 3 2 2" xfId="39640" xr:uid="{6286A001-9032-41AB-8C30-C38A5860A12F}"/>
    <cellStyle name="Comma 2 7 3 3 2 3" xfId="41493" xr:uid="{EFC1E1C6-CF4B-4C20-B138-FA5246A4332E}"/>
    <cellStyle name="Comma 2 7 3 3 2 4" xfId="43317" xr:uid="{B30CE0A1-4D01-4983-9463-138267DDC8C2}"/>
    <cellStyle name="Comma 2 7 3 3 2 5" xfId="45414" xr:uid="{CB4A9E97-FDB9-43BB-8095-A354AD3ED2ED}"/>
    <cellStyle name="Comma 2 7 3 3 2 6" xfId="48940" xr:uid="{DC945C76-0BA0-48CD-BE02-329A626ADF2D}"/>
    <cellStyle name="Comma 2 7 3 3 2 7" xfId="51652" xr:uid="{A527240B-CAA2-4485-B2BB-584E9C74933B}"/>
    <cellStyle name="Comma 2 7 3 3 2 8" xfId="52949" xr:uid="{79A2DCB7-1BDC-463E-9B13-AF89880D8A04}"/>
    <cellStyle name="Comma 2 7 3 3 2 9" xfId="21074" xr:uid="{DCAA5FCE-E775-406D-916C-4A6094E19A2A}"/>
    <cellStyle name="Comma 2 7 3 3 3" xfId="20293" xr:uid="{5731BED9-0ED7-41BC-BAA8-890296B65345}"/>
    <cellStyle name="Comma 2 7 3 3 4" xfId="23897" xr:uid="{BFA8D3C2-55E9-49BF-A391-C84DDD78DCA0}"/>
    <cellStyle name="Comma 2 7 3 3 5" xfId="38394" xr:uid="{89D3CF87-9DB1-42B0-A7B9-73FBF48D5D54}"/>
    <cellStyle name="Comma 2 7 3 3 6" xfId="39049" xr:uid="{18A5453E-F085-41D1-9A36-9127618D704F}"/>
    <cellStyle name="Comma 2 7 3 3 7" xfId="40217" xr:uid="{BC7E9DCF-3829-41BF-9076-1B4105D269F0}"/>
    <cellStyle name="Comma 2 7 3 3 8" xfId="40859" xr:uid="{5777504C-A7AF-4DC8-8475-DB69D97AE0C4}"/>
    <cellStyle name="Comma 2 7 3 3 9" xfId="42071" xr:uid="{0B2EF180-C1A2-4552-9CF8-A0C40EECB5E8}"/>
    <cellStyle name="Comma 2 7 3 4" xfId="7122" xr:uid="{5006CDE6-B6B1-4E6D-802C-6F5E20EB9FC3}"/>
    <cellStyle name="Comma 2 7 3 4 2" xfId="39295" xr:uid="{8CBC46E2-D21E-4872-BF61-3764FDEA4755}"/>
    <cellStyle name="Comma 2 7 3 4 3" xfId="41157" xr:uid="{D75C4041-5CE7-4E8A-A583-17FD0297C7EB}"/>
    <cellStyle name="Comma 2 7 3 4 4" xfId="42972" xr:uid="{F28E0C66-01A5-4FE0-A5FC-EA8A759481D1}"/>
    <cellStyle name="Comma 2 7 3 4 5" xfId="45077" xr:uid="{5EB32774-22B3-4F34-8CC3-F16D49A7254F}"/>
    <cellStyle name="Comma 2 7 3 4 6" xfId="48085" xr:uid="{478E57DC-658A-4DA3-A4BF-D545D2AD2827}"/>
    <cellStyle name="Comma 2 7 3 4 7" xfId="50934" xr:uid="{A831911F-29EB-448D-A276-D8A1F620A6FB}"/>
    <cellStyle name="Comma 2 7 3 4 8" xfId="52950" xr:uid="{F0A19A5D-9EE7-4CBF-BA7A-12783F86333C}"/>
    <cellStyle name="Comma 2 7 3 4 9" xfId="20541" xr:uid="{B69D4D95-E225-49CC-8C2A-29D66CB9D525}"/>
    <cellStyle name="Comma 2 7 3 5" xfId="11647" xr:uid="{E18709C4-8F73-4225-BE7F-349DCB63F08E}"/>
    <cellStyle name="Comma 2 7 3 5 2" xfId="19948" xr:uid="{82DCA992-B069-4E66-8F54-F79DA9E6223B}"/>
    <cellStyle name="Comma 2 7 3 6" xfId="23894" xr:uid="{F67B47D3-B0D7-4723-B03B-5402B38CCBC3}"/>
    <cellStyle name="Comma 2 7 3 7" xfId="38391" xr:uid="{E0E1D434-6F19-422F-B08B-D9BEE5BDD4B6}"/>
    <cellStyle name="Comma 2 7 3 8" xfId="38704" xr:uid="{F148536D-2569-448D-861D-85722AACD4A2}"/>
    <cellStyle name="Comma 2 7 3 9" xfId="40214" xr:uid="{05FA675A-4664-4771-8D5D-E5EBF134C4E8}"/>
    <cellStyle name="Comma 2 7 4" xfId="6516" xr:uid="{35300036-DF9F-455A-82A2-40F8F577CF96}"/>
    <cellStyle name="Comma 2 7 4 10" xfId="42072" xr:uid="{46BDEFB4-3EDE-4908-A57A-48D1F61A1578}"/>
    <cellStyle name="Comma 2 7 4 11" xfId="42466" xr:uid="{4D98CC21-8D30-43CB-A0EF-9A2F873D02ED}"/>
    <cellStyle name="Comma 2 7 4 12" xfId="44663" xr:uid="{B5E2BBB6-B29B-48B9-AB0C-9B62D905A909}"/>
    <cellStyle name="Comma 2 7 4 13" xfId="46155" xr:uid="{6F1C7DF3-11C9-4C45-A798-D71C4DFE4A54}"/>
    <cellStyle name="Comma 2 7 4 14" xfId="49491" xr:uid="{BCE2FEBB-0214-4719-9A01-CD0F3926D460}"/>
    <cellStyle name="Comma 2 7 4 15" xfId="52951" xr:uid="{D7C4A605-6671-4E8B-A26D-C13E7DB6E04B}"/>
    <cellStyle name="Comma 2 7 4 16" xfId="16660" xr:uid="{E87C133D-DD19-4D8F-8ED7-989909275880}"/>
    <cellStyle name="Comma 2 7 4 17" xfId="14417" xr:uid="{1968B253-389A-466D-868C-275447DA6609}"/>
    <cellStyle name="Comma 2 7 4 2" xfId="9488" xr:uid="{04620601-E712-4125-BD79-41AC486417B6}"/>
    <cellStyle name="Comma 2 7 4 2 10" xfId="42728" xr:uid="{C2411160-F080-4AAA-9945-23C292D59E1F}"/>
    <cellStyle name="Comma 2 7 4 2 11" xfId="44895" xr:uid="{2B7D7A68-F6F4-404B-95BB-AEBE82D7E5E6}"/>
    <cellStyle name="Comma 2 7 4 2 12" xfId="47950" xr:uid="{DC571830-8C49-4D0B-94DA-2F654E95B6CB}"/>
    <cellStyle name="Comma 2 7 4 2 13" xfId="50819" xr:uid="{D5B5DFED-20AD-471C-A989-D7A3AFDD8CA9}"/>
    <cellStyle name="Comma 2 7 4 2 14" xfId="52952" xr:uid="{CD151DB3-A1AD-43DF-90C0-10FD2D359218}"/>
    <cellStyle name="Comma 2 7 4 2 15" xfId="17081" xr:uid="{914DF0B7-2446-43DF-83AA-36BF1F86D631}"/>
    <cellStyle name="Comma 2 7 4 2 2" xfId="12794" xr:uid="{17571BCB-BF75-4846-A5EF-101EDFFBAE9D}"/>
    <cellStyle name="Comma 2 7 4 2 2 2" xfId="39642" xr:uid="{81FC3841-B92A-4A89-9C80-98A0610E5146}"/>
    <cellStyle name="Comma 2 7 4 2 2 3" xfId="41495" xr:uid="{29252970-7DA2-488B-8D7D-F3D7E2A26641}"/>
    <cellStyle name="Comma 2 7 4 2 2 4" xfId="43319" xr:uid="{E8B1CD92-629C-4E69-866B-2EE7DB02793B}"/>
    <cellStyle name="Comma 2 7 4 2 2 5" xfId="45416" xr:uid="{F578E045-509D-4024-BB7C-66184E8AB659}"/>
    <cellStyle name="Comma 2 7 4 2 2 6" xfId="21076" xr:uid="{F7BD33EC-0D39-4115-97EC-B3C808AF2BB4}"/>
    <cellStyle name="Comma 2 7 4 2 3" xfId="20295" xr:uid="{6AE4B509-B091-434F-B096-DBA361836CC9}"/>
    <cellStyle name="Comma 2 7 4 2 4" xfId="23899" xr:uid="{A4EA27E4-6468-4C9F-A5E4-1A495723BCF6}"/>
    <cellStyle name="Comma 2 7 4 2 5" xfId="38396" xr:uid="{A147C787-564E-479F-899E-EB150CAACFB2}"/>
    <cellStyle name="Comma 2 7 4 2 6" xfId="39051" xr:uid="{E935D6D8-674A-454D-ACBE-9C682CE8B235}"/>
    <cellStyle name="Comma 2 7 4 2 7" xfId="40219" xr:uid="{D689850A-A61B-46CA-AB26-33C5A472B21F}"/>
    <cellStyle name="Comma 2 7 4 2 8" xfId="40861" xr:uid="{40D02771-6C0D-44CA-9F8A-49E6298DFA5B}"/>
    <cellStyle name="Comma 2 7 4 2 9" xfId="42073" xr:uid="{578D3FA0-F1D4-497A-9B21-14C973058F6F}"/>
    <cellStyle name="Comma 2 7 4 3" xfId="11509" xr:uid="{41774DE0-E2AA-43B8-BEEE-A494504A8D7D}"/>
    <cellStyle name="Comma 2 7 4 3 2" xfId="39380" xr:uid="{23CDB068-608A-4ACF-8CC9-7FEC614D1D32}"/>
    <cellStyle name="Comma 2 7 4 3 3" xfId="41238" xr:uid="{F60970E9-2D1C-4510-A8AA-2F48172E617F}"/>
    <cellStyle name="Comma 2 7 4 3 4" xfId="43057" xr:uid="{C26E938A-A2D9-443E-AF20-86F51B8A050B}"/>
    <cellStyle name="Comma 2 7 4 3 5" xfId="45158" xr:uid="{B5EEBE73-DD35-429A-85E4-86FB69A05C52}"/>
    <cellStyle name="Comma 2 7 4 3 6" xfId="20754" xr:uid="{8F9341D2-AD8C-458A-8BA1-0828E6A66386}"/>
    <cellStyle name="Comma 2 7 4 4" xfId="20033" xr:uid="{DB9787A3-B59C-4985-BF38-B8CCA468F0EB}"/>
    <cellStyle name="Comma 2 7 4 5" xfId="23898" xr:uid="{415260C6-1CE2-4DD0-989B-8C85C5359AC5}"/>
    <cellStyle name="Comma 2 7 4 6" xfId="38395" xr:uid="{8270D9C0-E668-4BDB-AA3F-75FBCD740E2E}"/>
    <cellStyle name="Comma 2 7 4 7" xfId="38789" xr:uid="{E425B2AF-4F26-4DB6-AD71-7F5349D964EE}"/>
    <cellStyle name="Comma 2 7 4 8" xfId="40218" xr:uid="{E7B8AC29-F748-4DC5-8A36-724FA5253460}"/>
    <cellStyle name="Comma 2 7 4 9" xfId="40860" xr:uid="{6C4259D6-C20C-455D-A894-3EFE96C12BCB}"/>
    <cellStyle name="Comma 2 7 5" xfId="7490" xr:uid="{49CABE26-969A-4122-922B-B8F11A7E4750}"/>
    <cellStyle name="Comma 2 7 5 10" xfId="42074" xr:uid="{B9930FAF-5A46-4143-A8EF-AA6A93832D73}"/>
    <cellStyle name="Comma 2 7 5 11" xfId="42407" xr:uid="{A797C766-E01D-4182-8645-ECE6C7B70802}"/>
    <cellStyle name="Comma 2 7 5 12" xfId="44633" xr:uid="{9AA309F9-BAEE-4473-95DE-3145CB8C00C2}"/>
    <cellStyle name="Comma 2 7 5 13" xfId="46830" xr:uid="{04B83F7E-865F-40F5-A70E-335BF2AC88BE}"/>
    <cellStyle name="Comma 2 7 5 14" xfId="49854" xr:uid="{D6243E64-9D99-4F88-BED6-AB4585398543}"/>
    <cellStyle name="Comma 2 7 5 15" xfId="52953" xr:uid="{03F2AE55-5DDA-4C28-B817-7C21FBCFB087}"/>
    <cellStyle name="Comma 2 7 5 16" xfId="16382" xr:uid="{BFB93CAB-5B2E-485B-95D7-27AFE0B5B9A7}"/>
    <cellStyle name="Comma 2 7 5 17" xfId="14870" xr:uid="{A13FF1FD-0077-4670-99A7-CD918C279ECB}"/>
    <cellStyle name="Comma 2 7 5 2" xfId="9982" xr:uid="{FF64C6E1-3EA6-4D53-B8B0-B3200CD35E5F}"/>
    <cellStyle name="Comma 2 7 5 2 10" xfId="42729" xr:uid="{79B9D8A7-2E0A-4219-B28E-B80BA2FB2CEE}"/>
    <cellStyle name="Comma 2 7 5 2 11" xfId="44896" xr:uid="{CE969A6B-A61C-4D19-8B9C-CB5765F724B3}"/>
    <cellStyle name="Comma 2 7 5 2 12" xfId="48381" xr:uid="{295B669B-F4C6-4B30-8E1E-72D881A13E9B}"/>
    <cellStyle name="Comma 2 7 5 2 13" xfId="51182" xr:uid="{762614EA-9176-4E9A-9667-19FE0F54627B}"/>
    <cellStyle name="Comma 2 7 5 2 14" xfId="52954" xr:uid="{B2814AA4-E521-4F83-BD1F-55D0ADD9E6E0}"/>
    <cellStyle name="Comma 2 7 5 2 15" xfId="17082" xr:uid="{D0300F56-0371-4F83-9E60-666AD98DDC3F}"/>
    <cellStyle name="Comma 2 7 5 2 2" xfId="13288" xr:uid="{6F0D7934-63CE-4F18-B18C-FEF0D618EEFE}"/>
    <cellStyle name="Comma 2 7 5 2 2 2" xfId="39643" xr:uid="{72015311-6E4B-4281-9071-4A87F9BBEE7E}"/>
    <cellStyle name="Comma 2 7 5 2 2 3" xfId="41496" xr:uid="{8DCED503-00C2-437B-BDB3-3C114F79CF03}"/>
    <cellStyle name="Comma 2 7 5 2 2 4" xfId="43320" xr:uid="{8C2CB857-6BB2-4C5C-A9FD-3433E23F7B0A}"/>
    <cellStyle name="Comma 2 7 5 2 2 5" xfId="45417" xr:uid="{5DED8875-839E-4364-A132-D572A3481FB6}"/>
    <cellStyle name="Comma 2 7 5 2 2 6" xfId="21077" xr:uid="{FFECFB99-6845-4301-9AAE-60A05E65B8F5}"/>
    <cellStyle name="Comma 2 7 5 2 3" xfId="20296" xr:uid="{7560B427-BA74-4C8F-BD22-91EDB4BEBBD6}"/>
    <cellStyle name="Comma 2 7 5 2 4" xfId="23901" xr:uid="{39F52D27-8B5B-409B-979D-31D2D0D13972}"/>
    <cellStyle name="Comma 2 7 5 2 5" xfId="38398" xr:uid="{1173F2B8-72D1-4F41-AFF3-D834FB12C293}"/>
    <cellStyle name="Comma 2 7 5 2 6" xfId="39052" xr:uid="{C522EE41-5930-40DE-891F-B3688FDC5A37}"/>
    <cellStyle name="Comma 2 7 5 2 7" xfId="40221" xr:uid="{316832CD-CC96-4A47-BFD7-03781471A5FC}"/>
    <cellStyle name="Comma 2 7 5 2 8" xfId="40863" xr:uid="{C9C5C8AB-29C9-4761-8843-3A0ECE6CA946}"/>
    <cellStyle name="Comma 2 7 5 2 9" xfId="42075" xr:uid="{C68FD86B-1065-499F-8126-D0A9C463DB66}"/>
    <cellStyle name="Comma 2 7 5 3" xfId="12003" xr:uid="{99116BF4-A2F1-4922-A547-EB7D5C14BFB1}"/>
    <cellStyle name="Comma 2 7 5 3 2" xfId="39321" xr:uid="{D01BE94F-B6DD-4CBB-B222-B506234EC467}"/>
    <cellStyle name="Comma 2 7 5 3 3" xfId="41183" xr:uid="{AA88BEA6-0797-4EF6-8B3B-AEF00937DF06}"/>
    <cellStyle name="Comma 2 7 5 3 4" xfId="42998" xr:uid="{B0A42692-6188-4E83-A85A-7C39B978CA93}"/>
    <cellStyle name="Comma 2 7 5 3 5" xfId="45103" xr:uid="{33AC3C6C-1A80-47FB-B3D9-AA07D87EA77D}"/>
    <cellStyle name="Comma 2 7 5 3 6" xfId="20627" xr:uid="{702740F5-0818-4629-A1FF-2DF490D17C2D}"/>
    <cellStyle name="Comma 2 7 5 4" xfId="19974" xr:uid="{7BB0EE70-53AA-4DAC-90D0-281D76101E7C}"/>
    <cellStyle name="Comma 2 7 5 5" xfId="23900" xr:uid="{D4605560-6FA6-4FC2-A765-132348D8CE9B}"/>
    <cellStyle name="Comma 2 7 5 6" xfId="38397" xr:uid="{53464FC0-8B8B-4865-B1BE-CA7DDE74AA97}"/>
    <cellStyle name="Comma 2 7 5 7" xfId="38730" xr:uid="{B14346B1-159C-4E43-82DC-5C11DB04CEB1}"/>
    <cellStyle name="Comma 2 7 5 8" xfId="40220" xr:uid="{C9592FEA-ACCC-44BA-A43F-5CD66B32661C}"/>
    <cellStyle name="Comma 2 7 5 9" xfId="40862" xr:uid="{6C68767F-4287-4BF4-8BF5-D157FAF38309}"/>
    <cellStyle name="Comma 2 7 6" xfId="8156" xr:uid="{81F0DCCC-5AAB-49DE-AC31-6C5FA3C2AAB8}"/>
    <cellStyle name="Comma 2 7 6 10" xfId="42722" xr:uid="{595FBCD6-C759-4444-83A7-B74036DAB96D}"/>
    <cellStyle name="Comma 2 7 6 11" xfId="44889" xr:uid="{103C4650-E4CA-40A3-BBD0-783E1DB4566B}"/>
    <cellStyle name="Comma 2 7 6 12" xfId="47231" xr:uid="{59417BA2-3735-4254-8230-4070131F7AB5}"/>
    <cellStyle name="Comma 2 7 6 13" xfId="50209" xr:uid="{7B6E5BF9-9373-4478-B2E6-116CC02D8662}"/>
    <cellStyle name="Comma 2 7 6 14" xfId="52955" xr:uid="{C107DCC4-B581-48F9-AD14-8898DCE19D43}"/>
    <cellStyle name="Comma 2 7 6 15" xfId="17075" xr:uid="{93AAC039-9AE1-4F84-98C8-9A7EE7FA00FB}"/>
    <cellStyle name="Comma 2 7 6 2" xfId="12612" xr:uid="{827D2721-FF2D-460B-8ACC-E6544CD782B7}"/>
    <cellStyle name="Comma 2 7 6 2 2" xfId="39636" xr:uid="{2D422E60-98C9-4849-BDAE-FCA4E05305F4}"/>
    <cellStyle name="Comma 2 7 6 2 3" xfId="41489" xr:uid="{75D987F2-AABD-4ED4-BDF0-4EED9AD59AEC}"/>
    <cellStyle name="Comma 2 7 6 2 4" xfId="43313" xr:uid="{029DD52A-5111-467B-B28D-34E26FA6D3F9}"/>
    <cellStyle name="Comma 2 7 6 2 5" xfId="45410" xr:uid="{1F877BB7-1EAE-44A4-A67F-584209F15B9C}"/>
    <cellStyle name="Comma 2 7 6 2 6" xfId="48802" xr:uid="{2C0CA0A5-ABEF-4277-9BB4-49E2EF20527D}"/>
    <cellStyle name="Comma 2 7 6 2 7" xfId="51537" xr:uid="{9CE69378-4B44-4BDE-8FD7-9B0EF4D6649C}"/>
    <cellStyle name="Comma 2 7 6 2 8" xfId="52956" xr:uid="{148BBEBD-2C1E-41AF-82A1-D91829F8A5AC}"/>
    <cellStyle name="Comma 2 7 6 2 9" xfId="21070" xr:uid="{E1A3DDD8-643E-4611-B7B8-4E7BEA0C0B2F}"/>
    <cellStyle name="Comma 2 7 6 3" xfId="20289" xr:uid="{36929167-A839-4B40-B651-92A967496ADB}"/>
    <cellStyle name="Comma 2 7 6 4" xfId="23902" xr:uid="{5FAA0FC7-8D34-4557-BF1B-990D0765E773}"/>
    <cellStyle name="Comma 2 7 6 5" xfId="38399" xr:uid="{6CFA663E-7FE7-40F4-AF38-A62960736A9A}"/>
    <cellStyle name="Comma 2 7 6 6" xfId="39045" xr:uid="{F5787CA6-F635-407E-BC7C-9E10DE1DF306}"/>
    <cellStyle name="Comma 2 7 6 7" xfId="40222" xr:uid="{3B6208FD-D0DA-47E7-918A-553E0DA489D1}"/>
    <cellStyle name="Comma 2 7 6 8" xfId="40864" xr:uid="{88DBB48C-AC77-4FE8-B2D9-EE80EA6F57CC}"/>
    <cellStyle name="Comma 2 7 6 9" xfId="42076" xr:uid="{F14CF1B4-5B64-48F7-A83C-11DD44E0AC19}"/>
    <cellStyle name="Comma 2 7 7" xfId="7943" xr:uid="{456DDAB4-6D84-414A-B0AB-32C5CABF0F0F}"/>
    <cellStyle name="Comma 2 7 7 10" xfId="42836" xr:uid="{3DCFE82C-BC43-49EC-8379-742899375A48}"/>
    <cellStyle name="Comma 2 7 7 11" xfId="44963" xr:uid="{9EA9A39E-964A-41D3-989E-4D66DDE9C967}"/>
    <cellStyle name="Comma 2 7 7 12" xfId="47688" xr:uid="{B4E1F57C-190E-4353-81D8-971B6D3219F5}"/>
    <cellStyle name="Comma 2 7 7 13" xfId="50596" xr:uid="{B6BBAF7D-3D6B-407A-817F-7B6A2C1673A8}"/>
    <cellStyle name="Comma 2 7 7 14" xfId="52957" xr:uid="{CB5D286E-AFDB-49CE-95A5-23E9277B12A9}"/>
    <cellStyle name="Comma 2 7 7 15" xfId="19742" xr:uid="{CE3FEF99-90CE-4601-B1FD-185C45110F6B}"/>
    <cellStyle name="Comma 2 7 7 2" xfId="12456" xr:uid="{6EF29A6F-6A24-480A-94DE-702153A94B9E}"/>
    <cellStyle name="Comma 2 7 7 2 2" xfId="39750" xr:uid="{DC6A995D-7C9F-40A3-8E19-1ECF28BC26EB}"/>
    <cellStyle name="Comma 2 7 7 2 3" xfId="41603" xr:uid="{93A801E1-110E-4EA4-ABF5-10D6FEB061F5}"/>
    <cellStyle name="Comma 2 7 7 2 4" xfId="43427" xr:uid="{FFB45424-82EA-48A1-B0D5-1C2A918EE6B9}"/>
    <cellStyle name="Comma 2 7 7 2 5" xfId="45506" xr:uid="{31AE245A-E8E7-4E6A-9C70-8C4A21ABAF9D}"/>
    <cellStyle name="Comma 2 7 7 2 6" xfId="23359" xr:uid="{A681669D-7614-41C9-901E-83A15160C6F3}"/>
    <cellStyle name="Comma 2 7 7 3" xfId="20403" xr:uid="{E6F4E114-709A-4392-98EE-CAD2368C3EDA}"/>
    <cellStyle name="Comma 2 7 7 4" xfId="23903" xr:uid="{FA83BEFA-E44C-46A9-98A8-F53D9626171C}"/>
    <cellStyle name="Comma 2 7 7 5" xfId="38400" xr:uid="{F80919F7-6C9B-4BCD-B2AE-73B0012073DE}"/>
    <cellStyle name="Comma 2 7 7 6" xfId="39159" xr:uid="{5294F87A-6898-4127-AD75-812F72B14C2E}"/>
    <cellStyle name="Comma 2 7 7 7" xfId="40223" xr:uid="{0054D039-B60C-42A7-9F90-F840005ABE03}"/>
    <cellStyle name="Comma 2 7 7 8" xfId="40865" xr:uid="{FA0E9481-B74F-4C87-A154-1FC941B70E45}"/>
    <cellStyle name="Comma 2 7 7 9" xfId="42077" xr:uid="{5938572E-3BF8-490A-9287-708A0242D5E1}"/>
    <cellStyle name="Comma 2 7 8" xfId="5840" xr:uid="{DE9828A5-4FF7-4C14-82C1-B6C387E7D164}"/>
    <cellStyle name="Comma 2 7 8 2" xfId="39229" xr:uid="{DAD371AE-BF58-4AD3-8F7B-63A98AB1A300}"/>
    <cellStyle name="Comma 2 7 8 3" xfId="41098" xr:uid="{FA8AA9DB-42DB-4505-ACD6-EA7A3F4FF101}"/>
    <cellStyle name="Comma 2 7 8 4" xfId="42906" xr:uid="{82E0D85E-24CB-42A3-B789-79364A879C3C}"/>
    <cellStyle name="Comma 2 7 8 5" xfId="45013" xr:uid="{608EDF22-6E6A-4F06-AD00-366673F4577A}"/>
    <cellStyle name="Comma 2 7 8 6" xfId="20474" xr:uid="{9871E3E9-3000-4760-B177-713B1DF011D9}"/>
    <cellStyle name="Comma 2 7 9" xfId="11328" xr:uid="{2DAE4773-62C8-4AB1-918E-DF4F24F6CF3C}"/>
    <cellStyle name="Comma 2 7 9 2" xfId="19880" xr:uid="{F5DBDCB8-BDDD-42FF-9FE6-853CEE41446E}"/>
    <cellStyle name="Comma 2 8" xfId="1770" xr:uid="{8BD6CB07-15DC-454A-AA3A-455F6EBB77A7}"/>
    <cellStyle name="Comma 2 8 10" xfId="23904" xr:uid="{C6CA36F5-F0EE-4D47-8252-8F6A4C4C3748}"/>
    <cellStyle name="Comma 2 8 11" xfId="38401" xr:uid="{CE6372F8-379E-4426-B912-A14E717BF089}"/>
    <cellStyle name="Comma 2 8 12" xfId="38639" xr:uid="{65B22C1E-C959-49A3-9F81-9D13E417CDEE}"/>
    <cellStyle name="Comma 2 8 13" xfId="40224" xr:uid="{ADE4FE24-ABA2-4F93-8316-340EFB89A2FE}"/>
    <cellStyle name="Comma 2 8 14" xfId="40866" xr:uid="{05BAE3A5-B563-42D8-A773-BE4ECCC0FD9C}"/>
    <cellStyle name="Comma 2 8 15" xfId="42078" xr:uid="{E9205BC5-5C21-4ACD-84BC-A9057BCA4393}"/>
    <cellStyle name="Comma 2 8 16" xfId="42316" xr:uid="{C00DAD96-7A5E-4DAC-95A4-F8A9278C57D9}"/>
    <cellStyle name="Comma 2 8 17" xfId="43543" xr:uid="{D3049406-294E-45E0-B06B-B179FB99A5D8}"/>
    <cellStyle name="Comma 2 8 18" xfId="44406" xr:uid="{939250AA-2912-435F-9872-F13B1FFB193F}"/>
    <cellStyle name="Comma 2 8 19" xfId="45640" xr:uid="{203D335D-9B87-476D-8BF9-7BE6CA72B809}"/>
    <cellStyle name="Comma 2 8 2" xfId="4446" xr:uid="{DE4EE5FF-838E-4740-B593-C90D92C17C34}"/>
    <cellStyle name="Comma 2 8 2 10" xfId="40867" xr:uid="{83271029-E201-4B72-A3D0-358A130DD95A}"/>
    <cellStyle name="Comma 2 8 2 11" xfId="42079" xr:uid="{E7E576BE-5714-4DF5-8282-7622ACA39E9B}"/>
    <cellStyle name="Comma 2 8 2 12" xfId="42354" xr:uid="{8CAC524D-79A4-4C4A-AA69-D075D4048F3F}"/>
    <cellStyle name="Comma 2 8 2 13" xfId="44247" xr:uid="{830EADB0-7BF9-45BB-81F7-EE0C3D97DDDD}"/>
    <cellStyle name="Comma 2 8 2 14" xfId="44547" xr:uid="{DBB69EFB-E33F-400A-AC4C-1C65058D811C}"/>
    <cellStyle name="Comma 2 8 2 15" xfId="45714" xr:uid="{85B0E69F-5C19-4A75-8AE5-E21A7E6AC03F}"/>
    <cellStyle name="Comma 2 8 2 16" xfId="49342" xr:uid="{2A2CB196-00C5-4106-8E81-75DAD356B765}"/>
    <cellStyle name="Comma 2 8 2 17" xfId="52958" xr:uid="{CDB24A77-58CE-43FA-A143-7A722F49017C}"/>
    <cellStyle name="Comma 2 8 2 18" xfId="15320" xr:uid="{AAC3C1DD-8E4A-433C-94A2-066F7366F800}"/>
    <cellStyle name="Comma 2 8 2 19" xfId="14240" xr:uid="{02514751-14E7-44C3-9B23-21B100CEDF39}"/>
    <cellStyle name="Comma 2 8 2 2" xfId="5703" xr:uid="{11844F44-3DED-47F7-9760-D59C01A70004}"/>
    <cellStyle name="Comma 2 8 2 2 10" xfId="42080" xr:uid="{ECBEB9DF-EC65-4636-96A1-7665DE357509}"/>
    <cellStyle name="Comma 2 8 2 2 11" xfId="42506" xr:uid="{08C96300-1241-4E0C-BBF2-2DBA72EAC833}"/>
    <cellStyle name="Comma 2 8 2 2 12" xfId="44688" xr:uid="{509092F6-9489-4755-9A15-AC6847EFE161}"/>
    <cellStyle name="Comma 2 8 2 2 13" xfId="46715" xr:uid="{DD6F3310-0ED6-4316-8081-4887C3D828DC}"/>
    <cellStyle name="Comma 2 8 2 2 14" xfId="49747" xr:uid="{2B9FD9D0-BA6E-458A-85E4-B7CBD96E679C}"/>
    <cellStyle name="Comma 2 8 2 2 15" xfId="52959" xr:uid="{A6A303EE-DC90-4C6E-B4FB-216B6EA0A52D}"/>
    <cellStyle name="Comma 2 8 2 2 16" xfId="16769" xr:uid="{68152B9C-1BED-43D1-BC24-2C5E5DA9C28F}"/>
    <cellStyle name="Comma 2 8 2 2 17" xfId="14732" xr:uid="{BD135329-516F-4F09-ABD3-C963D42735FE}"/>
    <cellStyle name="Comma 2 8 2 2 2" xfId="10297" xr:uid="{5FBE8FE5-297D-4DD1-B9E0-4BFF970F1809}"/>
    <cellStyle name="Comma 2 8 2 2 2 10" xfId="42732" xr:uid="{867B77C4-4829-4DB1-97B6-C59C96BD5B83}"/>
    <cellStyle name="Comma 2 8 2 2 2 11" xfId="44899" xr:uid="{8CAD2E7B-2037-4289-A256-167F7E824427}"/>
    <cellStyle name="Comma 2 8 2 2 2 12" xfId="48257" xr:uid="{8D3332DB-4735-4CAE-9AF2-0B3E8F852A2A}"/>
    <cellStyle name="Comma 2 8 2 2 2 13" xfId="51075" xr:uid="{94BC3A10-6849-47E8-8742-5ED58847D8EE}"/>
    <cellStyle name="Comma 2 8 2 2 2 14" xfId="52960" xr:uid="{978C388E-A08C-4371-A301-42323B0E14DC}"/>
    <cellStyle name="Comma 2 8 2 2 2 15" xfId="17085" xr:uid="{BCACBA12-97D0-431C-A66E-7D15AE4815C1}"/>
    <cellStyle name="Comma 2 8 2 2 2 2" xfId="13603" xr:uid="{511FC77A-387C-41CC-9898-6663E548939F}"/>
    <cellStyle name="Comma 2 8 2 2 2 2 2" xfId="39646" xr:uid="{5B0B8179-6CE3-4810-AA86-846C230A4C85}"/>
    <cellStyle name="Comma 2 8 2 2 2 2 3" xfId="41499" xr:uid="{07917E4F-C8AC-4A68-9A79-312D9663A425}"/>
    <cellStyle name="Comma 2 8 2 2 2 2 4" xfId="43323" xr:uid="{FE39DDAB-D8A3-4985-8345-385E34C660C9}"/>
    <cellStyle name="Comma 2 8 2 2 2 2 5" xfId="45420" xr:uid="{7AC36879-A58F-435C-A07B-FE832D756C97}"/>
    <cellStyle name="Comma 2 8 2 2 2 2 6" xfId="21080" xr:uid="{FDC376A9-7677-4870-9758-41B39E669ED8}"/>
    <cellStyle name="Comma 2 8 2 2 2 3" xfId="20299" xr:uid="{7F5AC162-9B5C-4B78-B07E-6B8CFB6A596F}"/>
    <cellStyle name="Comma 2 8 2 2 2 4" xfId="23907" xr:uid="{A264E407-C4A2-4136-804F-B8D5708CF32E}"/>
    <cellStyle name="Comma 2 8 2 2 2 5" xfId="38404" xr:uid="{B1080F99-BC8A-4AD6-9A63-6465F3CA2DDB}"/>
    <cellStyle name="Comma 2 8 2 2 2 6" xfId="39055" xr:uid="{4B193683-C554-4421-A1A8-CFB948B6D3A7}"/>
    <cellStyle name="Comma 2 8 2 2 2 7" xfId="40227" xr:uid="{8FBF244B-4E0F-41E4-ABB7-05574DE06E59}"/>
    <cellStyle name="Comma 2 8 2 2 2 8" xfId="40869" xr:uid="{1552DC72-FF33-41E2-A65D-34496C515BB6}"/>
    <cellStyle name="Comma 2 8 2 2 2 9" xfId="42081" xr:uid="{7EE825D5-945E-40EE-80D1-CDC0C41A5035}"/>
    <cellStyle name="Comma 2 8 2 2 3" xfId="7805" xr:uid="{9D55B3C2-A1C4-4766-A711-44FA1729FAFD}"/>
    <cellStyle name="Comma 2 8 2 2 3 2" xfId="39420" xr:uid="{BB0B788C-5CB7-4436-A91C-C5F2441A5619}"/>
    <cellStyle name="Comma 2 8 2 2 3 3" xfId="41276" xr:uid="{B716BFAC-6E87-498A-B695-FA318F35FB33}"/>
    <cellStyle name="Comma 2 8 2 2 3 4" xfId="43097" xr:uid="{D988C41A-7CAC-42F4-8AFB-934F6CEAC042}"/>
    <cellStyle name="Comma 2 8 2 2 3 5" xfId="45196" xr:uid="{47FBD34B-5FB4-4673-BA13-ED243D1F7AF9}"/>
    <cellStyle name="Comma 2 8 2 2 3 6" xfId="20795" xr:uid="{A9844926-F781-4A3D-820A-795D667031E3}"/>
    <cellStyle name="Comma 2 8 2 2 4" xfId="12318" xr:uid="{C8E9AC76-969C-4880-AC26-AF3E2EBC6E79}"/>
    <cellStyle name="Comma 2 8 2 2 4 2" xfId="20073" xr:uid="{9E2B93D6-86CB-4001-AD0F-EF460D856BE9}"/>
    <cellStyle name="Comma 2 8 2 2 5" xfId="23906" xr:uid="{A443E5D6-42F7-42A6-BD50-43696AF7CE44}"/>
    <cellStyle name="Comma 2 8 2 2 6" xfId="38403" xr:uid="{424B7E66-ED85-47BC-96DC-F30A6B3D0624}"/>
    <cellStyle name="Comma 2 8 2 2 7" xfId="38829" xr:uid="{D47C11B0-C701-477E-80A4-99BBDB6E351F}"/>
    <cellStyle name="Comma 2 8 2 2 8" xfId="40226" xr:uid="{B870EE48-8DAF-4074-B5DE-B41619B058DE}"/>
    <cellStyle name="Comma 2 8 2 2 9" xfId="40868" xr:uid="{2F29088A-4BBE-459B-888C-452EED409194}"/>
    <cellStyle name="Comma 2 8 2 3" xfId="11145" xr:uid="{6C14F27F-EDE0-4700-BDF5-FA2D4582B22F}"/>
    <cellStyle name="Comma 2 8 2 3 10" xfId="42731" xr:uid="{D00CE53A-731E-42EC-AADE-6A0F263C2717}"/>
    <cellStyle name="Comma 2 8 2 3 11" xfId="44898" xr:uid="{B8BBAB3E-0608-446E-AA6B-3C6927341304}"/>
    <cellStyle name="Comma 2 8 2 3 12" xfId="46935" xr:uid="{AAF17200-B037-4858-837D-993E8EC43A65}"/>
    <cellStyle name="Comma 2 8 2 3 13" xfId="49954" xr:uid="{606FDFF2-D951-429E-94C5-30F8B2115729}"/>
    <cellStyle name="Comma 2 8 2 3 14" xfId="52961" xr:uid="{88056420-11A7-4F12-A26F-AE20613365DD}"/>
    <cellStyle name="Comma 2 8 2 3 15" xfId="17084" xr:uid="{B6B8606A-FFEF-4082-8497-576764C6C62A}"/>
    <cellStyle name="Comma 2 8 2 3 16" xfId="15047" xr:uid="{CED4DC83-C0F6-42BD-8222-A425F4695ECA}"/>
    <cellStyle name="Comma 2 8 2 3 2" xfId="13741" xr:uid="{9447AB76-D4E8-4EFA-9AA5-D1BB96E8E544}"/>
    <cellStyle name="Comma 2 8 2 3 2 2" xfId="39645" xr:uid="{7581D4B5-FE64-4CF3-A4EC-41D5C7310BAD}"/>
    <cellStyle name="Comma 2 8 2 3 2 3" xfId="41498" xr:uid="{63549A09-059A-4816-BFD4-A9FA2C2B5217}"/>
    <cellStyle name="Comma 2 8 2 3 2 4" xfId="43322" xr:uid="{58BADD1E-2DFF-4F20-AC12-B3401F2EDE25}"/>
    <cellStyle name="Comma 2 8 2 3 2 5" xfId="45419" xr:uid="{CCEE6D22-B212-41A9-A6B7-896C429D9A59}"/>
    <cellStyle name="Comma 2 8 2 3 2 6" xfId="48496" xr:uid="{E5C31E7B-D846-44B9-9AD1-71F6C30ABE4B}"/>
    <cellStyle name="Comma 2 8 2 3 2 7" xfId="51282" xr:uid="{166A0FF3-0FFF-4F55-AE8A-8330B298B380}"/>
    <cellStyle name="Comma 2 8 2 3 2 8" xfId="52962" xr:uid="{596A1F9D-519B-4CB6-BB0B-FC5A73F87377}"/>
    <cellStyle name="Comma 2 8 2 3 2 9" xfId="21079" xr:uid="{DE44582B-E224-4CE2-B61F-90A503D79C4C}"/>
    <cellStyle name="Comma 2 8 2 3 3" xfId="20298" xr:uid="{8DA8F23B-0A74-4C74-A555-10D4CF116D4A}"/>
    <cellStyle name="Comma 2 8 2 3 4" xfId="23908" xr:uid="{B4CEB91A-D211-46E0-AB1F-272926A624BC}"/>
    <cellStyle name="Comma 2 8 2 3 5" xfId="38405" xr:uid="{BE94850B-6B10-4079-8379-7282E2C0E38B}"/>
    <cellStyle name="Comma 2 8 2 3 6" xfId="39054" xr:uid="{DC5EC80B-A83A-4034-AB6B-96C7057002F8}"/>
    <cellStyle name="Comma 2 8 2 3 7" xfId="40228" xr:uid="{4E65919D-9E96-41CE-8E77-B288445FE9DD}"/>
    <cellStyle name="Comma 2 8 2 3 8" xfId="40870" xr:uid="{F2267550-03D5-404C-B76E-28A9D727C0FD}"/>
    <cellStyle name="Comma 2 8 2 3 9" xfId="42082" xr:uid="{7096A0A4-BF71-46B8-AFC5-DA42E7F7361B}"/>
    <cellStyle name="Comma 2 8 2 4" xfId="9803" xr:uid="{ED32222D-5EDB-4C4A-926F-A3184D559B8B}"/>
    <cellStyle name="Comma 2 8 2 4 2" xfId="13109" xr:uid="{90B06DA4-2309-4B60-8CFD-92DC1FB114DA}"/>
    <cellStyle name="Comma 2 8 2 4 2 2" xfId="49113" xr:uid="{60146847-754F-4892-9BA9-1B208480AD5B}"/>
    <cellStyle name="Comma 2 8 2 4 2 3" xfId="51793" xr:uid="{E4CE16C2-C57B-4F5D-9A78-4507E15F78CC}"/>
    <cellStyle name="Comma 2 8 2 4 2 4" xfId="52963" xr:uid="{EC826869-A0C9-4079-9FF2-3133F7AD0DF3}"/>
    <cellStyle name="Comma 2 8 2 4 2 5" xfId="39268" xr:uid="{F7C76234-8C1A-40A3-B4F7-AFEF1AD3CE39}"/>
    <cellStyle name="Comma 2 8 2 4 3" xfId="41136" xr:uid="{B7A55DE3-8272-43D3-B493-E8A1A27846BE}"/>
    <cellStyle name="Comma 2 8 2 4 4" xfId="42945" xr:uid="{77168994-7622-4F7B-BB8B-F7EE03400880}"/>
    <cellStyle name="Comma 2 8 2 4 5" xfId="45052" xr:uid="{9CACEF57-A451-4A7C-85DF-04B42F968734}"/>
    <cellStyle name="Comma 2 8 2 4 6" xfId="47530" xr:uid="{5624F27E-FBD3-436B-BD39-A58DB29AA0A0}"/>
    <cellStyle name="Comma 2 8 2 4 7" xfId="50465" xr:uid="{D48D50F2-A2FF-45D1-B3D4-BC55A1E8BE46}"/>
    <cellStyle name="Comma 2 8 2 4 8" xfId="52964" xr:uid="{21DD68CF-4030-47AD-B4D2-954F41634B1C}"/>
    <cellStyle name="Comma 2 8 2 4 9" xfId="20513" xr:uid="{1BD215A7-1CC9-4D6D-9621-AE7601F44ADA}"/>
    <cellStyle name="Comma 2 8 2 5" xfId="7301" xr:uid="{4CC97011-F4EA-42D8-B37E-25240022117F}"/>
    <cellStyle name="Comma 2 8 2 5 2" xfId="47771" xr:uid="{8599A8C0-12AA-4EF8-98C6-868292956118}"/>
    <cellStyle name="Comma 2 8 2 5 3" xfId="50670" xr:uid="{5DE7D3A1-B98E-4D5A-A04B-F3C33DDD4DAB}"/>
    <cellStyle name="Comma 2 8 2 5 4" xfId="52965" xr:uid="{5963E712-C205-4C67-9D7A-7AF70DD2C359}"/>
    <cellStyle name="Comma 2 8 2 5 5" xfId="19920" xr:uid="{367A115E-7D5B-45E7-A061-165A177AC276}"/>
    <cellStyle name="Comma 2 8 2 6" xfId="11824" xr:uid="{CF1E8465-4877-4C0E-B648-066C52E61069}"/>
    <cellStyle name="Comma 2 8 2 6 2" xfId="23905" xr:uid="{D8ED2D03-0D22-492E-ADC2-49C778A85ED4}"/>
    <cellStyle name="Comma 2 8 2 7" xfId="38402" xr:uid="{F1B18780-891F-4A89-B930-E9EA9A7CA899}"/>
    <cellStyle name="Comma 2 8 2 8" xfId="38677" xr:uid="{C13FFCC0-1218-46EB-95B4-CDFF6EA0BC95}"/>
    <cellStyle name="Comma 2 8 2 9" xfId="40225" xr:uid="{BABDAC62-7EB8-45E1-923B-2384FA82B80E}"/>
    <cellStyle name="Comma 2 8 20" xfId="49269" xr:uid="{26EC70B3-6308-4E07-BBB6-C58821E9039D}"/>
    <cellStyle name="Comma 2 8 21" xfId="52966" xr:uid="{8C176346-57F8-4217-BBFF-D2E4F34639EC}"/>
    <cellStyle name="Comma 2 8 22" xfId="15218" xr:uid="{8CE5EE3C-4069-4E1A-85EB-2CC5AAE16EE0}"/>
    <cellStyle name="Comma 2 8 23" xfId="13926" xr:uid="{42DDC869-DFA7-496F-96D1-E083FCD01A36}"/>
    <cellStyle name="Comma 2 8 3" xfId="5527" xr:uid="{AD05C5EB-85B6-4A70-93C4-6567FE7F172C}"/>
    <cellStyle name="Comma 2 8 3 10" xfId="40871" xr:uid="{6686A654-D332-45E9-8CA8-DAA91A068ADF}"/>
    <cellStyle name="Comma 2 8 3 11" xfId="42083" xr:uid="{BF362E7C-71AF-461D-BAFC-EAB060272637}"/>
    <cellStyle name="Comma 2 8 3 12" xfId="42382" xr:uid="{810FC6E1-41AA-41A4-8530-2891D7B57F13}"/>
    <cellStyle name="Comma 2 8 3 13" xfId="43816" xr:uid="{491C4F8B-AD7D-4A72-80EF-F349C1341197}"/>
    <cellStyle name="Comma 2 8 3 14" xfId="44353" xr:uid="{4F2C3A28-FBE7-48A0-BC98-BB7D5D1B2FA5}"/>
    <cellStyle name="Comma 2 8 3 15" xfId="46574" xr:uid="{9BD5E704-4E4D-4434-AD33-79138490C362}"/>
    <cellStyle name="Comma 2 8 3 16" xfId="49607" xr:uid="{7FE73B42-CC2B-43E7-8995-C087B2C3FF15}"/>
    <cellStyle name="Comma 2 8 3 17" xfId="52967" xr:uid="{B278669B-AC8C-4721-A60C-DF52515D7A7F}"/>
    <cellStyle name="Comma 2 8 3 18" xfId="15806" xr:uid="{3ECCD24C-6F58-489A-90F7-3ACC4738FD56}"/>
    <cellStyle name="Comma 2 8 3 19" xfId="14064" xr:uid="{E84666CD-4181-4321-BDA0-A4FF4D9E09D5}"/>
    <cellStyle name="Comma 2 8 3 2" xfId="7629" xr:uid="{E0D6BCCA-93E8-4BCB-8971-C165A971C0F4}"/>
    <cellStyle name="Comma 2 8 3 2 10" xfId="42084" xr:uid="{8B02A928-E27F-413E-9BC6-0E1A1A212014}"/>
    <cellStyle name="Comma 2 8 3 2 11" xfId="42534" xr:uid="{13B001F2-E250-4603-A855-993CDA71CE13}"/>
    <cellStyle name="Comma 2 8 3 2 12" xfId="44701" xr:uid="{D970EE96-0324-4C66-A30E-82004C2F4E05}"/>
    <cellStyle name="Comma 2 8 3 2 13" xfId="47060" xr:uid="{8F5BF2AD-D9C3-46D8-AE2B-929596ADE70A}"/>
    <cellStyle name="Comma 2 8 3 2 14" xfId="50061" xr:uid="{642AAD36-FF82-4549-99AE-113D4B4F3904}"/>
    <cellStyle name="Comma 2 8 3 2 15" xfId="52968" xr:uid="{B8E818E4-50B3-4659-9504-7C2D20E2005A}"/>
    <cellStyle name="Comma 2 8 3 2 16" xfId="16824" xr:uid="{C377193B-DB0B-4B9D-9AEA-D6A495F8A652}"/>
    <cellStyle name="Comma 2 8 3 2 17" xfId="14556" xr:uid="{4D24212F-C763-4112-88D5-73AA2631F2CE}"/>
    <cellStyle name="Comma 2 8 3 2 2" xfId="10121" xr:uid="{04288CEF-9C09-4A7E-AA92-EED171231B45}"/>
    <cellStyle name="Comma 2 8 3 2 2 10" xfId="42734" xr:uid="{BB2AA50F-1BAA-41E3-8559-DED4AEC7AE16}"/>
    <cellStyle name="Comma 2 8 3 2 2 11" xfId="44901" xr:uid="{9DCB84F5-72FA-4A5F-AC90-B574A0C90A3D}"/>
    <cellStyle name="Comma 2 8 3 2 2 12" xfId="48626" xr:uid="{FB5D8FBA-06EF-405B-BE60-68B119F037F2}"/>
    <cellStyle name="Comma 2 8 3 2 2 13" xfId="51389" xr:uid="{A07C1375-FD3D-4692-811C-F02388716CF0}"/>
    <cellStyle name="Comma 2 8 3 2 2 14" xfId="52969" xr:uid="{B85C8BC3-8337-4DE7-83CA-7809AFB89893}"/>
    <cellStyle name="Comma 2 8 3 2 2 15" xfId="17087" xr:uid="{81D2F26A-EDF7-4B9B-B91D-0E1A097DF8EC}"/>
    <cellStyle name="Comma 2 8 3 2 2 2" xfId="13427" xr:uid="{C8A6E341-184F-4253-8B14-917C9FC8FADF}"/>
    <cellStyle name="Comma 2 8 3 2 2 2 2" xfId="39648" xr:uid="{EB1DDA05-BE04-43EE-A97F-F236EE390C00}"/>
    <cellStyle name="Comma 2 8 3 2 2 2 3" xfId="41501" xr:uid="{0283F572-CEB5-42EA-A754-54C311DCD900}"/>
    <cellStyle name="Comma 2 8 3 2 2 2 4" xfId="43325" xr:uid="{54F9A0E4-7BB5-4987-A6C9-922B6BFFFA36}"/>
    <cellStyle name="Comma 2 8 3 2 2 2 5" xfId="45422" xr:uid="{66230E2B-CC16-4F97-961A-82B31E01F9FD}"/>
    <cellStyle name="Comma 2 8 3 2 2 2 6" xfId="21082" xr:uid="{560B8751-3BDD-4547-A683-8E64455B18D6}"/>
    <cellStyle name="Comma 2 8 3 2 2 3" xfId="20301" xr:uid="{CEF6EE43-7F6E-49BA-B75F-6773479E43C6}"/>
    <cellStyle name="Comma 2 8 3 2 2 4" xfId="23911" xr:uid="{23617F24-6ADF-47A0-9216-BD59ADDDC16D}"/>
    <cellStyle name="Comma 2 8 3 2 2 5" xfId="38408" xr:uid="{E6D468CE-A03E-4BC8-9841-B062F6EE1453}"/>
    <cellStyle name="Comma 2 8 3 2 2 6" xfId="39057" xr:uid="{FBE19088-D08B-46D4-8090-CCE071BAB1D0}"/>
    <cellStyle name="Comma 2 8 3 2 2 7" xfId="40231" xr:uid="{BB587AFF-D65D-410C-9C9E-61127F38F7B0}"/>
    <cellStyle name="Comma 2 8 3 2 2 8" xfId="40873" xr:uid="{6AF6365D-9B37-4564-91CD-9F0DDEFCEB12}"/>
    <cellStyle name="Comma 2 8 3 2 2 9" xfId="42085" xr:uid="{F4D40623-6B76-4180-9149-A39CED89D7EC}"/>
    <cellStyle name="Comma 2 8 3 2 3" xfId="12142" xr:uid="{71DE53E4-55A2-42E5-9374-87DA0F0A7C56}"/>
    <cellStyle name="Comma 2 8 3 2 3 2" xfId="39448" xr:uid="{F1035AB6-8B29-4141-99D3-A3BAB69CFDC6}"/>
    <cellStyle name="Comma 2 8 3 2 3 3" xfId="41302" xr:uid="{E5780076-BAD7-4B75-96E1-7699EAF1B5A5}"/>
    <cellStyle name="Comma 2 8 3 2 3 4" xfId="43125" xr:uid="{9E255451-F807-4A75-8645-7296B1D81C62}"/>
    <cellStyle name="Comma 2 8 3 2 3 5" xfId="45222" xr:uid="{F09011BD-64E7-4033-B869-55FB67B94AE9}"/>
    <cellStyle name="Comma 2 8 3 2 3 6" xfId="20826" xr:uid="{D0C78CCB-3B5F-4996-818D-20131BE9CF9F}"/>
    <cellStyle name="Comma 2 8 3 2 4" xfId="20101" xr:uid="{0A68C279-91A7-48DE-94C2-6070B534F124}"/>
    <cellStyle name="Comma 2 8 3 2 5" xfId="23910" xr:uid="{50C0D561-D386-427D-A822-6B07ECC17DA7}"/>
    <cellStyle name="Comma 2 8 3 2 6" xfId="38407" xr:uid="{2A9666F4-CCA8-4B59-95A0-14B796A87BDB}"/>
    <cellStyle name="Comma 2 8 3 2 7" xfId="38857" xr:uid="{56ADABD6-43A2-462E-A6AF-3FEA82856416}"/>
    <cellStyle name="Comma 2 8 3 2 8" xfId="40230" xr:uid="{2CB6E7E2-222A-45A5-B85F-E96C46636A5A}"/>
    <cellStyle name="Comma 2 8 3 2 9" xfId="40872" xr:uid="{E85C78B6-86BB-49DF-8E56-3A84AFB0A4C0}"/>
    <cellStyle name="Comma 2 8 3 3" xfId="9627" xr:uid="{D287E4DB-E6BF-4DB5-AE64-58FEE85C7583}"/>
    <cellStyle name="Comma 2 8 3 3 10" xfId="42733" xr:uid="{CB3E5B0D-FEC4-4FA5-BD6E-5DF14DFA111A}"/>
    <cellStyle name="Comma 2 8 3 3 11" xfId="44900" xr:uid="{EED53315-864D-41A7-9120-58D66635DF1D}"/>
    <cellStyle name="Comma 2 8 3 3 12" xfId="47365" xr:uid="{73D47424-0582-4A3C-B3C7-836640D0B498}"/>
    <cellStyle name="Comma 2 8 3 3 13" xfId="50325" xr:uid="{E8D9FF81-6EE6-4C51-9D28-9ED8EE469D97}"/>
    <cellStyle name="Comma 2 8 3 3 14" xfId="52970" xr:uid="{27361EA1-C77B-4E86-89EE-0B670913C327}"/>
    <cellStyle name="Comma 2 8 3 3 15" xfId="17086" xr:uid="{F4A86E37-F281-4F57-9A8E-59D82A4B474D}"/>
    <cellStyle name="Comma 2 8 3 3 2" xfId="12933" xr:uid="{1A998958-4331-42D7-9FB7-E26DB9EB48AA}"/>
    <cellStyle name="Comma 2 8 3 3 2 2" xfId="39647" xr:uid="{E8534E45-FDEF-4DD4-A98B-24C02ABAB9BF}"/>
    <cellStyle name="Comma 2 8 3 3 2 3" xfId="41500" xr:uid="{3D62BA4D-04EF-4DD9-A4B3-899E55A290E2}"/>
    <cellStyle name="Comma 2 8 3 3 2 4" xfId="43324" xr:uid="{E2961128-3B61-4C3B-801C-E5F00166B0DC}"/>
    <cellStyle name="Comma 2 8 3 3 2 5" xfId="45421" xr:uid="{AB77A449-EB68-4CED-91D0-E877C19A4113}"/>
    <cellStyle name="Comma 2 8 3 3 2 6" xfId="48941" xr:uid="{5253B4F3-5D9A-46CB-966F-4BCAD28D1C5A}"/>
    <cellStyle name="Comma 2 8 3 3 2 7" xfId="51653" xr:uid="{010DC86B-39AB-4BF7-9361-C4A37AB22068}"/>
    <cellStyle name="Comma 2 8 3 3 2 8" xfId="52971" xr:uid="{E3A04E75-FA3E-4651-83DB-6FD7FDF5522B}"/>
    <cellStyle name="Comma 2 8 3 3 2 9" xfId="21081" xr:uid="{A47193BF-B154-43F6-AD3C-DBDC9127AAF4}"/>
    <cellStyle name="Comma 2 8 3 3 3" xfId="20300" xr:uid="{1DB8EB27-DADC-4037-8336-EE84D1A2D654}"/>
    <cellStyle name="Comma 2 8 3 3 4" xfId="23912" xr:uid="{1BD347F3-72B3-4DD5-A2E9-6A47151BF506}"/>
    <cellStyle name="Comma 2 8 3 3 5" xfId="38409" xr:uid="{57C67506-90DD-45B1-8D49-C93B61461254}"/>
    <cellStyle name="Comma 2 8 3 3 6" xfId="39056" xr:uid="{3DD9FE93-FFE6-4B92-82DC-FCE8FCEB9886}"/>
    <cellStyle name="Comma 2 8 3 3 7" xfId="40232" xr:uid="{86B036D9-9407-4E51-AFAE-78A1FBC11FF0}"/>
    <cellStyle name="Comma 2 8 3 3 8" xfId="40874" xr:uid="{8F12A042-7C71-4107-BF9A-AC19EC4E99F1}"/>
    <cellStyle name="Comma 2 8 3 3 9" xfId="42086" xr:uid="{FA85A512-B812-4EEA-A3CC-94C1FBCBCF16}"/>
    <cellStyle name="Comma 2 8 3 4" xfId="7123" xr:uid="{501F5791-3B34-48B6-BB69-BF40663F3874}"/>
    <cellStyle name="Comma 2 8 3 4 2" xfId="39296" xr:uid="{D4B47EE5-5946-48D6-A85D-6731C89356CD}"/>
    <cellStyle name="Comma 2 8 3 4 3" xfId="41158" xr:uid="{44F5857D-4784-452A-BB1E-6C7BB4EB35E5}"/>
    <cellStyle name="Comma 2 8 3 4 4" xfId="42973" xr:uid="{0ACCD511-BD76-4271-BFF9-9D558838C5C4}"/>
    <cellStyle name="Comma 2 8 3 4 5" xfId="45078" xr:uid="{A0497CDC-403F-4E98-9C9C-89630EC892BD}"/>
    <cellStyle name="Comma 2 8 3 4 6" xfId="48086" xr:uid="{37ED053F-0AC7-42AE-85ED-8B902C9BF1E7}"/>
    <cellStyle name="Comma 2 8 3 4 7" xfId="50935" xr:uid="{4D40E412-45DA-464C-BEA2-1DAC17F3CB35}"/>
    <cellStyle name="Comma 2 8 3 4 8" xfId="52972" xr:uid="{06307982-864D-40CB-A6C0-2B858D3316DA}"/>
    <cellStyle name="Comma 2 8 3 4 9" xfId="20542" xr:uid="{2DEE369A-EA3E-473C-B682-703A5A0C101E}"/>
    <cellStyle name="Comma 2 8 3 5" xfId="11648" xr:uid="{069C6BE6-B51E-4451-9CC6-8C69D23C4582}"/>
    <cellStyle name="Comma 2 8 3 5 2" xfId="19949" xr:uid="{D73F90B9-39B9-44DE-AD1E-9B34BF6C30E1}"/>
    <cellStyle name="Comma 2 8 3 6" xfId="23909" xr:uid="{A8D1B1DF-DF0C-4F6F-B832-61AC2A30A2D4}"/>
    <cellStyle name="Comma 2 8 3 7" xfId="38406" xr:uid="{ACECBD71-4DBA-4B07-A31F-1165ACEEC181}"/>
    <cellStyle name="Comma 2 8 3 8" xfId="38705" xr:uid="{557AE8B7-09C9-4355-83A9-F6905497419F}"/>
    <cellStyle name="Comma 2 8 3 9" xfId="40229" xr:uid="{D2CD5831-F766-4480-AACF-5299013A7D76}"/>
    <cellStyle name="Comma 2 8 4" xfId="6517" xr:uid="{3BDC2B61-8BFF-4804-B41D-EE05DF675E98}"/>
    <cellStyle name="Comma 2 8 4 10" xfId="42087" xr:uid="{D9BF020C-F476-4A5D-93BB-D959DAE078CE}"/>
    <cellStyle name="Comma 2 8 4 11" xfId="42467" xr:uid="{963311EE-CC48-40B2-8729-E75947CC9791}"/>
    <cellStyle name="Comma 2 8 4 12" xfId="44664" xr:uid="{9369C374-9DED-471B-A3CF-2D8279B37DDD}"/>
    <cellStyle name="Comma 2 8 4 13" xfId="46156" xr:uid="{CD821DF1-91C4-443B-A945-7227125DDB1E}"/>
    <cellStyle name="Comma 2 8 4 14" xfId="49492" xr:uid="{E19300B0-0556-4E04-8401-931BA568962A}"/>
    <cellStyle name="Comma 2 8 4 15" xfId="52973" xr:uid="{74AE7AA1-79CC-4810-97CA-42B1C72CD3EB}"/>
    <cellStyle name="Comma 2 8 4 16" xfId="16661" xr:uid="{9F8AC228-BF03-4778-88A9-07F1DC55FF46}"/>
    <cellStyle name="Comma 2 8 4 17" xfId="14418" xr:uid="{7565E59D-67A5-4661-8973-3B8C18B31CA5}"/>
    <cellStyle name="Comma 2 8 4 2" xfId="9489" xr:uid="{7E86FFC5-5086-4BC0-B806-5C5EA9C12306}"/>
    <cellStyle name="Comma 2 8 4 2 10" xfId="42735" xr:uid="{D812A533-AAF7-4996-A985-93B93F1F14C8}"/>
    <cellStyle name="Comma 2 8 4 2 11" xfId="44902" xr:uid="{F73C4384-26CA-463E-8308-BBE6D8E11444}"/>
    <cellStyle name="Comma 2 8 4 2 12" xfId="47951" xr:uid="{6BAFEF34-C028-494A-BECE-92AD9D8302FA}"/>
    <cellStyle name="Comma 2 8 4 2 13" xfId="50820" xr:uid="{299A3A32-30D3-4C42-9409-62A55D15D99B}"/>
    <cellStyle name="Comma 2 8 4 2 14" xfId="52974" xr:uid="{65D6C521-A619-45BD-822D-D443CE0A39FF}"/>
    <cellStyle name="Comma 2 8 4 2 15" xfId="17088" xr:uid="{28F3C9A7-D96E-4858-B885-B9A657C86B09}"/>
    <cellStyle name="Comma 2 8 4 2 2" xfId="12795" xr:uid="{0369DB03-2D7C-4235-ADA3-8094411B17BA}"/>
    <cellStyle name="Comma 2 8 4 2 2 2" xfId="39649" xr:uid="{17AF0BF7-C2AC-419B-8E40-7E7189F03782}"/>
    <cellStyle name="Comma 2 8 4 2 2 3" xfId="41502" xr:uid="{0BBE0C37-4C63-44F7-B17B-0104FC6E8F02}"/>
    <cellStyle name="Comma 2 8 4 2 2 4" xfId="43326" xr:uid="{ABE4D4C2-81FE-417F-B929-5B42BBCF60BA}"/>
    <cellStyle name="Comma 2 8 4 2 2 5" xfId="45423" xr:uid="{F7EB6CC8-0A76-4CD7-B005-BA65C688F433}"/>
    <cellStyle name="Comma 2 8 4 2 2 6" xfId="21083" xr:uid="{CC70447E-D063-476D-A33D-7B201FBB4D6F}"/>
    <cellStyle name="Comma 2 8 4 2 3" xfId="20302" xr:uid="{776A0FFB-DFA7-41FE-B7D1-04541C162F00}"/>
    <cellStyle name="Comma 2 8 4 2 4" xfId="23914" xr:uid="{4D023978-2EF7-4953-825D-D3BBA3832B1B}"/>
    <cellStyle name="Comma 2 8 4 2 5" xfId="38411" xr:uid="{F2231BC0-F69A-403E-8E30-F08D17991581}"/>
    <cellStyle name="Comma 2 8 4 2 6" xfId="39058" xr:uid="{77F6509F-9B7F-4B10-B8EE-E8FFFC9796C1}"/>
    <cellStyle name="Comma 2 8 4 2 7" xfId="40234" xr:uid="{1489F8F7-BB8D-4218-871E-4DC5DC6DA8B2}"/>
    <cellStyle name="Comma 2 8 4 2 8" xfId="40876" xr:uid="{A3F2335E-13A3-4E7A-8968-67EBD5AA37B9}"/>
    <cellStyle name="Comma 2 8 4 2 9" xfId="42088" xr:uid="{0F5AC9A5-F2D8-4AE6-95A4-AA759BC9A4C2}"/>
    <cellStyle name="Comma 2 8 4 3" xfId="11510" xr:uid="{59766CE9-F9DA-427B-9ADA-76C3F156289E}"/>
    <cellStyle name="Comma 2 8 4 3 2" xfId="39381" xr:uid="{C3D89575-2039-4495-8F1F-42AC3806EF96}"/>
    <cellStyle name="Comma 2 8 4 3 3" xfId="41239" xr:uid="{CB64938F-F8AC-459F-85CD-A65288A3F8A5}"/>
    <cellStyle name="Comma 2 8 4 3 4" xfId="43058" xr:uid="{68F4DA77-DF61-4179-A36C-7B4DAC2C362B}"/>
    <cellStyle name="Comma 2 8 4 3 5" xfId="45159" xr:uid="{3C22E267-5B7C-436E-9FB4-61A12D2E6DD0}"/>
    <cellStyle name="Comma 2 8 4 3 6" xfId="20755" xr:uid="{179F3496-EC77-4EBB-B921-085F776BB4DE}"/>
    <cellStyle name="Comma 2 8 4 4" xfId="20034" xr:uid="{FED62A01-6063-407B-93F3-6FDB5C6E3F24}"/>
    <cellStyle name="Comma 2 8 4 5" xfId="23913" xr:uid="{CF3D4253-4B3F-42FB-AC44-B3ACA15A8167}"/>
    <cellStyle name="Comma 2 8 4 6" xfId="38410" xr:uid="{9856543A-A104-4411-9CE8-C06E4FAF2D07}"/>
    <cellStyle name="Comma 2 8 4 7" xfId="38790" xr:uid="{D76C2CE4-E8EF-4321-A01E-84BD97238616}"/>
    <cellStyle name="Comma 2 8 4 8" xfId="40233" xr:uid="{AFB4203B-C415-498A-A40D-0645869085AF}"/>
    <cellStyle name="Comma 2 8 4 9" xfId="40875" xr:uid="{F397D690-8DBA-489A-B959-C34F26A600A3}"/>
    <cellStyle name="Comma 2 8 5" xfId="7491" xr:uid="{318C34AF-A71A-474F-A99E-9F639F02B9E3}"/>
    <cellStyle name="Comma 2 8 5 10" xfId="42089" xr:uid="{9BA82A5A-8288-46C5-8F3C-9449D7172088}"/>
    <cellStyle name="Comma 2 8 5 11" xfId="42409" xr:uid="{F6A8E37D-F501-41DD-BB09-90D7AD68A86F}"/>
    <cellStyle name="Comma 2 8 5 12" xfId="44635" xr:uid="{4E60E8CA-C9AF-4D6F-B1F2-ECA244D2E54B}"/>
    <cellStyle name="Comma 2 8 5 13" xfId="46831" xr:uid="{AC4B8E4E-80AF-4377-B20C-5B629008D5D7}"/>
    <cellStyle name="Comma 2 8 5 14" xfId="49855" xr:uid="{1F40400C-1735-48C8-A6A8-B8BF40E0D97C}"/>
    <cellStyle name="Comma 2 8 5 15" xfId="52975" xr:uid="{AEDD7DAC-A190-4DFA-9929-0ECDE42FFB05}"/>
    <cellStyle name="Comma 2 8 5 16" xfId="16384" xr:uid="{4453FCB4-4CBF-481C-A2A6-A6372676CED9}"/>
    <cellStyle name="Comma 2 8 5 17" xfId="14871" xr:uid="{1959DD79-FD90-4498-8F81-6B060114DBE7}"/>
    <cellStyle name="Comma 2 8 5 2" xfId="9983" xr:uid="{E5C21B6C-677C-4204-87AC-917CB07C4DCB}"/>
    <cellStyle name="Comma 2 8 5 2 10" xfId="42736" xr:uid="{678E984F-9FD9-46B2-A8AF-1C9B452734AC}"/>
    <cellStyle name="Comma 2 8 5 2 11" xfId="44903" xr:uid="{566D3A41-F106-403A-872F-6DA3546D4E3E}"/>
    <cellStyle name="Comma 2 8 5 2 12" xfId="48382" xr:uid="{977D2596-9699-47A8-A0BC-944401C0F7A3}"/>
    <cellStyle name="Comma 2 8 5 2 13" xfId="51183" xr:uid="{AD9B7957-3213-4942-B112-244812F2A4C6}"/>
    <cellStyle name="Comma 2 8 5 2 14" xfId="52976" xr:uid="{BC16E2AC-EFDB-497C-8667-1418789330B1}"/>
    <cellStyle name="Comma 2 8 5 2 15" xfId="17089" xr:uid="{109E3B85-C420-4ABF-B206-E9F92FECDECE}"/>
    <cellStyle name="Comma 2 8 5 2 2" xfId="13289" xr:uid="{918F4384-53BB-449D-B3FD-A3EFC93B2A96}"/>
    <cellStyle name="Comma 2 8 5 2 2 2" xfId="39650" xr:uid="{235A411E-1BB2-4ACA-81C9-EB76C33DF786}"/>
    <cellStyle name="Comma 2 8 5 2 2 3" xfId="41503" xr:uid="{DD3B12C7-DEF1-429E-9A12-FEE427E509C6}"/>
    <cellStyle name="Comma 2 8 5 2 2 4" xfId="43327" xr:uid="{CE4EC821-4B1F-4067-BD4A-23BDEB14B665}"/>
    <cellStyle name="Comma 2 8 5 2 2 5" xfId="45424" xr:uid="{6993062A-6088-4867-9F76-D90490B12EC2}"/>
    <cellStyle name="Comma 2 8 5 2 2 6" xfId="21084" xr:uid="{70F6CEF6-9049-48C0-81A0-82BF945BCF37}"/>
    <cellStyle name="Comma 2 8 5 2 3" xfId="20303" xr:uid="{1372F889-612E-4767-90A2-A34BBE4D0179}"/>
    <cellStyle name="Comma 2 8 5 2 4" xfId="23916" xr:uid="{D0B70E4A-9CFF-49AB-94E3-EF1D490692AC}"/>
    <cellStyle name="Comma 2 8 5 2 5" xfId="38413" xr:uid="{CFF30F65-E29E-464E-A183-1E669A08E22D}"/>
    <cellStyle name="Comma 2 8 5 2 6" xfId="39059" xr:uid="{B72CD1BA-0EE8-4A08-9992-C5817D801AB6}"/>
    <cellStyle name="Comma 2 8 5 2 7" xfId="40236" xr:uid="{EA3ECC00-F6E8-41F3-9349-CC9E7D4493D1}"/>
    <cellStyle name="Comma 2 8 5 2 8" xfId="40878" xr:uid="{8730E0B4-C7F9-49DE-9533-1FF1D9938E41}"/>
    <cellStyle name="Comma 2 8 5 2 9" xfId="42090" xr:uid="{806856AC-73F8-4AA5-8535-B2C6153506A7}"/>
    <cellStyle name="Comma 2 8 5 3" xfId="12004" xr:uid="{F84D0EE2-7F7B-42F5-8830-10F3F9AA98C0}"/>
    <cellStyle name="Comma 2 8 5 3 2" xfId="39323" xr:uid="{B100F184-658D-4DCE-B93B-42A0BD8FA0A0}"/>
    <cellStyle name="Comma 2 8 5 3 3" xfId="41185" xr:uid="{DC8CF75A-C4BE-4D1C-8C6E-D22861A5144A}"/>
    <cellStyle name="Comma 2 8 5 3 4" xfId="43000" xr:uid="{726003FC-324F-42DE-95EC-FBFBA0A104ED}"/>
    <cellStyle name="Comma 2 8 5 3 5" xfId="45105" xr:uid="{F799F6E0-CC1A-4EEF-980C-8CC5725C8D55}"/>
    <cellStyle name="Comma 2 8 5 3 6" xfId="20629" xr:uid="{A007B0F3-CAED-44F7-B345-671C1BF86E52}"/>
    <cellStyle name="Comma 2 8 5 4" xfId="19976" xr:uid="{453977AA-AF83-40BA-BC13-718CAC393CC5}"/>
    <cellStyle name="Comma 2 8 5 5" xfId="23915" xr:uid="{DB4A69E6-3F33-45F4-962C-12DD171C23E1}"/>
    <cellStyle name="Comma 2 8 5 6" xfId="38412" xr:uid="{32EE2685-7E20-42EB-8461-90D3CEECB5A8}"/>
    <cellStyle name="Comma 2 8 5 7" xfId="38732" xr:uid="{894ED451-9EF4-482C-B1C3-DD93642209F3}"/>
    <cellStyle name="Comma 2 8 5 8" xfId="40235" xr:uid="{C5B585F7-95C8-4A92-A097-C6EB8C2C3D1D}"/>
    <cellStyle name="Comma 2 8 5 9" xfId="40877" xr:uid="{177C110B-98FB-452B-BC79-374D40198995}"/>
    <cellStyle name="Comma 2 8 6" xfId="8157" xr:uid="{27C4474A-EF2A-4AEF-996A-D8930CE44FC3}"/>
    <cellStyle name="Comma 2 8 6 10" xfId="42730" xr:uid="{4E7B769C-2543-43D2-BC48-C2B5DCD6DC4A}"/>
    <cellStyle name="Comma 2 8 6 11" xfId="44897" xr:uid="{32417294-CC90-4E95-B599-DA9F23965A1E}"/>
    <cellStyle name="Comma 2 8 6 12" xfId="47232" xr:uid="{9D753A49-7958-4892-84B8-386B79049B3F}"/>
    <cellStyle name="Comma 2 8 6 13" xfId="50210" xr:uid="{09E7F74A-AC53-4C58-BC03-B2AD9C147213}"/>
    <cellStyle name="Comma 2 8 6 14" xfId="52977" xr:uid="{16FD705E-328E-4A6E-BC40-23331ED5EDAA}"/>
    <cellStyle name="Comma 2 8 6 15" xfId="17083" xr:uid="{2DBBF56B-3DAA-4C78-B3D5-0F2C1AAE034C}"/>
    <cellStyle name="Comma 2 8 6 2" xfId="12613" xr:uid="{C1BA946F-44A1-4AEA-862D-050C407002E2}"/>
    <cellStyle name="Comma 2 8 6 2 2" xfId="39644" xr:uid="{DC9964CF-BB5D-4B19-BA63-97B32CDD14B7}"/>
    <cellStyle name="Comma 2 8 6 2 3" xfId="41497" xr:uid="{482D99E3-00AD-475C-A28A-EBE7388AA82C}"/>
    <cellStyle name="Comma 2 8 6 2 4" xfId="43321" xr:uid="{6D9130E2-593F-4A57-A864-DA35515C70F4}"/>
    <cellStyle name="Comma 2 8 6 2 5" xfId="45418" xr:uid="{C2ED3B40-6354-479B-8D5B-593C6866507A}"/>
    <cellStyle name="Comma 2 8 6 2 6" xfId="48803" xr:uid="{E0676954-5535-4F52-950B-BF49B6FCBC43}"/>
    <cellStyle name="Comma 2 8 6 2 7" xfId="51538" xr:uid="{685BF89C-3C6F-4B9E-A4AD-AF42E49B53CF}"/>
    <cellStyle name="Comma 2 8 6 2 8" xfId="52978" xr:uid="{F3C2EAFB-F0A3-476B-B85E-74DAD974C883}"/>
    <cellStyle name="Comma 2 8 6 2 9" xfId="21078" xr:uid="{DC1C8558-1A63-4B92-8F13-470F5E2F54E5}"/>
    <cellStyle name="Comma 2 8 6 3" xfId="20297" xr:uid="{02AA528B-A2AC-472C-97C2-BB0CE8B8B950}"/>
    <cellStyle name="Comma 2 8 6 4" xfId="23917" xr:uid="{CA33B9E8-2FFD-4FCC-9EDC-E0108F496B25}"/>
    <cellStyle name="Comma 2 8 6 5" xfId="38414" xr:uid="{5F03A8F4-4D78-4820-9D14-F6647DAC9FAB}"/>
    <cellStyle name="Comma 2 8 6 6" xfId="39053" xr:uid="{04BC775E-9981-49B3-AE75-13302364EDBA}"/>
    <cellStyle name="Comma 2 8 6 7" xfId="40237" xr:uid="{BA589600-519C-4697-A04C-835517783D63}"/>
    <cellStyle name="Comma 2 8 6 8" xfId="40879" xr:uid="{0482FE31-5ED8-4822-BA6F-432A194FCEEC}"/>
    <cellStyle name="Comma 2 8 6 9" xfId="42091" xr:uid="{468A75FF-8E5B-4014-8328-18CAC184EB38}"/>
    <cellStyle name="Comma 2 8 7" xfId="7944" xr:uid="{D45F9EF3-F019-4E7B-8B44-E6AC1C62E251}"/>
    <cellStyle name="Comma 2 8 7 10" xfId="42837" xr:uid="{44A97DA5-CE58-428B-8A7D-1DDA7C908B25}"/>
    <cellStyle name="Comma 2 8 7 11" xfId="44964" xr:uid="{43564A39-AAB1-43CA-8E58-1F13641387AF}"/>
    <cellStyle name="Comma 2 8 7 12" xfId="47689" xr:uid="{D525A9E1-1179-4B55-89EC-3C191199A174}"/>
    <cellStyle name="Comma 2 8 7 13" xfId="50597" xr:uid="{305BE4EC-3B0E-4E63-9E9A-E3C2E1103664}"/>
    <cellStyle name="Comma 2 8 7 14" xfId="52979" xr:uid="{B7CDD437-AF7E-416F-B5C2-3C22F9B64E93}"/>
    <cellStyle name="Comma 2 8 7 15" xfId="19743" xr:uid="{7B5E1566-3408-4CEB-9E5C-3DDC7C96E91B}"/>
    <cellStyle name="Comma 2 8 7 2" xfId="12457" xr:uid="{84C88BBB-6B9B-4403-80AE-32A9B8AA8B1C}"/>
    <cellStyle name="Comma 2 8 7 2 2" xfId="39751" xr:uid="{DF36ABB3-CA48-4395-9C94-EAD201EDDEB9}"/>
    <cellStyle name="Comma 2 8 7 2 3" xfId="41604" xr:uid="{C1837499-95BF-4F5A-8AD7-74A90D4E48F0}"/>
    <cellStyle name="Comma 2 8 7 2 4" xfId="43428" xr:uid="{48720FB2-EAE6-46E3-AD70-3BBC48B3CD11}"/>
    <cellStyle name="Comma 2 8 7 2 5" xfId="45507" xr:uid="{27B2F634-DC7F-48A2-A319-3274AE6B199A}"/>
    <cellStyle name="Comma 2 8 7 2 6" xfId="23360" xr:uid="{410EADA2-B414-4D11-98F1-B51A97C769D9}"/>
    <cellStyle name="Comma 2 8 7 3" xfId="20404" xr:uid="{3922972D-E051-46AE-A36F-E6B2355286FE}"/>
    <cellStyle name="Comma 2 8 7 4" xfId="23918" xr:uid="{F7623B97-499D-4905-B14D-538B86AA4277}"/>
    <cellStyle name="Comma 2 8 7 5" xfId="38415" xr:uid="{D8EF3350-BED0-4679-9C72-FA89AA1AD46F}"/>
    <cellStyle name="Comma 2 8 7 6" xfId="39160" xr:uid="{0F2F61FB-8EF3-46CD-A01C-61373AABA747}"/>
    <cellStyle name="Comma 2 8 7 7" xfId="40238" xr:uid="{03AFFE1A-6B4D-498D-8653-763424C91DA3}"/>
    <cellStyle name="Comma 2 8 7 8" xfId="40880" xr:uid="{CBAA5D19-492D-449E-984D-0350AD71AFB2}"/>
    <cellStyle name="Comma 2 8 7 9" xfId="42092" xr:uid="{C5613702-71DF-4ACC-B3A6-7DE24479953F}"/>
    <cellStyle name="Comma 2 8 8" xfId="5841" xr:uid="{E89E2DF5-6BC7-40AF-A15B-FCE37ED3903E}"/>
    <cellStyle name="Comma 2 8 8 2" xfId="39230" xr:uid="{A8123085-ED9B-4081-A2EF-A4BA0EA6B0BA}"/>
    <cellStyle name="Comma 2 8 8 3" xfId="41099" xr:uid="{D11BDD6C-DACC-48A8-8A7B-D2E3E046083A}"/>
    <cellStyle name="Comma 2 8 8 4" xfId="42907" xr:uid="{158FC5E5-308D-41C1-BE7C-F8AC78A3B52B}"/>
    <cellStyle name="Comma 2 8 8 5" xfId="45014" xr:uid="{AC1FFF06-52DC-47D6-9E80-2E92B286A641}"/>
    <cellStyle name="Comma 2 8 8 6" xfId="20475" xr:uid="{43E6B262-A975-43A9-A054-E5436BB23A22}"/>
    <cellStyle name="Comma 2 8 9" xfId="11329" xr:uid="{3F759BC6-B16C-48BB-B929-70883EE4F9F3}"/>
    <cellStyle name="Comma 2 8 9 2" xfId="19881" xr:uid="{4A5ADE66-9234-4D93-9A5D-F90DBDCD7453}"/>
    <cellStyle name="Comma 2 9" xfId="1771" xr:uid="{5296F2A8-F56F-4010-B957-7EEA9B52FB7C}"/>
    <cellStyle name="Comma 2 9 10" xfId="23919" xr:uid="{8F396D43-C442-41CB-B840-21491F32BA11}"/>
    <cellStyle name="Comma 2 9 11" xfId="38416" xr:uid="{74A41B2D-F5FD-4547-9129-9F3A026FD695}"/>
    <cellStyle name="Comma 2 9 12" xfId="38640" xr:uid="{5E6893DA-A1FB-4D01-B8E9-F761158E443B}"/>
    <cellStyle name="Comma 2 9 13" xfId="40239" xr:uid="{2CDCB533-0C6A-48BD-9328-B6B2D7361DB0}"/>
    <cellStyle name="Comma 2 9 14" xfId="40881" xr:uid="{33594C3A-0E07-4869-A96F-C39DA2AFEC83}"/>
    <cellStyle name="Comma 2 9 15" xfId="42093" xr:uid="{2131FDBB-C0E8-48A3-8D85-4BB5B7EF91A7}"/>
    <cellStyle name="Comma 2 9 16" xfId="42317" xr:uid="{B835673F-A222-4F71-8165-7927853EF59D}"/>
    <cellStyle name="Comma 2 9 17" xfId="43544" xr:uid="{066C812C-4C3C-45BF-A782-715489DFAB19}"/>
    <cellStyle name="Comma 2 9 18" xfId="44407" xr:uid="{BE6A6D32-51C8-47FD-AEFE-44B4233D04C4}"/>
    <cellStyle name="Comma 2 9 19" xfId="45641" xr:uid="{AE5D0BF1-A7DD-4520-A8BA-D7B6F8265103}"/>
    <cellStyle name="Comma 2 9 2" xfId="4447" xr:uid="{E74D2EC8-3525-4C8C-B901-CD4368146BE1}"/>
    <cellStyle name="Comma 2 9 2 10" xfId="40882" xr:uid="{CC1271A7-F949-48ED-8854-B6457EDAFB94}"/>
    <cellStyle name="Comma 2 9 2 11" xfId="42094" xr:uid="{FF420F43-8E45-4D65-A6EF-7E9CAB28B03B}"/>
    <cellStyle name="Comma 2 9 2 12" xfId="42355" xr:uid="{60245545-4974-4D63-93A7-1BA778B209DF}"/>
    <cellStyle name="Comma 2 9 2 13" xfId="44248" xr:uid="{BEC9A1FC-36F3-446F-ACFF-63EA17204D1A}"/>
    <cellStyle name="Comma 2 9 2 14" xfId="44548" xr:uid="{1548AD4A-5E76-45AA-90DA-310B9B1E884F}"/>
    <cellStyle name="Comma 2 9 2 15" xfId="45715" xr:uid="{9F80C21B-418E-4582-BEB3-B07602C0ABD4}"/>
    <cellStyle name="Comma 2 9 2 16" xfId="49343" xr:uid="{BC548BDB-01AB-4613-A37A-B6B4508AD420}"/>
    <cellStyle name="Comma 2 9 2 17" xfId="52980" xr:uid="{7F7ABAE2-A850-44CE-988C-87C5A1F9A0F9}"/>
    <cellStyle name="Comma 2 9 2 18" xfId="15321" xr:uid="{AA0FC604-7551-43E4-B5BB-1E67CD1294CF}"/>
    <cellStyle name="Comma 2 9 2 19" xfId="14241" xr:uid="{346930DF-7061-4A4F-AAFD-AC0E216C9BE1}"/>
    <cellStyle name="Comma 2 9 2 2" xfId="5704" xr:uid="{DE53EF0C-1B30-401A-B451-E5EB58FBE468}"/>
    <cellStyle name="Comma 2 9 2 2 10" xfId="42095" xr:uid="{FBF626AB-FC56-43C0-88EE-6461E2E0E294}"/>
    <cellStyle name="Comma 2 9 2 2 11" xfId="42507" xr:uid="{14C624E4-5E55-44A0-A401-7654E8BA1B56}"/>
    <cellStyle name="Comma 2 9 2 2 12" xfId="44689" xr:uid="{03CA2196-1407-439D-8877-32200D35A070}"/>
    <cellStyle name="Comma 2 9 2 2 13" xfId="46716" xr:uid="{A8D2CADF-8D11-4430-A069-308DD093A754}"/>
    <cellStyle name="Comma 2 9 2 2 14" xfId="49748" xr:uid="{BC1400FB-89AA-420B-B34E-C5FB02B32A10}"/>
    <cellStyle name="Comma 2 9 2 2 15" xfId="52981" xr:uid="{2711F1C2-29F5-4B9D-8653-11878743E512}"/>
    <cellStyle name="Comma 2 9 2 2 16" xfId="16770" xr:uid="{15884BE6-CC77-4191-98F5-2444C14D2F36}"/>
    <cellStyle name="Comma 2 9 2 2 17" xfId="14733" xr:uid="{02DBEE1D-403E-41EA-86F7-775BEA3A9293}"/>
    <cellStyle name="Comma 2 9 2 2 2" xfId="10298" xr:uid="{E222A70F-7F48-4920-BE6C-C3B578BDC595}"/>
    <cellStyle name="Comma 2 9 2 2 2 10" xfId="42739" xr:uid="{EB69082A-4AA3-4543-827C-A83042F9B821}"/>
    <cellStyle name="Comma 2 9 2 2 2 11" xfId="44906" xr:uid="{BF784DDA-1F41-424C-820D-C4DFEAE11E3D}"/>
    <cellStyle name="Comma 2 9 2 2 2 12" xfId="48258" xr:uid="{64D0EC03-F9F3-4B06-BA9D-793BFBEE23E0}"/>
    <cellStyle name="Comma 2 9 2 2 2 13" xfId="51076" xr:uid="{F5CFA0C3-2432-44B1-A3B3-70A3DC3A0B81}"/>
    <cellStyle name="Comma 2 9 2 2 2 14" xfId="52982" xr:uid="{CA241569-449C-4D94-861F-54A1C224C878}"/>
    <cellStyle name="Comma 2 9 2 2 2 15" xfId="17092" xr:uid="{3B41DA12-26D6-4FFA-BBD6-3FAF8FB54083}"/>
    <cellStyle name="Comma 2 9 2 2 2 2" xfId="13604" xr:uid="{E4C89761-64AA-42E5-A743-D76C90AB7049}"/>
    <cellStyle name="Comma 2 9 2 2 2 2 2" xfId="39653" xr:uid="{083CD6AA-4454-4CDB-8379-563A52F87F4A}"/>
    <cellStyle name="Comma 2 9 2 2 2 2 3" xfId="41506" xr:uid="{0AE35F10-1C0C-4DC5-B656-024892DB4C7E}"/>
    <cellStyle name="Comma 2 9 2 2 2 2 4" xfId="43330" xr:uid="{48B94A2F-91AD-4B63-9F0D-C69E0495F271}"/>
    <cellStyle name="Comma 2 9 2 2 2 2 5" xfId="45427" xr:uid="{C193D28E-77D7-4315-92F7-83472888A503}"/>
    <cellStyle name="Comma 2 9 2 2 2 2 6" xfId="21087" xr:uid="{7901BB29-A840-45DF-ABCC-0E0F705C113A}"/>
    <cellStyle name="Comma 2 9 2 2 2 3" xfId="20306" xr:uid="{06D9F6A8-DBE9-4403-B3B2-A57417684E96}"/>
    <cellStyle name="Comma 2 9 2 2 2 4" xfId="23922" xr:uid="{72C5B81E-888F-4C88-8E68-19D681EDC991}"/>
    <cellStyle name="Comma 2 9 2 2 2 5" xfId="38419" xr:uid="{1C3EDDDA-B891-491E-AAF7-016217E93A2A}"/>
    <cellStyle name="Comma 2 9 2 2 2 6" xfId="39062" xr:uid="{2EFA2042-C172-4E07-96DA-EB0E58E6CD33}"/>
    <cellStyle name="Comma 2 9 2 2 2 7" xfId="40242" xr:uid="{D51B67D7-F1F1-4E52-B0BB-D8110858937D}"/>
    <cellStyle name="Comma 2 9 2 2 2 8" xfId="40884" xr:uid="{F0E52C6D-6F44-460B-A3E5-6CE82EFCC632}"/>
    <cellStyle name="Comma 2 9 2 2 2 9" xfId="42096" xr:uid="{752D5FAC-633F-4154-83D8-B6FB74DC65D8}"/>
    <cellStyle name="Comma 2 9 2 2 3" xfId="7806" xr:uid="{C4624EC7-554C-4E48-B782-4B552B8ED8DE}"/>
    <cellStyle name="Comma 2 9 2 2 3 2" xfId="39421" xr:uid="{3CE67BD9-A654-4330-88FF-356E44F99913}"/>
    <cellStyle name="Comma 2 9 2 2 3 3" xfId="41277" xr:uid="{0E14815E-14B1-482B-B2F3-241B860D3D5A}"/>
    <cellStyle name="Comma 2 9 2 2 3 4" xfId="43098" xr:uid="{23356EAD-69BF-4BDF-B4BD-C56C1DB754FB}"/>
    <cellStyle name="Comma 2 9 2 2 3 5" xfId="45197" xr:uid="{86274464-3025-434E-8951-D2945CA36E0E}"/>
    <cellStyle name="Comma 2 9 2 2 3 6" xfId="20796" xr:uid="{20F8AE59-D14E-4D8D-9616-C9402932CF9D}"/>
    <cellStyle name="Comma 2 9 2 2 4" xfId="12319" xr:uid="{259B1827-6959-44D0-AE83-42DD345BEEC5}"/>
    <cellStyle name="Comma 2 9 2 2 4 2" xfId="20074" xr:uid="{86D1CD7F-2DF9-4228-8BFB-0D7CB209ADD4}"/>
    <cellStyle name="Comma 2 9 2 2 5" xfId="23921" xr:uid="{8CD67C18-C692-4843-A5F9-630AED7E9490}"/>
    <cellStyle name="Comma 2 9 2 2 6" xfId="38418" xr:uid="{5C06DFC5-BA0B-43C4-8EA2-942FAB218339}"/>
    <cellStyle name="Comma 2 9 2 2 7" xfId="38830" xr:uid="{6429C56F-5C77-4118-BEDF-68EB8974D156}"/>
    <cellStyle name="Comma 2 9 2 2 8" xfId="40241" xr:uid="{C98C999F-061B-40E5-A03B-7CCD44462AA1}"/>
    <cellStyle name="Comma 2 9 2 2 9" xfId="40883" xr:uid="{5C96043D-5E38-42EE-B549-65BA4BA4096D}"/>
    <cellStyle name="Comma 2 9 2 3" xfId="11146" xr:uid="{A4AEA6A5-50FB-42B3-A745-CBEA8F4BD2BD}"/>
    <cellStyle name="Comma 2 9 2 3 10" xfId="42738" xr:uid="{E073D8BD-A9BA-43E8-BE8B-FB73109C4663}"/>
    <cellStyle name="Comma 2 9 2 3 11" xfId="44905" xr:uid="{70CA97BF-0095-4511-AA47-08C3F7E6B793}"/>
    <cellStyle name="Comma 2 9 2 3 12" xfId="46936" xr:uid="{8E0DD65D-7D7F-45DF-BB29-5E6387ADD7BE}"/>
    <cellStyle name="Comma 2 9 2 3 13" xfId="49955" xr:uid="{57A6A7B9-76D6-479D-B797-A41B563D6DD0}"/>
    <cellStyle name="Comma 2 9 2 3 14" xfId="52983" xr:uid="{FDEDA415-DD7B-4B36-A097-269B9DEA49DE}"/>
    <cellStyle name="Comma 2 9 2 3 15" xfId="17091" xr:uid="{71330DED-5289-4101-9AC1-52EA9974439F}"/>
    <cellStyle name="Comma 2 9 2 3 16" xfId="15048" xr:uid="{C55298BB-8F27-499E-8573-AF5F35B834B2}"/>
    <cellStyle name="Comma 2 9 2 3 2" xfId="13742" xr:uid="{EB16676F-78E5-4CA0-A9EB-E80CDECFC669}"/>
    <cellStyle name="Comma 2 9 2 3 2 2" xfId="39652" xr:uid="{8D94402A-B0E1-42C9-9740-9A597F3CBB45}"/>
    <cellStyle name="Comma 2 9 2 3 2 3" xfId="41505" xr:uid="{70E28011-C03E-45F1-BBE1-15CF3FE9BD6F}"/>
    <cellStyle name="Comma 2 9 2 3 2 4" xfId="43329" xr:uid="{BC2D143B-B763-43A0-BF32-BD26512DE4B5}"/>
    <cellStyle name="Comma 2 9 2 3 2 5" xfId="45426" xr:uid="{8D4EA26B-CFF5-47CD-812B-8953BC7B8927}"/>
    <cellStyle name="Comma 2 9 2 3 2 6" xfId="48497" xr:uid="{49436D66-6196-4561-A570-6FF4B8786608}"/>
    <cellStyle name="Comma 2 9 2 3 2 7" xfId="51283" xr:uid="{1DB38B5C-898A-4870-BF58-FB3DB02499EF}"/>
    <cellStyle name="Comma 2 9 2 3 2 8" xfId="52984" xr:uid="{7D1E9247-2521-4F0B-BA15-CAA6BB9431C9}"/>
    <cellStyle name="Comma 2 9 2 3 2 9" xfId="21086" xr:uid="{DB2A8916-3BAC-4F62-9E6B-E84139A8E15D}"/>
    <cellStyle name="Comma 2 9 2 3 3" xfId="20305" xr:uid="{715E96F0-EA75-4842-98A3-A3F7A562629F}"/>
    <cellStyle name="Comma 2 9 2 3 4" xfId="23923" xr:uid="{12B119B3-3391-4412-A6A9-56BCE677CA9E}"/>
    <cellStyle name="Comma 2 9 2 3 5" xfId="38420" xr:uid="{BFB06453-7AAC-4455-A85C-211A2E763B29}"/>
    <cellStyle name="Comma 2 9 2 3 6" xfId="39061" xr:uid="{FBD31857-8512-4254-B448-58E45443AA40}"/>
    <cellStyle name="Comma 2 9 2 3 7" xfId="40243" xr:uid="{1C5DBE2B-25B2-40E1-8C0D-5009820372C3}"/>
    <cellStyle name="Comma 2 9 2 3 8" xfId="40885" xr:uid="{923D72DA-BEAB-4568-B8AA-020DC6995F72}"/>
    <cellStyle name="Comma 2 9 2 3 9" xfId="42097" xr:uid="{BB2A2AF3-0095-4815-8068-A64B0295CF3A}"/>
    <cellStyle name="Comma 2 9 2 4" xfId="9804" xr:uid="{C8F89D86-CC2F-4C88-8C0F-B1F9606D9842}"/>
    <cellStyle name="Comma 2 9 2 4 2" xfId="13110" xr:uid="{3E88C997-6603-43BA-97A2-F762FF17D990}"/>
    <cellStyle name="Comma 2 9 2 4 2 2" xfId="49114" xr:uid="{B1C750DD-936F-4632-803E-7C44CC9BBEC3}"/>
    <cellStyle name="Comma 2 9 2 4 2 3" xfId="51794" xr:uid="{8BE72FF4-75C6-4512-9DE0-2018F5A06E85}"/>
    <cellStyle name="Comma 2 9 2 4 2 4" xfId="52985" xr:uid="{503567FD-945E-4D76-B920-82E21B1607E7}"/>
    <cellStyle name="Comma 2 9 2 4 2 5" xfId="39269" xr:uid="{0C55638B-7F27-4833-9732-0F3AF00E5F1C}"/>
    <cellStyle name="Comma 2 9 2 4 3" xfId="41137" xr:uid="{0FEFCF29-F7BF-4EE3-B3F2-DFB3B92C306D}"/>
    <cellStyle name="Comma 2 9 2 4 4" xfId="42946" xr:uid="{4086F887-F45C-4B79-952B-D3845371E3FC}"/>
    <cellStyle name="Comma 2 9 2 4 5" xfId="45053" xr:uid="{E74D46BE-7B62-458F-AE2E-F6E124A60CC5}"/>
    <cellStyle name="Comma 2 9 2 4 6" xfId="47531" xr:uid="{3D5BA8A5-1D53-4C42-9B96-304B19A2C8B3}"/>
    <cellStyle name="Comma 2 9 2 4 7" xfId="50466" xr:uid="{D30B175B-4C5D-44D8-B800-5CA1B235F14C}"/>
    <cellStyle name="Comma 2 9 2 4 8" xfId="52986" xr:uid="{2ACB95A8-B599-45A0-AF88-C719472729FB}"/>
    <cellStyle name="Comma 2 9 2 4 9" xfId="20514" xr:uid="{D9C01793-59BF-4B8B-A4E9-8962581431C0}"/>
    <cellStyle name="Comma 2 9 2 5" xfId="7302" xr:uid="{6B1E8AF8-0589-4DB1-B0D4-49A14225F3E7}"/>
    <cellStyle name="Comma 2 9 2 5 2" xfId="47772" xr:uid="{A52541AF-291A-4F8F-A479-871EF445F6C7}"/>
    <cellStyle name="Comma 2 9 2 5 3" xfId="50671" xr:uid="{1C2FB05F-7D7E-49C7-80A0-500F8E88C279}"/>
    <cellStyle name="Comma 2 9 2 5 4" xfId="52987" xr:uid="{6205F293-DA07-4A4D-9948-B1CDEEE2A3FF}"/>
    <cellStyle name="Comma 2 9 2 5 5" xfId="19921" xr:uid="{40A3E96C-9265-459A-A258-2CBEC0BC38A2}"/>
    <cellStyle name="Comma 2 9 2 6" xfId="11825" xr:uid="{1A50E8F1-3748-4555-9BFE-18523AA5B60A}"/>
    <cellStyle name="Comma 2 9 2 6 2" xfId="23920" xr:uid="{9C108B05-1232-41D4-BA5E-2CD7746F24A8}"/>
    <cellStyle name="Comma 2 9 2 7" xfId="38417" xr:uid="{1A1E7CB4-1842-4CAD-B1E6-D9E5E82FEFBB}"/>
    <cellStyle name="Comma 2 9 2 8" xfId="38678" xr:uid="{3EFDB1AC-220F-4889-85EE-D9AEFC83A213}"/>
    <cellStyle name="Comma 2 9 2 9" xfId="40240" xr:uid="{B479DF59-17DB-4E64-902D-2C985FF10434}"/>
    <cellStyle name="Comma 2 9 20" xfId="49270" xr:uid="{6BE0418A-D934-40F2-B84C-062865B652A1}"/>
    <cellStyle name="Comma 2 9 21" xfId="52988" xr:uid="{26BB4BC7-EDFB-4B9F-B2DE-ECEA15611448}"/>
    <cellStyle name="Comma 2 9 22" xfId="15219" xr:uid="{A28CFD7A-17FF-4480-A163-29EAD344DD09}"/>
    <cellStyle name="Comma 2 9 23" xfId="13927" xr:uid="{FBECA07D-BF4F-4E5C-B48E-F7B360DD4BC7}"/>
    <cellStyle name="Comma 2 9 3" xfId="5528" xr:uid="{2855E883-42C1-4559-9A46-413FE1161C87}"/>
    <cellStyle name="Comma 2 9 3 10" xfId="40886" xr:uid="{AA624CDA-8775-4ED7-869C-393F0ECB7F59}"/>
    <cellStyle name="Comma 2 9 3 11" xfId="42098" xr:uid="{C7EA43F4-F3CE-4F7C-96B4-FFC0867706D6}"/>
    <cellStyle name="Comma 2 9 3 12" xfId="42383" xr:uid="{B439E0AD-F0A2-4C7F-8AB9-1C7DDD76EE23}"/>
    <cellStyle name="Comma 2 9 3 13" xfId="43817" xr:uid="{65B1C862-CA79-45E0-9981-E2D265742C21}"/>
    <cellStyle name="Comma 2 9 3 14" xfId="44352" xr:uid="{80A9E6B8-0C0E-4F04-B311-3450E5D7DB54}"/>
    <cellStyle name="Comma 2 9 3 15" xfId="46575" xr:uid="{D417CA7E-16B0-4CA0-BEFA-0E851045EEDA}"/>
    <cellStyle name="Comma 2 9 3 16" xfId="49608" xr:uid="{A3EE2A35-C9DC-44D3-8869-2998711CAB89}"/>
    <cellStyle name="Comma 2 9 3 17" xfId="52989" xr:uid="{61B7F400-6206-4963-B4B6-A1AECB3EF529}"/>
    <cellStyle name="Comma 2 9 3 18" xfId="15807" xr:uid="{E3D0C44B-9725-4E03-8237-5A0AA3890999}"/>
    <cellStyle name="Comma 2 9 3 19" xfId="14065" xr:uid="{8AD28E92-5D4E-42C5-A1A8-A4E7C6608B2B}"/>
    <cellStyle name="Comma 2 9 3 2" xfId="7630" xr:uid="{6A0205B6-44F7-44F4-A5E2-AC0E5692F32E}"/>
    <cellStyle name="Comma 2 9 3 2 10" xfId="42099" xr:uid="{A186636D-A44E-4CFD-84E4-049A57DC11AD}"/>
    <cellStyle name="Comma 2 9 3 2 11" xfId="42535" xr:uid="{F0A41E3F-D9C9-487E-BB95-C4C0B1AA0E24}"/>
    <cellStyle name="Comma 2 9 3 2 12" xfId="44702" xr:uid="{8AA2865B-5337-490D-9C89-50D53086C7E1}"/>
    <cellStyle name="Comma 2 9 3 2 13" xfId="47061" xr:uid="{4148B954-5401-4B9D-827E-96B6000A3585}"/>
    <cellStyle name="Comma 2 9 3 2 14" xfId="50062" xr:uid="{EC281962-74C0-4408-A6EA-9164C3155DEF}"/>
    <cellStyle name="Comma 2 9 3 2 15" xfId="52990" xr:uid="{9101CB59-2F9D-41BC-815D-2194353E2BE9}"/>
    <cellStyle name="Comma 2 9 3 2 16" xfId="16825" xr:uid="{0D1DFDC1-EAA8-4620-97CA-9331F745FCC9}"/>
    <cellStyle name="Comma 2 9 3 2 17" xfId="14557" xr:uid="{DE448894-0B95-4DE6-B4B4-806BE5F3D20C}"/>
    <cellStyle name="Comma 2 9 3 2 2" xfId="10122" xr:uid="{80FA262B-964E-4AF7-8223-FC8DA0236859}"/>
    <cellStyle name="Comma 2 9 3 2 2 10" xfId="42741" xr:uid="{B346DF75-9770-4C16-8F6A-901502FE2D33}"/>
    <cellStyle name="Comma 2 9 3 2 2 11" xfId="44908" xr:uid="{3F831D53-15A3-4620-9564-A38F6C840CB8}"/>
    <cellStyle name="Comma 2 9 3 2 2 12" xfId="48627" xr:uid="{9A9B84A4-B68E-4D65-B185-8EFFD4663B7A}"/>
    <cellStyle name="Comma 2 9 3 2 2 13" xfId="51390" xr:uid="{DF09BE07-5844-4BC8-8840-D353ADE36F1F}"/>
    <cellStyle name="Comma 2 9 3 2 2 14" xfId="52991" xr:uid="{DA518AAF-2CDB-4961-855A-59ED523484DD}"/>
    <cellStyle name="Comma 2 9 3 2 2 15" xfId="17094" xr:uid="{F3CC68A6-0123-4207-BDE0-D8E7251A16E4}"/>
    <cellStyle name="Comma 2 9 3 2 2 2" xfId="13428" xr:uid="{1F1BE728-5BBD-4764-B14C-815A08AE383D}"/>
    <cellStyle name="Comma 2 9 3 2 2 2 2" xfId="39655" xr:uid="{EDDCDD24-B99A-41ED-89AA-302081F0035F}"/>
    <cellStyle name="Comma 2 9 3 2 2 2 3" xfId="41508" xr:uid="{BE6D12BA-1E78-4AFD-8AE7-9DF8B2F4787D}"/>
    <cellStyle name="Comma 2 9 3 2 2 2 4" xfId="43332" xr:uid="{DC710DCB-0878-4C69-AAC7-95C327493B8E}"/>
    <cellStyle name="Comma 2 9 3 2 2 2 5" xfId="45429" xr:uid="{6565453F-D1F8-4A25-9E5A-2D5D6B854F18}"/>
    <cellStyle name="Comma 2 9 3 2 2 2 6" xfId="21089" xr:uid="{220DDE00-DEC5-4D30-8B46-4C3BD0681473}"/>
    <cellStyle name="Comma 2 9 3 2 2 3" xfId="20308" xr:uid="{0A0F1916-A824-4838-A933-7DC826A26D37}"/>
    <cellStyle name="Comma 2 9 3 2 2 4" xfId="23926" xr:uid="{4185FB7B-E4C2-4DB3-9FF9-EB2D70919F39}"/>
    <cellStyle name="Comma 2 9 3 2 2 5" xfId="38423" xr:uid="{024E96C0-B523-404D-9F97-4CDF38C89172}"/>
    <cellStyle name="Comma 2 9 3 2 2 6" xfId="39064" xr:uid="{C6D717C9-3029-4800-B3A5-06F02CCF1D55}"/>
    <cellStyle name="Comma 2 9 3 2 2 7" xfId="40246" xr:uid="{3DFF9FA9-96FC-4E31-AD72-6A30F152F3F0}"/>
    <cellStyle name="Comma 2 9 3 2 2 8" xfId="40888" xr:uid="{6C75650B-780F-4034-8BE4-B226FA6C1FC5}"/>
    <cellStyle name="Comma 2 9 3 2 2 9" xfId="42100" xr:uid="{C3257B4D-9D23-428C-8FF7-866F7D71E05A}"/>
    <cellStyle name="Comma 2 9 3 2 3" xfId="12143" xr:uid="{D708DE40-4F46-46AF-8348-2154EDA8AD2F}"/>
    <cellStyle name="Comma 2 9 3 2 3 2" xfId="39449" xr:uid="{D4778BD5-4F4C-483A-A496-DBF10DF15795}"/>
    <cellStyle name="Comma 2 9 3 2 3 3" xfId="41303" xr:uid="{8F1CF6FC-5AC8-4227-B4CC-38A00A7810BA}"/>
    <cellStyle name="Comma 2 9 3 2 3 4" xfId="43126" xr:uid="{4B21901D-0B5B-4F16-A997-F99A0BD933D0}"/>
    <cellStyle name="Comma 2 9 3 2 3 5" xfId="45223" xr:uid="{676FF1F7-3466-4A74-A7E2-A90EF44D0B97}"/>
    <cellStyle name="Comma 2 9 3 2 3 6" xfId="20827" xr:uid="{4DA00CF1-B8E5-40EF-AE61-A90322EF44F5}"/>
    <cellStyle name="Comma 2 9 3 2 4" xfId="20102" xr:uid="{A725A9F4-69BF-4900-B753-080A4FEC43E3}"/>
    <cellStyle name="Comma 2 9 3 2 5" xfId="23925" xr:uid="{D378A15E-33F0-493C-8E80-C42C65D99F86}"/>
    <cellStyle name="Comma 2 9 3 2 6" xfId="38422" xr:uid="{5C053E6B-C8FB-4707-BF8F-C118C8B4FE9E}"/>
    <cellStyle name="Comma 2 9 3 2 7" xfId="38858" xr:uid="{336C01F7-C3B6-4F39-B9D4-9A19D3EF361C}"/>
    <cellStyle name="Comma 2 9 3 2 8" xfId="40245" xr:uid="{8973E6CD-936A-4615-940E-73462D1698A2}"/>
    <cellStyle name="Comma 2 9 3 2 9" xfId="40887" xr:uid="{6F013FE3-D429-4C44-8288-24193B1CD26B}"/>
    <cellStyle name="Comma 2 9 3 3" xfId="9628" xr:uid="{624F0A8F-726E-449F-B5E0-F73B9197FFA7}"/>
    <cellStyle name="Comma 2 9 3 3 10" xfId="42740" xr:uid="{9E407929-AFB5-45BE-B26D-BCA6957519FD}"/>
    <cellStyle name="Comma 2 9 3 3 11" xfId="44907" xr:uid="{F93C0398-73DE-4412-8902-5DE72FCE89F4}"/>
    <cellStyle name="Comma 2 9 3 3 12" xfId="47366" xr:uid="{D4128804-B2F3-405D-8AC6-428C2713F759}"/>
    <cellStyle name="Comma 2 9 3 3 13" xfId="50326" xr:uid="{65B632E6-07EF-4B19-8A41-1C555FC7622E}"/>
    <cellStyle name="Comma 2 9 3 3 14" xfId="52992" xr:uid="{A4570493-9E89-4646-A134-37F5257476E0}"/>
    <cellStyle name="Comma 2 9 3 3 15" xfId="17093" xr:uid="{59471A35-DE91-4A67-86D9-031BB17FC48E}"/>
    <cellStyle name="Comma 2 9 3 3 2" xfId="12934" xr:uid="{A257D143-6DDC-4453-B384-5A393FD68E52}"/>
    <cellStyle name="Comma 2 9 3 3 2 2" xfId="39654" xr:uid="{2B433EFE-AE3B-42F3-A768-9F4D0FFA0E45}"/>
    <cellStyle name="Comma 2 9 3 3 2 3" xfId="41507" xr:uid="{4D8A2C51-0299-45AE-9757-F93679342A6E}"/>
    <cellStyle name="Comma 2 9 3 3 2 4" xfId="43331" xr:uid="{79FA713D-054F-4143-944F-9F6E3E9B4DD6}"/>
    <cellStyle name="Comma 2 9 3 3 2 5" xfId="45428" xr:uid="{E69C90DA-DC4E-49A0-B1E0-B4501B2A4640}"/>
    <cellStyle name="Comma 2 9 3 3 2 6" xfId="48942" xr:uid="{C9135DB9-40C2-48E1-9C0D-B6591FF637D4}"/>
    <cellStyle name="Comma 2 9 3 3 2 7" xfId="51654" xr:uid="{244847C7-278D-4F19-870F-AF150B66F14E}"/>
    <cellStyle name="Comma 2 9 3 3 2 8" xfId="52993" xr:uid="{57690DFC-B85C-42A0-836B-30B96D8564F9}"/>
    <cellStyle name="Comma 2 9 3 3 2 9" xfId="21088" xr:uid="{9C956C49-A1EB-41DC-A993-DBD75BE964C2}"/>
    <cellStyle name="Comma 2 9 3 3 3" xfId="20307" xr:uid="{0089A05C-4CB6-4C50-BDD6-05D3E2C6455C}"/>
    <cellStyle name="Comma 2 9 3 3 4" xfId="23927" xr:uid="{E6E3C169-5A51-43BE-BC80-6F8E0E9512F3}"/>
    <cellStyle name="Comma 2 9 3 3 5" xfId="38424" xr:uid="{EE42BB5C-7F88-4D48-9496-2BD739C85710}"/>
    <cellStyle name="Comma 2 9 3 3 6" xfId="39063" xr:uid="{FCED19FE-5042-4C87-883E-4E393DB4F416}"/>
    <cellStyle name="Comma 2 9 3 3 7" xfId="40247" xr:uid="{6B55133F-DC71-4859-A82A-3225B2A05BE9}"/>
    <cellStyle name="Comma 2 9 3 3 8" xfId="40889" xr:uid="{29554F99-0EB5-46B4-B939-ECA9D7DAFD32}"/>
    <cellStyle name="Comma 2 9 3 3 9" xfId="42101" xr:uid="{14AE11E8-1873-492F-89E7-2EECE2970DDB}"/>
    <cellStyle name="Comma 2 9 3 4" xfId="7124" xr:uid="{AA6636AD-A24A-47BC-BEA0-67D3B73320AD}"/>
    <cellStyle name="Comma 2 9 3 4 2" xfId="39297" xr:uid="{C160536E-7160-41CC-825B-32F96C9DCA3C}"/>
    <cellStyle name="Comma 2 9 3 4 3" xfId="41159" xr:uid="{EA5877C7-9197-40C1-BFAE-BCDABDB4FDAB}"/>
    <cellStyle name="Comma 2 9 3 4 4" xfId="42974" xr:uid="{F96E6C34-B1EC-45C1-BC18-4FFD94C282CA}"/>
    <cellStyle name="Comma 2 9 3 4 5" xfId="45079" xr:uid="{58D72E6B-09D1-48CA-A4F1-146ABB6B984E}"/>
    <cellStyle name="Comma 2 9 3 4 6" xfId="48087" xr:uid="{268E53A9-87D0-4E7E-A581-26D488C45BA7}"/>
    <cellStyle name="Comma 2 9 3 4 7" xfId="50936" xr:uid="{5E8F997B-07B7-430F-AC7A-DBD6941A9696}"/>
    <cellStyle name="Comma 2 9 3 4 8" xfId="52994" xr:uid="{D95D7137-33DE-4520-BBDD-14A55E2EA793}"/>
    <cellStyle name="Comma 2 9 3 4 9" xfId="20543" xr:uid="{EBBFF5E8-906D-4453-9E4F-259A4D404D31}"/>
    <cellStyle name="Comma 2 9 3 5" xfId="11649" xr:uid="{A557B497-435D-44F8-B331-96118B214BC7}"/>
    <cellStyle name="Comma 2 9 3 5 2" xfId="19950" xr:uid="{089A4902-5C80-40B5-A56F-D9E56D2BEEF3}"/>
    <cellStyle name="Comma 2 9 3 6" xfId="23924" xr:uid="{D65F2AAC-9F47-423D-9F69-22C29B77FB4D}"/>
    <cellStyle name="Comma 2 9 3 7" xfId="38421" xr:uid="{EB2A04E7-F487-4917-B99D-004ADA14D99D}"/>
    <cellStyle name="Comma 2 9 3 8" xfId="38706" xr:uid="{E7057F44-BE71-474C-9332-279016525FD5}"/>
    <cellStyle name="Comma 2 9 3 9" xfId="40244" xr:uid="{9CFD7319-D841-47C3-8514-D914D2C9B41E}"/>
    <cellStyle name="Comma 2 9 4" xfId="6518" xr:uid="{4CC55701-F694-4C01-BC80-DB9DF3B66AF3}"/>
    <cellStyle name="Comma 2 9 4 10" xfId="42102" xr:uid="{702C21A7-BE42-4393-8717-F3BA41B1ED21}"/>
    <cellStyle name="Comma 2 9 4 11" xfId="42468" xr:uid="{9B675DAC-53FF-439A-9A1F-F8D0E9BCE4E7}"/>
    <cellStyle name="Comma 2 9 4 12" xfId="44665" xr:uid="{5BF2C907-9A5F-40D2-82F4-9B9D4AAE0BD4}"/>
    <cellStyle name="Comma 2 9 4 13" xfId="46157" xr:uid="{7B0DC7DB-AA7C-4DD5-B7AE-22BB485D941C}"/>
    <cellStyle name="Comma 2 9 4 14" xfId="49493" xr:uid="{2C8DC0F9-9AD2-440A-AB39-71FA12F82A0A}"/>
    <cellStyle name="Comma 2 9 4 15" xfId="52995" xr:uid="{FB624908-D879-4DF5-9C3B-A8B3F0181E56}"/>
    <cellStyle name="Comma 2 9 4 16" xfId="16662" xr:uid="{31AABE85-1810-47EC-AD60-7A3D1096A1C2}"/>
    <cellStyle name="Comma 2 9 4 17" xfId="14419" xr:uid="{37D293CE-36D8-4A40-8C75-CE011E900714}"/>
    <cellStyle name="Comma 2 9 4 2" xfId="9490" xr:uid="{A5F37B19-3A8C-44BC-BB2D-C5F0BE375DDC}"/>
    <cellStyle name="Comma 2 9 4 2 10" xfId="42742" xr:uid="{503746A8-1762-472F-B1ED-5AA6F9BEA687}"/>
    <cellStyle name="Comma 2 9 4 2 11" xfId="44909" xr:uid="{3D43FFD7-69E0-4012-9F3C-221419449246}"/>
    <cellStyle name="Comma 2 9 4 2 12" xfId="47952" xr:uid="{23E237BA-E39E-4C03-8395-F00E976F6D7A}"/>
    <cellStyle name="Comma 2 9 4 2 13" xfId="50821" xr:uid="{E011088C-CB65-4597-B0CB-F129604A2AAE}"/>
    <cellStyle name="Comma 2 9 4 2 14" xfId="52996" xr:uid="{9A81372A-DB87-4DBA-AA8D-4894E5E4773A}"/>
    <cellStyle name="Comma 2 9 4 2 15" xfId="17095" xr:uid="{FF8C6025-110F-4D92-8C0D-7489DFCE9F2A}"/>
    <cellStyle name="Comma 2 9 4 2 2" xfId="12796" xr:uid="{45D8462E-FE02-461B-9690-FD3F819E73F3}"/>
    <cellStyle name="Comma 2 9 4 2 2 2" xfId="39656" xr:uid="{05176851-27B0-471E-94C7-7E8029DE774F}"/>
    <cellStyle name="Comma 2 9 4 2 2 3" xfId="41509" xr:uid="{7CDE2C2C-6842-49E0-AF92-7EE0646035FB}"/>
    <cellStyle name="Comma 2 9 4 2 2 4" xfId="43333" xr:uid="{960C17C7-30B0-49D1-94AA-ABCD87D25B38}"/>
    <cellStyle name="Comma 2 9 4 2 2 5" xfId="45430" xr:uid="{9B3B9C5A-5789-491F-AE68-6D0BAAFF9F6B}"/>
    <cellStyle name="Comma 2 9 4 2 2 6" xfId="21090" xr:uid="{482CDBC3-5634-4746-8B9A-55D66AB31E31}"/>
    <cellStyle name="Comma 2 9 4 2 3" xfId="20309" xr:uid="{BB120F84-DA20-489D-BE3A-4BB2F4F9F3C0}"/>
    <cellStyle name="Comma 2 9 4 2 4" xfId="23929" xr:uid="{CD3BDB48-9E5D-4162-B1EB-12A2DC2751D8}"/>
    <cellStyle name="Comma 2 9 4 2 5" xfId="38426" xr:uid="{A86AB18A-70C2-4E72-870D-823E699E3472}"/>
    <cellStyle name="Comma 2 9 4 2 6" xfId="39065" xr:uid="{387948CC-2BBE-406B-B352-A33A6FF71EEE}"/>
    <cellStyle name="Comma 2 9 4 2 7" xfId="40249" xr:uid="{2F057992-B031-4EEE-8016-51BF0DD1030A}"/>
    <cellStyle name="Comma 2 9 4 2 8" xfId="40891" xr:uid="{E03BAB8D-370F-4CC5-B721-5919550BF237}"/>
    <cellStyle name="Comma 2 9 4 2 9" xfId="42103" xr:uid="{6696088C-D2CA-48D4-8BFA-CEDBBF0F5DA8}"/>
    <cellStyle name="Comma 2 9 4 3" xfId="11511" xr:uid="{9D2D46B7-3A3C-4DBE-86FE-F77B4E8CA980}"/>
    <cellStyle name="Comma 2 9 4 3 2" xfId="39382" xr:uid="{32703E83-9441-4744-9C64-B271088C56C6}"/>
    <cellStyle name="Comma 2 9 4 3 3" xfId="41240" xr:uid="{B0A3FBCB-A007-44A8-A4FB-6F8804B0EA5B}"/>
    <cellStyle name="Comma 2 9 4 3 4" xfId="43059" xr:uid="{EF304513-9939-4CB4-9E1E-28F49AAC43F2}"/>
    <cellStyle name="Comma 2 9 4 3 5" xfId="45160" xr:uid="{03572363-94B4-4E4F-961C-E9C0B690E0D5}"/>
    <cellStyle name="Comma 2 9 4 3 6" xfId="20756" xr:uid="{E10F92FF-B990-4481-B4AE-0152DED8779D}"/>
    <cellStyle name="Comma 2 9 4 4" xfId="20035" xr:uid="{5B6CDBB7-9F44-4D7C-BE29-4018631D2088}"/>
    <cellStyle name="Comma 2 9 4 5" xfId="23928" xr:uid="{C10E1CDE-6636-4BAC-A3ED-2420351CB14F}"/>
    <cellStyle name="Comma 2 9 4 6" xfId="38425" xr:uid="{A82EC129-D718-4141-AB99-E626A3EC53D9}"/>
    <cellStyle name="Comma 2 9 4 7" xfId="38791" xr:uid="{0D3DDF2D-5B0F-4D10-B3E3-A444278B0DD6}"/>
    <cellStyle name="Comma 2 9 4 8" xfId="40248" xr:uid="{B56C9CD8-8B8E-46A7-81D5-F172BFA22A95}"/>
    <cellStyle name="Comma 2 9 4 9" xfId="40890" xr:uid="{0C44C34C-A5A3-4A61-B6D5-362838FBE248}"/>
    <cellStyle name="Comma 2 9 5" xfId="7492" xr:uid="{B6A1220B-10A6-41D0-8E68-D3EDCF6511AB}"/>
    <cellStyle name="Comma 2 9 5 10" xfId="42104" xr:uid="{D6F3C07D-D3AE-4D15-8621-ACD1E4D11601}"/>
    <cellStyle name="Comma 2 9 5 11" xfId="42410" xr:uid="{DE8553E2-9B42-4FA4-9355-A3F661CF7CC8}"/>
    <cellStyle name="Comma 2 9 5 12" xfId="44636" xr:uid="{032B7867-E8CC-496C-B8AF-404101571C28}"/>
    <cellStyle name="Comma 2 9 5 13" xfId="46832" xr:uid="{B2ED556B-EC3D-4A48-8E96-4218D96C508C}"/>
    <cellStyle name="Comma 2 9 5 14" xfId="49856" xr:uid="{74B2D376-A527-4AF7-93C3-B7863BC829FD}"/>
    <cellStyle name="Comma 2 9 5 15" xfId="52997" xr:uid="{C548515B-1563-48F9-9B07-D1776313468D}"/>
    <cellStyle name="Comma 2 9 5 16" xfId="16385" xr:uid="{35E2C9F8-6321-4931-B995-8C7EC9FCED39}"/>
    <cellStyle name="Comma 2 9 5 17" xfId="14872" xr:uid="{C6FA8EA9-92F5-4EE2-803A-386854DB93F0}"/>
    <cellStyle name="Comma 2 9 5 2" xfId="9984" xr:uid="{CBA0D948-4C39-406D-AAA1-F529EEB931DC}"/>
    <cellStyle name="Comma 2 9 5 2 10" xfId="42743" xr:uid="{EBC565BE-A6C8-495E-A220-AC55839DBC60}"/>
    <cellStyle name="Comma 2 9 5 2 11" xfId="44910" xr:uid="{681640F5-6AC1-4814-9971-1B8AB38083EA}"/>
    <cellStyle name="Comma 2 9 5 2 12" xfId="48383" xr:uid="{D2AD11FB-0D4B-4E4B-BFDE-2EB644CF0D63}"/>
    <cellStyle name="Comma 2 9 5 2 13" xfId="51184" xr:uid="{42BF0155-A882-468E-A7FC-4B7E1CE90810}"/>
    <cellStyle name="Comma 2 9 5 2 14" xfId="52998" xr:uid="{DA36B28A-DD93-4B2B-9DDD-B074812A2B7C}"/>
    <cellStyle name="Comma 2 9 5 2 15" xfId="17096" xr:uid="{DDDD712E-F45D-4FE8-95EF-034D69C5F6C1}"/>
    <cellStyle name="Comma 2 9 5 2 2" xfId="13290" xr:uid="{501CCF68-0941-4337-9DBF-1E186119F36C}"/>
    <cellStyle name="Comma 2 9 5 2 2 2" xfId="39657" xr:uid="{027376BB-97A3-4D33-9C7D-638C15AAF48E}"/>
    <cellStyle name="Comma 2 9 5 2 2 3" xfId="41510" xr:uid="{F53ADFAD-DBF8-4368-BAA1-A3F4FD63C184}"/>
    <cellStyle name="Comma 2 9 5 2 2 4" xfId="43334" xr:uid="{6958714F-9925-436D-9E76-83E8D721EE40}"/>
    <cellStyle name="Comma 2 9 5 2 2 5" xfId="45431" xr:uid="{036B0B3E-4232-4E31-912F-5BFF8DCBA0AF}"/>
    <cellStyle name="Comma 2 9 5 2 2 6" xfId="21091" xr:uid="{E877A04B-9369-4F19-BCFA-64E2C6E09979}"/>
    <cellStyle name="Comma 2 9 5 2 3" xfId="20310" xr:uid="{40F5894A-87F7-496E-9860-21C31C7F6564}"/>
    <cellStyle name="Comma 2 9 5 2 4" xfId="23931" xr:uid="{14630AE1-CCC7-4CDC-B5DA-68891385A42C}"/>
    <cellStyle name="Comma 2 9 5 2 5" xfId="38428" xr:uid="{8C66E31D-0247-4205-A20A-DFF21BDDBB39}"/>
    <cellStyle name="Comma 2 9 5 2 6" xfId="39066" xr:uid="{17F58DCD-135E-4CA1-B944-A6690C7FA2CE}"/>
    <cellStyle name="Comma 2 9 5 2 7" xfId="40251" xr:uid="{D2E140A0-0507-40A4-8DAD-19A705BCF0E5}"/>
    <cellStyle name="Comma 2 9 5 2 8" xfId="40893" xr:uid="{33255023-E84D-4953-8D72-6D559EDD83F7}"/>
    <cellStyle name="Comma 2 9 5 2 9" xfId="42105" xr:uid="{5D7AEAF2-BC34-4B0E-AD53-03847BB5E436}"/>
    <cellStyle name="Comma 2 9 5 3" xfId="12005" xr:uid="{8C915F74-998A-4DB3-A783-01681FB89290}"/>
    <cellStyle name="Comma 2 9 5 3 2" xfId="39324" xr:uid="{2725D297-A12B-4F06-9E45-33A83F5D957F}"/>
    <cellStyle name="Comma 2 9 5 3 3" xfId="41186" xr:uid="{6CD2A88A-C68F-4CD7-8477-F0A4A6AB2E61}"/>
    <cellStyle name="Comma 2 9 5 3 4" xfId="43001" xr:uid="{232C5FF0-3D18-4D32-A6A7-ACD243694D68}"/>
    <cellStyle name="Comma 2 9 5 3 5" xfId="45106" xr:uid="{A3C185E6-F536-4106-979D-6B775DE9225A}"/>
    <cellStyle name="Comma 2 9 5 3 6" xfId="20630" xr:uid="{01EE9786-C587-442F-ADB4-2361A03BA41A}"/>
    <cellStyle name="Comma 2 9 5 4" xfId="19977" xr:uid="{643BCF6D-F6BC-44FF-9E14-7DCADB1B7039}"/>
    <cellStyle name="Comma 2 9 5 5" xfId="23930" xr:uid="{8DA70474-A37C-4419-99DC-104C3F6B25B8}"/>
    <cellStyle name="Comma 2 9 5 6" xfId="38427" xr:uid="{BCF2DBF8-15A9-45B2-A640-16ACDE298F22}"/>
    <cellStyle name="Comma 2 9 5 7" xfId="38733" xr:uid="{F1ABBCA3-9A62-4F6C-83F8-6B55E08EB787}"/>
    <cellStyle name="Comma 2 9 5 8" xfId="40250" xr:uid="{464A4F43-1577-4FD5-ADF6-392A6D4B4571}"/>
    <cellStyle name="Comma 2 9 5 9" xfId="40892" xr:uid="{CF70AE63-2773-4F58-95C6-364B7D7A4CF3}"/>
    <cellStyle name="Comma 2 9 6" xfId="8158" xr:uid="{E1110AEA-F8F3-4739-B1FE-CFB93F5A76E2}"/>
    <cellStyle name="Comma 2 9 6 10" xfId="42737" xr:uid="{DFC5AAA0-FB10-4CD8-86ED-7F736312F034}"/>
    <cellStyle name="Comma 2 9 6 11" xfId="44904" xr:uid="{9355BB56-CE83-4E37-B505-967D127F4323}"/>
    <cellStyle name="Comma 2 9 6 12" xfId="47233" xr:uid="{6677DA66-AAEC-4891-A802-205D66767F04}"/>
    <cellStyle name="Comma 2 9 6 13" xfId="50211" xr:uid="{37C7C68F-87CA-4BD3-BE4A-36F26F40CB14}"/>
    <cellStyle name="Comma 2 9 6 14" xfId="52999" xr:uid="{E6230B72-9849-44C0-B73A-BE90EA66A0C9}"/>
    <cellStyle name="Comma 2 9 6 15" xfId="17090" xr:uid="{9BEB67C2-4C3D-4B01-9947-582EEF41C68A}"/>
    <cellStyle name="Comma 2 9 6 2" xfId="12614" xr:uid="{4B0D8B37-8C54-47C0-99CA-907A5861094A}"/>
    <cellStyle name="Comma 2 9 6 2 2" xfId="39651" xr:uid="{A38A6905-0E64-49AC-A02A-BA72FC55E312}"/>
    <cellStyle name="Comma 2 9 6 2 3" xfId="41504" xr:uid="{0DC24C31-1BC3-4644-955A-3E1FD2061B27}"/>
    <cellStyle name="Comma 2 9 6 2 4" xfId="43328" xr:uid="{BFCCDCFA-00F0-43BD-B6CF-C5272B51EA1F}"/>
    <cellStyle name="Comma 2 9 6 2 5" xfId="45425" xr:uid="{6243797B-9910-4597-9B66-58176169C62E}"/>
    <cellStyle name="Comma 2 9 6 2 6" xfId="48804" xr:uid="{4D9CD1CB-BB06-4698-9E44-589F4FE333A0}"/>
    <cellStyle name="Comma 2 9 6 2 7" xfId="51539" xr:uid="{9DA365FA-5E77-41FB-A932-7B58BF8ADEAB}"/>
    <cellStyle name="Comma 2 9 6 2 8" xfId="53000" xr:uid="{F0EFAA15-8B8B-460A-9957-5CE9B2784BB2}"/>
    <cellStyle name="Comma 2 9 6 2 9" xfId="21085" xr:uid="{77229329-FABA-4CE1-991B-26D9A5B30A6F}"/>
    <cellStyle name="Comma 2 9 6 3" xfId="20304" xr:uid="{A289FD37-F3F0-41C4-9C3E-C1E1FAA9D917}"/>
    <cellStyle name="Comma 2 9 6 4" xfId="23932" xr:uid="{0A6E7F22-1462-4A56-8F71-7E7B3832484C}"/>
    <cellStyle name="Comma 2 9 6 5" xfId="38429" xr:uid="{E4995446-7968-4781-8E8B-DB19BABDFFD0}"/>
    <cellStyle name="Comma 2 9 6 6" xfId="39060" xr:uid="{D1D007E3-A862-4FD8-83F7-718AB313F6D8}"/>
    <cellStyle name="Comma 2 9 6 7" xfId="40252" xr:uid="{88AF87B1-D4BE-48BE-BD39-CD0ACDBED337}"/>
    <cellStyle name="Comma 2 9 6 8" xfId="40894" xr:uid="{36B8523A-D6FC-4551-8FEA-9863568E1786}"/>
    <cellStyle name="Comma 2 9 6 9" xfId="42106" xr:uid="{C4DFD77A-5E07-4400-BCBF-E62E5CD3D1CA}"/>
    <cellStyle name="Comma 2 9 7" xfId="7945" xr:uid="{822B437D-A1AF-45C1-BBF7-E5C335714C25}"/>
    <cellStyle name="Comma 2 9 7 10" xfId="42838" xr:uid="{2317C93F-7312-40D8-BF5C-53DD15B8E640}"/>
    <cellStyle name="Comma 2 9 7 11" xfId="44965" xr:uid="{34A5BD93-2B71-4904-BE28-ADC5E87A48A7}"/>
    <cellStyle name="Comma 2 9 7 12" xfId="47690" xr:uid="{83D87821-16A0-42F2-8F5E-626F92A65F7B}"/>
    <cellStyle name="Comma 2 9 7 13" xfId="50598" xr:uid="{18065C3F-97E1-4805-A4C9-FFE4EE7DF455}"/>
    <cellStyle name="Comma 2 9 7 14" xfId="53001" xr:uid="{2617069D-F160-4B25-8198-FC52470E6C08}"/>
    <cellStyle name="Comma 2 9 7 15" xfId="19744" xr:uid="{768C30A3-69C5-4C08-8A04-4E90898F8D8E}"/>
    <cellStyle name="Comma 2 9 7 2" xfId="12458" xr:uid="{0D6846CF-1832-4A6A-8E43-4CCF57BA6146}"/>
    <cellStyle name="Comma 2 9 7 2 2" xfId="39752" xr:uid="{70E63FD3-B1FF-4EC6-AC80-15BBDBB7A396}"/>
    <cellStyle name="Comma 2 9 7 2 3" xfId="41605" xr:uid="{8FAB4034-B399-4D46-9FC0-ED0F87F4D4B0}"/>
    <cellStyle name="Comma 2 9 7 2 4" xfId="43429" xr:uid="{0043D397-1B2E-4E1D-8431-810F0D9F5E7D}"/>
    <cellStyle name="Comma 2 9 7 2 5" xfId="45508" xr:uid="{2C5680C6-44FE-4681-A930-D2F603519E69}"/>
    <cellStyle name="Comma 2 9 7 2 6" xfId="23361" xr:uid="{FD287AF9-B1AA-4C53-B5FC-ABAF83776CB3}"/>
    <cellStyle name="Comma 2 9 7 3" xfId="20405" xr:uid="{0BE5F771-8650-4E6F-9AC0-EEAC9F1F38FC}"/>
    <cellStyle name="Comma 2 9 7 4" xfId="23933" xr:uid="{6ABA6878-4370-49BE-97EC-1088EBE5E5B9}"/>
    <cellStyle name="Comma 2 9 7 5" xfId="38430" xr:uid="{94724423-7DE5-4811-B2E0-CBC57F42AC81}"/>
    <cellStyle name="Comma 2 9 7 6" xfId="39161" xr:uid="{88D83B80-D822-4AB2-A09C-7E47CF3CFA58}"/>
    <cellStyle name="Comma 2 9 7 7" xfId="40253" xr:uid="{0B58DFCB-3622-4FE0-9F54-E478A0166922}"/>
    <cellStyle name="Comma 2 9 7 8" xfId="40895" xr:uid="{B1525743-490C-4EB1-8702-F1F22C90ACFB}"/>
    <cellStyle name="Comma 2 9 7 9" xfId="42107" xr:uid="{70F75D58-ABFE-441D-A1EF-DC695A6006B4}"/>
    <cellStyle name="Comma 2 9 8" xfId="5842" xr:uid="{5A2CC70B-939A-469D-A392-7EE5BDCD1DB0}"/>
    <cellStyle name="Comma 2 9 8 2" xfId="39231" xr:uid="{8D91937B-1A3B-47EE-A78C-6C5DB5660A96}"/>
    <cellStyle name="Comma 2 9 8 3" xfId="41100" xr:uid="{F07068D7-D0ED-47FF-89EF-43F9655A4953}"/>
    <cellStyle name="Comma 2 9 8 4" xfId="42908" xr:uid="{F21911A0-5972-4D0E-9D01-706FE7BC61C1}"/>
    <cellStyle name="Comma 2 9 8 5" xfId="45015" xr:uid="{941ACEB7-23C3-4A39-9444-8D24065B0BB8}"/>
    <cellStyle name="Comma 2 9 8 6" xfId="20476" xr:uid="{2DE1AB89-114B-4C68-8BDB-B495C455F74C}"/>
    <cellStyle name="Comma 2 9 9" xfId="11330" xr:uid="{319EBFC7-0B14-4784-BABF-BFDC5E98C26C}"/>
    <cellStyle name="Comma 2 9 9 2" xfId="19882" xr:uid="{42074B63-5B90-43E5-9F8B-ADED7CCE79E9}"/>
    <cellStyle name="Comma 20" xfId="7403" xr:uid="{BF922A09-77CB-4909-9E6A-42AD47F96364}"/>
    <cellStyle name="Comma 20 2" xfId="9897" xr:uid="{0646B3D4-C523-4FAA-B456-3B724B1D6B32}"/>
    <cellStyle name="Comma 20 2 2" xfId="13203" xr:uid="{99BCC34F-9A14-433A-A4B4-0545178A7828}"/>
    <cellStyle name="Comma 20 2 2 2" xfId="51466" xr:uid="{38B3062F-5175-4D18-8E0C-0F1D8810767D}"/>
    <cellStyle name="Comma 20 2 3" xfId="53002" xr:uid="{C68F4C22-650A-448F-B6FB-CD37A543D4C4}"/>
    <cellStyle name="Comma 20 2 4" xfId="48721" xr:uid="{D80B7D34-A1E7-4363-9C96-049AC94DAB7F}"/>
    <cellStyle name="Comma 20 3" xfId="11918" xr:uid="{9CD251DA-2360-48F7-B7C1-BE83EE9C89FA}"/>
    <cellStyle name="Comma 20 3 2" xfId="50138" xr:uid="{068A62A6-7989-4FAD-B68B-7482946780ED}"/>
    <cellStyle name="Comma 20 4" xfId="53003" xr:uid="{139E8C85-D228-40D2-B141-6B98498DB21B}"/>
    <cellStyle name="Comma 20 5" xfId="47154" xr:uid="{8F56DD03-B5F2-4978-AD53-E1F1C40E597E}"/>
    <cellStyle name="Comma 21" xfId="13842" xr:uid="{62835A9B-D79A-4FE6-A3BF-9D2FEE300670}"/>
    <cellStyle name="Comma 22" xfId="54523" xr:uid="{30AA8CBD-DD3B-445A-9525-C033B47A2A0B}"/>
    <cellStyle name="Comma 3" xfId="1772" xr:uid="{A017C9F0-68CD-45FF-8AC5-A41B7AA272F6}"/>
    <cellStyle name="Comma 3 10" xfId="5843" xr:uid="{EE53F224-6ECD-40E2-94A9-243E92072DBE}"/>
    <cellStyle name="Comma 3 10 2" xfId="23934" xr:uid="{6F5FCED3-013D-418E-8BE1-E17BAE29E1DC}"/>
    <cellStyle name="Comma 3 11" xfId="11331" xr:uid="{FB409807-F29F-44DF-9D43-AA48506A94EF}"/>
    <cellStyle name="Comma 3 11 2" xfId="38431" xr:uid="{E6AC36A0-5AF1-4A77-850E-58CF2892A29E}"/>
    <cellStyle name="Comma 3 12" xfId="38641" xr:uid="{ED695AD0-47C2-40D4-8CDB-FDD462282558}"/>
    <cellStyle name="Comma 3 13" xfId="40254" xr:uid="{99ECFB0E-6CF4-433A-8599-4D736DC545A0}"/>
    <cellStyle name="Comma 3 14" xfId="40896" xr:uid="{F050B9D5-9275-4076-A025-947F6ED92AE2}"/>
    <cellStyle name="Comma 3 15" xfId="42108" xr:uid="{EFBFD224-A33B-4CA2-8D57-40A0B4D9D7C2}"/>
    <cellStyle name="Comma 3 16" xfId="42318" xr:uid="{F14FB562-A8AA-40AE-8B60-279961CC2C0C}"/>
    <cellStyle name="Comma 3 17" xfId="43545" xr:uid="{851BB615-1D08-4712-A4BE-D7B5F0FE9929}"/>
    <cellStyle name="Comma 3 18" xfId="44408" xr:uid="{DCDCCA7B-E83B-43AA-8077-E6520F46CD10}"/>
    <cellStyle name="Comma 3 19" xfId="45642" xr:uid="{C49B590A-FC1C-4A45-A469-C8459F851BDF}"/>
    <cellStyle name="Comma 3 2" xfId="1773" xr:uid="{D14707F3-29B1-43BB-9B40-07F921962189}"/>
    <cellStyle name="Comma 3 2 10" xfId="7947" xr:uid="{7F54BAA7-B0DE-4D81-81A2-B5901B559313}"/>
    <cellStyle name="Comma 3 2 10 2" xfId="12460" xr:uid="{1FF4428F-E004-49B9-B50A-9FD7AAF05834}"/>
    <cellStyle name="Comma 3 2 10 2 2" xfId="47630" xr:uid="{2FB32019-0343-4210-A3DD-79CB96350ECA}"/>
    <cellStyle name="Comma 3 2 10 3" xfId="50543" xr:uid="{E23731E4-4539-4684-AF42-1CDA9EB03637}"/>
    <cellStyle name="Comma 3 2 10 4" xfId="53004" xr:uid="{BB88F488-04B0-4C8B-ADD4-BF452A115DF6}"/>
    <cellStyle name="Comma 3 2 10 5" xfId="38432" xr:uid="{80127999-93F2-4F3D-BDFD-AEB19304D133}"/>
    <cellStyle name="Comma 3 2 11" xfId="5844" xr:uid="{608F54AF-8E2F-4CA6-9C8E-5AC6AB12389E}"/>
    <cellStyle name="Comma 3 2 11 2" xfId="38679" xr:uid="{5593B775-B729-45E1-9827-5D0F2C93C3D4}"/>
    <cellStyle name="Comma 3 2 12" xfId="11332" xr:uid="{B3ADCE2A-9C50-4BE1-A9D5-77A9EEBC8860}"/>
    <cellStyle name="Comma 3 2 12 2" xfId="40255" xr:uid="{1939B758-FB2D-42F0-AEC1-A0D498AAD6BF}"/>
    <cellStyle name="Comma 3 2 13" xfId="40897" xr:uid="{0739A104-63EC-4E7E-A88B-0F4E8BE366DD}"/>
    <cellStyle name="Comma 3 2 14" xfId="42109" xr:uid="{2899A29D-D289-4CCE-ABB3-7A5D9122E04E}"/>
    <cellStyle name="Comma 3 2 15" xfId="42356" xr:uid="{4BC8DA1B-EE2B-43B9-91D6-F77143B155CD}"/>
    <cellStyle name="Comma 3 2 16" xfId="43479" xr:uid="{7D5744D6-3905-4A53-B1EA-E53A382BEFE3}"/>
    <cellStyle name="Comma 3 2 17" xfId="44409" xr:uid="{428BF3CB-F46C-44E2-99A4-36C3CCC675AB}"/>
    <cellStyle name="Comma 3 2 18" xfId="45585" xr:uid="{E2276C04-75C7-4FBF-8907-A7FC2CDBAB40}"/>
    <cellStyle name="Comma 3 2 19" xfId="49215" xr:uid="{CBE9B4A3-DBD1-49D6-9737-F8DAA4784690}"/>
    <cellStyle name="Comma 3 2 2" xfId="1774" xr:uid="{EA9B6808-A7F2-4D3A-B749-0D135399024F}"/>
    <cellStyle name="Comma 3 2 2 10" xfId="42110" xr:uid="{8B121791-CF7B-493E-B1D3-B30BEFD013EC}"/>
    <cellStyle name="Comma 3 2 2 11" xfId="42508" xr:uid="{083170AE-A462-4417-BE5C-9E6C2A42AC81}"/>
    <cellStyle name="Comma 3 2 2 12" xfId="43547" xr:uid="{CB228C04-A362-4042-8AE3-E6D79EA5EB73}"/>
    <cellStyle name="Comma 3 2 2 13" xfId="44410" xr:uid="{783A7E85-4896-410D-BB15-374F8B212EC6}"/>
    <cellStyle name="Comma 3 2 2 14" xfId="45643" xr:uid="{5E94564A-CC1C-40DE-B191-EBDF950CB14F}"/>
    <cellStyle name="Comma 3 2 2 15" xfId="49272" xr:uid="{5A2A84DD-22D5-4674-B787-7FC89357B19F}"/>
    <cellStyle name="Comma 3 2 2 16" xfId="53005" xr:uid="{CA651185-9FF5-4DBA-927E-33E178265BBD}"/>
    <cellStyle name="Comma 3 2 2 17" xfId="16771" xr:uid="{A60DA41D-1F94-4874-8060-FA05430597E0}"/>
    <cellStyle name="Comma 3 2 2 18" xfId="13930" xr:uid="{030E71F1-C6FF-470D-B5F4-8E96A42D71C1}"/>
    <cellStyle name="Comma 3 2 2 2" xfId="4450" xr:uid="{60AC6602-55FB-4612-B7A1-6C2B163C420E}"/>
    <cellStyle name="Comma 3 2 2 2 10" xfId="42745" xr:uid="{D92D2177-EA1F-4B68-91C9-2B0B6B2FAFB3}"/>
    <cellStyle name="Comma 3 2 2 2 11" xfId="44251" xr:uid="{865B8434-E922-43AE-A39C-6D69AB84F8A2}"/>
    <cellStyle name="Comma 3 2 2 2 12" xfId="44551" xr:uid="{9479C185-57B7-4F8B-B367-D3C9F4F2C2EC}"/>
    <cellStyle name="Comma 3 2 2 2 13" xfId="45766" xr:uid="{625B87CC-2420-48C7-AFF2-300FB17DBC07}"/>
    <cellStyle name="Comma 3 2 2 2 14" xfId="49394" xr:uid="{8D7A1993-6EB6-44FA-9833-B96E0D91183E}"/>
    <cellStyle name="Comma 3 2 2 2 15" xfId="53006" xr:uid="{980D9FC1-2411-48AE-82BA-6DB4538B3D41}"/>
    <cellStyle name="Comma 3 2 2 2 16" xfId="17098" xr:uid="{1E7A8EE3-4904-471F-8394-9CA1982880C9}"/>
    <cellStyle name="Comma 3 2 2 2 17" xfId="14244" xr:uid="{5E890EEB-CB9C-4E87-ADE6-EAB989923D30}"/>
    <cellStyle name="Comma 3 2 2 2 2" xfId="5707" xr:uid="{344EE566-8477-4826-996A-EC9BFDDA19C6}"/>
    <cellStyle name="Comma 3 2 2 2 2 10" xfId="14736" xr:uid="{F4C65302-9487-4DE7-AEF3-8F0D492BCD1C}"/>
    <cellStyle name="Comma 3 2 2 2 2 2" xfId="10301" xr:uid="{2A463712-9C06-4774-876A-D3819B7B79A3}"/>
    <cellStyle name="Comma 3 2 2 2 2 2 2" xfId="13607" xr:uid="{399C16FD-5090-492F-AEA1-83EE46E2C842}"/>
    <cellStyle name="Comma 3 2 2 2 2 2 2 2" xfId="48261" xr:uid="{DDEBE760-8485-42EF-A762-07F598778BD8}"/>
    <cellStyle name="Comma 3 2 2 2 2 2 3" xfId="51079" xr:uid="{3A924155-1B32-42A3-8EF8-59C233B5B13C}"/>
    <cellStyle name="Comma 3 2 2 2 2 2 4" xfId="53007" xr:uid="{F6330544-F230-4BCF-9ECD-C3EBA3869545}"/>
    <cellStyle name="Comma 3 2 2 2 2 2 5" xfId="39659" xr:uid="{C169B57F-8CA2-42FC-82CD-A5E30D1068BA}"/>
    <cellStyle name="Comma 3 2 2 2 2 3" xfId="7809" xr:uid="{FB2AE5E3-7289-418B-8E32-BB228596857A}"/>
    <cellStyle name="Comma 3 2 2 2 2 3 2" xfId="41512" xr:uid="{15913178-23F3-4A31-BCC3-5B2A4679266C}"/>
    <cellStyle name="Comma 3 2 2 2 2 4" xfId="12322" xr:uid="{70AA8512-9A81-449D-8318-3AD451BF23D5}"/>
    <cellStyle name="Comma 3 2 2 2 2 4 2" xfId="43336" xr:uid="{76BC98BC-0D96-4959-AF07-0CB8A6340516}"/>
    <cellStyle name="Comma 3 2 2 2 2 5" xfId="45433" xr:uid="{E553E8D7-3347-4093-92E2-507BBD0D3510}"/>
    <cellStyle name="Comma 3 2 2 2 2 6" xfId="46719" xr:uid="{B4E364CC-F992-45EF-A452-A818C0DDECF0}"/>
    <cellStyle name="Comma 3 2 2 2 2 7" xfId="49751" xr:uid="{067F9D78-EFE1-4325-93B4-101FBB2D5BF1}"/>
    <cellStyle name="Comma 3 2 2 2 2 8" xfId="53008" xr:uid="{36B83CF5-FC28-4D7A-BF7C-785AA774F636}"/>
    <cellStyle name="Comma 3 2 2 2 2 9" xfId="21093" xr:uid="{331E5E24-FA02-464F-A8CC-2E1832D7647B}"/>
    <cellStyle name="Comma 3 2 2 2 3" xfId="11228" xr:uid="{F773C752-E610-4C4E-A0E5-3E62427597A5}"/>
    <cellStyle name="Comma 3 2 2 2 3 2" xfId="13791" xr:uid="{4F114F43-5A5C-465D-8F21-F4979A48CBF5}"/>
    <cellStyle name="Comma 3 2 2 2 3 2 2" xfId="51425" xr:uid="{BCF5AF8D-1546-417C-9211-4AF5E24B0462}"/>
    <cellStyle name="Comma 3 2 2 2 3 2 3" xfId="53009" xr:uid="{B3137A0E-5792-4914-BBAB-DA03E85793CB}"/>
    <cellStyle name="Comma 3 2 2 2 3 2 4" xfId="48670" xr:uid="{4CF87B6E-934E-4D4B-ABA7-DAA30A4403D4}"/>
    <cellStyle name="Comma 3 2 2 2 3 3" xfId="47107" xr:uid="{728D41EF-D625-4C82-9700-11CA1B54DA01}"/>
    <cellStyle name="Comma 3 2 2 2 3 4" xfId="50097" xr:uid="{3AEC6B80-7B40-48A9-AB7B-3CBE378D188B}"/>
    <cellStyle name="Comma 3 2 2 2 3 5" xfId="53010" xr:uid="{FCDA67AF-F2E9-4759-8CCC-47DA38EAE765}"/>
    <cellStyle name="Comma 3 2 2 2 3 6" xfId="20312" xr:uid="{4DDB4A4F-AFC5-440B-B916-13438A710269}"/>
    <cellStyle name="Comma 3 2 2 2 3 7" xfId="15051" xr:uid="{8A0264DC-E112-4114-B318-898070546B89}"/>
    <cellStyle name="Comma 3 2 2 2 4" xfId="9807" xr:uid="{0367D0E5-BA7D-45F8-988B-819AAAAD2373}"/>
    <cellStyle name="Comma 3 2 2 2 4 2" xfId="13113" xr:uid="{AB1F837B-6742-4261-B11A-47110E3CA49A}"/>
    <cellStyle name="Comma 3 2 2 2 4 2 2" xfId="51797" xr:uid="{8E672E84-8B21-48BA-AC3D-D95874C20E06}"/>
    <cellStyle name="Comma 3 2 2 2 4 2 3" xfId="53011" xr:uid="{72DD6003-6E75-46F8-B2C0-BC363EDA9B52}"/>
    <cellStyle name="Comma 3 2 2 2 4 2 4" xfId="49117" xr:uid="{CE13C4CC-CBA7-4C04-A21A-8B2938B526D8}"/>
    <cellStyle name="Comma 3 2 2 2 4 3" xfId="47534" xr:uid="{0F526316-DB67-447C-84C0-D72EB662D14A}"/>
    <cellStyle name="Comma 3 2 2 2 4 4" xfId="50469" xr:uid="{2F9C2418-60E6-4C78-B186-619C871AFBDB}"/>
    <cellStyle name="Comma 3 2 2 2 4 5" xfId="53012" xr:uid="{037DD35D-7A54-46D5-9B34-8960173C1314}"/>
    <cellStyle name="Comma 3 2 2 2 4 6" xfId="23937" xr:uid="{07948232-C2A3-46FB-8A50-61425131E35A}"/>
    <cellStyle name="Comma 3 2 2 2 5" xfId="7305" xr:uid="{5DCDFE9E-5183-4B46-9FE4-4D499DE9D8FB}"/>
    <cellStyle name="Comma 3 2 2 2 5 2" xfId="47834" xr:uid="{3B2F442E-DDA9-4D15-8FDD-3B4F75FFE037}"/>
    <cellStyle name="Comma 3 2 2 2 5 3" xfId="50722" xr:uid="{53C63748-42C9-44E1-8944-50AE6FD52137}"/>
    <cellStyle name="Comma 3 2 2 2 5 4" xfId="53013" xr:uid="{523AD1E7-E3A2-4459-86CA-7FB3FEB01231}"/>
    <cellStyle name="Comma 3 2 2 2 5 5" xfId="38434" xr:uid="{29B9CF1B-BABC-419F-BC84-361E6CDD9304}"/>
    <cellStyle name="Comma 3 2 2 2 6" xfId="11828" xr:uid="{8AFDBABD-C8C3-4BB5-811C-59B200DA9F9E}"/>
    <cellStyle name="Comma 3 2 2 2 6 2" xfId="39068" xr:uid="{38141EFF-6C2C-437D-B952-79CECE7427E9}"/>
    <cellStyle name="Comma 3 2 2 2 7" xfId="40257" xr:uid="{44D9C45F-19DB-4A01-A20F-0F7188B7920A}"/>
    <cellStyle name="Comma 3 2 2 2 8" xfId="40899" xr:uid="{29661E69-91A8-4F39-A7A1-6262E6DA421B}"/>
    <cellStyle name="Comma 3 2 2 2 9" xfId="42111" xr:uid="{B549626E-7B00-4E9D-8C75-D313AEB5BCA9}"/>
    <cellStyle name="Comma 3 2 2 3" xfId="5531" xr:uid="{AD31B022-C80B-446F-B974-56A106163583}"/>
    <cellStyle name="Comma 3 2 2 3 10" xfId="20797" xr:uid="{8314AD2B-0204-4BB1-8430-0CF8F7A6ADEC}"/>
    <cellStyle name="Comma 3 2 2 3 11" xfId="14068" xr:uid="{22FC2D9B-268C-4BA2-94F2-A2D3E80022C6}"/>
    <cellStyle name="Comma 3 2 2 3 2" xfId="7633" xr:uid="{6F5DBF93-1A73-4AFC-90FE-24E44E65AE14}"/>
    <cellStyle name="Comma 3 2 2 3 2 2" xfId="10125" xr:uid="{AA4E95BD-32E6-42EE-B3A1-1DD6A7C035CA}"/>
    <cellStyle name="Comma 3 2 2 3 2 2 2" xfId="13431" xr:uid="{084A7936-7E46-4179-A950-9E5C9C1B1FB4}"/>
    <cellStyle name="Comma 3 2 2 3 2 2 2 2" xfId="51657" xr:uid="{76F9EDB5-BB40-4B2F-90D9-3E3754B3AA04}"/>
    <cellStyle name="Comma 3 2 2 3 2 2 3" xfId="53014" xr:uid="{F168A388-CA52-4394-8C88-113972034F2A}"/>
    <cellStyle name="Comma 3 2 2 3 2 2 4" xfId="48945" xr:uid="{613080EC-04DD-49EF-9E29-C17D8AB2FA0C}"/>
    <cellStyle name="Comma 3 2 2 3 2 3" xfId="12146" xr:uid="{4251BF37-795A-4852-A5FB-F3F265A0E094}"/>
    <cellStyle name="Comma 3 2 2 3 2 3 2" xfId="47369" xr:uid="{D6A700DE-F7B6-4690-9A70-83AEF1BF5BCC}"/>
    <cellStyle name="Comma 3 2 2 3 2 4" xfId="50329" xr:uid="{6D567F4E-94AB-46F1-8149-F3191DBAD02B}"/>
    <cellStyle name="Comma 3 2 2 3 2 5" xfId="53015" xr:uid="{DE1782E1-B663-4E4A-87BB-9BCDFB0298BA}"/>
    <cellStyle name="Comma 3 2 2 3 2 6" xfId="39422" xr:uid="{E5B7E148-90FB-4AC5-A4AF-E31A9A45FE1C}"/>
    <cellStyle name="Comma 3 2 2 3 2 7" xfId="14560" xr:uid="{C575AFE4-EA10-48F3-98CA-D7C09392E8CD}"/>
    <cellStyle name="Comma 3 2 2 3 3" xfId="9631" xr:uid="{4078C2E1-247E-4844-8595-2923FDD85B2C}"/>
    <cellStyle name="Comma 3 2 2 3 3 2" xfId="12937" xr:uid="{8778DDEA-A63A-495E-8BE5-B8AEA8E4BD08}"/>
    <cellStyle name="Comma 3 2 2 3 3 2 2" xfId="48090" xr:uid="{06264B3A-F6C2-434C-9C39-D6199EACF01C}"/>
    <cellStyle name="Comma 3 2 2 3 3 3" xfId="50939" xr:uid="{C1AF73EA-2150-4825-866C-9558E069A0F8}"/>
    <cellStyle name="Comma 3 2 2 3 3 4" xfId="53016" xr:uid="{09006626-5465-4CFA-BC54-51B81CBBCC5C}"/>
    <cellStyle name="Comma 3 2 2 3 3 5" xfId="41278" xr:uid="{BC78D9AD-74BE-4CCB-B46D-9F23FFBFAF4F}"/>
    <cellStyle name="Comma 3 2 2 3 4" xfId="7127" xr:uid="{63342B41-B0C5-4662-9B1E-E636C5877AA3}"/>
    <cellStyle name="Comma 3 2 2 3 4 2" xfId="43099" xr:uid="{140332BC-3736-4E8D-838F-74FFFB45A810}"/>
    <cellStyle name="Comma 3 2 2 3 5" xfId="11652" xr:uid="{EA75E3AF-6BD6-47C5-A959-EA320F78A912}"/>
    <cellStyle name="Comma 3 2 2 3 5 2" xfId="43820" xr:uid="{9DBF5370-D35A-45B6-BDFF-7B0F4784923C}"/>
    <cellStyle name="Comma 3 2 2 3 6" xfId="45198" xr:uid="{76DBC7DA-2589-482D-B3AF-21195FFD7358}"/>
    <cellStyle name="Comma 3 2 2 3 7" xfId="46578" xr:uid="{0F68459D-6EDF-4074-BA4E-B6B336D47DBB}"/>
    <cellStyle name="Comma 3 2 2 3 8" xfId="49611" xr:uid="{00B1C98C-4A99-49CE-A329-C2B9E9521CB5}"/>
    <cellStyle name="Comma 3 2 2 3 9" xfId="53017" xr:uid="{B625F0D9-0A64-4B6D-9D15-4BBF18CDDEBF}"/>
    <cellStyle name="Comma 3 2 2 4" xfId="6521" xr:uid="{578E3FF7-6998-4985-A24E-F3CE19260A0A}"/>
    <cellStyle name="Comma 3 2 2 4 2" xfId="9493" xr:uid="{A9C009D5-55F8-4CC8-B73C-115745F3938B}"/>
    <cellStyle name="Comma 3 2 2 4 2 2" xfId="12799" xr:uid="{0AA4820B-8FAF-499E-9E47-3EE41815B97F}"/>
    <cellStyle name="Comma 3 2 2 4 2 2 2" xfId="50824" xr:uid="{B41A6AD7-DBFC-4437-8A64-99CCF75EACE6}"/>
    <cellStyle name="Comma 3 2 2 4 2 3" xfId="53018" xr:uid="{2F44333D-3B52-45D9-8B85-B87C0B9BAFE5}"/>
    <cellStyle name="Comma 3 2 2 4 2 4" xfId="47955" xr:uid="{9E8CF9FB-D1AA-4926-8241-5A1C29A65609}"/>
    <cellStyle name="Comma 3 2 2 4 3" xfId="11514" xr:uid="{20CE8861-EC7E-4145-9F2E-0EE4EB27F5D7}"/>
    <cellStyle name="Comma 3 2 2 4 3 2" xfId="46160" xr:uid="{7F8853F2-2924-442F-AC94-1C9D087D50C5}"/>
    <cellStyle name="Comma 3 2 2 4 4" xfId="49496" xr:uid="{C2A98212-0884-48C5-9084-BD63097125BA}"/>
    <cellStyle name="Comma 3 2 2 4 5" xfId="53019" xr:uid="{93701C7D-7689-449D-A607-75A5F3B39AFE}"/>
    <cellStyle name="Comma 3 2 2 4 6" xfId="20075" xr:uid="{3AEE0E7E-08C6-42BD-9C89-19CD53E63B76}"/>
    <cellStyle name="Comma 3 2 2 4 7" xfId="14422" xr:uid="{2DDA01AF-DCFB-453B-ACA6-A954A1E23550}"/>
    <cellStyle name="Comma 3 2 2 5" xfId="7495" xr:uid="{36BB4430-96E2-4CCB-9B3F-59367ABE0158}"/>
    <cellStyle name="Comma 3 2 2 5 2" xfId="9987" xr:uid="{AAD99332-0912-49C2-9851-8B499E271C45}"/>
    <cellStyle name="Comma 3 2 2 5 2 2" xfId="13293" xr:uid="{55230C01-4CA6-4BC2-BCE4-55DE01CF7A1A}"/>
    <cellStyle name="Comma 3 2 2 5 2 2 2" xfId="51286" xr:uid="{C793A9C1-D8AB-418A-BD3D-6B2E1982B3E2}"/>
    <cellStyle name="Comma 3 2 2 5 2 3" xfId="53020" xr:uid="{EA90A61E-B448-4318-B0E0-7458178F59F1}"/>
    <cellStyle name="Comma 3 2 2 5 2 4" xfId="48500" xr:uid="{299CFAC0-8351-40F7-A397-DF5714992E0F}"/>
    <cellStyle name="Comma 3 2 2 5 3" xfId="12008" xr:uid="{CAC05C57-1E1D-434B-9E5F-1609D0939448}"/>
    <cellStyle name="Comma 3 2 2 5 3 2" xfId="46939" xr:uid="{ED3A1BE5-6649-457C-A10C-74B45B12640C}"/>
    <cellStyle name="Comma 3 2 2 5 4" xfId="49958" xr:uid="{9B1A19FA-34AC-4524-8418-E216DD1773CD}"/>
    <cellStyle name="Comma 3 2 2 5 5" xfId="53021" xr:uid="{3E5F7832-039A-4D2A-ADE8-C4551B341490}"/>
    <cellStyle name="Comma 3 2 2 5 6" xfId="23936" xr:uid="{9DD502AF-9A26-4F6F-AF58-495D74E4BC28}"/>
    <cellStyle name="Comma 3 2 2 5 7" xfId="14875" xr:uid="{9E68A074-7441-46FE-ACAF-8D503ED72861}"/>
    <cellStyle name="Comma 3 2 2 6" xfId="8161" xr:uid="{C8096B3B-F5C7-4074-9DF1-3B2D9C135868}"/>
    <cellStyle name="Comma 3 2 2 6 2" xfId="12617" xr:uid="{62468296-4E0B-4152-B543-9F763614D923}"/>
    <cellStyle name="Comma 3 2 2 6 2 2" xfId="51542" xr:uid="{81CDD64D-829A-4594-B3EE-724B4D581BBE}"/>
    <cellStyle name="Comma 3 2 2 6 2 3" xfId="53022" xr:uid="{0BAF87DF-EC76-4164-A8D2-1905EC271274}"/>
    <cellStyle name="Comma 3 2 2 6 2 4" xfId="48807" xr:uid="{AAC15290-76FB-4168-8297-D9A592E16230}"/>
    <cellStyle name="Comma 3 2 2 6 3" xfId="47236" xr:uid="{43EC7A13-9F86-4F81-89C5-BFD591A11B37}"/>
    <cellStyle name="Comma 3 2 2 6 4" xfId="50214" xr:uid="{2278AACD-2367-4623-85F8-BE917419C99B}"/>
    <cellStyle name="Comma 3 2 2 6 5" xfId="53023" xr:uid="{7A22BD51-B057-4A39-A56F-EF819AF8CA70}"/>
    <cellStyle name="Comma 3 2 2 6 6" xfId="38433" xr:uid="{39EBD057-A14E-4285-AEDD-613CC1A240EE}"/>
    <cellStyle name="Comma 3 2 2 7" xfId="7948" xr:uid="{7C6F6DC9-E6B9-4D05-B22D-0FE9CCEA4C12}"/>
    <cellStyle name="Comma 3 2 2 7 2" xfId="12461" xr:uid="{B825CE4F-4518-4EBB-A681-04A7694AD653}"/>
    <cellStyle name="Comma 3 2 2 7 2 2" xfId="47692" xr:uid="{41CFB230-D611-44B6-A216-C2A40FFB6B8A}"/>
    <cellStyle name="Comma 3 2 2 7 3" xfId="50600" xr:uid="{16882369-2C62-4048-8DCB-7C24A0237001}"/>
    <cellStyle name="Comma 3 2 2 7 4" xfId="53024" xr:uid="{1B9C8169-8F04-446D-AA0A-08AE5149CD46}"/>
    <cellStyle name="Comma 3 2 2 7 5" xfId="38831" xr:uid="{B718F141-A61A-4114-A091-8CA57621C066}"/>
    <cellStyle name="Comma 3 2 2 8" xfId="5845" xr:uid="{5693FD83-E570-4E23-80E2-E70A9FD91B4C}"/>
    <cellStyle name="Comma 3 2 2 8 2" xfId="40256" xr:uid="{49D20C2B-787D-4FB6-AE72-91C13460EC22}"/>
    <cellStyle name="Comma 3 2 2 9" xfId="11333" xr:uid="{AA8064F8-0C92-4AEB-92AE-9E322D6F794D}"/>
    <cellStyle name="Comma 3 2 2 9 2" xfId="40898" xr:uid="{CA0E0B36-6B7A-4BA9-B194-2E8D6051162F}"/>
    <cellStyle name="Comma 3 2 20" xfId="53025" xr:uid="{9F9D168E-21AF-4D5E-8600-0234F5DDD3AD}"/>
    <cellStyle name="Comma 3 2 21" xfId="15322" xr:uid="{145CB8A1-72CC-4879-ADBE-DB04D6637E37}"/>
    <cellStyle name="Comma 3 2 22" xfId="13851" xr:uid="{6B4683D4-26CA-4BAB-AAFB-E253FA2599E2}"/>
    <cellStyle name="Comma 3 2 3" xfId="1775" xr:uid="{BF9E698B-74C3-4F16-862D-7CC121DD21D6}"/>
    <cellStyle name="Comma 3 2 3 10" xfId="42112" xr:uid="{889C8A11-36EA-46F8-A449-68AC9C1A88BD}"/>
    <cellStyle name="Comma 3 2 3 11" xfId="42437" xr:uid="{43A8EF6C-E139-4BFA-A3B4-76970E61B6BB}"/>
    <cellStyle name="Comma 3 2 3 12" xfId="43548" xr:uid="{58595500-AB7C-4A5D-AF54-455369D2401E}"/>
    <cellStyle name="Comma 3 2 3 13" xfId="44411" xr:uid="{2F5DC82E-937C-49A1-A338-150405CE9681}"/>
    <cellStyle name="Comma 3 2 3 14" xfId="45749" xr:uid="{8EDF8083-E0F0-4DBD-AC2A-C517BB5D04D5}"/>
    <cellStyle name="Comma 3 2 3 15" xfId="49377" xr:uid="{29256FC4-B42D-4063-A01D-C7FE0EA9AAEB}"/>
    <cellStyle name="Comma 3 2 3 16" xfId="53026" xr:uid="{2C37C5F7-BEC3-4DFE-A887-54284C95C0AA}"/>
    <cellStyle name="Comma 3 2 3 17" xfId="16605" xr:uid="{7023A184-2BE6-4009-A961-4B36DCA2C688}"/>
    <cellStyle name="Comma 3 2 3 18" xfId="13931" xr:uid="{741A1F2D-0638-40B7-9307-3249DE44A54B}"/>
    <cellStyle name="Comma 3 2 3 2" xfId="4451" xr:uid="{03CC031B-6622-4160-A3F8-7BA2A7CB1CA1}"/>
    <cellStyle name="Comma 3 2 3 2 10" xfId="42746" xr:uid="{E673A0FE-6633-4131-8F27-AEA91B8E55AA}"/>
    <cellStyle name="Comma 3 2 3 2 11" xfId="44252" xr:uid="{5DAF01EF-BCAC-459A-8C33-D7D6ECAF24E9}"/>
    <cellStyle name="Comma 3 2 3 2 12" xfId="44552" xr:uid="{05E92CEF-DFE6-427C-8C91-7B4C2515FB5A}"/>
    <cellStyle name="Comma 3 2 3 2 13" xfId="46720" xr:uid="{F5171506-04B4-49CD-95EB-F2248D5B6BFC}"/>
    <cellStyle name="Comma 3 2 3 2 14" xfId="49752" xr:uid="{25DE50B1-1C23-421F-8B5C-403E28203F19}"/>
    <cellStyle name="Comma 3 2 3 2 15" xfId="53027" xr:uid="{84ADDBFA-3A94-4400-A2DC-231EB15CB658}"/>
    <cellStyle name="Comma 3 2 3 2 16" xfId="17099" xr:uid="{3427E42D-F1A1-49B0-A98A-DDD27CF774B7}"/>
    <cellStyle name="Comma 3 2 3 2 17" xfId="14245" xr:uid="{9BC0B1AB-6BB9-4871-ABA4-818AEB079555}"/>
    <cellStyle name="Comma 3 2 3 2 2" xfId="5708" xr:uid="{6046DC3A-CF0A-4D3F-877E-51FD4B4DFB88}"/>
    <cellStyle name="Comma 3 2 3 2 2 10" xfId="14737" xr:uid="{04497445-B2E3-4E4E-B8A5-BF58058DE8A4}"/>
    <cellStyle name="Comma 3 2 3 2 2 2" xfId="10302" xr:uid="{64FBABF0-77C2-462C-ACB2-BE983547C140}"/>
    <cellStyle name="Comma 3 2 3 2 2 2 2" xfId="13608" xr:uid="{5128ECD3-E2BD-41BA-903F-9BD015C64D7F}"/>
    <cellStyle name="Comma 3 2 3 2 2 2 2 2" xfId="48671" xr:uid="{5BC83DA4-D545-40DB-A840-1DB2B115EB90}"/>
    <cellStyle name="Comma 3 2 3 2 2 2 3" xfId="51426" xr:uid="{37F9CCBB-5D15-4D19-954B-13125A17C14E}"/>
    <cellStyle name="Comma 3 2 3 2 2 2 4" xfId="53028" xr:uid="{093F75AF-336C-4D17-AD36-7872E545C41F}"/>
    <cellStyle name="Comma 3 2 3 2 2 2 5" xfId="39660" xr:uid="{DE74368B-12D2-46DC-A5D2-398522831EEC}"/>
    <cellStyle name="Comma 3 2 3 2 2 3" xfId="7810" xr:uid="{8B075F32-4A01-4016-9406-0FD20C38CF59}"/>
    <cellStyle name="Comma 3 2 3 2 2 3 2" xfId="41513" xr:uid="{9A4B4528-E0F6-460D-AA8A-0415197E00C8}"/>
    <cellStyle name="Comma 3 2 3 2 2 4" xfId="12323" xr:uid="{C100A942-4566-4A7A-8A60-F81F2C71BF9F}"/>
    <cellStyle name="Comma 3 2 3 2 2 4 2" xfId="43337" xr:uid="{3ABB0205-AE2E-48AA-96DA-19C2BCE69CAB}"/>
    <cellStyle name="Comma 3 2 3 2 2 5" xfId="45434" xr:uid="{340C83E3-3BB7-4D62-8073-D6A5D804102C}"/>
    <cellStyle name="Comma 3 2 3 2 2 6" xfId="47108" xr:uid="{1E706E65-2EA4-4029-8981-CE2FDDDC983E}"/>
    <cellStyle name="Comma 3 2 3 2 2 7" xfId="50098" xr:uid="{AF5F66CF-6807-42E5-8977-E1A05D61254E}"/>
    <cellStyle name="Comma 3 2 3 2 2 8" xfId="53029" xr:uid="{6AFDA45A-07D9-444B-B351-72E368E602C4}"/>
    <cellStyle name="Comma 3 2 3 2 2 9" xfId="21094" xr:uid="{D18A6820-37BF-4992-84E4-ECC674F1000B}"/>
    <cellStyle name="Comma 3 2 3 2 3" xfId="9808" xr:uid="{0311B07F-5CD5-4E35-A2FC-4A9D55B2498D}"/>
    <cellStyle name="Comma 3 2 3 2 3 2" xfId="13114" xr:uid="{20340480-D5A7-4334-B05F-300F95F8B614}"/>
    <cellStyle name="Comma 3 2 3 2 3 2 2" xfId="51798" xr:uid="{57CEA751-8595-4F18-B6B9-677C8B8EC4FB}"/>
    <cellStyle name="Comma 3 2 3 2 3 2 3" xfId="53030" xr:uid="{29A78925-DFC4-408C-99FF-69635F8C2A62}"/>
    <cellStyle name="Comma 3 2 3 2 3 2 4" xfId="49118" xr:uid="{14DC62CF-4359-4F5A-BD3E-A194C8233078}"/>
    <cellStyle name="Comma 3 2 3 2 3 3" xfId="47535" xr:uid="{EBBB8CF7-51A5-4484-BB30-7709DBFF8E9F}"/>
    <cellStyle name="Comma 3 2 3 2 3 4" xfId="50470" xr:uid="{B4AEA676-5078-4DBE-BDEC-86FB99CBA347}"/>
    <cellStyle name="Comma 3 2 3 2 3 5" xfId="53031" xr:uid="{FBEAB2B2-4312-4611-8970-BD92C2EBA4F8}"/>
    <cellStyle name="Comma 3 2 3 2 3 6" xfId="20313" xr:uid="{5DC5615E-996B-440C-B209-D254CA98E604}"/>
    <cellStyle name="Comma 3 2 3 2 3 7" xfId="15052" xr:uid="{DB4FB422-9BBB-4233-BBD8-D916F3DAB71E}"/>
    <cellStyle name="Comma 3 2 3 2 4" xfId="7306" xr:uid="{C108F75B-C5C6-4CDB-B4F8-F3A34D0789EA}"/>
    <cellStyle name="Comma 3 2 3 2 4 2" xfId="48262" xr:uid="{38233F85-3B26-493D-B1CC-E3A1B771F02D}"/>
    <cellStyle name="Comma 3 2 3 2 4 3" xfId="51080" xr:uid="{3A4C466D-72A2-49B2-94AD-C069396215BC}"/>
    <cellStyle name="Comma 3 2 3 2 4 4" xfId="53032" xr:uid="{FE5CFCA9-0A6F-44B5-927F-FA393BBE3B3A}"/>
    <cellStyle name="Comma 3 2 3 2 4 5" xfId="23939" xr:uid="{0E82E481-37EB-4BE6-AC73-E720305568E7}"/>
    <cellStyle name="Comma 3 2 3 2 5" xfId="11829" xr:uid="{44322D57-E058-4D1B-B197-731D76C000B0}"/>
    <cellStyle name="Comma 3 2 3 2 5 2" xfId="38436" xr:uid="{B745D6F0-F6AD-4448-9407-6A4555F1093D}"/>
    <cellStyle name="Comma 3 2 3 2 6" xfId="39069" xr:uid="{9B678FEC-9896-49FF-9568-83105F046B1C}"/>
    <cellStyle name="Comma 3 2 3 2 7" xfId="40259" xr:uid="{A800D110-8A9D-491A-95B6-8886B5269AF1}"/>
    <cellStyle name="Comma 3 2 3 2 8" xfId="40901" xr:uid="{B13E1369-E97C-4DBB-BD80-D4C45F96AE89}"/>
    <cellStyle name="Comma 3 2 3 2 9" xfId="42113" xr:uid="{76C6438C-E4FC-4BDD-9CC9-0E9405087E29}"/>
    <cellStyle name="Comma 3 2 3 3" xfId="5532" xr:uid="{162B42CD-7774-4B9C-BE5F-39EEDB8ACDAF}"/>
    <cellStyle name="Comma 3 2 3 3 10" xfId="20714" xr:uid="{DA58DCF2-B958-4CCD-96D9-FCA3351F02A8}"/>
    <cellStyle name="Comma 3 2 3 3 11" xfId="14069" xr:uid="{D9CE6538-88E3-4684-9B4B-1460547758A2}"/>
    <cellStyle name="Comma 3 2 3 3 2" xfId="7634" xr:uid="{102DC93A-882B-432E-AB95-BF60322D54CB}"/>
    <cellStyle name="Comma 3 2 3 3 2 2" xfId="10126" xr:uid="{AB0ECA73-5F05-41C1-B43F-2D6431529129}"/>
    <cellStyle name="Comma 3 2 3 3 2 2 2" xfId="13432" xr:uid="{ED196EEE-EEA3-416F-B699-6BF6094BFBD7}"/>
    <cellStyle name="Comma 3 2 3 3 2 2 2 2" xfId="51658" xr:uid="{75B31204-D7C9-457E-9A75-493623AB07EC}"/>
    <cellStyle name="Comma 3 2 3 3 2 2 3" xfId="53033" xr:uid="{4866A0CB-5632-4DCC-A0F6-B7859DA30897}"/>
    <cellStyle name="Comma 3 2 3 3 2 2 4" xfId="48946" xr:uid="{C04B5B64-8934-4869-B53A-8C69B9AF5228}"/>
    <cellStyle name="Comma 3 2 3 3 2 3" xfId="12147" xr:uid="{DC3999AC-DE6B-4CF9-8ABF-C4F04E813C5D}"/>
    <cellStyle name="Comma 3 2 3 3 2 3 2" xfId="47370" xr:uid="{3D55E78D-6886-4503-9770-71E290119828}"/>
    <cellStyle name="Comma 3 2 3 3 2 4" xfId="50330" xr:uid="{6854A6EC-287B-436D-9101-07774EC8960F}"/>
    <cellStyle name="Comma 3 2 3 3 2 5" xfId="53034" xr:uid="{4A645A4D-41E5-485A-A7C3-600EC751C2D8}"/>
    <cellStyle name="Comma 3 2 3 3 2 6" xfId="39351" xr:uid="{2551246E-0A32-4EAD-8DC1-B25CB9908E5A}"/>
    <cellStyle name="Comma 3 2 3 3 2 7" xfId="14561" xr:uid="{AAF12EA0-49DD-4CC9-AC1A-017EEA98DF0D}"/>
    <cellStyle name="Comma 3 2 3 3 3" xfId="9632" xr:uid="{FE92F24A-0E76-4262-B0C0-EF43C79C8862}"/>
    <cellStyle name="Comma 3 2 3 3 3 2" xfId="12938" xr:uid="{EB602F36-72A2-4019-901F-9ECEE11F5E03}"/>
    <cellStyle name="Comma 3 2 3 3 3 2 2" xfId="48091" xr:uid="{FAB55E71-8F6F-4B3C-877D-82A6EB73FAF2}"/>
    <cellStyle name="Comma 3 2 3 3 3 3" xfId="50940" xr:uid="{87F0F89F-081C-476C-8DF8-A9A93784FF32}"/>
    <cellStyle name="Comma 3 2 3 3 3 4" xfId="53035" xr:uid="{ED2F3BBB-AED9-483C-95A6-CCAC12FBB20A}"/>
    <cellStyle name="Comma 3 2 3 3 3 5" xfId="41209" xr:uid="{1DC6D879-DF4F-43CD-A692-56B443475263}"/>
    <cellStyle name="Comma 3 2 3 3 4" xfId="7128" xr:uid="{7F291BF1-0B2D-4969-8DA2-5F7E29BC5E22}"/>
    <cellStyle name="Comma 3 2 3 3 4 2" xfId="43028" xr:uid="{65A07D70-558F-48F2-95D1-AB5E223B507F}"/>
    <cellStyle name="Comma 3 2 3 3 5" xfId="11653" xr:uid="{8A6E0F53-F2C5-4CF7-AD3C-27E012979731}"/>
    <cellStyle name="Comma 3 2 3 3 5 2" xfId="43821" xr:uid="{E1DD367E-3C8F-427C-9995-074423B88BF9}"/>
    <cellStyle name="Comma 3 2 3 3 6" xfId="45129" xr:uid="{726D2A1A-E147-405F-B195-B75853FDC63E}"/>
    <cellStyle name="Comma 3 2 3 3 7" xfId="46579" xr:uid="{6B2B472D-1166-4205-821E-036E78A66F0A}"/>
    <cellStyle name="Comma 3 2 3 3 8" xfId="49612" xr:uid="{950AA0F6-5815-4762-A01C-1C31FC062ABF}"/>
    <cellStyle name="Comma 3 2 3 3 9" xfId="53036" xr:uid="{2CA42086-743F-4A46-B269-80786372E1E9}"/>
    <cellStyle name="Comma 3 2 3 4" xfId="6522" xr:uid="{F86E6F16-6DC9-4628-8B1C-EFB03FA57345}"/>
    <cellStyle name="Comma 3 2 3 4 2" xfId="9494" xr:uid="{6170B020-C44D-4796-BDA3-65AFD4C6A4E9}"/>
    <cellStyle name="Comma 3 2 3 4 2 2" xfId="12800" xr:uid="{E219F34F-E41C-487D-B14E-54FE0EEEEEE7}"/>
    <cellStyle name="Comma 3 2 3 4 2 2 2" xfId="50825" xr:uid="{7AFD30FE-BA79-4E96-AF85-0C0680F03B5F}"/>
    <cellStyle name="Comma 3 2 3 4 2 3" xfId="53037" xr:uid="{D7D4C77E-0FD0-432B-82A5-E8031AE18C2F}"/>
    <cellStyle name="Comma 3 2 3 4 2 4" xfId="47956" xr:uid="{E0C64C77-7CEA-4A82-910D-DB4487B64B3D}"/>
    <cellStyle name="Comma 3 2 3 4 3" xfId="11515" xr:uid="{E7E59795-080F-4981-A2E4-FA46597658CA}"/>
    <cellStyle name="Comma 3 2 3 4 3 2" xfId="46161" xr:uid="{F2BD117D-03A4-473B-899E-085485C21E52}"/>
    <cellStyle name="Comma 3 2 3 4 4" xfId="49497" xr:uid="{C200D0B7-5C93-44A4-BF01-53657B5480AA}"/>
    <cellStyle name="Comma 3 2 3 4 5" xfId="53038" xr:uid="{1045A1CA-F494-4119-87D6-AEAF8F57B7E5}"/>
    <cellStyle name="Comma 3 2 3 4 6" xfId="20004" xr:uid="{C9D07F66-C1EE-4B70-8940-5809E17803D5}"/>
    <cellStyle name="Comma 3 2 3 4 7" xfId="14423" xr:uid="{B1FF0946-6A66-40BA-B3CC-550DBBB45123}"/>
    <cellStyle name="Comma 3 2 3 5" xfId="7496" xr:uid="{8ADC2AB1-21D1-4A67-96B7-AE63F2D52A62}"/>
    <cellStyle name="Comma 3 2 3 5 2" xfId="9988" xr:uid="{DCCAA781-10C5-44F3-8D45-FBB0BFD539F8}"/>
    <cellStyle name="Comma 3 2 3 5 2 2" xfId="13294" xr:uid="{F66E90FA-F3C9-4415-B3A6-7CCEF9EBCC7A}"/>
    <cellStyle name="Comma 3 2 3 5 2 2 2" xfId="51287" xr:uid="{D28DC498-FE39-4D0B-ACEF-5A5C0B5C9A3F}"/>
    <cellStyle name="Comma 3 2 3 5 2 3" xfId="53039" xr:uid="{895190FE-FA6E-4208-A964-7DC51CAE5A75}"/>
    <cellStyle name="Comma 3 2 3 5 2 4" xfId="48501" xr:uid="{254BC309-AA0F-4F7A-BCD3-8FB61A538B52}"/>
    <cellStyle name="Comma 3 2 3 5 3" xfId="12009" xr:uid="{E170E581-3225-45FC-91A6-5E379B518ADC}"/>
    <cellStyle name="Comma 3 2 3 5 3 2" xfId="46940" xr:uid="{2F59A7C8-BA68-4A43-92E3-5541B6FF48AC}"/>
    <cellStyle name="Comma 3 2 3 5 4" xfId="49959" xr:uid="{A9136FC8-9ABE-4E0E-993C-5F1B8A8A8AAD}"/>
    <cellStyle name="Comma 3 2 3 5 5" xfId="53040" xr:uid="{0980EF63-E906-458E-9019-06E21001C655}"/>
    <cellStyle name="Comma 3 2 3 5 6" xfId="23938" xr:uid="{4B33AF88-8EBA-4C8F-B7B7-34E2B229D3A9}"/>
    <cellStyle name="Comma 3 2 3 5 7" xfId="14876" xr:uid="{E9039AB0-EA7F-41E2-A985-7D3BAC0AEF0C}"/>
    <cellStyle name="Comma 3 2 3 6" xfId="8162" xr:uid="{1CDCF984-7FB6-4FD4-9F85-F0BBE07D33ED}"/>
    <cellStyle name="Comma 3 2 3 6 2" xfId="12618" xr:uid="{40BDE322-09CE-4AA5-BF7A-7A80758ED76F}"/>
    <cellStyle name="Comma 3 2 3 6 2 2" xfId="51543" xr:uid="{59BF8D68-A99F-4B5D-AF41-12C5E7C54385}"/>
    <cellStyle name="Comma 3 2 3 6 2 3" xfId="53041" xr:uid="{5ECD8739-7273-4BE2-B687-4D3C8F7AE3E4}"/>
    <cellStyle name="Comma 3 2 3 6 2 4" xfId="48808" xr:uid="{88A2A599-3360-4431-AC2B-24526FE5D9C8}"/>
    <cellStyle name="Comma 3 2 3 6 3" xfId="47237" xr:uid="{0AD4C2B1-9E06-4B26-B4A5-013F26286D57}"/>
    <cellStyle name="Comma 3 2 3 6 4" xfId="50215" xr:uid="{E1930CC1-1942-4F76-B689-105DCF738446}"/>
    <cellStyle name="Comma 3 2 3 6 5" xfId="53042" xr:uid="{73C7241A-4359-4D2F-A4B2-CA5135118BC3}"/>
    <cellStyle name="Comma 3 2 3 6 6" xfId="38435" xr:uid="{A416E504-C464-4B71-B622-DF9E02F643E8}"/>
    <cellStyle name="Comma 3 2 3 7" xfId="7949" xr:uid="{5B0C6886-CF8E-4447-89B7-057D1B094B0A}"/>
    <cellStyle name="Comma 3 2 3 7 2" xfId="12462" xr:uid="{A5BCA397-ACBC-421E-AE71-D528B6BDB8C8}"/>
    <cellStyle name="Comma 3 2 3 7 2 2" xfId="47817" xr:uid="{C4AE6FB4-0894-47FF-9B26-70EA30B2503D}"/>
    <cellStyle name="Comma 3 2 3 7 3" xfId="50705" xr:uid="{F74DE892-E26B-4287-9252-EE84B91CF1D4}"/>
    <cellStyle name="Comma 3 2 3 7 4" xfId="53043" xr:uid="{6E7B85B8-CCAE-4392-944B-74744B91EF40}"/>
    <cellStyle name="Comma 3 2 3 7 5" xfId="38760" xr:uid="{E291593E-81FB-424F-A117-4C011E9040BD}"/>
    <cellStyle name="Comma 3 2 3 8" xfId="5846" xr:uid="{0D1F4C82-B8A8-4432-BED4-AC3E8279CF12}"/>
    <cellStyle name="Comma 3 2 3 8 2" xfId="40258" xr:uid="{35097B07-27FD-4EAB-896E-00FB1319AF06}"/>
    <cellStyle name="Comma 3 2 3 9" xfId="11334" xr:uid="{93C9580C-6002-4475-9ECF-9C7D846AB56F}"/>
    <cellStyle name="Comma 3 2 3 9 2" xfId="40900" xr:uid="{13E28DFE-46B8-49A3-BF64-5F1CCB620D1A}"/>
    <cellStyle name="Comma 3 2 4" xfId="4449" xr:uid="{E21FA617-7AD3-4609-9F93-ADB1350DF576}"/>
    <cellStyle name="Comma 3 2 4 10" xfId="42747" xr:uid="{A8929CA0-E4E1-40E8-B49C-0CCD3FA74D36}"/>
    <cellStyle name="Comma 3 2 4 11" xfId="43546" xr:uid="{28E8B320-312B-49B7-87F9-619819AC69C3}"/>
    <cellStyle name="Comma 3 2 4 12" xfId="44550" xr:uid="{0C7B2D50-16C1-424B-8B44-3EC361557835}"/>
    <cellStyle name="Comma 3 2 4 13" xfId="45717" xr:uid="{0242423A-3AEB-4BE1-9123-6600062CF66F}"/>
    <cellStyle name="Comma 3 2 4 14" xfId="49345" xr:uid="{9D30C171-E98F-4AB8-A3F6-B7FC2EB90264}"/>
    <cellStyle name="Comma 3 2 4 15" xfId="53044" xr:uid="{2EB0502B-D78E-43F7-86A3-28446A03F200}"/>
    <cellStyle name="Comma 3 2 4 16" xfId="17100" xr:uid="{8DA35531-6C84-40FA-B729-8B729082E59F}"/>
    <cellStyle name="Comma 3 2 4 17" xfId="13929" xr:uid="{DFC181CB-5C44-47D6-A34C-74274B7972CB}"/>
    <cellStyle name="Comma 3 2 4 2" xfId="5706" xr:uid="{29167D8A-288F-4D65-BC21-AF66DD25A220}"/>
    <cellStyle name="Comma 3 2 4 2 10" xfId="21095" xr:uid="{42744676-392F-44BF-831A-F3AA1FAEF8DB}"/>
    <cellStyle name="Comma 3 2 4 2 11" xfId="14243" xr:uid="{EB091DFB-9C25-468D-8E39-C460D3138673}"/>
    <cellStyle name="Comma 3 2 4 2 2" xfId="7808" xr:uid="{F963E513-32A1-4FB6-81E6-87544DE393C6}"/>
    <cellStyle name="Comma 3 2 4 2 2 2" xfId="10300" xr:uid="{E9067A13-04A3-4F8B-B148-B7688CFCEA94}"/>
    <cellStyle name="Comma 3 2 4 2 2 2 2" xfId="13606" xr:uid="{2267D025-C9CE-402D-8802-BCC54B85E2DF}"/>
    <cellStyle name="Comma 3 2 4 2 2 2 2 2" xfId="51796" xr:uid="{7F0CE281-94B3-43BA-9022-37B9FED9FE6B}"/>
    <cellStyle name="Comma 3 2 4 2 2 2 3" xfId="53045" xr:uid="{965887AA-C343-4009-B06D-E774B4D1814D}"/>
    <cellStyle name="Comma 3 2 4 2 2 2 4" xfId="49116" xr:uid="{D620C7BE-90A0-4C57-9DBF-A492E8F0CBBB}"/>
    <cellStyle name="Comma 3 2 4 2 2 3" xfId="12321" xr:uid="{AC4276BC-19F8-48F3-902A-131873FCD778}"/>
    <cellStyle name="Comma 3 2 4 2 2 3 2" xfId="47533" xr:uid="{680C4205-4AD6-4B79-97FB-DA9F369F31C0}"/>
    <cellStyle name="Comma 3 2 4 2 2 4" xfId="50468" xr:uid="{705AD6A1-6B28-43E3-9790-7B621ECB91A5}"/>
    <cellStyle name="Comma 3 2 4 2 2 5" xfId="53046" xr:uid="{6602C895-0F2D-40DF-BC1F-34A649DDA1FF}"/>
    <cellStyle name="Comma 3 2 4 2 2 6" xfId="39661" xr:uid="{3B090ADC-FD47-4958-B68F-83FA204173E8}"/>
    <cellStyle name="Comma 3 2 4 2 2 7" xfId="14735" xr:uid="{32D7C641-E658-479D-A5EC-8C0AC792A6EE}"/>
    <cellStyle name="Comma 3 2 4 2 3" xfId="9806" xr:uid="{9364319B-F35A-45D0-BAAC-869D69D60EBD}"/>
    <cellStyle name="Comma 3 2 4 2 3 2" xfId="13112" xr:uid="{D637894E-4DF3-4EA0-B523-25687ADF4AF3}"/>
    <cellStyle name="Comma 3 2 4 2 3 2 2" xfId="48260" xr:uid="{36C1AA47-FFE5-413B-8BEC-58A4EC9F9598}"/>
    <cellStyle name="Comma 3 2 4 2 3 3" xfId="51078" xr:uid="{51182FFB-693B-4471-9274-FD99E918B6B6}"/>
    <cellStyle name="Comma 3 2 4 2 3 4" xfId="53047" xr:uid="{39F318DC-FA62-45A6-9534-CBFA3F427AF0}"/>
    <cellStyle name="Comma 3 2 4 2 3 5" xfId="41514" xr:uid="{6A7C002C-6B3E-4BB8-9EE3-80E4DF2358CC}"/>
    <cellStyle name="Comma 3 2 4 2 4" xfId="7304" xr:uid="{C009349E-3864-4572-AE82-1C6690CFFD7D}"/>
    <cellStyle name="Comma 3 2 4 2 4 2" xfId="43338" xr:uid="{830473EC-9648-497D-B29A-DF663C14C70F}"/>
    <cellStyle name="Comma 3 2 4 2 5" xfId="11827" xr:uid="{0CAC1892-5749-47F3-9F23-F58720C0E390}"/>
    <cellStyle name="Comma 3 2 4 2 5 2" xfId="44250" xr:uid="{2B961605-88AD-4258-91AE-91756C318472}"/>
    <cellStyle name="Comma 3 2 4 2 6" xfId="45435" xr:uid="{4B64ECDD-5017-4E07-8552-8D6B330A9EE0}"/>
    <cellStyle name="Comma 3 2 4 2 7" xfId="46718" xr:uid="{E757D004-4987-4B0B-8C5B-256522EB6FB0}"/>
    <cellStyle name="Comma 3 2 4 2 8" xfId="49750" xr:uid="{52DFE018-3434-4FAA-8F5A-B5E4B234B846}"/>
    <cellStyle name="Comma 3 2 4 2 9" xfId="53048" xr:uid="{9933AFEA-8457-4977-B6BD-84950E998CF7}"/>
    <cellStyle name="Comma 3 2 4 3" xfId="7494" xr:uid="{819563C0-A32C-430C-9D42-637C8388EAD4}"/>
    <cellStyle name="Comma 3 2 4 3 2" xfId="9986" xr:uid="{E7703DBE-D204-400A-84CB-BBC4A343938C}"/>
    <cellStyle name="Comma 3 2 4 3 2 2" xfId="13292" xr:uid="{8A61768A-9485-4B58-B85E-02AD288813BB}"/>
    <cellStyle name="Comma 3 2 4 3 2 2 2" xfId="50823" xr:uid="{10265AD1-0750-41EE-8CAD-E194594E3568}"/>
    <cellStyle name="Comma 3 2 4 3 2 3" xfId="53049" xr:uid="{50A8BE8E-9D8E-485E-B000-55D2ACC78C2A}"/>
    <cellStyle name="Comma 3 2 4 3 2 4" xfId="47954" xr:uid="{87F275C9-86E8-4DAF-B095-227A0058119D}"/>
    <cellStyle name="Comma 3 2 4 3 3" xfId="12007" xr:uid="{4E9DE69F-659F-44EB-BEFA-26DB97D20B7E}"/>
    <cellStyle name="Comma 3 2 4 3 3 2" xfId="46159" xr:uid="{0B66B88A-2EA7-4516-B7C1-00E4B32FB8B2}"/>
    <cellStyle name="Comma 3 2 4 3 4" xfId="49495" xr:uid="{72DB22CC-8DA3-470A-A472-C2A1EBEDAB84}"/>
    <cellStyle name="Comma 3 2 4 3 5" xfId="53050" xr:uid="{0FC1DAFD-AF85-47BD-8208-E9F5B869BA79}"/>
    <cellStyle name="Comma 3 2 4 3 6" xfId="20314" xr:uid="{5890B26B-CD03-40D2-8B16-30305091A114}"/>
    <cellStyle name="Comma 3 2 4 3 7" xfId="14421" xr:uid="{971A9F0E-E3E7-428D-8C0D-4124E753FA6E}"/>
    <cellStyle name="Comma 3 2 4 4" xfId="11148" xr:uid="{E0FD408A-3BEC-4BD0-8FED-290B8744D363}"/>
    <cellStyle name="Comma 3 2 4 4 2" xfId="13744" xr:uid="{0DE8621A-808E-46A2-8469-D58C4EE5ED93}"/>
    <cellStyle name="Comma 3 2 4 4 2 2" xfId="51285" xr:uid="{975BCE84-1F61-47A3-B2F6-CE63068FCBCB}"/>
    <cellStyle name="Comma 3 2 4 4 2 3" xfId="53051" xr:uid="{F64B8D49-B791-493D-A11A-A78AA4BCDF03}"/>
    <cellStyle name="Comma 3 2 4 4 2 4" xfId="48499" xr:uid="{7BEC748D-D59D-46D9-BF46-2980DC6745E6}"/>
    <cellStyle name="Comma 3 2 4 4 3" xfId="46938" xr:uid="{4A79EE11-1AA6-4DB0-8CE6-A2A629B5A173}"/>
    <cellStyle name="Comma 3 2 4 4 4" xfId="49957" xr:uid="{E40D55E5-93FE-48F5-8AE7-42A5B1559B9A}"/>
    <cellStyle name="Comma 3 2 4 4 5" xfId="53052" xr:uid="{F94B05CE-6E82-4EA8-B69D-20D94C25755A}"/>
    <cellStyle name="Comma 3 2 4 4 6" xfId="23940" xr:uid="{97AC4135-720E-4162-BEDA-414EBE97E1BD}"/>
    <cellStyle name="Comma 3 2 4 4 7" xfId="15050" xr:uid="{CF125DBD-F6AA-4EBB-A070-607D92D6B030}"/>
    <cellStyle name="Comma 3 2 4 5" xfId="9492" xr:uid="{C1CED559-5A33-4422-9FAE-766DBDE22191}"/>
    <cellStyle name="Comma 3 2 4 5 2" xfId="12798" xr:uid="{4FE0EAEF-4FA0-480D-8B42-7BA02F4E6475}"/>
    <cellStyle name="Comma 3 2 4 5 2 2" xfId="51541" xr:uid="{A430F3CD-A82B-4144-A07C-D78F3D37E692}"/>
    <cellStyle name="Comma 3 2 4 5 2 3" xfId="53053" xr:uid="{C65DECCE-2E87-4C4B-87E7-2806BE230F93}"/>
    <cellStyle name="Comma 3 2 4 5 2 4" xfId="48806" xr:uid="{14F3EBBF-8037-41C6-9926-05976604A5FB}"/>
    <cellStyle name="Comma 3 2 4 5 3" xfId="47235" xr:uid="{94EA2DE8-1BB1-4E5A-B061-587E0D4D31C5}"/>
    <cellStyle name="Comma 3 2 4 5 4" xfId="50213" xr:uid="{C8D8BF62-3503-422A-8668-6D52992CB8BC}"/>
    <cellStyle name="Comma 3 2 4 5 5" xfId="53054" xr:uid="{418F5056-6B48-4748-BAEF-E12841588C6C}"/>
    <cellStyle name="Comma 3 2 4 5 6" xfId="38437" xr:uid="{6C653DBC-1F3E-49F7-9182-054CE6D18160}"/>
    <cellStyle name="Comma 3 2 4 6" xfId="6520" xr:uid="{22395249-1E91-44F4-A18A-7C516AF346DB}"/>
    <cellStyle name="Comma 3 2 4 6 2" xfId="47774" xr:uid="{FB21D695-4D7D-4A7F-9087-69D0A758C7EB}"/>
    <cellStyle name="Comma 3 2 4 6 3" xfId="50673" xr:uid="{AEC543D6-787F-46EC-8A74-2BFAFEFD29D6}"/>
    <cellStyle name="Comma 3 2 4 6 4" xfId="53055" xr:uid="{30ADE127-779E-4CC0-9CAB-6664B8CBF27C}"/>
    <cellStyle name="Comma 3 2 4 6 5" xfId="39070" xr:uid="{E373EE6F-C7AB-42F4-B83B-B2DA171CDF77}"/>
    <cellStyle name="Comma 3 2 4 7" xfId="11513" xr:uid="{7746A94E-8039-4310-942C-E6A499DC1E5D}"/>
    <cellStyle name="Comma 3 2 4 7 2" xfId="40260" xr:uid="{1E914C50-C886-47E3-B125-AB106AAC2B2A}"/>
    <cellStyle name="Comma 3 2 4 8" xfId="40902" xr:uid="{A43B74B6-B61E-4784-8BC9-BC401F2DCE17}"/>
    <cellStyle name="Comma 3 2 4 9" xfId="42114" xr:uid="{4E17BCEB-02F3-4266-BE82-5BC60ECA19EC}"/>
    <cellStyle name="Comma 3 2 5" xfId="3887" xr:uid="{7C857E2D-8A39-47B1-A779-4BAAEC1685DB}"/>
    <cellStyle name="Comma 3 2 5 10" xfId="42744" xr:uid="{39099964-EBCF-4B5B-A593-578FDE450094}"/>
    <cellStyle name="Comma 3 2 5 11" xfId="43898" xr:uid="{0DF54BB6-AEF7-4D4F-860F-2AD9BDEBBA89}"/>
    <cellStyle name="Comma 3 2 5 12" xfId="44485" xr:uid="{00B6EF74-7C27-449B-8B08-8F7D6C1B165C}"/>
    <cellStyle name="Comma 3 2 5 13" xfId="46652" xr:uid="{A7C3A1A4-CA84-4284-9E39-4AFB7B142E1C}"/>
    <cellStyle name="Comma 3 2 5 14" xfId="49685" xr:uid="{338617A6-2531-43CC-A217-E62B72FBE307}"/>
    <cellStyle name="Comma 3 2 5 15" xfId="53056" xr:uid="{7C3AEA17-1E74-4FA2-8356-F74BEC04C5AF}"/>
    <cellStyle name="Comma 3 2 5 16" xfId="17097" xr:uid="{3C4DABE5-CCBC-48FA-ADBE-1AAFAF2AE58A}"/>
    <cellStyle name="Comma 3 2 5 17" xfId="14166" xr:uid="{98AB0CDF-5546-4948-A535-EA5CCE51B0BD}"/>
    <cellStyle name="Comma 3 2 5 2" xfId="5629" xr:uid="{CF8FC4AC-3909-49FC-B9EA-2CAF0AF19329}"/>
    <cellStyle name="Comma 3 2 5 2 10" xfId="14658" xr:uid="{B66F6563-05D1-4F24-A3F8-E9A2BC931C22}"/>
    <cellStyle name="Comma 3 2 5 2 2" xfId="10223" xr:uid="{7A7EBE97-9751-49A6-B289-2ABDAAE60BBD}"/>
    <cellStyle name="Comma 3 2 5 2 2 2" xfId="13529" xr:uid="{D4B881AA-572A-42E0-B937-7BC1F55D93A4}"/>
    <cellStyle name="Comma 3 2 5 2 2 2 2" xfId="48426" xr:uid="{C80C7B32-B67F-47C4-A33D-2A2354A2ED2F}"/>
    <cellStyle name="Comma 3 2 5 2 2 3" xfId="51220" xr:uid="{E9C4B09E-959B-4CB7-BFF0-E6D82F889C75}"/>
    <cellStyle name="Comma 3 2 5 2 2 4" xfId="53057" xr:uid="{B022AFD8-9719-445F-95FE-891A5E6198E7}"/>
    <cellStyle name="Comma 3 2 5 2 2 5" xfId="39658" xr:uid="{7AA56C85-1E7E-4AA5-8731-0B61D22E5129}"/>
    <cellStyle name="Comma 3 2 5 2 3" xfId="7731" xr:uid="{87BF1ADA-39C3-4FFD-80F3-41677AD55785}"/>
    <cellStyle name="Comma 3 2 5 2 3 2" xfId="41511" xr:uid="{0CA56DD7-F6D2-4987-8829-B92A8A2F9D28}"/>
    <cellStyle name="Comma 3 2 5 2 4" xfId="12244" xr:uid="{14B0A643-6707-4ABD-A700-9C974515A388}"/>
    <cellStyle name="Comma 3 2 5 2 4 2" xfId="43335" xr:uid="{219F9124-C48E-4D3C-8AE2-C08AAEBC0658}"/>
    <cellStyle name="Comma 3 2 5 2 5" xfId="45432" xr:uid="{EB7723AA-9A8F-4F75-B520-FB377A57A975}"/>
    <cellStyle name="Comma 3 2 5 2 6" xfId="46870" xr:uid="{FDB0375D-AB4B-4C53-861F-08B84F36F5B3}"/>
    <cellStyle name="Comma 3 2 5 2 7" xfId="49892" xr:uid="{BD5A529E-E533-4964-84FD-5A23F95528AB}"/>
    <cellStyle name="Comma 3 2 5 2 8" xfId="53058" xr:uid="{CB42D996-7EA7-4871-96ED-25DF055F44B0}"/>
    <cellStyle name="Comma 3 2 5 2 9" xfId="21092" xr:uid="{1D7B39CE-5D7D-4DCE-BA98-FF3807EAD01C}"/>
    <cellStyle name="Comma 3 2 5 3" xfId="9729" xr:uid="{6B2C861F-9E7E-4617-910F-2CE5BBF48451}"/>
    <cellStyle name="Comma 3 2 5 3 2" xfId="13035" xr:uid="{ABAF890B-A774-4628-9D01-A4B198FFA570}"/>
    <cellStyle name="Comma 3 2 5 3 2 2" xfId="51731" xr:uid="{61C16691-96F6-4F72-97D4-1C1CE41B5402}"/>
    <cellStyle name="Comma 3 2 5 3 2 3" xfId="53059" xr:uid="{8C956F3F-9C8B-4F78-B0CE-3CDC770DCE3D}"/>
    <cellStyle name="Comma 3 2 5 3 2 4" xfId="49041" xr:uid="{E0E1B59B-5FBC-4597-9BEA-31BD37775409}"/>
    <cellStyle name="Comma 3 2 5 3 3" xfId="47460" xr:uid="{18D56560-99CA-44AF-B621-3C035A04D014}"/>
    <cellStyle name="Comma 3 2 5 3 4" xfId="50403" xr:uid="{03530147-7A40-41EA-B326-C0F208D03A3F}"/>
    <cellStyle name="Comma 3 2 5 3 5" xfId="53060" xr:uid="{6B5689E4-BE21-468B-B2AC-AB37C011EA5D}"/>
    <cellStyle name="Comma 3 2 5 3 6" xfId="20311" xr:uid="{9E8A49ED-C298-4289-A339-CE993BD58F8E}"/>
    <cellStyle name="Comma 3 2 5 3 7" xfId="14973" xr:uid="{2AAA2E1F-32AF-4D8A-AEFB-A849E9C75CAB}"/>
    <cellStyle name="Comma 3 2 5 4" xfId="7225" xr:uid="{801607E7-949D-44A5-92EF-E67A42409949}"/>
    <cellStyle name="Comma 3 2 5 4 2" xfId="48186" xr:uid="{58D359C8-A2C3-40D0-9E7B-2140AC9A5F96}"/>
    <cellStyle name="Comma 3 2 5 4 3" xfId="51013" xr:uid="{6CCCF612-70BB-4A89-BED6-F9C1628D9A4C}"/>
    <cellStyle name="Comma 3 2 5 4 4" xfId="53061" xr:uid="{D9CC1E61-3F8A-4BDD-98FB-12EAD2903868}"/>
    <cellStyle name="Comma 3 2 5 4 5" xfId="23941" xr:uid="{5C9F930C-1FC0-48C2-8C8E-CAEACF17C22C}"/>
    <cellStyle name="Comma 3 2 5 5" xfId="11750" xr:uid="{082B6098-F316-440B-8F6F-E2F6DFA6CC21}"/>
    <cellStyle name="Comma 3 2 5 5 2" xfId="38438" xr:uid="{48703EED-BDBE-4AC2-918F-A4874CA4E3A8}"/>
    <cellStyle name="Comma 3 2 5 6" xfId="39067" xr:uid="{DA7C67B7-3FB5-4CDA-A0CC-2273402FE78A}"/>
    <cellStyle name="Comma 3 2 5 7" xfId="40261" xr:uid="{3F564BFB-D8B9-4D5F-A2BE-14EF00C88DEC}"/>
    <cellStyle name="Comma 3 2 5 8" xfId="40903" xr:uid="{1CDF05BB-4268-4FA1-8327-1AF5A0A08913}"/>
    <cellStyle name="Comma 3 2 5 9" xfId="42115" xr:uid="{2E1BAA17-7437-4897-B328-5DEA5C8E525A}"/>
    <cellStyle name="Comma 3 2 6" xfId="5530" xr:uid="{8C513A27-3115-40FF-9DCE-BC65025B90E9}"/>
    <cellStyle name="Comma 3 2 6 10" xfId="42840" xr:uid="{CA172939-8987-4455-A28E-925310A99B66}"/>
    <cellStyle name="Comma 3 2 6 11" xfId="43819" xr:uid="{48BDAACB-9F02-41D2-ABA1-7DFFC6198E3F}"/>
    <cellStyle name="Comma 3 2 6 12" xfId="44967" xr:uid="{E8415113-609A-443A-9086-D4B40FDCB34E}"/>
    <cellStyle name="Comma 3 2 6 13" xfId="46577" xr:uid="{7A1ED92A-3C09-4469-B855-DC78F5CE0F38}"/>
    <cellStyle name="Comma 3 2 6 14" xfId="49610" xr:uid="{CBEEA839-6C96-41D5-A921-13DFC7C8393B}"/>
    <cellStyle name="Comma 3 2 6 15" xfId="53062" xr:uid="{1344E1EB-F452-4A48-A8A3-0FCA6AA7263C}"/>
    <cellStyle name="Comma 3 2 6 16" xfId="19746" xr:uid="{B533B902-96B0-4002-894D-7F5B53DACADF}"/>
    <cellStyle name="Comma 3 2 6 17" xfId="14067" xr:uid="{793A755F-36E9-4B48-A461-0EA253A0F3CC}"/>
    <cellStyle name="Comma 3 2 6 2" xfId="7632" xr:uid="{08FE7224-CE79-4531-9726-F6E91779C82A}"/>
    <cellStyle name="Comma 3 2 6 2 10" xfId="14559" xr:uid="{90639931-737C-4249-8F83-03C47FD6EE37}"/>
    <cellStyle name="Comma 3 2 6 2 2" xfId="10124" xr:uid="{75947DAF-BF3C-4B4A-B56C-492A0B100E1E}"/>
    <cellStyle name="Comma 3 2 6 2 2 2" xfId="13430" xr:uid="{49FEC43A-D151-4E1E-B690-533FC74A3B5F}"/>
    <cellStyle name="Comma 3 2 6 2 2 2 2" xfId="48629" xr:uid="{21C967E4-202E-411D-9DF2-45AC0D6EABD1}"/>
    <cellStyle name="Comma 3 2 6 2 2 3" xfId="51392" xr:uid="{5AFDCC8D-15E2-47A3-B8A4-458C9BC531BA}"/>
    <cellStyle name="Comma 3 2 6 2 2 4" xfId="53063" xr:uid="{B7C15C46-B789-4773-A2A3-6797567EBBA3}"/>
    <cellStyle name="Comma 3 2 6 2 2 5" xfId="39754" xr:uid="{ED0222D5-CB2D-4146-906F-9C81F9E5A9F7}"/>
    <cellStyle name="Comma 3 2 6 2 3" xfId="12145" xr:uid="{3C0573B9-3AC4-4C7E-8C2D-F948F2AC3F76}"/>
    <cellStyle name="Comma 3 2 6 2 3 2" xfId="41607" xr:uid="{E6AEB494-841D-4AE2-BC40-C9E2FA41FB90}"/>
    <cellStyle name="Comma 3 2 6 2 4" xfId="43431" xr:uid="{16CB686E-2085-47BB-B2E8-7BBF99BD692B}"/>
    <cellStyle name="Comma 3 2 6 2 5" xfId="45510" xr:uid="{110ECBA7-03BF-4820-ABF0-2BD069D05E6A}"/>
    <cellStyle name="Comma 3 2 6 2 6" xfId="47063" xr:uid="{CE59954E-3955-4825-811C-43C313BAF588}"/>
    <cellStyle name="Comma 3 2 6 2 7" xfId="50064" xr:uid="{20C8C025-BAF6-48AE-8369-37DEB7A8A9AF}"/>
    <cellStyle name="Comma 3 2 6 2 8" xfId="53064" xr:uid="{E1FCDFB3-DB9D-458E-8847-C726B2626871}"/>
    <cellStyle name="Comma 3 2 6 2 9" xfId="23363" xr:uid="{20F9420A-16D7-462C-A22A-C7AC9E92EE91}"/>
    <cellStyle name="Comma 3 2 6 3" xfId="9630" xr:uid="{6F0EE490-EA19-4397-B83A-2EEF2F285C7F}"/>
    <cellStyle name="Comma 3 2 6 3 2" xfId="12936" xr:uid="{907A18A3-FCB7-40ED-A904-D38ABE8A6128}"/>
    <cellStyle name="Comma 3 2 6 3 2 2" xfId="51656" xr:uid="{C7C588F4-9BA8-43FD-8827-536A4C333669}"/>
    <cellStyle name="Comma 3 2 6 3 2 3" xfId="53065" xr:uid="{530A7855-37DC-4CB7-AA03-0A36296F5808}"/>
    <cellStyle name="Comma 3 2 6 3 2 4" xfId="48944" xr:uid="{2C6F6164-ABB9-4144-8695-4B80F65921A7}"/>
    <cellStyle name="Comma 3 2 6 3 3" xfId="47368" xr:uid="{933A4FD0-7792-4FA8-8F0E-5FD4ACD3FAC3}"/>
    <cellStyle name="Comma 3 2 6 3 4" xfId="50328" xr:uid="{03CD4719-8D1F-492A-B0C0-91DE8B8C52CB}"/>
    <cellStyle name="Comma 3 2 6 3 5" xfId="53066" xr:uid="{F915AAFA-F47E-4CA8-AA5F-B6542D06E3F5}"/>
    <cellStyle name="Comma 3 2 6 3 6" xfId="20407" xr:uid="{6F4829E7-B4E1-4016-8813-C50784716DDF}"/>
    <cellStyle name="Comma 3 2 6 4" xfId="7126" xr:uid="{03875166-2B75-44EE-924E-522A9C2597F4}"/>
    <cellStyle name="Comma 3 2 6 4 2" xfId="48089" xr:uid="{7C0589CB-B66B-4E46-AE79-79C0103243A2}"/>
    <cellStyle name="Comma 3 2 6 4 3" xfId="50938" xr:uid="{C940CAA0-E92D-48B0-AEC1-82733CF1AF5C}"/>
    <cellStyle name="Comma 3 2 6 4 4" xfId="53067" xr:uid="{90046973-5D32-47ED-90D6-7D0C4BBA4446}"/>
    <cellStyle name="Comma 3 2 6 4 5" xfId="23942" xr:uid="{D2203A12-FA05-41EB-8941-21D2AC6C0A51}"/>
    <cellStyle name="Comma 3 2 6 5" xfId="11651" xr:uid="{816F16E9-CB22-4ED1-989C-2F436538728D}"/>
    <cellStyle name="Comma 3 2 6 5 2" xfId="38439" xr:uid="{524FBD44-3B28-4370-9A8B-E5E4559D4517}"/>
    <cellStyle name="Comma 3 2 6 6" xfId="39163" xr:uid="{3F088D75-1FD6-41E9-947A-0C0E9BADA62A}"/>
    <cellStyle name="Comma 3 2 6 7" xfId="40262" xr:uid="{D3B067F2-979B-4D7A-A7A0-02ACA4CA4EF7}"/>
    <cellStyle name="Comma 3 2 6 8" xfId="40904" xr:uid="{1E9B7D1F-7F24-4BF4-BA23-A95C94E783CB}"/>
    <cellStyle name="Comma 3 2 6 9" xfId="42116" xr:uid="{DCF94921-07D9-4228-9325-C2285EFDF3CD}"/>
    <cellStyle name="Comma 3 2 7" xfId="5954" xr:uid="{A0E1C08E-34A3-488D-8DFF-3F8DCD82CC98}"/>
    <cellStyle name="Comma 3 2 7 10" xfId="45808" xr:uid="{AEA83656-2201-4088-9B14-2879C9A1DC5F}"/>
    <cellStyle name="Comma 3 2 7 11" xfId="49430" xr:uid="{E2F0EC46-05E6-46AA-B536-7A3E953A99C7}"/>
    <cellStyle name="Comma 3 2 7 12" xfId="53068" xr:uid="{19D5A746-EC57-4472-9AAC-8666D57B2DA4}"/>
    <cellStyle name="Comma 3 2 7 13" xfId="20515" xr:uid="{D94003B3-D50B-45D8-B655-9C02B92032FA}"/>
    <cellStyle name="Comma 3 2 7 14" xfId="14344" xr:uid="{4366298E-E66B-435E-9386-9B51328DB8E6}"/>
    <cellStyle name="Comma 3 2 7 2" xfId="9412" xr:uid="{A19A0166-6296-4C14-BF28-3C8DCD785F93}"/>
    <cellStyle name="Comma 3 2 7 2 2" xfId="12718" xr:uid="{B3B19334-E9F0-40C2-A300-30FA7AA3E6FB}"/>
    <cellStyle name="Comma 3 2 7 2 2 2" xfId="47881" xr:uid="{215AB03F-FE02-41F0-A533-63CCA62BC033}"/>
    <cellStyle name="Comma 3 2 7 2 3" xfId="50758" xr:uid="{B425D88B-F0A8-4F39-AE47-56C171A18126}"/>
    <cellStyle name="Comma 3 2 7 2 4" xfId="53069" xr:uid="{EEB9297B-7EBD-4A66-A242-DE5E8CF16B54}"/>
    <cellStyle name="Comma 3 2 7 2 5" xfId="23943" xr:uid="{3532E95D-20B0-4E2E-B4A3-CA31829FAFEB}"/>
    <cellStyle name="Comma 3 2 7 3" xfId="11433" xr:uid="{8BF36EAF-A5BC-4689-A9FE-4DD4E42BFFFB}"/>
    <cellStyle name="Comma 3 2 7 3 2" xfId="38440" xr:uid="{15E44AA3-9613-443E-9F9B-C8854B02C9DC}"/>
    <cellStyle name="Comma 3 2 7 4" xfId="39270" xr:uid="{D4B4FBB7-19CA-4308-8E1C-199619EF9D8F}"/>
    <cellStyle name="Comma 3 2 7 5" xfId="40263" xr:uid="{9F5AAAFE-78C7-40B4-8EB7-F392F497F870}"/>
    <cellStyle name="Comma 3 2 7 6" xfId="40905" xr:uid="{8BFFA099-2BCF-4D1B-BF22-50FE7DC2BB17}"/>
    <cellStyle name="Comma 3 2 7 7" xfId="42117" xr:uid="{558E6F8B-CD2C-4850-8DE7-25D4E799BC83}"/>
    <cellStyle name="Comma 3 2 7 8" xfId="42947" xr:uid="{BE6A268E-B1EC-41D8-BAEC-0F638B99B476}"/>
    <cellStyle name="Comma 3 2 7 9" xfId="45054" xr:uid="{2BD5DA54-871F-419D-8A27-1BF57E011589}"/>
    <cellStyle name="Comma 3 2 8" xfId="7417" xr:uid="{7EAC6BFE-62E7-43FD-9A75-B2397BC36AB1}"/>
    <cellStyle name="Comma 3 2 8 2" xfId="9909" xr:uid="{715D6540-8061-4D71-99CB-E77EC40875D8}"/>
    <cellStyle name="Comma 3 2 8 2 2" xfId="13215" xr:uid="{32B63B01-67E1-4EEA-AAB4-66FAEE4B5285}"/>
    <cellStyle name="Comma 3 2 8 2 2 2" xfId="51186" xr:uid="{A2B56B4E-AC68-438E-AC57-B73F13985458}"/>
    <cellStyle name="Comma 3 2 8 2 3" xfId="53070" xr:uid="{90C21F6D-4EC2-4B79-BF1E-0F5D0A2E32A7}"/>
    <cellStyle name="Comma 3 2 8 2 4" xfId="48385" xr:uid="{34989F78-1A37-4028-9864-D6C5A18A5946}"/>
    <cellStyle name="Comma 3 2 8 3" xfId="11930" xr:uid="{F87541DF-46C8-49EE-9856-4F6F29976184}"/>
    <cellStyle name="Comma 3 2 8 3 2" xfId="46834" xr:uid="{DD1DC473-9234-47E1-89B4-42BD8B53A93D}"/>
    <cellStyle name="Comma 3 2 8 4" xfId="49858" xr:uid="{1142655E-3866-4FF9-948D-AF7786B4ECB7}"/>
    <cellStyle name="Comma 3 2 8 5" xfId="53071" xr:uid="{481F2F35-7908-4099-9B7E-BCCAAFF7B934}"/>
    <cellStyle name="Comma 3 2 8 6" xfId="19922" xr:uid="{2BD9C7AE-0F9C-4F9F-BF08-117CCEB69EF0}"/>
    <cellStyle name="Comma 3 2 8 7" xfId="14874" xr:uid="{9FECABDA-2301-4A24-AB09-200C5FAF0493}"/>
    <cellStyle name="Comma 3 2 9" xfId="8160" xr:uid="{87F6E5E8-53F9-4F8D-9180-5D9C12F82E8D}"/>
    <cellStyle name="Comma 3 2 9 2" xfId="12616" xr:uid="{D32B0B38-DBF3-48CF-A8FB-929D04268692}"/>
    <cellStyle name="Comma 3 2 9 2 2" xfId="51476" xr:uid="{9E3929E2-2685-499C-887D-6FEAC859AF62}"/>
    <cellStyle name="Comma 3 2 9 2 3" xfId="53072" xr:uid="{1B8573AF-3EE6-4A9A-89D0-136D225BA8E4}"/>
    <cellStyle name="Comma 3 2 9 2 4" xfId="48732" xr:uid="{7659F583-4FDE-4381-8E49-BCDF187506CC}"/>
    <cellStyle name="Comma 3 2 9 3" xfId="47167" xr:uid="{F5A08944-E247-4A61-A978-FC24555E41AA}"/>
    <cellStyle name="Comma 3 2 9 4" xfId="50148" xr:uid="{DB6545AB-13DE-4907-93E0-D8C88F31B62B}"/>
    <cellStyle name="Comma 3 2 9 5" xfId="53073" xr:uid="{63DE8E2D-D2AE-4ECF-9B6D-B65F81F85CD9}"/>
    <cellStyle name="Comma 3 2 9 6" xfId="23935" xr:uid="{61222A3E-1A14-44A0-8837-6007E1B19F30}"/>
    <cellStyle name="Comma 3 20" xfId="49271" xr:uid="{CC5CA245-F9C6-4046-B19B-4175CA106FAC}"/>
    <cellStyle name="Comma 3 21" xfId="53074" xr:uid="{B2EA911F-29B1-45AD-A4BB-AEE92884CA12}"/>
    <cellStyle name="Comma 3 22" xfId="15220" xr:uid="{41DA7CB4-536B-4E2A-BF33-DC2FFE78ED81}"/>
    <cellStyle name="Comma 3 23" xfId="13928" xr:uid="{55C089A8-8CF7-419E-A474-973CE54DD366}"/>
    <cellStyle name="Comma 3 3" xfId="1776" xr:uid="{A956C2D6-5C8E-4313-9854-1EDBAB61F8A0}"/>
    <cellStyle name="Comma 3 3 10" xfId="53075" xr:uid="{ADA34DEB-4459-4D9B-8D86-4C26B4B6C031}"/>
    <cellStyle name="Comma 3 3 11" xfId="16604" xr:uid="{A01E7444-ED63-4862-9D14-62AAA16E64E4}"/>
    <cellStyle name="Comma 3 3 12" xfId="13932" xr:uid="{CD9FDAA8-37B1-458A-9F61-CC742EAC4001}"/>
    <cellStyle name="Comma 3 3 2" xfId="4452" xr:uid="{D888FB16-594B-4F31-BA82-4E9ECB6C414D}"/>
    <cellStyle name="Comma 3 3 2 10" xfId="42118" xr:uid="{00C4B13B-7F8F-4CBA-BE73-C831EA75A316}"/>
    <cellStyle name="Comma 3 3 2 11" xfId="42432" xr:uid="{1E5B87F8-60AE-4B12-A45C-41397C37AA5C}"/>
    <cellStyle name="Comma 3 3 2 12" xfId="44253" xr:uid="{3E523CF8-0EA4-4CBA-935A-F72494B6B366}"/>
    <cellStyle name="Comma 3 3 2 13" xfId="44553" xr:uid="{3FB44233-66EF-4988-87BC-0D51314C3FC4}"/>
    <cellStyle name="Comma 3 3 2 14" xfId="45718" xr:uid="{FED9DF6D-1186-4F2C-B9F4-2904CCEF6865}"/>
    <cellStyle name="Comma 3 3 2 15" xfId="49346" xr:uid="{9B16038D-8C2B-4663-9EBF-054C01ADD85C}"/>
    <cellStyle name="Comma 3 3 2 16" xfId="53076" xr:uid="{09C75D1D-5AC2-451A-A0F4-80BC68AB106B}"/>
    <cellStyle name="Comma 3 3 2 17" xfId="16460" xr:uid="{984BB404-95CD-4681-B9EE-A8991B98C763}"/>
    <cellStyle name="Comma 3 3 2 18" xfId="14246" xr:uid="{9AF3B8E7-98D2-4D9C-B154-E81997167135}"/>
    <cellStyle name="Comma 3 3 2 2" xfId="5709" xr:uid="{5413CA67-89D2-49B5-B8AC-979419785C34}"/>
    <cellStyle name="Comma 3 3 2 2 10" xfId="42748" xr:uid="{A0967126-7038-4DE3-9B2B-C23A47593212}"/>
    <cellStyle name="Comma 3 3 2 2 11" xfId="44911" xr:uid="{B3AC6460-201C-4FF2-B65D-8934E2620B95}"/>
    <cellStyle name="Comma 3 3 2 2 12" xfId="46721" xr:uid="{7D06AB1C-98EF-48C2-A4FA-51FF721040AA}"/>
    <cellStyle name="Comma 3 3 2 2 13" xfId="49753" xr:uid="{59F1EFBA-CCF6-4B91-8327-C05A3A6638AC}"/>
    <cellStyle name="Comma 3 3 2 2 14" xfId="53077" xr:uid="{0B0700FD-3D1E-4C64-A0B4-D22E90AC2A2B}"/>
    <cellStyle name="Comma 3 3 2 2 15" xfId="17101" xr:uid="{21B4B82B-3511-4787-B5A7-C5F04347C301}"/>
    <cellStyle name="Comma 3 3 2 2 16" xfId="14738" xr:uid="{F51B78F0-F269-43AB-A6F7-13416D7148ED}"/>
    <cellStyle name="Comma 3 3 2 2 2" xfId="10303" xr:uid="{5717C52D-DD50-4EF6-97C0-63102795526C}"/>
    <cellStyle name="Comma 3 3 2 2 2 2" xfId="13609" xr:uid="{E74A306F-7117-41AE-9EC0-64FFEB32ACD1}"/>
    <cellStyle name="Comma 3 3 2 2 2 2 2" xfId="39662" xr:uid="{F9C86A57-AD60-4EB4-8D86-0DA9E21B8699}"/>
    <cellStyle name="Comma 3 3 2 2 2 3" xfId="41515" xr:uid="{65B52D9F-A22E-4590-BFB8-E247E51ED64D}"/>
    <cellStyle name="Comma 3 3 2 2 2 4" xfId="43339" xr:uid="{0D104A20-C0E7-4DE2-B99B-222F2147A09A}"/>
    <cellStyle name="Comma 3 3 2 2 2 5" xfId="45436" xr:uid="{60254C2B-8AAA-463B-9335-4C7AA0A52C6B}"/>
    <cellStyle name="Comma 3 3 2 2 2 6" xfId="48263" xr:uid="{D04F88E6-7A70-444D-91E3-0EB663BDC304}"/>
    <cellStyle name="Comma 3 3 2 2 2 7" xfId="51081" xr:uid="{64FB5CB4-17E9-49A1-A333-CFD645E4140C}"/>
    <cellStyle name="Comma 3 3 2 2 2 8" xfId="53078" xr:uid="{9AAAF694-70AB-42CB-9D1C-1020EFD2F3ED}"/>
    <cellStyle name="Comma 3 3 2 2 2 9" xfId="21096" xr:uid="{653D3165-0923-4A0B-98C1-2DD9EAB4CA17}"/>
    <cellStyle name="Comma 3 3 2 2 3" xfId="7811" xr:uid="{94C5FE5C-5DFA-4072-9098-A80F674C4A3F}"/>
    <cellStyle name="Comma 3 3 2 2 3 2" xfId="20315" xr:uid="{E0B0830C-A43F-4689-A858-2A8781461A6F}"/>
    <cellStyle name="Comma 3 3 2 2 4" xfId="12324" xr:uid="{8D3EFC31-0FEB-441E-9AB8-2B283F9A25AC}"/>
    <cellStyle name="Comma 3 3 2 2 4 2" xfId="23945" xr:uid="{96A6E431-1246-44A5-A6A1-B2B01C4179FF}"/>
    <cellStyle name="Comma 3 3 2 2 5" xfId="38442" xr:uid="{CAC3B173-D40C-4688-93DC-5DF2DA8E3734}"/>
    <cellStyle name="Comma 3 3 2 2 6" xfId="39071" xr:uid="{09EF3774-53B2-4856-B1EA-29A4C57C062C}"/>
    <cellStyle name="Comma 3 3 2 2 7" xfId="40265" xr:uid="{807D3394-D7DD-4C85-8659-DE588D9A914F}"/>
    <cellStyle name="Comma 3 3 2 2 8" xfId="40907" xr:uid="{68D126BE-1DAA-4244-9173-CB1EC02D737D}"/>
    <cellStyle name="Comma 3 3 2 2 9" xfId="42119" xr:uid="{673F3927-487A-43FA-BF77-6513E8907490}"/>
    <cellStyle name="Comma 3 3 2 3" xfId="11149" xr:uid="{23F68B82-0B2A-449F-B2F4-922D7B865A44}"/>
    <cellStyle name="Comma 3 3 2 3 10" xfId="15053" xr:uid="{74423D88-7D50-4B47-B0CE-BE4115CF6EF4}"/>
    <cellStyle name="Comma 3 3 2 3 2" xfId="13745" xr:uid="{8F851110-AE8F-4994-BD8A-E9181F56DD6F}"/>
    <cellStyle name="Comma 3 3 2 3 2 2" xfId="48502" xr:uid="{A1AE592A-594E-4B97-9E03-D4E6EC03428A}"/>
    <cellStyle name="Comma 3 3 2 3 2 3" xfId="51288" xr:uid="{3362AB5B-AD21-44A5-9E38-CF21BAE84CC6}"/>
    <cellStyle name="Comma 3 3 2 3 2 4" xfId="53079" xr:uid="{C83ED99D-D141-4B87-834D-5CE91869DFA9}"/>
    <cellStyle name="Comma 3 3 2 3 2 5" xfId="39346" xr:uid="{A460E5C0-CA82-4ADD-B894-7904845C5B05}"/>
    <cellStyle name="Comma 3 3 2 3 3" xfId="41204" xr:uid="{8C2D422F-B115-4C80-AAC0-9D6440407D27}"/>
    <cellStyle name="Comma 3 3 2 3 4" xfId="43023" xr:uid="{54D31F63-5737-479C-AE1A-8D57679260AB}"/>
    <cellStyle name="Comma 3 3 2 3 5" xfId="45124" xr:uid="{87F2DCFE-F04F-4852-B289-F965A4C8F028}"/>
    <cellStyle name="Comma 3 3 2 3 6" xfId="46941" xr:uid="{65EF7B5F-B929-428D-B09A-5644E6895823}"/>
    <cellStyle name="Comma 3 3 2 3 7" xfId="49960" xr:uid="{92349140-276E-4BBE-99D7-701E1C8BF684}"/>
    <cellStyle name="Comma 3 3 2 3 8" xfId="53080" xr:uid="{660C96BD-3CF0-4998-9D89-BA847608AAE6}"/>
    <cellStyle name="Comma 3 3 2 3 9" xfId="20655" xr:uid="{783665A2-4BA3-4C63-94E0-76CC994E92F7}"/>
    <cellStyle name="Comma 3 3 2 4" xfId="9809" xr:uid="{14A03DFD-4BE7-4F1A-9C86-28D160400740}"/>
    <cellStyle name="Comma 3 3 2 4 2" xfId="13115" xr:uid="{775A3EBB-A9A1-4B34-9445-83AF8858771F}"/>
    <cellStyle name="Comma 3 3 2 4 2 2" xfId="51799" xr:uid="{86AF3826-7D63-47B2-9D25-8D1C4BE790A2}"/>
    <cellStyle name="Comma 3 3 2 4 2 3" xfId="53081" xr:uid="{78543F39-31BA-4681-AAB7-093B70545D1F}"/>
    <cellStyle name="Comma 3 3 2 4 2 4" xfId="49119" xr:uid="{7EDC03B0-0078-4C7D-B1E5-AE9B0422A196}"/>
    <cellStyle name="Comma 3 3 2 4 3" xfId="47536" xr:uid="{33FC6F5D-86D2-4583-8D69-D74CF48761A4}"/>
    <cellStyle name="Comma 3 3 2 4 4" xfId="50471" xr:uid="{D44356FC-B34B-4118-A83B-60DB59CFFA94}"/>
    <cellStyle name="Comma 3 3 2 4 5" xfId="53082" xr:uid="{391D1A66-9BA4-405F-B79F-8F03A6516928}"/>
    <cellStyle name="Comma 3 3 2 4 6" xfId="19999" xr:uid="{17AE1B77-56A4-4444-8FFC-365ECE528B85}"/>
    <cellStyle name="Comma 3 3 2 5" xfId="7307" xr:uid="{3DE3138F-0F49-47A9-82AE-6DCC66B36B80}"/>
    <cellStyle name="Comma 3 3 2 5 2" xfId="47775" xr:uid="{6572563A-B24B-4988-ACB1-93112A58E7A6}"/>
    <cellStyle name="Comma 3 3 2 5 3" xfId="50674" xr:uid="{D26F0226-7FC7-4FB9-B8ED-A7B98E0C3BAF}"/>
    <cellStyle name="Comma 3 3 2 5 4" xfId="53083" xr:uid="{6AF648DB-E5CF-4FA7-953F-875928FB7F7B}"/>
    <cellStyle name="Comma 3 3 2 5 5" xfId="23944" xr:uid="{D5F5E62B-0F19-4029-A4CE-ABCC3582FEBD}"/>
    <cellStyle name="Comma 3 3 2 6" xfId="11830" xr:uid="{9AD4C2E6-D735-4CA9-B642-A67C9DCB6C5A}"/>
    <cellStyle name="Comma 3 3 2 6 2" xfId="38441" xr:uid="{7E85F0BE-F4FF-4237-A57F-B6022DA03FE0}"/>
    <cellStyle name="Comma 3 3 2 7" xfId="38755" xr:uid="{2CC6C81D-544D-4570-A54D-57166E594C9E}"/>
    <cellStyle name="Comma 3 3 2 8" xfId="40264" xr:uid="{DEFA78D5-DEF3-4206-A456-FA96E7EA2FF9}"/>
    <cellStyle name="Comma 3 3 2 9" xfId="40906" xr:uid="{3A0A4133-9CED-456D-8888-DB998DE0917B}"/>
    <cellStyle name="Comma 3 3 3" xfId="5533" xr:uid="{E731F1F2-3229-4ABE-ADFF-7B09FD05CC2F}"/>
    <cellStyle name="Comma 3 3 3 10" xfId="42841" xr:uid="{75C74B69-D2F6-4E78-BCED-47C4D512AEED}"/>
    <cellStyle name="Comma 3 3 3 11" xfId="43822" xr:uid="{31A60D59-BBA3-48E8-AE91-7D3D615AE519}"/>
    <cellStyle name="Comma 3 3 3 12" xfId="44968" xr:uid="{27E1AC99-B5CA-4D9C-9C59-EEA8D6FB15F5}"/>
    <cellStyle name="Comma 3 3 3 13" xfId="46580" xr:uid="{29B9DC4F-3709-4EC5-8496-16F17A0605F1}"/>
    <cellStyle name="Comma 3 3 3 14" xfId="49613" xr:uid="{3909A3DD-CA99-402F-843B-BB363A9BDA65}"/>
    <cellStyle name="Comma 3 3 3 15" xfId="53084" xr:uid="{5265CA58-DBD4-46E9-A379-D47C7F3004BF}"/>
    <cellStyle name="Comma 3 3 3 16" xfId="19747" xr:uid="{CAB97E65-4302-4A4B-95F2-2EBE2A0AD25E}"/>
    <cellStyle name="Comma 3 3 3 17" xfId="14070" xr:uid="{AD45C789-7AE6-4AE3-8556-C1A4FB2D7E50}"/>
    <cellStyle name="Comma 3 3 3 2" xfId="7635" xr:uid="{49017F06-11B4-4312-8E65-3630A15B81BB}"/>
    <cellStyle name="Comma 3 3 3 2 10" xfId="14562" xr:uid="{83AF809B-B7D5-4787-8B3C-BA5B307EEE25}"/>
    <cellStyle name="Comma 3 3 3 2 2" xfId="10127" xr:uid="{150CEE13-E10D-4CAA-A0BF-4A4B18E807E0}"/>
    <cellStyle name="Comma 3 3 3 2 2 2" xfId="13433" xr:uid="{E8CD04B8-CA6F-416A-9C63-A925CA295542}"/>
    <cellStyle name="Comma 3 3 3 2 2 2 2" xfId="48630" xr:uid="{77DF6AD2-805F-4A25-B276-DDABF19D4A2B}"/>
    <cellStyle name="Comma 3 3 3 2 2 3" xfId="51393" xr:uid="{67F560B8-D2DD-4D44-A434-D7DBF8E1A627}"/>
    <cellStyle name="Comma 3 3 3 2 2 4" xfId="53085" xr:uid="{2587DCCA-EA81-4BE5-A46F-344F1BD5EDD7}"/>
    <cellStyle name="Comma 3 3 3 2 2 5" xfId="39755" xr:uid="{38CBB59C-DB66-4A55-80B7-5C0BD306899A}"/>
    <cellStyle name="Comma 3 3 3 2 3" xfId="12148" xr:uid="{D142024B-132A-40B9-ACEA-8A7E470EF37A}"/>
    <cellStyle name="Comma 3 3 3 2 3 2" xfId="41608" xr:uid="{E6D3277B-6D5C-4CB0-B0FD-25A96680D592}"/>
    <cellStyle name="Comma 3 3 3 2 4" xfId="43432" xr:uid="{1D127508-66AC-416F-A417-4E0FDE192BD9}"/>
    <cellStyle name="Comma 3 3 3 2 5" xfId="45511" xr:uid="{40239ABA-C5C7-4939-B137-9455B0518A23}"/>
    <cellStyle name="Comma 3 3 3 2 6" xfId="47064" xr:uid="{EE2C65BF-D6B0-465C-B459-9902F396B4B3}"/>
    <cellStyle name="Comma 3 3 3 2 7" xfId="50065" xr:uid="{13DABAE4-C270-43BA-AD81-D57070AE4751}"/>
    <cellStyle name="Comma 3 3 3 2 8" xfId="53086" xr:uid="{81723BD1-5083-44FF-8B63-08052A513821}"/>
    <cellStyle name="Comma 3 3 3 2 9" xfId="23364" xr:uid="{6C5E5263-A99E-49E7-82AD-39DC4081FC01}"/>
    <cellStyle name="Comma 3 3 3 3" xfId="9633" xr:uid="{15C97C43-B2F0-4D8D-A9F8-E810D8288580}"/>
    <cellStyle name="Comma 3 3 3 3 2" xfId="12939" xr:uid="{DB93A5FA-8A4F-4AB9-9D3C-783B21A9CF49}"/>
    <cellStyle name="Comma 3 3 3 3 2 2" xfId="51659" xr:uid="{BAC7268C-0E42-4D23-B97C-DC3A6293F0D5}"/>
    <cellStyle name="Comma 3 3 3 3 2 3" xfId="53087" xr:uid="{C2BC54F7-FA85-4BC7-ABD8-94368E089E8D}"/>
    <cellStyle name="Comma 3 3 3 3 2 4" xfId="48947" xr:uid="{404AF7B3-B5A2-4CCD-862B-8643BC6AD118}"/>
    <cellStyle name="Comma 3 3 3 3 3" xfId="47371" xr:uid="{5A4D68DF-3E18-4436-B20C-2D1CC7B005AB}"/>
    <cellStyle name="Comma 3 3 3 3 4" xfId="50331" xr:uid="{B1EF4D43-26CB-4532-87F1-67A2D5EAF466}"/>
    <cellStyle name="Comma 3 3 3 3 5" xfId="53088" xr:uid="{B230C6F5-7E15-46D4-86C9-632C31E25421}"/>
    <cellStyle name="Comma 3 3 3 3 6" xfId="20408" xr:uid="{9E67C9BA-6D7E-4A62-989E-685CDBB6A420}"/>
    <cellStyle name="Comma 3 3 3 4" xfId="7129" xr:uid="{B4469667-A6E4-4CFD-BF1B-C7B860457719}"/>
    <cellStyle name="Comma 3 3 3 4 2" xfId="48092" xr:uid="{F6AA379B-2933-4FDE-8A5D-78DEC219435C}"/>
    <cellStyle name="Comma 3 3 3 4 3" xfId="50941" xr:uid="{7337C2AE-4E70-4469-8773-022689984C91}"/>
    <cellStyle name="Comma 3 3 3 4 4" xfId="53089" xr:uid="{9F940932-D079-47AB-8A70-8BBE650CD016}"/>
    <cellStyle name="Comma 3 3 3 4 5" xfId="23946" xr:uid="{A3469038-C141-4E7D-B926-0384C4EE9212}"/>
    <cellStyle name="Comma 3 3 3 5" xfId="11654" xr:uid="{00863707-5888-47CA-92E1-4C9EA07A8888}"/>
    <cellStyle name="Comma 3 3 3 5 2" xfId="38443" xr:uid="{CA7CD0D6-6663-4BAB-B7BC-14B32AC023DA}"/>
    <cellStyle name="Comma 3 3 3 6" xfId="39164" xr:uid="{C239897A-4661-4C81-B917-9D3F7C59F514}"/>
    <cellStyle name="Comma 3 3 3 7" xfId="40266" xr:uid="{D9843DEA-9599-42E1-8151-77C424FD170B}"/>
    <cellStyle name="Comma 3 3 3 8" xfId="40908" xr:uid="{DEF69949-471C-4588-AF8B-2A51529EF8D2}"/>
    <cellStyle name="Comma 3 3 3 9" xfId="42120" xr:uid="{F16738B5-66EC-4FCD-8CB4-74F4C9AA21B2}"/>
    <cellStyle name="Comma 3 3 4" xfId="6523" xr:uid="{75EA2A98-1D64-4453-95B9-B320ADB5B9AE}"/>
    <cellStyle name="Comma 3 3 4 2" xfId="9495" xr:uid="{D832FBFC-9273-4081-9234-CE67B680B0D4}"/>
    <cellStyle name="Comma 3 3 4 2 2" xfId="12801" xr:uid="{81A2D10D-BBAF-448B-9F72-B7CB10FE1D0B}"/>
    <cellStyle name="Comma 3 3 4 2 2 2" xfId="50826" xr:uid="{05E95CEB-A385-4DB5-96B4-983ACBCA8046}"/>
    <cellStyle name="Comma 3 3 4 2 3" xfId="53090" xr:uid="{CDA7E8FA-5B63-4894-A98C-12D37B836AA3}"/>
    <cellStyle name="Comma 3 3 4 2 4" xfId="47957" xr:uid="{4793F586-9022-4EDB-AA07-3D81CF52FA68}"/>
    <cellStyle name="Comma 3 3 4 3" xfId="11516" xr:uid="{ABD0E422-D0F6-46E7-A415-BF95D258BF9E}"/>
    <cellStyle name="Comma 3 3 4 3 2" xfId="46162" xr:uid="{73BB77D1-B944-4ACC-9FBB-26793423D723}"/>
    <cellStyle name="Comma 3 3 4 4" xfId="49498" xr:uid="{C8B67351-156B-4865-B1AD-6E9DCE4C175A}"/>
    <cellStyle name="Comma 3 3 4 5" xfId="53091" xr:uid="{27439EEB-A616-425E-A3D9-BD05C476250B}"/>
    <cellStyle name="Comma 3 3 4 6" xfId="43549" xr:uid="{BBB650FD-F413-44DB-8A65-30175441456A}"/>
    <cellStyle name="Comma 3 3 4 7" xfId="14424" xr:uid="{10A83A3E-DB07-4DB6-852F-3DCF2FD08834}"/>
    <cellStyle name="Comma 3 3 5" xfId="7497" xr:uid="{30567A6E-B46E-48C0-ADE7-0528D2F8B115}"/>
    <cellStyle name="Comma 3 3 5 2" xfId="9989" xr:uid="{A975D5CC-6AFA-41B2-B183-54B145534417}"/>
    <cellStyle name="Comma 3 3 5 2 2" xfId="13295" xr:uid="{F3C6C001-CFCF-456F-811E-145B1419BF88}"/>
    <cellStyle name="Comma 3 3 5 2 2 2" xfId="51187" xr:uid="{3A0F6F48-C87A-4EC7-B8D8-A6DAD067CE7E}"/>
    <cellStyle name="Comma 3 3 5 2 3" xfId="53092" xr:uid="{79E4DEFF-E460-474B-A921-948CDEF12C93}"/>
    <cellStyle name="Comma 3 3 5 2 4" xfId="48386" xr:uid="{132A17F4-A570-41CF-9861-D1403DA49D33}"/>
    <cellStyle name="Comma 3 3 5 3" xfId="12010" xr:uid="{989910B4-C604-46BF-9BE3-FD38F139E064}"/>
    <cellStyle name="Comma 3 3 5 3 2" xfId="46835" xr:uid="{A361F18E-8957-4A4E-9228-F2F2A3E97E4B}"/>
    <cellStyle name="Comma 3 3 5 4" xfId="49859" xr:uid="{07A2103E-4185-4CBA-BA34-915444093ABF}"/>
    <cellStyle name="Comma 3 3 5 5" xfId="53093" xr:uid="{C012948E-F431-4B73-8F07-93C996C5F3DD}"/>
    <cellStyle name="Comma 3 3 5 6" xfId="44412" xr:uid="{AA06ABB4-FB79-403D-8636-4BED6ABB0D57}"/>
    <cellStyle name="Comma 3 3 5 7" xfId="14877" xr:uid="{0372E449-AC7B-4305-B2DC-1D15BCDB85F4}"/>
    <cellStyle name="Comma 3 3 6" xfId="8163" xr:uid="{19B8E11B-793B-4D67-A26F-F78D670DE9E0}"/>
    <cellStyle name="Comma 3 3 6 2" xfId="12619" xr:uid="{CC091128-F809-44CE-9138-B7BA5151DC22}"/>
    <cellStyle name="Comma 3 3 6 2 2" xfId="51544" xr:uid="{377F06BA-B627-4E32-AD3B-693D45AF3269}"/>
    <cellStyle name="Comma 3 3 6 2 3" xfId="53094" xr:uid="{6270EEB8-62D4-4625-9F40-2DCA97F5D207}"/>
    <cellStyle name="Comma 3 3 6 2 4" xfId="48809" xr:uid="{950D4E95-2EB9-46BE-BC48-232D6EE9BBA3}"/>
    <cellStyle name="Comma 3 3 6 3" xfId="50216" xr:uid="{A0D88098-7F57-4A36-9EFD-39C850C9EA36}"/>
    <cellStyle name="Comma 3 3 6 4" xfId="53095" xr:uid="{95F7BFED-7B41-4D54-85AD-3C5E37CEEC58}"/>
    <cellStyle name="Comma 3 3 6 5" xfId="47238" xr:uid="{1304986D-DC6A-4002-A9F7-725219D9FB5A}"/>
    <cellStyle name="Comma 3 3 7" xfId="7950" xr:uid="{0C814FAD-86B0-47FF-9721-A14EC9AADE57}"/>
    <cellStyle name="Comma 3 3 7 2" xfId="12463" xr:uid="{BA47616F-A73C-44EC-A9A7-21F1A6C6328A}"/>
    <cellStyle name="Comma 3 3 7 2 2" xfId="50601" xr:uid="{93DD2FBE-CC48-4331-9C2F-714A0B87A560}"/>
    <cellStyle name="Comma 3 3 7 3" xfId="53096" xr:uid="{1F678B78-4616-46B6-B865-E549FB7C3E40}"/>
    <cellStyle name="Comma 3 3 7 4" xfId="47693" xr:uid="{416B44C1-7FE8-498E-87A7-25352DFA315F}"/>
    <cellStyle name="Comma 3 3 8" xfId="5847" xr:uid="{2F8E8C4E-D0F3-4726-A8AE-FB678E95B573}"/>
    <cellStyle name="Comma 3 3 8 2" xfId="45644" xr:uid="{1F384378-EB54-434F-A9F8-EDC3DB41288C}"/>
    <cellStyle name="Comma 3 3 9" xfId="11335" xr:uid="{195B1EF2-F4F5-4C11-AF3B-BA5A45992969}"/>
    <cellStyle name="Comma 3 3 9 2" xfId="49273" xr:uid="{D2C6FD51-C1F0-46FD-AE10-3B5B37701638}"/>
    <cellStyle name="Comma 3 4" xfId="4448" xr:uid="{083F3715-EB1D-4492-8A76-21A99A62B5AE}"/>
    <cellStyle name="Comma 3 4 10" xfId="42121" xr:uid="{C826B388-BF0D-459C-A2EB-EFAF9C101CA8}"/>
    <cellStyle name="Comma 3 4 11" xfId="42469" xr:uid="{FF9F325E-CC37-40E5-ABE7-94577F05A391}"/>
    <cellStyle name="Comma 3 4 12" xfId="44249" xr:uid="{6A7D5A50-EAA9-4F25-892E-E991CA01CAE0}"/>
    <cellStyle name="Comma 3 4 13" xfId="44549" xr:uid="{E6405277-1D9B-498D-937F-3FC6523BF1E2}"/>
    <cellStyle name="Comma 3 4 14" xfId="45716" xr:uid="{36D5B291-BCAB-4070-BA1C-DFF15CD72C25}"/>
    <cellStyle name="Comma 3 4 15" xfId="49344" xr:uid="{99DBD224-BA28-4751-8730-6E2821991E31}"/>
    <cellStyle name="Comma 3 4 16" xfId="53097" xr:uid="{84ECD938-76EF-462B-BE4B-360C5740479D}"/>
    <cellStyle name="Comma 3 4 17" xfId="16663" xr:uid="{0F21F0F7-361C-4820-8B5F-10D6D8F4D932}"/>
    <cellStyle name="Comma 3 4 18" xfId="14242" xr:uid="{106B28DD-6C54-4F0C-9A96-03E7CD4A39A3}"/>
    <cellStyle name="Comma 3 4 2" xfId="5705" xr:uid="{A0403693-3800-433E-921A-3C5940495C1D}"/>
    <cellStyle name="Comma 3 4 2 10" xfId="42749" xr:uid="{BF7605DF-A98A-4D5D-808A-74CF05BB0C11}"/>
    <cellStyle name="Comma 3 4 2 11" xfId="44912" xr:uid="{D89661F4-DE07-4094-968C-D68AAD7583C3}"/>
    <cellStyle name="Comma 3 4 2 12" xfId="46717" xr:uid="{915F3400-AF00-45A3-B5CD-8EF19161681A}"/>
    <cellStyle name="Comma 3 4 2 13" xfId="49749" xr:uid="{2078C720-DB77-4AF8-B20F-F3E5FD7B6B1F}"/>
    <cellStyle name="Comma 3 4 2 14" xfId="53098" xr:uid="{45C1F3CB-1DF8-4717-8515-3FCC5C9B3B1D}"/>
    <cellStyle name="Comma 3 4 2 15" xfId="17102" xr:uid="{3FE7201A-9BFB-42E6-A7B2-15F9FD67AA30}"/>
    <cellStyle name="Comma 3 4 2 16" xfId="14734" xr:uid="{00976424-72AC-40AD-BFCB-126AB4DAC809}"/>
    <cellStyle name="Comma 3 4 2 2" xfId="10299" xr:uid="{E56A351B-3308-46B6-8F22-9D74110A6A60}"/>
    <cellStyle name="Comma 3 4 2 2 2" xfId="13605" xr:uid="{54A59926-3599-4B9F-B684-0BC7E43038B7}"/>
    <cellStyle name="Comma 3 4 2 2 2 2" xfId="39663" xr:uid="{F5AF8D29-188F-4884-AED2-CCCDD8AA557F}"/>
    <cellStyle name="Comma 3 4 2 2 3" xfId="41516" xr:uid="{2C5BDCC1-54C5-4FC9-B84D-D48886EDEC40}"/>
    <cellStyle name="Comma 3 4 2 2 4" xfId="43340" xr:uid="{38DD8857-B457-4A5E-A29A-502EC317E018}"/>
    <cellStyle name="Comma 3 4 2 2 5" xfId="45437" xr:uid="{5B9D35DD-8F3F-4A8A-B686-E292EEAABD52}"/>
    <cellStyle name="Comma 3 4 2 2 6" xfId="48259" xr:uid="{1C13EEE4-5215-4BC9-AC13-EA8222F2A3A4}"/>
    <cellStyle name="Comma 3 4 2 2 7" xfId="51077" xr:uid="{B26B9779-3A89-4EF3-9525-1E111FB8446C}"/>
    <cellStyle name="Comma 3 4 2 2 8" xfId="53099" xr:uid="{683A2781-7557-4D29-8FBE-64800F89F932}"/>
    <cellStyle name="Comma 3 4 2 2 9" xfId="21097" xr:uid="{7D2402B2-B56E-457D-8488-60B721B54F19}"/>
    <cellStyle name="Comma 3 4 2 3" xfId="7807" xr:uid="{FB2BE3D3-2BEA-4962-BF6B-06D89FDEA099}"/>
    <cellStyle name="Comma 3 4 2 3 2" xfId="20316" xr:uid="{CBDF057E-F74C-4967-9654-5AE26C958D7B}"/>
    <cellStyle name="Comma 3 4 2 4" xfId="12320" xr:uid="{6BBF372A-757D-45E7-BB1F-1F5102F3D56A}"/>
    <cellStyle name="Comma 3 4 2 4 2" xfId="23948" xr:uid="{6B1760E8-E3E9-47D3-8590-D13D12719BF1}"/>
    <cellStyle name="Comma 3 4 2 5" xfId="38445" xr:uid="{26DAFB07-4939-40EA-BA39-01C0A5FF51E0}"/>
    <cellStyle name="Comma 3 4 2 6" xfId="39072" xr:uid="{F2E0D9AA-D1AE-4A82-9147-AEE951B0B0D8}"/>
    <cellStyle name="Comma 3 4 2 7" xfId="40268" xr:uid="{2D51F396-D29A-4566-ABB5-A1D3F7B35260}"/>
    <cellStyle name="Comma 3 4 2 8" xfId="40910" xr:uid="{883071BC-CA74-4ABE-AAC7-A6B39996D3DF}"/>
    <cellStyle name="Comma 3 4 2 9" xfId="42122" xr:uid="{FAEB4325-01CB-4B6B-A357-2DA97FBDA5BF}"/>
    <cellStyle name="Comma 3 4 3" xfId="11147" xr:uid="{1EA24094-16B2-4E82-BC6C-93C3DBEDFCDA}"/>
    <cellStyle name="Comma 3 4 3 10" xfId="15049" xr:uid="{31A7B6F0-3711-42D1-8E5F-4F3BCB96B175}"/>
    <cellStyle name="Comma 3 4 3 2" xfId="13743" xr:uid="{44142AB9-AD21-44C3-B74A-AB282BED8659}"/>
    <cellStyle name="Comma 3 4 3 2 2" xfId="48498" xr:uid="{562AE11E-22C9-4CD6-923A-C3D7D0325459}"/>
    <cellStyle name="Comma 3 4 3 2 3" xfId="51284" xr:uid="{D085411E-ECA6-4D1E-8AA6-CA3B24D85EF4}"/>
    <cellStyle name="Comma 3 4 3 2 4" xfId="53100" xr:uid="{47575364-E673-4B5D-AE2B-FA498FC78DBB}"/>
    <cellStyle name="Comma 3 4 3 2 5" xfId="39383" xr:uid="{44F1C79C-DAEC-4E3F-AE53-DB7C25EA3A33}"/>
    <cellStyle name="Comma 3 4 3 3" xfId="41241" xr:uid="{5343476E-192B-4DEC-AA46-0C4662D37CE8}"/>
    <cellStyle name="Comma 3 4 3 4" xfId="43060" xr:uid="{9D0BAB2D-1194-4690-BB9E-2F1837618814}"/>
    <cellStyle name="Comma 3 4 3 5" xfId="45161" xr:uid="{4DF620C5-2158-4761-A500-C420379691FA}"/>
    <cellStyle name="Comma 3 4 3 6" xfId="46937" xr:uid="{CB046D6E-044A-4CDB-8217-79B69B55E103}"/>
    <cellStyle name="Comma 3 4 3 7" xfId="49956" xr:uid="{2BB0FF22-C10D-4C37-96B1-C9870D96815F}"/>
    <cellStyle name="Comma 3 4 3 8" xfId="53101" xr:uid="{5D497B36-AFEB-4228-9607-794267185AAC}"/>
    <cellStyle name="Comma 3 4 3 9" xfId="20757" xr:uid="{5B0AF6FF-E299-4194-9308-4B58DAFCE2EE}"/>
    <cellStyle name="Comma 3 4 4" xfId="9805" xr:uid="{8AD0E654-2546-458D-A94C-8E75E1059A6B}"/>
    <cellStyle name="Comma 3 4 4 2" xfId="13111" xr:uid="{883364B7-A794-46C6-B7AE-6F794013E026}"/>
    <cellStyle name="Comma 3 4 4 2 2" xfId="51795" xr:uid="{982485C7-A029-4F90-B55A-97A49915A128}"/>
    <cellStyle name="Comma 3 4 4 2 3" xfId="53102" xr:uid="{46B23FD6-4615-4A42-A1E5-8CCAAA2264F6}"/>
    <cellStyle name="Comma 3 4 4 2 4" xfId="49115" xr:uid="{F48157AA-3CD1-417D-ACF1-1C9BAE53A6E9}"/>
    <cellStyle name="Comma 3 4 4 3" xfId="47532" xr:uid="{CCC90EA6-A1CE-4621-A8B3-CE5210D223FE}"/>
    <cellStyle name="Comma 3 4 4 4" xfId="50467" xr:uid="{E4726BF0-3982-42B6-A4E9-857C54EDCE5D}"/>
    <cellStyle name="Comma 3 4 4 5" xfId="53103" xr:uid="{B2531BC8-3678-4CBB-8B6B-D2F0D5C21891}"/>
    <cellStyle name="Comma 3 4 4 6" xfId="20036" xr:uid="{AE7DEA80-12E5-408C-9B15-98C593E0B54E}"/>
    <cellStyle name="Comma 3 4 5" xfId="7303" xr:uid="{35E8E261-0105-4B4A-90BD-AD32115B6577}"/>
    <cellStyle name="Comma 3 4 5 2" xfId="47773" xr:uid="{79D505DF-F0A9-4928-B1AE-2DD0BD3A729A}"/>
    <cellStyle name="Comma 3 4 5 3" xfId="50672" xr:uid="{17D2F008-12AC-4279-B07D-24E6B931B6D8}"/>
    <cellStyle name="Comma 3 4 5 4" xfId="53104" xr:uid="{1EE4AD88-6F0A-4941-89AB-4DE86A9DEC6F}"/>
    <cellStyle name="Comma 3 4 5 5" xfId="23947" xr:uid="{025CC8C4-F83D-415A-9AA3-0BCF16E4E473}"/>
    <cellStyle name="Comma 3 4 6" xfId="11826" xr:uid="{C507DE6B-A0FA-4F4E-8606-CE464FDBF098}"/>
    <cellStyle name="Comma 3 4 6 2" xfId="38444" xr:uid="{9B12F624-045D-4E48-A808-EE4A19336DDA}"/>
    <cellStyle name="Comma 3 4 7" xfId="38792" xr:uid="{AF415129-5239-4199-B5B1-EE79AC355DBB}"/>
    <cellStyle name="Comma 3 4 8" xfId="40267" xr:uid="{779E039F-51DD-4D1E-94D9-DEC71E919A15}"/>
    <cellStyle name="Comma 3 4 9" xfId="40909" xr:uid="{8DBA1DF0-2EC9-43BD-85F0-05765EC11AE8}"/>
    <cellStyle name="Comma 3 5" xfId="5529" xr:uid="{92CB471A-4924-45F8-AF8A-68FED0D914B3}"/>
    <cellStyle name="Comma 3 5 10" xfId="42123" xr:uid="{8A053C77-8E19-400F-990A-B131ED77F23B}"/>
    <cellStyle name="Comma 3 5 11" xfId="42411" xr:uid="{4A3BB9F7-002B-4284-8B81-F3C8FD592A69}"/>
    <cellStyle name="Comma 3 5 12" xfId="43818" xr:uid="{F7D97092-9533-4BC1-B1BE-CA3F09DD11B7}"/>
    <cellStyle name="Comma 3 5 13" xfId="44637" xr:uid="{825F4D91-0B9E-447A-840C-F5E03194AB9E}"/>
    <cellStyle name="Comma 3 5 14" xfId="46576" xr:uid="{04045E68-B077-4E2F-82C1-739BE3EBF662}"/>
    <cellStyle name="Comma 3 5 15" xfId="49609" xr:uid="{59860456-EE4B-4E16-80D5-0071CBBEDC17}"/>
    <cellStyle name="Comma 3 5 16" xfId="53105" xr:uid="{7ECAABD7-F969-4FDF-9EA6-F2F424CF037C}"/>
    <cellStyle name="Comma 3 5 17" xfId="16386" xr:uid="{6F160962-189E-40EA-9ECE-F649AE0D4F95}"/>
    <cellStyle name="Comma 3 5 18" xfId="14066" xr:uid="{3E3B6C9D-2C01-49F1-B5C2-3C72B33454B4}"/>
    <cellStyle name="Comma 3 5 2" xfId="7631" xr:uid="{C5B864FA-FEB9-48A4-B12E-62FD96A42A89}"/>
    <cellStyle name="Comma 3 5 2 10" xfId="42750" xr:uid="{B906D2A5-DF77-43A8-91FE-953137C89563}"/>
    <cellStyle name="Comma 3 5 2 11" xfId="44913" xr:uid="{33BDDA41-6E76-4911-862B-62C6DFAE93FC}"/>
    <cellStyle name="Comma 3 5 2 12" xfId="47062" xr:uid="{A27B68B0-BE87-45F8-8605-2D4DD6F27DC1}"/>
    <cellStyle name="Comma 3 5 2 13" xfId="50063" xr:uid="{6ABB5748-E9CC-41EE-A88C-55518D864C7A}"/>
    <cellStyle name="Comma 3 5 2 14" xfId="53106" xr:uid="{4D7785ED-D664-45B6-BDD5-9CA3CA363649}"/>
    <cellStyle name="Comma 3 5 2 15" xfId="17103" xr:uid="{9864F985-9915-4574-A10C-33A9EA173F58}"/>
    <cellStyle name="Comma 3 5 2 16" xfId="14558" xr:uid="{94F8C810-CB38-4A16-B402-AB0390EC21B0}"/>
    <cellStyle name="Comma 3 5 2 2" xfId="10123" xr:uid="{9EF016AF-761D-4700-A029-22B774750E15}"/>
    <cellStyle name="Comma 3 5 2 2 2" xfId="13429" xr:uid="{A1E60002-E34B-409C-81A1-F2102EEEE41D}"/>
    <cellStyle name="Comma 3 5 2 2 2 2" xfId="39664" xr:uid="{F6D418B4-374B-4951-8B71-C1C27632FF3F}"/>
    <cellStyle name="Comma 3 5 2 2 3" xfId="41517" xr:uid="{6EAF8DA0-741F-4833-8C71-5BC993BDA776}"/>
    <cellStyle name="Comma 3 5 2 2 4" xfId="43341" xr:uid="{5E4FEBF6-FCE4-46C3-9DA6-8025B04AB406}"/>
    <cellStyle name="Comma 3 5 2 2 5" xfId="45438" xr:uid="{04E4B151-F12A-4B0A-B942-87F93067C337}"/>
    <cellStyle name="Comma 3 5 2 2 6" xfId="48628" xr:uid="{00452BF2-EC37-49E0-9C14-FA580FD24512}"/>
    <cellStyle name="Comma 3 5 2 2 7" xfId="51391" xr:uid="{845D3DD2-93F3-4B34-B152-13E706C93364}"/>
    <cellStyle name="Comma 3 5 2 2 8" xfId="53107" xr:uid="{913AA2F6-F1EC-4A91-84B6-23F7D7F44A38}"/>
    <cellStyle name="Comma 3 5 2 2 9" xfId="21098" xr:uid="{D7EFFBBE-CBE5-43E7-942A-4341883ED4AC}"/>
    <cellStyle name="Comma 3 5 2 3" xfId="12144" xr:uid="{00CE4865-E9EA-44E1-AE3D-F93B182B70CD}"/>
    <cellStyle name="Comma 3 5 2 3 2" xfId="20317" xr:uid="{99B8EACC-CA05-4EC8-B2CA-9DEB71F9F076}"/>
    <cellStyle name="Comma 3 5 2 4" xfId="23950" xr:uid="{FB3E68D3-A14F-4E3E-91B3-5781512D10D9}"/>
    <cellStyle name="Comma 3 5 2 5" xfId="38447" xr:uid="{5B952C03-5BFB-41EF-B9E0-BF93BFADD0AA}"/>
    <cellStyle name="Comma 3 5 2 6" xfId="39073" xr:uid="{555752FE-08C9-4C5D-B9F3-923BBDCE5B79}"/>
    <cellStyle name="Comma 3 5 2 7" xfId="40270" xr:uid="{B1E84319-EF2E-4E2E-A70B-F72A96296015}"/>
    <cellStyle name="Comma 3 5 2 8" xfId="40912" xr:uid="{21861431-CB03-4CDF-9DBB-E8E23F111000}"/>
    <cellStyle name="Comma 3 5 2 9" xfId="42124" xr:uid="{E5B07434-2606-4E95-B07C-A1FD0C2F39A4}"/>
    <cellStyle name="Comma 3 5 3" xfId="9629" xr:uid="{5522A4A4-ED89-4D75-AB8B-D9F6F8550672}"/>
    <cellStyle name="Comma 3 5 3 2" xfId="12935" xr:uid="{AFD28F86-15B3-44CB-BFF5-20CFEE635BC9}"/>
    <cellStyle name="Comma 3 5 3 2 2" xfId="48943" xr:uid="{23D5632D-7D45-464A-8B1C-6EF53565034E}"/>
    <cellStyle name="Comma 3 5 3 2 3" xfId="51655" xr:uid="{31BF33D8-7553-4A5B-8CB1-C10349ECFC74}"/>
    <cellStyle name="Comma 3 5 3 2 4" xfId="53108" xr:uid="{96AD371F-DC1F-46AA-836A-F2FE8FF3868C}"/>
    <cellStyle name="Comma 3 5 3 2 5" xfId="39325" xr:uid="{EDFC5601-0214-4D4B-8208-67D7C4602CE9}"/>
    <cellStyle name="Comma 3 5 3 3" xfId="41187" xr:uid="{4423F9A8-AB02-43BE-99B4-C978CDDD8DB8}"/>
    <cellStyle name="Comma 3 5 3 4" xfId="43002" xr:uid="{C69E88FA-1B3A-4CA3-AA4F-55C42F59314C}"/>
    <cellStyle name="Comma 3 5 3 5" xfId="45107" xr:uid="{F6DF3F85-984D-4F17-833B-8599975A4B93}"/>
    <cellStyle name="Comma 3 5 3 6" xfId="47367" xr:uid="{BF985D24-8F32-4C34-9C3B-D2BFA49C06E2}"/>
    <cellStyle name="Comma 3 5 3 7" xfId="50327" xr:uid="{26D452F3-93D6-4BF4-8764-D6A2F2F81502}"/>
    <cellStyle name="Comma 3 5 3 8" xfId="53109" xr:uid="{6008F0EC-262D-49BF-AF69-48E278976293}"/>
    <cellStyle name="Comma 3 5 3 9" xfId="20631" xr:uid="{B23FE614-ADC5-4C3C-AD4B-FC681CDB3343}"/>
    <cellStyle name="Comma 3 5 4" xfId="7125" xr:uid="{875B77DC-32ED-4E9E-A404-60145A5BA094}"/>
    <cellStyle name="Comma 3 5 4 2" xfId="48088" xr:uid="{6D3AB235-6225-491A-A6CA-23F116E6BE5F}"/>
    <cellStyle name="Comma 3 5 4 3" xfId="50937" xr:uid="{54754C1C-33FD-4B57-A506-289A92886A92}"/>
    <cellStyle name="Comma 3 5 4 4" xfId="53110" xr:uid="{A5547DD0-FD65-47E5-B799-3D5C761C49C9}"/>
    <cellStyle name="Comma 3 5 4 5" xfId="19978" xr:uid="{029D14C3-9B41-4B8C-AF56-90B39ADA704A}"/>
    <cellStyle name="Comma 3 5 5" xfId="11650" xr:uid="{299244F5-E8DA-4FA6-810F-C348355B617F}"/>
    <cellStyle name="Comma 3 5 5 2" xfId="23949" xr:uid="{1828D4AF-59E3-4687-8AA1-912201B3751C}"/>
    <cellStyle name="Comma 3 5 6" xfId="38446" xr:uid="{BC28F184-F215-4941-BCEB-B01BBF349FB4}"/>
    <cellStyle name="Comma 3 5 7" xfId="38734" xr:uid="{16CCE684-3DEA-41E1-B2EF-DC48E2046D60}"/>
    <cellStyle name="Comma 3 5 8" xfId="40269" xr:uid="{BA90595A-EED8-41F6-87AC-F1D19FEE3F6C}"/>
    <cellStyle name="Comma 3 5 9" xfId="40911" xr:uid="{16F476EA-4E29-49C5-A2B8-17E94B782CA8}"/>
    <cellStyle name="Comma 3 6" xfId="6519" xr:uid="{78C55798-556F-499E-8C38-144269FB68F2}"/>
    <cellStyle name="Comma 3 6 10" xfId="42751" xr:uid="{406BEB27-D676-4E0C-86D3-85C52092EB43}"/>
    <cellStyle name="Comma 3 6 11" xfId="44914" xr:uid="{3D0D51B8-28E0-4E9C-B901-297D179FCE58}"/>
    <cellStyle name="Comma 3 6 12" xfId="46158" xr:uid="{29F1C7F5-F4CC-40A9-9C8F-3028602A7CD4}"/>
    <cellStyle name="Comma 3 6 13" xfId="49494" xr:uid="{F4B1BC65-B51A-43D5-81CB-1AF8A30DC617}"/>
    <cellStyle name="Comma 3 6 14" xfId="53111" xr:uid="{499A40BF-D23B-4752-98E8-B6EB7C69FD69}"/>
    <cellStyle name="Comma 3 6 15" xfId="17104" xr:uid="{1958A82F-1D65-4CF4-B59D-A8CCE2541894}"/>
    <cellStyle name="Comma 3 6 16" xfId="14420" xr:uid="{359904CB-B3A5-4A7F-96A7-00D0F14E3DA6}"/>
    <cellStyle name="Comma 3 6 2" xfId="9491" xr:uid="{D1A014D9-C1BD-431D-91BE-15323E083C94}"/>
    <cellStyle name="Comma 3 6 2 2" xfId="12797" xr:uid="{E15CAB99-5CFD-4154-9040-E43474533702}"/>
    <cellStyle name="Comma 3 6 2 2 2" xfId="39665" xr:uid="{06169522-22DA-4BC7-B41F-6E441C82449E}"/>
    <cellStyle name="Comma 3 6 2 3" xfId="41518" xr:uid="{1E76C383-A626-42B0-BD86-47A6C9A12D0C}"/>
    <cellStyle name="Comma 3 6 2 4" xfId="43342" xr:uid="{FC7B1376-B5BE-4899-8B06-22D611DF2F39}"/>
    <cellStyle name="Comma 3 6 2 5" xfId="45439" xr:uid="{45C1AA6E-B610-45C1-8C49-B84694F09D87}"/>
    <cellStyle name="Comma 3 6 2 6" xfId="47953" xr:uid="{C3A2E1EE-462B-46C8-B637-F5D05A17DE26}"/>
    <cellStyle name="Comma 3 6 2 7" xfId="50822" xr:uid="{44587C7B-2BB5-4C2C-A0AA-0481E33DFB2B}"/>
    <cellStyle name="Comma 3 6 2 8" xfId="53112" xr:uid="{EA32AF5E-1DC0-40BF-8ECD-B2277195E11F}"/>
    <cellStyle name="Comma 3 6 2 9" xfId="21099" xr:uid="{2CC89B47-5179-46F3-9259-98D5E98904FC}"/>
    <cellStyle name="Comma 3 6 3" xfId="11512" xr:uid="{B00A5884-DC86-4044-A50A-BEACB648963B}"/>
    <cellStyle name="Comma 3 6 3 2" xfId="20318" xr:uid="{9AB9A280-EA76-4843-9420-A2F5A7E140B8}"/>
    <cellStyle name="Comma 3 6 4" xfId="23951" xr:uid="{1ECBA976-11E7-4AFB-AF41-2B63F1FEBD36}"/>
    <cellStyle name="Comma 3 6 5" xfId="38448" xr:uid="{C9F983E0-2AEA-4DC8-BA04-705228439293}"/>
    <cellStyle name="Comma 3 6 6" xfId="39074" xr:uid="{90302C09-9957-4CA5-ABD9-819BDBA11D0D}"/>
    <cellStyle name="Comma 3 6 7" xfId="40271" xr:uid="{BA71B977-21E9-464E-A9A7-FF6E04637BA6}"/>
    <cellStyle name="Comma 3 6 8" xfId="40913" xr:uid="{6FA3CCC9-3BD0-4E19-8EEC-50479707B02C}"/>
    <cellStyle name="Comma 3 6 9" xfId="42125" xr:uid="{649BFC7C-221A-4AA0-BEF3-88850BEB1E72}"/>
    <cellStyle name="Comma 3 7" xfId="7493" xr:uid="{A542ACD6-346B-4265-B5A9-1E5B8EB7ACAF}"/>
    <cellStyle name="Comma 3 7 10" xfId="42839" xr:uid="{AC93F0A6-9D12-467C-BBFD-DB606BE1B5F3}"/>
    <cellStyle name="Comma 3 7 11" xfId="44966" xr:uid="{4F93FF85-2ED1-41BD-A9FA-72F094192E60}"/>
    <cellStyle name="Comma 3 7 12" xfId="46833" xr:uid="{D771A334-FB54-4AA6-A565-315DDBEB0564}"/>
    <cellStyle name="Comma 3 7 13" xfId="49857" xr:uid="{1D5C1C95-1426-477D-8B71-629BEAB409A6}"/>
    <cellStyle name="Comma 3 7 14" xfId="53113" xr:uid="{658E4380-B482-4DDD-914F-B4E07A12C9F9}"/>
    <cellStyle name="Comma 3 7 15" xfId="19745" xr:uid="{DE6D7185-ACE6-4ADF-BCE0-4C4DA9053B29}"/>
    <cellStyle name="Comma 3 7 16" xfId="14873" xr:uid="{CBE7F6D1-1FDC-4920-8097-FDD3C983635A}"/>
    <cellStyle name="Comma 3 7 2" xfId="9985" xr:uid="{293C0EDA-20B4-4974-B319-0D435400A6A8}"/>
    <cellStyle name="Comma 3 7 2 2" xfId="13291" xr:uid="{9E8244FF-4A81-4206-B102-4EBAED602D52}"/>
    <cellStyle name="Comma 3 7 2 2 2" xfId="39753" xr:uid="{70189F3A-E7AC-4F11-B2F6-D5E409DC0E27}"/>
    <cellStyle name="Comma 3 7 2 3" xfId="41606" xr:uid="{3E90DBCB-0CBC-4850-A1F3-21AC7B4D225E}"/>
    <cellStyle name="Comma 3 7 2 4" xfId="43430" xr:uid="{7EDCFF39-D399-4140-95BC-00FC867D4B9F}"/>
    <cellStyle name="Comma 3 7 2 5" xfId="45509" xr:uid="{72B6F78D-197B-4A1D-A0FF-C40751E17CCC}"/>
    <cellStyle name="Comma 3 7 2 6" xfId="48384" xr:uid="{4BFA9AC8-A502-4660-8473-D9FDA11BD929}"/>
    <cellStyle name="Comma 3 7 2 7" xfId="51185" xr:uid="{9769C585-3254-4F76-96C2-231B464FFCD6}"/>
    <cellStyle name="Comma 3 7 2 8" xfId="53114" xr:uid="{82C86DE9-D1B4-48E2-96C4-DA72F60385F5}"/>
    <cellStyle name="Comma 3 7 2 9" xfId="23362" xr:uid="{0DE89F4B-1197-4658-85C9-37A58D6FF0EF}"/>
    <cellStyle name="Comma 3 7 3" xfId="12006" xr:uid="{903F9A6E-39BE-479E-B2C7-EB11FA4289DB}"/>
    <cellStyle name="Comma 3 7 3 2" xfId="20406" xr:uid="{EB82E561-81D5-4853-87F8-3FC509C628AC}"/>
    <cellStyle name="Comma 3 7 4" xfId="23952" xr:uid="{DC98CA71-DED0-43D5-8D2C-BE53FD18FAB2}"/>
    <cellStyle name="Comma 3 7 5" xfId="38449" xr:uid="{5D96044B-4C3C-4527-BB6D-043B616126A3}"/>
    <cellStyle name="Comma 3 7 6" xfId="39162" xr:uid="{CBCDD6AB-5587-47C4-9F07-8ABF9823C2A9}"/>
    <cellStyle name="Comma 3 7 7" xfId="40272" xr:uid="{451978D2-2377-4F1B-9549-2E87F9724370}"/>
    <cellStyle name="Comma 3 7 8" xfId="40914" xr:uid="{A320E610-8FC6-4B85-9916-E486E855CC5F}"/>
    <cellStyle name="Comma 3 7 9" xfId="42126" xr:uid="{6AF2FDB4-25C3-400D-8E53-AA8478B75F84}"/>
    <cellStyle name="Comma 3 8" xfId="8159" xr:uid="{CD212842-A00E-4DD8-A8A5-A7279EAE1930}"/>
    <cellStyle name="Comma 3 8 2" xfId="12615" xr:uid="{84E74F81-A927-464A-BCF9-F1766D71BD36}"/>
    <cellStyle name="Comma 3 8 2 2" xfId="48805" xr:uid="{12167614-189A-489C-B8B6-6CF1AECF1212}"/>
    <cellStyle name="Comma 3 8 2 3" xfId="51540" xr:uid="{6987B5B9-F4CB-492E-97DF-3F7D7CAB6870}"/>
    <cellStyle name="Comma 3 8 2 4" xfId="53115" xr:uid="{EFD2728D-90C4-4272-9C0F-718401311937}"/>
    <cellStyle name="Comma 3 8 2 5" xfId="39232" xr:uid="{F8510186-13A4-4792-805A-1D73E05C12A4}"/>
    <cellStyle name="Comma 3 8 3" xfId="41101" xr:uid="{EDD9AAD9-24B1-41DE-B9D1-64166C31FA22}"/>
    <cellStyle name="Comma 3 8 4" xfId="42909" xr:uid="{6F8C0EB9-E801-420C-9C67-DC448B466084}"/>
    <cellStyle name="Comma 3 8 5" xfId="45016" xr:uid="{D13835DF-DE87-429E-B432-8D68A1869AE3}"/>
    <cellStyle name="Comma 3 8 6" xfId="47234" xr:uid="{5B4C9DF0-9F20-484F-9DB7-BE44D7B4EC42}"/>
    <cellStyle name="Comma 3 8 7" xfId="50212" xr:uid="{097C456D-1C01-42FA-BD61-23750E5696FA}"/>
    <cellStyle name="Comma 3 8 8" xfId="53116" xr:uid="{6C0CD8A9-A061-4038-A85F-BEEE545C6228}"/>
    <cellStyle name="Comma 3 8 9" xfId="20477" xr:uid="{A9263B71-79E7-45B8-B1F8-D0335F98304F}"/>
    <cellStyle name="Comma 3 9" xfId="7946" xr:uid="{C06E20E7-F6FA-40EA-BAAD-E4B5C0E27942}"/>
    <cellStyle name="Comma 3 9 2" xfId="12459" xr:uid="{7A5A4D2F-530B-4C06-93EA-AA985117859E}"/>
    <cellStyle name="Comma 3 9 2 2" xfId="47691" xr:uid="{0D424A83-260F-42A4-915D-5ADDF4617B1A}"/>
    <cellStyle name="Comma 3 9 3" xfId="50599" xr:uid="{595B221E-8A2E-45FF-BE55-CD930953F67B}"/>
    <cellStyle name="Comma 3 9 4" xfId="53117" xr:uid="{57FC7EEB-8ADA-4429-8DDC-2ECF14FB4D5E}"/>
    <cellStyle name="Comma 3 9 5" xfId="19883" xr:uid="{32B6FA27-DBE9-40E3-B07A-075BCBF74747}"/>
    <cellStyle name="Comma 4" xfId="1777" xr:uid="{842571A9-E851-487F-818A-304F7D820F75}"/>
    <cellStyle name="Comma 4 10" xfId="5848" xr:uid="{4A313B26-A227-4B8E-93F5-F7D965751D53}"/>
    <cellStyle name="Comma 4 10 2" xfId="23953" xr:uid="{C8D4EE36-36B2-4CAE-A8E8-79D4E9DF1B13}"/>
    <cellStyle name="Comma 4 11" xfId="11336" xr:uid="{A375B9A5-B64B-4469-A561-B25978369C03}"/>
    <cellStyle name="Comma 4 11 2" xfId="38450" xr:uid="{686DE135-A62F-4720-8CF2-02F7C28939F6}"/>
    <cellStyle name="Comma 4 12" xfId="38642" xr:uid="{6034CC9E-78F8-453C-98E3-C6555BB31E21}"/>
    <cellStyle name="Comma 4 13" xfId="40273" xr:uid="{203546FA-ED98-49DA-B080-1C966DE197D7}"/>
    <cellStyle name="Comma 4 14" xfId="40915" xr:uid="{36B8E672-C8B5-4727-8E90-D992BA7A75A5}"/>
    <cellStyle name="Comma 4 15" xfId="42127" xr:uid="{E55E9D4D-C3D4-461C-B1A6-23F26A2C27E2}"/>
    <cellStyle name="Comma 4 16" xfId="42319" xr:uid="{B6CCF386-CDDD-4F00-9FAF-FBE69C0990D3}"/>
    <cellStyle name="Comma 4 17" xfId="43550" xr:uid="{0832DF48-1A47-4591-8718-A9E6D437A0D2}"/>
    <cellStyle name="Comma 4 18" xfId="44413" xr:uid="{FA01CD85-1A01-4372-98F3-4C31B2B8982C}"/>
    <cellStyle name="Comma 4 19" xfId="45586" xr:uid="{162F53D6-0F07-4A77-B465-72E079D76E4B}"/>
    <cellStyle name="Comma 4 2" xfId="1778" xr:uid="{4D038184-E4A6-48E8-80AC-2FBD376683F2}"/>
    <cellStyle name="Comma 4 2 10" xfId="11337" xr:uid="{EDF947A8-107F-4C4B-8EDF-12E05C5A241A}"/>
    <cellStyle name="Comma 4 2 10 2" xfId="40274" xr:uid="{E53DEA68-8916-4267-BA9F-A32B8DFC301D}"/>
    <cellStyle name="Comma 4 2 11" xfId="40916" xr:uid="{37AD598C-DAB4-491C-9748-EF37BB2E3025}"/>
    <cellStyle name="Comma 4 2 12" xfId="42128" xr:uid="{30D4850A-6581-4B10-97DB-1D5A6FCA4BCD}"/>
    <cellStyle name="Comma 4 2 13" xfId="42357" xr:uid="{4EA4951C-6DBA-4AEA-BE06-77747CB56B73}"/>
    <cellStyle name="Comma 4 2 14" xfId="43480" xr:uid="{9E28E6DC-57F8-465E-BE4E-6E92093F808E}"/>
    <cellStyle name="Comma 4 2 15" xfId="44414" xr:uid="{0ADA8ECD-5794-41F3-97FD-076B64522543}"/>
    <cellStyle name="Comma 4 2 16" xfId="45646" xr:uid="{73E52BF5-3470-45AB-A86F-2B90DA2940EB}"/>
    <cellStyle name="Comma 4 2 17" xfId="49275" xr:uid="{4799785E-D2D5-4066-8EDF-416AADCFF78F}"/>
    <cellStyle name="Comma 4 2 18" xfId="53118" xr:uid="{FF1CFDD4-53CD-4165-B032-C258C798A8B1}"/>
    <cellStyle name="Comma 4 2 19" xfId="15323" xr:uid="{B2B0D13C-D00B-464A-AF90-937BC0A0E035}"/>
    <cellStyle name="Comma 4 2 2" xfId="4454" xr:uid="{FDDD3654-FF87-4D05-A21F-9D738924398B}"/>
    <cellStyle name="Comma 4 2 2 10" xfId="42129" xr:uid="{4CD9B235-BFBD-4995-987A-97F698F7463C}"/>
    <cellStyle name="Comma 4 2 2 11" xfId="42509" xr:uid="{ECBFDCF4-171E-42A0-B607-5F6E0378C492}"/>
    <cellStyle name="Comma 4 2 2 12" xfId="43551" xr:uid="{AFDA0447-C00E-4CF9-9E28-2391EDA75351}"/>
    <cellStyle name="Comma 4 2 2 13" xfId="44555" xr:uid="{AAD92BD3-2150-4FA4-ACBE-796D77455B80}"/>
    <cellStyle name="Comma 4 2 2 14" xfId="45720" xr:uid="{EF3DF8ED-6B74-4B82-9048-6BEF8E632CFC}"/>
    <cellStyle name="Comma 4 2 2 15" xfId="49348" xr:uid="{D9D876F2-B208-4778-B669-9E47E985F348}"/>
    <cellStyle name="Comma 4 2 2 16" xfId="53119" xr:uid="{D185DD66-044A-4B3E-852C-7B77A4318030}"/>
    <cellStyle name="Comma 4 2 2 17" xfId="16772" xr:uid="{A1DB079A-01A6-4191-9305-4D6E904B2934}"/>
    <cellStyle name="Comma 4 2 2 18" xfId="13934" xr:uid="{2BFD04FB-320C-441B-969B-9475864345EB}"/>
    <cellStyle name="Comma 4 2 2 2" xfId="5711" xr:uid="{FDAF3392-81B3-44C6-9FA8-14B7857B2950}"/>
    <cellStyle name="Comma 4 2 2 2 10" xfId="42754" xr:uid="{74635BA7-938F-498A-BFA2-07CB316C7A4A}"/>
    <cellStyle name="Comma 4 2 2 2 11" xfId="44255" xr:uid="{3CD9DE52-14D1-4746-8824-ACF272B7F27E}"/>
    <cellStyle name="Comma 4 2 2 2 12" xfId="44916" xr:uid="{3654643E-7473-4715-B9B2-9743FEB2EA72}"/>
    <cellStyle name="Comma 4 2 2 2 13" xfId="46723" xr:uid="{344E9280-A1D5-4836-9199-3C5A9C9BF99E}"/>
    <cellStyle name="Comma 4 2 2 2 14" xfId="49755" xr:uid="{D00C2337-48A5-4CDD-A89A-DBB0772D0088}"/>
    <cellStyle name="Comma 4 2 2 2 15" xfId="53120" xr:uid="{66C17375-1CD5-4D3D-B4FB-95870F90C6C0}"/>
    <cellStyle name="Comma 4 2 2 2 16" xfId="17107" xr:uid="{2197FB60-A4A9-4E3C-9356-31D6A812E091}"/>
    <cellStyle name="Comma 4 2 2 2 17" xfId="14248" xr:uid="{F773DCA5-4804-4615-9D3B-83734AF18B48}"/>
    <cellStyle name="Comma 4 2 2 2 2" xfId="7813" xr:uid="{F525B5B5-5B14-4124-ADF0-1FE1D7EB0E07}"/>
    <cellStyle name="Comma 4 2 2 2 2 10" xfId="14740" xr:uid="{A30F253E-6D4D-4529-9165-C1CC0DF45B73}"/>
    <cellStyle name="Comma 4 2 2 2 2 2" xfId="10305" xr:uid="{8F0F4F63-8624-4B4E-B1DF-50EC31F928F9}"/>
    <cellStyle name="Comma 4 2 2 2 2 2 2" xfId="13611" xr:uid="{A0C4B0F1-1066-4107-BD9E-1DBD0B09F663}"/>
    <cellStyle name="Comma 4 2 2 2 2 2 2 2" xfId="49121" xr:uid="{13044FD2-F83A-4348-A358-0DC9BF218E85}"/>
    <cellStyle name="Comma 4 2 2 2 2 2 3" xfId="51801" xr:uid="{800A32EC-08D4-44C3-ACCD-25B9B8AE43C2}"/>
    <cellStyle name="Comma 4 2 2 2 2 2 4" xfId="53121" xr:uid="{F5FB46F3-C7C7-4C7C-9E1F-4A75B518F78B}"/>
    <cellStyle name="Comma 4 2 2 2 2 2 5" xfId="39668" xr:uid="{540888CA-230E-4641-A29E-FACA667094FF}"/>
    <cellStyle name="Comma 4 2 2 2 2 3" xfId="12326" xr:uid="{212BF308-4B43-47E5-B0D7-3B8CBC62D3F8}"/>
    <cellStyle name="Comma 4 2 2 2 2 3 2" xfId="41521" xr:uid="{E2C9B065-E00F-4067-B38B-1D9A6A4C196D}"/>
    <cellStyle name="Comma 4 2 2 2 2 4" xfId="43345" xr:uid="{7C421AED-1650-40D9-B748-FDA3A750A553}"/>
    <cellStyle name="Comma 4 2 2 2 2 5" xfId="45442" xr:uid="{9F2A17C3-C1FA-4502-871E-064C43F46F9A}"/>
    <cellStyle name="Comma 4 2 2 2 2 6" xfId="47538" xr:uid="{A3DA0921-C4BC-4038-8169-407C61460260}"/>
    <cellStyle name="Comma 4 2 2 2 2 7" xfId="50473" xr:uid="{569F4838-294D-4CFF-B358-080465DB4161}"/>
    <cellStyle name="Comma 4 2 2 2 2 8" xfId="53122" xr:uid="{A20CFB82-013F-43EA-9B0C-945180FB1948}"/>
    <cellStyle name="Comma 4 2 2 2 2 9" xfId="21102" xr:uid="{3D4A7A15-8B7F-4FF8-9719-C9399C3F7A44}"/>
    <cellStyle name="Comma 4 2 2 2 3" xfId="9811" xr:uid="{2B5422EE-7DAD-47E0-998E-3D3B1E3A8A57}"/>
    <cellStyle name="Comma 4 2 2 2 3 2" xfId="13117" xr:uid="{B216730B-73D9-46A9-BB4E-9A8F0BF61B94}"/>
    <cellStyle name="Comma 4 2 2 2 3 2 2" xfId="48265" xr:uid="{87AEFFDD-2AE7-43B0-9206-6744AE96F893}"/>
    <cellStyle name="Comma 4 2 2 2 3 3" xfId="51083" xr:uid="{E4D82BDE-0258-49DE-AC6A-FECE9783488D}"/>
    <cellStyle name="Comma 4 2 2 2 3 4" xfId="53123" xr:uid="{C861256A-5841-4338-AA70-1A5ABF36A117}"/>
    <cellStyle name="Comma 4 2 2 2 3 5" xfId="20321" xr:uid="{A58A50E9-341F-484F-BA4D-739D59C133FB}"/>
    <cellStyle name="Comma 4 2 2 2 4" xfId="7309" xr:uid="{93B115D3-2892-4974-A575-59861336451E}"/>
    <cellStyle name="Comma 4 2 2 2 4 2" xfId="23956" xr:uid="{7E59777A-472E-4A03-831F-3ECA820D359D}"/>
    <cellStyle name="Comma 4 2 2 2 5" xfId="11832" xr:uid="{8C678FEC-A87B-47F1-99BE-C6A302EB1AAB}"/>
    <cellStyle name="Comma 4 2 2 2 5 2" xfId="38453" xr:uid="{C66C25D3-AB9C-49B5-9E6E-6A8EB6334776}"/>
    <cellStyle name="Comma 4 2 2 2 6" xfId="39077" xr:uid="{7BE4CC39-B37B-4A99-9B7D-E7BEA3F0F4FB}"/>
    <cellStyle name="Comma 4 2 2 2 7" xfId="40276" xr:uid="{461DBA37-0D0F-4FF1-AE96-E8456A9C06AC}"/>
    <cellStyle name="Comma 4 2 2 2 8" xfId="40918" xr:uid="{9B79F114-AC5E-426A-9CEA-AB6D63C9050C}"/>
    <cellStyle name="Comma 4 2 2 2 9" xfId="42130" xr:uid="{A852D567-62BD-4995-A192-DA2D29D1F073}"/>
    <cellStyle name="Comma 4 2 2 3" xfId="7499" xr:uid="{5CA8F860-1295-4CF9-AD56-C30292D571C5}"/>
    <cellStyle name="Comma 4 2 2 3 10" xfId="14426" xr:uid="{7164CF46-AC02-4B2C-9346-24DE5113EEE3}"/>
    <cellStyle name="Comma 4 2 2 3 2" xfId="9991" xr:uid="{FA555DB3-44A2-4E90-B059-3A5AE2314A86}"/>
    <cellStyle name="Comma 4 2 2 3 2 2" xfId="13297" xr:uid="{DE0FD855-41FF-491E-93F7-F1DA6502923E}"/>
    <cellStyle name="Comma 4 2 2 3 2 2 2" xfId="47959" xr:uid="{3209F721-187C-416E-A73B-B6C2F75CABEA}"/>
    <cellStyle name="Comma 4 2 2 3 2 3" xfId="50828" xr:uid="{831E9F3B-B97F-4CED-8BC2-DA7B941AE689}"/>
    <cellStyle name="Comma 4 2 2 3 2 4" xfId="53124" xr:uid="{8C9ABC71-0633-487A-A88A-4C6CC38899F0}"/>
    <cellStyle name="Comma 4 2 2 3 2 5" xfId="39423" xr:uid="{111D36A9-5FD2-471F-B638-62732D25698A}"/>
    <cellStyle name="Comma 4 2 2 3 3" xfId="12012" xr:uid="{49D0C404-C21C-43C0-84A6-DF0C64EC8ABC}"/>
    <cellStyle name="Comma 4 2 2 3 3 2" xfId="41279" xr:uid="{CF0FFAC2-898E-4C1C-8B2F-6AC0F73914C6}"/>
    <cellStyle name="Comma 4 2 2 3 4" xfId="43100" xr:uid="{07BEF4AE-9F10-46C3-9810-0F44201C5C92}"/>
    <cellStyle name="Comma 4 2 2 3 5" xfId="45199" xr:uid="{69FA5086-B4D4-44B4-AD23-2D686608BF97}"/>
    <cellStyle name="Comma 4 2 2 3 6" xfId="46164" xr:uid="{1456848B-76EA-4186-9735-3C8D08060115}"/>
    <cellStyle name="Comma 4 2 2 3 7" xfId="49500" xr:uid="{BA1116E8-037C-4F29-A5DE-565BEE4DE9E3}"/>
    <cellStyle name="Comma 4 2 2 3 8" xfId="53125" xr:uid="{5B83C5B6-D8F3-452A-88EF-A26249772D85}"/>
    <cellStyle name="Comma 4 2 2 3 9" xfId="20798" xr:uid="{E87F2745-D093-4D1C-837E-A8B8240014AF}"/>
    <cellStyle name="Comma 4 2 2 4" xfId="11151" xr:uid="{B3CE7508-719A-47E8-A881-C97AA1735FAC}"/>
    <cellStyle name="Comma 4 2 2 4 2" xfId="13747" xr:uid="{D830DE5A-4FAD-4C3A-B657-CC8CF3A95401}"/>
    <cellStyle name="Comma 4 2 2 4 2 2" xfId="51290" xr:uid="{7D5F3836-A8D8-4C35-98A4-0E7A8CA7E335}"/>
    <cellStyle name="Comma 4 2 2 4 2 3" xfId="53126" xr:uid="{EF39338F-3FE7-4E15-AC56-238572F64540}"/>
    <cellStyle name="Comma 4 2 2 4 2 4" xfId="48504" xr:uid="{7CC68CC7-B8D6-4F7C-A3A4-B969F2407733}"/>
    <cellStyle name="Comma 4 2 2 4 3" xfId="46943" xr:uid="{0539EE0F-488A-4040-8690-B202DC8FAB67}"/>
    <cellStyle name="Comma 4 2 2 4 4" xfId="49962" xr:uid="{3ACCEE59-5D84-4237-9C29-CC6362E41FE8}"/>
    <cellStyle name="Comma 4 2 2 4 5" xfId="53127" xr:uid="{BAE105EC-1282-47DF-ACDB-6093C24E6A13}"/>
    <cellStyle name="Comma 4 2 2 4 6" xfId="20076" xr:uid="{8E68CE35-CF8A-457B-8694-F277D8E6B2D8}"/>
    <cellStyle name="Comma 4 2 2 4 7" xfId="15055" xr:uid="{92BEDFD2-48F7-43E1-ADC4-472190E80C05}"/>
    <cellStyle name="Comma 4 2 2 5" xfId="9497" xr:uid="{DB2DB7A3-ABDE-4826-85C9-FD061B947719}"/>
    <cellStyle name="Comma 4 2 2 5 2" xfId="12803" xr:uid="{BC8EF7FC-2CB7-462E-A47B-E93B0C9638AF}"/>
    <cellStyle name="Comma 4 2 2 5 2 2" xfId="51546" xr:uid="{42266855-416C-4246-997B-EB20CEB9BB0D}"/>
    <cellStyle name="Comma 4 2 2 5 2 3" xfId="53128" xr:uid="{94C3C461-2AD0-46E4-99E5-5471AD469B29}"/>
    <cellStyle name="Comma 4 2 2 5 2 4" xfId="48811" xr:uid="{714B01E0-1DE8-4293-AA05-213A8E9818F3}"/>
    <cellStyle name="Comma 4 2 2 5 3" xfId="47240" xr:uid="{873A8770-856A-4A11-9235-535F362F6AB7}"/>
    <cellStyle name="Comma 4 2 2 5 4" xfId="50218" xr:uid="{5656C941-C9F4-4996-8EB2-54303EF0761D}"/>
    <cellStyle name="Comma 4 2 2 5 5" xfId="53129" xr:uid="{7ED6CCDC-AEDB-40A2-9B62-C27CE3B1C922}"/>
    <cellStyle name="Comma 4 2 2 5 6" xfId="23955" xr:uid="{A5568E53-1BBA-46B4-B4A4-C119CCDEF914}"/>
    <cellStyle name="Comma 4 2 2 6" xfId="6525" xr:uid="{768D3C06-8A85-43A6-9E5D-A437091A579A}"/>
    <cellStyle name="Comma 4 2 2 6 2" xfId="47777" xr:uid="{A54FE2E3-F5F8-4B34-A98F-13E82314277B}"/>
    <cellStyle name="Comma 4 2 2 6 3" xfId="50676" xr:uid="{281FEF33-62BD-4B64-AF40-0426DD631E08}"/>
    <cellStyle name="Comma 4 2 2 6 4" xfId="53130" xr:uid="{0B86B46C-BFEE-428E-956A-674CDFCE354E}"/>
    <cellStyle name="Comma 4 2 2 6 5" xfId="38452" xr:uid="{8427E9A9-2181-42A6-8626-40D8BCD210CA}"/>
    <cellStyle name="Comma 4 2 2 7" xfId="11518" xr:uid="{2CBC9D72-ED78-4C9B-BDCD-D76BCB7860D6}"/>
    <cellStyle name="Comma 4 2 2 7 2" xfId="38832" xr:uid="{84A5DA5A-6575-4FCD-875F-C7F3FDA523C4}"/>
    <cellStyle name="Comma 4 2 2 8" xfId="40275" xr:uid="{1910CA1A-84C2-4E2E-967E-C1286EA94581}"/>
    <cellStyle name="Comma 4 2 2 9" xfId="40917" xr:uid="{EBCEDE84-4F0B-4764-8997-9876352E7F93}"/>
    <cellStyle name="Comma 4 2 20" xfId="13852" xr:uid="{F720EB79-356C-4905-A8CC-3B4A22235EBB}"/>
    <cellStyle name="Comma 4 2 3" xfId="3888" xr:uid="{5E5665AE-701E-4173-AE8D-713147AC35F8}"/>
    <cellStyle name="Comma 4 2 3 10" xfId="42753" xr:uid="{4C207C48-6C01-483D-B718-447D4DCA337A}"/>
    <cellStyle name="Comma 4 2 3 11" xfId="43899" xr:uid="{A10EB9CE-8BC1-4ECC-97ED-E2867E08748E}"/>
    <cellStyle name="Comma 4 2 3 12" xfId="44486" xr:uid="{8A7B1E08-8EB5-4A3D-A3F0-9D0E69877AD8}"/>
    <cellStyle name="Comma 4 2 3 13" xfId="46653" xr:uid="{AFB92B71-2E74-4432-86F2-BB324ABCE077}"/>
    <cellStyle name="Comma 4 2 3 14" xfId="49686" xr:uid="{FE2B555B-7E3F-4B91-B7A1-36BDDA280596}"/>
    <cellStyle name="Comma 4 2 3 15" xfId="53131" xr:uid="{7771ED59-7D0C-4619-87AF-41C1B2CF0B43}"/>
    <cellStyle name="Comma 4 2 3 16" xfId="17106" xr:uid="{7596E281-CBBD-490E-BE9D-1F288F81F26F}"/>
    <cellStyle name="Comma 4 2 3 17" xfId="14167" xr:uid="{020061AD-FB42-470B-AC41-BD1655696556}"/>
    <cellStyle name="Comma 4 2 3 2" xfId="5630" xr:uid="{20B3880C-E617-4337-97DD-51D6C1D28FC3}"/>
    <cellStyle name="Comma 4 2 3 2 10" xfId="14659" xr:uid="{92A6C482-80D2-4EDE-AC05-4D9236A7DA5A}"/>
    <cellStyle name="Comma 4 2 3 2 2" xfId="10224" xr:uid="{1640468F-1949-4918-9525-A70E6697A476}"/>
    <cellStyle name="Comma 4 2 3 2 2 2" xfId="13530" xr:uid="{4CDD87A9-4A97-4FA4-A044-01ED19C81291}"/>
    <cellStyle name="Comma 4 2 3 2 2 2 2" xfId="48427" xr:uid="{1F19F719-5251-4E27-9B1B-CD7A1BB29819}"/>
    <cellStyle name="Comma 4 2 3 2 2 3" xfId="51221" xr:uid="{7818BB4C-CE09-463B-BB5E-C1036FD54515}"/>
    <cellStyle name="Comma 4 2 3 2 2 4" xfId="53132" xr:uid="{90C4AC8D-09DB-44E9-B32F-DA8B665FCCAB}"/>
    <cellStyle name="Comma 4 2 3 2 2 5" xfId="39667" xr:uid="{9188ABE0-F9AF-4777-8CDA-DAA28C1E0BCC}"/>
    <cellStyle name="Comma 4 2 3 2 3" xfId="7732" xr:uid="{B5243001-CF3E-4CDE-A850-5A9EC428E58A}"/>
    <cellStyle name="Comma 4 2 3 2 3 2" xfId="41520" xr:uid="{E7F853E4-31A2-4733-9808-4B975D8C1CF1}"/>
    <cellStyle name="Comma 4 2 3 2 4" xfId="12245" xr:uid="{90777D7B-6018-4D34-B71F-2087D643C47C}"/>
    <cellStyle name="Comma 4 2 3 2 4 2" xfId="43344" xr:uid="{A61B1C94-E0A7-492B-82C4-7DF47AABB11D}"/>
    <cellStyle name="Comma 4 2 3 2 5" xfId="45441" xr:uid="{2D5A4AD8-C2D5-4D5A-B082-BA3924E26633}"/>
    <cellStyle name="Comma 4 2 3 2 6" xfId="46871" xr:uid="{DDF8EBEA-FD2D-456D-82EC-4450DD3154F8}"/>
    <cellStyle name="Comma 4 2 3 2 7" xfId="49893" xr:uid="{FDB756D3-6E2D-45A4-B963-97BE564F8BA2}"/>
    <cellStyle name="Comma 4 2 3 2 8" xfId="53133" xr:uid="{02CD32B7-3689-4A70-870B-0F5AC3EBFA60}"/>
    <cellStyle name="Comma 4 2 3 2 9" xfId="21101" xr:uid="{B1C8921A-B1EC-4025-8BB5-094AE391B3E4}"/>
    <cellStyle name="Comma 4 2 3 3" xfId="9730" xr:uid="{A6F33A8C-7A13-418F-AFEF-5A7AFA2A1DCE}"/>
    <cellStyle name="Comma 4 2 3 3 2" xfId="13036" xr:uid="{D42F3D3B-7753-47C7-9327-BDE3D54EB3F2}"/>
    <cellStyle name="Comma 4 2 3 3 2 2" xfId="51732" xr:uid="{5DD43E50-8845-4FA4-B6B6-ECBBA76A628B}"/>
    <cellStyle name="Comma 4 2 3 3 2 3" xfId="53134" xr:uid="{42C8AEE2-11C7-465A-BDC6-B379A3D1077B}"/>
    <cellStyle name="Comma 4 2 3 3 2 4" xfId="49042" xr:uid="{53F7FFCB-776F-4268-8422-A634D2A89390}"/>
    <cellStyle name="Comma 4 2 3 3 3" xfId="47461" xr:uid="{B535219A-DC46-4143-86E1-BA3E22A14C90}"/>
    <cellStyle name="Comma 4 2 3 3 4" xfId="50404" xr:uid="{A5958546-5981-44A0-92D4-653B74F44F43}"/>
    <cellStyle name="Comma 4 2 3 3 5" xfId="53135" xr:uid="{6A1022DB-B100-409B-A6FE-280ED2B7E59F}"/>
    <cellStyle name="Comma 4 2 3 3 6" xfId="20320" xr:uid="{23E2C863-A06F-4DC1-A7DA-870F657B5200}"/>
    <cellStyle name="Comma 4 2 3 3 7" xfId="14974" xr:uid="{3142F262-A3F8-4BE9-A0F0-33F000E87BF0}"/>
    <cellStyle name="Comma 4 2 3 4" xfId="7226" xr:uid="{CEC25205-1EAA-46EA-9714-A2A1EDB71E94}"/>
    <cellStyle name="Comma 4 2 3 4 2" xfId="48187" xr:uid="{2809C412-665F-4426-9277-ABDBACA6F0E0}"/>
    <cellStyle name="Comma 4 2 3 4 3" xfId="51014" xr:uid="{134B2DE8-C969-4852-AA34-DC54FCCB8464}"/>
    <cellStyle name="Comma 4 2 3 4 4" xfId="53136" xr:uid="{DF8D3A52-98B1-4175-ADD1-7AACB181C670}"/>
    <cellStyle name="Comma 4 2 3 4 5" xfId="23957" xr:uid="{35F093A2-1A71-4656-8E2B-974BCEAEF811}"/>
    <cellStyle name="Comma 4 2 3 5" xfId="11751" xr:uid="{83305097-2954-4E9C-A08B-5A0695DEDDA8}"/>
    <cellStyle name="Comma 4 2 3 5 2" xfId="38454" xr:uid="{8DF739E4-F2EC-4DEF-AC02-78D4966F96ED}"/>
    <cellStyle name="Comma 4 2 3 6" xfId="39076" xr:uid="{99C6EE30-3757-4B73-AA12-FD1036813D87}"/>
    <cellStyle name="Comma 4 2 3 7" xfId="40277" xr:uid="{26EEB2B7-6E5E-4869-8F1F-D610B1EBC9BC}"/>
    <cellStyle name="Comma 4 2 3 8" xfId="40919" xr:uid="{B7F9C9EC-A046-4C61-9EAF-2417E1F72F01}"/>
    <cellStyle name="Comma 4 2 3 9" xfId="42131" xr:uid="{F6E7B815-A1D9-417C-8C9B-A9AB9DE8FA5F}"/>
    <cellStyle name="Comma 4 2 4" xfId="5535" xr:uid="{1B4548DB-15D5-476C-828F-FCBE67F9422E}"/>
    <cellStyle name="Comma 4 2 4 10" xfId="42843" xr:uid="{A6173F5C-307A-4304-AD07-857628A6DD0E}"/>
    <cellStyle name="Comma 4 2 4 11" xfId="43824" xr:uid="{50AFAB81-72D4-4BFA-8E31-0E41AE42D413}"/>
    <cellStyle name="Comma 4 2 4 12" xfId="44970" xr:uid="{936E67A6-066D-43BF-8ABB-B2915379EFC0}"/>
    <cellStyle name="Comma 4 2 4 13" xfId="46582" xr:uid="{810272F1-7530-47AF-B1DD-5985B57724A1}"/>
    <cellStyle name="Comma 4 2 4 14" xfId="49615" xr:uid="{6D4A5082-4AE8-4F3E-81A7-AEDBF17EE6B3}"/>
    <cellStyle name="Comma 4 2 4 15" xfId="53137" xr:uid="{B26B45E3-E9F0-4D5E-8596-24AAFF9FFF4F}"/>
    <cellStyle name="Comma 4 2 4 16" xfId="19749" xr:uid="{9A7B3B5E-327E-4EF7-A79F-FBB7A0B17799}"/>
    <cellStyle name="Comma 4 2 4 17" xfId="14072" xr:uid="{6493E423-4666-4271-BD77-ED8700E22B52}"/>
    <cellStyle name="Comma 4 2 4 2" xfId="7637" xr:uid="{FECB4BC5-C717-49D1-A4D1-DA6965C78054}"/>
    <cellStyle name="Comma 4 2 4 2 10" xfId="14564" xr:uid="{88C98E34-53CB-43FF-AB02-F45515568A6A}"/>
    <cellStyle name="Comma 4 2 4 2 2" xfId="10129" xr:uid="{9F693EA2-3644-4A7F-A1AE-1D342D4E28E8}"/>
    <cellStyle name="Comma 4 2 4 2 2 2" xfId="13435" xr:uid="{E687FCE1-26C9-4153-B889-8E1CF49F872E}"/>
    <cellStyle name="Comma 4 2 4 2 2 2 2" xfId="48632" xr:uid="{5C0D8335-DCCA-4A85-AA91-43BDEECA0E93}"/>
    <cellStyle name="Comma 4 2 4 2 2 3" xfId="51395" xr:uid="{A27254B4-5DA0-409D-BD09-9E684B3AEAB3}"/>
    <cellStyle name="Comma 4 2 4 2 2 4" xfId="53138" xr:uid="{F6CDC278-9B08-47AC-B3A8-C6CFF50C1D33}"/>
    <cellStyle name="Comma 4 2 4 2 2 5" xfId="39757" xr:uid="{4E2F3A9F-959E-4E44-AFE3-012CBB198F77}"/>
    <cellStyle name="Comma 4 2 4 2 3" xfId="12150" xr:uid="{049D017B-77AE-4D4B-90A0-BD7F6165254E}"/>
    <cellStyle name="Comma 4 2 4 2 3 2" xfId="41610" xr:uid="{4308DF1E-9170-4A32-937F-814F89137994}"/>
    <cellStyle name="Comma 4 2 4 2 4" xfId="43434" xr:uid="{2123E633-17CC-48ED-BDFE-E95CFDE87AFF}"/>
    <cellStyle name="Comma 4 2 4 2 5" xfId="45513" xr:uid="{013D1DAE-3EBD-4652-983F-CE72E6F8EC9F}"/>
    <cellStyle name="Comma 4 2 4 2 6" xfId="47066" xr:uid="{E129F8A8-7BDC-4D37-9BC5-0E323947FDE7}"/>
    <cellStyle name="Comma 4 2 4 2 7" xfId="50067" xr:uid="{B2F1E848-AC69-49F6-9979-56C3902BF3D9}"/>
    <cellStyle name="Comma 4 2 4 2 8" xfId="53139" xr:uid="{C52C0BD9-46FC-4AE7-A0DF-6FDE368A43B4}"/>
    <cellStyle name="Comma 4 2 4 2 9" xfId="23366" xr:uid="{BC110A79-0C02-4B97-9ACB-C0C0B13D4700}"/>
    <cellStyle name="Comma 4 2 4 3" xfId="9635" xr:uid="{D97A670D-1559-41A3-B625-ED784C8A2D23}"/>
    <cellStyle name="Comma 4 2 4 3 2" xfId="12941" xr:uid="{5D670C96-75AC-4D86-AB39-552618394F86}"/>
    <cellStyle name="Comma 4 2 4 3 2 2" xfId="51661" xr:uid="{5BBA39E6-3E8B-4A72-968F-C3B726F47390}"/>
    <cellStyle name="Comma 4 2 4 3 2 3" xfId="53140" xr:uid="{58CC79DC-17DB-4BE2-9B27-91C4A3AC0920}"/>
    <cellStyle name="Comma 4 2 4 3 2 4" xfId="48949" xr:uid="{894DB348-325E-44E1-8AD2-9514B0307DB0}"/>
    <cellStyle name="Comma 4 2 4 3 3" xfId="47373" xr:uid="{4D591E15-50A1-4ECB-BF2C-444DA94C0DC4}"/>
    <cellStyle name="Comma 4 2 4 3 4" xfId="50333" xr:uid="{1F1FF29C-322B-45D8-9F52-EF9791A11C51}"/>
    <cellStyle name="Comma 4 2 4 3 5" xfId="53141" xr:uid="{E8B71033-AF7B-4AA5-A2A5-790D5F95ACAA}"/>
    <cellStyle name="Comma 4 2 4 3 6" xfId="20410" xr:uid="{A0938B4B-EFB3-49FB-9371-42D5B834DF5F}"/>
    <cellStyle name="Comma 4 2 4 4" xfId="7131" xr:uid="{7FB65148-511D-4507-866B-D67921D31ABE}"/>
    <cellStyle name="Comma 4 2 4 4 2" xfId="48094" xr:uid="{E9398DE4-CD24-4673-8DD6-BAC6D10E3FAC}"/>
    <cellStyle name="Comma 4 2 4 4 3" xfId="50943" xr:uid="{98F2C099-2686-4CE6-AD27-A8C8DCF7FFD2}"/>
    <cellStyle name="Comma 4 2 4 4 4" xfId="53142" xr:uid="{EC2A02E4-2A31-40EF-8AD7-F5469C6E5C2B}"/>
    <cellStyle name="Comma 4 2 4 4 5" xfId="23958" xr:uid="{AF8D8512-3580-422E-872C-9585EB7B2250}"/>
    <cellStyle name="Comma 4 2 4 5" xfId="11656" xr:uid="{99F6B280-53A7-4D2A-AE78-19D9D0FCB2FE}"/>
    <cellStyle name="Comma 4 2 4 5 2" xfId="38455" xr:uid="{5D014E09-31DC-4AB2-9D28-F6D73A65CBB8}"/>
    <cellStyle name="Comma 4 2 4 6" xfId="39166" xr:uid="{5955628C-169A-489F-A13F-0CF9D6A3D3CF}"/>
    <cellStyle name="Comma 4 2 4 7" xfId="40278" xr:uid="{FB980DAE-BEC5-43CA-8C76-26A1F01DFBDC}"/>
    <cellStyle name="Comma 4 2 4 8" xfId="40920" xr:uid="{BCF72DB2-27EA-40F6-A5AE-CB6FCDA8BEF6}"/>
    <cellStyle name="Comma 4 2 4 9" xfId="42132" xr:uid="{495B363B-6AAE-463D-A1B0-7E434DF284C7}"/>
    <cellStyle name="Comma 4 2 5" xfId="5955" xr:uid="{A92C0EBB-A1BB-4D40-9BC8-BA129F09B812}"/>
    <cellStyle name="Comma 4 2 5 10" xfId="45809" xr:uid="{59F8AEC4-0F87-469A-B387-33B418929700}"/>
    <cellStyle name="Comma 4 2 5 11" xfId="49431" xr:uid="{CEDCFCBA-72D3-41A5-B1F0-2FE3D209679A}"/>
    <cellStyle name="Comma 4 2 5 12" xfId="53143" xr:uid="{CB799993-4E6E-4CDD-854E-5257C6172077}"/>
    <cellStyle name="Comma 4 2 5 13" xfId="20516" xr:uid="{F9CD2E03-9CBF-4E7C-B497-138853E8D5E2}"/>
    <cellStyle name="Comma 4 2 5 14" xfId="14345" xr:uid="{4898FA24-E4A3-4587-8EBA-84CCDB42EDCE}"/>
    <cellStyle name="Comma 4 2 5 2" xfId="9413" xr:uid="{D18963C5-154B-4295-8A18-1CC0A6DCEDAA}"/>
    <cellStyle name="Comma 4 2 5 2 2" xfId="12719" xr:uid="{3B84EDCC-89C8-46F4-9470-BEE7A9EDB34B}"/>
    <cellStyle name="Comma 4 2 5 2 2 2" xfId="47882" xr:uid="{6E546920-47C0-4FCA-BE2C-FB68BEA466BE}"/>
    <cellStyle name="Comma 4 2 5 2 3" xfId="50759" xr:uid="{D34A3A63-3B83-42E8-86F3-62B2BCD1AE40}"/>
    <cellStyle name="Comma 4 2 5 2 4" xfId="53144" xr:uid="{F34A6753-F0F4-4C0F-981F-DB964A5C9535}"/>
    <cellStyle name="Comma 4 2 5 2 5" xfId="23959" xr:uid="{51C2D3CA-CDFE-4099-B741-AEE79313BE18}"/>
    <cellStyle name="Comma 4 2 5 3" xfId="11434" xr:uid="{FA305257-89F3-4636-BA40-D74A3BE2B833}"/>
    <cellStyle name="Comma 4 2 5 3 2" xfId="38456" xr:uid="{40F77CB6-B4AD-4B01-8952-B0A8E8FEAE78}"/>
    <cellStyle name="Comma 4 2 5 4" xfId="39271" xr:uid="{26F8146C-2C8A-4EC5-BD37-964DA52959E8}"/>
    <cellStyle name="Comma 4 2 5 5" xfId="40279" xr:uid="{26979EFC-CB1A-4E03-9620-7E290A3C9618}"/>
    <cellStyle name="Comma 4 2 5 6" xfId="40921" xr:uid="{CFFDA0AB-1620-4174-995A-BA11301E9F63}"/>
    <cellStyle name="Comma 4 2 5 7" xfId="42133" xr:uid="{87E7BC79-D66E-4532-98C5-51708458BD25}"/>
    <cellStyle name="Comma 4 2 5 8" xfId="42948" xr:uid="{0557DFBB-8EF7-47D5-B038-9E88D9147FC0}"/>
    <cellStyle name="Comma 4 2 5 9" xfId="45055" xr:uid="{CE3B1175-08D7-4C46-9B2D-1FBF3C1ED9E4}"/>
    <cellStyle name="Comma 4 2 6" xfId="7418" xr:uid="{B9D5D49A-3965-4EAC-B424-EC72C2C30939}"/>
    <cellStyle name="Comma 4 2 6 2" xfId="9910" xr:uid="{E338DF85-B050-42F4-B4B4-3397F2ACE555}"/>
    <cellStyle name="Comma 4 2 6 2 2" xfId="13216" xr:uid="{729E0688-6E74-4214-A484-7C205786A2C5}"/>
    <cellStyle name="Comma 4 2 6 2 2 2" xfId="51189" xr:uid="{B85E9A05-9BCD-48A3-8581-98CF2DA8DF32}"/>
    <cellStyle name="Comma 4 2 6 2 3" xfId="53145" xr:uid="{50EDE9B0-866D-4C95-BCC7-6082B2A8A0E0}"/>
    <cellStyle name="Comma 4 2 6 2 4" xfId="48388" xr:uid="{3223129F-3B11-454B-9464-72294E4F812C}"/>
    <cellStyle name="Comma 4 2 6 3" xfId="11931" xr:uid="{BF42528A-CD08-4DDE-BD04-59F018CDAAE8}"/>
    <cellStyle name="Comma 4 2 6 3 2" xfId="46837" xr:uid="{F99647B6-9EEC-4FA4-997F-3CB0B626553C}"/>
    <cellStyle name="Comma 4 2 6 4" xfId="49861" xr:uid="{664F5E7B-646C-4854-9D4D-D67F8158E22A}"/>
    <cellStyle name="Comma 4 2 6 5" xfId="53146" xr:uid="{0577C802-9854-4AFB-9294-9791C2311D8D}"/>
    <cellStyle name="Comma 4 2 6 6" xfId="19923" xr:uid="{C7D587DE-D997-487E-9659-35E9BAB8ECB7}"/>
    <cellStyle name="Comma 4 2 6 7" xfId="14879" xr:uid="{45405261-1339-420D-AEB2-45D3F0CBEBD1}"/>
    <cellStyle name="Comma 4 2 7" xfId="8165" xr:uid="{63957DD5-A1D7-4686-BA86-DB2B4187146D}"/>
    <cellStyle name="Comma 4 2 7 2" xfId="12621" xr:uid="{E6728812-F820-45D6-9014-416793175E6C}"/>
    <cellStyle name="Comma 4 2 7 2 2" xfId="51477" xr:uid="{09A177D5-6184-44D7-BA23-8B687A2E39C2}"/>
    <cellStyle name="Comma 4 2 7 2 3" xfId="53147" xr:uid="{DAD37AF5-170F-4F31-83EB-7EBFD1370D1E}"/>
    <cellStyle name="Comma 4 2 7 2 4" xfId="48733" xr:uid="{9475D875-4A3E-47B4-A410-C0780C751EEF}"/>
    <cellStyle name="Comma 4 2 7 3" xfId="47168" xr:uid="{95005002-4D85-41E9-BE0B-804103B94076}"/>
    <cellStyle name="Comma 4 2 7 4" xfId="50149" xr:uid="{8A5E99B4-46C4-4CD2-8A24-08446A265C93}"/>
    <cellStyle name="Comma 4 2 7 5" xfId="53148" xr:uid="{19126117-03A6-41F4-8DF1-A11804C09363}"/>
    <cellStyle name="Comma 4 2 7 6" xfId="23954" xr:uid="{7DDC62E3-8681-4FA4-9B82-6F06E84A5A9B}"/>
    <cellStyle name="Comma 4 2 8" xfId="7952" xr:uid="{40357B1B-CBF4-475D-AFBB-97B75F22BE24}"/>
    <cellStyle name="Comma 4 2 8 2" xfId="12465" xr:uid="{D3BD8DD2-E002-4E3F-854E-5124CEC8667E}"/>
    <cellStyle name="Comma 4 2 8 2 2" xfId="47695" xr:uid="{B144B675-3404-4B5A-9597-20AB4372F037}"/>
    <cellStyle name="Comma 4 2 8 3" xfId="50603" xr:uid="{728209A3-4A3D-4CA2-B06D-E567B22D16D9}"/>
    <cellStyle name="Comma 4 2 8 4" xfId="53149" xr:uid="{EF10A04D-9DE9-44AE-8754-707F21DDAD95}"/>
    <cellStyle name="Comma 4 2 8 5" xfId="38451" xr:uid="{CAC721F8-AB69-4ABC-B58F-57E3428FF652}"/>
    <cellStyle name="Comma 4 2 9" xfId="5849" xr:uid="{97D532C4-9852-46FC-A60B-CCF6939CF085}"/>
    <cellStyle name="Comma 4 2 9 2" xfId="38680" xr:uid="{B4D0D3BD-1A5A-4A13-BD9F-0BB0A6EBF92B}"/>
    <cellStyle name="Comma 4 20" xfId="49216" xr:uid="{746090DD-D4C0-45D9-B963-713BCC193A0C}"/>
    <cellStyle name="Comma 4 21" xfId="53150" xr:uid="{EB5032CA-B2A6-4447-ABFE-BD27C7DC1990}"/>
    <cellStyle name="Comma 4 22" xfId="15221" xr:uid="{8E0D3EFF-222C-45E6-B257-4598A9CDB7D7}"/>
    <cellStyle name="Comma 4 23" xfId="13933" xr:uid="{007B5E38-358D-40FE-BB82-8F25FF798566}"/>
    <cellStyle name="Comma 4 3" xfId="1779" xr:uid="{28A3F7DF-CC2A-4623-8E46-FB2B550D1F3A}"/>
    <cellStyle name="Comma 4 3 10" xfId="42134" xr:uid="{A60B2A01-3596-4C3D-B209-E36CBDF7737C}"/>
    <cellStyle name="Comma 4 3 11" xfId="42470" xr:uid="{4DA27790-59CD-43DB-B7D5-6BA87C41D38B}"/>
    <cellStyle name="Comma 4 3 12" xfId="43552" xr:uid="{7D3B0D77-58F5-4857-940E-32CDD534CF79}"/>
    <cellStyle name="Comma 4 3 13" xfId="44415" xr:uid="{654D9F77-7B62-4BB2-80A7-552AEA37976E}"/>
    <cellStyle name="Comma 4 3 14" xfId="45645" xr:uid="{C65D0240-4908-4665-AB04-5B8FC072257E}"/>
    <cellStyle name="Comma 4 3 15" xfId="49274" xr:uid="{0CC3A732-C1C8-4CAD-8904-34D873A57F51}"/>
    <cellStyle name="Comma 4 3 16" xfId="53151" xr:uid="{83B69707-31B0-4547-9214-CE61832C1C2C}"/>
    <cellStyle name="Comma 4 3 17" xfId="16664" xr:uid="{36F8B34C-2582-401D-876E-CF11A87E62FA}"/>
    <cellStyle name="Comma 4 3 18" xfId="13935" xr:uid="{4A9F865A-C261-4728-A032-18C2352C2A1E}"/>
    <cellStyle name="Comma 4 3 2" xfId="4455" xr:uid="{7FA59FD9-86B1-4938-A3B9-8F5AF590077D}"/>
    <cellStyle name="Comma 4 3 2 10" xfId="42755" xr:uid="{54719D0E-A602-47B5-83C2-4B35471B2081}"/>
    <cellStyle name="Comma 4 3 2 11" xfId="44256" xr:uid="{478AA631-D475-4694-8A54-ADAC6259B55E}"/>
    <cellStyle name="Comma 4 3 2 12" xfId="44556" xr:uid="{98EA51A6-3795-4CDD-8B99-5871CE8F7B60}"/>
    <cellStyle name="Comma 4 3 2 13" xfId="45767" xr:uid="{28604279-40DC-4120-94D0-12CECBAFA4B8}"/>
    <cellStyle name="Comma 4 3 2 14" xfId="49395" xr:uid="{95FED9D4-9872-44C3-B976-69A38CFD3F60}"/>
    <cellStyle name="Comma 4 3 2 15" xfId="53152" xr:uid="{318AEA99-3D68-4562-BDA2-59EB4E6B138F}"/>
    <cellStyle name="Comma 4 3 2 16" xfId="17108" xr:uid="{7908107E-D374-4BDE-A541-1659ABF4F209}"/>
    <cellStyle name="Comma 4 3 2 17" xfId="14249" xr:uid="{D4FFC088-E3CF-4366-B464-C01F9D82A37C}"/>
    <cellStyle name="Comma 4 3 2 2" xfId="5712" xr:uid="{6DF94328-82C2-46AA-A117-4BFD665B12DC}"/>
    <cellStyle name="Comma 4 3 2 2 10" xfId="14741" xr:uid="{67F73121-77B0-448B-ADAA-3F1210320D0D}"/>
    <cellStyle name="Comma 4 3 2 2 2" xfId="10306" xr:uid="{190C3BF7-1CF9-4450-832B-AA3A2AF8D390}"/>
    <cellStyle name="Comma 4 3 2 2 2 2" xfId="13612" xr:uid="{8BF1C402-7686-49A2-A857-17FF002F278B}"/>
    <cellStyle name="Comma 4 3 2 2 2 2 2" xfId="48266" xr:uid="{64810002-7FD4-4F3B-BF77-A0737CD0046A}"/>
    <cellStyle name="Comma 4 3 2 2 2 3" xfId="51084" xr:uid="{FD702C7B-9305-4E4B-A060-D96F67B84502}"/>
    <cellStyle name="Comma 4 3 2 2 2 4" xfId="53153" xr:uid="{D8FF39D8-9784-465D-A265-FB1E085F383F}"/>
    <cellStyle name="Comma 4 3 2 2 2 5" xfId="39669" xr:uid="{DA58DC31-1CAA-4312-BA55-A9B57B0A72E1}"/>
    <cellStyle name="Comma 4 3 2 2 3" xfId="7814" xr:uid="{6845AFC6-2871-4A50-984D-375109DD766A}"/>
    <cellStyle name="Comma 4 3 2 2 3 2" xfId="41522" xr:uid="{99523E35-84DB-47B3-89DB-C0D33818B74C}"/>
    <cellStyle name="Comma 4 3 2 2 4" xfId="12327" xr:uid="{7103A393-1A13-42D7-ACC9-900A944F2BB2}"/>
    <cellStyle name="Comma 4 3 2 2 4 2" xfId="43346" xr:uid="{7C147C46-4F0F-4069-959D-6D42CB9F1F8E}"/>
    <cellStyle name="Comma 4 3 2 2 5" xfId="45443" xr:uid="{251F5D2E-A20B-485A-A78B-02AA9B11C8B8}"/>
    <cellStyle name="Comma 4 3 2 2 6" xfId="46724" xr:uid="{DF0D7550-AAE2-478A-BF5A-710DA0A7875F}"/>
    <cellStyle name="Comma 4 3 2 2 7" xfId="49756" xr:uid="{7B5F726F-19B9-478B-841E-7B0D488B93AD}"/>
    <cellStyle name="Comma 4 3 2 2 8" xfId="53154" xr:uid="{52489B22-AD94-48B3-87AE-EA820B68A8D0}"/>
    <cellStyle name="Comma 4 3 2 2 9" xfId="21103" xr:uid="{7E4A27BA-639C-4A2F-9B40-D546E2F9C41F}"/>
    <cellStyle name="Comma 4 3 2 3" xfId="11230" xr:uid="{3BEDB266-868C-4D4E-84A6-2DC1AA02463A}"/>
    <cellStyle name="Comma 4 3 2 3 2" xfId="13792" xr:uid="{C8BA2623-99E6-4A24-9BA3-1F204E64717B}"/>
    <cellStyle name="Comma 4 3 2 3 2 2" xfId="51427" xr:uid="{B9D55761-827D-4DCC-A4FD-D2A98DB7A926}"/>
    <cellStyle name="Comma 4 3 2 3 2 3" xfId="53155" xr:uid="{F7E75076-FC4C-4F5E-A8DC-8ACD6AF150EB}"/>
    <cellStyle name="Comma 4 3 2 3 2 4" xfId="48672" xr:uid="{19749E47-1795-435F-B099-A7AFEBDD8121}"/>
    <cellStyle name="Comma 4 3 2 3 3" xfId="47109" xr:uid="{17D3D83E-BFD7-4422-A039-1249D7D7AAB0}"/>
    <cellStyle name="Comma 4 3 2 3 4" xfId="50099" xr:uid="{DB32EFB5-E1D1-4EA9-A0D4-34AE5D2C5A0C}"/>
    <cellStyle name="Comma 4 3 2 3 5" xfId="53156" xr:uid="{8E1278C3-65D3-4634-A9D7-1E771639D18E}"/>
    <cellStyle name="Comma 4 3 2 3 6" xfId="20322" xr:uid="{D785BD91-0B79-4974-B224-554637B34953}"/>
    <cellStyle name="Comma 4 3 2 3 7" xfId="15056" xr:uid="{CEA453C0-EFB1-4D08-BD5B-454811C99B77}"/>
    <cellStyle name="Comma 4 3 2 4" xfId="9812" xr:uid="{7AA07501-FB85-428E-ACAB-5E6DEAF64D2F}"/>
    <cellStyle name="Comma 4 3 2 4 2" xfId="13118" xr:uid="{DF915A39-9839-4CC9-B251-2A308CAEA246}"/>
    <cellStyle name="Comma 4 3 2 4 2 2" xfId="51802" xr:uid="{CB02435E-E398-47FD-A79B-730979198797}"/>
    <cellStyle name="Comma 4 3 2 4 2 3" xfId="53157" xr:uid="{9A89680F-65E9-4AB3-9D7C-9CC68192E266}"/>
    <cellStyle name="Comma 4 3 2 4 2 4" xfId="49122" xr:uid="{9A108A32-0240-4314-83F0-CEEC4DE6ADBC}"/>
    <cellStyle name="Comma 4 3 2 4 3" xfId="47539" xr:uid="{6330A00B-6471-4385-854E-AEECBC60D85E}"/>
    <cellStyle name="Comma 4 3 2 4 4" xfId="50474" xr:uid="{52B5446C-A2A9-41D9-B482-DAEE2C708EC8}"/>
    <cellStyle name="Comma 4 3 2 4 5" xfId="53158" xr:uid="{8063BB75-CAF0-4F6E-B757-322134A51C64}"/>
    <cellStyle name="Comma 4 3 2 4 6" xfId="23961" xr:uid="{42DECFB4-3EA0-4594-AA8B-4A343C4D81B1}"/>
    <cellStyle name="Comma 4 3 2 5" xfId="7310" xr:uid="{F17F2912-895F-4452-BD6B-DF84F1BE623B}"/>
    <cellStyle name="Comma 4 3 2 5 2" xfId="47835" xr:uid="{A9F1B4A8-E358-4EE5-9033-3DB418F336F4}"/>
    <cellStyle name="Comma 4 3 2 5 3" xfId="50723" xr:uid="{BA428340-AC7E-44D3-86A8-B369D776F87B}"/>
    <cellStyle name="Comma 4 3 2 5 4" xfId="53159" xr:uid="{471FBD29-C6A2-4FF6-822D-2CEA0AFE4660}"/>
    <cellStyle name="Comma 4 3 2 5 5" xfId="38458" xr:uid="{EB1513C2-5F72-417D-875C-E3B1AA63AD58}"/>
    <cellStyle name="Comma 4 3 2 6" xfId="11833" xr:uid="{42C72389-CB88-418B-AF34-E2B89BF9042E}"/>
    <cellStyle name="Comma 4 3 2 6 2" xfId="39078" xr:uid="{54D86C56-442B-4409-B649-2E530B56D9D0}"/>
    <cellStyle name="Comma 4 3 2 7" xfId="40281" xr:uid="{0A63E48E-36DF-4A0E-8EA2-FEB8C76CE2D2}"/>
    <cellStyle name="Comma 4 3 2 8" xfId="40923" xr:uid="{EFE0F938-B3C7-4034-8B86-A82A0AF37861}"/>
    <cellStyle name="Comma 4 3 2 9" xfId="42135" xr:uid="{1687292E-F9D5-4F23-A317-0FC3B71036A5}"/>
    <cellStyle name="Comma 4 3 3" xfId="5536" xr:uid="{7CD6BE90-CDD0-498E-B11F-88E9EB469D92}"/>
    <cellStyle name="Comma 4 3 3 10" xfId="20758" xr:uid="{C5393EFE-1014-4070-B71A-BF91371738EF}"/>
    <cellStyle name="Comma 4 3 3 11" xfId="14073" xr:uid="{11152C20-8AC7-4420-B251-40261F53A873}"/>
    <cellStyle name="Comma 4 3 3 2" xfId="7638" xr:uid="{B7119C69-5C7F-400F-9F11-321B2CA3A8C9}"/>
    <cellStyle name="Comma 4 3 3 2 2" xfId="10130" xr:uid="{4A25C76D-0F5D-45EB-AC24-522F0A0696EA}"/>
    <cellStyle name="Comma 4 3 3 2 2 2" xfId="13436" xr:uid="{ECD5D4E7-2CD5-41CF-992D-4F6DFCE0E86C}"/>
    <cellStyle name="Comma 4 3 3 2 2 2 2" xfId="51662" xr:uid="{F61EA470-4DAC-4F9D-801F-551735F0A660}"/>
    <cellStyle name="Comma 4 3 3 2 2 3" xfId="53160" xr:uid="{B5D2D1A5-5064-4CD0-9FC2-B69586EE1364}"/>
    <cellStyle name="Comma 4 3 3 2 2 4" xfId="48950" xr:uid="{06AB89DE-F65E-45DC-986E-F0552D9714F4}"/>
    <cellStyle name="Comma 4 3 3 2 3" xfId="12151" xr:uid="{35E3EC51-22C0-41F4-BB76-F1DE5A1A65E5}"/>
    <cellStyle name="Comma 4 3 3 2 3 2" xfId="47374" xr:uid="{B714E210-C4A1-4258-9BDB-BA75751B44B7}"/>
    <cellStyle name="Comma 4 3 3 2 4" xfId="50334" xr:uid="{517C8DDB-D875-408E-927F-E4577AA9BED7}"/>
    <cellStyle name="Comma 4 3 3 2 5" xfId="53161" xr:uid="{27E3235F-0760-4D83-93B5-71852C21F26C}"/>
    <cellStyle name="Comma 4 3 3 2 6" xfId="39384" xr:uid="{17E4214E-1A59-4CB8-ACFD-CDB632311AFA}"/>
    <cellStyle name="Comma 4 3 3 2 7" xfId="14565" xr:uid="{7C544D55-2474-4706-B222-12E0EE54955A}"/>
    <cellStyle name="Comma 4 3 3 3" xfId="9636" xr:uid="{1B13F64C-A5F6-4575-8236-D6B3C8DCFB40}"/>
    <cellStyle name="Comma 4 3 3 3 2" xfId="12942" xr:uid="{59F8A96D-B67E-4659-A81D-A6C8B2EEC19D}"/>
    <cellStyle name="Comma 4 3 3 3 2 2" xfId="48095" xr:uid="{6AB5A123-E2D9-4842-941F-EB2FD8129083}"/>
    <cellStyle name="Comma 4 3 3 3 3" xfId="50944" xr:uid="{B8B21E54-115E-40D7-B696-084F41400965}"/>
    <cellStyle name="Comma 4 3 3 3 4" xfId="53162" xr:uid="{466FFD8D-0011-4AD8-81BE-A4D4D3DD3969}"/>
    <cellStyle name="Comma 4 3 3 3 5" xfId="41242" xr:uid="{9A3F96A4-49D1-4C73-B34D-9F21F4526A97}"/>
    <cellStyle name="Comma 4 3 3 4" xfId="7132" xr:uid="{0D1003E1-34A2-4103-91D8-7EEE0A0EE5B7}"/>
    <cellStyle name="Comma 4 3 3 4 2" xfId="43061" xr:uid="{39C84F3E-97A9-4F87-9071-0133C8A3D960}"/>
    <cellStyle name="Comma 4 3 3 5" xfId="11657" xr:uid="{5062003E-D10B-4FD0-AD8B-E795F6A2C89D}"/>
    <cellStyle name="Comma 4 3 3 5 2" xfId="43825" xr:uid="{83136B34-1CED-4A83-B4D1-3F005042CD34}"/>
    <cellStyle name="Comma 4 3 3 6" xfId="45162" xr:uid="{94DEA940-2BCF-4DB0-ABBC-C1606289BEE0}"/>
    <cellStyle name="Comma 4 3 3 7" xfId="46583" xr:uid="{0795FB26-A129-42E9-82B9-D556BDFDB865}"/>
    <cellStyle name="Comma 4 3 3 8" xfId="49616" xr:uid="{71B4A1C9-EAA3-4980-982E-4323A513B979}"/>
    <cellStyle name="Comma 4 3 3 9" xfId="53163" xr:uid="{6C55D6F2-90B0-46BF-918D-34E59F4B6BED}"/>
    <cellStyle name="Comma 4 3 4" xfId="6526" xr:uid="{F6F007F1-A818-4406-B31D-8C3AEE16400A}"/>
    <cellStyle name="Comma 4 3 4 2" xfId="9498" xr:uid="{F3085EDF-0CF7-46FB-B451-6C181ADD26FF}"/>
    <cellStyle name="Comma 4 3 4 2 2" xfId="12804" xr:uid="{E2F8FAF4-DC30-4833-9F21-AD41B0A4EE19}"/>
    <cellStyle name="Comma 4 3 4 2 2 2" xfId="50829" xr:uid="{65F50268-29F9-4351-B70D-19E4BCDB79CC}"/>
    <cellStyle name="Comma 4 3 4 2 3" xfId="53164" xr:uid="{E3C7C9B4-980A-4F0C-9027-2BD73DB21BCD}"/>
    <cellStyle name="Comma 4 3 4 2 4" xfId="47960" xr:uid="{6797589D-4272-4275-A3E9-93F0A0632BB8}"/>
    <cellStyle name="Comma 4 3 4 3" xfId="11519" xr:uid="{29A29AEA-B177-4F69-A779-F9ED1F92DDEC}"/>
    <cellStyle name="Comma 4 3 4 3 2" xfId="46165" xr:uid="{E75CD06D-8128-440F-ACB1-6692CA1D6DCD}"/>
    <cellStyle name="Comma 4 3 4 4" xfId="49501" xr:uid="{2A9B13FD-15E3-4825-97CC-F3235DDBAE36}"/>
    <cellStyle name="Comma 4 3 4 5" xfId="53165" xr:uid="{8008B75D-F406-4B32-B7E3-C12C32111590}"/>
    <cellStyle name="Comma 4 3 4 6" xfId="20037" xr:uid="{1A4F361B-F5C0-4873-8184-59F798B170F1}"/>
    <cellStyle name="Comma 4 3 4 7" xfId="14427" xr:uid="{7E4D5154-BB99-413B-85C1-0E03B09C5B7E}"/>
    <cellStyle name="Comma 4 3 5" xfId="7500" xr:uid="{FB121819-15A2-4DF9-B7DB-F4B99B64B912}"/>
    <cellStyle name="Comma 4 3 5 2" xfId="9992" xr:uid="{120058F1-03B7-4436-A40F-1B26D830F3F9}"/>
    <cellStyle name="Comma 4 3 5 2 2" xfId="13298" xr:uid="{52D6EFB1-4BFC-461B-B70E-BE6FA206EF39}"/>
    <cellStyle name="Comma 4 3 5 2 2 2" xfId="51291" xr:uid="{77FF093E-EF20-4A61-9781-E67D5476969F}"/>
    <cellStyle name="Comma 4 3 5 2 3" xfId="53166" xr:uid="{3A0B565D-694A-4FF6-B3CE-6F269D0F3215}"/>
    <cellStyle name="Comma 4 3 5 2 4" xfId="48505" xr:uid="{01721FAD-E078-4D2C-8A64-2250857AE64D}"/>
    <cellStyle name="Comma 4 3 5 3" xfId="12013" xr:uid="{172173EA-5D53-4E54-999E-A3B93DB9A3A1}"/>
    <cellStyle name="Comma 4 3 5 3 2" xfId="46944" xr:uid="{0CEB952F-9C21-48F8-A4B8-F092643F3CF4}"/>
    <cellStyle name="Comma 4 3 5 4" xfId="49963" xr:uid="{7126049E-3162-4C83-A8CA-FB28439A716B}"/>
    <cellStyle name="Comma 4 3 5 5" xfId="53167" xr:uid="{3EBE347C-1DD0-4E6A-85AE-C57076DB0926}"/>
    <cellStyle name="Comma 4 3 5 6" xfId="23960" xr:uid="{9AEDBF25-3F09-4B52-9CB9-E2E261C90F2F}"/>
    <cellStyle name="Comma 4 3 5 7" xfId="14880" xr:uid="{513C654E-FBB0-4F64-B101-282D57B86CCD}"/>
    <cellStyle name="Comma 4 3 6" xfId="8166" xr:uid="{4CB82F28-83DA-4B44-A5EC-662445A6C34A}"/>
    <cellStyle name="Comma 4 3 6 2" xfId="12622" xr:uid="{C1B8AC92-A056-49BE-86A6-48228D3FFF12}"/>
    <cellStyle name="Comma 4 3 6 2 2" xfId="51547" xr:uid="{8BE5606E-9315-427F-8E38-FECAD3B7D6C6}"/>
    <cellStyle name="Comma 4 3 6 2 3" xfId="53168" xr:uid="{B516E676-A7F7-45F2-BA53-D9A9CF2EEF01}"/>
    <cellStyle name="Comma 4 3 6 2 4" xfId="48812" xr:uid="{078C0FBB-920D-44D3-8BBD-629C1A286055}"/>
    <cellStyle name="Comma 4 3 6 3" xfId="47241" xr:uid="{A1C0AE8D-AB83-4E67-A7C4-9E90A6CECE51}"/>
    <cellStyle name="Comma 4 3 6 4" xfId="50219" xr:uid="{680D8A7E-8750-4DFE-B3E2-BA536CDC486E}"/>
    <cellStyle name="Comma 4 3 6 5" xfId="53169" xr:uid="{91D56B0C-9D16-4258-8C78-6C045A0B48C5}"/>
    <cellStyle name="Comma 4 3 6 6" xfId="38457" xr:uid="{8F430807-E5D9-4154-ADC8-C20111EC742C}"/>
    <cellStyle name="Comma 4 3 7" xfId="7953" xr:uid="{B596D583-E493-4936-AEF5-BD9964D86628}"/>
    <cellStyle name="Comma 4 3 7 2" xfId="12466" xr:uid="{A16C8916-FA08-463C-983E-CABF4BED8AE7}"/>
    <cellStyle name="Comma 4 3 7 2 2" xfId="47694" xr:uid="{C4F8133E-43BE-4A36-ADD6-AC5D9AE03A1E}"/>
    <cellStyle name="Comma 4 3 7 3" xfId="50602" xr:uid="{07FA1142-1CF7-4F23-8121-749A68B4D22D}"/>
    <cellStyle name="Comma 4 3 7 4" xfId="53170" xr:uid="{23B1B1AE-3F5A-4A92-B66B-2FEBBE94C933}"/>
    <cellStyle name="Comma 4 3 7 5" xfId="38793" xr:uid="{C2F1B0E1-693D-483B-8C7C-C183C38A6D88}"/>
    <cellStyle name="Comma 4 3 8" xfId="5850" xr:uid="{7D1F9FDB-5733-4185-9459-7E13CA58A70A}"/>
    <cellStyle name="Comma 4 3 8 2" xfId="40280" xr:uid="{F4EA5A04-A55F-4866-B01C-5385958E2BA1}"/>
    <cellStyle name="Comma 4 3 9" xfId="11338" xr:uid="{424067B7-35F8-4A4A-9750-534076E6FA9F}"/>
    <cellStyle name="Comma 4 3 9 2" xfId="40922" xr:uid="{FB364072-F5B0-4C47-BC24-67A0E40F79A1}"/>
    <cellStyle name="Comma 4 4" xfId="4453" xr:uid="{2ADD1C2B-E82C-4C3A-8B5F-AD434824FC0D}"/>
    <cellStyle name="Comma 4 4 10" xfId="42136" xr:uid="{B0581485-8474-4CA3-A2A6-13E0B963D81F}"/>
    <cellStyle name="Comma 4 4 11" xfId="42412" xr:uid="{358E0EE5-6B07-45FB-B2C9-8E6988C03201}"/>
    <cellStyle name="Comma 4 4 12" xfId="44254" xr:uid="{3D7CB5B8-6020-4A4E-BD8F-3AA8E34C1074}"/>
    <cellStyle name="Comma 4 4 13" xfId="44554" xr:uid="{D2319748-DF1C-4B7B-A68D-67378FB20C46}"/>
    <cellStyle name="Comma 4 4 14" xfId="45719" xr:uid="{8B9876FD-4A81-4346-AD4F-13E0BDFA323D}"/>
    <cellStyle name="Comma 4 4 15" xfId="49347" xr:uid="{499E8BAC-9199-4646-BFC7-DDB2CE85F1AF}"/>
    <cellStyle name="Comma 4 4 16" xfId="53171" xr:uid="{A9B27FBB-0E04-4510-8902-2DCDA45B5461}"/>
    <cellStyle name="Comma 4 4 17" xfId="16387" xr:uid="{A3C9D394-C8A0-4400-9EAE-DBCB4E8FC087}"/>
    <cellStyle name="Comma 4 4 18" xfId="14247" xr:uid="{DA82EE81-6F9F-4C11-BC51-81342901F482}"/>
    <cellStyle name="Comma 4 4 2" xfId="5710" xr:uid="{277CAC9A-C776-4353-9189-40345FE20FF6}"/>
    <cellStyle name="Comma 4 4 2 10" xfId="42756" xr:uid="{40C62121-6F09-4FA4-8B1C-49E08E550B29}"/>
    <cellStyle name="Comma 4 4 2 11" xfId="44917" xr:uid="{1D1D3F53-046B-441B-86B7-C83280C17173}"/>
    <cellStyle name="Comma 4 4 2 12" xfId="46722" xr:uid="{A7C4BC96-1CFD-4EE9-A3D1-4EF04EE26D1A}"/>
    <cellStyle name="Comma 4 4 2 13" xfId="49754" xr:uid="{B4B9C53F-ECF8-4251-8D98-48367A1C9855}"/>
    <cellStyle name="Comma 4 4 2 14" xfId="53172" xr:uid="{DCEABB5C-9D8A-4349-AB67-87258BBEE9F7}"/>
    <cellStyle name="Comma 4 4 2 15" xfId="17109" xr:uid="{3E25DF62-4A29-4429-87D2-00DABC0CD662}"/>
    <cellStyle name="Comma 4 4 2 16" xfId="14739" xr:uid="{4446B339-501E-404B-A5C6-B874149EC80B}"/>
    <cellStyle name="Comma 4 4 2 2" xfId="10304" xr:uid="{AC5B80D9-956B-4DD0-9799-E0256280B4F0}"/>
    <cellStyle name="Comma 4 4 2 2 2" xfId="13610" xr:uid="{4631AC7B-82EF-44E3-9B70-5C704900C2B5}"/>
    <cellStyle name="Comma 4 4 2 2 2 2" xfId="39670" xr:uid="{64BD98CF-485C-4706-98D6-CC2D8C4CB89A}"/>
    <cellStyle name="Comma 4 4 2 2 3" xfId="41523" xr:uid="{E6896206-620A-42CF-BE9A-BD7FF1FB790F}"/>
    <cellStyle name="Comma 4 4 2 2 4" xfId="43347" xr:uid="{4BE2D149-C8B2-4B10-B9DB-071559481105}"/>
    <cellStyle name="Comma 4 4 2 2 5" xfId="45444" xr:uid="{0C9658A7-0097-4EC1-A26F-69622EFC8FF4}"/>
    <cellStyle name="Comma 4 4 2 2 6" xfId="48264" xr:uid="{F508EAEC-920F-45FD-A025-9D057BC83542}"/>
    <cellStyle name="Comma 4 4 2 2 7" xfId="51082" xr:uid="{DDF2976C-E846-4C98-919E-F6C91BBA24F7}"/>
    <cellStyle name="Comma 4 4 2 2 8" xfId="53173" xr:uid="{88A170F2-EB60-4187-A4D6-B857CC1374C6}"/>
    <cellStyle name="Comma 4 4 2 2 9" xfId="21104" xr:uid="{356EFBBD-3F81-4357-8E15-E2A8E9144FE3}"/>
    <cellStyle name="Comma 4 4 2 3" xfId="7812" xr:uid="{A0470BCE-B8E3-43BA-B136-F42AB176547B}"/>
    <cellStyle name="Comma 4 4 2 3 2" xfId="20323" xr:uid="{F8734046-97E7-4455-B99D-791272A3FFC4}"/>
    <cellStyle name="Comma 4 4 2 4" xfId="12325" xr:uid="{D06E4FBC-DFD4-4D60-816D-103592ED4321}"/>
    <cellStyle name="Comma 4 4 2 4 2" xfId="23963" xr:uid="{29250294-EA3C-49BF-AA22-8559AD40FA24}"/>
    <cellStyle name="Comma 4 4 2 5" xfId="38460" xr:uid="{D41EFCCE-25BE-4013-9462-2ACAE929754F}"/>
    <cellStyle name="Comma 4 4 2 6" xfId="39079" xr:uid="{D0BE47D8-AD01-4F00-A4A1-5C1EA341BEBC}"/>
    <cellStyle name="Comma 4 4 2 7" xfId="40283" xr:uid="{06CA4D05-9E82-4BEB-9006-72DA644F7AC4}"/>
    <cellStyle name="Comma 4 4 2 8" xfId="40925" xr:uid="{AB35BC17-4ACC-49E4-9659-66B5230A00F7}"/>
    <cellStyle name="Comma 4 4 2 9" xfId="42137" xr:uid="{216370F1-3AED-48ED-99D8-6121A85C946F}"/>
    <cellStyle name="Comma 4 4 3" xfId="11150" xr:uid="{983C52B5-34C0-4792-8E82-1FDA03EA2334}"/>
    <cellStyle name="Comma 4 4 3 10" xfId="15054" xr:uid="{DBA48915-CC74-46E6-BCA4-4AEEF923C137}"/>
    <cellStyle name="Comma 4 4 3 2" xfId="13746" xr:uid="{C48AFFC6-1536-44D6-B160-B1345CEF2E32}"/>
    <cellStyle name="Comma 4 4 3 2 2" xfId="48503" xr:uid="{1B782C6B-1FD5-4EE9-8DF2-D3330D73E132}"/>
    <cellStyle name="Comma 4 4 3 2 3" xfId="51289" xr:uid="{F4616203-3799-4427-BE5F-45D3529876D6}"/>
    <cellStyle name="Comma 4 4 3 2 4" xfId="53174" xr:uid="{ADFAC961-1CE2-478D-8656-B25DFA91B2C0}"/>
    <cellStyle name="Comma 4 4 3 2 5" xfId="39326" xr:uid="{22EFB52C-7559-4BA0-B59B-9DFAFA3BF1C5}"/>
    <cellStyle name="Comma 4 4 3 3" xfId="41188" xr:uid="{981E7097-38EF-431C-BABE-130E45ED3B3B}"/>
    <cellStyle name="Comma 4 4 3 4" xfId="43003" xr:uid="{8FA6A15A-9146-46FE-A305-605FD0771C0E}"/>
    <cellStyle name="Comma 4 4 3 5" xfId="45108" xr:uid="{A05F496D-9A9A-4302-B1D3-D4833FB77076}"/>
    <cellStyle name="Comma 4 4 3 6" xfId="46942" xr:uid="{6119CDE0-ECF4-42E9-9DF0-828E76942C79}"/>
    <cellStyle name="Comma 4 4 3 7" xfId="49961" xr:uid="{CC6A7764-C207-45F2-BDCC-01E3B951B918}"/>
    <cellStyle name="Comma 4 4 3 8" xfId="53175" xr:uid="{6CA064E3-FA87-45B1-A64B-0BD82044A284}"/>
    <cellStyle name="Comma 4 4 3 9" xfId="20632" xr:uid="{EA128EE5-164F-4DE8-AB8E-F23BE0336DF1}"/>
    <cellStyle name="Comma 4 4 4" xfId="9810" xr:uid="{0CFDA583-C640-4E90-8BBF-EE61CEAD5A39}"/>
    <cellStyle name="Comma 4 4 4 2" xfId="13116" xr:uid="{48F054CF-DFF3-49C7-9A1D-E51BC63FD9BC}"/>
    <cellStyle name="Comma 4 4 4 2 2" xfId="51800" xr:uid="{45D69968-7C42-463A-9B86-1A372E05611C}"/>
    <cellStyle name="Comma 4 4 4 2 3" xfId="53176" xr:uid="{85ABC630-D49C-4645-9144-823A7884272A}"/>
    <cellStyle name="Comma 4 4 4 2 4" xfId="49120" xr:uid="{7CCE31E4-98D6-4FBA-B167-54B75C9C75F8}"/>
    <cellStyle name="Comma 4 4 4 3" xfId="47537" xr:uid="{67DF904F-9F0C-43F0-8429-47D7C9641E0C}"/>
    <cellStyle name="Comma 4 4 4 4" xfId="50472" xr:uid="{FFDB6451-4C71-4A9A-85C1-C26297C66AF6}"/>
    <cellStyle name="Comma 4 4 4 5" xfId="53177" xr:uid="{12961581-0902-46DE-B20A-105118029E8F}"/>
    <cellStyle name="Comma 4 4 4 6" xfId="19979" xr:uid="{A1FA2942-86F2-4006-8371-32C88F6510E8}"/>
    <cellStyle name="Comma 4 4 5" xfId="7308" xr:uid="{9697B339-41BC-46ED-9F85-4AA75F8CA902}"/>
    <cellStyle name="Comma 4 4 5 2" xfId="47776" xr:uid="{C2F89630-383A-4246-80F9-2A6ADD534FFC}"/>
    <cellStyle name="Comma 4 4 5 3" xfId="50675" xr:uid="{FF902321-19D9-49E5-A0C8-81C46FCCE742}"/>
    <cellStyle name="Comma 4 4 5 4" xfId="53178" xr:uid="{C37256FC-210F-4746-9842-C9EB1D82873C}"/>
    <cellStyle name="Comma 4 4 5 5" xfId="23962" xr:uid="{C2BD0157-F088-441D-9A09-2C2D5F07EA14}"/>
    <cellStyle name="Comma 4 4 6" xfId="11831" xr:uid="{DD627F7F-76E0-4174-8084-1CD32AA2AEDE}"/>
    <cellStyle name="Comma 4 4 6 2" xfId="38459" xr:uid="{B15D75AA-EB45-49C6-B8CB-9E40B4666672}"/>
    <cellStyle name="Comma 4 4 7" xfId="38735" xr:uid="{3D8EB487-DD3D-434E-AF2E-1CBF7596177D}"/>
    <cellStyle name="Comma 4 4 8" xfId="40282" xr:uid="{AC9921C7-D4F5-449A-B25F-D7E835DC6BCC}"/>
    <cellStyle name="Comma 4 4 9" xfId="40924" xr:uid="{59AA0BCA-2043-491E-9506-A89E8A4431E9}"/>
    <cellStyle name="Comma 4 5" xfId="5534" xr:uid="{B0D39334-650D-4892-9C77-52BB1C0E8B09}"/>
    <cellStyle name="Comma 4 5 10" xfId="42757" xr:uid="{FA4C17FF-B11D-4501-919B-30C2CDD48242}"/>
    <cellStyle name="Comma 4 5 11" xfId="43823" xr:uid="{BFE8B2D6-5CA9-49B8-B42D-9D6746E822C2}"/>
    <cellStyle name="Comma 4 5 12" xfId="44918" xr:uid="{D5702E51-0C61-4EB1-BC8B-AD80F2935580}"/>
    <cellStyle name="Comma 4 5 13" xfId="46581" xr:uid="{B8AD7972-B799-4506-9011-7F9A654AC75B}"/>
    <cellStyle name="Comma 4 5 14" xfId="49614" xr:uid="{9E6C648D-25C2-459C-AAA5-FADDE5D4F5D9}"/>
    <cellStyle name="Comma 4 5 15" xfId="53179" xr:uid="{3DA60E77-D045-40C2-A2C8-AC177D2778A0}"/>
    <cellStyle name="Comma 4 5 16" xfId="17110" xr:uid="{D81B218C-7546-4666-B344-B091B886A743}"/>
    <cellStyle name="Comma 4 5 17" xfId="14071" xr:uid="{B09C1A1A-A6EA-4AE0-A15C-F0AA32E90F00}"/>
    <cellStyle name="Comma 4 5 2" xfId="7636" xr:uid="{55B8A394-BD61-4B5A-948E-282B2CDD148D}"/>
    <cellStyle name="Comma 4 5 2 10" xfId="14563" xr:uid="{FDCEB8B2-680A-4927-9782-98A9B2879CA9}"/>
    <cellStyle name="Comma 4 5 2 2" xfId="10128" xr:uid="{DEA47F78-2DD6-42F6-9424-9F6FC3D0CB03}"/>
    <cellStyle name="Comma 4 5 2 2 2" xfId="13434" xr:uid="{6AEDBA64-3E26-4284-AF73-48D8D5DA3F60}"/>
    <cellStyle name="Comma 4 5 2 2 2 2" xfId="48631" xr:uid="{03ECD808-05DE-4C2F-A2CD-D109E222461D}"/>
    <cellStyle name="Comma 4 5 2 2 3" xfId="51394" xr:uid="{42D6A820-9493-4443-99C9-4899AFCA56DB}"/>
    <cellStyle name="Comma 4 5 2 2 4" xfId="53180" xr:uid="{86FD6834-2CC6-4443-8BE6-71C0AE90802B}"/>
    <cellStyle name="Comma 4 5 2 2 5" xfId="39671" xr:uid="{D9545685-D2F5-471C-A29B-B8ED0D992137}"/>
    <cellStyle name="Comma 4 5 2 3" xfId="12149" xr:uid="{DE94C43B-F0D4-4ECF-AB6C-88733029FDFA}"/>
    <cellStyle name="Comma 4 5 2 3 2" xfId="41524" xr:uid="{5413EF5F-CA1D-4215-866E-7A8DC36B6930}"/>
    <cellStyle name="Comma 4 5 2 4" xfId="43348" xr:uid="{C37965CF-8028-4551-9325-7D682F67A1EC}"/>
    <cellStyle name="Comma 4 5 2 5" xfId="45445" xr:uid="{75B51255-EFBB-49E7-B785-817A0A3C205E}"/>
    <cellStyle name="Comma 4 5 2 6" xfId="47065" xr:uid="{39E78FB3-C31A-40D7-8C2C-EBE45C8365DB}"/>
    <cellStyle name="Comma 4 5 2 7" xfId="50066" xr:uid="{D835428E-996E-47DE-9535-E6C0B55434E0}"/>
    <cellStyle name="Comma 4 5 2 8" xfId="53181" xr:uid="{F14858E7-16CB-49E8-9B01-C177BFAD361D}"/>
    <cellStyle name="Comma 4 5 2 9" xfId="21105" xr:uid="{06E9CBEE-6EF6-40B0-8087-28CE38ACF219}"/>
    <cellStyle name="Comma 4 5 3" xfId="9634" xr:uid="{0DB7C356-B3C0-42FE-A1D9-EC6D4EFB1BC8}"/>
    <cellStyle name="Comma 4 5 3 2" xfId="12940" xr:uid="{8F9829D4-EC4A-496F-8946-1928E60A650C}"/>
    <cellStyle name="Comma 4 5 3 2 2" xfId="51660" xr:uid="{38184A65-55D9-4B63-B053-E296470CADB1}"/>
    <cellStyle name="Comma 4 5 3 2 3" xfId="53182" xr:uid="{749E63C5-FF84-4947-A8FD-654773A6C8EA}"/>
    <cellStyle name="Comma 4 5 3 2 4" xfId="48948" xr:uid="{AFD3C9BC-520B-45AA-A089-3082717C45F1}"/>
    <cellStyle name="Comma 4 5 3 3" xfId="47372" xr:uid="{817296C6-58FD-41EE-809B-E1809D6E9AEC}"/>
    <cellStyle name="Comma 4 5 3 4" xfId="50332" xr:uid="{54076F83-CE52-4D52-B012-2AE27CC126FB}"/>
    <cellStyle name="Comma 4 5 3 5" xfId="53183" xr:uid="{FCE9E0E6-7B95-4CFA-8660-3AC943E4B964}"/>
    <cellStyle name="Comma 4 5 3 6" xfId="20324" xr:uid="{F5217E7F-53B2-4009-81A2-3284773467C1}"/>
    <cellStyle name="Comma 4 5 4" xfId="7130" xr:uid="{8F7A00F4-D537-4104-8B9D-9168D93AB068}"/>
    <cellStyle name="Comma 4 5 4 2" xfId="48093" xr:uid="{C73416BC-21E6-4057-95DF-80ECDBCA3F45}"/>
    <cellStyle name="Comma 4 5 4 3" xfId="50942" xr:uid="{1FB066F8-0372-4875-A489-D68B009D1F2D}"/>
    <cellStyle name="Comma 4 5 4 4" xfId="53184" xr:uid="{54183BF9-999F-40C9-9AC1-0C97D4986947}"/>
    <cellStyle name="Comma 4 5 4 5" xfId="23964" xr:uid="{620609F6-C33C-48B2-B99F-1F149100DB7B}"/>
    <cellStyle name="Comma 4 5 5" xfId="11655" xr:uid="{C4A0ECB6-9312-4A94-A029-6A239EAFDF0F}"/>
    <cellStyle name="Comma 4 5 5 2" xfId="38461" xr:uid="{C7EB75BE-201F-421C-B536-9859A71BEEBE}"/>
    <cellStyle name="Comma 4 5 6" xfId="39080" xr:uid="{A2A6BD4C-96F5-4A70-B182-A745D24F95AF}"/>
    <cellStyle name="Comma 4 5 7" xfId="40284" xr:uid="{E01C8F8B-D3BE-43E3-AFDC-A0555E6476CA}"/>
    <cellStyle name="Comma 4 5 8" xfId="40926" xr:uid="{545A52EA-8694-4689-A73D-CC1C721DEC48}"/>
    <cellStyle name="Comma 4 5 9" xfId="42138" xr:uid="{6324976E-2E57-468E-BED8-C5DADFDF1A15}"/>
    <cellStyle name="Comma 4 6" xfId="6524" xr:uid="{7A2EDA5A-643B-4957-8AD2-A2909878379B}"/>
    <cellStyle name="Comma 4 6 10" xfId="42752" xr:uid="{9325F42C-A41B-425B-AABB-E3756533F447}"/>
    <cellStyle name="Comma 4 6 11" xfId="44915" xr:uid="{47D7BAC6-0EE0-45C2-B7B2-117854983EC0}"/>
    <cellStyle name="Comma 4 6 12" xfId="46163" xr:uid="{9A6FF73D-A2E5-443E-9668-05C11B8C6597}"/>
    <cellStyle name="Comma 4 6 13" xfId="49499" xr:uid="{82A287ED-ED93-42D6-A34D-653DF76F543F}"/>
    <cellStyle name="Comma 4 6 14" xfId="53185" xr:uid="{AC97B2AB-5FDE-4C39-AB91-9B2DBE22B28D}"/>
    <cellStyle name="Comma 4 6 15" xfId="17105" xr:uid="{2AB58EB5-AD98-4DB0-AF0E-B04B1E2526B6}"/>
    <cellStyle name="Comma 4 6 16" xfId="14425" xr:uid="{F2A7FA41-89F2-4FE5-9959-F84E4E4B1D7A}"/>
    <cellStyle name="Comma 4 6 2" xfId="9496" xr:uid="{3B92DD64-5249-4205-B2AC-65E2B49150A7}"/>
    <cellStyle name="Comma 4 6 2 2" xfId="12802" xr:uid="{051DB238-EAC8-4E4A-845E-4BEB49F5183C}"/>
    <cellStyle name="Comma 4 6 2 2 2" xfId="39666" xr:uid="{844BAF4A-01DC-4457-B497-AE45023665B9}"/>
    <cellStyle name="Comma 4 6 2 3" xfId="41519" xr:uid="{69C24B23-39CF-4A5B-90F3-2D58B982AFFF}"/>
    <cellStyle name="Comma 4 6 2 4" xfId="43343" xr:uid="{DC5A212D-5448-4943-BCDB-09C61930A896}"/>
    <cellStyle name="Comma 4 6 2 5" xfId="45440" xr:uid="{4410C923-7D6B-405E-8532-B8CCD77F9E1A}"/>
    <cellStyle name="Comma 4 6 2 6" xfId="47958" xr:uid="{F5BB0C95-6272-4442-A693-C4CB31CDB175}"/>
    <cellStyle name="Comma 4 6 2 7" xfId="50827" xr:uid="{A321ACB6-6578-42B6-B55E-8593FFBEE266}"/>
    <cellStyle name="Comma 4 6 2 8" xfId="53186" xr:uid="{05D17EE1-DC77-4DA4-8B63-2A13B338C06B}"/>
    <cellStyle name="Comma 4 6 2 9" xfId="21100" xr:uid="{F410BD69-6F52-43DF-A3D4-028B876EDBF4}"/>
    <cellStyle name="Comma 4 6 3" xfId="11517" xr:uid="{2788AF7A-5006-4F22-9E9A-6599B8C3233F}"/>
    <cellStyle name="Comma 4 6 3 2" xfId="20319" xr:uid="{DB383876-06A2-45BD-9DAE-983370DCF958}"/>
    <cellStyle name="Comma 4 6 4" xfId="23965" xr:uid="{705B3ABC-E730-4E88-802E-F448CD44F5D6}"/>
    <cellStyle name="Comma 4 6 5" xfId="38462" xr:uid="{FBA305BD-7EBC-4B74-B674-2F39058CF0FB}"/>
    <cellStyle name="Comma 4 6 6" xfId="39075" xr:uid="{7E438D20-2EA5-440E-9E12-B729BCCFF814}"/>
    <cellStyle name="Comma 4 6 7" xfId="40285" xr:uid="{C1F46807-E8F7-471A-8352-A48FCD976F59}"/>
    <cellStyle name="Comma 4 6 8" xfId="40927" xr:uid="{265065F2-D257-44D6-8E29-4CA629FE8B8D}"/>
    <cellStyle name="Comma 4 6 9" xfId="42139" xr:uid="{DD5CFDF0-DBC5-4109-B9FF-FEC814A0C85D}"/>
    <cellStyle name="Comma 4 7" xfId="7498" xr:uid="{FDB22EF7-B6C4-48DA-8FF6-D2AE7D01687A}"/>
    <cellStyle name="Comma 4 7 10" xfId="42842" xr:uid="{209D93DE-1DBE-4281-8071-40783089E524}"/>
    <cellStyle name="Comma 4 7 11" xfId="44969" xr:uid="{DED8E06E-A71E-4A81-9998-EE6FED8131B0}"/>
    <cellStyle name="Comma 4 7 12" xfId="46836" xr:uid="{1C7E71C9-CA7F-46CB-BC09-CFA2DB5A6C77}"/>
    <cellStyle name="Comma 4 7 13" xfId="49860" xr:uid="{694EEA65-C49D-4A82-A843-53DA5CDBD99F}"/>
    <cellStyle name="Comma 4 7 14" xfId="53187" xr:uid="{BEAE8C6D-01A1-4165-97E6-54D48001511E}"/>
    <cellStyle name="Comma 4 7 15" xfId="19748" xr:uid="{FBDB09EC-FF46-4C6E-957D-325E9C882CD9}"/>
    <cellStyle name="Comma 4 7 16" xfId="14878" xr:uid="{DA796702-B49C-4040-BB3B-82045E1AC269}"/>
    <cellStyle name="Comma 4 7 2" xfId="9990" xr:uid="{BEF58B07-AD63-4FC8-BD0C-13EFFAA9631B}"/>
    <cellStyle name="Comma 4 7 2 2" xfId="13296" xr:uid="{1BB41E05-FF4A-4CB0-8226-9C9E2EB2A76C}"/>
    <cellStyle name="Comma 4 7 2 2 2" xfId="39756" xr:uid="{DBB4E33A-7E50-4A3A-9E08-E8FBF46746C5}"/>
    <cellStyle name="Comma 4 7 2 3" xfId="41609" xr:uid="{ED8544FF-E91F-4AEB-86AC-0FE951454584}"/>
    <cellStyle name="Comma 4 7 2 4" xfId="43433" xr:uid="{68E6E19E-4EF4-46DD-B514-1A17E8FF3899}"/>
    <cellStyle name="Comma 4 7 2 5" xfId="45512" xr:uid="{53DE8CC7-70E8-4135-B788-9AF806C7A810}"/>
    <cellStyle name="Comma 4 7 2 6" xfId="48387" xr:uid="{8453CB4E-3234-4E5D-AD44-8A007482C44C}"/>
    <cellStyle name="Comma 4 7 2 7" xfId="51188" xr:uid="{3B112D7A-375C-483A-A75E-794FC51E1517}"/>
    <cellStyle name="Comma 4 7 2 8" xfId="53188" xr:uid="{A20C119D-2E54-42CE-AF4C-0E4A7A246DD4}"/>
    <cellStyle name="Comma 4 7 2 9" xfId="23365" xr:uid="{0A4DB508-F127-4EF0-BFAC-DF028B7ED1D5}"/>
    <cellStyle name="Comma 4 7 3" xfId="12011" xr:uid="{49ED46E3-F8C1-4DE1-B13B-E810333BA8BE}"/>
    <cellStyle name="Comma 4 7 3 2" xfId="20409" xr:uid="{FF216E38-28A8-4DDE-BBDF-44998CBB5ED3}"/>
    <cellStyle name="Comma 4 7 4" xfId="23966" xr:uid="{CE37796A-F885-4333-87DF-4DF5C908B242}"/>
    <cellStyle name="Comma 4 7 5" xfId="38463" xr:uid="{2A021E85-B0CD-4160-A0BE-BC9E83D5CB2B}"/>
    <cellStyle name="Comma 4 7 6" xfId="39165" xr:uid="{542F4246-E88B-4EB2-8867-64531A80BF24}"/>
    <cellStyle name="Comma 4 7 7" xfId="40286" xr:uid="{1C8284A6-A9CD-4406-829A-6D50B8D6F0BF}"/>
    <cellStyle name="Comma 4 7 8" xfId="40928" xr:uid="{CCC49749-C0A1-4AD8-80D5-CD1F7CF97069}"/>
    <cellStyle name="Comma 4 7 9" xfId="42140" xr:uid="{64B52054-0E14-4182-B0A7-6BA6EB39777C}"/>
    <cellStyle name="Comma 4 8" xfId="8164" xr:uid="{5A4AA5EC-3051-4CB7-AC8C-FA9A2A10067F}"/>
    <cellStyle name="Comma 4 8 2" xfId="12620" xr:uid="{F58165E0-142D-4831-A038-0E0DB4E3E891}"/>
    <cellStyle name="Comma 4 8 2 2" xfId="48810" xr:uid="{5DCF1F1C-FA35-484E-B4BF-348C15248AC2}"/>
    <cellStyle name="Comma 4 8 2 3" xfId="51545" xr:uid="{D55EC288-8A47-4039-B226-4E053F633A50}"/>
    <cellStyle name="Comma 4 8 2 4" xfId="53189" xr:uid="{30526C9F-FD1A-41AB-8E7A-82399C8FF340}"/>
    <cellStyle name="Comma 4 8 2 5" xfId="39233" xr:uid="{FCC5C6D0-FBF0-4649-B5CB-264ADE01498B}"/>
    <cellStyle name="Comma 4 8 3" xfId="41102" xr:uid="{3A7A3D82-2D86-4929-AE98-B1F75823884D}"/>
    <cellStyle name="Comma 4 8 4" xfId="42910" xr:uid="{EE69FECF-1133-452E-8BD0-9FE2E2F93259}"/>
    <cellStyle name="Comma 4 8 5" xfId="45017" xr:uid="{9BC97089-709E-4182-9959-5E056B2CEA95}"/>
    <cellStyle name="Comma 4 8 6" xfId="47239" xr:uid="{9C8FD622-896C-4D05-B776-184346FE77F3}"/>
    <cellStyle name="Comma 4 8 7" xfId="50217" xr:uid="{9F78A83C-5DB9-4C35-A496-70215F3A683B}"/>
    <cellStyle name="Comma 4 8 8" xfId="53190" xr:uid="{2469545F-B88F-4485-94E2-EA8237BD7378}"/>
    <cellStyle name="Comma 4 8 9" xfId="20478" xr:uid="{7CE29E12-51E7-4F2B-88FA-E46106D568AC}"/>
    <cellStyle name="Comma 4 9" xfId="7951" xr:uid="{3D753439-8A64-4FE4-ADEC-18BC33719FD9}"/>
    <cellStyle name="Comma 4 9 2" xfId="12464" xr:uid="{64277F3B-0F31-4F66-B688-F1C8BB4C62E1}"/>
    <cellStyle name="Comma 4 9 2 2" xfId="47631" xr:uid="{79D57282-8C8B-493D-9548-5EE3A62E7C4A}"/>
    <cellStyle name="Comma 4 9 3" xfId="50544" xr:uid="{D223C428-ADED-4479-85CF-8113A857C1E8}"/>
    <cellStyle name="Comma 4 9 4" xfId="53191" xr:uid="{39AE1C7F-35E8-46D7-B5B8-EF1CC79D5B9A}"/>
    <cellStyle name="Comma 4 9 5" xfId="19884" xr:uid="{072E94A9-AC01-4586-AB73-C24FFE08F233}"/>
    <cellStyle name="Comma 5" xfId="1780" xr:uid="{01E69C89-1079-4414-A780-D1762F60D299}"/>
    <cellStyle name="Comma 5 10" xfId="5851" xr:uid="{CADCABCB-0E9A-4FC6-9F77-CA0678F47729}"/>
    <cellStyle name="Comma 5 10 2" xfId="23967" xr:uid="{F911DFD8-B4EC-4969-8AA0-2060EDAE771C}"/>
    <cellStyle name="Comma 5 11" xfId="11339" xr:uid="{8D61F166-6E0F-425B-97BB-F0AA860C0E82}"/>
    <cellStyle name="Comma 5 11 2" xfId="38464" xr:uid="{C74783BD-A32A-4157-B3B6-5CC012EF120A}"/>
    <cellStyle name="Comma 5 12" xfId="38643" xr:uid="{365B64FB-FFCF-466D-8C3E-CC103230BA8E}"/>
    <cellStyle name="Comma 5 13" xfId="40287" xr:uid="{B5FD8B3A-4984-4A3A-B3C6-14342F79ADA8}"/>
    <cellStyle name="Comma 5 14" xfId="40929" xr:uid="{58F0E792-CC6B-4042-AEFF-E4314F5AA7E1}"/>
    <cellStyle name="Comma 5 15" xfId="42141" xr:uid="{3F201B93-4524-4743-962F-46B0FE7E170B}"/>
    <cellStyle name="Comma 5 16" xfId="42320" xr:uid="{E9503FB3-BED1-4772-9E17-DF84BFA579BA}"/>
    <cellStyle name="Comma 5 17" xfId="43553" xr:uid="{F8E305D1-886A-4060-AEF8-50C89EBD44E4}"/>
    <cellStyle name="Comma 5 18" xfId="44416" xr:uid="{3367EF43-6CEA-458F-AB3C-74AC98DA68BE}"/>
    <cellStyle name="Comma 5 19" xfId="45587" xr:uid="{474631E5-4F58-4BFA-94FE-1D97D1362017}"/>
    <cellStyle name="Comma 5 2" xfId="1781" xr:uid="{215D332A-6A26-4BD4-A063-D68391A8CFAA}"/>
    <cellStyle name="Comma 5 2 10" xfId="11340" xr:uid="{43114AAE-2694-433B-9A40-B433BFE40E0D}"/>
    <cellStyle name="Comma 5 2 10 2" xfId="40288" xr:uid="{580BACC3-9244-423C-BEED-7CCB5E8C3051}"/>
    <cellStyle name="Comma 5 2 11" xfId="40930" xr:uid="{A3ED8536-8E3C-4DD4-8055-18CAD0FD8687}"/>
    <cellStyle name="Comma 5 2 12" xfId="42142" xr:uid="{134B0990-8E27-4A37-B889-06E991157993}"/>
    <cellStyle name="Comma 5 2 13" xfId="42358" xr:uid="{6EEF09B3-36EF-4D9E-A773-0C55B9769EBE}"/>
    <cellStyle name="Comma 5 2 14" xfId="43481" xr:uid="{1367FB8F-2442-4FB1-B3FC-A36DDABFC37D}"/>
    <cellStyle name="Comma 5 2 15" xfId="44417" xr:uid="{8AAD0439-5590-4450-B2DA-882AB0DE5D3D}"/>
    <cellStyle name="Comma 5 2 16" xfId="45648" xr:uid="{0B20BF92-3689-4D22-A13C-53D8378CE1F8}"/>
    <cellStyle name="Comma 5 2 17" xfId="49277" xr:uid="{578988BE-4A1C-494E-A313-F98602EDD2F8}"/>
    <cellStyle name="Comma 5 2 18" xfId="53192" xr:uid="{0E2BEC50-99BE-44D7-96AC-E14795B609BD}"/>
    <cellStyle name="Comma 5 2 19" xfId="15324" xr:uid="{861299F2-E1A6-42F3-9A61-B8C0F9D8265B}"/>
    <cellStyle name="Comma 5 2 2" xfId="4457" xr:uid="{8F1DE298-5DDA-43D0-AC6A-F0D3C63CE491}"/>
    <cellStyle name="Comma 5 2 2 10" xfId="42143" xr:uid="{AEA49B9A-911D-43DF-9226-A2920643BA1B}"/>
    <cellStyle name="Comma 5 2 2 11" xfId="42510" xr:uid="{9AA95CA5-783D-4327-A1EE-0E0F41CCDBCF}"/>
    <cellStyle name="Comma 5 2 2 12" xfId="43554" xr:uid="{20613990-A15A-47CE-B081-0514221C40E5}"/>
    <cellStyle name="Comma 5 2 2 13" xfId="44558" xr:uid="{1753DDBA-4903-40E3-931E-7FE790091EC4}"/>
    <cellStyle name="Comma 5 2 2 14" xfId="45722" xr:uid="{67F349B6-8287-43BE-97F9-26D8DB1502D0}"/>
    <cellStyle name="Comma 5 2 2 15" xfId="49350" xr:uid="{DC3C2A8A-D435-44F1-8788-7E8776C8756F}"/>
    <cellStyle name="Comma 5 2 2 16" xfId="53193" xr:uid="{83AFE38D-F2A3-4CB0-B83B-D02941201E4E}"/>
    <cellStyle name="Comma 5 2 2 17" xfId="16773" xr:uid="{A1D2FE77-5436-4E76-8460-585D6886DCC6}"/>
    <cellStyle name="Comma 5 2 2 18" xfId="13937" xr:uid="{6613A0FD-96A2-48A6-9C49-61AF61435C52}"/>
    <cellStyle name="Comma 5 2 2 2" xfId="5714" xr:uid="{B49E1172-D92F-4A20-B587-55F4D699FF8D}"/>
    <cellStyle name="Comma 5 2 2 2 10" xfId="42760" xr:uid="{05CEEDE5-AA7A-4A0D-A506-6B8A0E8AFB30}"/>
    <cellStyle name="Comma 5 2 2 2 11" xfId="44258" xr:uid="{0EE25209-8DB8-4C0B-988A-983C0B29F99E}"/>
    <cellStyle name="Comma 5 2 2 2 12" xfId="44920" xr:uid="{046FCF01-558B-433F-80AF-55EB09F29592}"/>
    <cellStyle name="Comma 5 2 2 2 13" xfId="46726" xr:uid="{D321EF24-2538-4CC2-A1C1-985479612794}"/>
    <cellStyle name="Comma 5 2 2 2 14" xfId="49758" xr:uid="{EE0A17AF-ACEB-4FDF-8177-FE173BA6AAE1}"/>
    <cellStyle name="Comma 5 2 2 2 15" xfId="53194" xr:uid="{8892C4F3-38D8-4139-87C5-E5C93AB57A51}"/>
    <cellStyle name="Comma 5 2 2 2 16" xfId="17113" xr:uid="{8E1202AE-5482-4FDE-A498-846A45DD7630}"/>
    <cellStyle name="Comma 5 2 2 2 17" xfId="14251" xr:uid="{677B8AF6-C987-403C-A852-DA5BEFEBDF14}"/>
    <cellStyle name="Comma 5 2 2 2 2" xfId="7816" xr:uid="{F88FE40C-21F3-4DCD-9BF7-589C465FDABB}"/>
    <cellStyle name="Comma 5 2 2 2 2 10" xfId="14743" xr:uid="{A79EDC41-4FB7-4F62-AF71-B802EFC0AAE3}"/>
    <cellStyle name="Comma 5 2 2 2 2 2" xfId="10308" xr:uid="{48F82C9F-121D-41A8-ADD2-EB2D1DADBD15}"/>
    <cellStyle name="Comma 5 2 2 2 2 2 2" xfId="13614" xr:uid="{EC408C71-5FF3-40B3-8388-C9D3CE36E8AF}"/>
    <cellStyle name="Comma 5 2 2 2 2 2 2 2" xfId="49124" xr:uid="{D8651F01-E86F-4C39-814B-624BD9FA17A4}"/>
    <cellStyle name="Comma 5 2 2 2 2 2 3" xfId="51804" xr:uid="{4A8DED5D-E20C-4C7A-9DC6-A41A4547C143}"/>
    <cellStyle name="Comma 5 2 2 2 2 2 4" xfId="53195" xr:uid="{E6B4F78A-A631-49B6-B0F7-F5167C9F779D}"/>
    <cellStyle name="Comma 5 2 2 2 2 2 5" xfId="39674" xr:uid="{4ED874FF-CF1B-423C-A7AF-77877EEE1D10}"/>
    <cellStyle name="Comma 5 2 2 2 2 3" xfId="12329" xr:uid="{E6CF378B-0A11-432C-A1C4-84D92950AAEF}"/>
    <cellStyle name="Comma 5 2 2 2 2 3 2" xfId="41527" xr:uid="{AB578151-53DC-47F5-9501-00162028AA05}"/>
    <cellStyle name="Comma 5 2 2 2 2 4" xfId="43351" xr:uid="{B941A4B5-05FC-406E-88F4-F00F386FC862}"/>
    <cellStyle name="Comma 5 2 2 2 2 5" xfId="45448" xr:uid="{2F4FC3DD-A195-4FA3-AC7A-2175437089ED}"/>
    <cellStyle name="Comma 5 2 2 2 2 6" xfId="47541" xr:uid="{00D0ADFB-69ED-4429-BA0F-ADE964F9544E}"/>
    <cellStyle name="Comma 5 2 2 2 2 7" xfId="50476" xr:uid="{B99FC01C-7B5D-4DE5-A5E3-931972392610}"/>
    <cellStyle name="Comma 5 2 2 2 2 8" xfId="53196" xr:uid="{D80BE6B6-8E11-4535-B2AF-61A704C5CEC7}"/>
    <cellStyle name="Comma 5 2 2 2 2 9" xfId="21108" xr:uid="{F74DFBA9-A166-463E-BB78-579E67A86EA8}"/>
    <cellStyle name="Comma 5 2 2 2 3" xfId="9814" xr:uid="{D6CE3B8A-B9F3-47BC-A135-92A9077C9AB5}"/>
    <cellStyle name="Comma 5 2 2 2 3 2" xfId="13120" xr:uid="{08B8C1E4-D1B1-43CD-8BEC-E17F507BDA5A}"/>
    <cellStyle name="Comma 5 2 2 2 3 2 2" xfId="48268" xr:uid="{C4F63881-3C13-47B8-A01D-F8E01E45E0D2}"/>
    <cellStyle name="Comma 5 2 2 2 3 3" xfId="51086" xr:uid="{593F2AE2-7F1D-45CD-ACC8-0DAFB52836D6}"/>
    <cellStyle name="Comma 5 2 2 2 3 4" xfId="53197" xr:uid="{527385B6-D052-4FB0-BE09-5DC742A642B9}"/>
    <cellStyle name="Comma 5 2 2 2 3 5" xfId="20327" xr:uid="{E3622C31-BC82-4CA4-8EAA-460DBF748047}"/>
    <cellStyle name="Comma 5 2 2 2 4" xfId="7312" xr:uid="{69F87909-AF84-491C-94BC-8464C7E8CDEC}"/>
    <cellStyle name="Comma 5 2 2 2 4 2" xfId="23970" xr:uid="{4213B9D5-3EBA-483E-BF37-2B98B24FC698}"/>
    <cellStyle name="Comma 5 2 2 2 5" xfId="11835" xr:uid="{ED583EA4-DB7E-4F04-89B5-E7194A22A597}"/>
    <cellStyle name="Comma 5 2 2 2 5 2" xfId="38467" xr:uid="{7F9FB3C3-ECFB-4782-BBEC-BAEB6F1568ED}"/>
    <cellStyle name="Comma 5 2 2 2 6" xfId="39083" xr:uid="{60A236E0-A01C-459B-9403-374418C1618E}"/>
    <cellStyle name="Comma 5 2 2 2 7" xfId="40290" xr:uid="{61D98B8C-0AFB-4CF6-BF6A-40FF094696D2}"/>
    <cellStyle name="Comma 5 2 2 2 8" xfId="40932" xr:uid="{52A653C2-83E9-441D-B787-3CD9726D89A8}"/>
    <cellStyle name="Comma 5 2 2 2 9" xfId="42144" xr:uid="{0573AD4B-5AC7-4D66-BC63-52A60FCE6D55}"/>
    <cellStyle name="Comma 5 2 2 3" xfId="7502" xr:uid="{08FB4623-29BA-4EA7-8088-B70E5CB63007}"/>
    <cellStyle name="Comma 5 2 2 3 10" xfId="14429" xr:uid="{724BFC0A-0904-4499-9A91-841E32EFBA24}"/>
    <cellStyle name="Comma 5 2 2 3 2" xfId="9994" xr:uid="{E6C93AAB-ED01-4AA7-81D9-0D4AF896F797}"/>
    <cellStyle name="Comma 5 2 2 3 2 2" xfId="13300" xr:uid="{F4CCA2AB-60EA-425C-BEAA-8FC5AE833B22}"/>
    <cellStyle name="Comma 5 2 2 3 2 2 2" xfId="47962" xr:uid="{1C79AF2B-7E54-4FCA-84F1-CAB2022896B5}"/>
    <cellStyle name="Comma 5 2 2 3 2 3" xfId="50831" xr:uid="{B0895A28-6909-49B0-8830-058B2B397A2E}"/>
    <cellStyle name="Comma 5 2 2 3 2 4" xfId="53198" xr:uid="{FC237FD2-049D-4F33-920F-44F0BC3CA329}"/>
    <cellStyle name="Comma 5 2 2 3 2 5" xfId="39424" xr:uid="{3D156E6D-A420-4BC6-86DE-0FB5E133D650}"/>
    <cellStyle name="Comma 5 2 2 3 3" xfId="12015" xr:uid="{FA5C3E9F-A89C-4EF5-B87A-8138336FF86D}"/>
    <cellStyle name="Comma 5 2 2 3 3 2" xfId="41280" xr:uid="{5C940DB3-10BA-47A4-A38B-95EB5180C066}"/>
    <cellStyle name="Comma 5 2 2 3 4" xfId="43101" xr:uid="{4749395E-5FD3-45EA-8EF8-EE329A8A81AD}"/>
    <cellStyle name="Comma 5 2 2 3 5" xfId="45200" xr:uid="{BBA7BB9D-78A5-4192-A119-4BB6D5900EE3}"/>
    <cellStyle name="Comma 5 2 2 3 6" xfId="46167" xr:uid="{2B01CCDF-A01E-45DE-868F-9FA9939369DE}"/>
    <cellStyle name="Comma 5 2 2 3 7" xfId="49503" xr:uid="{57FDD7EC-6D6D-421E-9777-070659965937}"/>
    <cellStyle name="Comma 5 2 2 3 8" xfId="53199" xr:uid="{5C69CB6F-FF00-4B51-80A1-4DDD2CDE7C7C}"/>
    <cellStyle name="Comma 5 2 2 3 9" xfId="20799" xr:uid="{C105CCB6-9E1E-4227-8421-0EC03163CAEE}"/>
    <cellStyle name="Comma 5 2 2 4" xfId="11153" xr:uid="{6243B96B-0DDB-493A-A56F-C78730C06AF5}"/>
    <cellStyle name="Comma 5 2 2 4 2" xfId="13749" xr:uid="{125096B4-FDE6-4CA3-B0B4-801F7D600909}"/>
    <cellStyle name="Comma 5 2 2 4 2 2" xfId="51293" xr:uid="{4E2579D6-2914-4641-839A-5C64CB25098F}"/>
    <cellStyle name="Comma 5 2 2 4 2 3" xfId="53200" xr:uid="{9C747658-CB5F-4CAF-96D1-DBB6507D246E}"/>
    <cellStyle name="Comma 5 2 2 4 2 4" xfId="48507" xr:uid="{520FFE58-372A-45A3-8807-7698C8383772}"/>
    <cellStyle name="Comma 5 2 2 4 3" xfId="46946" xr:uid="{F005D1D9-A5B4-4D6B-AE0B-BA32B7778FCA}"/>
    <cellStyle name="Comma 5 2 2 4 4" xfId="49965" xr:uid="{A4F26E06-3EC9-4AA1-B29B-9A36A30F301F}"/>
    <cellStyle name="Comma 5 2 2 4 5" xfId="53201" xr:uid="{7B647412-25B5-42CC-9A18-771E9C561953}"/>
    <cellStyle name="Comma 5 2 2 4 6" xfId="20077" xr:uid="{B583E7C9-FA5A-4EEA-84F0-5EF8EDAC5E8B}"/>
    <cellStyle name="Comma 5 2 2 4 7" xfId="15058" xr:uid="{F17E915F-03DB-410F-A6D3-EDED8DB896A6}"/>
    <cellStyle name="Comma 5 2 2 5" xfId="9500" xr:uid="{62FDA38C-804E-4A52-8136-3C6FE26C1090}"/>
    <cellStyle name="Comma 5 2 2 5 2" xfId="12806" xr:uid="{8488878C-2199-4C66-9A1F-4B45EEE992E3}"/>
    <cellStyle name="Comma 5 2 2 5 2 2" xfId="51549" xr:uid="{849F70C3-46D7-4E0D-B4E9-E281B90120C0}"/>
    <cellStyle name="Comma 5 2 2 5 2 3" xfId="53202" xr:uid="{1B653C9B-01AF-4C90-8ED8-06EAFD89774C}"/>
    <cellStyle name="Comma 5 2 2 5 2 4" xfId="48814" xr:uid="{FFD55C4A-A0AE-4BDA-8D6B-3FA994214864}"/>
    <cellStyle name="Comma 5 2 2 5 3" xfId="47243" xr:uid="{B17E7D09-0EEA-4A6A-B69C-E1D787CADCF3}"/>
    <cellStyle name="Comma 5 2 2 5 4" xfId="50221" xr:uid="{F7994D95-9223-4647-99CD-FDCD52D730A3}"/>
    <cellStyle name="Comma 5 2 2 5 5" xfId="53203" xr:uid="{756A2193-360E-440F-84DB-28AB3C9BB000}"/>
    <cellStyle name="Comma 5 2 2 5 6" xfId="23969" xr:uid="{4C8FFB96-E6E2-43FB-B0A4-BC0FAC5D672A}"/>
    <cellStyle name="Comma 5 2 2 6" xfId="6528" xr:uid="{394A4E1F-2261-4908-A762-39E120674B83}"/>
    <cellStyle name="Comma 5 2 2 6 2" xfId="47779" xr:uid="{E66ADF9F-9695-4BBD-A458-CEC019DA6F14}"/>
    <cellStyle name="Comma 5 2 2 6 3" xfId="50678" xr:uid="{BCBC42D3-71FB-4693-9C05-80D0CF2C1DBC}"/>
    <cellStyle name="Comma 5 2 2 6 4" xfId="53204" xr:uid="{265DCA7C-7278-4C86-B87C-95FA3483A629}"/>
    <cellStyle name="Comma 5 2 2 6 5" xfId="38466" xr:uid="{CC243835-7795-4426-AB4F-EB04F570D523}"/>
    <cellStyle name="Comma 5 2 2 7" xfId="11521" xr:uid="{E71CFB0D-1109-46F1-94AA-5CC724EF0329}"/>
    <cellStyle name="Comma 5 2 2 7 2" xfId="38833" xr:uid="{9730D865-3B9B-4C5E-A2FC-558BFDC3C909}"/>
    <cellStyle name="Comma 5 2 2 8" xfId="40289" xr:uid="{3BDF65C5-9B91-45DF-9B0C-78B1E16CF462}"/>
    <cellStyle name="Comma 5 2 2 9" xfId="40931" xr:uid="{DA3D54E4-CEAF-4B71-B6A7-DD55D53AA46D}"/>
    <cellStyle name="Comma 5 2 20" xfId="13853" xr:uid="{D2F10F93-EA1C-4CA0-BBC2-BCA1966B3DD8}"/>
    <cellStyle name="Comma 5 2 3" xfId="3889" xr:uid="{200C0E82-6A21-45EE-B1DE-E1335D99F1DF}"/>
    <cellStyle name="Comma 5 2 3 10" xfId="42759" xr:uid="{EBFFE35F-9D9F-4D09-B253-8D4338C24735}"/>
    <cellStyle name="Comma 5 2 3 11" xfId="43900" xr:uid="{6A512908-997F-45C3-AB33-5DB168FEEB1F}"/>
    <cellStyle name="Comma 5 2 3 12" xfId="44487" xr:uid="{DB30D2F1-F6AC-484B-A0EF-52BBDB30E6BD}"/>
    <cellStyle name="Comma 5 2 3 13" xfId="46654" xr:uid="{23E18E1D-717F-4073-AD1B-031B262E0E2D}"/>
    <cellStyle name="Comma 5 2 3 14" xfId="49687" xr:uid="{A3789B23-1767-4922-B677-A54DF5524916}"/>
    <cellStyle name="Comma 5 2 3 15" xfId="53205" xr:uid="{8BCE4F09-629D-4FF6-9A79-9FB5C8DBB657}"/>
    <cellStyle name="Comma 5 2 3 16" xfId="17112" xr:uid="{083F8ADF-E7FB-4DA0-A76B-3CC37B5AF9BB}"/>
    <cellStyle name="Comma 5 2 3 17" xfId="14168" xr:uid="{652E4482-CDCE-41C1-97D5-429B2834CCA2}"/>
    <cellStyle name="Comma 5 2 3 2" xfId="5631" xr:uid="{55748F73-8FF2-4367-BEC9-BFFC2C7B527D}"/>
    <cellStyle name="Comma 5 2 3 2 10" xfId="14660" xr:uid="{D08D8A67-3524-481E-A5AC-D179DA604C84}"/>
    <cellStyle name="Comma 5 2 3 2 2" xfId="10225" xr:uid="{CC751765-9ECD-4071-BDC9-2E9B327EACF4}"/>
    <cellStyle name="Comma 5 2 3 2 2 2" xfId="13531" xr:uid="{7FF6D149-B472-466E-BEBF-383C0E08BD1B}"/>
    <cellStyle name="Comma 5 2 3 2 2 2 2" xfId="48428" xr:uid="{B49DADF6-9BEB-4F4F-B9BC-7AE9C4AA0350}"/>
    <cellStyle name="Comma 5 2 3 2 2 3" xfId="51222" xr:uid="{1AB2698B-4F18-45D4-96F8-4CAAD3A53396}"/>
    <cellStyle name="Comma 5 2 3 2 2 4" xfId="53206" xr:uid="{14213FBC-11EE-4282-B145-47BA32BE2DF6}"/>
    <cellStyle name="Comma 5 2 3 2 2 5" xfId="39673" xr:uid="{38CF8A9F-47DB-4D36-8E69-E47B92E058BE}"/>
    <cellStyle name="Comma 5 2 3 2 3" xfId="7733" xr:uid="{398BB812-6B9E-45A5-8BBA-A23A612BC267}"/>
    <cellStyle name="Comma 5 2 3 2 3 2" xfId="41526" xr:uid="{5A8FE54D-1A75-4664-80A2-BE569D2805BA}"/>
    <cellStyle name="Comma 5 2 3 2 4" xfId="12246" xr:uid="{33CE84AB-4702-4C9C-AA68-40A5C237F168}"/>
    <cellStyle name="Comma 5 2 3 2 4 2" xfId="43350" xr:uid="{2480B29B-EF9E-4AC9-9DD2-3B64EBCA4A05}"/>
    <cellStyle name="Comma 5 2 3 2 5" xfId="45447" xr:uid="{ADC1312E-9048-4CC2-94E7-511EAE1945A5}"/>
    <cellStyle name="Comma 5 2 3 2 6" xfId="46872" xr:uid="{3AE9FCDC-2F1A-4A62-AD35-7653F1CD7C72}"/>
    <cellStyle name="Comma 5 2 3 2 7" xfId="49894" xr:uid="{207D5F13-62D2-49CA-9EC3-B2313BC250CB}"/>
    <cellStyle name="Comma 5 2 3 2 8" xfId="53207" xr:uid="{1476BD14-460E-45B1-A221-73E1CE1E230F}"/>
    <cellStyle name="Comma 5 2 3 2 9" xfId="21107" xr:uid="{4CF81D95-C5F5-41B0-B524-53DD4DF332F2}"/>
    <cellStyle name="Comma 5 2 3 3" xfId="9731" xr:uid="{C2CA0FCB-7AAB-4BE2-877A-BB08FC97116D}"/>
    <cellStyle name="Comma 5 2 3 3 2" xfId="13037" xr:uid="{B8D92A2A-2C10-46CD-8F7A-D2E304EB6CCB}"/>
    <cellStyle name="Comma 5 2 3 3 2 2" xfId="51733" xr:uid="{07761304-BD26-42CA-83CA-E5C10252BDCC}"/>
    <cellStyle name="Comma 5 2 3 3 2 3" xfId="53208" xr:uid="{B6C80714-B111-42BA-A293-BA45C1137EC6}"/>
    <cellStyle name="Comma 5 2 3 3 2 4" xfId="49043" xr:uid="{5B59F153-2A94-4CAE-8AAC-C1D5CE474DE8}"/>
    <cellStyle name="Comma 5 2 3 3 3" xfId="47462" xr:uid="{A47B9C38-0039-4E93-936A-93A12987908D}"/>
    <cellStyle name="Comma 5 2 3 3 4" xfId="50405" xr:uid="{94529710-9365-451D-A3C3-13AA5FAF4AEB}"/>
    <cellStyle name="Comma 5 2 3 3 5" xfId="53209" xr:uid="{06A901EC-72AF-4087-B589-C2E1039E148B}"/>
    <cellStyle name="Comma 5 2 3 3 6" xfId="20326" xr:uid="{FE4CF29E-F472-4261-8C19-6B69C8737F5B}"/>
    <cellStyle name="Comma 5 2 3 3 7" xfId="14975" xr:uid="{8F370AD4-51DF-45D4-9866-35D97D352B6A}"/>
    <cellStyle name="Comma 5 2 3 4" xfId="7227" xr:uid="{76C4F8A5-62DE-44A3-A57C-950547D58EA3}"/>
    <cellStyle name="Comma 5 2 3 4 2" xfId="48188" xr:uid="{965824CA-7EC5-4F79-898C-096632E830FE}"/>
    <cellStyle name="Comma 5 2 3 4 3" xfId="51015" xr:uid="{DD30056F-C5EE-453D-9C8A-91676CF7031B}"/>
    <cellStyle name="Comma 5 2 3 4 4" xfId="53210" xr:uid="{6BF623AE-2990-4B28-A389-84159422995F}"/>
    <cellStyle name="Comma 5 2 3 4 5" xfId="23971" xr:uid="{C8AE131A-E1C6-4017-A028-7208FF207277}"/>
    <cellStyle name="Comma 5 2 3 5" xfId="11752" xr:uid="{2E23CF87-E2CC-4542-83A4-B95F1E7FC620}"/>
    <cellStyle name="Comma 5 2 3 5 2" xfId="38468" xr:uid="{F15227A8-7604-497B-A20C-183FEC7382FA}"/>
    <cellStyle name="Comma 5 2 3 6" xfId="39082" xr:uid="{6ED6FDB6-366A-4E1F-9AB2-61820497E1C6}"/>
    <cellStyle name="Comma 5 2 3 7" xfId="40291" xr:uid="{9C56CA84-A50D-4E35-A474-277E890084D3}"/>
    <cellStyle name="Comma 5 2 3 8" xfId="40933" xr:uid="{FC0C9930-A501-4C68-A050-6BD686BEB493}"/>
    <cellStyle name="Comma 5 2 3 9" xfId="42145" xr:uid="{F614C51A-31A2-4BDD-BD59-AE8C267A3180}"/>
    <cellStyle name="Comma 5 2 4" xfId="5538" xr:uid="{3F1D5F94-F1F1-4EB9-9576-F406C8E534F6}"/>
    <cellStyle name="Comma 5 2 4 10" xfId="42845" xr:uid="{43AA64C6-6754-453F-B6CC-646EFA46AB38}"/>
    <cellStyle name="Comma 5 2 4 11" xfId="43827" xr:uid="{2A39D6D6-65F5-41A9-B3AB-E4D296780FA0}"/>
    <cellStyle name="Comma 5 2 4 12" xfId="44972" xr:uid="{9D61CCBB-515B-41BA-A136-DE9F8FBE919A}"/>
    <cellStyle name="Comma 5 2 4 13" xfId="46585" xr:uid="{E2F0A1F9-CDF4-46AA-A539-EA4BF8741E1C}"/>
    <cellStyle name="Comma 5 2 4 14" xfId="49618" xr:uid="{D8A9D682-E842-4DD0-918E-2B5EDD7775EF}"/>
    <cellStyle name="Comma 5 2 4 15" xfId="53211" xr:uid="{76662EBA-2FDB-44E7-915C-D40497A8E6C1}"/>
    <cellStyle name="Comma 5 2 4 16" xfId="19751" xr:uid="{E5E777C2-9A37-48AC-B980-988285B4FDFA}"/>
    <cellStyle name="Comma 5 2 4 17" xfId="14075" xr:uid="{15F62028-CDBF-4A9D-8DF1-A70F48CF90E8}"/>
    <cellStyle name="Comma 5 2 4 2" xfId="7640" xr:uid="{202CDC9F-AE41-4B22-8E35-34DD5179E997}"/>
    <cellStyle name="Comma 5 2 4 2 10" xfId="14567" xr:uid="{4B0F084D-8C60-498E-94A6-BC386EC120E8}"/>
    <cellStyle name="Comma 5 2 4 2 2" xfId="10132" xr:uid="{86B0FB19-4AC7-4BCD-86F9-2D17EC77F7E7}"/>
    <cellStyle name="Comma 5 2 4 2 2 2" xfId="13438" xr:uid="{3C185D85-92FD-4B92-B9D4-3F2FE87EBB2A}"/>
    <cellStyle name="Comma 5 2 4 2 2 2 2" xfId="48634" xr:uid="{C500084C-6945-4AF7-9F71-2258A161F7CD}"/>
    <cellStyle name="Comma 5 2 4 2 2 3" xfId="51397" xr:uid="{4C8434AC-AD61-49F2-8426-4679C709757E}"/>
    <cellStyle name="Comma 5 2 4 2 2 4" xfId="53212" xr:uid="{1A3015F1-A251-4216-8F16-260B3D939A40}"/>
    <cellStyle name="Comma 5 2 4 2 2 5" xfId="39759" xr:uid="{A74C70CD-C7EA-44BA-874E-68243AD1AB99}"/>
    <cellStyle name="Comma 5 2 4 2 3" xfId="12153" xr:uid="{B74C26F6-1729-4FEE-81C4-C8294358B0BC}"/>
    <cellStyle name="Comma 5 2 4 2 3 2" xfId="41612" xr:uid="{7ABC29BB-4F35-4A06-9199-0FE353720517}"/>
    <cellStyle name="Comma 5 2 4 2 4" xfId="43436" xr:uid="{DA8BF77E-6C1A-4365-8ED3-2E3BA9944314}"/>
    <cellStyle name="Comma 5 2 4 2 5" xfId="45515" xr:uid="{1092B090-0B7D-46BA-933A-1E56C6BE638D}"/>
    <cellStyle name="Comma 5 2 4 2 6" xfId="47068" xr:uid="{EB9AF105-4DE9-4FB3-91D1-59BF4826D920}"/>
    <cellStyle name="Comma 5 2 4 2 7" xfId="50069" xr:uid="{FE958B5C-39B5-4C55-B08F-52A3605915EF}"/>
    <cellStyle name="Comma 5 2 4 2 8" xfId="53213" xr:uid="{61E803AF-A7FF-46D4-826F-3B206694A1CD}"/>
    <cellStyle name="Comma 5 2 4 2 9" xfId="23368" xr:uid="{BDFB782E-0B6A-4714-965B-9B0452CEFB4B}"/>
    <cellStyle name="Comma 5 2 4 3" xfId="9638" xr:uid="{90C204A8-6C52-4F0C-920F-78CF0142EF17}"/>
    <cellStyle name="Comma 5 2 4 3 2" xfId="12944" xr:uid="{D6A07875-EB71-4C5D-A3A9-F4F99552B7EC}"/>
    <cellStyle name="Comma 5 2 4 3 2 2" xfId="51664" xr:uid="{8D1D53F4-A635-4F4D-95FF-277C44B26A86}"/>
    <cellStyle name="Comma 5 2 4 3 2 3" xfId="53214" xr:uid="{F19860E7-391E-4DB9-B41C-EB577829B80D}"/>
    <cellStyle name="Comma 5 2 4 3 2 4" xfId="48952" xr:uid="{CF846832-6E68-4300-B829-D7439D4BA710}"/>
    <cellStyle name="Comma 5 2 4 3 3" xfId="47376" xr:uid="{DF9D9ECA-C441-48BA-8BD8-48D0B7BA8A91}"/>
    <cellStyle name="Comma 5 2 4 3 4" xfId="50336" xr:uid="{C2ADC14A-8C84-4813-AECB-20D96EE0A3F9}"/>
    <cellStyle name="Comma 5 2 4 3 5" xfId="53215" xr:uid="{C8E1B3D2-A809-4A52-B068-68D7328989FC}"/>
    <cellStyle name="Comma 5 2 4 3 6" xfId="20412" xr:uid="{2690B472-9048-497A-88EE-CE53CE5F2E2A}"/>
    <cellStyle name="Comma 5 2 4 4" xfId="7134" xr:uid="{17B63B9B-7325-44C0-8132-1F801FC740A9}"/>
    <cellStyle name="Comma 5 2 4 4 2" xfId="48097" xr:uid="{0D93D043-FDC2-4524-9E75-015B38B43867}"/>
    <cellStyle name="Comma 5 2 4 4 3" xfId="50946" xr:uid="{1EE78E0F-B56B-493E-8E53-F652128FC486}"/>
    <cellStyle name="Comma 5 2 4 4 4" xfId="53216" xr:uid="{EEEA9A62-CD0A-4F89-A152-C681A754BC7F}"/>
    <cellStyle name="Comma 5 2 4 4 5" xfId="23972" xr:uid="{689C7E76-4A08-46E3-8A62-F82ACCC1F859}"/>
    <cellStyle name="Comma 5 2 4 5" xfId="11659" xr:uid="{EE50D3C0-1CAA-4F8D-8F55-31812C1578BF}"/>
    <cellStyle name="Comma 5 2 4 5 2" xfId="38469" xr:uid="{31FACF4A-0FA1-48DF-930E-5021C8531D01}"/>
    <cellStyle name="Comma 5 2 4 6" xfId="39168" xr:uid="{FD5F6489-2202-49B5-836A-40CE8AEC9131}"/>
    <cellStyle name="Comma 5 2 4 7" xfId="40292" xr:uid="{0732D814-235A-4EA4-84E7-EC00414675A4}"/>
    <cellStyle name="Comma 5 2 4 8" xfId="40934" xr:uid="{75FFAA69-A780-4BC3-AD99-98B9ECF0D208}"/>
    <cellStyle name="Comma 5 2 4 9" xfId="42146" xr:uid="{C8A4F871-F977-42BE-B6F9-FEBAD94746AA}"/>
    <cellStyle name="Comma 5 2 5" xfId="5956" xr:uid="{481608E9-DC44-4017-9269-EE8F12CF802F}"/>
    <cellStyle name="Comma 5 2 5 10" xfId="45810" xr:uid="{BA2A123D-CCFA-403E-A94B-7D4E9F74CF47}"/>
    <cellStyle name="Comma 5 2 5 11" xfId="49432" xr:uid="{CBA99C82-EFBE-4082-A1D5-1E0ACAB53171}"/>
    <cellStyle name="Comma 5 2 5 12" xfId="53217" xr:uid="{5715DA3C-9E31-4E5F-A83E-A5B0D4265A0C}"/>
    <cellStyle name="Comma 5 2 5 13" xfId="20517" xr:uid="{22DBC063-EB16-42AF-BF9F-C91AF4704E15}"/>
    <cellStyle name="Comma 5 2 5 14" xfId="14346" xr:uid="{462A7686-AFEC-4D41-B510-B1ED6FBDBBAD}"/>
    <cellStyle name="Comma 5 2 5 2" xfId="9414" xr:uid="{02359C0B-9C6E-4F8D-B60E-374C07E50469}"/>
    <cellStyle name="Comma 5 2 5 2 2" xfId="12720" xr:uid="{88505FDB-5E0D-423E-9717-557F6312097D}"/>
    <cellStyle name="Comma 5 2 5 2 2 2" xfId="47883" xr:uid="{ED043E77-0381-4296-9EBB-0CD147F3FDA5}"/>
    <cellStyle name="Comma 5 2 5 2 3" xfId="50760" xr:uid="{70998BEC-7A25-4C01-9F1C-87D63554623D}"/>
    <cellStyle name="Comma 5 2 5 2 4" xfId="53218" xr:uid="{8AC4100B-B54A-43EC-9C70-E1BF0DF6BB5D}"/>
    <cellStyle name="Comma 5 2 5 2 5" xfId="23973" xr:uid="{401DA718-F5C7-4B68-B839-F67357E82B4E}"/>
    <cellStyle name="Comma 5 2 5 3" xfId="11435" xr:uid="{3EB959AF-022B-4C0F-9AD1-8A2B1E777FA9}"/>
    <cellStyle name="Comma 5 2 5 3 2" xfId="38470" xr:uid="{7931BE81-530A-4C75-A33F-1F1DCBE3FDFA}"/>
    <cellStyle name="Comma 5 2 5 4" xfId="39272" xr:uid="{C9B10098-3566-4799-B6C8-872275E1749B}"/>
    <cellStyle name="Comma 5 2 5 5" xfId="40293" xr:uid="{FCAC9CC6-29C8-438F-9A9E-43C46E98D7BB}"/>
    <cellStyle name="Comma 5 2 5 6" xfId="40935" xr:uid="{7D407E9C-0898-4D0B-875E-692EC3DB9B84}"/>
    <cellStyle name="Comma 5 2 5 7" xfId="42147" xr:uid="{EE90DFD9-49D7-4948-B19C-EC808586E42E}"/>
    <cellStyle name="Comma 5 2 5 8" xfId="42949" xr:uid="{E063893A-E69B-419F-B744-4A852244F2D1}"/>
    <cellStyle name="Comma 5 2 5 9" xfId="45056" xr:uid="{BF439C11-4DAE-426B-BFA7-75D6B94F2D7D}"/>
    <cellStyle name="Comma 5 2 6" xfId="7419" xr:uid="{420E92E9-E843-48D6-9E08-0337A7D0B73E}"/>
    <cellStyle name="Comma 5 2 6 2" xfId="9911" xr:uid="{77CF0559-0DBA-477A-B94C-177AFF9F840D}"/>
    <cellStyle name="Comma 5 2 6 2 2" xfId="13217" xr:uid="{CD411E34-DBCD-4A8C-82B0-636CB897CB18}"/>
    <cellStyle name="Comma 5 2 6 2 2 2" xfId="51191" xr:uid="{EBCE3235-F3C9-46E6-85E2-D8D44DEC4A4D}"/>
    <cellStyle name="Comma 5 2 6 2 3" xfId="53219" xr:uid="{0389475F-2220-494D-BEF3-F7D300AC8687}"/>
    <cellStyle name="Comma 5 2 6 2 4" xfId="48390" xr:uid="{5A2F76E1-8F45-43E0-B282-7E950F1D728D}"/>
    <cellStyle name="Comma 5 2 6 3" xfId="11932" xr:uid="{E05979C4-C844-4A8A-85DE-262F90F4B441}"/>
    <cellStyle name="Comma 5 2 6 3 2" xfId="46839" xr:uid="{6FA5B746-F7C3-456A-BBA4-D3F01C1FDAD7}"/>
    <cellStyle name="Comma 5 2 6 4" xfId="49863" xr:uid="{3E0ED97E-0EBA-416E-8CC4-B8C4EE530515}"/>
    <cellStyle name="Comma 5 2 6 5" xfId="53220" xr:uid="{39C8B5F0-0059-403D-88C2-A3714989B1CD}"/>
    <cellStyle name="Comma 5 2 6 6" xfId="19924" xr:uid="{AEA34161-3446-4D91-B98B-5CBE62905765}"/>
    <cellStyle name="Comma 5 2 6 7" xfId="14882" xr:uid="{AFF31069-FD22-4E6C-AA3A-DD83B4044D1F}"/>
    <cellStyle name="Comma 5 2 7" xfId="8168" xr:uid="{11DDA1DA-9889-4F84-B8D0-5CB809E630E1}"/>
    <cellStyle name="Comma 5 2 7 2" xfId="12624" xr:uid="{CB47F668-CB0A-4E7F-A796-9F65EF0063AF}"/>
    <cellStyle name="Comma 5 2 7 2 2" xfId="51478" xr:uid="{F3DD6649-C4C3-4D5F-A048-B9E6B7573F0F}"/>
    <cellStyle name="Comma 5 2 7 2 3" xfId="53221" xr:uid="{5F9D584E-379A-4C65-B8E3-B16A8F19E845}"/>
    <cellStyle name="Comma 5 2 7 2 4" xfId="48734" xr:uid="{E55C12C7-1E50-4ACD-8871-A8933EB7E43E}"/>
    <cellStyle name="Comma 5 2 7 3" xfId="47169" xr:uid="{74998FA3-D458-462F-B1C7-DB2EA263054D}"/>
    <cellStyle name="Comma 5 2 7 4" xfId="50150" xr:uid="{B855F9C3-CFFD-4F13-A6F3-6A98ADC693DD}"/>
    <cellStyle name="Comma 5 2 7 5" xfId="53222" xr:uid="{4EBCC54E-3F31-42A0-B7C5-95A6308671DC}"/>
    <cellStyle name="Comma 5 2 7 6" xfId="23968" xr:uid="{AB3C20B5-BE66-4470-909A-127EAE0F32E8}"/>
    <cellStyle name="Comma 5 2 8" xfId="7955" xr:uid="{C681F986-EF70-47B3-BFA6-AD279187E97D}"/>
    <cellStyle name="Comma 5 2 8 2" xfId="12468" xr:uid="{9C3FA3DB-F4F8-4179-88A0-438F6745647B}"/>
    <cellStyle name="Comma 5 2 8 2 2" xfId="47697" xr:uid="{2C042469-C052-4F1C-AE28-71B7DC25FD69}"/>
    <cellStyle name="Comma 5 2 8 3" xfId="50605" xr:uid="{FFD2341A-EA94-4F18-B342-FC6B18C3A84E}"/>
    <cellStyle name="Comma 5 2 8 4" xfId="53223" xr:uid="{373CF438-5CC1-4C02-8E04-DA6C0723B15D}"/>
    <cellStyle name="Comma 5 2 8 5" xfId="38465" xr:uid="{1E6B66AF-0162-4224-8D28-0E89B7D31511}"/>
    <cellStyle name="Comma 5 2 9" xfId="5852" xr:uid="{10157DC1-158A-44A6-A2D9-930074734252}"/>
    <cellStyle name="Comma 5 2 9 2" xfId="38681" xr:uid="{B8BD1BE0-D168-43C7-B6BC-224B44C072E9}"/>
    <cellStyle name="Comma 5 20" xfId="49217" xr:uid="{0656B810-2EDB-4FF1-A03D-010244B84371}"/>
    <cellStyle name="Comma 5 21" xfId="53224" xr:uid="{7050FCAE-EA56-44DE-9B87-5DDBD50F6761}"/>
    <cellStyle name="Comma 5 22" xfId="15222" xr:uid="{45AC3F92-6800-4BC8-8D3C-B7951DA6FAC5}"/>
    <cellStyle name="Comma 5 23" xfId="13936" xr:uid="{102BD798-B441-4EA1-A37D-B6B1E8BD41A2}"/>
    <cellStyle name="Comma 5 3" xfId="1782" xr:uid="{78D7AF48-923C-41EB-8859-558352C6ED24}"/>
    <cellStyle name="Comma 5 3 10" xfId="42148" xr:uid="{9A3188A6-8D41-41A7-BFCD-F99B3FF91AF8}"/>
    <cellStyle name="Comma 5 3 11" xfId="42471" xr:uid="{985C369F-12CA-4AFB-9AAD-75B7B5EDAD29}"/>
    <cellStyle name="Comma 5 3 12" xfId="43555" xr:uid="{4A671757-1A83-4261-ADDA-E1537A388BA5}"/>
    <cellStyle name="Comma 5 3 13" xfId="44418" xr:uid="{63654D6B-8391-44E9-89D8-22CABBEAA764}"/>
    <cellStyle name="Comma 5 3 14" xfId="45647" xr:uid="{469F4AB8-5466-4205-9B4B-939B9B21AB97}"/>
    <cellStyle name="Comma 5 3 15" xfId="49276" xr:uid="{23FA13CE-928D-4991-9401-5ED290AF35E8}"/>
    <cellStyle name="Comma 5 3 16" xfId="53225" xr:uid="{D3BE48AF-6735-4785-A0F2-FD3EBE98AEEE}"/>
    <cellStyle name="Comma 5 3 17" xfId="16665" xr:uid="{8A2C59EB-7D97-49F6-8199-6575CCF7D11C}"/>
    <cellStyle name="Comma 5 3 18" xfId="13938" xr:uid="{F85D6616-0A84-452B-8ED5-B8766CC3B07E}"/>
    <cellStyle name="Comma 5 3 2" xfId="4458" xr:uid="{D28AB160-0BD4-44F6-BE3F-1A207B8AC7AD}"/>
    <cellStyle name="Comma 5 3 2 10" xfId="42761" xr:uid="{8968C2D3-5D33-4334-A434-D0F515FCCA43}"/>
    <cellStyle name="Comma 5 3 2 11" xfId="44259" xr:uid="{FCDE7451-55E4-4550-8DB2-53A8917C0156}"/>
    <cellStyle name="Comma 5 3 2 12" xfId="44559" xr:uid="{52DB95D3-3F74-4F37-A1CE-E496C0BD25D7}"/>
    <cellStyle name="Comma 5 3 2 13" xfId="45768" xr:uid="{5B4F37D9-BAAA-472B-8628-C3C5B0B8C1B9}"/>
    <cellStyle name="Comma 5 3 2 14" xfId="49396" xr:uid="{39759E47-0266-46C1-ABF0-43435DA3E325}"/>
    <cellStyle name="Comma 5 3 2 15" xfId="53226" xr:uid="{0DC28A1B-F1B1-4E2D-8300-FE9A35EF4051}"/>
    <cellStyle name="Comma 5 3 2 16" xfId="17114" xr:uid="{BF4B89CD-4EF3-4390-B73A-F2051559E78A}"/>
    <cellStyle name="Comma 5 3 2 17" xfId="14252" xr:uid="{0E4F3652-5925-4F20-8427-EA091A9493BA}"/>
    <cellStyle name="Comma 5 3 2 2" xfId="5715" xr:uid="{A1CBBBA8-304C-42D7-BA1B-3484500EB579}"/>
    <cellStyle name="Comma 5 3 2 2 10" xfId="14744" xr:uid="{2EA2E8EA-3508-4921-B0FC-365DD73F5913}"/>
    <cellStyle name="Comma 5 3 2 2 2" xfId="10309" xr:uid="{FAA1BD7B-F97E-4132-84EC-3BC367F3D6C7}"/>
    <cellStyle name="Comma 5 3 2 2 2 2" xfId="13615" xr:uid="{9E65FB32-0DC2-4010-8B92-275CB62B7B1D}"/>
    <cellStyle name="Comma 5 3 2 2 2 2 2" xfId="48269" xr:uid="{7C20CF2A-F0D6-470B-B766-E1240D3A0F6F}"/>
    <cellStyle name="Comma 5 3 2 2 2 3" xfId="51087" xr:uid="{3F1ECDF8-BACC-478B-994C-FC598C120C33}"/>
    <cellStyle name="Comma 5 3 2 2 2 4" xfId="53227" xr:uid="{0A2BDB95-B50F-4AD7-A4EA-DE0FAEBF5143}"/>
    <cellStyle name="Comma 5 3 2 2 2 5" xfId="39675" xr:uid="{BDEA0171-4FED-4FC9-B917-2050E9243110}"/>
    <cellStyle name="Comma 5 3 2 2 3" xfId="7817" xr:uid="{8345FBED-A2FC-4A25-A866-5B8DA5BB382D}"/>
    <cellStyle name="Comma 5 3 2 2 3 2" xfId="41528" xr:uid="{6A303D08-02F2-4AD2-A6E6-6BFFD77AE7BF}"/>
    <cellStyle name="Comma 5 3 2 2 4" xfId="12330" xr:uid="{A2E7A7BA-0F33-4B5A-88E8-DEE7071BC852}"/>
    <cellStyle name="Comma 5 3 2 2 4 2" xfId="43352" xr:uid="{793D9BC1-90D4-4F75-9AD9-022F6C8597C8}"/>
    <cellStyle name="Comma 5 3 2 2 5" xfId="45449" xr:uid="{DFAD0AB2-0EEA-4E96-A614-8E7C4626CDC9}"/>
    <cellStyle name="Comma 5 3 2 2 6" xfId="46727" xr:uid="{4B231835-93C4-40ED-9EB6-4E16CBFE7649}"/>
    <cellStyle name="Comma 5 3 2 2 7" xfId="49759" xr:uid="{D5B56598-4848-4C7F-B7D3-1BD68D4D6569}"/>
    <cellStyle name="Comma 5 3 2 2 8" xfId="53228" xr:uid="{F95FBBFA-CFC1-414A-8613-27BEC2CF7311}"/>
    <cellStyle name="Comma 5 3 2 2 9" xfId="21109" xr:uid="{C46CD46A-E80B-4D01-B696-777AA219FC09}"/>
    <cellStyle name="Comma 5 3 2 3" xfId="11231" xr:uid="{5291FDDF-22A6-4594-958F-BD4448CE7072}"/>
    <cellStyle name="Comma 5 3 2 3 2" xfId="13793" xr:uid="{23FBAD79-54F3-4EC2-BAE7-4B82C8AF639C}"/>
    <cellStyle name="Comma 5 3 2 3 2 2" xfId="51428" xr:uid="{E9AF6135-93AD-487B-860E-7FCF107D8C22}"/>
    <cellStyle name="Comma 5 3 2 3 2 3" xfId="53229" xr:uid="{2331712A-E527-4F99-B52D-1323A1C5A4FA}"/>
    <cellStyle name="Comma 5 3 2 3 2 4" xfId="48673" xr:uid="{01C353E3-BBBE-43A6-8BAB-122A02E9DF72}"/>
    <cellStyle name="Comma 5 3 2 3 3" xfId="47110" xr:uid="{2D723207-E75B-4E4C-83C0-C35610507A77}"/>
    <cellStyle name="Comma 5 3 2 3 4" xfId="50100" xr:uid="{FB22EB74-EB82-4829-9D24-E25888F538A3}"/>
    <cellStyle name="Comma 5 3 2 3 5" xfId="53230" xr:uid="{413319FF-0AA0-4C49-8F15-65838EE5459D}"/>
    <cellStyle name="Comma 5 3 2 3 6" xfId="20328" xr:uid="{B9A381E8-2B38-4FD5-A5A3-D430D8E34E81}"/>
    <cellStyle name="Comma 5 3 2 3 7" xfId="15059" xr:uid="{72D8C3FB-BD62-462D-8F78-3342A3C69265}"/>
    <cellStyle name="Comma 5 3 2 4" xfId="9815" xr:uid="{B8297BB1-AC9D-4821-A728-C8D1E2DB71A8}"/>
    <cellStyle name="Comma 5 3 2 4 2" xfId="13121" xr:uid="{D6779521-BFA4-46C9-B25F-2E6A478A6E38}"/>
    <cellStyle name="Comma 5 3 2 4 2 2" xfId="51805" xr:uid="{9FDB3C1B-FB51-4AB1-9F95-F2549841E83A}"/>
    <cellStyle name="Comma 5 3 2 4 2 3" xfId="53231" xr:uid="{A44D4670-9D6A-4A96-8A32-9C1D551C7C29}"/>
    <cellStyle name="Comma 5 3 2 4 2 4" xfId="49125" xr:uid="{ABCC8BA6-EBE4-4D4B-8E46-68CDE4A5A0D6}"/>
    <cellStyle name="Comma 5 3 2 4 3" xfId="47542" xr:uid="{B21AC780-106D-4593-8588-D35E69D04027}"/>
    <cellStyle name="Comma 5 3 2 4 4" xfId="50477" xr:uid="{0D6E8514-1B34-4A73-BC0C-32F581F2BE8B}"/>
    <cellStyle name="Comma 5 3 2 4 5" xfId="53232" xr:uid="{24CFEE6F-3515-473A-AA13-8326EBF211A2}"/>
    <cellStyle name="Comma 5 3 2 4 6" xfId="23975" xr:uid="{F37E4720-D945-44BE-8E6B-982289D93786}"/>
    <cellStyle name="Comma 5 3 2 5" xfId="7313" xr:uid="{B96D93DA-6F81-4D6A-965C-0D76A2D79DC4}"/>
    <cellStyle name="Comma 5 3 2 5 2" xfId="47836" xr:uid="{541C4C43-4AED-4B14-8BC5-3B8C4C32F56A}"/>
    <cellStyle name="Comma 5 3 2 5 3" xfId="50724" xr:uid="{7CBEF46C-CECD-4569-BD09-ECDF08E07100}"/>
    <cellStyle name="Comma 5 3 2 5 4" xfId="53233" xr:uid="{04FF7DE0-EBD4-4F2D-9E53-06FF6B0CFFCC}"/>
    <cellStyle name="Comma 5 3 2 5 5" xfId="38472" xr:uid="{E85158A7-6EA1-44D4-B357-27F7FC982C5A}"/>
    <cellStyle name="Comma 5 3 2 6" xfId="11836" xr:uid="{680FCE8A-71BF-485B-87DE-4F8F5BA29835}"/>
    <cellStyle name="Comma 5 3 2 6 2" xfId="39084" xr:uid="{8CDB14BC-7E51-44E6-B78C-398B39452818}"/>
    <cellStyle name="Comma 5 3 2 7" xfId="40295" xr:uid="{C47BA8B7-72E6-4877-A9B0-27CA2CD9248D}"/>
    <cellStyle name="Comma 5 3 2 8" xfId="40937" xr:uid="{1FD25BBB-3A2E-4928-95EF-3C4D98CFFB46}"/>
    <cellStyle name="Comma 5 3 2 9" xfId="42149" xr:uid="{F0C2AA7A-5010-49F6-8272-8AD014A7CB41}"/>
    <cellStyle name="Comma 5 3 3" xfId="5539" xr:uid="{CBCD8745-B433-44AE-BD41-4D12E762698D}"/>
    <cellStyle name="Comma 5 3 3 10" xfId="20759" xr:uid="{ECAB687F-119A-4D74-B845-55F759C9329E}"/>
    <cellStyle name="Comma 5 3 3 11" xfId="14076" xr:uid="{632AAA66-74ED-408D-8D2B-959E73388952}"/>
    <cellStyle name="Comma 5 3 3 2" xfId="7641" xr:uid="{4F13EC6F-940B-4097-BF14-ED040F6A2DE6}"/>
    <cellStyle name="Comma 5 3 3 2 2" xfId="10133" xr:uid="{18F78268-34FB-430B-B470-97F055006A46}"/>
    <cellStyle name="Comma 5 3 3 2 2 2" xfId="13439" xr:uid="{A345E5CC-15AA-4721-891A-655E82BF3DE4}"/>
    <cellStyle name="Comma 5 3 3 2 2 2 2" xfId="51665" xr:uid="{C50BA125-55CB-4816-B646-782B9EE06E82}"/>
    <cellStyle name="Comma 5 3 3 2 2 3" xfId="53234" xr:uid="{3A92D175-AFDB-4ED8-867B-3AC0043B5381}"/>
    <cellStyle name="Comma 5 3 3 2 2 4" xfId="48953" xr:uid="{76273188-E377-4DF4-A57D-7459C5CEE4A4}"/>
    <cellStyle name="Comma 5 3 3 2 3" xfId="12154" xr:uid="{65D4E704-3E0B-45D8-B462-D344B1AEA576}"/>
    <cellStyle name="Comma 5 3 3 2 3 2" xfId="47377" xr:uid="{288D6A29-7DB5-4BCE-B259-5FDA1D5CA65D}"/>
    <cellStyle name="Comma 5 3 3 2 4" xfId="50337" xr:uid="{085F8C58-10E0-4DB5-B432-8A354A7C0664}"/>
    <cellStyle name="Comma 5 3 3 2 5" xfId="53235" xr:uid="{86583724-3517-4805-95C7-E713CCE1938F}"/>
    <cellStyle name="Comma 5 3 3 2 6" xfId="39385" xr:uid="{6BBC30DD-FACB-491D-B5AB-7BC743EEBB08}"/>
    <cellStyle name="Comma 5 3 3 2 7" xfId="14568" xr:uid="{C98A8071-6AC1-4C98-A877-C68380F84351}"/>
    <cellStyle name="Comma 5 3 3 3" xfId="9639" xr:uid="{CAFE9F4A-0E20-4B23-BDD7-10CB9C628946}"/>
    <cellStyle name="Comma 5 3 3 3 2" xfId="12945" xr:uid="{76F953F6-1601-4C18-B2FF-CF2C43EDE6FB}"/>
    <cellStyle name="Comma 5 3 3 3 2 2" xfId="48098" xr:uid="{C330C742-A10F-4294-9444-97A657CB39BB}"/>
    <cellStyle name="Comma 5 3 3 3 3" xfId="50947" xr:uid="{4A799207-2FD3-4E6E-992D-8563842197A7}"/>
    <cellStyle name="Comma 5 3 3 3 4" xfId="53236" xr:uid="{3D4DAA39-880B-4961-9CE7-F0F401C5D183}"/>
    <cellStyle name="Comma 5 3 3 3 5" xfId="41243" xr:uid="{F5491F01-8ABD-4FEE-BE96-9B6640F74917}"/>
    <cellStyle name="Comma 5 3 3 4" xfId="7135" xr:uid="{AE24BE0B-99F5-443E-9451-184F6764AB88}"/>
    <cellStyle name="Comma 5 3 3 4 2" xfId="43062" xr:uid="{DF1105A1-D4DF-49B7-9E9A-5513D049B03B}"/>
    <cellStyle name="Comma 5 3 3 5" xfId="11660" xr:uid="{65E74823-39A7-4E54-B085-2F6A15DE7BAB}"/>
    <cellStyle name="Comma 5 3 3 5 2" xfId="43828" xr:uid="{DF7EE4F9-61ED-4E9A-A8ED-57ED78E47E7F}"/>
    <cellStyle name="Comma 5 3 3 6" xfId="45163" xr:uid="{4AB14E18-0F8F-4017-A690-6620FD57CCFA}"/>
    <cellStyle name="Comma 5 3 3 7" xfId="46586" xr:uid="{D27885DF-7C3E-4A5F-9311-BB7B73575F7D}"/>
    <cellStyle name="Comma 5 3 3 8" xfId="49619" xr:uid="{B9367887-2C19-400F-939F-81A23C4BBFCA}"/>
    <cellStyle name="Comma 5 3 3 9" xfId="53237" xr:uid="{3504590C-DCAB-4B23-A0CB-E38806D66BC6}"/>
    <cellStyle name="Comma 5 3 4" xfId="6529" xr:uid="{D9527784-3114-475E-86B3-29E5392DDAAE}"/>
    <cellStyle name="Comma 5 3 4 2" xfId="9501" xr:uid="{C8052278-99E3-445F-A3AE-D35A756C9FC3}"/>
    <cellStyle name="Comma 5 3 4 2 2" xfId="12807" xr:uid="{0BCE2316-62E5-4607-8F8A-D93351F6089F}"/>
    <cellStyle name="Comma 5 3 4 2 2 2" xfId="50832" xr:uid="{60563105-1275-4445-AEBC-2976D19F5C0C}"/>
    <cellStyle name="Comma 5 3 4 2 3" xfId="53238" xr:uid="{6B420901-330D-429C-B423-C03A559F2177}"/>
    <cellStyle name="Comma 5 3 4 2 4" xfId="47963" xr:uid="{64CE178E-8CEF-4344-B811-A892A6A793A5}"/>
    <cellStyle name="Comma 5 3 4 3" xfId="11522" xr:uid="{44415C15-7E0F-42C3-A572-A3EDB84F2F79}"/>
    <cellStyle name="Comma 5 3 4 3 2" xfId="46168" xr:uid="{BCDC7FA3-0858-4D7F-BBD0-036173F3385A}"/>
    <cellStyle name="Comma 5 3 4 4" xfId="49504" xr:uid="{ED36665F-18D3-44C4-BB7C-FAA73F2B4498}"/>
    <cellStyle name="Comma 5 3 4 5" xfId="53239" xr:uid="{1AEF9FE2-BACC-445D-94C3-F828B96C07FE}"/>
    <cellStyle name="Comma 5 3 4 6" xfId="20038" xr:uid="{E815F458-4EF1-4ECE-85F8-A498EB1736D1}"/>
    <cellStyle name="Comma 5 3 4 7" xfId="14430" xr:uid="{5C45A4ED-4DA9-40A0-87FE-FE35CD3F359F}"/>
    <cellStyle name="Comma 5 3 5" xfId="7503" xr:uid="{DD425E3C-1C95-4BB0-A249-7EC3D7E9F544}"/>
    <cellStyle name="Comma 5 3 5 2" xfId="9995" xr:uid="{06B112D0-0F6D-4263-A491-18AE62490765}"/>
    <cellStyle name="Comma 5 3 5 2 2" xfId="13301" xr:uid="{D51E53F2-B5EB-4F66-B70E-54A2265078D5}"/>
    <cellStyle name="Comma 5 3 5 2 2 2" xfId="51294" xr:uid="{E6AB7E37-A275-43C3-9B44-781A29D62034}"/>
    <cellStyle name="Comma 5 3 5 2 3" xfId="53240" xr:uid="{5F754148-CB5D-4F11-A83C-BF228DBE2B1F}"/>
    <cellStyle name="Comma 5 3 5 2 4" xfId="48508" xr:uid="{C0FD62FC-97E0-4EF9-A12A-A940EB1066C4}"/>
    <cellStyle name="Comma 5 3 5 3" xfId="12016" xr:uid="{A7867453-6B0A-45E6-A444-EA21DDB173A7}"/>
    <cellStyle name="Comma 5 3 5 3 2" xfId="46947" xr:uid="{E8E58FCF-FCB3-4CCC-8439-0005A1B5B841}"/>
    <cellStyle name="Comma 5 3 5 4" xfId="49966" xr:uid="{AE4BC290-42CB-400A-B082-E833B14EC100}"/>
    <cellStyle name="Comma 5 3 5 5" xfId="53241" xr:uid="{48BC7ED6-D7EF-4B2F-AF0F-E3FD1B22A4B0}"/>
    <cellStyle name="Comma 5 3 5 6" xfId="23974" xr:uid="{1D1DD39E-0964-4450-ABA7-72C8F250B166}"/>
    <cellStyle name="Comma 5 3 5 7" xfId="14883" xr:uid="{34BDCCEC-BC45-4DE8-9F1F-8D2C89C6083C}"/>
    <cellStyle name="Comma 5 3 6" xfId="8169" xr:uid="{E403A612-8595-4574-A202-2FC56FB0DFA3}"/>
    <cellStyle name="Comma 5 3 6 2" xfId="12625" xr:uid="{3551A5F4-4635-4D01-BEDD-E860CD36D880}"/>
    <cellStyle name="Comma 5 3 6 2 2" xfId="51550" xr:uid="{FEB4A1A0-4429-47B3-A81D-8EF2CF6DD670}"/>
    <cellStyle name="Comma 5 3 6 2 3" xfId="53242" xr:uid="{98E1F5DB-0B0E-4480-9569-42029A6F801A}"/>
    <cellStyle name="Comma 5 3 6 2 4" xfId="48815" xr:uid="{7E0A0D94-FE76-4D8D-93E7-63F4CB4F8D51}"/>
    <cellStyle name="Comma 5 3 6 3" xfId="47244" xr:uid="{AF17363C-85DA-4533-BE8E-89E66607FD83}"/>
    <cellStyle name="Comma 5 3 6 4" xfId="50222" xr:uid="{FFFC5AE4-8A0D-4FA5-9FF4-1A904CD522A9}"/>
    <cellStyle name="Comma 5 3 6 5" xfId="53243" xr:uid="{60AE5A5E-87E1-41C9-8766-382AB464AE88}"/>
    <cellStyle name="Comma 5 3 6 6" xfId="38471" xr:uid="{2520969D-0A74-4E7C-8655-9FDDB40D438C}"/>
    <cellStyle name="Comma 5 3 7" xfId="7956" xr:uid="{FB951C09-554E-440E-82C6-C5BE728F54B8}"/>
    <cellStyle name="Comma 5 3 7 2" xfId="12469" xr:uid="{DDA0C411-A0CB-4778-ADE3-504BFFBE73D4}"/>
    <cellStyle name="Comma 5 3 7 2 2" xfId="47696" xr:uid="{4EE7AE22-3226-45B9-A714-6CDE5EA310B7}"/>
    <cellStyle name="Comma 5 3 7 3" xfId="50604" xr:uid="{DE1D1235-0E8B-4264-9225-282A07934544}"/>
    <cellStyle name="Comma 5 3 7 4" xfId="53244" xr:uid="{60DDB8E8-4D6C-422D-B987-D0146E7479A6}"/>
    <cellStyle name="Comma 5 3 7 5" xfId="38794" xr:uid="{29CD8FF7-B800-4C79-BF79-CAEBF3D5DA4E}"/>
    <cellStyle name="Comma 5 3 8" xfId="5853" xr:uid="{3EC8A863-AA60-4A3E-A39A-435EF737AA86}"/>
    <cellStyle name="Comma 5 3 8 2" xfId="40294" xr:uid="{EE2FC556-C19B-4DF8-8BFD-CFE6B0DE0334}"/>
    <cellStyle name="Comma 5 3 9" xfId="11341" xr:uid="{F9D17373-89D1-4912-BC07-04F63F05749D}"/>
    <cellStyle name="Comma 5 3 9 2" xfId="40936" xr:uid="{3F7EE6B6-D1CF-409D-9A34-FFD003A03BAD}"/>
    <cellStyle name="Comma 5 4" xfId="4456" xr:uid="{F57B679C-A74C-41CA-AFD5-9B8A463F949D}"/>
    <cellStyle name="Comma 5 4 10" xfId="42150" xr:uid="{17192060-E8CC-44C6-9523-2959D284EBB7}"/>
    <cellStyle name="Comma 5 4 11" xfId="42413" xr:uid="{AC5B1E33-F2DC-4EAC-A20F-0582F81F0865}"/>
    <cellStyle name="Comma 5 4 12" xfId="44257" xr:uid="{2E773FF5-19DF-46C3-A2C3-7628B708E161}"/>
    <cellStyle name="Comma 5 4 13" xfId="44557" xr:uid="{744FF7C4-CC89-4BD3-AADA-055F8DD80FA8}"/>
    <cellStyle name="Comma 5 4 14" xfId="45721" xr:uid="{2D60FEBE-4535-4B8B-A60A-9C88F692FE31}"/>
    <cellStyle name="Comma 5 4 15" xfId="49349" xr:uid="{087598AC-13F6-4921-94B8-B6E23FB7D021}"/>
    <cellStyle name="Comma 5 4 16" xfId="53245" xr:uid="{4A081E0F-C6DD-4E7E-8C4A-2092F845B310}"/>
    <cellStyle name="Comma 5 4 17" xfId="16388" xr:uid="{0504FAE4-E36A-41CE-A9E5-6B7736AB54F3}"/>
    <cellStyle name="Comma 5 4 18" xfId="14250" xr:uid="{9CC53386-3DEF-4364-A87A-798AAB340378}"/>
    <cellStyle name="Comma 5 4 2" xfId="5713" xr:uid="{60C3380D-EA47-4E79-B647-D8D02AF59A66}"/>
    <cellStyle name="Comma 5 4 2 10" xfId="42762" xr:uid="{14A71726-16A8-4F57-A99F-FF9C0918CFE3}"/>
    <cellStyle name="Comma 5 4 2 11" xfId="44921" xr:uid="{088A565B-0209-463C-ACA2-403D0C05F5A8}"/>
    <cellStyle name="Comma 5 4 2 12" xfId="46725" xr:uid="{D74098DE-CD6A-463D-B204-382B2C7AAAD4}"/>
    <cellStyle name="Comma 5 4 2 13" xfId="49757" xr:uid="{1361AD62-EFB5-4759-BC2E-2326E00340BA}"/>
    <cellStyle name="Comma 5 4 2 14" xfId="53246" xr:uid="{0F64877A-9629-4377-AA74-7154298D780B}"/>
    <cellStyle name="Comma 5 4 2 15" xfId="17115" xr:uid="{F8EB187C-7BBC-483F-9FE7-E293E2F7A126}"/>
    <cellStyle name="Comma 5 4 2 16" xfId="14742" xr:uid="{55157640-36F6-4BCB-9B14-468986CD59C2}"/>
    <cellStyle name="Comma 5 4 2 2" xfId="10307" xr:uid="{3AA4E30D-A302-4477-AA90-8F41020E844C}"/>
    <cellStyle name="Comma 5 4 2 2 2" xfId="13613" xr:uid="{76848E40-E41C-4A0F-81CB-B0016FE36EF2}"/>
    <cellStyle name="Comma 5 4 2 2 2 2" xfId="39676" xr:uid="{64411FFD-FA01-4B91-8325-65FF67215A4A}"/>
    <cellStyle name="Comma 5 4 2 2 3" xfId="41529" xr:uid="{38535716-2ADA-4537-8743-AAAA408D203A}"/>
    <cellStyle name="Comma 5 4 2 2 4" xfId="43353" xr:uid="{7FB6DF8F-25D7-472E-84E6-5B295D9C2FCE}"/>
    <cellStyle name="Comma 5 4 2 2 5" xfId="45450" xr:uid="{848F01A9-47ED-4003-84FA-7EBF9E892116}"/>
    <cellStyle name="Comma 5 4 2 2 6" xfId="48267" xr:uid="{926CA76F-EB3A-4095-85F0-ED7E214263C8}"/>
    <cellStyle name="Comma 5 4 2 2 7" xfId="51085" xr:uid="{ACD4E4AE-DDCC-476C-A3D2-7D86E7A3E086}"/>
    <cellStyle name="Comma 5 4 2 2 8" xfId="53247" xr:uid="{6D5DC3AF-3959-4B8B-A8F1-1C36A5FD037F}"/>
    <cellStyle name="Comma 5 4 2 2 9" xfId="21110" xr:uid="{08F92055-7546-4706-A03F-7881FDFB2DC2}"/>
    <cellStyle name="Comma 5 4 2 3" xfId="7815" xr:uid="{6226806C-5F43-44D4-8053-AC8132D532EC}"/>
    <cellStyle name="Comma 5 4 2 3 2" xfId="20329" xr:uid="{B04BBC2A-5B1C-4165-B90E-F9DA1187FF49}"/>
    <cellStyle name="Comma 5 4 2 4" xfId="12328" xr:uid="{5B41E352-C955-4ED6-9D2F-A031FC0FCCCB}"/>
    <cellStyle name="Comma 5 4 2 4 2" xfId="23977" xr:uid="{D36C6882-BF38-4940-A81C-C232B38069E9}"/>
    <cellStyle name="Comma 5 4 2 5" xfId="38474" xr:uid="{4E8F4B16-7CD3-4B9A-82BD-CF2F22C4ADD1}"/>
    <cellStyle name="Comma 5 4 2 6" xfId="39085" xr:uid="{E77657E2-D54C-474F-99AF-B7D1645BCD2F}"/>
    <cellStyle name="Comma 5 4 2 7" xfId="40297" xr:uid="{DAB5D1B0-F8D6-41FC-BB00-21DBEEDB5959}"/>
    <cellStyle name="Comma 5 4 2 8" xfId="40939" xr:uid="{2DAA7D29-1328-48D9-99FE-324A15AC5AA4}"/>
    <cellStyle name="Comma 5 4 2 9" xfId="42151" xr:uid="{B73E5BCB-C357-41BD-A907-AABD7D8E85F8}"/>
    <cellStyle name="Comma 5 4 3" xfId="11152" xr:uid="{FE536C39-B78C-4B6F-A4F1-D0A26AB320A7}"/>
    <cellStyle name="Comma 5 4 3 10" xfId="15057" xr:uid="{BFF4C3F5-2058-46C8-A554-254E8E289A80}"/>
    <cellStyle name="Comma 5 4 3 2" xfId="13748" xr:uid="{126C661A-16EC-47B8-9F43-39DAC486F87D}"/>
    <cellStyle name="Comma 5 4 3 2 2" xfId="48506" xr:uid="{A6027A7E-C852-4880-ACCE-7859A2F45D59}"/>
    <cellStyle name="Comma 5 4 3 2 3" xfId="51292" xr:uid="{86A352F4-EEB0-4560-847C-408D24193615}"/>
    <cellStyle name="Comma 5 4 3 2 4" xfId="53248" xr:uid="{6D7E46DF-EC3B-4EFD-80F4-AA52F2A1D6FF}"/>
    <cellStyle name="Comma 5 4 3 2 5" xfId="39327" xr:uid="{0426024A-55B4-49EB-B021-12C771FA915E}"/>
    <cellStyle name="Comma 5 4 3 3" xfId="41189" xr:uid="{9396B1CB-33B4-4ACB-9A8C-81D9C1C6128F}"/>
    <cellStyle name="Comma 5 4 3 4" xfId="43004" xr:uid="{9A12080D-8532-45DD-89A5-FA99294E56AE}"/>
    <cellStyle name="Comma 5 4 3 5" xfId="45109" xr:uid="{A48D1D05-39CC-4746-859C-AE496BC19EB8}"/>
    <cellStyle name="Comma 5 4 3 6" xfId="46945" xr:uid="{5C9E9327-9326-42D1-BFBD-ACB958DF2526}"/>
    <cellStyle name="Comma 5 4 3 7" xfId="49964" xr:uid="{93964A7D-503E-469C-8038-F9CA2844A341}"/>
    <cellStyle name="Comma 5 4 3 8" xfId="53249" xr:uid="{18D47EC8-24D6-4BE7-AC85-7A29253A7428}"/>
    <cellStyle name="Comma 5 4 3 9" xfId="20633" xr:uid="{EBFE8D99-7607-4C68-AAFF-34102121EBEB}"/>
    <cellStyle name="Comma 5 4 4" xfId="9813" xr:uid="{36458349-C7E1-4499-B7C3-207F65C08239}"/>
    <cellStyle name="Comma 5 4 4 2" xfId="13119" xr:uid="{397B985F-5061-4C47-8A12-F4189E5F7E15}"/>
    <cellStyle name="Comma 5 4 4 2 2" xfId="51803" xr:uid="{6E5F3658-DF5D-4249-84FA-F6BAC752369B}"/>
    <cellStyle name="Comma 5 4 4 2 3" xfId="53250" xr:uid="{372A2845-BFBA-44E1-A7EA-BC961B197680}"/>
    <cellStyle name="Comma 5 4 4 2 4" xfId="49123" xr:uid="{A3282D4E-CDC9-4921-9301-BCC05A69F042}"/>
    <cellStyle name="Comma 5 4 4 3" xfId="47540" xr:uid="{FD8BAEE9-5BAB-491E-A529-A785589E7D6C}"/>
    <cellStyle name="Comma 5 4 4 4" xfId="50475" xr:uid="{615A8B0A-E288-4765-8DC9-689F50992A43}"/>
    <cellStyle name="Comma 5 4 4 5" xfId="53251" xr:uid="{868CF089-0EC8-4E21-84C6-BF08B07FCBD0}"/>
    <cellStyle name="Comma 5 4 4 6" xfId="19980" xr:uid="{15610234-8030-4D1A-A053-E784930D8293}"/>
    <cellStyle name="Comma 5 4 5" xfId="7311" xr:uid="{B41A7A48-6939-427D-BC27-CFFB208CDC23}"/>
    <cellStyle name="Comma 5 4 5 2" xfId="47778" xr:uid="{ED02B9EC-B494-4728-9A60-8450FC4517E1}"/>
    <cellStyle name="Comma 5 4 5 3" xfId="50677" xr:uid="{7489243D-7749-4490-AC49-F0DA559C3338}"/>
    <cellStyle name="Comma 5 4 5 4" xfId="53252" xr:uid="{98D07E56-92CD-49EB-891E-A18B9DD6E5F4}"/>
    <cellStyle name="Comma 5 4 5 5" xfId="23976" xr:uid="{41297746-4C30-4364-96BE-BA436C144820}"/>
    <cellStyle name="Comma 5 4 6" xfId="11834" xr:uid="{C51B3B96-809B-4A7E-AD1D-BEC03BA29AE1}"/>
    <cellStyle name="Comma 5 4 6 2" xfId="38473" xr:uid="{CCF97C52-D436-48E5-9E1C-53BF13D146C7}"/>
    <cellStyle name="Comma 5 4 7" xfId="38736" xr:uid="{7EEE4969-82DA-4C10-BE67-BFEDE04E7371}"/>
    <cellStyle name="Comma 5 4 8" xfId="40296" xr:uid="{1279ACD6-EED6-47FF-86FA-17D45AC78AE4}"/>
    <cellStyle name="Comma 5 4 9" xfId="40938" xr:uid="{7B76E031-4276-4C8E-891E-1026D89C9609}"/>
    <cellStyle name="Comma 5 5" xfId="5537" xr:uid="{55DBE4DB-99ED-4BFC-B40F-1ADB711216DA}"/>
    <cellStyle name="Comma 5 5 10" xfId="42763" xr:uid="{6CF071A5-8348-4FC8-907E-F6F112CA233A}"/>
    <cellStyle name="Comma 5 5 11" xfId="43826" xr:uid="{DDA66000-E4B7-49A4-971D-8A4807937214}"/>
    <cellStyle name="Comma 5 5 12" xfId="44922" xr:uid="{35F511C2-CCD3-488F-82F4-BF4AB44AEF80}"/>
    <cellStyle name="Comma 5 5 13" xfId="46584" xr:uid="{68942CDA-956C-4D77-92F3-838AD2E9C0F7}"/>
    <cellStyle name="Comma 5 5 14" xfId="49617" xr:uid="{6EA72F48-423F-4C16-BC45-431B27998B41}"/>
    <cellStyle name="Comma 5 5 15" xfId="53253" xr:uid="{50544F21-B6EB-40A2-B599-613B38AB7A53}"/>
    <cellStyle name="Comma 5 5 16" xfId="17116" xr:uid="{12B43E28-3FC7-4FC4-9EDF-EA983D6CC18D}"/>
    <cellStyle name="Comma 5 5 17" xfId="14074" xr:uid="{AEABE4FB-5290-4651-8CFF-6E98E63E0AB8}"/>
    <cellStyle name="Comma 5 5 2" xfId="7639" xr:uid="{21D6B918-2562-45F3-97C8-1ACC5757F771}"/>
    <cellStyle name="Comma 5 5 2 10" xfId="14566" xr:uid="{2F80670D-18CD-4CD8-98AE-72973D8BD9A4}"/>
    <cellStyle name="Comma 5 5 2 2" xfId="10131" xr:uid="{4B570CA2-3B1B-44B4-9228-1DD3220AD302}"/>
    <cellStyle name="Comma 5 5 2 2 2" xfId="13437" xr:uid="{A11E459C-BE25-4469-80BA-622B3B744D7F}"/>
    <cellStyle name="Comma 5 5 2 2 2 2" xfId="48633" xr:uid="{0BB6DDE5-A7F4-4925-AF4C-84B663AB035B}"/>
    <cellStyle name="Comma 5 5 2 2 3" xfId="51396" xr:uid="{5F122EC4-B02E-452A-9B38-1E9E6B7A1EB5}"/>
    <cellStyle name="Comma 5 5 2 2 4" xfId="53254" xr:uid="{E3EBF6D2-6CBA-41DF-B191-2C353C5BEA5D}"/>
    <cellStyle name="Comma 5 5 2 2 5" xfId="39677" xr:uid="{07A5DBD8-852E-41DE-BEFD-7EDD5CE3C84C}"/>
    <cellStyle name="Comma 5 5 2 3" xfId="12152" xr:uid="{00C5BA54-D5EA-4815-ACC5-2A63A423042F}"/>
    <cellStyle name="Comma 5 5 2 3 2" xfId="41530" xr:uid="{A2DA4D69-26DC-41FD-9BEA-9052BCDFB2E3}"/>
    <cellStyle name="Comma 5 5 2 4" xfId="43354" xr:uid="{0D8A7A2F-4B0A-4A1E-9982-5E70EBBA120C}"/>
    <cellStyle name="Comma 5 5 2 5" xfId="45451" xr:uid="{9E4482CC-A45B-4E1A-B393-844BD5CA6895}"/>
    <cellStyle name="Comma 5 5 2 6" xfId="47067" xr:uid="{4C7C1DE4-2C32-4560-BD1A-22E06879ECCD}"/>
    <cellStyle name="Comma 5 5 2 7" xfId="50068" xr:uid="{79A363AF-A5FA-40AA-9438-212E8B6E77B1}"/>
    <cellStyle name="Comma 5 5 2 8" xfId="53255" xr:uid="{BC5D674B-ABA9-4290-89CF-C8FB12DF7A8A}"/>
    <cellStyle name="Comma 5 5 2 9" xfId="21111" xr:uid="{1C8D8401-3258-441C-B5C8-251D5AA7432A}"/>
    <cellStyle name="Comma 5 5 3" xfId="9637" xr:uid="{6C418DF4-CB18-483B-AC29-8A3C9F3453A7}"/>
    <cellStyle name="Comma 5 5 3 2" xfId="12943" xr:uid="{0DF16D39-475E-487E-9F0E-6399FFE19BB2}"/>
    <cellStyle name="Comma 5 5 3 2 2" xfId="51663" xr:uid="{52C864A8-07D0-4EE8-A249-16C4C9053A4C}"/>
    <cellStyle name="Comma 5 5 3 2 3" xfId="53256" xr:uid="{E9E0899B-7AFA-4930-B457-E272256306C1}"/>
    <cellStyle name="Comma 5 5 3 2 4" xfId="48951" xr:uid="{9CBA6437-7D2D-4EDB-871C-BB20B0645FBA}"/>
    <cellStyle name="Comma 5 5 3 3" xfId="47375" xr:uid="{F310E452-67C0-4007-905C-8BBDF6B00197}"/>
    <cellStyle name="Comma 5 5 3 4" xfId="50335" xr:uid="{7C5AAB4E-7E3A-46BC-97E6-D40651FF92B9}"/>
    <cellStyle name="Comma 5 5 3 5" xfId="53257" xr:uid="{46FFA9C9-A4DC-4007-9FB6-93CE881B5021}"/>
    <cellStyle name="Comma 5 5 3 6" xfId="20330" xr:uid="{FCE446E0-1A91-4A14-997F-369D0F225FF9}"/>
    <cellStyle name="Comma 5 5 4" xfId="7133" xr:uid="{22C8E66B-514B-49E5-B3BB-520CCE206DA7}"/>
    <cellStyle name="Comma 5 5 4 2" xfId="48096" xr:uid="{8282F8FB-F3DC-44FA-9857-DFF48D6BCB39}"/>
    <cellStyle name="Comma 5 5 4 3" xfId="50945" xr:uid="{4541C123-AEE4-47A4-9B7D-B01E5F270EA9}"/>
    <cellStyle name="Comma 5 5 4 4" xfId="53258" xr:uid="{3EB9DF12-DDE5-45A0-B796-5E6864F77926}"/>
    <cellStyle name="Comma 5 5 4 5" xfId="23978" xr:uid="{095F0B56-B07E-4DED-B7C4-DED889F41053}"/>
    <cellStyle name="Comma 5 5 5" xfId="11658" xr:uid="{9DC1A153-7261-4C8E-A6D5-B9AFC272EE6D}"/>
    <cellStyle name="Comma 5 5 5 2" xfId="38475" xr:uid="{D91B4976-39DA-4744-BB0E-E46FE7A881B0}"/>
    <cellStyle name="Comma 5 5 6" xfId="39086" xr:uid="{D582FE10-9079-4248-A6FD-1E5D5C8DB7B5}"/>
    <cellStyle name="Comma 5 5 7" xfId="40298" xr:uid="{57075FEE-912F-40E9-9D4C-5E339E94F46C}"/>
    <cellStyle name="Comma 5 5 8" xfId="40940" xr:uid="{55CD1D49-5333-437C-A901-BBCAFF90896C}"/>
    <cellStyle name="Comma 5 5 9" xfId="42152" xr:uid="{A2213312-8EA5-480F-87C6-71BE9234B22E}"/>
    <cellStyle name="Comma 5 6" xfId="6527" xr:uid="{367BE4B7-F352-49D5-B9C2-46E960B5FC97}"/>
    <cellStyle name="Comma 5 6 10" xfId="42758" xr:uid="{00BB095C-F83A-49C6-8062-EDF3F815F3F1}"/>
    <cellStyle name="Comma 5 6 11" xfId="44919" xr:uid="{B6D83464-F657-4132-9E7B-4251934866E1}"/>
    <cellStyle name="Comma 5 6 12" xfId="46166" xr:uid="{3EC31D3D-9B65-4D2D-9AE2-20E0EE587086}"/>
    <cellStyle name="Comma 5 6 13" xfId="49502" xr:uid="{8A9F3030-836C-4A91-AD6A-4E88692612CA}"/>
    <cellStyle name="Comma 5 6 14" xfId="53259" xr:uid="{BA94A747-7140-4AA1-BA22-DE6CD31BC4D6}"/>
    <cellStyle name="Comma 5 6 15" xfId="17111" xr:uid="{5182D9F8-68BF-4941-8B31-B3227CAA4AB8}"/>
    <cellStyle name="Comma 5 6 16" xfId="14428" xr:uid="{E2EA9359-E185-4468-A5E8-3740B4B0FE8D}"/>
    <cellStyle name="Comma 5 6 2" xfId="9499" xr:uid="{8C78B114-F84C-4814-B022-9CD402706F30}"/>
    <cellStyle name="Comma 5 6 2 2" xfId="12805" xr:uid="{CA319EE2-40F3-4928-89FD-8493F3EFBB4A}"/>
    <cellStyle name="Comma 5 6 2 2 2" xfId="39672" xr:uid="{272F41D4-20B9-43C6-8C07-EC9117A6D5AF}"/>
    <cellStyle name="Comma 5 6 2 3" xfId="41525" xr:uid="{B2A7DFAE-2D4E-41C1-BF82-2B440F54BB1A}"/>
    <cellStyle name="Comma 5 6 2 4" xfId="43349" xr:uid="{8BA24529-04C5-4682-9143-80FC7CE6979B}"/>
    <cellStyle name="Comma 5 6 2 5" xfId="45446" xr:uid="{FBE9B69F-DDFE-4F41-9A2F-22C7412013A9}"/>
    <cellStyle name="Comma 5 6 2 6" xfId="47961" xr:uid="{C93FC73D-63F8-4257-8A79-3BD8DA1FCABB}"/>
    <cellStyle name="Comma 5 6 2 7" xfId="50830" xr:uid="{00000237-7C78-46C1-BB01-99A8DD83DE24}"/>
    <cellStyle name="Comma 5 6 2 8" xfId="53260" xr:uid="{27AF4B1C-6941-4E39-AB9E-9DD57FCA65E2}"/>
    <cellStyle name="Comma 5 6 2 9" xfId="21106" xr:uid="{E5658D38-84D6-4210-A4D3-775520F06821}"/>
    <cellStyle name="Comma 5 6 3" xfId="11520" xr:uid="{B1422ECA-8A57-4890-8884-561D71910C9A}"/>
    <cellStyle name="Comma 5 6 3 2" xfId="20325" xr:uid="{9AE509BC-5DB1-40EA-8EF3-C676BC35FF3E}"/>
    <cellStyle name="Comma 5 6 4" xfId="23979" xr:uid="{C06CA7AD-8EE9-4678-AA77-9C0C42BD7919}"/>
    <cellStyle name="Comma 5 6 5" xfId="38476" xr:uid="{812CCCAB-3669-412B-962B-3C28636FA2C5}"/>
    <cellStyle name="Comma 5 6 6" xfId="39081" xr:uid="{A0B2825C-87D0-441F-82D3-D32B600BC9B0}"/>
    <cellStyle name="Comma 5 6 7" xfId="40299" xr:uid="{CE15CE32-A64C-4538-A9C0-411573300B22}"/>
    <cellStyle name="Comma 5 6 8" xfId="40941" xr:uid="{461AF7EE-053A-47F3-AE30-97DD7F7EFF23}"/>
    <cellStyle name="Comma 5 6 9" xfId="42153" xr:uid="{4C1753BF-BA43-430D-8811-5B98D9EFC38E}"/>
    <cellStyle name="Comma 5 7" xfId="7501" xr:uid="{F0776060-841B-426B-B02F-5933A138428E}"/>
    <cellStyle name="Comma 5 7 10" xfId="42844" xr:uid="{F4792804-76C7-470A-AE3E-43E0A841F23C}"/>
    <cellStyle name="Comma 5 7 11" xfId="44971" xr:uid="{1890A181-7032-48A4-A067-ACF9E241878B}"/>
    <cellStyle name="Comma 5 7 12" xfId="46838" xr:uid="{773112F1-2BB7-44E1-ADBD-43622628A5DA}"/>
    <cellStyle name="Comma 5 7 13" xfId="49862" xr:uid="{E7D56164-D068-4759-B952-FE90BAF1F832}"/>
    <cellStyle name="Comma 5 7 14" xfId="53261" xr:uid="{93015EA7-1ADF-46C5-AF91-23153E937CAA}"/>
    <cellStyle name="Comma 5 7 15" xfId="19750" xr:uid="{B5A2EAF1-729B-41A2-992D-743B74724446}"/>
    <cellStyle name="Comma 5 7 16" xfId="14881" xr:uid="{4154CB56-4D63-4584-9A54-C1AF4056AE72}"/>
    <cellStyle name="Comma 5 7 2" xfId="9993" xr:uid="{B29068FA-9849-4D7C-ACB2-30C628535AFC}"/>
    <cellStyle name="Comma 5 7 2 2" xfId="13299" xr:uid="{09CA6439-D378-4ADB-877B-754A0FED521D}"/>
    <cellStyle name="Comma 5 7 2 2 2" xfId="39758" xr:uid="{C690118D-8BDD-433A-8F6D-EF16A2635D71}"/>
    <cellStyle name="Comma 5 7 2 3" xfId="41611" xr:uid="{AF79A5F5-4E96-44FE-8709-84562449C741}"/>
    <cellStyle name="Comma 5 7 2 4" xfId="43435" xr:uid="{EB1FA288-DB7B-431D-97FA-6825A7295A00}"/>
    <cellStyle name="Comma 5 7 2 5" xfId="45514" xr:uid="{C460EA77-D790-477F-B168-6684214D44F4}"/>
    <cellStyle name="Comma 5 7 2 6" xfId="48389" xr:uid="{45E144F5-BBAE-417A-B356-F7235701432E}"/>
    <cellStyle name="Comma 5 7 2 7" xfId="51190" xr:uid="{C07A21E4-E812-4BF2-B3C9-1B8F788380DE}"/>
    <cellStyle name="Comma 5 7 2 8" xfId="53262" xr:uid="{159E69B1-9F87-48B2-9FE4-BF62B75DFD2A}"/>
    <cellStyle name="Comma 5 7 2 9" xfId="23367" xr:uid="{CE26F614-D542-4217-A4D1-958CAE347A44}"/>
    <cellStyle name="Comma 5 7 3" xfId="12014" xr:uid="{8429CF50-E85E-44F3-A985-3F09359702CC}"/>
    <cellStyle name="Comma 5 7 3 2" xfId="20411" xr:uid="{7790D901-B271-464E-B8EB-E2716DAA018E}"/>
    <cellStyle name="Comma 5 7 4" xfId="23980" xr:uid="{C4BE53C0-321B-46BD-9C90-2EF20936E594}"/>
    <cellStyle name="Comma 5 7 5" xfId="38477" xr:uid="{C0C01A3D-1F0B-4EC5-BF6E-BC296540BC68}"/>
    <cellStyle name="Comma 5 7 6" xfId="39167" xr:uid="{CA979D31-B41C-4336-9BA9-C5B8663C8AB2}"/>
    <cellStyle name="Comma 5 7 7" xfId="40300" xr:uid="{E3A75B8C-A7D7-467D-851C-A09C70F2C4DF}"/>
    <cellStyle name="Comma 5 7 8" xfId="40942" xr:uid="{B491D689-E0B1-48B7-AC79-DCBC93B09182}"/>
    <cellStyle name="Comma 5 7 9" xfId="42154" xr:uid="{324CA88B-95D9-4C89-BE46-84B235C0B1AC}"/>
    <cellStyle name="Comma 5 8" xfId="8167" xr:uid="{F7917F4D-105F-418E-8BC4-200E17FD266B}"/>
    <cellStyle name="Comma 5 8 2" xfId="12623" xr:uid="{D3377167-C8C0-4AC4-A68E-022AB73B4448}"/>
    <cellStyle name="Comma 5 8 2 2" xfId="48813" xr:uid="{DDE4B718-4BCD-4ED2-A847-A7B40E1FC182}"/>
    <cellStyle name="Comma 5 8 2 3" xfId="51548" xr:uid="{2BF94A7D-FFB1-4C9A-AF01-D1F60C1B20FD}"/>
    <cellStyle name="Comma 5 8 2 4" xfId="53263" xr:uid="{BFA78FB1-D6FA-45DE-9B82-1CE1B50A1E88}"/>
    <cellStyle name="Comma 5 8 2 5" xfId="39234" xr:uid="{4204C677-010B-4C7D-93B9-F4826D3C8343}"/>
    <cellStyle name="Comma 5 8 3" xfId="41103" xr:uid="{A8464B0F-9D4A-413D-B2CA-6A3C18DE2F98}"/>
    <cellStyle name="Comma 5 8 4" xfId="42911" xr:uid="{2766CAB8-063D-454B-9625-D68FBDA15A71}"/>
    <cellStyle name="Comma 5 8 5" xfId="45018" xr:uid="{86D0139F-3D59-4C9E-AE95-D9426709D870}"/>
    <cellStyle name="Comma 5 8 6" xfId="47242" xr:uid="{C6E7E0C1-1E3F-492B-8ADF-E0CA479BA2DA}"/>
    <cellStyle name="Comma 5 8 7" xfId="50220" xr:uid="{C3A0D56D-64C6-4E6A-9FC2-821D4E3459BF}"/>
    <cellStyle name="Comma 5 8 8" xfId="53264" xr:uid="{053ED599-5214-4D48-8ABD-3117CDD82CC8}"/>
    <cellStyle name="Comma 5 8 9" xfId="20479" xr:uid="{3D65C843-4ED9-4A1C-A683-65962E9E50AF}"/>
    <cellStyle name="Comma 5 9" xfId="7954" xr:uid="{4F709591-0BCF-4AF1-89FE-9A226E5B4254}"/>
    <cellStyle name="Comma 5 9 2" xfId="12467" xr:uid="{5324BE8E-CEA1-45BC-AE24-2B8E031D65A7}"/>
    <cellStyle name="Comma 5 9 2 2" xfId="47632" xr:uid="{2A09E167-E320-4868-ADC9-F3C3B541EECF}"/>
    <cellStyle name="Comma 5 9 3" xfId="50545" xr:uid="{04D69D1A-E25E-47AF-A686-E9DE17AB35AA}"/>
    <cellStyle name="Comma 5 9 4" xfId="53265" xr:uid="{AC91A544-5B46-430F-8E58-DE4407376D65}"/>
    <cellStyle name="Comma 5 9 5" xfId="19885" xr:uid="{16965197-55A6-4BDA-8285-2B9F1768F14A}"/>
    <cellStyle name="Comma 6" xfId="1783" xr:uid="{5E3A06DD-355A-4E4B-BC9E-A303836CC07C}"/>
    <cellStyle name="Comma 6 10" xfId="5854" xr:uid="{83786189-F6A6-43B4-86B5-4E18E8FB9408}"/>
    <cellStyle name="Comma 6 10 2" xfId="23981" xr:uid="{F7FF736F-338B-4A98-A295-5B74ED25DFE6}"/>
    <cellStyle name="Comma 6 11" xfId="11342" xr:uid="{A5B09F4D-A8BC-4272-8451-26E8148F3A8F}"/>
    <cellStyle name="Comma 6 11 2" xfId="38478" xr:uid="{37D0E141-8AC9-41EE-9756-4EA51E7A9EDB}"/>
    <cellStyle name="Comma 6 12" xfId="38644" xr:uid="{4A26F45D-75C4-4F97-ACFF-02470230A2ED}"/>
    <cellStyle name="Comma 6 13" xfId="40301" xr:uid="{967E38B5-E4B0-41EA-AF59-862FBE731A82}"/>
    <cellStyle name="Comma 6 14" xfId="40943" xr:uid="{F16D03D0-FA24-4000-B2D6-29A35F58693C}"/>
    <cellStyle name="Comma 6 15" xfId="42155" xr:uid="{EC49010C-9B12-4E1D-8634-69B5495AE8CC}"/>
    <cellStyle name="Comma 6 16" xfId="42321" xr:uid="{2080975B-DE8C-4DB3-B3BE-83E2F2A51EE4}"/>
    <cellStyle name="Comma 6 17" xfId="43556" xr:uid="{9A7B4620-5853-4DB7-8731-8959A0C86D2C}"/>
    <cellStyle name="Comma 6 18" xfId="44419" xr:uid="{F516C97B-407A-43F6-835D-77A4C1442785}"/>
    <cellStyle name="Comma 6 19" xfId="45588" xr:uid="{E3B34F16-FC36-400E-A768-FB6E00D364A0}"/>
    <cellStyle name="Comma 6 2" xfId="1784" xr:uid="{8F6A2B8C-A00E-43FF-9566-62385B492B96}"/>
    <cellStyle name="Comma 6 2 10" xfId="11343" xr:uid="{A911FAE1-BB66-467F-865E-CA283FD5545F}"/>
    <cellStyle name="Comma 6 2 10 2" xfId="40302" xr:uid="{80ED67CC-4162-4B06-B4CE-FF6970019BAB}"/>
    <cellStyle name="Comma 6 2 11" xfId="40944" xr:uid="{FFBA079C-0DB8-49A1-9A91-DADF15F214E8}"/>
    <cellStyle name="Comma 6 2 12" xfId="42156" xr:uid="{31EB1CD9-2CC5-44D1-BD1A-81BAA808D388}"/>
    <cellStyle name="Comma 6 2 13" xfId="42359" xr:uid="{E8D5402F-093A-48C8-B3EA-CB4AD9EAC0E0}"/>
    <cellStyle name="Comma 6 2 14" xfId="43482" xr:uid="{30D0222A-641E-4D1A-BBA5-430046103916}"/>
    <cellStyle name="Comma 6 2 15" xfId="44420" xr:uid="{3B7E90AB-91AD-4D29-8F25-8D842CBE430D}"/>
    <cellStyle name="Comma 6 2 16" xfId="45650" xr:uid="{2191EC35-C8DA-4A01-9E8F-3C00F8F4CD62}"/>
    <cellStyle name="Comma 6 2 17" xfId="49279" xr:uid="{3B568938-CBCF-469F-BE5D-E8B62A511F4F}"/>
    <cellStyle name="Comma 6 2 18" xfId="53266" xr:uid="{9739C484-32FA-42D4-8281-8A61D748EBC0}"/>
    <cellStyle name="Comma 6 2 19" xfId="15325" xr:uid="{DB5451D0-F13E-41F5-B4A5-1380344DF9EF}"/>
    <cellStyle name="Comma 6 2 2" xfId="4460" xr:uid="{F03E7CBE-7F45-4CBA-AA71-0D1FA7C766D4}"/>
    <cellStyle name="Comma 6 2 2 10" xfId="42157" xr:uid="{172F1140-2656-4B44-AE86-563409811D68}"/>
    <cellStyle name="Comma 6 2 2 11" xfId="42511" xr:uid="{F767A79F-28BD-4B07-8B55-6A4AE064AB38}"/>
    <cellStyle name="Comma 6 2 2 12" xfId="43557" xr:uid="{FDEE4316-C839-4629-87DB-FD7457447C81}"/>
    <cellStyle name="Comma 6 2 2 13" xfId="44561" xr:uid="{050EC48F-7AAA-4C4B-9E22-AFA90860B43B}"/>
    <cellStyle name="Comma 6 2 2 14" xfId="45724" xr:uid="{CC5A44E8-78F3-41C2-BB4D-41D6906BFA53}"/>
    <cellStyle name="Comma 6 2 2 15" xfId="49352" xr:uid="{5A6EFE4B-E4BC-4E20-913A-A262C9264E73}"/>
    <cellStyle name="Comma 6 2 2 16" xfId="53267" xr:uid="{EBC3C554-62E5-4B6C-9D31-3CF6B13C8934}"/>
    <cellStyle name="Comma 6 2 2 17" xfId="16774" xr:uid="{FB3BE021-76AA-4B55-AD5C-48DFB853D828}"/>
    <cellStyle name="Comma 6 2 2 18" xfId="13940" xr:uid="{5E3A238A-3BF3-4B02-9800-B80169C747F8}"/>
    <cellStyle name="Comma 6 2 2 2" xfId="5717" xr:uid="{B8D2EC60-34C6-4284-A03B-7043F8D25E7C}"/>
    <cellStyle name="Comma 6 2 2 2 10" xfId="42766" xr:uid="{7A7A25E8-3971-499E-A691-47002E9ECBE2}"/>
    <cellStyle name="Comma 6 2 2 2 11" xfId="44261" xr:uid="{201857A7-6ADE-48FE-B724-D6C4F237AE05}"/>
    <cellStyle name="Comma 6 2 2 2 12" xfId="44924" xr:uid="{F35DB3D0-6AF8-42BD-81ED-20841CA28171}"/>
    <cellStyle name="Comma 6 2 2 2 13" xfId="46729" xr:uid="{BD7ABA0E-E9DA-4167-8CC3-7C0D776FBCF6}"/>
    <cellStyle name="Comma 6 2 2 2 14" xfId="49761" xr:uid="{DD13013A-2DAB-48B5-88D3-07B694914C5F}"/>
    <cellStyle name="Comma 6 2 2 2 15" xfId="53268" xr:uid="{1063BD31-B013-4CC6-9391-D9E269657C49}"/>
    <cellStyle name="Comma 6 2 2 2 16" xfId="17119" xr:uid="{0D20DD83-9EB4-45C2-9DFB-1168024324CF}"/>
    <cellStyle name="Comma 6 2 2 2 17" xfId="14254" xr:uid="{1815B131-9985-40BA-8DBF-BB79BE9945DC}"/>
    <cellStyle name="Comma 6 2 2 2 2" xfId="7819" xr:uid="{45259232-3CCF-4879-BF00-2C73984AF44B}"/>
    <cellStyle name="Comma 6 2 2 2 2 10" xfId="14746" xr:uid="{4AEE6CAA-A350-4527-8F41-E1A67BCFACF7}"/>
    <cellStyle name="Comma 6 2 2 2 2 2" xfId="10311" xr:uid="{59D296A6-9065-4534-AD43-6F0D152EB5B4}"/>
    <cellStyle name="Comma 6 2 2 2 2 2 2" xfId="13617" xr:uid="{91DF873B-3981-4EB5-9DA8-1CF59C9C359C}"/>
    <cellStyle name="Comma 6 2 2 2 2 2 2 2" xfId="49127" xr:uid="{CE02AF43-2CCE-43CD-AB09-7D0C72AABAB7}"/>
    <cellStyle name="Comma 6 2 2 2 2 2 3" xfId="51807" xr:uid="{7EE3AA0E-448C-4769-9404-E679EB1E553A}"/>
    <cellStyle name="Comma 6 2 2 2 2 2 4" xfId="53269" xr:uid="{D4D0F244-800D-4C03-BB33-138AE15127F6}"/>
    <cellStyle name="Comma 6 2 2 2 2 2 5" xfId="39680" xr:uid="{14B935CE-1812-44F2-BE23-3C623E8DA0DF}"/>
    <cellStyle name="Comma 6 2 2 2 2 3" xfId="12332" xr:uid="{776CF90E-48AA-4EA7-894A-C0BD99DF4211}"/>
    <cellStyle name="Comma 6 2 2 2 2 3 2" xfId="41533" xr:uid="{85EF8747-E52B-46AE-B12B-3B710C2306D3}"/>
    <cellStyle name="Comma 6 2 2 2 2 4" xfId="43357" xr:uid="{A1E68AFE-D494-4A09-9970-0E027D1092B4}"/>
    <cellStyle name="Comma 6 2 2 2 2 5" xfId="45454" xr:uid="{0E48EF22-99BB-4F65-85FD-DD7D92E013E6}"/>
    <cellStyle name="Comma 6 2 2 2 2 6" xfId="47544" xr:uid="{E653EAF7-8D40-4380-A8AB-A9B9FAF05B96}"/>
    <cellStyle name="Comma 6 2 2 2 2 7" xfId="50479" xr:uid="{FA50EC7B-483A-4D2C-AE20-B5534F4F346D}"/>
    <cellStyle name="Comma 6 2 2 2 2 8" xfId="53270" xr:uid="{6E36D322-D97E-4BD3-817D-5DCDE9631EC3}"/>
    <cellStyle name="Comma 6 2 2 2 2 9" xfId="21114" xr:uid="{531374FD-E7B6-441B-9C72-588CEDEE6A2A}"/>
    <cellStyle name="Comma 6 2 2 2 3" xfId="9817" xr:uid="{FAD362B8-A956-471D-90DF-1093C88FBA43}"/>
    <cellStyle name="Comma 6 2 2 2 3 2" xfId="13123" xr:uid="{86D45312-5E11-4660-8A67-694D92942172}"/>
    <cellStyle name="Comma 6 2 2 2 3 2 2" xfId="48271" xr:uid="{FABAD79A-D6CB-4AFC-AF2D-D6CC484D979D}"/>
    <cellStyle name="Comma 6 2 2 2 3 3" xfId="51089" xr:uid="{C2183D4B-5C09-4BEA-90BD-0513E11CC2B8}"/>
    <cellStyle name="Comma 6 2 2 2 3 4" xfId="53271" xr:uid="{28608874-5D04-4DB6-90D7-E21488FF5336}"/>
    <cellStyle name="Comma 6 2 2 2 3 5" xfId="20333" xr:uid="{4DF4DBB6-E8B6-40E2-A710-2DEB188E5EFD}"/>
    <cellStyle name="Comma 6 2 2 2 4" xfId="7315" xr:uid="{BE5405A5-DDC6-471A-8FDD-3FF244CFD3D1}"/>
    <cellStyle name="Comma 6 2 2 2 4 2" xfId="23984" xr:uid="{94431402-0490-4538-B545-1E02F2E906C3}"/>
    <cellStyle name="Comma 6 2 2 2 5" xfId="11838" xr:uid="{05B3150F-ECA1-4255-853D-804C1EF20522}"/>
    <cellStyle name="Comma 6 2 2 2 5 2" xfId="38481" xr:uid="{A062085D-EFE4-4950-87CA-62F6930A7A7E}"/>
    <cellStyle name="Comma 6 2 2 2 6" xfId="39089" xr:uid="{90382863-802B-4E9F-9E87-1CE37F103BBB}"/>
    <cellStyle name="Comma 6 2 2 2 7" xfId="40304" xr:uid="{C459989D-8812-434F-A8A0-E6D10AF43F08}"/>
    <cellStyle name="Comma 6 2 2 2 8" xfId="40946" xr:uid="{C6AA3B1B-6548-4E76-A117-3C6F559F4E56}"/>
    <cellStyle name="Comma 6 2 2 2 9" xfId="42158" xr:uid="{3AC819F8-F0F6-494E-8B23-50D01DE4D0F2}"/>
    <cellStyle name="Comma 6 2 2 3" xfId="7505" xr:uid="{8E8CA502-7515-4D57-AE38-6E3E08E1D889}"/>
    <cellStyle name="Comma 6 2 2 3 10" xfId="14432" xr:uid="{66CB90E5-BCD7-4376-BDF7-7C3425163915}"/>
    <cellStyle name="Comma 6 2 2 3 2" xfId="9997" xr:uid="{89FD2E26-00CE-4DBC-8ACC-E9C1E810811D}"/>
    <cellStyle name="Comma 6 2 2 3 2 2" xfId="13303" xr:uid="{7DD1F027-787B-4C11-B940-D9696F1888B7}"/>
    <cellStyle name="Comma 6 2 2 3 2 2 2" xfId="47965" xr:uid="{297F46B7-84C2-48CF-948A-C92A360BB8D2}"/>
    <cellStyle name="Comma 6 2 2 3 2 3" xfId="50834" xr:uid="{D81BF501-8982-4826-BCA7-0CB6654F8477}"/>
    <cellStyle name="Comma 6 2 2 3 2 4" xfId="53272" xr:uid="{1F8A3398-F9B3-442F-AEAA-12D31A13CCEC}"/>
    <cellStyle name="Comma 6 2 2 3 2 5" xfId="39425" xr:uid="{AF141798-8AC9-4C73-8407-DA8DA3D88DC0}"/>
    <cellStyle name="Comma 6 2 2 3 3" xfId="12018" xr:uid="{1789FEB8-C6B4-416A-B354-174E74B4422A}"/>
    <cellStyle name="Comma 6 2 2 3 3 2" xfId="41281" xr:uid="{05A3601F-91B7-402C-BE01-E8859570ABE4}"/>
    <cellStyle name="Comma 6 2 2 3 4" xfId="43102" xr:uid="{EB614BFE-A2CC-47EC-B457-1B3BD9377AFD}"/>
    <cellStyle name="Comma 6 2 2 3 5" xfId="45201" xr:uid="{991B679E-825E-4B4D-BFC3-5A78A5FCF297}"/>
    <cellStyle name="Comma 6 2 2 3 6" xfId="46170" xr:uid="{46C6D12A-B1DE-4917-8769-3323E5C3EC29}"/>
    <cellStyle name="Comma 6 2 2 3 7" xfId="49506" xr:uid="{4C7FA90C-544B-436C-AE60-10C49C15489D}"/>
    <cellStyle name="Comma 6 2 2 3 8" xfId="53273" xr:uid="{3641EAAE-54DD-4FCF-B5A6-B368320D7876}"/>
    <cellStyle name="Comma 6 2 2 3 9" xfId="20800" xr:uid="{86366424-7076-4145-B8E8-5C1C2993202C}"/>
    <cellStyle name="Comma 6 2 2 4" xfId="11155" xr:uid="{8B29E3D1-CAC1-4135-A261-1DD2CDE86502}"/>
    <cellStyle name="Comma 6 2 2 4 2" xfId="13751" xr:uid="{92D8A882-02D5-4E2A-B910-813FF7C71B49}"/>
    <cellStyle name="Comma 6 2 2 4 2 2" xfId="51296" xr:uid="{6B6CDCEE-C62A-4485-88EB-45B69DA66858}"/>
    <cellStyle name="Comma 6 2 2 4 2 3" xfId="53274" xr:uid="{A65BE495-F754-44AA-BB04-4D4A872D59DD}"/>
    <cellStyle name="Comma 6 2 2 4 2 4" xfId="48510" xr:uid="{3585E4B0-6B55-4CD0-A7F3-8C68B93B3898}"/>
    <cellStyle name="Comma 6 2 2 4 3" xfId="46949" xr:uid="{2F1EEA05-A84F-4CC8-8F8F-0CD934AA260E}"/>
    <cellStyle name="Comma 6 2 2 4 4" xfId="49968" xr:uid="{C45AD11E-3541-4C56-A9AB-C24DB92DE919}"/>
    <cellStyle name="Comma 6 2 2 4 5" xfId="53275" xr:uid="{8814A715-5260-4513-B7B3-2289C5257AD6}"/>
    <cellStyle name="Comma 6 2 2 4 6" xfId="20078" xr:uid="{6192FD71-B217-4256-8736-2A37DDEE2123}"/>
    <cellStyle name="Comma 6 2 2 4 7" xfId="15061" xr:uid="{0EFE7AEB-0A74-41E5-BF6B-C717063A6926}"/>
    <cellStyle name="Comma 6 2 2 5" xfId="9503" xr:uid="{D5E8598F-13D1-4D9D-B315-5675AFD1379B}"/>
    <cellStyle name="Comma 6 2 2 5 2" xfId="12809" xr:uid="{ADB3E14D-37A4-4F98-9714-EC835733E016}"/>
    <cellStyle name="Comma 6 2 2 5 2 2" xfId="51552" xr:uid="{270457F7-1667-4BAC-92AC-40ED254992CD}"/>
    <cellStyle name="Comma 6 2 2 5 2 3" xfId="53276" xr:uid="{9FE05BB2-10FC-4306-86D8-24E915E4582C}"/>
    <cellStyle name="Comma 6 2 2 5 2 4" xfId="48817" xr:uid="{A19A0473-D810-4D81-8724-3235B0663DBB}"/>
    <cellStyle name="Comma 6 2 2 5 3" xfId="47246" xr:uid="{6E4F1C5B-EEDC-4261-ACE2-CE9D0DD0FCF7}"/>
    <cellStyle name="Comma 6 2 2 5 4" xfId="50224" xr:uid="{E6D5CA30-B373-4F29-B324-B2C9021C268C}"/>
    <cellStyle name="Comma 6 2 2 5 5" xfId="53277" xr:uid="{8D8A8F1B-C260-4E7A-937F-5F4B93A38B61}"/>
    <cellStyle name="Comma 6 2 2 5 6" xfId="23983" xr:uid="{D4A02563-A6D3-46FA-B2D0-B6D20AACA65F}"/>
    <cellStyle name="Comma 6 2 2 6" xfId="6531" xr:uid="{14311778-FFFE-47DE-867D-6A3A0BB77B65}"/>
    <cellStyle name="Comma 6 2 2 6 2" xfId="47781" xr:uid="{3720E153-29E8-4D13-A6D5-1CBDAA24BECF}"/>
    <cellStyle name="Comma 6 2 2 6 3" xfId="50680" xr:uid="{8F7B040D-586F-4268-AC1A-449342C939DE}"/>
    <cellStyle name="Comma 6 2 2 6 4" xfId="53278" xr:uid="{593DAE28-16E6-4B51-A64A-FDCBDB5AE7FA}"/>
    <cellStyle name="Comma 6 2 2 6 5" xfId="38480" xr:uid="{4DBD03C2-E7A1-4754-A523-EDC86612F732}"/>
    <cellStyle name="Comma 6 2 2 7" xfId="11524" xr:uid="{F9E659BC-1D51-4BB2-94E4-F93D0F292145}"/>
    <cellStyle name="Comma 6 2 2 7 2" xfId="38834" xr:uid="{AA5D8BF2-B2AB-48A2-92E0-DD96F18BAE47}"/>
    <cellStyle name="Comma 6 2 2 8" xfId="40303" xr:uid="{8C36338C-CC17-4439-A53F-3FDB8F5D031A}"/>
    <cellStyle name="Comma 6 2 2 9" xfId="40945" xr:uid="{CB394894-CE0D-43FA-B156-B12A48DBF626}"/>
    <cellStyle name="Comma 6 2 20" xfId="13854" xr:uid="{8A66A551-1587-4CA9-880D-1401FFF29B90}"/>
    <cellStyle name="Comma 6 2 3" xfId="3890" xr:uid="{6AF4E768-6228-46A1-9D51-50AAE53B41AF}"/>
    <cellStyle name="Comma 6 2 3 10" xfId="42765" xr:uid="{3345EBA3-B9CA-4E91-A04D-B375CE92A336}"/>
    <cellStyle name="Comma 6 2 3 11" xfId="43901" xr:uid="{D38E421A-ACD1-4411-93B9-BA6565B6B645}"/>
    <cellStyle name="Comma 6 2 3 12" xfId="44488" xr:uid="{D49B202C-EF90-4AF9-991C-F661E952EDEC}"/>
    <cellStyle name="Comma 6 2 3 13" xfId="46655" xr:uid="{75890116-B533-4EF7-BC0C-781F3BEBD17B}"/>
    <cellStyle name="Comma 6 2 3 14" xfId="49688" xr:uid="{6F824FE6-5040-4687-A830-840FF65B85D5}"/>
    <cellStyle name="Comma 6 2 3 15" xfId="53279" xr:uid="{291B878A-1245-4782-B48D-EDC61AF24E38}"/>
    <cellStyle name="Comma 6 2 3 16" xfId="17118" xr:uid="{4D0A3529-6792-4C33-B49F-23D7FF991B35}"/>
    <cellStyle name="Comma 6 2 3 17" xfId="14169" xr:uid="{78A64953-457B-4350-AC29-61F4ADDD4FFE}"/>
    <cellStyle name="Comma 6 2 3 2" xfId="5632" xr:uid="{8939FEE8-7BF8-4920-910E-27212D829F28}"/>
    <cellStyle name="Comma 6 2 3 2 10" xfId="14661" xr:uid="{81BEAD5F-0EF4-4DDD-9D67-E53D7EC373A7}"/>
    <cellStyle name="Comma 6 2 3 2 2" xfId="10226" xr:uid="{8792B868-4C58-4E67-B9E9-3ED851661C9A}"/>
    <cellStyle name="Comma 6 2 3 2 2 2" xfId="13532" xr:uid="{B0C43620-ECC4-4A43-8D8A-8E1C786B6A4A}"/>
    <cellStyle name="Comma 6 2 3 2 2 2 2" xfId="48429" xr:uid="{349CC200-0242-4C68-ABAC-D8D5810F5BF4}"/>
    <cellStyle name="Comma 6 2 3 2 2 3" xfId="51223" xr:uid="{9EA90212-6747-42FD-BD66-E515EFC2F348}"/>
    <cellStyle name="Comma 6 2 3 2 2 4" xfId="53280" xr:uid="{B6428C22-0FE0-4EBD-8EC7-C0722F62CFCE}"/>
    <cellStyle name="Comma 6 2 3 2 2 5" xfId="39679" xr:uid="{314A0451-8D95-42DC-97F5-C5AFF9FA105E}"/>
    <cellStyle name="Comma 6 2 3 2 3" xfId="7734" xr:uid="{9EA4F04A-A9A7-47B5-A0F8-16B905E434B6}"/>
    <cellStyle name="Comma 6 2 3 2 3 2" xfId="41532" xr:uid="{63CD0683-7907-451A-9C46-085BEA32D980}"/>
    <cellStyle name="Comma 6 2 3 2 4" xfId="12247" xr:uid="{B2C54D7D-F49E-4457-BCCC-7D47C77155D8}"/>
    <cellStyle name="Comma 6 2 3 2 4 2" xfId="43356" xr:uid="{63CBDBBC-2DED-4FBD-9428-BB4FEE407F1F}"/>
    <cellStyle name="Comma 6 2 3 2 5" xfId="45453" xr:uid="{654B5B9A-952F-43F8-A7E7-09D69D6EEC78}"/>
    <cellStyle name="Comma 6 2 3 2 6" xfId="46873" xr:uid="{1BE09AA0-7C51-460C-819F-C3E5DA37CF39}"/>
    <cellStyle name="Comma 6 2 3 2 7" xfId="49895" xr:uid="{0EA3D920-A2FF-4C80-8D05-F9F742507CFB}"/>
    <cellStyle name="Comma 6 2 3 2 8" xfId="53281" xr:uid="{0531F648-909C-4FC2-B2F3-4526C2D66747}"/>
    <cellStyle name="Comma 6 2 3 2 9" xfId="21113" xr:uid="{B0CF8139-8764-4B29-B2AF-6D6FD79A37CD}"/>
    <cellStyle name="Comma 6 2 3 3" xfId="9732" xr:uid="{0BB618D6-3549-4345-BB7F-6737CC346A2F}"/>
    <cellStyle name="Comma 6 2 3 3 2" xfId="13038" xr:uid="{39FB0832-D01D-42D0-8236-6277AF3B936E}"/>
    <cellStyle name="Comma 6 2 3 3 2 2" xfId="51734" xr:uid="{2103170C-6B58-40FA-AAB4-90739B6DFFCA}"/>
    <cellStyle name="Comma 6 2 3 3 2 3" xfId="53282" xr:uid="{F2271849-9F9A-4F98-A96D-53498BF0C85F}"/>
    <cellStyle name="Comma 6 2 3 3 2 4" xfId="49044" xr:uid="{F38EF1E5-E0F8-49D3-ADBD-537DE3A7B7F3}"/>
    <cellStyle name="Comma 6 2 3 3 3" xfId="47463" xr:uid="{FE09DC34-2B13-4CCE-9D8F-814F399B2E9E}"/>
    <cellStyle name="Comma 6 2 3 3 4" xfId="50406" xr:uid="{74765652-E15D-4245-8BAF-B82521414929}"/>
    <cellStyle name="Comma 6 2 3 3 5" xfId="53283" xr:uid="{C8F9DD9D-D80E-4BAD-866B-A79FB95105FB}"/>
    <cellStyle name="Comma 6 2 3 3 6" xfId="20332" xr:uid="{CF396BA7-8BBB-4BD3-8967-9E9B1798506D}"/>
    <cellStyle name="Comma 6 2 3 3 7" xfId="14976" xr:uid="{5FD39EBE-52E6-4385-A192-096E1F977EDB}"/>
    <cellStyle name="Comma 6 2 3 4" xfId="7228" xr:uid="{90C04AB2-05FB-431C-A4BD-F636EE3BFD9E}"/>
    <cellStyle name="Comma 6 2 3 4 2" xfId="48189" xr:uid="{2509B149-1A91-4A89-B991-A432020CDC06}"/>
    <cellStyle name="Comma 6 2 3 4 3" xfId="51016" xr:uid="{931F4098-BDC0-4494-8582-EADBB532C636}"/>
    <cellStyle name="Comma 6 2 3 4 4" xfId="53284" xr:uid="{8F200DAA-708B-457C-A436-99FFB5EFA8EA}"/>
    <cellStyle name="Comma 6 2 3 4 5" xfId="23985" xr:uid="{454B3F41-283E-4399-96C7-F1B97AA3D28D}"/>
    <cellStyle name="Comma 6 2 3 5" xfId="11753" xr:uid="{77E436EE-CA6E-4BC4-98EB-DB126C30810B}"/>
    <cellStyle name="Comma 6 2 3 5 2" xfId="38482" xr:uid="{5CEA143E-FFCA-40B8-862A-AC59A67A564F}"/>
    <cellStyle name="Comma 6 2 3 6" xfId="39088" xr:uid="{B8C584BA-7716-4052-A7EC-C4E52614567E}"/>
    <cellStyle name="Comma 6 2 3 7" xfId="40305" xr:uid="{6CA49D4B-1B7B-4EB2-90C7-A26442098DA0}"/>
    <cellStyle name="Comma 6 2 3 8" xfId="40947" xr:uid="{D25F6F5D-F314-46A9-9CA7-D73447BF57E4}"/>
    <cellStyle name="Comma 6 2 3 9" xfId="42159" xr:uid="{E1818B0D-08BC-46DD-BC12-A945B8B13BD4}"/>
    <cellStyle name="Comma 6 2 4" xfId="5541" xr:uid="{107FC2E8-21B9-44EC-A2CC-8756BCCCD355}"/>
    <cellStyle name="Comma 6 2 4 10" xfId="42847" xr:uid="{9F97687D-8125-4816-9F5C-2A71CE5FD3DC}"/>
    <cellStyle name="Comma 6 2 4 11" xfId="43830" xr:uid="{77E4A151-6746-496E-A6FD-9A41B1C5EA43}"/>
    <cellStyle name="Comma 6 2 4 12" xfId="44974" xr:uid="{0C345645-B725-4B95-8887-5F1C4C4C785D}"/>
    <cellStyle name="Comma 6 2 4 13" xfId="46588" xr:uid="{5F5C21EA-DB58-4068-89FB-4D5A03F8B9F4}"/>
    <cellStyle name="Comma 6 2 4 14" xfId="49621" xr:uid="{FB1B25E4-02D1-4073-A94B-4FF71DB5F817}"/>
    <cellStyle name="Comma 6 2 4 15" xfId="53285" xr:uid="{8A20BC0E-BA38-45AD-A045-18A3D6E7FD04}"/>
    <cellStyle name="Comma 6 2 4 16" xfId="19753" xr:uid="{8A866888-11FF-41B0-B49B-263980F63A2D}"/>
    <cellStyle name="Comma 6 2 4 17" xfId="14078" xr:uid="{426D2C21-B444-4957-AE6B-1550B8AA011E}"/>
    <cellStyle name="Comma 6 2 4 2" xfId="7643" xr:uid="{40D9A496-C530-4CCC-9D92-7A6F69528AB4}"/>
    <cellStyle name="Comma 6 2 4 2 10" xfId="14570" xr:uid="{E01F1598-4168-4643-B47D-06CC87E380DE}"/>
    <cellStyle name="Comma 6 2 4 2 2" xfId="10135" xr:uid="{9A2EF6AF-D395-4EB3-AF89-E158EC9A11A7}"/>
    <cellStyle name="Comma 6 2 4 2 2 2" xfId="13441" xr:uid="{44E8979F-FCA2-4D88-AE33-EC9F2FA57E44}"/>
    <cellStyle name="Comma 6 2 4 2 2 2 2" xfId="48636" xr:uid="{6827D1C6-CE6B-4688-876A-50CCD6C6B502}"/>
    <cellStyle name="Comma 6 2 4 2 2 3" xfId="51399" xr:uid="{974BEB51-F0DC-4C4B-8E8C-F9FBE618B3E3}"/>
    <cellStyle name="Comma 6 2 4 2 2 4" xfId="53286" xr:uid="{F2CFFF9E-0E10-4193-97AE-C9008B508CA5}"/>
    <cellStyle name="Comma 6 2 4 2 2 5" xfId="39761" xr:uid="{3133F37E-8C80-47E5-864B-066300F4888F}"/>
    <cellStyle name="Comma 6 2 4 2 3" xfId="12156" xr:uid="{6DF07714-AC9B-4A0F-856B-86B3A43C01DD}"/>
    <cellStyle name="Comma 6 2 4 2 3 2" xfId="41614" xr:uid="{CD541012-308F-4743-BDCF-CD11D976C641}"/>
    <cellStyle name="Comma 6 2 4 2 4" xfId="43438" xr:uid="{79E34DC3-59EB-4D2F-8947-446C805E08ED}"/>
    <cellStyle name="Comma 6 2 4 2 5" xfId="45517" xr:uid="{A82F8615-C77B-4C2E-AC25-BC2356B6FB3A}"/>
    <cellStyle name="Comma 6 2 4 2 6" xfId="47070" xr:uid="{92540F66-7BA3-48C3-8AFD-79A1315C1D66}"/>
    <cellStyle name="Comma 6 2 4 2 7" xfId="50071" xr:uid="{15843B5F-CF5A-4722-8153-0232BA279C81}"/>
    <cellStyle name="Comma 6 2 4 2 8" xfId="53287" xr:uid="{933840F9-9835-4CDF-BF5B-CEC9D78B77DA}"/>
    <cellStyle name="Comma 6 2 4 2 9" xfId="23370" xr:uid="{EBB8B139-BD97-4DF6-8955-67DF3A36C0A1}"/>
    <cellStyle name="Comma 6 2 4 3" xfId="9641" xr:uid="{020A5955-BCA6-4C14-B8CC-CADCAC6E3513}"/>
    <cellStyle name="Comma 6 2 4 3 2" xfId="12947" xr:uid="{E814ADBE-B0A7-4FF0-A9DF-58C4D3B5DF43}"/>
    <cellStyle name="Comma 6 2 4 3 2 2" xfId="51667" xr:uid="{C38DB5D4-CA7B-4D33-88D0-3BFD7ACB5E0B}"/>
    <cellStyle name="Comma 6 2 4 3 2 3" xfId="53288" xr:uid="{B47462A4-A190-416B-9D0E-BE3A45C0CFC0}"/>
    <cellStyle name="Comma 6 2 4 3 2 4" xfId="48955" xr:uid="{9988395A-969B-47C4-B7DD-9E35C23E17A7}"/>
    <cellStyle name="Comma 6 2 4 3 3" xfId="47379" xr:uid="{809459B1-D95F-41B7-94CA-52ED3426081B}"/>
    <cellStyle name="Comma 6 2 4 3 4" xfId="50339" xr:uid="{D68BB2BB-0F9C-4EF7-9227-A5B47848743E}"/>
    <cellStyle name="Comma 6 2 4 3 5" xfId="53289" xr:uid="{DC9D0F6B-2707-4ABF-A280-C57F722D3A0E}"/>
    <cellStyle name="Comma 6 2 4 3 6" xfId="20414" xr:uid="{A5FEC96F-5F24-4117-A7BD-5D3D06179BFF}"/>
    <cellStyle name="Comma 6 2 4 4" xfId="7137" xr:uid="{D3E3A45F-949B-4FDE-AE8C-5911D079108C}"/>
    <cellStyle name="Comma 6 2 4 4 2" xfId="48100" xr:uid="{D1CA1533-20CB-4988-986D-EE1B785444A1}"/>
    <cellStyle name="Comma 6 2 4 4 3" xfId="50949" xr:uid="{A532874D-D117-4CA6-871E-AE1507007316}"/>
    <cellStyle name="Comma 6 2 4 4 4" xfId="53290" xr:uid="{19F0B671-EB2E-4A37-9F36-A19E89B3148F}"/>
    <cellStyle name="Comma 6 2 4 4 5" xfId="23986" xr:uid="{7B44D725-4848-4CA2-91C3-51486AB7715B}"/>
    <cellStyle name="Comma 6 2 4 5" xfId="11662" xr:uid="{90988BAA-29E9-46A9-97DA-E45EF767F403}"/>
    <cellStyle name="Comma 6 2 4 5 2" xfId="38483" xr:uid="{B605A312-EF1F-4506-A06C-151288579DBF}"/>
    <cellStyle name="Comma 6 2 4 6" xfId="39170" xr:uid="{BB497D9F-3E46-46A7-81A5-8E217E8339E9}"/>
    <cellStyle name="Comma 6 2 4 7" xfId="40306" xr:uid="{41B08FE6-289A-4C5B-9E37-3B056B42DB2E}"/>
    <cellStyle name="Comma 6 2 4 8" xfId="40948" xr:uid="{D4C049DC-AC62-4DE1-BE8D-6FA4BBA01CDD}"/>
    <cellStyle name="Comma 6 2 4 9" xfId="42160" xr:uid="{DE3BB62C-52F1-4BF5-BCAD-56BDAC2836E3}"/>
    <cellStyle name="Comma 6 2 5" xfId="5957" xr:uid="{CE0B22F2-DF1A-4B73-A2FE-32414CC7E9A5}"/>
    <cellStyle name="Comma 6 2 5 10" xfId="45811" xr:uid="{1F753779-8807-4E1B-AFE6-94469B94B0CA}"/>
    <cellStyle name="Comma 6 2 5 11" xfId="49433" xr:uid="{2ABE8043-A539-4271-9E46-63764992026B}"/>
    <cellStyle name="Comma 6 2 5 12" xfId="53291" xr:uid="{F8B3301E-64B3-4047-8CCF-F0A15EC49C2C}"/>
    <cellStyle name="Comma 6 2 5 13" xfId="20518" xr:uid="{DD4B3EEB-F0B0-4492-83E8-BE4FB6DA9CBC}"/>
    <cellStyle name="Comma 6 2 5 14" xfId="14347" xr:uid="{9EF1A12B-7238-483D-B744-ED8FCF624DCA}"/>
    <cellStyle name="Comma 6 2 5 2" xfId="9415" xr:uid="{30078725-5FB2-4CC2-AAF9-35A17292CB24}"/>
    <cellStyle name="Comma 6 2 5 2 2" xfId="12721" xr:uid="{149FEF4E-21EF-4A6E-8545-A5D60A3CFE41}"/>
    <cellStyle name="Comma 6 2 5 2 2 2" xfId="47884" xr:uid="{0AE3298C-8D8F-4BA8-9FDB-7559BD548167}"/>
    <cellStyle name="Comma 6 2 5 2 3" xfId="50761" xr:uid="{35682493-DD72-46DB-8238-1EE2D89CAFA0}"/>
    <cellStyle name="Comma 6 2 5 2 4" xfId="53292" xr:uid="{292DEB48-51FC-45E5-BE64-7BC8383D8EAB}"/>
    <cellStyle name="Comma 6 2 5 2 5" xfId="23987" xr:uid="{D10A840F-B2C5-4B1A-8127-2DE1F791D9F6}"/>
    <cellStyle name="Comma 6 2 5 3" xfId="11436" xr:uid="{F8CA166D-A507-4F6B-BA00-6DE19E3D23B5}"/>
    <cellStyle name="Comma 6 2 5 3 2" xfId="38484" xr:uid="{E0A77BCA-59EC-4099-AE52-9A590A776FC8}"/>
    <cellStyle name="Comma 6 2 5 4" xfId="39273" xr:uid="{053B21F0-41CB-40DB-BA62-1A27233CC428}"/>
    <cellStyle name="Comma 6 2 5 5" xfId="40307" xr:uid="{DF346739-D8A2-48C7-AA32-ED2CCA2E0DCB}"/>
    <cellStyle name="Comma 6 2 5 6" xfId="40949" xr:uid="{CB524D6A-377C-4B7B-814C-0C604DE8FD95}"/>
    <cellStyle name="Comma 6 2 5 7" xfId="42161" xr:uid="{929D6F4A-9E11-4CC1-9396-F4B9A5557FB7}"/>
    <cellStyle name="Comma 6 2 5 8" xfId="42950" xr:uid="{06B29A81-12CF-4633-9A40-ECEC6FA95B9E}"/>
    <cellStyle name="Comma 6 2 5 9" xfId="45057" xr:uid="{B92C6C91-B57B-48A0-8B04-47F0A9AA762A}"/>
    <cellStyle name="Comma 6 2 6" xfId="7420" xr:uid="{BAE7CA4B-6B0E-4014-B4EF-CD1B04BFD25C}"/>
    <cellStyle name="Comma 6 2 6 2" xfId="9912" xr:uid="{B59232F5-6212-4546-BD42-96B2FFD6D457}"/>
    <cellStyle name="Comma 6 2 6 2 2" xfId="13218" xr:uid="{A638E0A1-92F8-4E51-8B13-C56E1FB36BC9}"/>
    <cellStyle name="Comma 6 2 6 2 2 2" xfId="51193" xr:uid="{5224023C-3A2F-4D09-860D-0BF9A925E8DC}"/>
    <cellStyle name="Comma 6 2 6 2 3" xfId="53293" xr:uid="{D5623D07-F553-4531-BB22-C1AFB70D86BF}"/>
    <cellStyle name="Comma 6 2 6 2 4" xfId="48392" xr:uid="{F6A8E454-6EAA-4533-A0A5-6C6CC45C14BF}"/>
    <cellStyle name="Comma 6 2 6 3" xfId="11933" xr:uid="{CD506746-BF1C-4D41-8BB8-BEE54230A8BD}"/>
    <cellStyle name="Comma 6 2 6 3 2" xfId="46841" xr:uid="{DA7E36F9-DD87-45DE-AB1B-7181804D3075}"/>
    <cellStyle name="Comma 6 2 6 4" xfId="49865" xr:uid="{7CEF6FAA-E356-4DA0-B65B-9C7B9E1D66F0}"/>
    <cellStyle name="Comma 6 2 6 5" xfId="53294" xr:uid="{E73A9509-BB20-41D8-A6D8-C117C31400E8}"/>
    <cellStyle name="Comma 6 2 6 6" xfId="19925" xr:uid="{22F7CE8F-3206-405D-BDEC-FC664865DF17}"/>
    <cellStyle name="Comma 6 2 6 7" xfId="14885" xr:uid="{5798073B-ACA8-465D-94C6-0DA8581ECD3F}"/>
    <cellStyle name="Comma 6 2 7" xfId="8171" xr:uid="{D41F1ED5-8B88-4E7B-AEEE-50D3A02C0351}"/>
    <cellStyle name="Comma 6 2 7 2" xfId="12627" xr:uid="{46487FDA-FA2B-4A9F-9649-FCA039EF0D08}"/>
    <cellStyle name="Comma 6 2 7 2 2" xfId="51479" xr:uid="{46AC83F6-5563-4E35-BD9C-A71B22B1E5D2}"/>
    <cellStyle name="Comma 6 2 7 2 3" xfId="53295" xr:uid="{CC947E56-5F63-4205-B032-65257A788982}"/>
    <cellStyle name="Comma 6 2 7 2 4" xfId="48735" xr:uid="{8EF240F8-7A95-4154-B858-044E4D15F921}"/>
    <cellStyle name="Comma 6 2 7 3" xfId="47170" xr:uid="{7A23EA00-72E1-423A-83FF-658FF6DF045A}"/>
    <cellStyle name="Comma 6 2 7 4" xfId="50151" xr:uid="{9589A7E8-026F-4CB6-B421-6101EA004C56}"/>
    <cellStyle name="Comma 6 2 7 5" xfId="53296" xr:uid="{0335841E-FE08-44E8-9877-E94049379FDE}"/>
    <cellStyle name="Comma 6 2 7 6" xfId="23982" xr:uid="{F7A49348-0B70-4776-9436-2C67B73F5EC2}"/>
    <cellStyle name="Comma 6 2 8" xfId="7958" xr:uid="{5AB28FC8-A3B4-42CF-9C60-4C9D0DDB530D}"/>
    <cellStyle name="Comma 6 2 8 2" xfId="12471" xr:uid="{6F390CC6-83DA-4441-B975-3CEF95B3CC34}"/>
    <cellStyle name="Comma 6 2 8 2 2" xfId="47699" xr:uid="{E47D83BF-25BC-4546-BF4D-7294F950E7CA}"/>
    <cellStyle name="Comma 6 2 8 3" xfId="50607" xr:uid="{C20CBA3B-905A-41B1-88F2-671A462BDFF8}"/>
    <cellStyle name="Comma 6 2 8 4" xfId="53297" xr:uid="{C3173505-704A-4293-AC85-D730A7FD717C}"/>
    <cellStyle name="Comma 6 2 8 5" xfId="38479" xr:uid="{F33BD156-576F-40AC-9553-404F12BC05AE}"/>
    <cellStyle name="Comma 6 2 9" xfId="5855" xr:uid="{12384E5D-983F-45A2-9D59-CCAC2D9AD4BC}"/>
    <cellStyle name="Comma 6 2 9 2" xfId="38682" xr:uid="{70D24DC2-A32D-4338-A65C-14A5D2889340}"/>
    <cellStyle name="Comma 6 20" xfId="49218" xr:uid="{43744CD3-A5F8-46B6-9713-2845C1C7C1C2}"/>
    <cellStyle name="Comma 6 21" xfId="53298" xr:uid="{5FD6C539-8DBD-4ACB-BB40-0BEFF94548B2}"/>
    <cellStyle name="Comma 6 22" xfId="15223" xr:uid="{AC015BFC-86C0-4AFE-90C0-856D39BF7793}"/>
    <cellStyle name="Comma 6 23" xfId="13939" xr:uid="{2BE4D9FE-8040-45C9-AEE8-EFD00C9BD02F}"/>
    <cellStyle name="Comma 6 3" xfId="1785" xr:uid="{061BEDE2-7C72-41EF-AA89-A391FF548A83}"/>
    <cellStyle name="Comma 6 3 10" xfId="42162" xr:uid="{146DB67E-A4FF-4DCE-8535-3F6CFA1A429F}"/>
    <cellStyle name="Comma 6 3 11" xfId="42472" xr:uid="{DD8BD28A-C1F5-4F12-8F85-D3B469ED362A}"/>
    <cellStyle name="Comma 6 3 12" xfId="43558" xr:uid="{BB9FDCAA-153C-44AA-9857-375AE0B576F0}"/>
    <cellStyle name="Comma 6 3 13" xfId="44421" xr:uid="{7DAE33D6-C6AE-4228-B2CE-3D1EA7181B1B}"/>
    <cellStyle name="Comma 6 3 14" xfId="45649" xr:uid="{3EAB1E4A-FC1A-4877-AA24-471BF8DA1AC9}"/>
    <cellStyle name="Comma 6 3 15" xfId="49278" xr:uid="{E34ED582-E8A1-4838-8B5B-F5AD9F815622}"/>
    <cellStyle name="Comma 6 3 16" xfId="53299" xr:uid="{5785C283-F8CC-4435-A889-C9BDCDD352E2}"/>
    <cellStyle name="Comma 6 3 17" xfId="16666" xr:uid="{DD66F75E-808C-4DAA-9DC9-061831ACDEE6}"/>
    <cellStyle name="Comma 6 3 18" xfId="13941" xr:uid="{D8FE539A-8A8A-4432-91DA-6826579DF64B}"/>
    <cellStyle name="Comma 6 3 2" xfId="4461" xr:uid="{DED6E557-9ECE-436E-A7FB-52303CBB0F23}"/>
    <cellStyle name="Comma 6 3 2 10" xfId="42767" xr:uid="{310CF56A-1F16-45A4-A5C2-07D1649FC23A}"/>
    <cellStyle name="Comma 6 3 2 11" xfId="44262" xr:uid="{A4FFF47E-E44A-4F5C-894E-C28E4CD2E89B}"/>
    <cellStyle name="Comma 6 3 2 12" xfId="44562" xr:uid="{689E2F93-6CD0-4AF5-8980-054767680014}"/>
    <cellStyle name="Comma 6 3 2 13" xfId="45769" xr:uid="{581DB4FA-A185-4703-9041-F95C8AE1FF09}"/>
    <cellStyle name="Comma 6 3 2 14" xfId="49397" xr:uid="{5998DBC5-E415-4940-BF06-BB4B63457F8B}"/>
    <cellStyle name="Comma 6 3 2 15" xfId="53300" xr:uid="{D3AF51BB-8528-47E4-AE5C-D6271B5AE9CE}"/>
    <cellStyle name="Comma 6 3 2 16" xfId="17120" xr:uid="{34642826-48EE-4FA2-B1F6-DB50F728A869}"/>
    <cellStyle name="Comma 6 3 2 17" xfId="14255" xr:uid="{CE374865-A9A6-49B7-AABC-543CAFD91369}"/>
    <cellStyle name="Comma 6 3 2 2" xfId="5718" xr:uid="{111068D4-2FD6-4945-A405-5271EF6227A7}"/>
    <cellStyle name="Comma 6 3 2 2 10" xfId="14747" xr:uid="{BF0AC678-1FAC-428A-9AC1-71240A7CC2D6}"/>
    <cellStyle name="Comma 6 3 2 2 2" xfId="10312" xr:uid="{F7E7F04F-4A70-456D-B1E4-25392278E6B0}"/>
    <cellStyle name="Comma 6 3 2 2 2 2" xfId="13618" xr:uid="{4CFD2875-9BCD-4BE1-AED9-83501C70B9B8}"/>
    <cellStyle name="Comma 6 3 2 2 2 2 2" xfId="48272" xr:uid="{2A210D52-8E60-48C1-8773-D73A7A930014}"/>
    <cellStyle name="Comma 6 3 2 2 2 3" xfId="51090" xr:uid="{9AD3815A-1339-4880-862C-BB518835C423}"/>
    <cellStyle name="Comma 6 3 2 2 2 4" xfId="53301" xr:uid="{9CAE0F31-F1A0-43CC-91D7-62BC1885A29F}"/>
    <cellStyle name="Comma 6 3 2 2 2 5" xfId="39681" xr:uid="{85423C05-2AE1-406D-933B-6C2918F3B5FC}"/>
    <cellStyle name="Comma 6 3 2 2 3" xfId="7820" xr:uid="{5624B866-75BB-4E82-AE07-7A3EEF5CDA0E}"/>
    <cellStyle name="Comma 6 3 2 2 3 2" xfId="41534" xr:uid="{F22B4159-B273-462B-83AA-20958D2A1841}"/>
    <cellStyle name="Comma 6 3 2 2 4" xfId="12333" xr:uid="{5C71A44F-6D3E-48FE-97AE-9114978E676A}"/>
    <cellStyle name="Comma 6 3 2 2 4 2" xfId="43358" xr:uid="{0C1F1C32-4A61-4AD0-8281-07F01186AF86}"/>
    <cellStyle name="Comma 6 3 2 2 5" xfId="45455" xr:uid="{F5A1A159-6F68-4600-AA55-CFF065B29BE5}"/>
    <cellStyle name="Comma 6 3 2 2 6" xfId="46730" xr:uid="{66F338AA-3E3A-4574-9B49-2B9B4910C7E3}"/>
    <cellStyle name="Comma 6 3 2 2 7" xfId="49762" xr:uid="{76CA3ACE-E83F-4DEF-AB1C-B10EA6FEF0F0}"/>
    <cellStyle name="Comma 6 3 2 2 8" xfId="53302" xr:uid="{0B41D0D3-AA65-4C98-B809-586A82295BE5}"/>
    <cellStyle name="Comma 6 3 2 2 9" xfId="21115" xr:uid="{6D8E8E53-FF76-4979-892F-8778348F514C}"/>
    <cellStyle name="Comma 6 3 2 3" xfId="11232" xr:uid="{EEE4DFDA-30D8-4D3C-89D5-6F1A30B2993E}"/>
    <cellStyle name="Comma 6 3 2 3 2" xfId="13794" xr:uid="{0E8CE6A3-4BCF-4AF5-AC47-1B2D6B633F0C}"/>
    <cellStyle name="Comma 6 3 2 3 2 2" xfId="51429" xr:uid="{30902266-3622-43D3-BFF8-913C84C84C00}"/>
    <cellStyle name="Comma 6 3 2 3 2 3" xfId="53303" xr:uid="{5FD00290-B286-44C5-88BD-B903CC807DD7}"/>
    <cellStyle name="Comma 6 3 2 3 2 4" xfId="48674" xr:uid="{8E12BC01-E10F-4912-BBDC-40BE2BCAA9F3}"/>
    <cellStyle name="Comma 6 3 2 3 3" xfId="47111" xr:uid="{3396CAC4-07E7-48F6-AD0D-35CDC9FAEAA6}"/>
    <cellStyle name="Comma 6 3 2 3 4" xfId="50101" xr:uid="{64EFDD10-0ADC-4830-94D6-CDC9C56E253A}"/>
    <cellStyle name="Comma 6 3 2 3 5" xfId="53304" xr:uid="{8AB3D9D7-3D36-406B-81A9-96AE0CE4D60E}"/>
    <cellStyle name="Comma 6 3 2 3 6" xfId="20334" xr:uid="{E4EEE6AA-985C-4C8E-BA4D-765AEDA7723C}"/>
    <cellStyle name="Comma 6 3 2 3 7" xfId="15062" xr:uid="{81BB1A64-D508-4750-8E01-50AFC0154C2E}"/>
    <cellStyle name="Comma 6 3 2 4" xfId="9818" xr:uid="{E065DE61-F027-4644-8A08-1A4462425DE6}"/>
    <cellStyle name="Comma 6 3 2 4 2" xfId="13124" xr:uid="{4B97633D-6B48-47B0-A649-27932E6ABA2B}"/>
    <cellStyle name="Comma 6 3 2 4 2 2" xfId="51808" xr:uid="{08ABF603-7424-4C36-B9AD-2D0788CC5479}"/>
    <cellStyle name="Comma 6 3 2 4 2 3" xfId="53305" xr:uid="{0AB0BD1C-E0A6-46BB-9C9B-73BCB571A9AB}"/>
    <cellStyle name="Comma 6 3 2 4 2 4" xfId="49128" xr:uid="{E4EA992A-70DF-42B5-BAF1-7C89F3F39287}"/>
    <cellStyle name="Comma 6 3 2 4 3" xfId="47545" xr:uid="{4FF44383-F0D8-4E82-B8B5-16CABA3C56B1}"/>
    <cellStyle name="Comma 6 3 2 4 4" xfId="50480" xr:uid="{D108D5FC-52AC-4D38-BDDA-A47BE87942F8}"/>
    <cellStyle name="Comma 6 3 2 4 5" xfId="53306" xr:uid="{591BA916-461F-4E4D-9104-1201F6A002AD}"/>
    <cellStyle name="Comma 6 3 2 4 6" xfId="23989" xr:uid="{F0380B8C-F9DF-4E4F-902D-51E470BE6D96}"/>
    <cellStyle name="Comma 6 3 2 5" xfId="7316" xr:uid="{719CC363-56F8-471F-8027-3E4093AB746B}"/>
    <cellStyle name="Comma 6 3 2 5 2" xfId="47837" xr:uid="{6D4937A1-ADE0-46C6-A939-B5AF60785BB5}"/>
    <cellStyle name="Comma 6 3 2 5 3" xfId="50725" xr:uid="{2990FA11-FD35-44D8-B997-47BFE51A70FE}"/>
    <cellStyle name="Comma 6 3 2 5 4" xfId="53307" xr:uid="{93806F51-E0E5-47F1-A9A7-3AB054B3F468}"/>
    <cellStyle name="Comma 6 3 2 5 5" xfId="38486" xr:uid="{1B94C990-F7CD-4DCE-8C36-FEB8144880B0}"/>
    <cellStyle name="Comma 6 3 2 6" xfId="11839" xr:uid="{98B1E707-5BD7-4AB8-AA3F-F83569AC5F40}"/>
    <cellStyle name="Comma 6 3 2 6 2" xfId="39090" xr:uid="{0117A866-3795-4E42-8A35-6D72F8937F47}"/>
    <cellStyle name="Comma 6 3 2 7" xfId="40309" xr:uid="{1ACF5BCB-F884-4CF4-B77A-69A68A41F807}"/>
    <cellStyle name="Comma 6 3 2 8" xfId="40951" xr:uid="{619CAA25-8168-4A03-A2CB-3971966AE947}"/>
    <cellStyle name="Comma 6 3 2 9" xfId="42163" xr:uid="{5A71A7F1-E52F-4623-8105-3055466B6FDF}"/>
    <cellStyle name="Comma 6 3 3" xfId="5542" xr:uid="{C674DE9B-2D42-4AC2-8676-05BFFC04CC9E}"/>
    <cellStyle name="Comma 6 3 3 10" xfId="20760" xr:uid="{4667CB65-648B-4C9C-9E28-E6D635E6E9A1}"/>
    <cellStyle name="Comma 6 3 3 11" xfId="14079" xr:uid="{338D10AF-D700-4677-9FA7-AB9D0CD80213}"/>
    <cellStyle name="Comma 6 3 3 2" xfId="7644" xr:uid="{92D81212-1932-4EF7-9172-17E2FCB54EC9}"/>
    <cellStyle name="Comma 6 3 3 2 2" xfId="10136" xr:uid="{0B8EE958-74F5-4E73-A741-670678A477CB}"/>
    <cellStyle name="Comma 6 3 3 2 2 2" xfId="13442" xr:uid="{05710A95-FA3E-46D1-9286-F79C84EB9894}"/>
    <cellStyle name="Comma 6 3 3 2 2 2 2" xfId="51668" xr:uid="{D2EA7509-70F8-45E2-8AAE-6CC18BD5E7DD}"/>
    <cellStyle name="Comma 6 3 3 2 2 3" xfId="53308" xr:uid="{289CF883-6DEF-4C12-82B5-FB2C08E434E9}"/>
    <cellStyle name="Comma 6 3 3 2 2 4" xfId="48956" xr:uid="{3F802B34-28CB-44BA-9BED-6E141244CD4B}"/>
    <cellStyle name="Comma 6 3 3 2 3" xfId="12157" xr:uid="{AEB259A7-E085-4F6A-A88A-034A20C18E12}"/>
    <cellStyle name="Comma 6 3 3 2 3 2" xfId="47380" xr:uid="{8E756B7A-321B-4098-A24A-F7BF0CB13833}"/>
    <cellStyle name="Comma 6 3 3 2 4" xfId="50340" xr:uid="{40EFE221-CBC1-4D18-A2F6-610360041283}"/>
    <cellStyle name="Comma 6 3 3 2 5" xfId="53309" xr:uid="{54C132D9-28A9-4AA2-927B-435F749E6F42}"/>
    <cellStyle name="Comma 6 3 3 2 6" xfId="39386" xr:uid="{50CB80F1-6D48-4FCF-99C7-A1F4082F447E}"/>
    <cellStyle name="Comma 6 3 3 2 7" xfId="14571" xr:uid="{721AD6B4-5A2A-4670-8A6E-2D904F11ABCA}"/>
    <cellStyle name="Comma 6 3 3 3" xfId="9642" xr:uid="{1E328463-4C62-4E92-93A0-59F9CA5F7E23}"/>
    <cellStyle name="Comma 6 3 3 3 2" xfId="12948" xr:uid="{D67D1ED9-54C0-48D9-8A87-316960C0D8B5}"/>
    <cellStyle name="Comma 6 3 3 3 2 2" xfId="48101" xr:uid="{3E8862B0-335E-44C5-8A3B-EC9A6FABCE0A}"/>
    <cellStyle name="Comma 6 3 3 3 3" xfId="50950" xr:uid="{3BF22740-3E38-4BF2-A1A3-93F3A28DE97D}"/>
    <cellStyle name="Comma 6 3 3 3 4" xfId="53310" xr:uid="{8860035E-1C44-4C29-8B28-5C1B99AA7F02}"/>
    <cellStyle name="Comma 6 3 3 3 5" xfId="41244" xr:uid="{15EB2AB3-6239-41CE-AB16-5B4D99D670DB}"/>
    <cellStyle name="Comma 6 3 3 4" xfId="7138" xr:uid="{36C127F7-5409-4671-A656-D007C9897CCF}"/>
    <cellStyle name="Comma 6 3 3 4 2" xfId="43063" xr:uid="{88E9AADA-CBB3-42DF-8956-1E1A077219F6}"/>
    <cellStyle name="Comma 6 3 3 5" xfId="11663" xr:uid="{F6FF25C4-C45A-43D6-A015-DF405F067E68}"/>
    <cellStyle name="Comma 6 3 3 5 2" xfId="43831" xr:uid="{86666B09-F6CD-4CAA-81CA-66B438BE6BD4}"/>
    <cellStyle name="Comma 6 3 3 6" xfId="45164" xr:uid="{45F22F44-41C3-448B-B725-A16375ACFAD2}"/>
    <cellStyle name="Comma 6 3 3 7" xfId="46589" xr:uid="{2B454155-4875-4C3B-84A6-6FF5DA389852}"/>
    <cellStyle name="Comma 6 3 3 8" xfId="49622" xr:uid="{631B4EC2-CB06-4063-996A-D11A5E651BA2}"/>
    <cellStyle name="Comma 6 3 3 9" xfId="53311" xr:uid="{DFC6B3D2-678D-4A83-9E3C-380543D4D04F}"/>
    <cellStyle name="Comma 6 3 4" xfId="6532" xr:uid="{F0CF2AD2-8C4E-4CFE-8A71-413DA89C8D8D}"/>
    <cellStyle name="Comma 6 3 4 2" xfId="9504" xr:uid="{1C5EF614-A332-417D-8B50-30D0C7B31B1F}"/>
    <cellStyle name="Comma 6 3 4 2 2" xfId="12810" xr:uid="{F69918E6-72E5-4978-8D44-8FFB8CBE2471}"/>
    <cellStyle name="Comma 6 3 4 2 2 2" xfId="50835" xr:uid="{CBD8393C-1D50-45C1-80AB-D4A6C8FCAAE1}"/>
    <cellStyle name="Comma 6 3 4 2 3" xfId="53312" xr:uid="{A478F7FC-16C4-4C55-A781-7B09C0F31584}"/>
    <cellStyle name="Comma 6 3 4 2 4" xfId="47966" xr:uid="{16C5022C-DFE6-4A08-93EA-D590DDE5A66D}"/>
    <cellStyle name="Comma 6 3 4 3" xfId="11525" xr:uid="{089E4E93-E703-4740-9E85-3EF9A5507823}"/>
    <cellStyle name="Comma 6 3 4 3 2" xfId="46171" xr:uid="{A5E3C5C3-2DFD-4333-A0FB-6766F0E8A617}"/>
    <cellStyle name="Comma 6 3 4 4" xfId="49507" xr:uid="{818DA8D2-C881-4569-BC0B-372DF18E0BC0}"/>
    <cellStyle name="Comma 6 3 4 5" xfId="53313" xr:uid="{F2D673B4-2A52-4C79-AD3E-A74C03CF2CA7}"/>
    <cellStyle name="Comma 6 3 4 6" xfId="20039" xr:uid="{FD396FAA-14AA-49B9-9B77-14BDB1A5D5E0}"/>
    <cellStyle name="Comma 6 3 4 7" xfId="14433" xr:uid="{5DCA01F0-2D56-42AA-B90F-A4CDBAB87F3A}"/>
    <cellStyle name="Comma 6 3 5" xfId="7506" xr:uid="{810911C2-4EFF-4E41-B1DD-0FC69060E699}"/>
    <cellStyle name="Comma 6 3 5 2" xfId="9998" xr:uid="{674A1C92-B128-4E45-8FB4-7F0457CA84CF}"/>
    <cellStyle name="Comma 6 3 5 2 2" xfId="13304" xr:uid="{301954AB-4D72-424A-BA53-048D6940DB1E}"/>
    <cellStyle name="Comma 6 3 5 2 2 2" xfId="51297" xr:uid="{847892DF-81AE-49A8-B23F-E43C00026F97}"/>
    <cellStyle name="Comma 6 3 5 2 3" xfId="53314" xr:uid="{AC0BBF46-368A-423B-9BFD-93BED7E4B4E0}"/>
    <cellStyle name="Comma 6 3 5 2 4" xfId="48511" xr:uid="{C086F804-D214-4027-B9C1-5DC394F0F4BF}"/>
    <cellStyle name="Comma 6 3 5 3" xfId="12019" xr:uid="{02A2B345-BF2B-4EDE-9B66-1284A3605F9B}"/>
    <cellStyle name="Comma 6 3 5 3 2" xfId="46950" xr:uid="{857B5388-C0CE-4F07-A174-83DB1040B676}"/>
    <cellStyle name="Comma 6 3 5 4" xfId="49969" xr:uid="{B8EEE999-0320-453A-98D3-01EFCB8EC252}"/>
    <cellStyle name="Comma 6 3 5 5" xfId="53315" xr:uid="{68308A2F-8C39-4459-AA9D-026DDFF4ACD6}"/>
    <cellStyle name="Comma 6 3 5 6" xfId="23988" xr:uid="{DFDD4FE7-BA5F-4F90-AF5C-56C9D436563A}"/>
    <cellStyle name="Comma 6 3 5 7" xfId="14886" xr:uid="{3007DBCC-C7A5-41F4-8C62-954A29ADC752}"/>
    <cellStyle name="Comma 6 3 6" xfId="8172" xr:uid="{EEF2B493-6AFF-4618-8349-C3E0FD1EE237}"/>
    <cellStyle name="Comma 6 3 6 2" xfId="12628" xr:uid="{1E53724A-9F26-4EBF-8657-35C131D9D205}"/>
    <cellStyle name="Comma 6 3 6 2 2" xfId="51553" xr:uid="{EC5BC3EF-9FC5-44AE-8B91-A94230A777EA}"/>
    <cellStyle name="Comma 6 3 6 2 3" xfId="53316" xr:uid="{C5092D04-6551-4548-86A3-29F20DA906E5}"/>
    <cellStyle name="Comma 6 3 6 2 4" xfId="48818" xr:uid="{5B14332C-B350-49EA-AF1D-DA1BDA6EB2F0}"/>
    <cellStyle name="Comma 6 3 6 3" xfId="47247" xr:uid="{445F80BA-CCFC-4FB3-AD15-8B6EDCAC53A4}"/>
    <cellStyle name="Comma 6 3 6 4" xfId="50225" xr:uid="{3BCD6E90-32A3-480E-8406-A187209C9606}"/>
    <cellStyle name="Comma 6 3 6 5" xfId="53317" xr:uid="{7A8667AC-483F-4AEF-A2AD-C811E7A84300}"/>
    <cellStyle name="Comma 6 3 6 6" xfId="38485" xr:uid="{BAA19825-EE51-4FFC-B4AC-1CF6CAED94C2}"/>
    <cellStyle name="Comma 6 3 7" xfId="7959" xr:uid="{C99BB3DE-9C78-4F9F-ACB1-646253FA523E}"/>
    <cellStyle name="Comma 6 3 7 2" xfId="12472" xr:uid="{DAD5B368-2582-43AB-A8E6-307FAEFB821F}"/>
    <cellStyle name="Comma 6 3 7 2 2" xfId="47698" xr:uid="{2FD7DFD2-80FE-4355-AD89-8B6F240D8631}"/>
    <cellStyle name="Comma 6 3 7 3" xfId="50606" xr:uid="{129918D6-934B-44E4-8854-07DDB7F88CD4}"/>
    <cellStyle name="Comma 6 3 7 4" xfId="53318" xr:uid="{B9AFE06C-7D4F-472A-8E0F-C4C9DFC7A294}"/>
    <cellStyle name="Comma 6 3 7 5" xfId="38795" xr:uid="{06A71102-FD86-476D-AE78-C05616BD61A7}"/>
    <cellStyle name="Comma 6 3 8" xfId="5856" xr:uid="{66712957-B195-4C2D-899E-FF578A4A0A3F}"/>
    <cellStyle name="Comma 6 3 8 2" xfId="40308" xr:uid="{08ED8CDD-19FC-43A5-A5AC-5AA851F1E483}"/>
    <cellStyle name="Comma 6 3 9" xfId="11344" xr:uid="{21210F61-22B4-438D-80AC-2F3170C839B9}"/>
    <cellStyle name="Comma 6 3 9 2" xfId="40950" xr:uid="{39469B16-3742-4178-A034-C8C15109FCCB}"/>
    <cellStyle name="Comma 6 4" xfId="4459" xr:uid="{76B76AA8-4D52-48D7-99A3-50E5029E7F7D}"/>
    <cellStyle name="Comma 6 4 10" xfId="42164" xr:uid="{D513FC5E-10B1-4CC5-A173-E8AEF60234D0}"/>
    <cellStyle name="Comma 6 4 11" xfId="42414" xr:uid="{24691F97-BE60-4B24-9E27-9D77D76F8DA2}"/>
    <cellStyle name="Comma 6 4 12" xfId="44260" xr:uid="{2C9EC508-E8C6-4C15-B96C-9616822184EB}"/>
    <cellStyle name="Comma 6 4 13" xfId="44560" xr:uid="{F7FD8959-06C2-4BED-B164-2D492379888C}"/>
    <cellStyle name="Comma 6 4 14" xfId="45723" xr:uid="{CCEE5E54-199C-45CE-9DFA-08D51EB5171F}"/>
    <cellStyle name="Comma 6 4 15" xfId="49351" xr:uid="{C85C2402-5616-4EE9-A595-CB78B3A8472B}"/>
    <cellStyle name="Comma 6 4 16" xfId="53319" xr:uid="{6E3AE593-F13D-4738-8B87-7053420D894D}"/>
    <cellStyle name="Comma 6 4 17" xfId="16389" xr:uid="{EFC5EAA5-0AA5-4FFD-8077-B764C4480A0E}"/>
    <cellStyle name="Comma 6 4 18" xfId="14253" xr:uid="{9BAA5022-059F-4BE7-9855-86A7967FCFD5}"/>
    <cellStyle name="Comma 6 4 2" xfId="5716" xr:uid="{80E25392-9037-4D5F-855A-56089B33F90A}"/>
    <cellStyle name="Comma 6 4 2 10" xfId="42768" xr:uid="{61619C64-8D14-4B81-8CA0-851145CDEFA9}"/>
    <cellStyle name="Comma 6 4 2 11" xfId="44925" xr:uid="{1D19D068-6A42-4282-B184-34A39D37A8E9}"/>
    <cellStyle name="Comma 6 4 2 12" xfId="46728" xr:uid="{A860C8FB-64B2-4800-8E15-488A06E1558D}"/>
    <cellStyle name="Comma 6 4 2 13" xfId="49760" xr:uid="{82FDB1E2-7607-4201-A9AE-0392DE5C50F7}"/>
    <cellStyle name="Comma 6 4 2 14" xfId="53320" xr:uid="{2DCEA3B1-1F56-40AF-8CD9-D2106DD91F13}"/>
    <cellStyle name="Comma 6 4 2 15" xfId="17121" xr:uid="{66C6BFAB-5387-4BEF-90B2-6BBAC3B5E7A0}"/>
    <cellStyle name="Comma 6 4 2 16" xfId="14745" xr:uid="{885111F4-E663-44C6-ADF8-97EFC6AA178E}"/>
    <cellStyle name="Comma 6 4 2 2" xfId="10310" xr:uid="{E99BD35F-E855-4914-9864-3DCACEF179A9}"/>
    <cellStyle name="Comma 6 4 2 2 2" xfId="13616" xr:uid="{AB4A8111-E2B0-41DA-9C2F-550359468182}"/>
    <cellStyle name="Comma 6 4 2 2 2 2" xfId="39682" xr:uid="{35FA4B5F-2C74-4E7A-8FE2-684B94A340E4}"/>
    <cellStyle name="Comma 6 4 2 2 3" xfId="41535" xr:uid="{1EC20E58-E254-407E-86F1-A06A7D27BE35}"/>
    <cellStyle name="Comma 6 4 2 2 4" xfId="43359" xr:uid="{95C544C4-B6C1-4B7E-91F6-F25957ACE6F2}"/>
    <cellStyle name="Comma 6 4 2 2 5" xfId="45456" xr:uid="{3C9E60FB-9C32-4A9F-89DE-4A0E0FCECECA}"/>
    <cellStyle name="Comma 6 4 2 2 6" xfId="48270" xr:uid="{0DED9304-AD2D-41AF-934F-5ED1A5885539}"/>
    <cellStyle name="Comma 6 4 2 2 7" xfId="51088" xr:uid="{BE94A279-2A6F-41EB-9328-A67099300812}"/>
    <cellStyle name="Comma 6 4 2 2 8" xfId="53321" xr:uid="{C7947AAB-403E-4F58-90BC-57886A55F9A4}"/>
    <cellStyle name="Comma 6 4 2 2 9" xfId="21116" xr:uid="{CE1FD2F9-8956-4F22-A1F7-96981B89379D}"/>
    <cellStyle name="Comma 6 4 2 3" xfId="7818" xr:uid="{E8B28A95-4BC6-4407-8FD1-4F5FAC3CA17A}"/>
    <cellStyle name="Comma 6 4 2 3 2" xfId="20335" xr:uid="{8B0E0CF7-09D6-404E-8B5C-0E257D836ACA}"/>
    <cellStyle name="Comma 6 4 2 4" xfId="12331" xr:uid="{647F1A70-A6C1-455B-A445-3E81F3395DBE}"/>
    <cellStyle name="Comma 6 4 2 4 2" xfId="23991" xr:uid="{E7859922-4956-4832-9343-DCA1A4456BFC}"/>
    <cellStyle name="Comma 6 4 2 5" xfId="38488" xr:uid="{2083CEA9-DC9F-40FA-889E-6FBBA9488947}"/>
    <cellStyle name="Comma 6 4 2 6" xfId="39091" xr:uid="{419EB80F-9C54-4519-B859-88935E77A76F}"/>
    <cellStyle name="Comma 6 4 2 7" xfId="40311" xr:uid="{5D467733-CD7E-4E43-9642-7D9E01C77ED8}"/>
    <cellStyle name="Comma 6 4 2 8" xfId="40953" xr:uid="{B51F88D5-E553-4864-9A1E-8AA1AB4C18DC}"/>
    <cellStyle name="Comma 6 4 2 9" xfId="42165" xr:uid="{DBA1FDA2-45FC-4278-9513-643F8CEC4632}"/>
    <cellStyle name="Comma 6 4 3" xfId="11154" xr:uid="{41DB7A95-0E49-4F2E-B8C8-D77858ECE017}"/>
    <cellStyle name="Comma 6 4 3 10" xfId="15060" xr:uid="{E8B87630-1564-4847-A8FA-E39166F05A4D}"/>
    <cellStyle name="Comma 6 4 3 2" xfId="13750" xr:uid="{432BFBB8-85EF-4F9F-8124-6B0B26DA6A94}"/>
    <cellStyle name="Comma 6 4 3 2 2" xfId="48509" xr:uid="{723F8585-5017-49DC-8B00-89300C7CD613}"/>
    <cellStyle name="Comma 6 4 3 2 3" xfId="51295" xr:uid="{B35D6FB8-B28D-43FC-A7E6-3A57C7EA4D57}"/>
    <cellStyle name="Comma 6 4 3 2 4" xfId="53322" xr:uid="{AB765679-C979-46E3-9455-4A8C884F3013}"/>
    <cellStyle name="Comma 6 4 3 2 5" xfId="39328" xr:uid="{34F7499A-0C2A-478E-AC7F-F23C4CB4B2BA}"/>
    <cellStyle name="Comma 6 4 3 3" xfId="41190" xr:uid="{5D928965-000B-4997-9B1E-2FDFD33D5311}"/>
    <cellStyle name="Comma 6 4 3 4" xfId="43005" xr:uid="{AB66D0B7-8BC6-46BE-B0AB-AD682940DE59}"/>
    <cellStyle name="Comma 6 4 3 5" xfId="45110" xr:uid="{4AD308DF-3BBF-4A7D-8660-5BF3E8BC1471}"/>
    <cellStyle name="Comma 6 4 3 6" xfId="46948" xr:uid="{DEA87242-FE42-48D7-A3A5-68840C1408BE}"/>
    <cellStyle name="Comma 6 4 3 7" xfId="49967" xr:uid="{B4AB5E9D-CC01-4F53-9386-573998D6F876}"/>
    <cellStyle name="Comma 6 4 3 8" xfId="53323" xr:uid="{8CF41FB6-A5EC-4B89-984A-4AAD3A2F9A0D}"/>
    <cellStyle name="Comma 6 4 3 9" xfId="20634" xr:uid="{100F050B-49E5-435F-82D7-F948D700F0D7}"/>
    <cellStyle name="Comma 6 4 4" xfId="9816" xr:uid="{D171B631-2299-4169-A0F9-9BAA04823E78}"/>
    <cellStyle name="Comma 6 4 4 2" xfId="13122" xr:uid="{BEC66D23-6AFE-4F90-B990-6B1B61993FA2}"/>
    <cellStyle name="Comma 6 4 4 2 2" xfId="51806" xr:uid="{B2E2AA74-AAE7-4DA6-B946-D56351B83C4C}"/>
    <cellStyle name="Comma 6 4 4 2 3" xfId="53324" xr:uid="{96C7AA28-20C1-4C20-ADE2-B817107F5826}"/>
    <cellStyle name="Comma 6 4 4 2 4" xfId="49126" xr:uid="{CFF51532-5414-4D14-8714-CFF3108FA3DE}"/>
    <cellStyle name="Comma 6 4 4 3" xfId="47543" xr:uid="{D17CA1A5-E8DC-44E7-A6BE-CDE8C4FED8AB}"/>
    <cellStyle name="Comma 6 4 4 4" xfId="50478" xr:uid="{D28E14FB-6A58-47DF-A8A8-69DA038B02E7}"/>
    <cellStyle name="Comma 6 4 4 5" xfId="53325" xr:uid="{845AE96E-3583-404F-B81D-56E29E620F05}"/>
    <cellStyle name="Comma 6 4 4 6" xfId="19981" xr:uid="{64572CD5-0BEB-43CB-81B5-18F8EF967D78}"/>
    <cellStyle name="Comma 6 4 5" xfId="7314" xr:uid="{4F33F627-95CB-4E9B-A25B-2A23844BB75A}"/>
    <cellStyle name="Comma 6 4 5 2" xfId="47780" xr:uid="{88611988-4212-4924-AD4F-9BF2DF1A206B}"/>
    <cellStyle name="Comma 6 4 5 3" xfId="50679" xr:uid="{1C4B8FF4-40A4-4E7C-ABB6-6E0D7D773674}"/>
    <cellStyle name="Comma 6 4 5 4" xfId="53326" xr:uid="{E648E82A-645D-4A4A-ABB1-698F201F346F}"/>
    <cellStyle name="Comma 6 4 5 5" xfId="23990" xr:uid="{7F636BE2-F68F-4E54-8F2D-7CC2390AB334}"/>
    <cellStyle name="Comma 6 4 6" xfId="11837" xr:uid="{FD9087D1-5DF4-473D-BEF4-AF3AB6EF3000}"/>
    <cellStyle name="Comma 6 4 6 2" xfId="38487" xr:uid="{01FD98A3-759A-41CB-B8E6-98FBBF4CAF20}"/>
    <cellStyle name="Comma 6 4 7" xfId="38737" xr:uid="{44CF6DA9-4F43-4D30-8066-6FC97BC70C24}"/>
    <cellStyle name="Comma 6 4 8" xfId="40310" xr:uid="{4C8C8877-73E3-4602-B348-D855DF5EDF3D}"/>
    <cellStyle name="Comma 6 4 9" xfId="40952" xr:uid="{35ED8D17-3478-474E-9926-BBE0017AE3B9}"/>
    <cellStyle name="Comma 6 5" xfId="5540" xr:uid="{941BE9CF-0431-4113-ABFD-6E824CF6814E}"/>
    <cellStyle name="Comma 6 5 10" xfId="42769" xr:uid="{CD435A01-16B7-4991-B0A9-5C1767315DF1}"/>
    <cellStyle name="Comma 6 5 11" xfId="43829" xr:uid="{715C3534-8AD4-4865-9EE9-A234C8675F59}"/>
    <cellStyle name="Comma 6 5 12" xfId="44926" xr:uid="{242E9B45-0E93-45AB-BE0D-41401F7BC263}"/>
    <cellStyle name="Comma 6 5 13" xfId="46587" xr:uid="{94C83D94-C3E6-4E11-92E5-00B73909D112}"/>
    <cellStyle name="Comma 6 5 14" xfId="49620" xr:uid="{84B17B63-3840-44CE-B7C9-A1FECF53B664}"/>
    <cellStyle name="Comma 6 5 15" xfId="53327" xr:uid="{F2CDD7DD-D435-4514-AD34-F09D0BFBEE88}"/>
    <cellStyle name="Comma 6 5 16" xfId="17122" xr:uid="{5051087B-5608-4964-84ED-BE791ED51E0B}"/>
    <cellStyle name="Comma 6 5 17" xfId="14077" xr:uid="{C02932B7-A1B8-4DC3-A813-A0636A5DE127}"/>
    <cellStyle name="Comma 6 5 2" xfId="7642" xr:uid="{4468DCDE-D45B-4257-BE6F-1078266D07E6}"/>
    <cellStyle name="Comma 6 5 2 10" xfId="14569" xr:uid="{939DE6C4-AA6C-41B6-B3DA-8F312678E39A}"/>
    <cellStyle name="Comma 6 5 2 2" xfId="10134" xr:uid="{F8592469-9911-4C37-B93B-3C2DDAF46225}"/>
    <cellStyle name="Comma 6 5 2 2 2" xfId="13440" xr:uid="{7380FF92-D26C-44D1-870E-7A6FDF2D4ECF}"/>
    <cellStyle name="Comma 6 5 2 2 2 2" xfId="48635" xr:uid="{AD3E9095-3CE2-45DF-8D33-DAD5B9A5AEF8}"/>
    <cellStyle name="Comma 6 5 2 2 3" xfId="51398" xr:uid="{0DE50C36-D356-4EAA-A8B3-9E441E6F378E}"/>
    <cellStyle name="Comma 6 5 2 2 4" xfId="53328" xr:uid="{B8873E4A-8F7F-4484-B60C-CFA1B2B77B6A}"/>
    <cellStyle name="Comma 6 5 2 2 5" xfId="39683" xr:uid="{66FF6205-F0FA-4630-9E72-71C911855405}"/>
    <cellStyle name="Comma 6 5 2 3" xfId="12155" xr:uid="{C6FD54FE-9CBF-419D-BE89-F6D0128B366C}"/>
    <cellStyle name="Comma 6 5 2 3 2" xfId="41536" xr:uid="{DD3413E1-1A33-4D8A-A640-6CDEE4A03C04}"/>
    <cellStyle name="Comma 6 5 2 4" xfId="43360" xr:uid="{34DDFFC5-37BF-4829-B699-8828FC5E4B70}"/>
    <cellStyle name="Comma 6 5 2 5" xfId="45457" xr:uid="{1B924D62-1738-40B1-A810-4F59C6BD869D}"/>
    <cellStyle name="Comma 6 5 2 6" xfId="47069" xr:uid="{B2FAB01C-7848-4DE1-B952-69C782B548FD}"/>
    <cellStyle name="Comma 6 5 2 7" xfId="50070" xr:uid="{CBBEB73D-2639-499D-83BE-C7EE6FC5B142}"/>
    <cellStyle name="Comma 6 5 2 8" xfId="53329" xr:uid="{A3784653-5966-41A8-BED2-810F445B5DB6}"/>
    <cellStyle name="Comma 6 5 2 9" xfId="21117" xr:uid="{500F9A53-764B-4795-A60F-3FF9EC3FBC58}"/>
    <cellStyle name="Comma 6 5 3" xfId="9640" xr:uid="{30DB8286-F1DE-417C-BCE2-3C9C67A1EBB1}"/>
    <cellStyle name="Comma 6 5 3 2" xfId="12946" xr:uid="{E0643DE1-86D2-498F-88A0-5D96850B3943}"/>
    <cellStyle name="Comma 6 5 3 2 2" xfId="51666" xr:uid="{5D5B2A00-96EE-4438-BD33-1E5ECA857330}"/>
    <cellStyle name="Comma 6 5 3 2 3" xfId="53330" xr:uid="{85910FEF-797B-4AFC-97C9-E5882E65FF85}"/>
    <cellStyle name="Comma 6 5 3 2 4" xfId="48954" xr:uid="{29EB467C-40B9-4938-8A7E-D30B0492ABD7}"/>
    <cellStyle name="Comma 6 5 3 3" xfId="47378" xr:uid="{393DB13B-BA0E-4958-89A2-A26701FEEE6E}"/>
    <cellStyle name="Comma 6 5 3 4" xfId="50338" xr:uid="{F5F162C7-866F-4191-8075-C31DEC92FC5E}"/>
    <cellStyle name="Comma 6 5 3 5" xfId="53331" xr:uid="{CB1DC655-522E-443E-AD5A-FA55C86BA36E}"/>
    <cellStyle name="Comma 6 5 3 6" xfId="20336" xr:uid="{56D88F5F-D89E-4C9D-8C3C-1F8497FB5033}"/>
    <cellStyle name="Comma 6 5 4" xfId="7136" xr:uid="{7A554724-6AB7-48B2-BE59-B9DD3926454E}"/>
    <cellStyle name="Comma 6 5 4 2" xfId="48099" xr:uid="{EC29F140-7F5D-43F5-897F-81295AC3123C}"/>
    <cellStyle name="Comma 6 5 4 3" xfId="50948" xr:uid="{1B4472C9-3D2D-41B5-8CB5-F294B4F50785}"/>
    <cellStyle name="Comma 6 5 4 4" xfId="53332" xr:uid="{25F3DBA2-50D1-4030-B936-BA2736053DD5}"/>
    <cellStyle name="Comma 6 5 4 5" xfId="23992" xr:uid="{F0CF0548-E54E-48FE-A972-F14F2589FC07}"/>
    <cellStyle name="Comma 6 5 5" xfId="11661" xr:uid="{7AB5855A-E0E1-4B18-8B89-0D18C839F8F2}"/>
    <cellStyle name="Comma 6 5 5 2" xfId="38489" xr:uid="{BCC835F1-034A-447C-87E2-CACB4928AE17}"/>
    <cellStyle name="Comma 6 5 6" xfId="39092" xr:uid="{8FD27AF9-99C4-4F4E-A737-97C6A88E4A84}"/>
    <cellStyle name="Comma 6 5 7" xfId="40312" xr:uid="{B156D556-74F3-4BC3-992A-325BB81D789A}"/>
    <cellStyle name="Comma 6 5 8" xfId="40954" xr:uid="{BB1B8499-555E-430D-8020-A5C3EB545A5B}"/>
    <cellStyle name="Comma 6 5 9" xfId="42166" xr:uid="{4BB23EB4-FE7D-4B67-8D77-774A7344BCC6}"/>
    <cellStyle name="Comma 6 6" xfId="6530" xr:uid="{A12F56D4-49EF-4D72-918E-3B3CF80A970D}"/>
    <cellStyle name="Comma 6 6 10" xfId="42764" xr:uid="{FE85DFDD-1369-4AE5-B651-8D1A9828AB45}"/>
    <cellStyle name="Comma 6 6 11" xfId="44923" xr:uid="{016121FD-76B8-4ED2-BB14-056895A2D058}"/>
    <cellStyle name="Comma 6 6 12" xfId="46169" xr:uid="{9267F529-782B-42A2-8913-EF3A27F46127}"/>
    <cellStyle name="Comma 6 6 13" xfId="49505" xr:uid="{F9988B65-1B61-4F3A-888B-7C0AB3F8E063}"/>
    <cellStyle name="Comma 6 6 14" xfId="53333" xr:uid="{C438A87F-04EE-412C-900A-52E59704FBBE}"/>
    <cellStyle name="Comma 6 6 15" xfId="17117" xr:uid="{E7678261-88BE-4518-A5C7-95905518481F}"/>
    <cellStyle name="Comma 6 6 16" xfId="14431" xr:uid="{17BF20E2-FE96-4F39-9A4A-43A79F9B50B7}"/>
    <cellStyle name="Comma 6 6 2" xfId="9502" xr:uid="{A63B9AE5-47E2-4303-AC40-EA26955FE623}"/>
    <cellStyle name="Comma 6 6 2 2" xfId="12808" xr:uid="{1A3E6B4D-927D-4105-A2A8-CBFEFD3CBF5D}"/>
    <cellStyle name="Comma 6 6 2 2 2" xfId="39678" xr:uid="{4D80B7C9-FC46-4AA2-ADF8-D3721650FCCC}"/>
    <cellStyle name="Comma 6 6 2 3" xfId="41531" xr:uid="{855D6EE2-B937-4DBA-BF08-91C4BE509833}"/>
    <cellStyle name="Comma 6 6 2 4" xfId="43355" xr:uid="{DDFFA29F-8CE4-46C8-8D17-FD02A096F843}"/>
    <cellStyle name="Comma 6 6 2 5" xfId="45452" xr:uid="{73F8C0EA-908D-41D9-957C-AE250B3671B4}"/>
    <cellStyle name="Comma 6 6 2 6" xfId="47964" xr:uid="{E3E5B5CB-47B4-4014-A509-64DB504D663C}"/>
    <cellStyle name="Comma 6 6 2 7" xfId="50833" xr:uid="{126B0CE2-5C45-47A8-A821-27C4B9E05568}"/>
    <cellStyle name="Comma 6 6 2 8" xfId="53334" xr:uid="{37D8ACF1-C0E3-4587-86B6-FC0B1A8F9D53}"/>
    <cellStyle name="Comma 6 6 2 9" xfId="21112" xr:uid="{613A122C-2AE0-4BDA-B256-73B6D5BF250B}"/>
    <cellStyle name="Comma 6 6 3" xfId="11523" xr:uid="{3006A8EE-843B-4B55-99D2-188EEE82F79F}"/>
    <cellStyle name="Comma 6 6 3 2" xfId="20331" xr:uid="{20705375-3A88-4F63-87DA-F0B0FBCCDFE1}"/>
    <cellStyle name="Comma 6 6 4" xfId="23993" xr:uid="{EA69EDC7-5D0E-4210-A42F-CBC3C8A9E618}"/>
    <cellStyle name="Comma 6 6 5" xfId="38490" xr:uid="{FE176603-74BC-4BBB-B317-B49F32626ADB}"/>
    <cellStyle name="Comma 6 6 6" xfId="39087" xr:uid="{1A0C6E96-71F9-43F8-9281-CAAED779A097}"/>
    <cellStyle name="Comma 6 6 7" xfId="40313" xr:uid="{79DBD8B6-8A42-443B-BDDC-4A54E13AB8EF}"/>
    <cellStyle name="Comma 6 6 8" xfId="40955" xr:uid="{6CB45A16-299C-4C86-B27E-BD3D5E113DF3}"/>
    <cellStyle name="Comma 6 6 9" xfId="42167" xr:uid="{379FD6AD-9501-4490-B4B7-F150CBE434C0}"/>
    <cellStyle name="Comma 6 7" xfId="7504" xr:uid="{CE7734F6-E6AD-4A67-B34E-6951FDE2E289}"/>
    <cellStyle name="Comma 6 7 10" xfId="42846" xr:uid="{D4154B63-1423-40B8-B451-BE58EB835911}"/>
    <cellStyle name="Comma 6 7 11" xfId="44973" xr:uid="{DD99E8F9-3DE9-44CC-BB4F-7E70B8C053C8}"/>
    <cellStyle name="Comma 6 7 12" xfId="46840" xr:uid="{6E6C29D0-EF52-4D10-87D5-189FF4C1F7CB}"/>
    <cellStyle name="Comma 6 7 13" xfId="49864" xr:uid="{291965E1-B779-4918-8B62-EA9352DC0798}"/>
    <cellStyle name="Comma 6 7 14" xfId="53335" xr:uid="{81B4488D-6A82-4F10-B322-0D1DE815BAB5}"/>
    <cellStyle name="Comma 6 7 15" xfId="19752" xr:uid="{A01EF32E-E27B-4237-9323-E60B63B373B2}"/>
    <cellStyle name="Comma 6 7 16" xfId="14884" xr:uid="{AE17A191-269C-4A13-8ECD-34C4B0B12ECA}"/>
    <cellStyle name="Comma 6 7 2" xfId="9996" xr:uid="{13E7D473-0049-4528-8DC7-D0CA98FE18B2}"/>
    <cellStyle name="Comma 6 7 2 2" xfId="13302" xr:uid="{4AC0F6F7-A8D1-4150-B82C-0137E5C1E68C}"/>
    <cellStyle name="Comma 6 7 2 2 2" xfId="39760" xr:uid="{8CB5624F-61F8-4427-9938-CF561E7B36F2}"/>
    <cellStyle name="Comma 6 7 2 3" xfId="41613" xr:uid="{BF7889C1-99ED-4EB4-AC0C-A1CE0F53267D}"/>
    <cellStyle name="Comma 6 7 2 4" xfId="43437" xr:uid="{7581EF58-293F-460C-B95B-076A83F0362A}"/>
    <cellStyle name="Comma 6 7 2 5" xfId="45516" xr:uid="{5D7F15B8-40F5-42D3-B670-7F85F8DC7074}"/>
    <cellStyle name="Comma 6 7 2 6" xfId="48391" xr:uid="{6D9CD5DD-3AEC-4B79-BDFC-DDC399E0139F}"/>
    <cellStyle name="Comma 6 7 2 7" xfId="51192" xr:uid="{EB55F720-C152-4264-927D-F2DE5F6F81CB}"/>
    <cellStyle name="Comma 6 7 2 8" xfId="53336" xr:uid="{BA650254-F7C2-4E2D-B47C-6A8D3B2B5E22}"/>
    <cellStyle name="Comma 6 7 2 9" xfId="23369" xr:uid="{70C68318-34D3-45BF-B75F-A5559AD85F7C}"/>
    <cellStyle name="Comma 6 7 3" xfId="12017" xr:uid="{036AA21D-7078-4EE7-8816-59A0CC51B70B}"/>
    <cellStyle name="Comma 6 7 3 2" xfId="20413" xr:uid="{82B308EE-DA8B-4660-8976-C6431192A725}"/>
    <cellStyle name="Comma 6 7 4" xfId="23994" xr:uid="{16888BD9-42C4-42DD-8599-ED11CA0D91F4}"/>
    <cellStyle name="Comma 6 7 5" xfId="38491" xr:uid="{1F574240-8DFA-48C4-AE13-1F23CE7C871A}"/>
    <cellStyle name="Comma 6 7 6" xfId="39169" xr:uid="{EA5EC19E-B72A-4B04-A073-649C7F5769AF}"/>
    <cellStyle name="Comma 6 7 7" xfId="40314" xr:uid="{2AD6A7DF-865D-4162-94DF-F76CA042487C}"/>
    <cellStyle name="Comma 6 7 8" xfId="40956" xr:uid="{6FECF2B8-AFC5-4277-AF37-54CDA9537F5F}"/>
    <cellStyle name="Comma 6 7 9" xfId="42168" xr:uid="{4F682118-2FEB-4753-9F99-4EFBADCA9B47}"/>
    <cellStyle name="Comma 6 8" xfId="8170" xr:uid="{D5BA8704-D2CC-4FD0-A1EC-8B34872FA5AA}"/>
    <cellStyle name="Comma 6 8 2" xfId="12626" xr:uid="{9CE69FE2-E260-40AD-8E7A-7DDA013C90A1}"/>
    <cellStyle name="Comma 6 8 2 2" xfId="48816" xr:uid="{3EAEC7A6-9D86-4E6D-8A25-A0ADDE990524}"/>
    <cellStyle name="Comma 6 8 2 3" xfId="51551" xr:uid="{BF6B8581-338A-4D65-BC94-0A5ECA085141}"/>
    <cellStyle name="Comma 6 8 2 4" xfId="53337" xr:uid="{9116A1BC-7175-4EE2-9504-5BCA165D592A}"/>
    <cellStyle name="Comma 6 8 2 5" xfId="39235" xr:uid="{D62D83E2-538B-4C3C-A69C-6239B1D59E99}"/>
    <cellStyle name="Comma 6 8 3" xfId="41104" xr:uid="{B95588F1-D92B-49BF-B0D4-8BA81D50C1A8}"/>
    <cellStyle name="Comma 6 8 4" xfId="42912" xr:uid="{B7193D3F-8A7A-4364-A829-D07B2C3219D5}"/>
    <cellStyle name="Comma 6 8 5" xfId="45019" xr:uid="{6C968C3A-15A7-467A-9812-A7ABE0939470}"/>
    <cellStyle name="Comma 6 8 6" xfId="47245" xr:uid="{35C5C889-3BA2-4FD3-A791-CDE4F6AA58D2}"/>
    <cellStyle name="Comma 6 8 7" xfId="50223" xr:uid="{51D909F4-1F14-4A1A-86AF-4B5EE68040CC}"/>
    <cellStyle name="Comma 6 8 8" xfId="53338" xr:uid="{B587F876-AB15-4C7C-90C2-175C868F7093}"/>
    <cellStyle name="Comma 6 8 9" xfId="20480" xr:uid="{055A6CC2-5ACA-4944-833A-9031D1BF4546}"/>
    <cellStyle name="Comma 6 9" xfId="7957" xr:uid="{8BB7BBC8-2F98-4A14-9961-AE5DC393DBC4}"/>
    <cellStyle name="Comma 6 9 2" xfId="12470" xr:uid="{0B2D66DD-0086-495E-B2CB-C21430D5DC1C}"/>
    <cellStyle name="Comma 6 9 2 2" xfId="47633" xr:uid="{28B3B9B1-F9CF-403B-B2D1-14AB96DA70EA}"/>
    <cellStyle name="Comma 6 9 3" xfId="50546" xr:uid="{1CB203E2-3686-4925-93FE-C82F7AABA9AE}"/>
    <cellStyle name="Comma 6 9 4" xfId="53339" xr:uid="{B0284992-CE1A-4632-BE3D-22EB6A7A512A}"/>
    <cellStyle name="Comma 6 9 5" xfId="19886" xr:uid="{EA842D3B-E5FF-4910-AF64-61CCFCD65FDD}"/>
    <cellStyle name="Comma 7" xfId="1786" xr:uid="{B732225E-CB23-4D3D-8596-AE3DFE499ACA}"/>
    <cellStyle name="Comma 7 10" xfId="6533" xr:uid="{911D81AD-6D58-4200-BFCF-AD1E339B6F55}"/>
    <cellStyle name="Comma 7 10 2" xfId="9505" xr:uid="{87D7A63E-5EC2-4D69-A6DE-EBDC2CEAA3A3}"/>
    <cellStyle name="Comma 7 10 2 2" xfId="12811" xr:uid="{17FE2F2B-76BC-4825-9290-CF1021BEC0A3}"/>
    <cellStyle name="Comma 7 10 2 2 2" xfId="50836" xr:uid="{6D6521BF-4BAF-486F-A980-082FCC90349A}"/>
    <cellStyle name="Comma 7 10 2 3" xfId="53340" xr:uid="{69342900-A94F-42EB-B50B-9BC7155C8CFA}"/>
    <cellStyle name="Comma 7 10 2 4" xfId="47967" xr:uid="{D416D009-D8E9-451B-A9A8-6F7A6BA1CA9F}"/>
    <cellStyle name="Comma 7 10 3" xfId="11526" xr:uid="{BC6256F4-3177-4D96-8B39-88AF9DE86794}"/>
    <cellStyle name="Comma 7 10 3 2" xfId="46172" xr:uid="{F2CE9467-5BF4-4D04-BEB9-C6E15D8D2688}"/>
    <cellStyle name="Comma 7 10 4" xfId="49508" xr:uid="{2C5D2A32-63B8-4F01-AF21-D6F21D657F6B}"/>
    <cellStyle name="Comma 7 10 5" xfId="53341" xr:uid="{93ABDF57-36CD-4630-87A8-10CDA4DA0E73}"/>
    <cellStyle name="Comma 7 10 6" xfId="19887" xr:uid="{D94A68E7-BB90-4169-A6AB-2039F20A4FA4}"/>
    <cellStyle name="Comma 7 10 7" xfId="14434" xr:uid="{730FF369-FF3B-4CAD-A85E-9DC882C8B0E1}"/>
    <cellStyle name="Comma 7 11" xfId="7507" xr:uid="{FF49AE68-0584-4BD2-9C70-E151BEB4C2DC}"/>
    <cellStyle name="Comma 7 11 2" xfId="9999" xr:uid="{F078BABB-A402-4D23-9D10-3CC23593D5D4}"/>
    <cellStyle name="Comma 7 11 2 2" xfId="13305" xr:uid="{257005D7-158D-4D26-9561-257FEDBA4875}"/>
    <cellStyle name="Comma 7 11 2 2 2" xfId="51194" xr:uid="{2A592812-069A-4E17-874D-5BD8301B7FEA}"/>
    <cellStyle name="Comma 7 11 2 3" xfId="53342" xr:uid="{D5B5B37B-E673-42EC-A8F7-36EF23A4B9FE}"/>
    <cellStyle name="Comma 7 11 2 4" xfId="48393" xr:uid="{BB377677-7550-40BD-B9F2-45B8701F6983}"/>
    <cellStyle name="Comma 7 11 3" xfId="12020" xr:uid="{F8CE88BE-665B-49AA-A635-C2CCE0827438}"/>
    <cellStyle name="Comma 7 11 3 2" xfId="46842" xr:uid="{61C36116-EEE7-4E40-877A-5CCE71493D03}"/>
    <cellStyle name="Comma 7 11 4" xfId="49866" xr:uid="{D10D2F00-7685-4292-A5CE-F640AEC63B35}"/>
    <cellStyle name="Comma 7 11 5" xfId="53343" xr:uid="{58DFC12F-41E7-4E1F-BC27-1A3F2F652BF6}"/>
    <cellStyle name="Comma 7 11 6" xfId="23995" xr:uid="{9E09C581-B1FC-4578-975F-389998732DF0}"/>
    <cellStyle name="Comma 7 11 7" xfId="14887" xr:uid="{22F226AB-129E-4E99-9D7D-8F654BA39E68}"/>
    <cellStyle name="Comma 7 12" xfId="8173" xr:uid="{F3F232A3-B8E0-48D9-BA21-9CD7B115127A}"/>
    <cellStyle name="Comma 7 12 2" xfId="12629" xr:uid="{FEAFB913-402D-4245-ADF6-75BB0FA0F2F0}"/>
    <cellStyle name="Comma 7 12 2 2" xfId="51554" xr:uid="{F97CE9AF-BFD1-4452-8CD9-087BD5B2CE1B}"/>
    <cellStyle name="Comma 7 12 2 3" xfId="53344" xr:uid="{D6EB1EDF-E045-4286-A3B5-10D1B7A4AF4C}"/>
    <cellStyle name="Comma 7 12 2 4" xfId="48819" xr:uid="{80A5D064-1E77-4D88-AAC1-3418950146C1}"/>
    <cellStyle name="Comma 7 12 3" xfId="47248" xr:uid="{BD33BDB9-A99D-4811-BCD9-D1028FA0FEB4}"/>
    <cellStyle name="Comma 7 12 4" xfId="50226" xr:uid="{FFD12E41-5AF4-4302-A06A-DF08230C0D25}"/>
    <cellStyle name="Comma 7 12 5" xfId="53345" xr:uid="{B80A880B-B62E-43F9-B4A3-2DE08C5FBED8}"/>
    <cellStyle name="Comma 7 12 6" xfId="38492" xr:uid="{1961FC47-FF48-4762-B418-1D594FC46CE3}"/>
    <cellStyle name="Comma 7 13" xfId="7960" xr:uid="{5C6B3231-DEBD-4A4A-8109-48F6ACBE2894}"/>
    <cellStyle name="Comma 7 13 2" xfId="12473" xr:uid="{6B3F164B-7C5E-4A31-B7B9-0AA7678B711A}"/>
    <cellStyle name="Comma 7 13 2 2" xfId="47634" xr:uid="{0113B088-C1F8-4FDC-BC08-ABA1E4FCD403}"/>
    <cellStyle name="Comma 7 13 3" xfId="50547" xr:uid="{84D17B6A-97CB-4772-AE7A-0E8F915B6FB0}"/>
    <cellStyle name="Comma 7 13 4" xfId="53346" xr:uid="{0BDBF49B-9F5C-4712-BB63-3E8D432F35B5}"/>
    <cellStyle name="Comma 7 13 5" xfId="38645" xr:uid="{6ACE768B-FEFE-4A53-9BB7-0DA1A7398934}"/>
    <cellStyle name="Comma 7 14" xfId="5857" xr:uid="{501D856E-9794-457E-882A-53D48379D284}"/>
    <cellStyle name="Comma 7 14 2" xfId="40315" xr:uid="{9AB05194-0501-4348-A599-77232BFD9302}"/>
    <cellStyle name="Comma 7 15" xfId="11345" xr:uid="{F00BB512-9D53-4117-8282-DC4E9F1E03DF}"/>
    <cellStyle name="Comma 7 15 2" xfId="40957" xr:uid="{E83D76C2-B0CF-4BED-ACBF-0240C877AC08}"/>
    <cellStyle name="Comma 7 16" xfId="42169" xr:uid="{C7309206-FCDF-41F1-8AE5-C0E29C9BD17A}"/>
    <cellStyle name="Comma 7 17" xfId="42322" xr:uid="{98DC44BD-DD12-491C-AE8B-5BB05AF9D842}"/>
    <cellStyle name="Comma 7 18" xfId="43559" xr:uid="{4A553FDD-A38C-4702-8B67-60F827BCC81E}"/>
    <cellStyle name="Comma 7 19" xfId="44422" xr:uid="{6ADDB327-C4AE-4C56-BF65-21779B6F9A78}"/>
    <cellStyle name="Comma 7 2" xfId="1787" xr:uid="{8D6EEEDF-E541-4AD0-9574-9B74A55BD67B}"/>
    <cellStyle name="Comma 7 2 10" xfId="7421" xr:uid="{86D1C164-5279-4E62-8CFE-6CBF24F17B54}"/>
    <cellStyle name="Comma 7 2 10 2" xfId="9913" xr:uid="{9D20AE15-F00A-45D7-9C35-667A0C8375B7}"/>
    <cellStyle name="Comma 7 2 10 2 2" xfId="13219" xr:uid="{25920C05-D4D4-4C0C-B7A2-308CAD32E032}"/>
    <cellStyle name="Comma 7 2 10 2 2 2" xfId="51195" xr:uid="{E6B63754-9631-4EE8-A246-2DBE7AC0AC67}"/>
    <cellStyle name="Comma 7 2 10 2 3" xfId="53347" xr:uid="{B385A746-B839-4766-AF3B-DB3074607733}"/>
    <cellStyle name="Comma 7 2 10 2 4" xfId="48394" xr:uid="{000207CB-15B6-464E-B80F-1F0880946F00}"/>
    <cellStyle name="Comma 7 2 10 3" xfId="11934" xr:uid="{AECA239F-CFAB-4EE0-8342-F2F7D5622F0A}"/>
    <cellStyle name="Comma 7 2 10 3 2" xfId="46843" xr:uid="{DEC2F264-73B1-4633-8525-74A08525B262}"/>
    <cellStyle name="Comma 7 2 10 4" xfId="49867" xr:uid="{BA9FCB53-307C-4E40-9A99-32EE070890A4}"/>
    <cellStyle name="Comma 7 2 10 5" xfId="53348" xr:uid="{0FEC96ED-FE59-4A98-93A7-A6DEDA287363}"/>
    <cellStyle name="Comma 7 2 10 6" xfId="38493" xr:uid="{0B912807-54CB-4DA9-938F-884966D23455}"/>
    <cellStyle name="Comma 7 2 10 7" xfId="14888" xr:uid="{32A8CC60-376A-451A-AB05-41C392A0DDAE}"/>
    <cellStyle name="Comma 7 2 11" xfId="8174" xr:uid="{86AFFE29-0923-4B42-89E4-676EEA96DF4E}"/>
    <cellStyle name="Comma 7 2 11 2" xfId="12630" xr:uid="{EA88B22D-3595-48BB-8676-23E29857A59F}"/>
    <cellStyle name="Comma 7 2 11 2 2" xfId="51480" xr:uid="{B5EA1CEB-F182-4125-A2E1-362FA69AC3C9}"/>
    <cellStyle name="Comma 7 2 11 2 3" xfId="53349" xr:uid="{7BA583BB-279E-49E0-A695-5E2418C1D1EC}"/>
    <cellStyle name="Comma 7 2 11 2 4" xfId="48736" xr:uid="{73148BE7-B013-412F-9A14-676574DAA6C3}"/>
    <cellStyle name="Comma 7 2 11 3" xfId="47171" xr:uid="{8E7D21D8-29AA-4447-BF92-1D1751A4C187}"/>
    <cellStyle name="Comma 7 2 11 4" xfId="50152" xr:uid="{5D8B28FC-6064-4565-8C9E-BB15FAE0D30C}"/>
    <cellStyle name="Comma 7 2 11 5" xfId="53350" xr:uid="{58CA9909-CE5D-4AEF-BB07-A29F2465F498}"/>
    <cellStyle name="Comma 7 2 11 6" xfId="38683" xr:uid="{7FFBBDC7-00EC-48E1-8BC6-3C5D224A2A6B}"/>
    <cellStyle name="Comma 7 2 12" xfId="7961" xr:uid="{2CCFB34D-B2C3-43A6-BB88-689E888C957A}"/>
    <cellStyle name="Comma 7 2 12 2" xfId="12474" xr:uid="{3464A0C8-6D2B-469C-B013-AA22E1E35453}"/>
    <cellStyle name="Comma 7 2 12 2 2" xfId="47635" xr:uid="{5C7AE637-4D91-4B7E-854B-38538560E729}"/>
    <cellStyle name="Comma 7 2 12 3" xfId="50548" xr:uid="{3C860F4D-C377-4AA2-948C-69E89F6A7345}"/>
    <cellStyle name="Comma 7 2 12 4" xfId="53351" xr:uid="{2B34F891-06A8-4A41-872B-332BB4503182}"/>
    <cellStyle name="Comma 7 2 12 5" xfId="40316" xr:uid="{585A7B16-956B-4501-B38B-797380CF1ADD}"/>
    <cellStyle name="Comma 7 2 13" xfId="5858" xr:uid="{091A3335-0A6F-4AD8-9348-A0C11F01E6F2}"/>
    <cellStyle name="Comma 7 2 13 2" xfId="40958" xr:uid="{99BCA719-29B1-4584-B146-84060C66A8EF}"/>
    <cellStyle name="Comma 7 2 14" xfId="11346" xr:uid="{B8018966-12A8-41E8-B5EE-D560C8FA07DD}"/>
    <cellStyle name="Comma 7 2 14 2" xfId="42170" xr:uid="{8BB77541-044F-41D7-A758-80FCE3308735}"/>
    <cellStyle name="Comma 7 2 15" xfId="42360" xr:uid="{B1F34420-6CB7-4747-9630-390AFC9EC8CE}"/>
    <cellStyle name="Comma 7 2 16" xfId="43483" xr:uid="{D7E101E8-C841-4A86-BC28-B3C11E11AE88}"/>
    <cellStyle name="Comma 7 2 17" xfId="44423" xr:uid="{D3A95593-A955-4B5D-BF85-E688BE0C7EA2}"/>
    <cellStyle name="Comma 7 2 18" xfId="45590" xr:uid="{7118D5F4-44CB-449E-8C2D-D04E8BC7C53E}"/>
    <cellStyle name="Comma 7 2 19" xfId="49220" xr:uid="{C63446B4-C62E-45B5-86B5-3FB440BDBC2A}"/>
    <cellStyle name="Comma 7 2 2" xfId="1788" xr:uid="{64C6C98C-C3B5-44F5-918B-C120C9B0DBBD}"/>
    <cellStyle name="Comma 7 2 2 10" xfId="7962" xr:uid="{9DBE4593-C1F6-4639-A6ED-30C229EDEDE9}"/>
    <cellStyle name="Comma 7 2 2 10 2" xfId="12475" xr:uid="{FCD3C646-756C-43B8-8981-F3112297F546}"/>
    <cellStyle name="Comma 7 2 2 10 2 2" xfId="47636" xr:uid="{4510B43E-5A28-4960-9BAC-F0211852F43B}"/>
    <cellStyle name="Comma 7 2 2 10 3" xfId="50549" xr:uid="{ED88469D-6C32-498E-9C12-7526C37C3608}"/>
    <cellStyle name="Comma 7 2 2 10 4" xfId="53352" xr:uid="{E3A19FD7-392D-4B83-9F72-981C7C931B9C}"/>
    <cellStyle name="Comma 7 2 2 10 5" xfId="40959" xr:uid="{8BD7C7F4-3193-46EC-9587-8AFBCC851522}"/>
    <cellStyle name="Comma 7 2 2 11" xfId="5859" xr:uid="{FED56D9C-49B6-456F-B64A-C2F15C9BFA5B}"/>
    <cellStyle name="Comma 7 2 2 11 2" xfId="42171" xr:uid="{7D12D567-BD89-4430-B081-C5D42C66618A}"/>
    <cellStyle name="Comma 7 2 2 12" xfId="11347" xr:uid="{4F7C1EFD-07D1-4CD1-BAD7-FA07D642564E}"/>
    <cellStyle name="Comma 7 2 2 12 2" xfId="42417" xr:uid="{6E5B989F-4317-4C1D-B1F3-ADA7515CC8AC}"/>
    <cellStyle name="Comma 7 2 2 13" xfId="43484" xr:uid="{106C5589-615D-4064-B45C-B3A08F7E1C1B}"/>
    <cellStyle name="Comma 7 2 2 14" xfId="44424" xr:uid="{48D94968-3D30-4A38-890D-5EA9328EBA8B}"/>
    <cellStyle name="Comma 7 2 2 15" xfId="45591" xr:uid="{2877BE7E-9530-4126-BF4F-A0C7FC97904F}"/>
    <cellStyle name="Comma 7 2 2 16" xfId="49221" xr:uid="{C71CDE74-1A86-44CC-9565-A4D2DCEF1699}"/>
    <cellStyle name="Comma 7 2 2 17" xfId="53353" xr:uid="{F628C68C-3F67-4F93-96F5-004A47270064}"/>
    <cellStyle name="Comma 7 2 2 18" xfId="16392" xr:uid="{A797B4E0-1A42-44AF-A7B2-C7F1C3DF4F15}"/>
    <cellStyle name="Comma 7 2 2 19" xfId="13856" xr:uid="{36C25A3D-A6E4-4704-979E-3CF5B1AA03CA}"/>
    <cellStyle name="Comma 7 2 2 2" xfId="1789" xr:uid="{78C6D696-EA89-4BD0-9FDD-52ABBD509BE0}"/>
    <cellStyle name="Comma 7 2 2 2 10" xfId="42772" xr:uid="{7FFDA1E5-62B6-421D-9CC6-CA4620541551}"/>
    <cellStyle name="Comma 7 2 2 2 11" xfId="43562" xr:uid="{144A8881-7735-46CD-B2C8-BBFD6AB3FC1D}"/>
    <cellStyle name="Comma 7 2 2 2 12" xfId="44425" xr:uid="{F4EC751C-24E8-4B6A-9B08-EBAF59293D84}"/>
    <cellStyle name="Comma 7 2 2 2 13" xfId="45653" xr:uid="{6F3825D8-1D45-4752-BDC3-BA776BA99038}"/>
    <cellStyle name="Comma 7 2 2 2 14" xfId="49282" xr:uid="{81195C54-6335-43F9-BFC5-F0E697957F09}"/>
    <cellStyle name="Comma 7 2 2 2 15" xfId="53354" xr:uid="{E67CD66B-AE8B-444F-B41C-740FEC366816}"/>
    <cellStyle name="Comma 7 2 2 2 16" xfId="17125" xr:uid="{694D1393-C7B7-46F4-8F04-AE6FAD4C8E36}"/>
    <cellStyle name="Comma 7 2 2 2 17" xfId="13945" xr:uid="{75F4E442-85C8-4643-A4A3-E93689592836}"/>
    <cellStyle name="Comma 7 2 2 2 2" xfId="4465" xr:uid="{1B6D9381-A0AD-4899-99E0-4D390CF863AE}"/>
    <cellStyle name="Comma 7 2 2 2 2 10" xfId="21120" xr:uid="{01DA7E8C-A3E0-4B60-B113-1C7B2A651EF3}"/>
    <cellStyle name="Comma 7 2 2 2 2 11" xfId="14259" xr:uid="{D3112F93-4682-4D53-9CD5-BBD42A8AFE38}"/>
    <cellStyle name="Comma 7 2 2 2 2 2" xfId="5722" xr:uid="{2F353047-B7AF-44D6-B115-153D9F8F6823}"/>
    <cellStyle name="Comma 7 2 2 2 2 2 2" xfId="10316" xr:uid="{6C35842B-EB68-44A7-B52F-BC8410FEB9D9}"/>
    <cellStyle name="Comma 7 2 2 2 2 2 2 2" xfId="13622" xr:uid="{003A544F-D222-4E9F-A63E-94FFEF38CECF}"/>
    <cellStyle name="Comma 7 2 2 2 2 2 2 2 2" xfId="51094" xr:uid="{BB8D3AC1-E383-462C-987C-94017D8B4FD3}"/>
    <cellStyle name="Comma 7 2 2 2 2 2 2 3" xfId="53355" xr:uid="{F849A375-5B5C-4C19-857B-7431C7AC594A}"/>
    <cellStyle name="Comma 7 2 2 2 2 2 2 4" xfId="48276" xr:uid="{C0DC25BA-A943-4BFC-BA29-859DC1618098}"/>
    <cellStyle name="Comma 7 2 2 2 2 2 3" xfId="7824" xr:uid="{289EFAFA-25C7-460C-BAF5-7D5833137426}"/>
    <cellStyle name="Comma 7 2 2 2 2 2 3 2" xfId="46734" xr:uid="{A5A397F7-FEDC-4378-BBEF-0BB1BF5BC499}"/>
    <cellStyle name="Comma 7 2 2 2 2 2 4" xfId="12337" xr:uid="{68980F1B-C474-4B61-81F6-40A04E91C1B9}"/>
    <cellStyle name="Comma 7 2 2 2 2 2 4 2" xfId="49766" xr:uid="{4B5C27A3-3627-4372-A046-95E0556CF801}"/>
    <cellStyle name="Comma 7 2 2 2 2 2 5" xfId="53356" xr:uid="{A05414FB-2CA6-448A-A72C-3B94A26C310A}"/>
    <cellStyle name="Comma 7 2 2 2 2 2 6" xfId="39686" xr:uid="{1B1C4BF4-EC19-4CB1-A1F5-1BB681C74F8C}"/>
    <cellStyle name="Comma 7 2 2 2 2 2 7" xfId="14751" xr:uid="{1CEC1ED5-92E7-4D26-A43D-07CA0015AAF9}"/>
    <cellStyle name="Comma 7 2 2 2 2 3" xfId="11233" xr:uid="{CCB30DFB-3F3B-4BF0-BB5C-DC74A7FF90BA}"/>
    <cellStyle name="Comma 7 2 2 2 2 3 2" xfId="13795" xr:uid="{3413FAC2-66F3-4319-889B-8105D7E7FBAA}"/>
    <cellStyle name="Comma 7 2 2 2 2 3 2 2" xfId="51430" xr:uid="{995FDEDF-4153-418B-A313-F82111222893}"/>
    <cellStyle name="Comma 7 2 2 2 2 3 2 3" xfId="53357" xr:uid="{1FD69A3B-C560-4BDA-83DE-06103FE84B90}"/>
    <cellStyle name="Comma 7 2 2 2 2 3 2 4" xfId="48675" xr:uid="{6FEC70A8-FA26-4DCE-8DFD-535B791B137A}"/>
    <cellStyle name="Comma 7 2 2 2 2 3 3" xfId="47112" xr:uid="{272BBEB8-27D5-4FC6-936E-03DD1787EF42}"/>
    <cellStyle name="Comma 7 2 2 2 2 3 4" xfId="50102" xr:uid="{2A17B0B2-03C6-4796-95B2-6EC05C5534E9}"/>
    <cellStyle name="Comma 7 2 2 2 2 3 5" xfId="53358" xr:uid="{5723A057-66FE-4A62-A702-00CB0C293176}"/>
    <cellStyle name="Comma 7 2 2 2 2 3 6" xfId="41539" xr:uid="{D60F216B-B5BF-4E71-884C-523CCBFA147E}"/>
    <cellStyle name="Comma 7 2 2 2 2 3 7" xfId="15066" xr:uid="{D3285D74-E20C-46C0-B4A2-52DD8F1D83F6}"/>
    <cellStyle name="Comma 7 2 2 2 2 4" xfId="9822" xr:uid="{671229F4-1A68-4274-BD18-F0DDD85B804E}"/>
    <cellStyle name="Comma 7 2 2 2 2 4 2" xfId="13128" xr:uid="{9D0DE7A7-6AE6-4F33-ADD8-92C0039DD344}"/>
    <cellStyle name="Comma 7 2 2 2 2 4 2 2" xfId="51812" xr:uid="{3BAFC4ED-AA7B-4DE1-A406-7F8AE176CD0E}"/>
    <cellStyle name="Comma 7 2 2 2 2 4 2 3" xfId="53359" xr:uid="{A8B8A4EC-8EA0-44D0-A0C3-08AF523AB974}"/>
    <cellStyle name="Comma 7 2 2 2 2 4 2 4" xfId="49132" xr:uid="{A8105DFC-29AA-400B-8FD8-FF25B1DF794B}"/>
    <cellStyle name="Comma 7 2 2 2 2 4 3" xfId="47549" xr:uid="{5E39F365-6692-4F3A-830C-83C9AC04E5A0}"/>
    <cellStyle name="Comma 7 2 2 2 2 4 4" xfId="50484" xr:uid="{4269F249-6FAE-4EC7-B413-8BDCCD690628}"/>
    <cellStyle name="Comma 7 2 2 2 2 4 5" xfId="53360" xr:uid="{2FF8EAB6-25EE-4755-8D49-7E0BCCABA087}"/>
    <cellStyle name="Comma 7 2 2 2 2 4 6" xfId="43363" xr:uid="{51413F0F-6B78-4438-9CAE-303BB595C5A9}"/>
    <cellStyle name="Comma 7 2 2 2 2 5" xfId="7320" xr:uid="{E6E40E0C-E6A8-42D9-9AA0-EF71BBB16734}"/>
    <cellStyle name="Comma 7 2 2 2 2 5 2" xfId="47840" xr:uid="{D05E91FF-78F6-4468-BB36-425B56C5116B}"/>
    <cellStyle name="Comma 7 2 2 2 2 5 3" xfId="50728" xr:uid="{14DEF70B-BEEE-4C7D-807F-7369D675A3C8}"/>
    <cellStyle name="Comma 7 2 2 2 2 5 4" xfId="53361" xr:uid="{9E416A88-E024-4116-BC0A-7A7F1371A6D2}"/>
    <cellStyle name="Comma 7 2 2 2 2 5 5" xfId="44266" xr:uid="{BFCC7570-68C1-44EC-AF52-76704CF08AF1}"/>
    <cellStyle name="Comma 7 2 2 2 2 6" xfId="11843" xr:uid="{D73B964F-2597-4334-9EE0-2639BBD51D3B}"/>
    <cellStyle name="Comma 7 2 2 2 2 6 2" xfId="44566" xr:uid="{78E92B0C-3C0E-485A-95E0-71240663FCEA}"/>
    <cellStyle name="Comma 7 2 2 2 2 7" xfId="45772" xr:uid="{B9690DC2-6E9D-4DAA-91A8-A80FF3229254}"/>
    <cellStyle name="Comma 7 2 2 2 2 8" xfId="49400" xr:uid="{BC1B4F11-9516-49AA-8901-4EBB86586C62}"/>
    <cellStyle name="Comma 7 2 2 2 2 9" xfId="53362" xr:uid="{16F6F253-AE53-4A99-9AD1-1FE409A819CF}"/>
    <cellStyle name="Comma 7 2 2 2 3" xfId="5546" xr:uid="{57715594-E5C4-4A8C-A4E2-8D1C0BE54449}"/>
    <cellStyle name="Comma 7 2 2 2 3 2" xfId="7648" xr:uid="{D19B9DA1-3D47-46E5-914B-825E26975787}"/>
    <cellStyle name="Comma 7 2 2 2 3 2 2" xfId="10140" xr:uid="{6F60479F-47C6-4FB3-98DC-D96A56A22908}"/>
    <cellStyle name="Comma 7 2 2 2 3 2 2 2" xfId="13446" xr:uid="{E13CCF1B-4C81-4D69-922B-7DA0678D9768}"/>
    <cellStyle name="Comma 7 2 2 2 3 2 2 2 2" xfId="51672" xr:uid="{73C9AA60-67D2-4DC8-BAAB-240F3AC4E279}"/>
    <cellStyle name="Comma 7 2 2 2 3 2 2 3" xfId="53363" xr:uid="{C17A80FE-4924-4166-81BE-A0663A7225C0}"/>
    <cellStyle name="Comma 7 2 2 2 3 2 2 4" xfId="48960" xr:uid="{6E8EFA8F-9796-4777-8083-25ABB6FD85C5}"/>
    <cellStyle name="Comma 7 2 2 2 3 2 3" xfId="12161" xr:uid="{ABA41336-2780-4D36-907C-792E3A1BE78B}"/>
    <cellStyle name="Comma 7 2 2 2 3 2 3 2" xfId="47384" xr:uid="{0C1FB727-F018-45DD-86B4-1B9F6AB7693D}"/>
    <cellStyle name="Comma 7 2 2 2 3 2 4" xfId="50344" xr:uid="{B5CE503B-BEB8-4B12-B258-E94BEE2472A9}"/>
    <cellStyle name="Comma 7 2 2 2 3 2 5" xfId="53364" xr:uid="{1FE16166-FA56-483F-82AE-9FB9974D7682}"/>
    <cellStyle name="Comma 7 2 2 2 3 2 6" xfId="43835" xr:uid="{9AD93B94-20A2-488E-9890-6739B67B63A6}"/>
    <cellStyle name="Comma 7 2 2 2 3 2 7" xfId="14575" xr:uid="{D13A7750-4912-4C60-B40C-66388E777656}"/>
    <cellStyle name="Comma 7 2 2 2 3 3" xfId="9646" xr:uid="{9C48F38D-18CA-4DB6-9DDD-6039BB3B2F44}"/>
    <cellStyle name="Comma 7 2 2 2 3 3 2" xfId="12952" xr:uid="{86A7C763-7F0C-49F5-8179-7C1B2040B6E0}"/>
    <cellStyle name="Comma 7 2 2 2 3 3 2 2" xfId="50954" xr:uid="{8C2645DB-69B5-4C01-B59D-8CC576B2A58E}"/>
    <cellStyle name="Comma 7 2 2 2 3 3 3" xfId="53365" xr:uid="{61904908-9A91-4C4A-B2B8-598C15756972}"/>
    <cellStyle name="Comma 7 2 2 2 3 3 4" xfId="48105" xr:uid="{B06A269D-C971-4575-ACDE-5C2456DF1D24}"/>
    <cellStyle name="Comma 7 2 2 2 3 4" xfId="7142" xr:uid="{545F45A0-1041-47F0-9C1E-D7D5B020757F}"/>
    <cellStyle name="Comma 7 2 2 2 3 4 2" xfId="46593" xr:uid="{9F642C09-73E4-4E54-9522-9C0EDA4262D2}"/>
    <cellStyle name="Comma 7 2 2 2 3 5" xfId="11667" xr:uid="{B6750ED3-7463-4CAA-BD4C-31393DE671D0}"/>
    <cellStyle name="Comma 7 2 2 2 3 5 2" xfId="49626" xr:uid="{05EA2EF1-D977-4B3A-9356-A7970CC4F9E7}"/>
    <cellStyle name="Comma 7 2 2 2 3 6" xfId="53366" xr:uid="{C422BF32-E57D-43EB-922D-7C05D771A998}"/>
    <cellStyle name="Comma 7 2 2 2 3 7" xfId="20339" xr:uid="{8EF9EDF7-DE24-4EF0-8E94-EAEFE5F7D088}"/>
    <cellStyle name="Comma 7 2 2 2 3 8" xfId="14083" xr:uid="{41371B3E-587C-4A96-AC66-02A6ECEBE090}"/>
    <cellStyle name="Comma 7 2 2 2 4" xfId="6536" xr:uid="{563B34CC-0BA7-42C0-8518-1690FB082DBE}"/>
    <cellStyle name="Comma 7 2 2 2 4 2" xfId="9508" xr:uid="{A895F7F4-66B4-4728-B228-8B0A0F74AA2F}"/>
    <cellStyle name="Comma 7 2 2 2 4 2 2" xfId="12814" xr:uid="{80FD6D4E-F16A-4164-87EF-7BEF4236AFBA}"/>
    <cellStyle name="Comma 7 2 2 2 4 2 2 2" xfId="50839" xr:uid="{C5D3E10C-9E2B-44D6-B1E5-E6D31A2ACA8A}"/>
    <cellStyle name="Comma 7 2 2 2 4 2 3" xfId="53367" xr:uid="{0B507A9E-5182-41E6-913D-345CB2927F84}"/>
    <cellStyle name="Comma 7 2 2 2 4 2 4" xfId="47970" xr:uid="{F46551BA-5DB2-4719-B30A-3CE80AD45B9B}"/>
    <cellStyle name="Comma 7 2 2 2 4 3" xfId="11529" xr:uid="{F14E5678-28CB-47C6-8EF1-1618209CE990}"/>
    <cellStyle name="Comma 7 2 2 2 4 3 2" xfId="46175" xr:uid="{C069E7F7-FB5A-481E-AE75-A2975EB98F66}"/>
    <cellStyle name="Comma 7 2 2 2 4 4" xfId="49511" xr:uid="{5EC53C71-D6C0-4B1C-BA82-92E6A72F648F}"/>
    <cellStyle name="Comma 7 2 2 2 4 5" xfId="53368" xr:uid="{56F737CE-6C88-4430-A95B-51284E9A7B31}"/>
    <cellStyle name="Comma 7 2 2 2 4 6" xfId="23998" xr:uid="{02225341-FC51-4891-9629-58DDBC624A01}"/>
    <cellStyle name="Comma 7 2 2 2 4 7" xfId="14437" xr:uid="{0158B3FA-93BE-4461-9F4B-4FC000614FCC}"/>
    <cellStyle name="Comma 7 2 2 2 5" xfId="7510" xr:uid="{E5B24898-234C-4005-AFA3-6E77B72612C8}"/>
    <cellStyle name="Comma 7 2 2 2 5 2" xfId="10002" xr:uid="{D44773B8-EAB4-4ACB-8EE9-157C2070F85E}"/>
    <cellStyle name="Comma 7 2 2 2 5 2 2" xfId="13308" xr:uid="{CA8C74A7-A441-4448-A8C3-8D60B28DF199}"/>
    <cellStyle name="Comma 7 2 2 2 5 2 2 2" xfId="51301" xr:uid="{9A750845-406D-47E1-B95F-F39801AEC7D9}"/>
    <cellStyle name="Comma 7 2 2 2 5 2 3" xfId="53369" xr:uid="{48B3CC69-427A-4B0C-8A08-3681FA30D860}"/>
    <cellStyle name="Comma 7 2 2 2 5 2 4" xfId="48515" xr:uid="{7DC96310-BA8C-43A0-B866-FB26F7326B41}"/>
    <cellStyle name="Comma 7 2 2 2 5 3" xfId="12023" xr:uid="{A13C3948-8BAE-45E7-A39D-AEFF4DFE1CD9}"/>
    <cellStyle name="Comma 7 2 2 2 5 3 2" xfId="46954" xr:uid="{75C6CC3F-1759-46CF-A30F-529EBB0C1390}"/>
    <cellStyle name="Comma 7 2 2 2 5 4" xfId="49973" xr:uid="{AF1B6E00-93A7-4F05-A857-67A2B0EBF71E}"/>
    <cellStyle name="Comma 7 2 2 2 5 5" xfId="53370" xr:uid="{9B6FEF1C-DC95-4B61-BFB7-9298588752BA}"/>
    <cellStyle name="Comma 7 2 2 2 5 6" xfId="38495" xr:uid="{2BBEC3B1-5D62-4240-B123-0592AB001D72}"/>
    <cellStyle name="Comma 7 2 2 2 5 7" xfId="14890" xr:uid="{D3BCC871-91CF-455D-814B-CECCE6E18EE1}"/>
    <cellStyle name="Comma 7 2 2 2 6" xfId="8176" xr:uid="{63A823B1-5CFD-465C-AF6B-42605BFF66F9}"/>
    <cellStyle name="Comma 7 2 2 2 6 2" xfId="12632" xr:uid="{D728D483-3AE4-46F4-B659-515B9A673419}"/>
    <cellStyle name="Comma 7 2 2 2 6 2 2" xfId="51557" xr:uid="{1D33424B-0007-4655-9713-22EA0D582B8A}"/>
    <cellStyle name="Comma 7 2 2 2 6 2 3" xfId="53371" xr:uid="{65AE6352-6515-4B59-9657-AD7C9AC46404}"/>
    <cellStyle name="Comma 7 2 2 2 6 2 4" xfId="48822" xr:uid="{F5248384-D222-4262-ACF9-F81EA79EB631}"/>
    <cellStyle name="Comma 7 2 2 2 6 3" xfId="47251" xr:uid="{AD221AF1-2F58-41A1-8D5B-EFAD336BA301}"/>
    <cellStyle name="Comma 7 2 2 2 6 4" xfId="50229" xr:uid="{2A416BDA-880F-48A1-960C-554E178CF824}"/>
    <cellStyle name="Comma 7 2 2 2 6 5" xfId="53372" xr:uid="{92FDBEDB-9A71-4EEF-B970-28B8BCB8FE34}"/>
    <cellStyle name="Comma 7 2 2 2 6 6" xfId="39095" xr:uid="{E8A3AC7E-A9A1-4C5E-BF4E-D7149806CFC9}"/>
    <cellStyle name="Comma 7 2 2 2 7" xfId="7963" xr:uid="{6E8981D3-C533-45F5-B09C-FCE50C572443}"/>
    <cellStyle name="Comma 7 2 2 2 7 2" xfId="12476" xr:uid="{BF78604F-8367-4856-BCDC-2C71CB20A914}"/>
    <cellStyle name="Comma 7 2 2 2 7 2 2" xfId="47702" xr:uid="{54D11C2B-CA91-4658-83D4-50390D76D5A8}"/>
    <cellStyle name="Comma 7 2 2 2 7 3" xfId="50610" xr:uid="{98E49FCF-9757-4E33-8D98-8C851E6BE88B}"/>
    <cellStyle name="Comma 7 2 2 2 7 4" xfId="53373" xr:uid="{E322ADCF-5115-44BD-BAC5-B63015667F67}"/>
    <cellStyle name="Comma 7 2 2 2 7 5" xfId="40318" xr:uid="{C6E163B3-D244-4819-9D63-DB54A793DA0E}"/>
    <cellStyle name="Comma 7 2 2 2 8" xfId="5860" xr:uid="{3C79D33E-5396-414D-B07B-61C87D99E789}"/>
    <cellStyle name="Comma 7 2 2 2 8 2" xfId="40960" xr:uid="{45521E2D-2799-4FBE-886B-B1C7CDF23F5E}"/>
    <cellStyle name="Comma 7 2 2 2 9" xfId="11348" xr:uid="{D383AB22-9B42-4C67-9AA4-259AD5593890}"/>
    <cellStyle name="Comma 7 2 2 2 9 2" xfId="42172" xr:uid="{A990D49D-3EEF-4320-8409-EB79076DF62C}"/>
    <cellStyle name="Comma 7 2 2 3" xfId="1790" xr:uid="{A437ACE0-3614-4C6D-A336-E0DC3DEC3703}"/>
    <cellStyle name="Comma 7 2 2 3 10" xfId="42850" xr:uid="{77F92D3D-2DDC-4FCD-8EA3-11DBC2C5E6F9}"/>
    <cellStyle name="Comma 7 2 2 3 11" xfId="43563" xr:uid="{CB488B59-A1A5-45D0-BA87-7093E1E80C2C}"/>
    <cellStyle name="Comma 7 2 2 3 12" xfId="44426" xr:uid="{FEFF6FF8-4025-45F4-A566-2BD18569433D}"/>
    <cellStyle name="Comma 7 2 2 3 13" xfId="45751" xr:uid="{539E6B48-5F8D-40E6-A41E-E6ADB5163B55}"/>
    <cellStyle name="Comma 7 2 2 3 14" xfId="49379" xr:uid="{4C62FBA1-2413-46E6-9293-0D35E2065BEA}"/>
    <cellStyle name="Comma 7 2 2 3 15" xfId="53374" xr:uid="{B10AF301-7711-40A6-AC08-2B373560DB5F}"/>
    <cellStyle name="Comma 7 2 2 3 16" xfId="19756" xr:uid="{6AC92E7D-8637-4953-A9F6-91D080FC25E6}"/>
    <cellStyle name="Comma 7 2 2 3 17" xfId="13946" xr:uid="{55D11E14-4834-4A8B-AC44-44ADFB9CA0A0}"/>
    <cellStyle name="Comma 7 2 2 3 2" xfId="4466" xr:uid="{CFC95E08-D92C-4634-A876-7C7CA0B14F01}"/>
    <cellStyle name="Comma 7 2 2 3 2 10" xfId="23373" xr:uid="{AE9830D5-994C-47E0-B9AA-634F9BE67B29}"/>
    <cellStyle name="Comma 7 2 2 3 2 11" xfId="14260" xr:uid="{B130A587-1CD1-486B-B21E-DD10AA9B0718}"/>
    <cellStyle name="Comma 7 2 2 3 2 2" xfId="5723" xr:uid="{19A4FA67-7360-4634-B46D-301256ECDE3C}"/>
    <cellStyle name="Comma 7 2 2 3 2 2 2" xfId="10317" xr:uid="{26E90267-CC76-49E1-B151-F740EFDB2A37}"/>
    <cellStyle name="Comma 7 2 2 3 2 2 2 2" xfId="13623" xr:uid="{5E29B815-3DFC-4D6D-8F6D-696F63CA0354}"/>
    <cellStyle name="Comma 7 2 2 3 2 2 2 2 2" xfId="51431" xr:uid="{1244F236-F1F2-4C19-B81A-CFE8C1161F8B}"/>
    <cellStyle name="Comma 7 2 2 3 2 2 2 3" xfId="53375" xr:uid="{D75B1B46-DEC4-4D23-9496-6BA775F96D2B}"/>
    <cellStyle name="Comma 7 2 2 3 2 2 2 4" xfId="48676" xr:uid="{F8A8E22E-AFAA-45DB-A86B-BC7C7F8E5C0C}"/>
    <cellStyle name="Comma 7 2 2 3 2 2 3" xfId="7825" xr:uid="{009D013C-E3EC-476A-A97A-32154577EE7F}"/>
    <cellStyle name="Comma 7 2 2 3 2 2 3 2" xfId="47113" xr:uid="{A25F4B22-BC4E-4777-8932-3D09083F9652}"/>
    <cellStyle name="Comma 7 2 2 3 2 2 4" xfId="12338" xr:uid="{2973B784-DA87-479E-A172-85281538ABA5}"/>
    <cellStyle name="Comma 7 2 2 3 2 2 4 2" xfId="50103" xr:uid="{1C80EF4B-78BF-4CF6-A578-7AFF4152DBA9}"/>
    <cellStyle name="Comma 7 2 2 3 2 2 5" xfId="53376" xr:uid="{26C1702F-E0F2-4536-A308-CF14D94CB297}"/>
    <cellStyle name="Comma 7 2 2 3 2 2 6" xfId="39764" xr:uid="{098FFDC8-DC89-42B3-ADC7-AB3E977DEA67}"/>
    <cellStyle name="Comma 7 2 2 3 2 2 7" xfId="14752" xr:uid="{678D0CFC-F1AF-48FF-A22B-749528A0BD1F}"/>
    <cellStyle name="Comma 7 2 2 3 2 3" xfId="9823" xr:uid="{15072D3B-B37D-4576-B915-1958AC73B224}"/>
    <cellStyle name="Comma 7 2 2 3 2 3 2" xfId="13129" xr:uid="{6CBC7030-6DDA-430C-AEF3-E5B520CA7112}"/>
    <cellStyle name="Comma 7 2 2 3 2 3 2 2" xfId="51813" xr:uid="{C707CD51-8757-4929-9404-3C5E7C9DE7C7}"/>
    <cellStyle name="Comma 7 2 2 3 2 3 2 3" xfId="53377" xr:uid="{E8EC5A7D-D8B0-4412-8F72-A3EF4E880B9D}"/>
    <cellStyle name="Comma 7 2 2 3 2 3 2 4" xfId="49133" xr:uid="{3C565D7B-B3DA-43F7-A001-56799822DC97}"/>
    <cellStyle name="Comma 7 2 2 3 2 3 3" xfId="47550" xr:uid="{05E040A5-35F9-4A78-8EFF-430A425CD709}"/>
    <cellStyle name="Comma 7 2 2 3 2 3 4" xfId="50485" xr:uid="{0AD43EA6-928C-4763-8A27-C11DACBF9549}"/>
    <cellStyle name="Comma 7 2 2 3 2 3 5" xfId="53378" xr:uid="{02572628-9337-4FF8-A904-3D35DA45DD6A}"/>
    <cellStyle name="Comma 7 2 2 3 2 3 6" xfId="41617" xr:uid="{A2D4E602-5023-4499-B508-FCE72B54380B}"/>
    <cellStyle name="Comma 7 2 2 3 2 3 7" xfId="15067" xr:uid="{D41123C2-B806-41E3-9628-1E805DB2A9C0}"/>
    <cellStyle name="Comma 7 2 2 3 2 4" xfId="7321" xr:uid="{8B88C8FF-3B93-4EEA-8BB3-AF0548E21195}"/>
    <cellStyle name="Comma 7 2 2 3 2 4 2" xfId="48277" xr:uid="{E066BCEB-BA0F-47CA-BB0D-F5ED85FC0419}"/>
    <cellStyle name="Comma 7 2 2 3 2 4 3" xfId="51095" xr:uid="{9CE35FCC-A763-43EB-A434-9280E87986CC}"/>
    <cellStyle name="Comma 7 2 2 3 2 4 4" xfId="53379" xr:uid="{785ECFA1-4AD3-489E-9EA1-0837B668735F}"/>
    <cellStyle name="Comma 7 2 2 3 2 4 5" xfId="43441" xr:uid="{697EFDE2-E672-4A71-9F6A-2FF0E26B3349}"/>
    <cellStyle name="Comma 7 2 2 3 2 5" xfId="11844" xr:uid="{2A30732C-BE25-4508-99C0-4A717B113ABD}"/>
    <cellStyle name="Comma 7 2 2 3 2 5 2" xfId="44267" xr:uid="{BFB8A477-7B81-42FE-88D8-A7D4AD2CC81E}"/>
    <cellStyle name="Comma 7 2 2 3 2 6" xfId="44567" xr:uid="{768DF7A5-C572-49EC-A5B7-B3354BA44A43}"/>
    <cellStyle name="Comma 7 2 2 3 2 7" xfId="46735" xr:uid="{EF47F2CC-A694-4186-9F8A-CCE58627F86D}"/>
    <cellStyle name="Comma 7 2 2 3 2 8" xfId="49767" xr:uid="{A9476A65-A0B3-44E6-8375-93D4EE66A2D9}"/>
    <cellStyle name="Comma 7 2 2 3 2 9" xfId="53380" xr:uid="{F9ED4613-484F-4B7B-A075-5CBE792FE200}"/>
    <cellStyle name="Comma 7 2 2 3 3" xfId="5547" xr:uid="{AA7383D0-8751-40BB-9AF3-B6337E60CA73}"/>
    <cellStyle name="Comma 7 2 2 3 3 2" xfId="7649" xr:uid="{CE6B8FC6-9377-42FE-A303-A9EBC842C8AD}"/>
    <cellStyle name="Comma 7 2 2 3 3 2 2" xfId="10141" xr:uid="{EA7B0102-5E4B-485D-92B1-42D746FFEA29}"/>
    <cellStyle name="Comma 7 2 2 3 3 2 2 2" xfId="13447" xr:uid="{AA7B45F4-A6DA-4B91-8781-BA86242F882B}"/>
    <cellStyle name="Comma 7 2 2 3 3 2 2 2 2" xfId="51673" xr:uid="{5C6658F6-5773-44BB-ABC2-EC2902EDBB04}"/>
    <cellStyle name="Comma 7 2 2 3 3 2 2 3" xfId="53381" xr:uid="{54F2CAF0-CB00-4C20-B1DF-2320C1F48256}"/>
    <cellStyle name="Comma 7 2 2 3 3 2 2 4" xfId="48961" xr:uid="{BAAE3F55-5058-4334-A5E7-609DD0431798}"/>
    <cellStyle name="Comma 7 2 2 3 3 2 3" xfId="12162" xr:uid="{CC921E4B-FC58-4317-80D5-184CD084D798}"/>
    <cellStyle name="Comma 7 2 2 3 3 2 3 2" xfId="47385" xr:uid="{91A8CE8B-5596-49FB-9696-23EFE2743A80}"/>
    <cellStyle name="Comma 7 2 2 3 3 2 4" xfId="50345" xr:uid="{FE538098-5ED4-422A-B521-7C42E33AAEAD}"/>
    <cellStyle name="Comma 7 2 2 3 3 2 5" xfId="53382" xr:uid="{C6F7CCF6-070D-4255-9DE2-8B7A7F8A9033}"/>
    <cellStyle name="Comma 7 2 2 3 3 2 6" xfId="43836" xr:uid="{024F00BF-5667-4BBC-BD0D-408B0464B8B6}"/>
    <cellStyle name="Comma 7 2 2 3 3 2 7" xfId="14576" xr:uid="{C5F598C8-77FD-4D8B-A0C4-986D22D06B54}"/>
    <cellStyle name="Comma 7 2 2 3 3 3" xfId="9647" xr:uid="{0FD31405-3560-4120-A40A-98F260D57A0E}"/>
    <cellStyle name="Comma 7 2 2 3 3 3 2" xfId="12953" xr:uid="{C73DA653-3A61-4CD0-B844-859225C6716B}"/>
    <cellStyle name="Comma 7 2 2 3 3 3 2 2" xfId="50955" xr:uid="{5E41B2AC-1803-41D9-9127-EEDEA49D5B09}"/>
    <cellStyle name="Comma 7 2 2 3 3 3 3" xfId="53383" xr:uid="{B07DD110-2E82-4396-8BE5-6DC9C0D54B75}"/>
    <cellStyle name="Comma 7 2 2 3 3 3 4" xfId="48106" xr:uid="{9F39E0E5-A5F0-434A-9D9B-68CC816EBE97}"/>
    <cellStyle name="Comma 7 2 2 3 3 4" xfId="7143" xr:uid="{8177E597-E9A4-4B05-BB90-BAC5CD64B35F}"/>
    <cellStyle name="Comma 7 2 2 3 3 4 2" xfId="46594" xr:uid="{0FD107B3-0D60-4BD3-8A6B-4ED1D31AB6D5}"/>
    <cellStyle name="Comma 7 2 2 3 3 5" xfId="11668" xr:uid="{B3371A40-AAE1-4F18-8B61-C0C4665E312A}"/>
    <cellStyle name="Comma 7 2 2 3 3 5 2" xfId="49627" xr:uid="{61F4511A-5441-4850-82E7-4FB52F25806F}"/>
    <cellStyle name="Comma 7 2 2 3 3 6" xfId="53384" xr:uid="{6158748E-D2FF-45A7-9AFC-EC8EAE179546}"/>
    <cellStyle name="Comma 7 2 2 3 3 7" xfId="20417" xr:uid="{9490ED88-A85B-47F9-AA53-82A55DC61B31}"/>
    <cellStyle name="Comma 7 2 2 3 3 8" xfId="14084" xr:uid="{AEE3850C-671C-4A18-9DE7-DC0A8EEB4FFF}"/>
    <cellStyle name="Comma 7 2 2 3 4" xfId="6537" xr:uid="{75E91F62-88C9-4275-AF19-DF359A6A1B7F}"/>
    <cellStyle name="Comma 7 2 2 3 4 2" xfId="9509" xr:uid="{2CD4706F-57EA-4FCE-8E76-9D2B31C9E70B}"/>
    <cellStyle name="Comma 7 2 2 3 4 2 2" xfId="12815" xr:uid="{1AA5CCD3-4662-410B-95C1-4BC1C396C170}"/>
    <cellStyle name="Comma 7 2 2 3 4 2 2 2" xfId="50840" xr:uid="{EF237631-BA68-43E7-BCF7-FCB9A41B3A12}"/>
    <cellStyle name="Comma 7 2 2 3 4 2 3" xfId="53385" xr:uid="{D6F6CDFE-4A79-45D6-9576-3F9745E699D1}"/>
    <cellStyle name="Comma 7 2 2 3 4 2 4" xfId="47971" xr:uid="{ADEE55D9-EB37-474D-9FBD-0582B534188C}"/>
    <cellStyle name="Comma 7 2 2 3 4 3" xfId="11530" xr:uid="{6D9AF501-CC69-4A67-A8C6-53C608D37AF4}"/>
    <cellStyle name="Comma 7 2 2 3 4 3 2" xfId="46176" xr:uid="{0A8C36F4-AE2D-4386-A382-2A4256DCE26C}"/>
    <cellStyle name="Comma 7 2 2 3 4 4" xfId="49512" xr:uid="{4F4413CE-93A6-44E6-9F93-02BC2F6A5AC0}"/>
    <cellStyle name="Comma 7 2 2 3 4 5" xfId="53386" xr:uid="{0119A124-A3D1-4216-8019-AABC76CB2B3C}"/>
    <cellStyle name="Comma 7 2 2 3 4 6" xfId="23999" xr:uid="{2199F8A9-79F5-4545-ABF1-2AABB9C441DC}"/>
    <cellStyle name="Comma 7 2 2 3 4 7" xfId="14438" xr:uid="{B74B8A5F-97D3-40EC-AB37-E88EABDD310F}"/>
    <cellStyle name="Comma 7 2 2 3 5" xfId="7511" xr:uid="{6E634A3B-7ADF-45F7-905A-DE098A58AF90}"/>
    <cellStyle name="Comma 7 2 2 3 5 2" xfId="10003" xr:uid="{3A6B9C68-3D7D-493B-9280-3992172C1892}"/>
    <cellStyle name="Comma 7 2 2 3 5 2 2" xfId="13309" xr:uid="{D9BC46B1-36F0-4A13-A4D8-462401D344C4}"/>
    <cellStyle name="Comma 7 2 2 3 5 2 2 2" xfId="51302" xr:uid="{64FC14AC-305D-474A-834A-C0B0766A657D}"/>
    <cellStyle name="Comma 7 2 2 3 5 2 3" xfId="53387" xr:uid="{527BF172-F377-4026-84C6-A064AD110012}"/>
    <cellStyle name="Comma 7 2 2 3 5 2 4" xfId="48516" xr:uid="{105E72F0-24CF-4379-800E-A32F76E5F476}"/>
    <cellStyle name="Comma 7 2 2 3 5 3" xfId="12024" xr:uid="{73D4EF00-804A-4105-B880-95E0595106B4}"/>
    <cellStyle name="Comma 7 2 2 3 5 3 2" xfId="46955" xr:uid="{D1F4A558-37FE-4384-9086-512B4E9330C7}"/>
    <cellStyle name="Comma 7 2 2 3 5 4" xfId="49974" xr:uid="{0C5E1E5B-B577-4996-BBA0-44C507A0D9D5}"/>
    <cellStyle name="Comma 7 2 2 3 5 5" xfId="53388" xr:uid="{E297E57E-5C54-4CF0-AE78-BF83754B81F2}"/>
    <cellStyle name="Comma 7 2 2 3 5 6" xfId="38496" xr:uid="{420388E5-97B3-4F4C-A8D2-5BA545E01FFE}"/>
    <cellStyle name="Comma 7 2 2 3 5 7" xfId="14891" xr:uid="{10203E48-D0B1-4B9D-8FCC-BA4A306823BC}"/>
    <cellStyle name="Comma 7 2 2 3 6" xfId="8177" xr:uid="{51947E3F-C7F4-4381-B5ED-D3329E621158}"/>
    <cellStyle name="Comma 7 2 2 3 6 2" xfId="12633" xr:uid="{7BBBF5C5-0B20-4895-B7B7-8247C4FF8826}"/>
    <cellStyle name="Comma 7 2 2 3 6 2 2" xfId="51558" xr:uid="{02B3C1FE-B06F-4E3F-8731-D400BF8748A9}"/>
    <cellStyle name="Comma 7 2 2 3 6 2 3" xfId="53389" xr:uid="{C2BCA828-28E1-4C22-8208-226BE9105EE3}"/>
    <cellStyle name="Comma 7 2 2 3 6 2 4" xfId="48823" xr:uid="{6D3B53E3-034B-4615-8DF5-1520833B3D9F}"/>
    <cellStyle name="Comma 7 2 2 3 6 3" xfId="47252" xr:uid="{D63B0EBB-B8D6-48A6-BC8B-C6BC0ABA0E1A}"/>
    <cellStyle name="Comma 7 2 2 3 6 4" xfId="50230" xr:uid="{D9ECA8DC-215E-4B01-A1D0-3CEC45BCDD18}"/>
    <cellStyle name="Comma 7 2 2 3 6 5" xfId="53390" xr:uid="{8311734D-6700-4B73-8E32-9EA1C0C68F5F}"/>
    <cellStyle name="Comma 7 2 2 3 6 6" xfId="39173" xr:uid="{5C10FCD7-2C75-4DA8-A8E9-74D9D5D3DA99}"/>
    <cellStyle name="Comma 7 2 2 3 7" xfId="7964" xr:uid="{D72A16FB-50CC-4EF7-856E-5A09EF09590C}"/>
    <cellStyle name="Comma 7 2 2 3 7 2" xfId="12477" xr:uid="{A6A639C1-E263-4683-A88E-376185369773}"/>
    <cellStyle name="Comma 7 2 2 3 7 2 2" xfId="47819" xr:uid="{BE262FC2-915B-412B-9E04-ACFF4AD17E19}"/>
    <cellStyle name="Comma 7 2 2 3 7 3" xfId="50707" xr:uid="{C64377D0-6E15-4BF1-A5F8-049D01BF64D5}"/>
    <cellStyle name="Comma 7 2 2 3 7 4" xfId="53391" xr:uid="{4FD28C83-DB39-484B-A259-302BF29F1A93}"/>
    <cellStyle name="Comma 7 2 2 3 7 5" xfId="40319" xr:uid="{6A5882CA-C599-48D3-AD25-923533A9A0B4}"/>
    <cellStyle name="Comma 7 2 2 3 8" xfId="5861" xr:uid="{6BC6FFA7-29A0-4462-BAA0-1785FD59E9DC}"/>
    <cellStyle name="Comma 7 2 2 3 8 2" xfId="40961" xr:uid="{26A2AD1D-98AB-4878-81EF-6844799A2420}"/>
    <cellStyle name="Comma 7 2 2 3 9" xfId="11349" xr:uid="{37456A2E-B78E-42FA-9256-22D59E2D4EF6}"/>
    <cellStyle name="Comma 7 2 2 3 9 2" xfId="42173" xr:uid="{FEC0C2B9-B5F6-47AA-A924-FA1FF0D918B6}"/>
    <cellStyle name="Comma 7 2 2 4" xfId="4464" xr:uid="{C2EFECC4-D845-4EE3-AEC5-2A9EC345FC26}"/>
    <cellStyle name="Comma 7 2 2 4 10" xfId="44565" xr:uid="{E0007DEC-64D0-475D-9FDF-FEB778C47F62}"/>
    <cellStyle name="Comma 7 2 2 4 11" xfId="45727" xr:uid="{808C2BBD-88F6-4245-992B-F3CAACA95ED2}"/>
    <cellStyle name="Comma 7 2 2 4 12" xfId="49355" xr:uid="{F744B1A8-0F03-45BC-AF66-055F2D3C39F5}"/>
    <cellStyle name="Comma 7 2 2 4 13" xfId="53392" xr:uid="{D61D823E-03AC-42C0-9D0A-E8C50CF10BA3}"/>
    <cellStyle name="Comma 7 2 2 4 14" xfId="20637" xr:uid="{3F6FC727-0801-48BF-BAF8-093908912D72}"/>
    <cellStyle name="Comma 7 2 2 4 15" xfId="13944" xr:uid="{50C4C817-3077-44A9-BBE1-A178D0AF0D2B}"/>
    <cellStyle name="Comma 7 2 2 4 2" xfId="5721" xr:uid="{451C81E1-32D2-4580-9A51-9902F828E4E0}"/>
    <cellStyle name="Comma 7 2 2 4 2 2" xfId="7823" xr:uid="{3EEED335-8080-4294-A639-78EBB4AA3FEF}"/>
    <cellStyle name="Comma 7 2 2 4 2 2 2" xfId="10315" xr:uid="{4B0F8DF6-9817-4624-8FDB-A926D4BA563A}"/>
    <cellStyle name="Comma 7 2 2 4 2 2 2 2" xfId="13621" xr:uid="{2B56323F-0C76-4D78-A8E2-C59A0B5A0BF1}"/>
    <cellStyle name="Comma 7 2 2 4 2 2 2 2 2" xfId="51811" xr:uid="{2E739E7E-3D3F-4867-AEB0-EF31A03B03E6}"/>
    <cellStyle name="Comma 7 2 2 4 2 2 2 3" xfId="53393" xr:uid="{B7B31490-D219-4726-89B5-5ECEDD320E78}"/>
    <cellStyle name="Comma 7 2 2 4 2 2 2 4" xfId="49131" xr:uid="{E55FCC67-9D99-425A-95F8-1D85898646F9}"/>
    <cellStyle name="Comma 7 2 2 4 2 2 3" xfId="12336" xr:uid="{937D2AD6-0F92-4021-8E89-C1BD66A084B5}"/>
    <cellStyle name="Comma 7 2 2 4 2 2 3 2" xfId="47548" xr:uid="{A94ED5EE-0D29-4BA5-9C32-EE3CED278B8D}"/>
    <cellStyle name="Comma 7 2 2 4 2 2 4" xfId="50483" xr:uid="{3A35E31B-DCC5-498B-81A7-F6CF38411E0E}"/>
    <cellStyle name="Comma 7 2 2 4 2 2 5" xfId="53394" xr:uid="{EDC31859-341A-4298-9E60-DD1957E9E296}"/>
    <cellStyle name="Comma 7 2 2 4 2 2 6" xfId="44265" xr:uid="{AF07E556-6D3F-407E-96A0-6BE28252FA26}"/>
    <cellStyle name="Comma 7 2 2 4 2 2 7" xfId="14750" xr:uid="{C6A94280-4680-4805-B836-6AAFEAEC26A5}"/>
    <cellStyle name="Comma 7 2 2 4 2 3" xfId="9821" xr:uid="{BEDE3E4D-237B-426F-8865-DD616C53EF5B}"/>
    <cellStyle name="Comma 7 2 2 4 2 3 2" xfId="13127" xr:uid="{8CD2585D-B3A6-4965-804C-97F03F0EE7E6}"/>
    <cellStyle name="Comma 7 2 2 4 2 3 2 2" xfId="51093" xr:uid="{E11F58A7-A041-4AE8-B5E9-23C585771149}"/>
    <cellStyle name="Comma 7 2 2 4 2 3 3" xfId="53395" xr:uid="{EC0CB271-298C-42C0-BC3D-2E23758E23A1}"/>
    <cellStyle name="Comma 7 2 2 4 2 3 4" xfId="48275" xr:uid="{60A4C133-7B4B-41D6-BDF9-04F01534DD87}"/>
    <cellStyle name="Comma 7 2 2 4 2 4" xfId="7319" xr:uid="{F09B985C-6BDC-46FB-9798-AC5D0BB319CB}"/>
    <cellStyle name="Comma 7 2 2 4 2 4 2" xfId="46733" xr:uid="{59994D35-3832-4BA2-9FB9-F1CAA59D6C7A}"/>
    <cellStyle name="Comma 7 2 2 4 2 5" xfId="11842" xr:uid="{F5B269A2-C5AE-40D0-904C-80436A421E74}"/>
    <cellStyle name="Comma 7 2 2 4 2 5 2" xfId="49765" xr:uid="{569D68CC-7BBD-404B-8BF4-6A9B7D8E5F76}"/>
    <cellStyle name="Comma 7 2 2 4 2 6" xfId="53396" xr:uid="{08DA54CF-E8D5-4012-961F-5A0176C732AB}"/>
    <cellStyle name="Comma 7 2 2 4 2 7" xfId="24000" xr:uid="{C1742803-7DF1-4CDE-8373-BDECF83BAC9E}"/>
    <cellStyle name="Comma 7 2 2 4 2 8" xfId="14258" xr:uid="{09550E1A-F3D2-44F3-8468-15DDE7FB09DE}"/>
    <cellStyle name="Comma 7 2 2 4 3" xfId="7509" xr:uid="{3E84E655-8BD8-4B74-8790-6E17016BD0CF}"/>
    <cellStyle name="Comma 7 2 2 4 3 2" xfId="10001" xr:uid="{12ACD955-52CE-4F8F-8FD0-5184E3565ADB}"/>
    <cellStyle name="Comma 7 2 2 4 3 2 2" xfId="13307" xr:uid="{E836E90D-D2E7-4876-AAE1-6A2A28432EEF}"/>
    <cellStyle name="Comma 7 2 2 4 3 2 2 2" xfId="50838" xr:uid="{7B1672BC-78F3-49EB-8A88-FC03AD9FD508}"/>
    <cellStyle name="Comma 7 2 2 4 3 2 3" xfId="53397" xr:uid="{F5DC118A-C22F-4ACE-9E34-B319B9E2319E}"/>
    <cellStyle name="Comma 7 2 2 4 3 2 4" xfId="47969" xr:uid="{2216C01B-23E4-4AE0-AC61-05585D902C38}"/>
    <cellStyle name="Comma 7 2 2 4 3 3" xfId="12022" xr:uid="{B562E9B1-E733-4C4B-89D6-DEFE086F7E86}"/>
    <cellStyle name="Comma 7 2 2 4 3 3 2" xfId="46174" xr:uid="{A5B3D387-E99A-4EB0-864D-4F8DA2F876ED}"/>
    <cellStyle name="Comma 7 2 2 4 3 4" xfId="49510" xr:uid="{F95E2545-A5EA-41E4-9929-84382F526912}"/>
    <cellStyle name="Comma 7 2 2 4 3 5" xfId="53398" xr:uid="{1508D69E-749A-4395-86C6-0C9A4AA3FF99}"/>
    <cellStyle name="Comma 7 2 2 4 3 6" xfId="38497" xr:uid="{A3BFD80C-766A-411D-BB59-64BE3C40F823}"/>
    <cellStyle name="Comma 7 2 2 4 3 7" xfId="14436" xr:uid="{FD013B13-8097-4CD0-BEDF-A1BFB3DDE3A8}"/>
    <cellStyle name="Comma 7 2 2 4 4" xfId="11158" xr:uid="{19DD81F5-44E5-47B7-8803-87487CC3C8A8}"/>
    <cellStyle name="Comma 7 2 2 4 4 2" xfId="13754" xr:uid="{356A0C15-575E-4B5B-837C-068A8B1F28E7}"/>
    <cellStyle name="Comma 7 2 2 4 4 2 2" xfId="51300" xr:uid="{AE608FBE-6A61-4975-BE51-37DE410EC3D5}"/>
    <cellStyle name="Comma 7 2 2 4 4 2 3" xfId="53399" xr:uid="{90010486-E497-42DE-AE69-E370BBB904AC}"/>
    <cellStyle name="Comma 7 2 2 4 4 2 4" xfId="48514" xr:uid="{A5C323B0-AC26-4C40-A8C2-D8401F7E0AC5}"/>
    <cellStyle name="Comma 7 2 2 4 4 3" xfId="46953" xr:uid="{9D2EA0F4-316D-4AFA-9902-93E13E80426E}"/>
    <cellStyle name="Comma 7 2 2 4 4 4" xfId="49972" xr:uid="{DBC3719E-35DC-40D7-8107-9F21300A875F}"/>
    <cellStyle name="Comma 7 2 2 4 4 5" xfId="53400" xr:uid="{FD1727A6-BF58-44F6-A25B-F45DBC05671F}"/>
    <cellStyle name="Comma 7 2 2 4 4 6" xfId="39331" xr:uid="{121BA6C4-EF9D-4564-96B0-F61C3CA6A7DE}"/>
    <cellStyle name="Comma 7 2 2 4 4 7" xfId="15065" xr:uid="{EF2DE193-7B02-4B6D-A25A-81BE932B7321}"/>
    <cellStyle name="Comma 7 2 2 4 5" xfId="9507" xr:uid="{CC0450D7-6CD1-469D-B3C3-784CF68D2E14}"/>
    <cellStyle name="Comma 7 2 2 4 5 2" xfId="12813" xr:uid="{3C9E04EA-F81C-4348-B943-E4C8C894D20D}"/>
    <cellStyle name="Comma 7 2 2 4 5 2 2" xfId="51556" xr:uid="{C08CCE32-ECC3-4E59-92C9-4B3A556324B3}"/>
    <cellStyle name="Comma 7 2 2 4 5 2 3" xfId="53401" xr:uid="{355B5011-444F-4BE8-ADC7-0E289B4247A1}"/>
    <cellStyle name="Comma 7 2 2 4 5 2 4" xfId="48821" xr:uid="{B3322239-8962-40DE-8671-CE910A7AFAA2}"/>
    <cellStyle name="Comma 7 2 2 4 5 3" xfId="47250" xr:uid="{0AD5B280-597A-4DC2-9433-2DE8B4EDA252}"/>
    <cellStyle name="Comma 7 2 2 4 5 4" xfId="50228" xr:uid="{2902135D-D6A3-460B-8867-69F4C8871AF6}"/>
    <cellStyle name="Comma 7 2 2 4 5 5" xfId="53402" xr:uid="{2E27D6C8-68AA-4905-8F5F-3BF0E0435FAE}"/>
    <cellStyle name="Comma 7 2 2 4 5 6" xfId="40320" xr:uid="{2826C7AE-40A6-4414-9271-C6BE9627B6D9}"/>
    <cellStyle name="Comma 7 2 2 4 6" xfId="6535" xr:uid="{D9EB20E1-640B-43A2-8F06-D57F251AC79C}"/>
    <cellStyle name="Comma 7 2 2 4 6 2" xfId="47784" xr:uid="{36DE8BE0-3BE9-4077-B4EB-CA27E364A55F}"/>
    <cellStyle name="Comma 7 2 2 4 6 3" xfId="50683" xr:uid="{EE612E63-53A9-4717-B425-8B41E2E4803A}"/>
    <cellStyle name="Comma 7 2 2 4 6 4" xfId="53403" xr:uid="{3D089B92-9C5C-4A4D-A7C7-0DCF699F8223}"/>
    <cellStyle name="Comma 7 2 2 4 6 5" xfId="40962" xr:uid="{75962055-48A9-4A9E-B1CD-F6DA612D65DC}"/>
    <cellStyle name="Comma 7 2 2 4 7" xfId="11528" xr:uid="{491C09DB-5974-4EA8-8370-683E742D3492}"/>
    <cellStyle name="Comma 7 2 2 4 7 2" xfId="42174" xr:uid="{C9804992-BA4A-4787-B0CB-EF84935DEE70}"/>
    <cellStyle name="Comma 7 2 2 4 8" xfId="43008" xr:uid="{1A38ACC7-0EB1-4639-AA66-CAD571932063}"/>
    <cellStyle name="Comma 7 2 2 4 9" xfId="43561" xr:uid="{F69F1AB2-2B0B-4936-AFF7-9144EF6EC6C6}"/>
    <cellStyle name="Comma 7 2 2 5" xfId="3892" xr:uid="{DDBD4084-46CF-4526-94CE-242172D0A276}"/>
    <cellStyle name="Comma 7 2 2 5 2" xfId="5634" xr:uid="{B88E603D-311E-4D4F-87A5-FABDD0D9CD62}"/>
    <cellStyle name="Comma 7 2 2 5 2 2" xfId="10228" xr:uid="{323DFA13-1C6B-4E32-B8F4-85542578AE80}"/>
    <cellStyle name="Comma 7 2 2 5 2 2 2" xfId="13534" xr:uid="{B0FE1F2E-B0D0-4467-A8B4-2D9AE2DF6521}"/>
    <cellStyle name="Comma 7 2 2 5 2 2 2 2" xfId="51225" xr:uid="{9604B427-325A-4F92-AB6A-B1BC4341D95D}"/>
    <cellStyle name="Comma 7 2 2 5 2 2 3" xfId="53404" xr:uid="{9A83D6C3-0D8F-4026-925B-6E8B28FE96D1}"/>
    <cellStyle name="Comma 7 2 2 5 2 2 4" xfId="48431" xr:uid="{84C70A14-AC48-4E5E-B5D3-A580E442B4F6}"/>
    <cellStyle name="Comma 7 2 2 5 2 3" xfId="7736" xr:uid="{4F4F093E-C7E6-4C85-ABC6-C4C3ECB65BFB}"/>
    <cellStyle name="Comma 7 2 2 5 2 3 2" xfId="46875" xr:uid="{534EEC03-702B-4321-BDFD-A69F5028080B}"/>
    <cellStyle name="Comma 7 2 2 5 2 4" xfId="12249" xr:uid="{1FD4DFA4-CBD7-4917-AAA7-B78CC93DEE2D}"/>
    <cellStyle name="Comma 7 2 2 5 2 4 2" xfId="49897" xr:uid="{5EE4E95E-6D78-4B8D-ABDA-7B3CAFD08CFF}"/>
    <cellStyle name="Comma 7 2 2 5 2 5" xfId="53405" xr:uid="{0AC05175-CFBB-4304-9120-0991DC3E465C}"/>
    <cellStyle name="Comma 7 2 2 5 2 6" xfId="43903" xr:uid="{8F77AD78-D6F2-478C-9DDB-526F03FCF7FB}"/>
    <cellStyle name="Comma 7 2 2 5 2 7" xfId="14663" xr:uid="{FC51454F-5788-4436-A860-D99D6FC89121}"/>
    <cellStyle name="Comma 7 2 2 5 3" xfId="9734" xr:uid="{9BBAD441-81F6-4836-B49A-6212E66D25DB}"/>
    <cellStyle name="Comma 7 2 2 5 3 2" xfId="13040" xr:uid="{BCB1A621-0A50-4185-B728-A9C45A6AFB67}"/>
    <cellStyle name="Comma 7 2 2 5 3 2 2" xfId="51736" xr:uid="{067EBF97-4E68-4BCE-AA37-3E2F01369825}"/>
    <cellStyle name="Comma 7 2 2 5 3 2 3" xfId="53406" xr:uid="{DE7D8880-B455-46C2-AC08-E81195D2A56A}"/>
    <cellStyle name="Comma 7 2 2 5 3 2 4" xfId="49046" xr:uid="{5F40A6D7-0338-4757-AE23-80474B0D0F75}"/>
    <cellStyle name="Comma 7 2 2 5 3 3" xfId="47465" xr:uid="{393AA527-DE18-45DE-B055-3016DDB1BDBC}"/>
    <cellStyle name="Comma 7 2 2 5 3 4" xfId="50408" xr:uid="{B41ECF97-FFAF-4476-8717-C0DCA5A08E04}"/>
    <cellStyle name="Comma 7 2 2 5 3 5" xfId="53407" xr:uid="{4241D14E-B9E1-4C4E-B6CC-9644000078DC}"/>
    <cellStyle name="Comma 7 2 2 5 3 6" xfId="44490" xr:uid="{7435C4EC-1BCB-494F-8E3B-FF5670889840}"/>
    <cellStyle name="Comma 7 2 2 5 3 7" xfId="14978" xr:uid="{CE47F597-6F14-4B92-B435-D729207413B7}"/>
    <cellStyle name="Comma 7 2 2 5 4" xfId="7230" xr:uid="{D0D1E944-E276-4BBB-B54E-59DE10CE6BFA}"/>
    <cellStyle name="Comma 7 2 2 5 4 2" xfId="51018" xr:uid="{9FFF05FB-2BA1-4EDB-B022-DCD1A662A5E6}"/>
    <cellStyle name="Comma 7 2 2 5 4 3" xfId="53408" xr:uid="{8A47D73C-6977-4475-A522-F0182C1DD8D0}"/>
    <cellStyle name="Comma 7 2 2 5 4 4" xfId="48191" xr:uid="{87762F3D-32B1-4CEF-8E91-B1CF662FC7EC}"/>
    <cellStyle name="Comma 7 2 2 5 5" xfId="11755" xr:uid="{E74D49BA-89E9-44F7-85F4-C0C62CD2C8D2}"/>
    <cellStyle name="Comma 7 2 2 5 5 2" xfId="46657" xr:uid="{FE136F26-50BE-49FA-9D06-C9DCC5F56111}"/>
    <cellStyle name="Comma 7 2 2 5 6" xfId="49690" xr:uid="{53F627D4-9248-4E8C-8E5A-35645BF5F6FE}"/>
    <cellStyle name="Comma 7 2 2 5 7" xfId="53409" xr:uid="{F0DB8F14-D98C-45DC-BF46-0507BFF5175B}"/>
    <cellStyle name="Comma 7 2 2 5 8" xfId="19984" xr:uid="{13FD11BF-021D-4A3C-9DB3-C1D9740804B9}"/>
    <cellStyle name="Comma 7 2 2 5 9" xfId="14171" xr:uid="{3C0723D8-5726-4E1A-B50C-88BFC07DE247}"/>
    <cellStyle name="Comma 7 2 2 6" xfId="5545" xr:uid="{62EBAF5D-726B-4C2B-A3F1-1EE43F2631C4}"/>
    <cellStyle name="Comma 7 2 2 6 2" xfId="7647" xr:uid="{6C2732F5-7E7A-49DE-9143-610DE8AD284E}"/>
    <cellStyle name="Comma 7 2 2 6 2 2" xfId="10139" xr:uid="{A7489657-4A36-4AC2-948F-AF3E444D48DF}"/>
    <cellStyle name="Comma 7 2 2 6 2 2 2" xfId="13445" xr:uid="{A385C610-ADC9-4D83-8932-629829068751}"/>
    <cellStyle name="Comma 7 2 2 6 2 2 2 2" xfId="51402" xr:uid="{D6B8DDB7-F56D-4026-98CB-0836C205E679}"/>
    <cellStyle name="Comma 7 2 2 6 2 2 3" xfId="53410" xr:uid="{7E210A97-1C36-4D73-B910-4C0681E68C86}"/>
    <cellStyle name="Comma 7 2 2 6 2 2 4" xfId="48639" xr:uid="{40E382C7-85AE-4C9D-843D-3C5384E0DC81}"/>
    <cellStyle name="Comma 7 2 2 6 2 3" xfId="12160" xr:uid="{A83C8DF8-6B41-4057-AC55-A360A44FC7AD}"/>
    <cellStyle name="Comma 7 2 2 6 2 3 2" xfId="47073" xr:uid="{15F2348A-4BB4-4B4A-A284-04CA930ADFB6}"/>
    <cellStyle name="Comma 7 2 2 6 2 4" xfId="50074" xr:uid="{20DC1E2F-76B6-4BCA-B3B4-7C73F5CB1B45}"/>
    <cellStyle name="Comma 7 2 2 6 2 5" xfId="53411" xr:uid="{C0ACBFBA-36EA-4DD9-8A16-3CFEE256D921}"/>
    <cellStyle name="Comma 7 2 2 6 2 6" xfId="43834" xr:uid="{A6291889-6D77-4723-BF27-080157DAE1C6}"/>
    <cellStyle name="Comma 7 2 2 6 2 7" xfId="14574" xr:uid="{ACC89DB9-06F7-4290-871A-053BF2749C32}"/>
    <cellStyle name="Comma 7 2 2 6 3" xfId="9645" xr:uid="{21100B0D-0391-4A06-BF89-3F62C017FE76}"/>
    <cellStyle name="Comma 7 2 2 6 3 2" xfId="12951" xr:uid="{3EF7B39D-7B1C-46CE-99D9-5EAC44484929}"/>
    <cellStyle name="Comma 7 2 2 6 3 2 2" xfId="51671" xr:uid="{EAFC9E4C-2E3E-4EAD-8A80-69BD470EF150}"/>
    <cellStyle name="Comma 7 2 2 6 3 2 3" xfId="53412" xr:uid="{D245527D-DEBE-4F7B-92F0-2A941625D13E}"/>
    <cellStyle name="Comma 7 2 2 6 3 2 4" xfId="48959" xr:uid="{F9C6777A-889A-418B-8031-4E6470987A23}"/>
    <cellStyle name="Comma 7 2 2 6 3 3" xfId="50343" xr:uid="{924C4F1D-6713-41B6-BB6C-4E4A572A11CA}"/>
    <cellStyle name="Comma 7 2 2 6 3 4" xfId="53413" xr:uid="{66D648A3-9FD1-43F1-9E1B-0361A5341F83}"/>
    <cellStyle name="Comma 7 2 2 6 3 5" xfId="47383" xr:uid="{4C00E82A-2D1B-41AC-A943-D6B626809329}"/>
    <cellStyle name="Comma 7 2 2 6 4" xfId="7141" xr:uid="{8E6A8C50-E35F-4281-8C9B-BB67DD6FD8F7}"/>
    <cellStyle name="Comma 7 2 2 6 4 2" xfId="50953" xr:uid="{24E65CF2-6D3C-4BA4-9802-F0D5E1C0C9E2}"/>
    <cellStyle name="Comma 7 2 2 6 4 3" xfId="53414" xr:uid="{93A57601-1A2B-40B9-BEF8-CB71B2B95A64}"/>
    <cellStyle name="Comma 7 2 2 6 4 4" xfId="48104" xr:uid="{410BF147-4B14-4B9C-B3F5-147BD4B53084}"/>
    <cellStyle name="Comma 7 2 2 6 5" xfId="11666" xr:uid="{9451A064-D141-4A3D-9C19-01D35C4CCA63}"/>
    <cellStyle name="Comma 7 2 2 6 5 2" xfId="46592" xr:uid="{55147E87-5A1E-47CB-AF49-D639F102956F}"/>
    <cellStyle name="Comma 7 2 2 6 6" xfId="49625" xr:uid="{4286704E-4D84-48EC-8AD0-89517CF65D83}"/>
    <cellStyle name="Comma 7 2 2 6 7" xfId="53415" xr:uid="{AD4B0749-CF48-4DCE-87B9-4952CA39EC06}"/>
    <cellStyle name="Comma 7 2 2 6 8" xfId="23997" xr:uid="{963B154A-1F8D-4FEE-A62E-2375B53D5C09}"/>
    <cellStyle name="Comma 7 2 2 6 9" xfId="14082" xr:uid="{29737463-658B-4CC3-9E63-249A5879E58C}"/>
    <cellStyle name="Comma 7 2 2 7" xfId="5959" xr:uid="{2A856BDC-DBEA-4C08-B2F0-22D6A3A54ABD}"/>
    <cellStyle name="Comma 7 2 2 7 2" xfId="9417" xr:uid="{52187441-AD8C-40CB-AA39-B107710E8149}"/>
    <cellStyle name="Comma 7 2 2 7 2 2" xfId="12723" xr:uid="{D3D53D28-7CF4-45CC-8179-B734EFC9DB6D}"/>
    <cellStyle name="Comma 7 2 2 7 2 2 2" xfId="50763" xr:uid="{F7430C91-8F73-4A7D-A6D9-76328F82D222}"/>
    <cellStyle name="Comma 7 2 2 7 2 3" xfId="53416" xr:uid="{8D87CF82-6667-4C74-97FE-41D9C7A1D1F9}"/>
    <cellStyle name="Comma 7 2 2 7 2 4" xfId="47886" xr:uid="{7B9C61A5-8ED0-4AC6-BF14-94FC9614B428}"/>
    <cellStyle name="Comma 7 2 2 7 3" xfId="11438" xr:uid="{55C6F962-2B4F-47F1-BEB1-510218CCE22B}"/>
    <cellStyle name="Comma 7 2 2 7 3 2" xfId="45813" xr:uid="{18966438-9076-4BC1-8C1B-2FCC3240022D}"/>
    <cellStyle name="Comma 7 2 2 7 4" xfId="49435" xr:uid="{99F96141-5B81-4A14-97E2-DB413959845F}"/>
    <cellStyle name="Comma 7 2 2 7 5" xfId="53417" xr:uid="{70624204-C57D-40F8-8488-7CA422FAC91D}"/>
    <cellStyle name="Comma 7 2 2 7 6" xfId="38494" xr:uid="{8BB76FCB-7638-4D50-B1B4-321F49766DF7}"/>
    <cellStyle name="Comma 7 2 2 7 7" xfId="14349" xr:uid="{3FFB36D4-2C6E-4A0A-9D0E-7DC44EAEF2DD}"/>
    <cellStyle name="Comma 7 2 2 8" xfId="7422" xr:uid="{EFB96E20-67FE-4037-9F25-F01112639C8E}"/>
    <cellStyle name="Comma 7 2 2 8 2" xfId="9914" xr:uid="{FDE263BF-446B-4FF5-8FCD-63D90AD9F341}"/>
    <cellStyle name="Comma 7 2 2 8 2 2" xfId="13220" xr:uid="{0EF08865-D772-41DE-B593-C33BF6A9D0F4}"/>
    <cellStyle name="Comma 7 2 2 8 2 2 2" xfId="51196" xr:uid="{F92F839A-EB09-40E6-8DA1-3EDDF9A5A12F}"/>
    <cellStyle name="Comma 7 2 2 8 2 3" xfId="53418" xr:uid="{6F01E0E6-41EB-49C6-9553-082A79FEB1C6}"/>
    <cellStyle name="Comma 7 2 2 8 2 4" xfId="48395" xr:uid="{DF751965-0514-491D-A761-92594AF74AFC}"/>
    <cellStyle name="Comma 7 2 2 8 3" xfId="11935" xr:uid="{8B874BAC-2894-4922-A99C-2DC039C1E264}"/>
    <cellStyle name="Comma 7 2 2 8 3 2" xfId="46844" xr:uid="{127377C4-A0E2-4A7E-B3F4-69CDE053C77F}"/>
    <cellStyle name="Comma 7 2 2 8 4" xfId="49868" xr:uid="{707700AC-2C10-4B99-8433-C14DCED44FE2}"/>
    <cellStyle name="Comma 7 2 2 8 5" xfId="53419" xr:uid="{5E054894-B218-490A-9638-23F14D9DC9AA}"/>
    <cellStyle name="Comma 7 2 2 8 6" xfId="38740" xr:uid="{42ACF75A-2BE0-40DA-ACFF-5F7588A7317C}"/>
    <cellStyle name="Comma 7 2 2 8 7" xfId="14889" xr:uid="{B873CC9F-E750-4347-A22D-B65B1FCE7EC1}"/>
    <cellStyle name="Comma 7 2 2 9" xfId="8175" xr:uid="{301F825B-25D5-428F-B780-E28D385A58E0}"/>
    <cellStyle name="Comma 7 2 2 9 2" xfId="12631" xr:uid="{3DD4D0C4-C93C-467A-96CC-35F2D9EDDEC6}"/>
    <cellStyle name="Comma 7 2 2 9 2 2" xfId="51481" xr:uid="{10740F5F-1ACD-4321-BFB1-02A5FBC7C8E7}"/>
    <cellStyle name="Comma 7 2 2 9 2 3" xfId="53420" xr:uid="{71D488CE-2685-43BA-92BD-86AEFA206838}"/>
    <cellStyle name="Comma 7 2 2 9 2 4" xfId="48737" xr:uid="{4FB2DA94-B182-4CA1-A0C1-5F25A89631B4}"/>
    <cellStyle name="Comma 7 2 2 9 3" xfId="47172" xr:uid="{C1D72569-751A-4980-AD49-C262BB98B13E}"/>
    <cellStyle name="Comma 7 2 2 9 4" xfId="50153" xr:uid="{1941BDB6-5F0E-4253-86E8-089DD55B0A30}"/>
    <cellStyle name="Comma 7 2 2 9 5" xfId="53421" xr:uid="{0F7782A5-DE15-44A9-97CE-E303D2F95738}"/>
    <cellStyle name="Comma 7 2 2 9 6" xfId="40317" xr:uid="{9EC525A9-7F7D-4A10-9D71-EC57C931D54F}"/>
    <cellStyle name="Comma 7 2 20" xfId="53422" xr:uid="{2A816E2D-F3CB-40A4-8725-832AC73FE2B5}"/>
    <cellStyle name="Comma 7 2 21" xfId="15326" xr:uid="{81C61858-163A-4A80-906F-A72A6F469EAC}"/>
    <cellStyle name="Comma 7 2 22" xfId="13855" xr:uid="{4F12CFCE-ACE1-4BF6-B63D-975B9A2D309C}"/>
    <cellStyle name="Comma 7 2 3" xfId="1791" xr:uid="{447E7DC8-E0BF-4CB5-A7C7-31CA6002335A}"/>
    <cellStyle name="Comma 7 2 3 10" xfId="7965" xr:uid="{847030FD-A0AC-4868-BCA6-B7700B4D7BAA}"/>
    <cellStyle name="Comma 7 2 3 10 2" xfId="12478" xr:uid="{2CCBEAD6-FE23-4BE3-8AE0-C6EB0A414BC2}"/>
    <cellStyle name="Comma 7 2 3 10 2 2" xfId="47637" xr:uid="{18F7DA78-6961-4791-AC30-1CBC1CC9116B}"/>
    <cellStyle name="Comma 7 2 3 10 3" xfId="50550" xr:uid="{59E9B252-8992-4297-AD77-D48A1698F9F4}"/>
    <cellStyle name="Comma 7 2 3 10 4" xfId="53423" xr:uid="{1F8D7486-FFD4-4427-B4EA-2014E38EF9C1}"/>
    <cellStyle name="Comma 7 2 3 10 5" xfId="40321" xr:uid="{52426FD8-E803-4B19-BC67-39E8634EF0AD}"/>
    <cellStyle name="Comma 7 2 3 11" xfId="5862" xr:uid="{55D4283D-EB3C-40F4-AEA2-FA589B67A78D}"/>
    <cellStyle name="Comma 7 2 3 11 2" xfId="40963" xr:uid="{322D0BF3-9472-400B-AAB2-93C30786ABF7}"/>
    <cellStyle name="Comma 7 2 3 12" xfId="11350" xr:uid="{9BB2CC20-0E68-43CC-BC01-7D1632C09F78}"/>
    <cellStyle name="Comma 7 2 3 12 2" xfId="42175" xr:uid="{35676385-964D-4BAE-BD44-E1C0F5535A8B}"/>
    <cellStyle name="Comma 7 2 3 13" xfId="42512" xr:uid="{3EEE831A-0D9F-4FCA-A314-9D740549A95E}"/>
    <cellStyle name="Comma 7 2 3 14" xfId="43485" xr:uid="{4C057C7F-9B94-4316-A236-A3FE886160A6}"/>
    <cellStyle name="Comma 7 2 3 15" xfId="44427" xr:uid="{6BD07832-5F8C-4A23-91D2-614A12B86656}"/>
    <cellStyle name="Comma 7 2 3 16" xfId="45592" xr:uid="{EF4920BC-BECE-4F8B-9657-02C5E4972C53}"/>
    <cellStyle name="Comma 7 2 3 17" xfId="49222" xr:uid="{E2A2CF8A-10D9-4364-A036-4D2DF643CA2A}"/>
    <cellStyle name="Comma 7 2 3 18" xfId="53424" xr:uid="{E1D1027F-C0CF-4E59-8BBE-D4E00EC54033}"/>
    <cellStyle name="Comma 7 2 3 19" xfId="16775" xr:uid="{D215A5D2-2477-45EA-A27D-58EFFC878BD6}"/>
    <cellStyle name="Comma 7 2 3 2" xfId="1792" xr:uid="{21706EDC-48E3-4FD2-8120-B828D26ED407}"/>
    <cellStyle name="Comma 7 2 3 2 10" xfId="42176" xr:uid="{7E7C87F9-9D94-4C40-BAFD-C87E973E7EF9}"/>
    <cellStyle name="Comma 7 2 3 2 11" xfId="42476" xr:uid="{DDD24155-4471-443A-874D-8FBA9D7D1F01}"/>
    <cellStyle name="Comma 7 2 3 2 12" xfId="43565" xr:uid="{B4677FA8-9D74-4574-8D7E-58C243DF558B}"/>
    <cellStyle name="Comma 7 2 3 2 13" xfId="44428" xr:uid="{81079279-7175-4477-840F-67167A72DA22}"/>
    <cellStyle name="Comma 7 2 3 2 14" xfId="45654" xr:uid="{1324B2D0-1469-4656-9582-4323429CB179}"/>
    <cellStyle name="Comma 7 2 3 2 15" xfId="49283" xr:uid="{B6008AB2-DA05-47B2-968C-71395F716B95}"/>
    <cellStyle name="Comma 7 2 3 2 16" xfId="53425" xr:uid="{164D0960-0776-44C2-BF56-89A04900A757}"/>
    <cellStyle name="Comma 7 2 3 2 17" xfId="16670" xr:uid="{537A1DE5-17C9-461D-AEDF-DDAE59D814AA}"/>
    <cellStyle name="Comma 7 2 3 2 18" xfId="13948" xr:uid="{128EF94B-0C37-4AE8-B7DE-87BC2122EF14}"/>
    <cellStyle name="Comma 7 2 3 2 2" xfId="4468" xr:uid="{7EE4C996-8394-4CC7-8810-C7E9C0B8D937}"/>
    <cellStyle name="Comma 7 2 3 2 2 10" xfId="42774" xr:uid="{7317D314-541F-40D8-8D91-9A6E777FD9BA}"/>
    <cellStyle name="Comma 7 2 3 2 2 11" xfId="44269" xr:uid="{9D907251-C212-4CCD-B8F3-6E56B64C158B}"/>
    <cellStyle name="Comma 7 2 3 2 2 12" xfId="44569" xr:uid="{5983CF22-5C7F-40EC-9771-0CCEC7C47A3C}"/>
    <cellStyle name="Comma 7 2 3 2 2 13" xfId="45773" xr:uid="{11072D08-BC36-42BE-B16C-F702DA8486AC}"/>
    <cellStyle name="Comma 7 2 3 2 2 14" xfId="49401" xr:uid="{4EE91B65-0545-40C7-B04A-EDCD68FEB239}"/>
    <cellStyle name="Comma 7 2 3 2 2 15" xfId="53426" xr:uid="{AD13BD3C-DAD6-4BCD-9F70-5B3ABA53E974}"/>
    <cellStyle name="Comma 7 2 3 2 2 16" xfId="17127" xr:uid="{589858B2-F7D7-47CB-AED2-97251203DA60}"/>
    <cellStyle name="Comma 7 2 3 2 2 17" xfId="14262" xr:uid="{6405A4DD-3CED-4FCB-9EA1-18D8BFF3576F}"/>
    <cellStyle name="Comma 7 2 3 2 2 2" xfId="5725" xr:uid="{09A3B7EA-C47B-4009-A767-793D93F314C9}"/>
    <cellStyle name="Comma 7 2 3 2 2 2 10" xfId="14754" xr:uid="{5DBDA274-B2CF-463F-8EA3-5FB68311B7EE}"/>
    <cellStyle name="Comma 7 2 3 2 2 2 2" xfId="10319" xr:uid="{BE0C04CB-F966-4BAA-8CA3-0345B067D33E}"/>
    <cellStyle name="Comma 7 2 3 2 2 2 2 2" xfId="13625" xr:uid="{4A37555D-2BE4-454F-A319-6704F34DA1B8}"/>
    <cellStyle name="Comma 7 2 3 2 2 2 2 2 2" xfId="48279" xr:uid="{C2E8C7CE-09AC-42A8-93E3-9239D81D6605}"/>
    <cellStyle name="Comma 7 2 3 2 2 2 2 3" xfId="51097" xr:uid="{7EAD1282-0186-4E2A-88EE-64E9D5D64465}"/>
    <cellStyle name="Comma 7 2 3 2 2 2 2 4" xfId="53427" xr:uid="{9C92FD34-2B7B-4DBB-8260-F66BB0CD9F9C}"/>
    <cellStyle name="Comma 7 2 3 2 2 2 2 5" xfId="39688" xr:uid="{730CD18C-F66C-4EB3-AEC6-F18E70974D27}"/>
    <cellStyle name="Comma 7 2 3 2 2 2 3" xfId="7827" xr:uid="{AABCDDB3-79A8-494B-9979-57D92C15EE6C}"/>
    <cellStyle name="Comma 7 2 3 2 2 2 3 2" xfId="41541" xr:uid="{D69AAAD0-8DEF-44D0-B42A-949E3269B354}"/>
    <cellStyle name="Comma 7 2 3 2 2 2 4" xfId="12340" xr:uid="{CDC7D466-2812-45B4-8AEB-16571824FCA4}"/>
    <cellStyle name="Comma 7 2 3 2 2 2 4 2" xfId="43365" xr:uid="{D9796521-60E7-4D06-9C5C-DB72AE9DAB21}"/>
    <cellStyle name="Comma 7 2 3 2 2 2 5" xfId="45458" xr:uid="{8F04C1E5-E23E-4FB5-BF33-E1A409ABBB91}"/>
    <cellStyle name="Comma 7 2 3 2 2 2 6" xfId="46737" xr:uid="{B32AAA18-65CE-4077-A175-DB62254876FC}"/>
    <cellStyle name="Comma 7 2 3 2 2 2 7" xfId="49769" xr:uid="{2E43878A-145B-42AA-8029-D3C87F6277D1}"/>
    <cellStyle name="Comma 7 2 3 2 2 2 8" xfId="53428" xr:uid="{A49EDE3F-1916-4C33-9FF1-911AA54CBF96}"/>
    <cellStyle name="Comma 7 2 3 2 2 2 9" xfId="21122" xr:uid="{0FBDD709-3DDB-4FFF-A996-D78A455EFFD4}"/>
    <cellStyle name="Comma 7 2 3 2 2 3" xfId="11234" xr:uid="{89EA264B-FAF0-4E04-8F71-3AF2119A21E6}"/>
    <cellStyle name="Comma 7 2 3 2 2 3 2" xfId="13796" xr:uid="{BDD92903-D237-4449-8025-AD15683FB9AB}"/>
    <cellStyle name="Comma 7 2 3 2 2 3 2 2" xfId="51432" xr:uid="{8C631BD1-DA0B-48C6-9ED2-0DB59D8A2DAF}"/>
    <cellStyle name="Comma 7 2 3 2 2 3 2 3" xfId="53429" xr:uid="{54E7B901-A736-4967-B48E-289A8A6FA86F}"/>
    <cellStyle name="Comma 7 2 3 2 2 3 2 4" xfId="48677" xr:uid="{8B9CA4C8-EB4A-458C-A310-BCD00DE1463C}"/>
    <cellStyle name="Comma 7 2 3 2 2 3 3" xfId="47114" xr:uid="{5522C78A-0EAA-4A65-ABDB-ECE1A553A053}"/>
    <cellStyle name="Comma 7 2 3 2 2 3 4" xfId="50104" xr:uid="{632375B5-CD49-44FE-AD3F-BDFADAFD9F09}"/>
    <cellStyle name="Comma 7 2 3 2 2 3 5" xfId="53430" xr:uid="{FAFB2B48-85A0-47DA-BCBC-AC4231D68EC9}"/>
    <cellStyle name="Comma 7 2 3 2 2 3 6" xfId="20341" xr:uid="{0E0BB41A-9147-4C91-9352-1BA32FACE0AD}"/>
    <cellStyle name="Comma 7 2 3 2 2 3 7" xfId="15069" xr:uid="{261104A7-940E-4532-8D67-1EBD2CEBC2E1}"/>
    <cellStyle name="Comma 7 2 3 2 2 4" xfId="9825" xr:uid="{50322361-8DA2-4942-973A-1D230E3BF01A}"/>
    <cellStyle name="Comma 7 2 3 2 2 4 2" xfId="13131" xr:uid="{EFC9AF54-A29F-4480-9E3B-126CAD0BF185}"/>
    <cellStyle name="Comma 7 2 3 2 2 4 2 2" xfId="51815" xr:uid="{54C66A5F-AFD7-43D4-AC12-301FC94802ED}"/>
    <cellStyle name="Comma 7 2 3 2 2 4 2 3" xfId="53431" xr:uid="{EEDC4EE3-120F-46D4-A515-BB9EE230A9E5}"/>
    <cellStyle name="Comma 7 2 3 2 2 4 2 4" xfId="49135" xr:uid="{1AF22072-F831-43DB-9E11-E032A2FC2623}"/>
    <cellStyle name="Comma 7 2 3 2 2 4 3" xfId="47552" xr:uid="{9B05AFCB-A49E-4297-8435-64FD467FCD93}"/>
    <cellStyle name="Comma 7 2 3 2 2 4 4" xfId="50487" xr:uid="{A3BBC541-E450-4A54-825C-933CE25C572D}"/>
    <cellStyle name="Comma 7 2 3 2 2 4 5" xfId="53432" xr:uid="{01DC1FDE-F5C2-4453-BA97-26C4E41A5943}"/>
    <cellStyle name="Comma 7 2 3 2 2 4 6" xfId="24003" xr:uid="{5B360E91-4EA0-44C5-A37F-00EEC305A76F}"/>
    <cellStyle name="Comma 7 2 3 2 2 5" xfId="7323" xr:uid="{E2C3EFB8-F8C9-49A7-ACA0-AF18A07EC937}"/>
    <cellStyle name="Comma 7 2 3 2 2 5 2" xfId="47841" xr:uid="{ACF7E1C1-73DE-41AB-80F6-016927001BE8}"/>
    <cellStyle name="Comma 7 2 3 2 2 5 3" xfId="50729" xr:uid="{11CB4D15-C486-4ACE-8979-E7A9198414F2}"/>
    <cellStyle name="Comma 7 2 3 2 2 5 4" xfId="53433" xr:uid="{FE0C14A9-96DA-4365-9004-CDF01DA23E62}"/>
    <cellStyle name="Comma 7 2 3 2 2 5 5" xfId="38500" xr:uid="{EFA4ACE6-75D4-41AC-8604-C097CDD445E4}"/>
    <cellStyle name="Comma 7 2 3 2 2 6" xfId="11846" xr:uid="{25E5762B-132B-463F-9DEB-9F08B5B6F0E7}"/>
    <cellStyle name="Comma 7 2 3 2 2 6 2" xfId="39097" xr:uid="{696EDB93-DEEA-4403-B7DB-9147F7B9F514}"/>
    <cellStyle name="Comma 7 2 3 2 2 7" xfId="40323" xr:uid="{17DD8DB0-1A57-4F4B-981E-CE0CF0E7D26C}"/>
    <cellStyle name="Comma 7 2 3 2 2 8" xfId="40965" xr:uid="{51F05746-74B1-43F0-872C-7EEAB6BCBD8A}"/>
    <cellStyle name="Comma 7 2 3 2 2 9" xfId="42177" xr:uid="{3E08ADAB-EFF5-4CB8-8235-DB0C753DE35D}"/>
    <cellStyle name="Comma 7 2 3 2 3" xfId="5549" xr:uid="{48DC135F-3417-4EAD-B9EF-18357F3E18FD}"/>
    <cellStyle name="Comma 7 2 3 2 3 10" xfId="20764" xr:uid="{76E5E6CA-9903-4B8B-9715-2074A7880B4B}"/>
    <cellStyle name="Comma 7 2 3 2 3 11" xfId="14086" xr:uid="{A71E268E-BA46-4974-BC84-F1463638A643}"/>
    <cellStyle name="Comma 7 2 3 2 3 2" xfId="7651" xr:uid="{A9728092-0DD4-4960-A25F-E07B542FD345}"/>
    <cellStyle name="Comma 7 2 3 2 3 2 2" xfId="10143" xr:uid="{80FCDACC-787E-4E1E-9B98-8D54DE982670}"/>
    <cellStyle name="Comma 7 2 3 2 3 2 2 2" xfId="13449" xr:uid="{C6D6A649-8101-49FA-841A-0DE73DB6AE61}"/>
    <cellStyle name="Comma 7 2 3 2 3 2 2 2 2" xfId="51675" xr:uid="{210639F4-1D52-4800-9B6A-1E54571FE37C}"/>
    <cellStyle name="Comma 7 2 3 2 3 2 2 3" xfId="53434" xr:uid="{61D230CD-2302-4A97-981C-331710040807}"/>
    <cellStyle name="Comma 7 2 3 2 3 2 2 4" xfId="48963" xr:uid="{A68374F2-8230-4EAF-907D-C31BC6F5439B}"/>
    <cellStyle name="Comma 7 2 3 2 3 2 3" xfId="12164" xr:uid="{F8794C04-8AB9-4128-8E46-FF7C30E141AE}"/>
    <cellStyle name="Comma 7 2 3 2 3 2 3 2" xfId="47387" xr:uid="{9DEFB979-D327-48EC-9692-6006E99F0C26}"/>
    <cellStyle name="Comma 7 2 3 2 3 2 4" xfId="50347" xr:uid="{53BFF91A-6948-4347-B923-467448F25F3F}"/>
    <cellStyle name="Comma 7 2 3 2 3 2 5" xfId="53435" xr:uid="{9E41D940-D1C4-4930-B50E-9C8515AA043C}"/>
    <cellStyle name="Comma 7 2 3 2 3 2 6" xfId="39390" xr:uid="{4C47A76C-9C82-4528-8708-18FF2A1A25A6}"/>
    <cellStyle name="Comma 7 2 3 2 3 2 7" xfId="14578" xr:uid="{0F1912CB-82DE-46E8-ABA1-D825B25B5710}"/>
    <cellStyle name="Comma 7 2 3 2 3 3" xfId="9649" xr:uid="{880F8EA5-D61F-4B25-B7A9-13FDAEED0D7F}"/>
    <cellStyle name="Comma 7 2 3 2 3 3 2" xfId="12955" xr:uid="{735A27F8-0C88-4E58-AAEF-CD252978E7F1}"/>
    <cellStyle name="Comma 7 2 3 2 3 3 2 2" xfId="48108" xr:uid="{BA272AFA-1233-4170-A0E6-012D75F6656C}"/>
    <cellStyle name="Comma 7 2 3 2 3 3 3" xfId="50957" xr:uid="{52FB0194-3741-4D48-B902-C55E1FAB36C4}"/>
    <cellStyle name="Comma 7 2 3 2 3 3 4" xfId="53436" xr:uid="{42223B0E-F9FD-42C4-A854-7E7B30796ECF}"/>
    <cellStyle name="Comma 7 2 3 2 3 3 5" xfId="41246" xr:uid="{87CB9388-56F8-40C6-9B36-410C256C4E80}"/>
    <cellStyle name="Comma 7 2 3 2 3 4" xfId="7145" xr:uid="{C9A2EF49-5372-4A30-8815-AE229C53C8A0}"/>
    <cellStyle name="Comma 7 2 3 2 3 4 2" xfId="43067" xr:uid="{9CE950B5-076C-4C24-9016-643F2D5A4DBB}"/>
    <cellStyle name="Comma 7 2 3 2 3 5" xfId="11670" xr:uid="{3BEE3A7E-22D0-4BBA-90DB-CA420D52A4CA}"/>
    <cellStyle name="Comma 7 2 3 2 3 5 2" xfId="43838" xr:uid="{3789E714-EE73-458B-BBD7-ED09E0ED3D8C}"/>
    <cellStyle name="Comma 7 2 3 2 3 6" xfId="45166" xr:uid="{8C7E62D3-D35B-483A-A849-EADB80ADBBDF}"/>
    <cellStyle name="Comma 7 2 3 2 3 7" xfId="46596" xr:uid="{5E397108-7BB7-40F4-A19A-350E56466BF6}"/>
    <cellStyle name="Comma 7 2 3 2 3 8" xfId="49629" xr:uid="{EBE88B0D-3464-4110-8A21-11A7D977797E}"/>
    <cellStyle name="Comma 7 2 3 2 3 9" xfId="53437" xr:uid="{3F3FD4BE-C476-49C1-9018-C3EF25F26754}"/>
    <cellStyle name="Comma 7 2 3 2 4" xfId="6539" xr:uid="{3FF15E43-4572-4DA2-A094-430D5F059FF3}"/>
    <cellStyle name="Comma 7 2 3 2 4 2" xfId="9511" xr:uid="{E2A4B33F-D410-4C54-9452-1D302FA0FB14}"/>
    <cellStyle name="Comma 7 2 3 2 4 2 2" xfId="12817" xr:uid="{2BF76B6D-1175-4E8C-B918-B3C47C7E2D81}"/>
    <cellStyle name="Comma 7 2 3 2 4 2 2 2" xfId="50842" xr:uid="{2ACF3001-FC60-484F-A918-10205FD9A3AA}"/>
    <cellStyle name="Comma 7 2 3 2 4 2 3" xfId="53438" xr:uid="{F0BCDEEB-7388-4CCA-818D-C6DD39F99A72}"/>
    <cellStyle name="Comma 7 2 3 2 4 2 4" xfId="47973" xr:uid="{0D239759-293E-4003-BC93-455B82888C36}"/>
    <cellStyle name="Comma 7 2 3 2 4 3" xfId="11532" xr:uid="{B5A38915-BBFF-42DD-A8F2-BB2A901C954D}"/>
    <cellStyle name="Comma 7 2 3 2 4 3 2" xfId="46178" xr:uid="{1DFA76E4-9D0C-4B55-A75A-DA931094A17D}"/>
    <cellStyle name="Comma 7 2 3 2 4 4" xfId="49514" xr:uid="{E7A482EF-19C8-437D-9511-B8B4E33B1FED}"/>
    <cellStyle name="Comma 7 2 3 2 4 5" xfId="53439" xr:uid="{C6C53838-2295-4725-8D79-F927A8EDCF5F}"/>
    <cellStyle name="Comma 7 2 3 2 4 6" xfId="20043" xr:uid="{B2773D7F-F919-4ED9-A904-F49479C43BAE}"/>
    <cellStyle name="Comma 7 2 3 2 4 7" xfId="14440" xr:uid="{D4D9433D-7C87-4E2C-B36E-227B5D1D4F14}"/>
    <cellStyle name="Comma 7 2 3 2 5" xfId="7513" xr:uid="{0540EF12-0A9E-4F94-8307-1C0744E747B2}"/>
    <cellStyle name="Comma 7 2 3 2 5 2" xfId="10005" xr:uid="{B5B5B830-AC2B-4FBE-B046-30DB74BCC356}"/>
    <cellStyle name="Comma 7 2 3 2 5 2 2" xfId="13311" xr:uid="{ABDB94A4-A9FE-4817-B779-7E29C9BE048E}"/>
    <cellStyle name="Comma 7 2 3 2 5 2 2 2" xfId="51304" xr:uid="{F05BA5A0-78DF-4875-9536-66EA823D3044}"/>
    <cellStyle name="Comma 7 2 3 2 5 2 3" xfId="53440" xr:uid="{A75F37EE-B298-4C38-8A90-A2D2947F049C}"/>
    <cellStyle name="Comma 7 2 3 2 5 2 4" xfId="48518" xr:uid="{260068EE-9308-4EDC-A94D-56ADE1BAD3AF}"/>
    <cellStyle name="Comma 7 2 3 2 5 3" xfId="12026" xr:uid="{4B76052F-BE6D-4238-86C2-A4889E95BC24}"/>
    <cellStyle name="Comma 7 2 3 2 5 3 2" xfId="46957" xr:uid="{89F35AE5-FC68-4BB6-A5F0-CC0CDB79C692}"/>
    <cellStyle name="Comma 7 2 3 2 5 4" xfId="49976" xr:uid="{8AF022B1-98F1-4CFC-8042-C1987585049F}"/>
    <cellStyle name="Comma 7 2 3 2 5 5" xfId="53441" xr:uid="{79C9E10F-E455-4F4E-A5FF-D508D9D602B6}"/>
    <cellStyle name="Comma 7 2 3 2 5 6" xfId="24002" xr:uid="{E31AFC72-5C65-4596-AD6E-B339A398B43F}"/>
    <cellStyle name="Comma 7 2 3 2 5 7" xfId="14893" xr:uid="{E2FABF3E-D527-40E4-97FB-C41AB79C0076}"/>
    <cellStyle name="Comma 7 2 3 2 6" xfId="8179" xr:uid="{95B566FB-BAF6-4C9F-B6C8-E9AE06D62E74}"/>
    <cellStyle name="Comma 7 2 3 2 6 2" xfId="12635" xr:uid="{D5BF7DD2-AAE8-4CEE-AE90-EF8F9340CE92}"/>
    <cellStyle name="Comma 7 2 3 2 6 2 2" xfId="51560" xr:uid="{D640CE51-6542-4FF4-898C-B35D42930992}"/>
    <cellStyle name="Comma 7 2 3 2 6 2 3" xfId="53442" xr:uid="{201FCF49-51DD-4986-B22C-110BC0394977}"/>
    <cellStyle name="Comma 7 2 3 2 6 2 4" xfId="48825" xr:uid="{4031478D-0CD3-476A-B14F-F6D5E7849A9B}"/>
    <cellStyle name="Comma 7 2 3 2 6 3" xfId="47254" xr:uid="{47771DE1-0CC8-49E4-B045-A0706013828F}"/>
    <cellStyle name="Comma 7 2 3 2 6 4" xfId="50232" xr:uid="{0BACA6F8-C66B-493B-AD74-2218EB45B4E5}"/>
    <cellStyle name="Comma 7 2 3 2 6 5" xfId="53443" xr:uid="{7DC5E36D-06C9-4DCD-9BF9-AE5873ECECF1}"/>
    <cellStyle name="Comma 7 2 3 2 6 6" xfId="38499" xr:uid="{173444D8-0C3F-4DEC-AC2F-7222442577D2}"/>
    <cellStyle name="Comma 7 2 3 2 7" xfId="7966" xr:uid="{13BC18BF-DBAE-4C97-BA0F-7B9406EB8222}"/>
    <cellStyle name="Comma 7 2 3 2 7 2" xfId="12479" xr:uid="{B0255F01-EADE-4215-84D8-788D1F593573}"/>
    <cellStyle name="Comma 7 2 3 2 7 2 2" xfId="47703" xr:uid="{B6450029-7C78-40AC-BAF3-04B8042BDCC6}"/>
    <cellStyle name="Comma 7 2 3 2 7 3" xfId="50611" xr:uid="{BAAE2A2C-D6DF-4A3F-9081-65505EE3229A}"/>
    <cellStyle name="Comma 7 2 3 2 7 4" xfId="53444" xr:uid="{77AA648B-EC2E-4144-B984-A06B4E7D4E22}"/>
    <cellStyle name="Comma 7 2 3 2 7 5" xfId="38799" xr:uid="{2DBCC100-630B-4BFA-BE10-D91E18232842}"/>
    <cellStyle name="Comma 7 2 3 2 8" xfId="5863" xr:uid="{765613E1-C095-408A-A47A-698B4418AEA5}"/>
    <cellStyle name="Comma 7 2 3 2 8 2" xfId="40322" xr:uid="{753263B2-B006-44F7-8AE5-92ECF580ACC2}"/>
    <cellStyle name="Comma 7 2 3 2 9" xfId="11351" xr:uid="{CDCCDBC0-F732-49B2-9445-2C2D342C32E6}"/>
    <cellStyle name="Comma 7 2 3 2 9 2" xfId="40964" xr:uid="{C543CE50-A558-4551-A72B-14C40EC1CDBA}"/>
    <cellStyle name="Comma 7 2 3 20" xfId="13857" xr:uid="{FEC87A27-FC10-417D-AB42-1AEBED6C1766}"/>
    <cellStyle name="Comma 7 2 3 3" xfId="1793" xr:uid="{E4408785-6724-47A4-8B96-C41129571B56}"/>
    <cellStyle name="Comma 7 2 3 3 10" xfId="42773" xr:uid="{9FB6010A-80C5-445E-AA28-B8CDB248CE33}"/>
    <cellStyle name="Comma 7 2 3 3 11" xfId="43566" xr:uid="{9C4E0327-2134-42BC-ABAE-63EF69945E55}"/>
    <cellStyle name="Comma 7 2 3 3 12" xfId="44429" xr:uid="{4A7635BD-FDD6-44C0-BD77-758C0E0B5C62}"/>
    <cellStyle name="Comma 7 2 3 3 13" xfId="45752" xr:uid="{315B1B16-ED0F-4A63-A1C0-7323F4A5EF8E}"/>
    <cellStyle name="Comma 7 2 3 3 14" xfId="49380" xr:uid="{DB1B64D3-1191-4C03-A5CA-397E90E5D95A}"/>
    <cellStyle name="Comma 7 2 3 3 15" xfId="53445" xr:uid="{FA11AC19-15C6-4804-BF8D-EAF27410673F}"/>
    <cellStyle name="Comma 7 2 3 3 16" xfId="17126" xr:uid="{99AC7CC9-8154-43C5-B511-FD9A29841A33}"/>
    <cellStyle name="Comma 7 2 3 3 17" xfId="13949" xr:uid="{E6E165F4-083F-4B62-911E-082C1905A95C}"/>
    <cellStyle name="Comma 7 2 3 3 2" xfId="4469" xr:uid="{3A743E35-0335-429F-96A9-108E01F7C21C}"/>
    <cellStyle name="Comma 7 2 3 3 2 10" xfId="21121" xr:uid="{DE4132E6-A418-421F-A9A4-90FAE45C5E18}"/>
    <cellStyle name="Comma 7 2 3 3 2 11" xfId="14263" xr:uid="{D5161CE8-E492-49AD-B934-6B17C8DACFE3}"/>
    <cellStyle name="Comma 7 2 3 3 2 2" xfId="5726" xr:uid="{E990CA60-7BB8-42F6-A22D-E4CE3DDF906F}"/>
    <cellStyle name="Comma 7 2 3 3 2 2 2" xfId="10320" xr:uid="{E402DDA9-FC54-4BD8-9C54-216B025748DC}"/>
    <cellStyle name="Comma 7 2 3 3 2 2 2 2" xfId="13626" xr:uid="{6CA70408-737A-40A3-BAD0-EA0247FE638C}"/>
    <cellStyle name="Comma 7 2 3 3 2 2 2 2 2" xfId="51433" xr:uid="{9E24F937-3546-4E73-9E37-8A4399806B86}"/>
    <cellStyle name="Comma 7 2 3 3 2 2 2 3" xfId="53446" xr:uid="{378A3D67-AED6-4CC8-AA54-E1AE66832719}"/>
    <cellStyle name="Comma 7 2 3 3 2 2 2 4" xfId="48678" xr:uid="{D2702884-D826-478E-A4B9-B3979302BCD9}"/>
    <cellStyle name="Comma 7 2 3 3 2 2 3" xfId="7828" xr:uid="{295C8517-824A-41BD-AFFD-E2A453723B4F}"/>
    <cellStyle name="Comma 7 2 3 3 2 2 3 2" xfId="47115" xr:uid="{5CB99AB9-0B95-4104-A0D8-3FE7A8E089FA}"/>
    <cellStyle name="Comma 7 2 3 3 2 2 4" xfId="12341" xr:uid="{70E69D79-7929-43D3-B5FE-91F020D8A33E}"/>
    <cellStyle name="Comma 7 2 3 3 2 2 4 2" xfId="50105" xr:uid="{59AEEEB5-E036-4A7C-A13B-CD0F7F10E375}"/>
    <cellStyle name="Comma 7 2 3 3 2 2 5" xfId="53447" xr:uid="{FDD8C908-5F23-4B96-8635-910972DF8E63}"/>
    <cellStyle name="Comma 7 2 3 3 2 2 6" xfId="39687" xr:uid="{46CACAFE-1017-48CF-B219-A74C6A560BF1}"/>
    <cellStyle name="Comma 7 2 3 3 2 2 7" xfId="14755" xr:uid="{1B535E08-CEF0-4E93-A8B1-D3673F028105}"/>
    <cellStyle name="Comma 7 2 3 3 2 3" xfId="9826" xr:uid="{5F440924-CA63-4891-AB7E-05812951866E}"/>
    <cellStyle name="Comma 7 2 3 3 2 3 2" xfId="13132" xr:uid="{43BACFF1-E198-4312-AB01-8AE48E7D338D}"/>
    <cellStyle name="Comma 7 2 3 3 2 3 2 2" xfId="51816" xr:uid="{31B7E748-AAE8-4504-B782-96DBB1308F6C}"/>
    <cellStyle name="Comma 7 2 3 3 2 3 2 3" xfId="53448" xr:uid="{18AB6D3B-815A-4C64-850C-75EE763B2CB3}"/>
    <cellStyle name="Comma 7 2 3 3 2 3 2 4" xfId="49136" xr:uid="{8AB4802F-C6FB-4302-94B8-1FDC21BA4933}"/>
    <cellStyle name="Comma 7 2 3 3 2 3 3" xfId="47553" xr:uid="{03E4C6E3-C6BC-46CF-8DCC-61F6E812D0FF}"/>
    <cellStyle name="Comma 7 2 3 3 2 3 4" xfId="50488" xr:uid="{1FD0CD14-8C43-4D49-9D8C-92C6DC02EAF3}"/>
    <cellStyle name="Comma 7 2 3 3 2 3 5" xfId="53449" xr:uid="{BBCD58B6-70B0-4135-84F7-996ADC5F67F1}"/>
    <cellStyle name="Comma 7 2 3 3 2 3 6" xfId="41540" xr:uid="{0F0141B2-9B53-4DE9-96D1-57BED6C414C3}"/>
    <cellStyle name="Comma 7 2 3 3 2 3 7" xfId="15070" xr:uid="{006B6C1C-49F4-4112-84C4-36D65F4A48C0}"/>
    <cellStyle name="Comma 7 2 3 3 2 4" xfId="7324" xr:uid="{83F686C0-F19A-4F10-9C99-326780C7AFE0}"/>
    <cellStyle name="Comma 7 2 3 3 2 4 2" xfId="48280" xr:uid="{7621484B-C514-4D51-9A41-E56D15F4C3A1}"/>
    <cellStyle name="Comma 7 2 3 3 2 4 3" xfId="51098" xr:uid="{E52C4A7E-F4BF-4667-9616-F181AFE849D7}"/>
    <cellStyle name="Comma 7 2 3 3 2 4 4" xfId="53450" xr:uid="{C4145956-8F64-45BE-A39B-95DE65194FC1}"/>
    <cellStyle name="Comma 7 2 3 3 2 4 5" xfId="43364" xr:uid="{D8431CEA-BEFA-434A-8C6F-F4B800525373}"/>
    <cellStyle name="Comma 7 2 3 3 2 5" xfId="11847" xr:uid="{02522DFB-DB7F-44D8-BECB-409DD0A1F03E}"/>
    <cellStyle name="Comma 7 2 3 3 2 5 2" xfId="44270" xr:uid="{E498E813-7133-4E47-AAEA-E65AC089F00C}"/>
    <cellStyle name="Comma 7 2 3 3 2 6" xfId="44570" xr:uid="{F68CC914-5E23-4E3D-8F1F-FCFF5E2199C3}"/>
    <cellStyle name="Comma 7 2 3 3 2 7" xfId="46738" xr:uid="{F20C85F0-68C6-47EA-9AD0-8DEE73CA5F08}"/>
    <cellStyle name="Comma 7 2 3 3 2 8" xfId="49770" xr:uid="{E0C5B3E1-9A2F-495E-BB1D-70684893A61F}"/>
    <cellStyle name="Comma 7 2 3 3 2 9" xfId="53451" xr:uid="{E37AF3E3-3888-4BA1-82C9-77A49B5AC12B}"/>
    <cellStyle name="Comma 7 2 3 3 3" xfId="5550" xr:uid="{C7993FCA-70EB-4404-BADE-98FA2B73885A}"/>
    <cellStyle name="Comma 7 2 3 3 3 2" xfId="7652" xr:uid="{A3CB93D1-7EAF-413D-9741-F6EA82705C4E}"/>
    <cellStyle name="Comma 7 2 3 3 3 2 2" xfId="10144" xr:uid="{C16A02A5-FB13-4C8E-B302-CDC7338A3F48}"/>
    <cellStyle name="Comma 7 2 3 3 3 2 2 2" xfId="13450" xr:uid="{98E6E626-7771-46BC-B0B5-7AC081639AF9}"/>
    <cellStyle name="Comma 7 2 3 3 3 2 2 2 2" xfId="51676" xr:uid="{A268EFCC-A8D7-4B4E-8A5F-7502B702A9B4}"/>
    <cellStyle name="Comma 7 2 3 3 3 2 2 3" xfId="53452" xr:uid="{348B9ECE-0041-4423-8099-8A4F802B872B}"/>
    <cellStyle name="Comma 7 2 3 3 3 2 2 4" xfId="48964" xr:uid="{3976EFE2-8095-45BB-ADFE-9CDC3972AC2D}"/>
    <cellStyle name="Comma 7 2 3 3 3 2 3" xfId="12165" xr:uid="{B97A5942-BE6C-4D3B-A5DF-10DECE5E0299}"/>
    <cellStyle name="Comma 7 2 3 3 3 2 3 2" xfId="47388" xr:uid="{E976DA41-B4C9-4F2B-BA89-6894B1C11B60}"/>
    <cellStyle name="Comma 7 2 3 3 3 2 4" xfId="50348" xr:uid="{5C74106A-29FD-4CB8-9D0E-294775F88433}"/>
    <cellStyle name="Comma 7 2 3 3 3 2 5" xfId="53453" xr:uid="{A21C17C2-9184-452D-B11B-24094D988FAD}"/>
    <cellStyle name="Comma 7 2 3 3 3 2 6" xfId="43839" xr:uid="{8D1A421F-1A27-458C-BAA5-F842B622D7CF}"/>
    <cellStyle name="Comma 7 2 3 3 3 2 7" xfId="14579" xr:uid="{A4DAC3F8-2AD3-4C4E-BE15-8C2D77302B67}"/>
    <cellStyle name="Comma 7 2 3 3 3 3" xfId="9650" xr:uid="{F826F94B-1E28-4A7A-B821-DBF913B628FB}"/>
    <cellStyle name="Comma 7 2 3 3 3 3 2" xfId="12956" xr:uid="{622629EF-C838-41CF-8328-6B3D2E9EA991}"/>
    <cellStyle name="Comma 7 2 3 3 3 3 2 2" xfId="50958" xr:uid="{BB1A16FB-8A46-4281-BD1E-2655351C2D77}"/>
    <cellStyle name="Comma 7 2 3 3 3 3 3" xfId="53454" xr:uid="{E5263022-926F-48E9-8DA9-57FFD3B262CD}"/>
    <cellStyle name="Comma 7 2 3 3 3 3 4" xfId="48109" xr:uid="{CE36F283-5DE9-4A95-A71D-28D88C150716}"/>
    <cellStyle name="Comma 7 2 3 3 3 4" xfId="7146" xr:uid="{404EEFCF-C0B4-45E5-95C8-F36A3273A494}"/>
    <cellStyle name="Comma 7 2 3 3 3 4 2" xfId="46597" xr:uid="{08CF4C58-7E74-41DE-9336-0D4B6D032F36}"/>
    <cellStyle name="Comma 7 2 3 3 3 5" xfId="11671" xr:uid="{9D0E3ACB-12AC-472A-97CF-ED0F1EB834FF}"/>
    <cellStyle name="Comma 7 2 3 3 3 5 2" xfId="49630" xr:uid="{CB00CDA6-4B38-435D-9F38-91F58018DB74}"/>
    <cellStyle name="Comma 7 2 3 3 3 6" xfId="53455" xr:uid="{ECFB891A-1623-4BF0-BD2A-8820AC20CF73}"/>
    <cellStyle name="Comma 7 2 3 3 3 7" xfId="20340" xr:uid="{917FBFC2-57B6-4B5F-AC68-0D5BA28EDDC2}"/>
    <cellStyle name="Comma 7 2 3 3 3 8" xfId="14087" xr:uid="{7054D2A3-21D9-44BB-A4A3-FE976FB534B1}"/>
    <cellStyle name="Comma 7 2 3 3 4" xfId="6540" xr:uid="{7CE72EF1-4627-48D8-8B8D-8E68AFBCAA4C}"/>
    <cellStyle name="Comma 7 2 3 3 4 2" xfId="9512" xr:uid="{7B17A6FD-5BB3-4CF7-A6C1-4F1FED5F315C}"/>
    <cellStyle name="Comma 7 2 3 3 4 2 2" xfId="12818" xr:uid="{3EC62E83-5D6C-4887-A82A-7E7D8E1E3B49}"/>
    <cellStyle name="Comma 7 2 3 3 4 2 2 2" xfId="50843" xr:uid="{F39DCCFA-184A-45C7-976B-5BB61455014B}"/>
    <cellStyle name="Comma 7 2 3 3 4 2 3" xfId="53456" xr:uid="{D7250E5D-B0AC-4A90-918F-83468754FC43}"/>
    <cellStyle name="Comma 7 2 3 3 4 2 4" xfId="47974" xr:uid="{E2C88839-A4F7-49A3-A2F0-B1A89B7B2F26}"/>
    <cellStyle name="Comma 7 2 3 3 4 3" xfId="11533" xr:uid="{1B04AFC5-B712-47EB-9F76-874A0ECFEA6B}"/>
    <cellStyle name="Comma 7 2 3 3 4 3 2" xfId="46179" xr:uid="{41158769-D68E-4E25-81C5-8E1BF2D6C330}"/>
    <cellStyle name="Comma 7 2 3 3 4 4" xfId="49515" xr:uid="{74474B87-2A37-425B-866A-19789043D8FC}"/>
    <cellStyle name="Comma 7 2 3 3 4 5" xfId="53457" xr:uid="{73612BE7-C854-4A3C-BA51-3128BA666E4A}"/>
    <cellStyle name="Comma 7 2 3 3 4 6" xfId="24004" xr:uid="{DFFB15F8-E2C6-480F-9A4F-90D4AC0937D4}"/>
    <cellStyle name="Comma 7 2 3 3 4 7" xfId="14441" xr:uid="{10183834-2894-4764-B0F0-E375DF1332BC}"/>
    <cellStyle name="Comma 7 2 3 3 5" xfId="7514" xr:uid="{6C5A8314-206C-4B2D-9EEA-7A8A359118AF}"/>
    <cellStyle name="Comma 7 2 3 3 5 2" xfId="10006" xr:uid="{B87073EE-2211-45D9-B66C-3BD8F3B56EB4}"/>
    <cellStyle name="Comma 7 2 3 3 5 2 2" xfId="13312" xr:uid="{C379D505-49CB-49A2-B453-175A88A897FF}"/>
    <cellStyle name="Comma 7 2 3 3 5 2 2 2" xfId="51305" xr:uid="{3AEE7AB9-B1BE-4E91-A7C7-EB27527DE15F}"/>
    <cellStyle name="Comma 7 2 3 3 5 2 3" xfId="53458" xr:uid="{A9A15394-54BF-4816-9A7E-042883B452D0}"/>
    <cellStyle name="Comma 7 2 3 3 5 2 4" xfId="48519" xr:uid="{50C7BD8D-9FCB-4DBD-9CCE-B6683F01C50F}"/>
    <cellStyle name="Comma 7 2 3 3 5 3" xfId="12027" xr:uid="{F60212DC-F6D2-4C32-8738-782A7E91E802}"/>
    <cellStyle name="Comma 7 2 3 3 5 3 2" xfId="46958" xr:uid="{F52E1BC5-E6AB-442F-94A3-5C53B3AA0945}"/>
    <cellStyle name="Comma 7 2 3 3 5 4" xfId="49977" xr:uid="{114F6769-0D45-4D11-804D-28E8484615C2}"/>
    <cellStyle name="Comma 7 2 3 3 5 5" xfId="53459" xr:uid="{A1972D66-6C6D-4764-AD0A-926662FD4A69}"/>
    <cellStyle name="Comma 7 2 3 3 5 6" xfId="38501" xr:uid="{21728940-8E5D-4B9A-8718-698153938766}"/>
    <cellStyle name="Comma 7 2 3 3 5 7" xfId="14894" xr:uid="{9BE61E42-10C8-441F-853D-E34ADC8E9E5C}"/>
    <cellStyle name="Comma 7 2 3 3 6" xfId="8180" xr:uid="{F5B1B68E-B07F-4A43-B10D-1C4F60A85735}"/>
    <cellStyle name="Comma 7 2 3 3 6 2" xfId="12636" xr:uid="{2D58FFAB-976A-4F8B-9B5B-4855929A3E65}"/>
    <cellStyle name="Comma 7 2 3 3 6 2 2" xfId="51561" xr:uid="{16024FD5-07B9-4B12-AC7E-D71A7C0A7964}"/>
    <cellStyle name="Comma 7 2 3 3 6 2 3" xfId="53460" xr:uid="{5301259F-499D-48A4-9310-93DFF4AB06DE}"/>
    <cellStyle name="Comma 7 2 3 3 6 2 4" xfId="48826" xr:uid="{17F798A4-38A2-4207-BCD4-E20AE53F2F94}"/>
    <cellStyle name="Comma 7 2 3 3 6 3" xfId="47255" xr:uid="{FCF505C6-E312-4CD6-AA33-33CCF3A25A49}"/>
    <cellStyle name="Comma 7 2 3 3 6 4" xfId="50233" xr:uid="{C273AF02-6993-4B54-A91E-D0F76C05F38A}"/>
    <cellStyle name="Comma 7 2 3 3 6 5" xfId="53461" xr:uid="{2F6D3E6C-3144-46CF-BE99-C556D5AD5194}"/>
    <cellStyle name="Comma 7 2 3 3 6 6" xfId="39096" xr:uid="{FC994D1B-DFCF-43ED-8EAF-B58CA9020A05}"/>
    <cellStyle name="Comma 7 2 3 3 7" xfId="7967" xr:uid="{9504C95F-7FBD-4DC9-A50D-67294A3957C7}"/>
    <cellStyle name="Comma 7 2 3 3 7 2" xfId="12480" xr:uid="{54AB55AC-D899-4524-AB93-0EBEF8E6FB50}"/>
    <cellStyle name="Comma 7 2 3 3 7 2 2" xfId="47820" xr:uid="{524E507B-3664-42FE-97AC-975992F4DAC4}"/>
    <cellStyle name="Comma 7 2 3 3 7 3" xfId="50708" xr:uid="{AC2A03BC-DB5D-4C6B-9A7A-7BA0A11C0A25}"/>
    <cellStyle name="Comma 7 2 3 3 7 4" xfId="53462" xr:uid="{00622A2A-5757-43C0-A088-434A4681AE93}"/>
    <cellStyle name="Comma 7 2 3 3 7 5" xfId="40324" xr:uid="{66240C3F-258D-4E33-BC5D-5C0362764210}"/>
    <cellStyle name="Comma 7 2 3 3 8" xfId="5864" xr:uid="{97F7EB37-783B-407C-AA43-95F20D178D7C}"/>
    <cellStyle name="Comma 7 2 3 3 8 2" xfId="40966" xr:uid="{A3FE5903-1232-472C-8A0B-C46BC8D2CBC1}"/>
    <cellStyle name="Comma 7 2 3 3 9" xfId="11352" xr:uid="{E7903B8F-A70D-418B-9AD5-D8A467E76CD0}"/>
    <cellStyle name="Comma 7 2 3 3 9 2" xfId="42178" xr:uid="{3309C9C0-1D42-4C3D-8F44-F367FF5AFD73}"/>
    <cellStyle name="Comma 7 2 3 4" xfId="4467" xr:uid="{E0BF58F9-0305-4B24-99DD-063419A0EB00}"/>
    <cellStyle name="Comma 7 2 3 4 10" xfId="42851" xr:uid="{3899A341-25FB-4248-83AF-885AB6E1EC4F}"/>
    <cellStyle name="Comma 7 2 3 4 11" xfId="43564" xr:uid="{F34D010B-1B65-429F-90FC-C8FC53ACFF78}"/>
    <cellStyle name="Comma 7 2 3 4 12" xfId="44568" xr:uid="{1DD8407D-ED66-4527-9215-F312581F26AA}"/>
    <cellStyle name="Comma 7 2 3 4 13" xfId="45728" xr:uid="{29D9D5A5-F491-4BA0-92D4-C355E82EBA93}"/>
    <cellStyle name="Comma 7 2 3 4 14" xfId="49356" xr:uid="{634A3621-8B1D-48AB-BA52-D9F2B455E894}"/>
    <cellStyle name="Comma 7 2 3 4 15" xfId="53463" xr:uid="{72F61EEA-31B3-486A-814C-52C52448E260}"/>
    <cellStyle name="Comma 7 2 3 4 16" xfId="19757" xr:uid="{C29C79C4-B4C2-49D0-8F3A-A5D7C9C6AEB9}"/>
    <cellStyle name="Comma 7 2 3 4 17" xfId="13947" xr:uid="{4A55120D-ED72-41CD-BD5D-B6D98FE1CD20}"/>
    <cellStyle name="Comma 7 2 3 4 2" xfId="5724" xr:uid="{1F3FBBDA-A7D2-48F6-8C85-CB2DBC79E2BD}"/>
    <cellStyle name="Comma 7 2 3 4 2 10" xfId="23374" xr:uid="{549021BA-1309-4501-B397-0CC07E6D4FF0}"/>
    <cellStyle name="Comma 7 2 3 4 2 11" xfId="14261" xr:uid="{FD493766-FC59-46D1-AAA6-662A4AADC6B2}"/>
    <cellStyle name="Comma 7 2 3 4 2 2" xfId="7826" xr:uid="{DC482A81-CE22-4EA8-99F2-51FDB98EAFBE}"/>
    <cellStyle name="Comma 7 2 3 4 2 2 2" xfId="10318" xr:uid="{CAD35DC1-192A-4E56-81D7-C48F7B4433CF}"/>
    <cellStyle name="Comma 7 2 3 4 2 2 2 2" xfId="13624" xr:uid="{672687C2-324C-48A5-A7AD-168C209B2C59}"/>
    <cellStyle name="Comma 7 2 3 4 2 2 2 2 2" xfId="51814" xr:uid="{5F7D888D-C8D2-409F-B27E-55734BA2452A}"/>
    <cellStyle name="Comma 7 2 3 4 2 2 2 3" xfId="53464" xr:uid="{4B4D8DF1-425A-4D9B-8A8E-53E15F7EA1DB}"/>
    <cellStyle name="Comma 7 2 3 4 2 2 2 4" xfId="49134" xr:uid="{E8BC3D6B-88A3-48E5-B35F-D94209ACB5BD}"/>
    <cellStyle name="Comma 7 2 3 4 2 2 3" xfId="12339" xr:uid="{FE8AFCC0-8CB7-4226-8479-4566D2ABEA37}"/>
    <cellStyle name="Comma 7 2 3 4 2 2 3 2" xfId="47551" xr:uid="{0DDCB56D-D377-45FD-9F79-75DE5F977C03}"/>
    <cellStyle name="Comma 7 2 3 4 2 2 4" xfId="50486" xr:uid="{2605C5F8-A58A-484A-85BE-C6EF0AB62875}"/>
    <cellStyle name="Comma 7 2 3 4 2 2 5" xfId="53465" xr:uid="{18A34F0F-EC68-4DF9-BE06-01D46F39C2C7}"/>
    <cellStyle name="Comma 7 2 3 4 2 2 6" xfId="39765" xr:uid="{4DC882DD-C8E1-48D8-AD90-90C027C75295}"/>
    <cellStyle name="Comma 7 2 3 4 2 2 7" xfId="14753" xr:uid="{844D9649-CF2A-438F-A3DD-8F92C1A8C0DF}"/>
    <cellStyle name="Comma 7 2 3 4 2 3" xfId="9824" xr:uid="{05C34D46-B99D-4EDE-B21D-9D94E406FE4B}"/>
    <cellStyle name="Comma 7 2 3 4 2 3 2" xfId="13130" xr:uid="{17CA444A-B54D-4F98-B2BD-B4D140848D18}"/>
    <cellStyle name="Comma 7 2 3 4 2 3 2 2" xfId="48278" xr:uid="{BC5E4DB5-0FB4-48F5-882B-9F045E682776}"/>
    <cellStyle name="Comma 7 2 3 4 2 3 3" xfId="51096" xr:uid="{9584EA80-603C-444B-A2AE-A1D6CB288BC8}"/>
    <cellStyle name="Comma 7 2 3 4 2 3 4" xfId="53466" xr:uid="{E37B142F-429E-4B15-B795-8852484FACEC}"/>
    <cellStyle name="Comma 7 2 3 4 2 3 5" xfId="41618" xr:uid="{832BE0EC-FEF6-4B3E-97C5-69463B8505EE}"/>
    <cellStyle name="Comma 7 2 3 4 2 4" xfId="7322" xr:uid="{FAFC0369-9755-4BE6-894C-DF934409A019}"/>
    <cellStyle name="Comma 7 2 3 4 2 4 2" xfId="43442" xr:uid="{6B82E356-A08F-46B4-B939-300F5D19648B}"/>
    <cellStyle name="Comma 7 2 3 4 2 5" xfId="11845" xr:uid="{A05520B1-9B35-4A12-B32E-9F00A9F6F559}"/>
    <cellStyle name="Comma 7 2 3 4 2 5 2" xfId="44268" xr:uid="{4C84B6BE-BDB5-4458-83D1-F23F22FAAF24}"/>
    <cellStyle name="Comma 7 2 3 4 2 6" xfId="45520" xr:uid="{F0F651AC-A98F-4CB0-A121-B8DD96666843}"/>
    <cellStyle name="Comma 7 2 3 4 2 7" xfId="46736" xr:uid="{81BC8DD2-95B2-4431-BEEE-6F06270364F9}"/>
    <cellStyle name="Comma 7 2 3 4 2 8" xfId="49768" xr:uid="{1517FB75-47C4-4F04-997A-2AC74CAE0538}"/>
    <cellStyle name="Comma 7 2 3 4 2 9" xfId="53467" xr:uid="{19CB528B-FFC7-42B9-A49E-B712CF947B25}"/>
    <cellStyle name="Comma 7 2 3 4 3" xfId="7512" xr:uid="{3A58ACE1-59D5-4C3C-A48A-B7BFEE0154E3}"/>
    <cellStyle name="Comma 7 2 3 4 3 2" xfId="10004" xr:uid="{93321EAA-2C06-4DA9-B4A5-B710A32D7629}"/>
    <cellStyle name="Comma 7 2 3 4 3 2 2" xfId="13310" xr:uid="{F94225E5-16B2-4DF2-9795-08AF3476E5C7}"/>
    <cellStyle name="Comma 7 2 3 4 3 2 2 2" xfId="50841" xr:uid="{2ED5D0A9-FA02-4A0B-BE04-DBE4EFB3E504}"/>
    <cellStyle name="Comma 7 2 3 4 3 2 3" xfId="53468" xr:uid="{A585C379-5BC9-44AF-81FB-DC143FC7BF2D}"/>
    <cellStyle name="Comma 7 2 3 4 3 2 4" xfId="47972" xr:uid="{8BBE8A2D-8605-4E08-AF03-224BCDCF54C3}"/>
    <cellStyle name="Comma 7 2 3 4 3 3" xfId="12025" xr:uid="{57C3AC9C-2F87-4EC4-93D7-1DAB0716D6C8}"/>
    <cellStyle name="Comma 7 2 3 4 3 3 2" xfId="46177" xr:uid="{F218F75C-AD13-4754-A3A5-435E1B7A0D27}"/>
    <cellStyle name="Comma 7 2 3 4 3 4" xfId="49513" xr:uid="{F5EF5FDF-F3CB-4F92-A357-7FCD49C41FEE}"/>
    <cellStyle name="Comma 7 2 3 4 3 5" xfId="53469" xr:uid="{C3340868-F638-4A9F-91BD-B3AAADF0850A}"/>
    <cellStyle name="Comma 7 2 3 4 3 6" xfId="20418" xr:uid="{DA26E8C3-025C-4B76-96EC-D805795B8F2A}"/>
    <cellStyle name="Comma 7 2 3 4 3 7" xfId="14439" xr:uid="{14103CA9-371A-4091-9924-7248BB5F6F9F}"/>
    <cellStyle name="Comma 7 2 3 4 4" xfId="11160" xr:uid="{8ED1516D-8583-4048-B2B6-7531E9D62885}"/>
    <cellStyle name="Comma 7 2 3 4 4 2" xfId="13755" xr:uid="{B64AA44A-F567-4B00-A83C-4955AB2FD043}"/>
    <cellStyle name="Comma 7 2 3 4 4 2 2" xfId="51303" xr:uid="{53CE209F-B542-43AD-8F2F-6F6C1B313EE9}"/>
    <cellStyle name="Comma 7 2 3 4 4 2 3" xfId="53470" xr:uid="{82690DAA-7C0E-42A6-99ED-A00A8C59CB6D}"/>
    <cellStyle name="Comma 7 2 3 4 4 2 4" xfId="48517" xr:uid="{F2BFB07E-7C3B-48C2-8270-C57D54D854E9}"/>
    <cellStyle name="Comma 7 2 3 4 4 3" xfId="46956" xr:uid="{9737B42D-9965-45A6-829D-BBFA25550421}"/>
    <cellStyle name="Comma 7 2 3 4 4 4" xfId="49975" xr:uid="{B1889CA6-C6DA-4319-95C6-8E83E5F54889}"/>
    <cellStyle name="Comma 7 2 3 4 4 5" xfId="53471" xr:uid="{63D522B4-315E-48BF-AB95-C96DA7A25023}"/>
    <cellStyle name="Comma 7 2 3 4 4 6" xfId="24005" xr:uid="{4B2E3931-EEB6-4A4F-9530-F5B3B91513D7}"/>
    <cellStyle name="Comma 7 2 3 4 4 7" xfId="15068" xr:uid="{C51188B7-FBD0-4EDA-98F5-5ADB9BE42A2C}"/>
    <cellStyle name="Comma 7 2 3 4 5" xfId="9510" xr:uid="{A53B0253-E16A-4E91-8024-0AE7326444D3}"/>
    <cellStyle name="Comma 7 2 3 4 5 2" xfId="12816" xr:uid="{A5CD5435-C14C-4420-B6E5-7B8FD053ACF1}"/>
    <cellStyle name="Comma 7 2 3 4 5 2 2" xfId="51559" xr:uid="{7EF0E7DE-8171-41DB-9997-8638E070EACC}"/>
    <cellStyle name="Comma 7 2 3 4 5 2 3" xfId="53472" xr:uid="{48367C8D-00A4-414D-A1C8-AD35FF60D61E}"/>
    <cellStyle name="Comma 7 2 3 4 5 2 4" xfId="48824" xr:uid="{E0535E18-C3CA-4C87-9435-4610A96899C5}"/>
    <cellStyle name="Comma 7 2 3 4 5 3" xfId="47253" xr:uid="{149957D9-16B6-4388-92A9-51F4BDB25A73}"/>
    <cellStyle name="Comma 7 2 3 4 5 4" xfId="50231" xr:uid="{9CFC835C-DE13-4450-A2FC-E7FBD3707B94}"/>
    <cellStyle name="Comma 7 2 3 4 5 5" xfId="53473" xr:uid="{CA70F0CB-FC0C-4907-8189-83AECEBAC2DE}"/>
    <cellStyle name="Comma 7 2 3 4 5 6" xfId="38502" xr:uid="{3C6A0E53-FA79-4792-A524-DE21D0A7EADC}"/>
    <cellStyle name="Comma 7 2 3 4 6" xfId="6538" xr:uid="{60A2C4D8-6670-46EF-96B0-B7EAACFF521B}"/>
    <cellStyle name="Comma 7 2 3 4 6 2" xfId="47785" xr:uid="{8120D24D-533C-4E76-A247-68DBA158CEA6}"/>
    <cellStyle name="Comma 7 2 3 4 6 3" xfId="50684" xr:uid="{1FF7B19F-B167-4049-A112-68ADBFA5998C}"/>
    <cellStyle name="Comma 7 2 3 4 6 4" xfId="53474" xr:uid="{660865D4-AA9D-4C6C-8827-0A580C66C42D}"/>
    <cellStyle name="Comma 7 2 3 4 6 5" xfId="39174" xr:uid="{801FB4C3-E845-4A72-BC06-05E81498F2F3}"/>
    <cellStyle name="Comma 7 2 3 4 7" xfId="11531" xr:uid="{F4E4F906-78A3-437B-835C-552337E9A11A}"/>
    <cellStyle name="Comma 7 2 3 4 7 2" xfId="40325" xr:uid="{DEEB045B-3B39-4616-8AC8-2E3D6E175C3A}"/>
    <cellStyle name="Comma 7 2 3 4 8" xfId="40967" xr:uid="{9BD52B70-BBA6-47CE-A756-0474D6442246}"/>
    <cellStyle name="Comma 7 2 3 4 9" xfId="42179" xr:uid="{25960F77-38D1-40AE-928E-1DFB64FF234C}"/>
    <cellStyle name="Comma 7 2 3 5" xfId="3893" xr:uid="{ACB52AAB-CD5F-47B7-8BA0-50501815DFF7}"/>
    <cellStyle name="Comma 7 2 3 5 10" xfId="44491" xr:uid="{3CBB4C9A-356C-4716-9938-B280EA78B456}"/>
    <cellStyle name="Comma 7 2 3 5 11" xfId="46658" xr:uid="{784B782D-D04F-4AE7-9216-929D38DA3E08}"/>
    <cellStyle name="Comma 7 2 3 5 12" xfId="49691" xr:uid="{D63318AC-AE67-47E4-A22A-9149CE33AD49}"/>
    <cellStyle name="Comma 7 2 3 5 13" xfId="53475" xr:uid="{C109E2D7-F18B-48AE-8B93-546BAAF87D3A}"/>
    <cellStyle name="Comma 7 2 3 5 14" xfId="20801" xr:uid="{13BE5B48-1F0C-4FAD-9A7E-F1DD6E1FFC0C}"/>
    <cellStyle name="Comma 7 2 3 5 15" xfId="14172" xr:uid="{526FF8DB-34C4-4086-8AB1-BFBC4DB320E2}"/>
    <cellStyle name="Comma 7 2 3 5 2" xfId="5635" xr:uid="{8B8A6C86-1FCF-4515-A956-208814B433D6}"/>
    <cellStyle name="Comma 7 2 3 5 2 2" xfId="10229" xr:uid="{14862D46-8B29-4DF8-B2B4-7FFD158C4459}"/>
    <cellStyle name="Comma 7 2 3 5 2 2 2" xfId="13535" xr:uid="{7300BB33-B7CE-419F-844F-4D66F0B40C18}"/>
    <cellStyle name="Comma 7 2 3 5 2 2 2 2" xfId="51226" xr:uid="{4E3E0DA7-ABEE-4DB2-BE07-3D28C106B978}"/>
    <cellStyle name="Comma 7 2 3 5 2 2 3" xfId="53476" xr:uid="{4BC718CC-4958-4049-A677-1C287F82C93C}"/>
    <cellStyle name="Comma 7 2 3 5 2 2 4" xfId="48432" xr:uid="{E48A024E-EFEC-4E17-B2F2-1BE120A49D3B}"/>
    <cellStyle name="Comma 7 2 3 5 2 3" xfId="7737" xr:uid="{BAE3761E-852F-431F-B927-83F4CA7EA106}"/>
    <cellStyle name="Comma 7 2 3 5 2 3 2" xfId="46876" xr:uid="{EC888460-C5EF-40BD-AFA6-F95BC0400463}"/>
    <cellStyle name="Comma 7 2 3 5 2 4" xfId="12250" xr:uid="{8274B7B8-F16C-454C-969C-7B9F3E7C6D64}"/>
    <cellStyle name="Comma 7 2 3 5 2 4 2" xfId="49898" xr:uid="{A88838EC-AFE0-41BA-BA47-F1C3EBDFFFE9}"/>
    <cellStyle name="Comma 7 2 3 5 2 5" xfId="53477" xr:uid="{6067BBB1-5793-411D-8108-DC9BBACCB794}"/>
    <cellStyle name="Comma 7 2 3 5 2 6" xfId="24006" xr:uid="{0C8DC81F-2986-4FBA-B6AA-F016BDC394C0}"/>
    <cellStyle name="Comma 7 2 3 5 2 7" xfId="14664" xr:uid="{29D6CBC3-0A70-4F6A-85D5-0B0A33CB301B}"/>
    <cellStyle name="Comma 7 2 3 5 3" xfId="9735" xr:uid="{D3323A1D-21CC-4F24-9FAA-1F42774E2C40}"/>
    <cellStyle name="Comma 7 2 3 5 3 2" xfId="13041" xr:uid="{D09D302D-0366-4080-A107-BDF778C6FC1C}"/>
    <cellStyle name="Comma 7 2 3 5 3 2 2" xfId="51737" xr:uid="{92458761-2882-47C5-BBB0-1231EA09A0E8}"/>
    <cellStyle name="Comma 7 2 3 5 3 2 3" xfId="53478" xr:uid="{27350388-B3EC-4832-BAA1-244A857C14DF}"/>
    <cellStyle name="Comma 7 2 3 5 3 2 4" xfId="49047" xr:uid="{EAE28A5D-54CD-436C-8197-03DEFD78AC45}"/>
    <cellStyle name="Comma 7 2 3 5 3 3" xfId="47466" xr:uid="{DB8D60C3-F9D7-4488-9108-350F998BCACA}"/>
    <cellStyle name="Comma 7 2 3 5 3 4" xfId="50409" xr:uid="{1EEDA8AF-AECA-4F84-8C96-44968919D3A5}"/>
    <cellStyle name="Comma 7 2 3 5 3 5" xfId="53479" xr:uid="{DF62FCB7-0D5D-4CE9-9E94-05C028B53F4E}"/>
    <cellStyle name="Comma 7 2 3 5 3 6" xfId="38503" xr:uid="{B7227842-4132-41CB-B541-B47388CECFA7}"/>
    <cellStyle name="Comma 7 2 3 5 3 7" xfId="14979" xr:uid="{7B24557D-7BEE-45EA-BF72-A8BA952DD086}"/>
    <cellStyle name="Comma 7 2 3 5 4" xfId="7231" xr:uid="{A3B0FBB8-B621-4350-84B4-0F761631843E}"/>
    <cellStyle name="Comma 7 2 3 5 4 2" xfId="48192" xr:uid="{FA7F51B9-CFBA-4002-8BB2-A0416303A8AF}"/>
    <cellStyle name="Comma 7 2 3 5 4 3" xfId="51019" xr:uid="{4A243037-6147-410F-A608-5FE06439D598}"/>
    <cellStyle name="Comma 7 2 3 5 4 4" xfId="53480" xr:uid="{F15B13C4-E506-4672-A00E-7FD30665218E}"/>
    <cellStyle name="Comma 7 2 3 5 4 5" xfId="39426" xr:uid="{EB5CE8C3-1B53-4F8F-9E3F-91283AB456CE}"/>
    <cellStyle name="Comma 7 2 3 5 5" xfId="11756" xr:uid="{2E7E2CF0-8F18-4900-A84F-0200A1CA7AD1}"/>
    <cellStyle name="Comma 7 2 3 5 5 2" xfId="40326" xr:uid="{768E9A91-758E-4DEB-839A-1BAB317D6CF9}"/>
    <cellStyle name="Comma 7 2 3 5 6" xfId="40968" xr:uid="{53128D21-2543-4BDF-B281-C1E4563C6818}"/>
    <cellStyle name="Comma 7 2 3 5 7" xfId="42180" xr:uid="{941D6DCE-9F03-4B69-9CA3-945311E5B828}"/>
    <cellStyle name="Comma 7 2 3 5 8" xfId="43103" xr:uid="{677F0E03-3412-4D2B-9CB0-9C3793A8D21B}"/>
    <cellStyle name="Comma 7 2 3 5 9" xfId="43904" xr:uid="{FEC820F2-9F4B-4948-AB03-18F08A15E18F}"/>
    <cellStyle name="Comma 7 2 3 6" xfId="5548" xr:uid="{868E9BA3-BF06-4131-8376-7B4AFC0B5714}"/>
    <cellStyle name="Comma 7 2 3 6 2" xfId="7650" xr:uid="{1FD808D8-06CE-4A56-8AFA-6365F6BBA1D1}"/>
    <cellStyle name="Comma 7 2 3 6 2 2" xfId="10142" xr:uid="{8097EECA-389E-4F62-8304-028DD84D6339}"/>
    <cellStyle name="Comma 7 2 3 6 2 2 2" xfId="13448" xr:uid="{19477204-20C0-4D4A-BF4E-2FDAFF7425C7}"/>
    <cellStyle name="Comma 7 2 3 6 2 2 2 2" xfId="51403" xr:uid="{4137CCB4-2625-42CE-ABEC-139B21B41368}"/>
    <cellStyle name="Comma 7 2 3 6 2 2 3" xfId="53481" xr:uid="{61F8F0F9-FFB3-402A-A77F-1556606F43A2}"/>
    <cellStyle name="Comma 7 2 3 6 2 2 4" xfId="48640" xr:uid="{33021D8D-A8A8-4839-A431-949E0C9553AD}"/>
    <cellStyle name="Comma 7 2 3 6 2 3" xfId="12163" xr:uid="{9E7A4349-DE0D-40AD-B227-9482E07CF317}"/>
    <cellStyle name="Comma 7 2 3 6 2 3 2" xfId="47074" xr:uid="{1A21A595-162D-4C53-8E1F-CED6EA806D7A}"/>
    <cellStyle name="Comma 7 2 3 6 2 4" xfId="50075" xr:uid="{7CA8AAD5-40D9-4F37-8731-9FADE3EE5F73}"/>
    <cellStyle name="Comma 7 2 3 6 2 5" xfId="53482" xr:uid="{E5E58FEE-FABB-47D5-B63F-5B40B5AAF241}"/>
    <cellStyle name="Comma 7 2 3 6 2 6" xfId="43837" xr:uid="{FFB43546-ABC9-4C76-A87B-962CCC4370F6}"/>
    <cellStyle name="Comma 7 2 3 6 2 7" xfId="14577" xr:uid="{25251FDE-2903-4C68-AA8E-DC88DB2B6DE5}"/>
    <cellStyle name="Comma 7 2 3 6 3" xfId="9648" xr:uid="{2297301B-FDE3-4B05-B9B7-D9C2E7453424}"/>
    <cellStyle name="Comma 7 2 3 6 3 2" xfId="12954" xr:uid="{7E8452CA-84AB-47D6-8E9B-F95844F69C11}"/>
    <cellStyle name="Comma 7 2 3 6 3 2 2" xfId="51674" xr:uid="{AB04ACC5-7CF9-4CCD-80AB-B17BB221AF40}"/>
    <cellStyle name="Comma 7 2 3 6 3 2 3" xfId="53483" xr:uid="{A18C8E11-4466-4A6B-99BD-7AA58F933A0F}"/>
    <cellStyle name="Comma 7 2 3 6 3 2 4" xfId="48962" xr:uid="{3292DD09-2A09-482E-B271-E1600A030132}"/>
    <cellStyle name="Comma 7 2 3 6 3 3" xfId="50346" xr:uid="{DEFDD42D-68A7-42C1-90BB-838BAF168D82}"/>
    <cellStyle name="Comma 7 2 3 6 3 4" xfId="53484" xr:uid="{C7F05E5B-A944-4350-AF5F-FF1324371843}"/>
    <cellStyle name="Comma 7 2 3 6 3 5" xfId="47386" xr:uid="{37EF5BE9-A9D3-4EED-AA57-FC975A5B1960}"/>
    <cellStyle name="Comma 7 2 3 6 4" xfId="7144" xr:uid="{EC41DACA-D85E-45CD-8CF9-4B4827E2F54D}"/>
    <cellStyle name="Comma 7 2 3 6 4 2" xfId="50956" xr:uid="{148848B3-0FB8-43A5-BD98-ABFF93FB6F22}"/>
    <cellStyle name="Comma 7 2 3 6 4 3" xfId="53485" xr:uid="{96F394AA-53AC-41C1-ACA8-0A8488E09D3A}"/>
    <cellStyle name="Comma 7 2 3 6 4 4" xfId="48107" xr:uid="{4F44F45D-12D8-4483-BDBE-39AD5F3B6CD8}"/>
    <cellStyle name="Comma 7 2 3 6 5" xfId="11669" xr:uid="{B541CED7-1C6D-4A01-8630-E5DDD9AB476C}"/>
    <cellStyle name="Comma 7 2 3 6 5 2" xfId="46595" xr:uid="{A1511B3F-3E99-4461-8070-5EC3BF53AEAF}"/>
    <cellStyle name="Comma 7 2 3 6 6" xfId="49628" xr:uid="{3B67835A-76A2-4006-B36E-8F2DA4559A75}"/>
    <cellStyle name="Comma 7 2 3 6 7" xfId="53486" xr:uid="{FFA11A48-ADF6-465B-B201-2EDBC50A46E4}"/>
    <cellStyle name="Comma 7 2 3 6 8" xfId="20079" xr:uid="{CDD39004-92CF-4333-AD3B-50EFA4AE3C72}"/>
    <cellStyle name="Comma 7 2 3 6 9" xfId="14085" xr:uid="{3AD9F44A-064A-4953-B101-11E3A9BB342B}"/>
    <cellStyle name="Comma 7 2 3 7" xfId="5960" xr:uid="{3276521A-64D3-4879-8162-8528054BE36C}"/>
    <cellStyle name="Comma 7 2 3 7 2" xfId="9418" xr:uid="{CB08A8A4-C26D-47FF-BB7F-265619CECA40}"/>
    <cellStyle name="Comma 7 2 3 7 2 2" xfId="12724" xr:uid="{4006AFCD-3240-42B6-B74B-5A753FB52B4D}"/>
    <cellStyle name="Comma 7 2 3 7 2 2 2" xfId="50764" xr:uid="{52A3B5CE-F45C-452C-BA9C-91DDAFF1FD0D}"/>
    <cellStyle name="Comma 7 2 3 7 2 3" xfId="53487" xr:uid="{0A281F44-4E9C-4EF6-9769-B62CF44A6292}"/>
    <cellStyle name="Comma 7 2 3 7 2 4" xfId="47887" xr:uid="{C6B43AEE-2BE7-4137-AE29-5C4FEEEBC72B}"/>
    <cellStyle name="Comma 7 2 3 7 3" xfId="11439" xr:uid="{56F7C3C9-1A4A-431C-83E0-920D661CCFC6}"/>
    <cellStyle name="Comma 7 2 3 7 3 2" xfId="45814" xr:uid="{08F175F2-7A1B-4A4A-BD48-9EF1AA19FAB4}"/>
    <cellStyle name="Comma 7 2 3 7 4" xfId="49436" xr:uid="{E7526738-8588-43C4-B0C0-AE023C6D1D10}"/>
    <cellStyle name="Comma 7 2 3 7 5" xfId="53488" xr:uid="{81ED3FDB-471F-4B78-8303-C028158906D0}"/>
    <cellStyle name="Comma 7 2 3 7 6" xfId="24001" xr:uid="{34C2E5A1-14AF-4965-A15E-18F6BCF72020}"/>
    <cellStyle name="Comma 7 2 3 7 7" xfId="14350" xr:uid="{2C7DEA47-846F-42DA-AA8D-67F00E7D8E9E}"/>
    <cellStyle name="Comma 7 2 3 8" xfId="7423" xr:uid="{3C256179-0042-4E33-95D8-E07E6DFAD91D}"/>
    <cellStyle name="Comma 7 2 3 8 2" xfId="9915" xr:uid="{2EF2F5A1-5DBD-4A2A-A245-266168D0FD3B}"/>
    <cellStyle name="Comma 7 2 3 8 2 2" xfId="13221" xr:uid="{6034A097-B1E0-4EBA-99CF-7D8BDECDD712}"/>
    <cellStyle name="Comma 7 2 3 8 2 2 2" xfId="51197" xr:uid="{BFF4CDB9-33A9-4A5F-90BE-F8F1CF64A4C6}"/>
    <cellStyle name="Comma 7 2 3 8 2 3" xfId="53489" xr:uid="{56C6F52B-80E3-4954-BF52-85CDDD541C48}"/>
    <cellStyle name="Comma 7 2 3 8 2 4" xfId="48396" xr:uid="{8E23940B-C5D3-42E0-BCFC-0A450FBFE25F}"/>
    <cellStyle name="Comma 7 2 3 8 3" xfId="11936" xr:uid="{44D948CD-3EB6-4D50-A068-2172CCAFEDAB}"/>
    <cellStyle name="Comma 7 2 3 8 3 2" xfId="46845" xr:uid="{E06336FB-7D97-43F2-A0CE-C067764ACC1B}"/>
    <cellStyle name="Comma 7 2 3 8 4" xfId="49869" xr:uid="{87B3E239-9B1A-4D78-B5A1-DB148D25618B}"/>
    <cellStyle name="Comma 7 2 3 8 5" xfId="53490" xr:uid="{439A6CDD-AE7D-46D2-8B37-0CE611F36B30}"/>
    <cellStyle name="Comma 7 2 3 8 6" xfId="38498" xr:uid="{473903C2-27EC-4145-B54F-96B01B6C440D}"/>
    <cellStyle name="Comma 7 2 3 8 7" xfId="14892" xr:uid="{C7AA1DE1-7967-49F3-BF0A-CA2B10696FED}"/>
    <cellStyle name="Comma 7 2 3 9" xfId="8178" xr:uid="{55CA506E-047A-409A-AA2F-0DF3537274AD}"/>
    <cellStyle name="Comma 7 2 3 9 2" xfId="12634" xr:uid="{10738613-96FB-4A3C-81A8-44FBCBCADD04}"/>
    <cellStyle name="Comma 7 2 3 9 2 2" xfId="51482" xr:uid="{5356DE32-7B6E-4574-ADB9-3A163628CB8C}"/>
    <cellStyle name="Comma 7 2 3 9 2 3" xfId="53491" xr:uid="{EE8F1E41-A4CC-44A0-891A-DCCC712C4D44}"/>
    <cellStyle name="Comma 7 2 3 9 2 4" xfId="48738" xr:uid="{F4D4C82C-C3DD-4B14-9BEB-6BFF0CD865BF}"/>
    <cellStyle name="Comma 7 2 3 9 3" xfId="47173" xr:uid="{F659AF26-F286-4873-A3FD-D4A451CC4371}"/>
    <cellStyle name="Comma 7 2 3 9 4" xfId="50154" xr:uid="{0807A7BB-5DDC-40F7-978C-AA5FA5169B00}"/>
    <cellStyle name="Comma 7 2 3 9 5" xfId="53492" xr:uid="{33541B36-E759-45AC-A329-6231AEBE7836}"/>
    <cellStyle name="Comma 7 2 3 9 6" xfId="38835" xr:uid="{98E203BB-3E47-439D-9ABF-524CDB078799}"/>
    <cellStyle name="Comma 7 2 4" xfId="1794" xr:uid="{73C76B53-D8C1-48B0-A154-CDE8AB82DAE8}"/>
    <cellStyle name="Comma 7 2 4 10" xfId="42181" xr:uid="{D39298DC-42F8-4E92-83DA-5A3452A0F530}"/>
    <cellStyle name="Comma 7 2 4 11" xfId="42416" xr:uid="{32E2A40F-5BD6-400F-9DC0-60354799CEFD}"/>
    <cellStyle name="Comma 7 2 4 12" xfId="43567" xr:uid="{38F5A708-C887-4F73-B786-59A6FA6A2978}"/>
    <cellStyle name="Comma 7 2 4 13" xfId="44430" xr:uid="{11803B38-A8F2-4D15-8860-B9A7E2C1AFEC}"/>
    <cellStyle name="Comma 7 2 4 14" xfId="45652" xr:uid="{BA1AFA13-0B69-46FB-88BA-38250F4F20EE}"/>
    <cellStyle name="Comma 7 2 4 15" xfId="49281" xr:uid="{F01F6A07-886F-4ABB-8AC3-5C3687854F11}"/>
    <cellStyle name="Comma 7 2 4 16" xfId="53493" xr:uid="{DAF84C30-D527-44D1-AAE6-155B9A5CED49}"/>
    <cellStyle name="Comma 7 2 4 17" xfId="16391" xr:uid="{AB720F5A-C190-4762-B21C-D46A4B125C7D}"/>
    <cellStyle name="Comma 7 2 4 18" xfId="13950" xr:uid="{87A4B7DD-8C63-47C8-8A52-7DA45B006A32}"/>
    <cellStyle name="Comma 7 2 4 2" xfId="4470" xr:uid="{46F876FE-D09C-45FA-99FD-64D5587ED715}"/>
    <cellStyle name="Comma 7 2 4 2 10" xfId="42775" xr:uid="{CD71E4F8-791C-4BD9-930F-C315E5002AB7}"/>
    <cellStyle name="Comma 7 2 4 2 11" xfId="44271" xr:uid="{E7179C12-3D52-4050-B77B-9FC26F7F925F}"/>
    <cellStyle name="Comma 7 2 4 2 12" xfId="44571" xr:uid="{B4ECB54C-5FB3-48FF-B9CE-3663576E4224}"/>
    <cellStyle name="Comma 7 2 4 2 13" xfId="45771" xr:uid="{FC0AC3B2-140D-4FF6-9813-315DE372D2B1}"/>
    <cellStyle name="Comma 7 2 4 2 14" xfId="49399" xr:uid="{FD587F6F-67C3-483C-8343-3CA84DC674E7}"/>
    <cellStyle name="Comma 7 2 4 2 15" xfId="53494" xr:uid="{461897A3-6BEC-4679-AA55-C94D8163A6D4}"/>
    <cellStyle name="Comma 7 2 4 2 16" xfId="17128" xr:uid="{4DB6D18F-099A-41E1-967E-5230C0D270CF}"/>
    <cellStyle name="Comma 7 2 4 2 17" xfId="14264" xr:uid="{30DD13A6-A9B8-4EF0-B76D-169AF2D8EFB6}"/>
    <cellStyle name="Comma 7 2 4 2 2" xfId="5727" xr:uid="{857D105C-7289-4904-B376-D16B67522F3E}"/>
    <cellStyle name="Comma 7 2 4 2 2 10" xfId="45459" xr:uid="{726B3F66-6EAA-4CEF-BE40-820BC9B6AEB0}"/>
    <cellStyle name="Comma 7 2 4 2 2 11" xfId="46739" xr:uid="{3A866C7E-8DE9-49CF-BD51-BE53D0BE7F2A}"/>
    <cellStyle name="Comma 7 2 4 2 2 12" xfId="49771" xr:uid="{FA4E2F41-9A26-4C87-BD03-B105F65CA73A}"/>
    <cellStyle name="Comma 7 2 4 2 2 13" xfId="53495" xr:uid="{4CBD9395-7588-4C03-A09F-6EF6640B76A3}"/>
    <cellStyle name="Comma 7 2 4 2 2 14" xfId="21123" xr:uid="{409C15AE-3EE0-46A0-ACB1-3F34B72974CA}"/>
    <cellStyle name="Comma 7 2 4 2 2 15" xfId="14756" xr:uid="{BFAE72ED-95B6-4FF3-823A-E3452442A14C}"/>
    <cellStyle name="Comma 7 2 4 2 2 2" xfId="10321" xr:uid="{67ADDD84-2518-41F8-BEF5-DAA8EDF1E55E}"/>
    <cellStyle name="Comma 7 2 4 2 2 2 2" xfId="13627" xr:uid="{4FB6966B-46B2-4973-959D-46A6E6A72F61}"/>
    <cellStyle name="Comma 7 2 4 2 2 2 2 2" xfId="48281" xr:uid="{B3201DDB-5045-4DB1-B857-9ACC55F7FB54}"/>
    <cellStyle name="Comma 7 2 4 2 2 2 3" xfId="51099" xr:uid="{E6CAB94C-1880-4DD5-9610-3F3B684740B5}"/>
    <cellStyle name="Comma 7 2 4 2 2 2 4" xfId="53496" xr:uid="{20F42B60-6C4D-412C-A5FE-E0C6B2CC5458}"/>
    <cellStyle name="Comma 7 2 4 2 2 2 5" xfId="24009" xr:uid="{1C60F31E-C664-41EB-B0DC-87011B988CDF}"/>
    <cellStyle name="Comma 7 2 4 2 2 3" xfId="7829" xr:uid="{26EBF2D4-8475-4082-96C7-460D0B55C3AD}"/>
    <cellStyle name="Comma 7 2 4 2 2 3 2" xfId="38506" xr:uid="{07BB0BB2-59B8-4B6A-8D65-6401D9BF67E6}"/>
    <cellStyle name="Comma 7 2 4 2 2 4" xfId="12342" xr:uid="{82DFD955-A60E-4E53-A3FC-E6B7A2B38D80}"/>
    <cellStyle name="Comma 7 2 4 2 2 4 2" xfId="39689" xr:uid="{F425ECCD-0EF7-4EF5-9F95-A6AF5FD3159E}"/>
    <cellStyle name="Comma 7 2 4 2 2 5" xfId="40329" xr:uid="{87A4C917-0605-4F01-AC4D-F74C159BC95E}"/>
    <cellStyle name="Comma 7 2 4 2 2 6" xfId="40971" xr:uid="{10C987A6-5BBE-43CA-898D-785AB24C6438}"/>
    <cellStyle name="Comma 7 2 4 2 2 7" xfId="41542" xr:uid="{FABFADE5-1063-40D1-8473-2CBFBCC98179}"/>
    <cellStyle name="Comma 7 2 4 2 2 8" xfId="42183" xr:uid="{C77BE5EC-18BB-418C-9CBB-D2ED6882F8AE}"/>
    <cellStyle name="Comma 7 2 4 2 2 9" xfId="43366" xr:uid="{EE444AD8-B4FD-4BB0-B920-3516217A670C}"/>
    <cellStyle name="Comma 7 2 4 2 3" xfId="11235" xr:uid="{497C5465-FE4E-4B5D-9960-3170395ACCA0}"/>
    <cellStyle name="Comma 7 2 4 2 3 2" xfId="13797" xr:uid="{A4AEB780-C971-4A7C-88C2-D4D8C9CD5EB5}"/>
    <cellStyle name="Comma 7 2 4 2 3 2 2" xfId="51434" xr:uid="{1F42C832-CF0E-41CE-8BB5-E3E23577C772}"/>
    <cellStyle name="Comma 7 2 4 2 3 2 3" xfId="53497" xr:uid="{B29F96E7-57DD-4FDF-8842-0D0EFF1F9199}"/>
    <cellStyle name="Comma 7 2 4 2 3 2 4" xfId="48679" xr:uid="{5E9DA0B4-9851-47F0-AF0D-BC032CD334C8}"/>
    <cellStyle name="Comma 7 2 4 2 3 3" xfId="47116" xr:uid="{45DEE0F9-DDA9-4E36-9822-D90E8B51B87D}"/>
    <cellStyle name="Comma 7 2 4 2 3 4" xfId="50106" xr:uid="{488C02AA-3F09-4B75-A0E1-791AB7F947D0}"/>
    <cellStyle name="Comma 7 2 4 2 3 5" xfId="53498" xr:uid="{B09F901C-DF6D-41D6-90CF-6DBD95A143DB}"/>
    <cellStyle name="Comma 7 2 4 2 3 6" xfId="20342" xr:uid="{A2414192-46C6-4F06-88F8-6DEB2C4395E0}"/>
    <cellStyle name="Comma 7 2 4 2 3 7" xfId="15071" xr:uid="{BB97D475-BD9D-46AB-8CA7-AB8326699EF7}"/>
    <cellStyle name="Comma 7 2 4 2 4" xfId="9827" xr:uid="{F01430F0-D850-4C2A-9AC8-06058D100FCB}"/>
    <cellStyle name="Comma 7 2 4 2 4 2" xfId="13133" xr:uid="{4E92EFB8-58BC-46A3-8A4E-9672F44490D1}"/>
    <cellStyle name="Comma 7 2 4 2 4 2 2" xfId="51817" xr:uid="{5FC05CF5-2DC8-4799-ACBD-DD23A91ABC38}"/>
    <cellStyle name="Comma 7 2 4 2 4 2 3" xfId="53499" xr:uid="{8290DF39-FF96-42C0-935D-2D6DB83483CF}"/>
    <cellStyle name="Comma 7 2 4 2 4 2 4" xfId="49137" xr:uid="{AECCFFB0-4A83-49DC-A70F-6F410AB142C1}"/>
    <cellStyle name="Comma 7 2 4 2 4 3" xfId="47554" xr:uid="{7129792D-66E6-4900-8DCC-D9CF62CA4CD6}"/>
    <cellStyle name="Comma 7 2 4 2 4 4" xfId="50489" xr:uid="{E8F00C7A-5D1F-49E5-9B8A-3D522132FFF0}"/>
    <cellStyle name="Comma 7 2 4 2 4 5" xfId="53500" xr:uid="{8EE4D3BE-60D1-4390-80A7-C23AA2702523}"/>
    <cellStyle name="Comma 7 2 4 2 4 6" xfId="24008" xr:uid="{A589B0A6-8F71-4B6C-A614-017DA665406B}"/>
    <cellStyle name="Comma 7 2 4 2 5" xfId="7325" xr:uid="{B195FFC0-F50D-4AF6-99BF-043F2769CD74}"/>
    <cellStyle name="Comma 7 2 4 2 5 2" xfId="47839" xr:uid="{23A7A1C2-0C24-4E41-9F0F-69D8EE29F149}"/>
    <cellStyle name="Comma 7 2 4 2 5 3" xfId="50727" xr:uid="{3FF5071E-A480-4828-B55A-FDCA5249AC8B}"/>
    <cellStyle name="Comma 7 2 4 2 5 4" xfId="53501" xr:uid="{6BE1BFE9-31C8-4184-8884-3A27C03BD7AE}"/>
    <cellStyle name="Comma 7 2 4 2 5 5" xfId="38505" xr:uid="{F5E21018-3675-427F-823B-2BEEA8DDC555}"/>
    <cellStyle name="Comma 7 2 4 2 6" xfId="11848" xr:uid="{E63CBA15-8900-4B5E-9E46-57C052381826}"/>
    <cellStyle name="Comma 7 2 4 2 6 2" xfId="39098" xr:uid="{44BFA640-1471-402C-90D8-26AE6C1F7D53}"/>
    <cellStyle name="Comma 7 2 4 2 7" xfId="40328" xr:uid="{F78713AC-5364-4D32-BB4A-88C6CC6DB825}"/>
    <cellStyle name="Comma 7 2 4 2 8" xfId="40970" xr:uid="{9C00361F-4D9F-4272-AEA7-CA4CC0A93C97}"/>
    <cellStyle name="Comma 7 2 4 2 9" xfId="42182" xr:uid="{42EC4498-E383-4157-8A97-F08FCA4F3A9A}"/>
    <cellStyle name="Comma 7 2 4 3" xfId="5551" xr:uid="{142631DC-94D8-4CF2-A2A1-8BA752DE91F1}"/>
    <cellStyle name="Comma 7 2 4 3 10" xfId="43840" xr:uid="{1412A1EB-7066-484B-9ED5-A915954FC838}"/>
    <cellStyle name="Comma 7 2 4 3 11" xfId="45112" xr:uid="{1E78FE58-975B-4215-B846-AC4121A24A9B}"/>
    <cellStyle name="Comma 7 2 4 3 12" xfId="46598" xr:uid="{099F28CF-2F83-449B-8410-32FE7E3666D3}"/>
    <cellStyle name="Comma 7 2 4 3 13" xfId="49631" xr:uid="{1CD2CC86-8B4C-4136-B9C8-A71B0CDB2680}"/>
    <cellStyle name="Comma 7 2 4 3 14" xfId="53502" xr:uid="{DA41D117-4070-473E-B9FE-48F370EDA83E}"/>
    <cellStyle name="Comma 7 2 4 3 15" xfId="20636" xr:uid="{D0B3F968-77E2-4BFD-9952-24FB3EE35898}"/>
    <cellStyle name="Comma 7 2 4 3 16" xfId="14088" xr:uid="{E2C3F490-6DFB-4B1A-8D0F-09C4F6E80F7A}"/>
    <cellStyle name="Comma 7 2 4 3 2" xfId="7653" xr:uid="{A33C9F26-90D1-432A-8DAD-B22CA5309908}"/>
    <cellStyle name="Comma 7 2 4 3 2 2" xfId="10145" xr:uid="{CD6DCB25-1829-4B15-90D0-2DE0D8DE7952}"/>
    <cellStyle name="Comma 7 2 4 3 2 2 2" xfId="13451" xr:uid="{7C35623A-6380-4A4D-BF46-58C10C2EEAA4}"/>
    <cellStyle name="Comma 7 2 4 3 2 2 2 2" xfId="51677" xr:uid="{62FA40C6-1E8D-4D01-81A8-B95B77C05778}"/>
    <cellStyle name="Comma 7 2 4 3 2 2 3" xfId="53503" xr:uid="{37E87E6A-9A24-48E1-8DB7-0BCD95057419}"/>
    <cellStyle name="Comma 7 2 4 3 2 2 4" xfId="48965" xr:uid="{1E0DAA6E-8895-4E55-BD1F-C0B2BC08F580}"/>
    <cellStyle name="Comma 7 2 4 3 2 3" xfId="12166" xr:uid="{45BDD04E-A04E-40B0-B806-08C71747E08A}"/>
    <cellStyle name="Comma 7 2 4 3 2 3 2" xfId="47389" xr:uid="{6B88E141-7C38-4DB9-A700-A0217EF953D6}"/>
    <cellStyle name="Comma 7 2 4 3 2 4" xfId="50349" xr:uid="{3B0C3472-FD63-4EDC-95BC-FB37D952D450}"/>
    <cellStyle name="Comma 7 2 4 3 2 5" xfId="53504" xr:uid="{F57014DF-D1A0-453B-A85E-3E01D6698230}"/>
    <cellStyle name="Comma 7 2 4 3 2 6" xfId="24010" xr:uid="{013EB806-1BE8-46DE-8B4D-0156E6654435}"/>
    <cellStyle name="Comma 7 2 4 3 2 7" xfId="14580" xr:uid="{092CA4A9-25E8-4A8F-9798-6EDD1DE96C6D}"/>
    <cellStyle name="Comma 7 2 4 3 3" xfId="9651" xr:uid="{69E2919C-FB0E-4CFC-85AA-FC79DAFA102A}"/>
    <cellStyle name="Comma 7 2 4 3 3 2" xfId="12957" xr:uid="{6EEE9379-E068-4013-92F8-72F40B4A3B48}"/>
    <cellStyle name="Comma 7 2 4 3 3 2 2" xfId="48110" xr:uid="{6D85B590-331E-4126-9CA7-549EAA9AAE20}"/>
    <cellStyle name="Comma 7 2 4 3 3 3" xfId="50959" xr:uid="{D1DD18DC-2EAA-400C-89F2-C54051EBD61A}"/>
    <cellStyle name="Comma 7 2 4 3 3 4" xfId="53505" xr:uid="{310C6042-BDC9-4111-B4C3-A7464C104BB4}"/>
    <cellStyle name="Comma 7 2 4 3 3 5" xfId="38507" xr:uid="{8B9EE231-35EF-4208-A018-3E7BCB69F0D5}"/>
    <cellStyle name="Comma 7 2 4 3 4" xfId="7147" xr:uid="{DB988BBA-ADD6-49CB-B304-317AD6C7D434}"/>
    <cellStyle name="Comma 7 2 4 3 4 2" xfId="39330" xr:uid="{2CF981A4-40BC-4AC4-9EC5-80A923BF2905}"/>
    <cellStyle name="Comma 7 2 4 3 5" xfId="11672" xr:uid="{E1EF2EBF-D0E0-4327-A206-50903DEE2757}"/>
    <cellStyle name="Comma 7 2 4 3 5 2" xfId="40330" xr:uid="{CF4913A5-10E5-4C59-9580-A54338C72A10}"/>
    <cellStyle name="Comma 7 2 4 3 6" xfId="40972" xr:uid="{4E95FF28-4FDF-44B3-BD41-4521C419FC8B}"/>
    <cellStyle name="Comma 7 2 4 3 7" xfId="41192" xr:uid="{890114B2-D9C4-4944-B42F-C5BD29A4DB9D}"/>
    <cellStyle name="Comma 7 2 4 3 8" xfId="42184" xr:uid="{23C64E9D-61A8-435E-8B15-E162A7B6D79D}"/>
    <cellStyle name="Comma 7 2 4 3 9" xfId="43007" xr:uid="{9F1A6717-0C52-4566-9F52-F2DD22F96CC0}"/>
    <cellStyle name="Comma 7 2 4 4" xfId="6541" xr:uid="{2F420CC9-8C21-42AF-8D68-DFA0A0DAC695}"/>
    <cellStyle name="Comma 7 2 4 4 2" xfId="9513" xr:uid="{B7560EF4-B7C8-47B5-9D63-6696E6A423B4}"/>
    <cellStyle name="Comma 7 2 4 4 2 2" xfId="12819" xr:uid="{4F2C7467-9A8B-43CA-B945-FDF31ABC62D4}"/>
    <cellStyle name="Comma 7 2 4 4 2 2 2" xfId="50844" xr:uid="{D128A038-38CB-4A04-8F3D-894B47093E61}"/>
    <cellStyle name="Comma 7 2 4 4 2 3" xfId="53506" xr:uid="{7BDF4295-D90D-42CF-A3A5-A60126042A60}"/>
    <cellStyle name="Comma 7 2 4 4 2 4" xfId="47975" xr:uid="{30AD4D18-E16C-441B-A2DA-95565558FA8A}"/>
    <cellStyle name="Comma 7 2 4 4 3" xfId="11534" xr:uid="{92BCE321-8652-4440-9245-1FB56318392C}"/>
    <cellStyle name="Comma 7 2 4 4 3 2" xfId="46180" xr:uid="{2CA522AA-A50D-434C-9F22-0411350F3BAB}"/>
    <cellStyle name="Comma 7 2 4 4 4" xfId="49516" xr:uid="{FB3123A4-938B-4947-B29E-C70F5AD57BCF}"/>
    <cellStyle name="Comma 7 2 4 4 5" xfId="53507" xr:uid="{11EC72E8-4614-4980-B9B8-F8A37298CE8B}"/>
    <cellStyle name="Comma 7 2 4 4 6" xfId="19983" xr:uid="{C419A4EF-17DA-484E-B21D-9D060D15F181}"/>
    <cellStyle name="Comma 7 2 4 4 7" xfId="14442" xr:uid="{F58ACEAC-01E7-41C3-A3CB-DDB347FE7E16}"/>
    <cellStyle name="Comma 7 2 4 5" xfId="7515" xr:uid="{C757279C-F4FB-40B9-9A80-FD516797C2B2}"/>
    <cellStyle name="Comma 7 2 4 5 2" xfId="10007" xr:uid="{450D26B7-52B2-48B0-B4CE-A796A2D579C9}"/>
    <cellStyle name="Comma 7 2 4 5 2 2" xfId="13313" xr:uid="{A3C0DE3B-F0C7-43B9-838E-40381C268C36}"/>
    <cellStyle name="Comma 7 2 4 5 2 2 2" xfId="51306" xr:uid="{FF823F87-381D-495E-B66A-7B19C13D39C6}"/>
    <cellStyle name="Comma 7 2 4 5 2 3" xfId="53508" xr:uid="{23797812-853D-4A5F-A6E6-DC9D4C50C640}"/>
    <cellStyle name="Comma 7 2 4 5 2 4" xfId="48520" xr:uid="{5F57A929-E5D4-4B33-93D2-AFC04BA1B98A}"/>
    <cellStyle name="Comma 7 2 4 5 3" xfId="12028" xr:uid="{5B54E59D-7E14-4277-8386-9F4223036693}"/>
    <cellStyle name="Comma 7 2 4 5 3 2" xfId="46959" xr:uid="{13E32409-5348-4535-8F45-76EE1B6DEEA5}"/>
    <cellStyle name="Comma 7 2 4 5 4" xfId="49978" xr:uid="{240D3519-06DB-4D5F-844A-6B3B0AB5DC4E}"/>
    <cellStyle name="Comma 7 2 4 5 5" xfId="53509" xr:uid="{A41ED448-F8E9-457E-AFCA-0E8791B6F75A}"/>
    <cellStyle name="Comma 7 2 4 5 6" xfId="24007" xr:uid="{B514221F-5049-4666-AA96-D9C902760DE1}"/>
    <cellStyle name="Comma 7 2 4 5 7" xfId="14895" xr:uid="{989901DE-E5F3-4FE1-9FA3-7FE96F1E2146}"/>
    <cellStyle name="Comma 7 2 4 6" xfId="8181" xr:uid="{0BCDC329-25AC-44B8-BA3F-9662BEB64DB2}"/>
    <cellStyle name="Comma 7 2 4 6 2" xfId="12637" xr:uid="{A5044F56-8714-4633-8A69-1F42A9398A3D}"/>
    <cellStyle name="Comma 7 2 4 6 2 2" xfId="51562" xr:uid="{AC1AF2B6-27F9-4C25-A62D-D121BED2807B}"/>
    <cellStyle name="Comma 7 2 4 6 2 3" xfId="53510" xr:uid="{3E95B96F-E404-45A0-93AB-2A9EA7698AF2}"/>
    <cellStyle name="Comma 7 2 4 6 2 4" xfId="48827" xr:uid="{359D89C3-E6AE-4784-8792-CCC4A2DFA6D0}"/>
    <cellStyle name="Comma 7 2 4 6 3" xfId="47256" xr:uid="{BFE887C9-BEA5-4DC4-82BD-75258C704588}"/>
    <cellStyle name="Comma 7 2 4 6 4" xfId="50234" xr:uid="{218F0ED2-0E4B-4933-9D3F-9AE038F02672}"/>
    <cellStyle name="Comma 7 2 4 6 5" xfId="53511" xr:uid="{C39A0EA5-F477-49EE-9DAD-123A2AB485E1}"/>
    <cellStyle name="Comma 7 2 4 6 6" xfId="38504" xr:uid="{28E2E8A9-4EBB-4647-8883-C40926406279}"/>
    <cellStyle name="Comma 7 2 4 7" xfId="7968" xr:uid="{22914FDE-E252-4C33-8FD8-23DE0B63B157}"/>
    <cellStyle name="Comma 7 2 4 7 2" xfId="12481" xr:uid="{43DCC90C-6A3F-4B89-9314-02BCB39D69E9}"/>
    <cellStyle name="Comma 7 2 4 7 2 2" xfId="47701" xr:uid="{31A91FF3-721B-4847-B77F-0009CA174A49}"/>
    <cellStyle name="Comma 7 2 4 7 3" xfId="50609" xr:uid="{358A7D52-01ED-4CC2-A1D0-BDBCC02384CD}"/>
    <cellStyle name="Comma 7 2 4 7 4" xfId="53512" xr:uid="{93C24DB2-941F-4582-878F-E94B77A78068}"/>
    <cellStyle name="Comma 7 2 4 7 5" xfId="38739" xr:uid="{F1A171D7-B710-42B6-B7D7-4424C733726D}"/>
    <cellStyle name="Comma 7 2 4 8" xfId="5865" xr:uid="{42D85C3B-C777-4CD4-BFA1-6F10B8D95C82}"/>
    <cellStyle name="Comma 7 2 4 8 2" xfId="40327" xr:uid="{77D6B886-2F7F-464F-9DCB-1BDB6676DCF9}"/>
    <cellStyle name="Comma 7 2 4 9" xfId="11353" xr:uid="{8C761A31-EE18-4B32-8713-2FD150E11ACB}"/>
    <cellStyle name="Comma 7 2 4 9 2" xfId="40969" xr:uid="{C72C75B9-C1B7-4F93-9C0F-4CC3B6FEE0A7}"/>
    <cellStyle name="Comma 7 2 5" xfId="1795" xr:uid="{C1483B22-2882-4D28-8906-C15640F055E5}"/>
    <cellStyle name="Comma 7 2 5 10" xfId="42771" xr:uid="{58011A29-2FF1-464B-A155-2A5253D62582}"/>
    <cellStyle name="Comma 7 2 5 11" xfId="43568" xr:uid="{F30DF2DD-4A2C-4FF2-B2C3-D173655929E3}"/>
    <cellStyle name="Comma 7 2 5 12" xfId="44431" xr:uid="{D6E5C3AD-5D99-4BEB-841A-A53E52831528}"/>
    <cellStyle name="Comma 7 2 5 13" xfId="45750" xr:uid="{FC0B49B2-EAF3-41BE-8234-B22DCC4902BF}"/>
    <cellStyle name="Comma 7 2 5 14" xfId="49378" xr:uid="{824BD9EB-519D-4FE6-87DF-08DB4B5B125E}"/>
    <cellStyle name="Comma 7 2 5 15" xfId="53513" xr:uid="{2B58D832-5C9A-4F9D-8AAD-78FC181F4A31}"/>
    <cellStyle name="Comma 7 2 5 16" xfId="17124" xr:uid="{F5AAF4C9-2E29-49B1-8F11-6AC7B351F3EC}"/>
    <cellStyle name="Comma 7 2 5 17" xfId="13951" xr:uid="{0B523171-915C-4253-956C-F51D73506665}"/>
    <cellStyle name="Comma 7 2 5 2" xfId="4471" xr:uid="{5EA397F3-81EE-4762-BAF7-BB9BB41315F4}"/>
    <cellStyle name="Comma 7 2 5 2 10" xfId="21119" xr:uid="{44A9C2DB-B563-46D2-A53A-4AE7A5F91FD4}"/>
    <cellStyle name="Comma 7 2 5 2 11" xfId="14265" xr:uid="{1B3529CD-CC57-4383-B179-762376CEF97E}"/>
    <cellStyle name="Comma 7 2 5 2 2" xfId="5728" xr:uid="{4184AD5A-215F-4F31-88A0-9662FD23F4A4}"/>
    <cellStyle name="Comma 7 2 5 2 2 2" xfId="10322" xr:uid="{30F4EE7E-C322-420D-B3E3-913EDC25FCAE}"/>
    <cellStyle name="Comma 7 2 5 2 2 2 2" xfId="13628" xr:uid="{1F51E0D8-FF5C-4AFD-83ED-679A22E85568}"/>
    <cellStyle name="Comma 7 2 5 2 2 2 2 2" xfId="51435" xr:uid="{797187EE-DE88-49D4-A4D9-A17147E86C29}"/>
    <cellStyle name="Comma 7 2 5 2 2 2 3" xfId="53514" xr:uid="{CF54F916-2CCB-4A14-BC23-2FEB08A0E397}"/>
    <cellStyle name="Comma 7 2 5 2 2 2 4" xfId="48680" xr:uid="{CF05DD92-EA6C-48F0-BD73-84AEF4DEFC56}"/>
    <cellStyle name="Comma 7 2 5 2 2 3" xfId="7830" xr:uid="{FF690EF8-91AC-4C84-A919-9B33560C8E1B}"/>
    <cellStyle name="Comma 7 2 5 2 2 3 2" xfId="47117" xr:uid="{2A4FB1B5-8D16-4079-9E6B-299C84793D34}"/>
    <cellStyle name="Comma 7 2 5 2 2 4" xfId="12343" xr:uid="{6051F0EA-FBB3-40C2-B313-BCEBAEF15465}"/>
    <cellStyle name="Comma 7 2 5 2 2 4 2" xfId="50107" xr:uid="{8F91D822-1D02-496C-9437-83CCBDE84D7B}"/>
    <cellStyle name="Comma 7 2 5 2 2 5" xfId="53515" xr:uid="{0771A218-2653-4441-AFB9-E9A4BC7FCF4A}"/>
    <cellStyle name="Comma 7 2 5 2 2 6" xfId="39685" xr:uid="{DE0B806E-D589-4868-8AB6-FD9EBD1DF053}"/>
    <cellStyle name="Comma 7 2 5 2 2 7" xfId="14757" xr:uid="{3224CFED-89C5-45B6-9DFA-61362F75C99D}"/>
    <cellStyle name="Comma 7 2 5 2 3" xfId="9828" xr:uid="{B039262A-4863-4493-8B40-68308F45AF65}"/>
    <cellStyle name="Comma 7 2 5 2 3 2" xfId="13134" xr:uid="{E3C8ACF1-865F-4355-B74B-4D0B072C5763}"/>
    <cellStyle name="Comma 7 2 5 2 3 2 2" xfId="51818" xr:uid="{1E60B260-A4DC-4CD3-9435-8DCB5D80FFF5}"/>
    <cellStyle name="Comma 7 2 5 2 3 2 3" xfId="53516" xr:uid="{70EB43E0-B490-432C-AA5C-C124426370F2}"/>
    <cellStyle name="Comma 7 2 5 2 3 2 4" xfId="49138" xr:uid="{1ABA7EDE-18F8-47AA-BAE9-6179D695E20D}"/>
    <cellStyle name="Comma 7 2 5 2 3 3" xfId="47555" xr:uid="{6ABFAE8E-462D-4708-B31E-AE6124E1651A}"/>
    <cellStyle name="Comma 7 2 5 2 3 4" xfId="50490" xr:uid="{88ECBECD-FB64-4F3F-8C80-37E6774F43D4}"/>
    <cellStyle name="Comma 7 2 5 2 3 5" xfId="53517" xr:uid="{1E0F2413-B201-4D90-B052-12E01047A927}"/>
    <cellStyle name="Comma 7 2 5 2 3 6" xfId="41538" xr:uid="{43C103AA-4A7D-44F1-892E-D42D19A0E69E}"/>
    <cellStyle name="Comma 7 2 5 2 3 7" xfId="15072" xr:uid="{AA2C3B82-EAF4-44D7-A5FD-278BA73A5F20}"/>
    <cellStyle name="Comma 7 2 5 2 4" xfId="7326" xr:uid="{649A67AB-4ABA-4626-88ED-7589587D7F4F}"/>
    <cellStyle name="Comma 7 2 5 2 4 2" xfId="48282" xr:uid="{B5C2C90B-DAEA-4D80-B351-88042F6A1DFC}"/>
    <cellStyle name="Comma 7 2 5 2 4 3" xfId="51100" xr:uid="{6B0D82E0-F439-458F-AAD8-3579218455A4}"/>
    <cellStyle name="Comma 7 2 5 2 4 4" xfId="53518" xr:uid="{74A5C632-A3E0-4A86-84E3-4F42ACEB1319}"/>
    <cellStyle name="Comma 7 2 5 2 4 5" xfId="43362" xr:uid="{54ED9E70-E8BF-4C6F-918F-59A6CB2D9AA7}"/>
    <cellStyle name="Comma 7 2 5 2 5" xfId="11849" xr:uid="{4D239BD8-DCC8-4BE9-AF5F-0B9D5D8903D5}"/>
    <cellStyle name="Comma 7 2 5 2 5 2" xfId="44272" xr:uid="{AAB554CC-6157-41FA-82C3-8C9B98E98FD1}"/>
    <cellStyle name="Comma 7 2 5 2 6" xfId="44572" xr:uid="{E00A00C9-A1AB-4125-A5EF-17D34B812C33}"/>
    <cellStyle name="Comma 7 2 5 2 7" xfId="46740" xr:uid="{038860EA-2D6B-4616-952A-41DAF4A935DE}"/>
    <cellStyle name="Comma 7 2 5 2 8" xfId="49772" xr:uid="{53662BB8-286B-419B-B6D6-99E5D05AF736}"/>
    <cellStyle name="Comma 7 2 5 2 9" xfId="53519" xr:uid="{A6A9774B-6377-466D-8AD5-DFDEE1AE9742}"/>
    <cellStyle name="Comma 7 2 5 3" xfId="5552" xr:uid="{644D266B-39DA-4B7D-95A7-BF3E4E925E6C}"/>
    <cellStyle name="Comma 7 2 5 3 2" xfId="7654" xr:uid="{48B1BAEE-CB1A-40C4-A275-6DDC2C4281D2}"/>
    <cellStyle name="Comma 7 2 5 3 2 2" xfId="10146" xr:uid="{ECB83051-7A15-420D-AAE6-C733DC594562}"/>
    <cellStyle name="Comma 7 2 5 3 2 2 2" xfId="13452" xr:uid="{1301EF0F-A781-417C-A88B-C7099095E9A0}"/>
    <cellStyle name="Comma 7 2 5 3 2 2 2 2" xfId="51678" xr:uid="{B1E3B4CF-6F9D-4E70-B469-84D51A0A7839}"/>
    <cellStyle name="Comma 7 2 5 3 2 2 3" xfId="53520" xr:uid="{16D51B39-0841-4CFD-B689-0FDC1B090DDE}"/>
    <cellStyle name="Comma 7 2 5 3 2 2 4" xfId="48966" xr:uid="{7F079765-47B2-445E-9221-9A67B6D5DD5C}"/>
    <cellStyle name="Comma 7 2 5 3 2 3" xfId="12167" xr:uid="{8787EA95-5CDE-4B49-87C6-24DEB87CA4D5}"/>
    <cellStyle name="Comma 7 2 5 3 2 3 2" xfId="47390" xr:uid="{4D1193CC-B0A1-4DF3-B843-7299684BBD10}"/>
    <cellStyle name="Comma 7 2 5 3 2 4" xfId="50350" xr:uid="{FF588AD9-E41D-48E7-B221-561615735A15}"/>
    <cellStyle name="Comma 7 2 5 3 2 5" xfId="53521" xr:uid="{AAF84B8A-966C-4871-8ADE-6AEA430AB9B5}"/>
    <cellStyle name="Comma 7 2 5 3 2 6" xfId="43841" xr:uid="{41FD89B6-6585-4DBF-9F10-F1AF5D89B788}"/>
    <cellStyle name="Comma 7 2 5 3 2 7" xfId="14581" xr:uid="{1AADB67F-D2C9-4AEB-B8EF-A903E5CAAE24}"/>
    <cellStyle name="Comma 7 2 5 3 3" xfId="9652" xr:uid="{D28564E9-41F9-4BD7-BCA8-8D6C94DA14F4}"/>
    <cellStyle name="Comma 7 2 5 3 3 2" xfId="12958" xr:uid="{4C9568D7-2127-4EBA-AB7D-677F8E797AF2}"/>
    <cellStyle name="Comma 7 2 5 3 3 2 2" xfId="50960" xr:uid="{99F52245-F029-4210-963C-F8175E756A5E}"/>
    <cellStyle name="Comma 7 2 5 3 3 3" xfId="53522" xr:uid="{9BC91230-59F3-4F93-A467-1EB38CB7F0EA}"/>
    <cellStyle name="Comma 7 2 5 3 3 4" xfId="48111" xr:uid="{AD642D54-862D-440F-ABB7-4D080DA73E92}"/>
    <cellStyle name="Comma 7 2 5 3 4" xfId="7148" xr:uid="{C3ADDD7C-36DF-4F3C-BE45-013FB266D369}"/>
    <cellStyle name="Comma 7 2 5 3 4 2" xfId="46599" xr:uid="{4C1D7419-CB2B-4ACF-A696-C78A3AFA8A4C}"/>
    <cellStyle name="Comma 7 2 5 3 5" xfId="11673" xr:uid="{66B1B2E2-22C6-4347-9074-154960721261}"/>
    <cellStyle name="Comma 7 2 5 3 5 2" xfId="49632" xr:uid="{3C359389-1043-44BC-8C29-99C9645FE439}"/>
    <cellStyle name="Comma 7 2 5 3 6" xfId="53523" xr:uid="{C191BAAD-64F3-4E20-8BD9-F1AF0C2F5F72}"/>
    <cellStyle name="Comma 7 2 5 3 7" xfId="20338" xr:uid="{5A90D5D8-16D1-46D0-B835-5381E6218289}"/>
    <cellStyle name="Comma 7 2 5 3 8" xfId="14089" xr:uid="{E87501F4-E99A-43B1-88F7-9639C232B6FD}"/>
    <cellStyle name="Comma 7 2 5 4" xfId="6542" xr:uid="{1F62AD8F-62AB-4811-82BF-D11762CBEA21}"/>
    <cellStyle name="Comma 7 2 5 4 2" xfId="9514" xr:uid="{AA184E46-928A-494C-A628-94640CB6A9C5}"/>
    <cellStyle name="Comma 7 2 5 4 2 2" xfId="12820" xr:uid="{190D53E0-98FE-4FE6-942E-72743CD01DE9}"/>
    <cellStyle name="Comma 7 2 5 4 2 2 2" xfId="50845" xr:uid="{AA89F119-AD1D-41E8-9310-26E8D8C2E75B}"/>
    <cellStyle name="Comma 7 2 5 4 2 3" xfId="53524" xr:uid="{BD6602F8-0A62-4766-BE08-8C0FE432F52C}"/>
    <cellStyle name="Comma 7 2 5 4 2 4" xfId="47976" xr:uid="{23043BD9-7AEC-40CB-8899-F262C21E56B6}"/>
    <cellStyle name="Comma 7 2 5 4 3" xfId="11535" xr:uid="{874E7DB3-F84F-438B-B8B6-704EBF9D8B99}"/>
    <cellStyle name="Comma 7 2 5 4 3 2" xfId="46181" xr:uid="{C272C302-2E79-4412-B978-863B6EC0A1A4}"/>
    <cellStyle name="Comma 7 2 5 4 4" xfId="49517" xr:uid="{A67BAA82-AC4E-449B-BCAA-A52341029607}"/>
    <cellStyle name="Comma 7 2 5 4 5" xfId="53525" xr:uid="{65F200B2-72F9-470A-95EF-683D86CBF2F6}"/>
    <cellStyle name="Comma 7 2 5 4 6" xfId="24011" xr:uid="{1A585A62-71F6-43B8-981A-CBE2A77CC4E6}"/>
    <cellStyle name="Comma 7 2 5 4 7" xfId="14443" xr:uid="{4F3552C6-5371-4234-A34D-04FF0086708B}"/>
    <cellStyle name="Comma 7 2 5 5" xfId="7516" xr:uid="{FCA8C050-AA27-4D01-8EF8-3E65CB86F182}"/>
    <cellStyle name="Comma 7 2 5 5 2" xfId="10008" xr:uid="{FE2A57B2-F02B-4194-95DD-8D76C398C182}"/>
    <cellStyle name="Comma 7 2 5 5 2 2" xfId="13314" xr:uid="{755315B5-74FD-4424-B2C3-EB15E1095CDB}"/>
    <cellStyle name="Comma 7 2 5 5 2 2 2" xfId="51307" xr:uid="{F6FCA307-A813-4CC6-A7E4-9020E1E07735}"/>
    <cellStyle name="Comma 7 2 5 5 2 3" xfId="53526" xr:uid="{9498CC9C-4917-47F9-909E-19511C4D4E3F}"/>
    <cellStyle name="Comma 7 2 5 5 2 4" xfId="48521" xr:uid="{7B84BABE-7CF5-4D8D-82E0-F60A21AD722D}"/>
    <cellStyle name="Comma 7 2 5 5 3" xfId="12029" xr:uid="{A3CE53B1-68FB-47D6-95DF-38E1A7EDDA46}"/>
    <cellStyle name="Comma 7 2 5 5 3 2" xfId="46960" xr:uid="{D4F46F5B-C478-4BFE-8E36-E9FABD201D12}"/>
    <cellStyle name="Comma 7 2 5 5 4" xfId="49979" xr:uid="{5A4F7531-6983-4AF5-9372-2CD8D160C847}"/>
    <cellStyle name="Comma 7 2 5 5 5" xfId="53527" xr:uid="{6DCDDB7D-D215-41DB-900E-6B640D59541E}"/>
    <cellStyle name="Comma 7 2 5 5 6" xfId="38508" xr:uid="{FECF5E4D-CA38-4FE9-B2A1-2787AB14C928}"/>
    <cellStyle name="Comma 7 2 5 5 7" xfId="14896" xr:uid="{CD5432A3-7748-42E6-B9D1-0ED47AA0C0D1}"/>
    <cellStyle name="Comma 7 2 5 6" xfId="8182" xr:uid="{23FEA84C-E951-46B6-910B-051BEE4B428B}"/>
    <cellStyle name="Comma 7 2 5 6 2" xfId="12638" xr:uid="{9CAA69C2-DDA6-447B-93BE-9C0B530C9405}"/>
    <cellStyle name="Comma 7 2 5 6 2 2" xfId="51563" xr:uid="{EE1EE9F1-DCF7-4C52-82D1-CB1C19F6A4EE}"/>
    <cellStyle name="Comma 7 2 5 6 2 3" xfId="53528" xr:uid="{20868997-47DC-4D31-9087-ACD4FD331AA5}"/>
    <cellStyle name="Comma 7 2 5 6 2 4" xfId="48828" xr:uid="{D8EA9676-7DA2-4973-B6C7-6D8BC6812F67}"/>
    <cellStyle name="Comma 7 2 5 6 3" xfId="47257" xr:uid="{74341307-9CA2-4EDC-96BB-82CB137E8A36}"/>
    <cellStyle name="Comma 7 2 5 6 4" xfId="50235" xr:uid="{BF2272DF-CB29-47E8-8DE5-54A6B9DE2F66}"/>
    <cellStyle name="Comma 7 2 5 6 5" xfId="53529" xr:uid="{8503C8CC-0232-428A-A13F-9EB7820706EF}"/>
    <cellStyle name="Comma 7 2 5 6 6" xfId="39094" xr:uid="{E0B237B4-A174-4733-B86E-5E9C752163D3}"/>
    <cellStyle name="Comma 7 2 5 7" xfId="7969" xr:uid="{32D12B9B-3A5C-4A85-B75B-F0ABF4712E39}"/>
    <cellStyle name="Comma 7 2 5 7 2" xfId="12482" xr:uid="{26B5EA86-6DF6-4EED-BC4D-966DB87F6B81}"/>
    <cellStyle name="Comma 7 2 5 7 2 2" xfId="47818" xr:uid="{0E4D4D22-4670-46C4-A352-7F3A75F853D0}"/>
    <cellStyle name="Comma 7 2 5 7 3" xfId="50706" xr:uid="{667D8BB2-11B6-454E-850D-065F5C0DE876}"/>
    <cellStyle name="Comma 7 2 5 7 4" xfId="53530" xr:uid="{CE003550-6F66-41E8-B244-1008AC4481F0}"/>
    <cellStyle name="Comma 7 2 5 7 5" xfId="40331" xr:uid="{759A45C3-7AD9-4DA9-80E7-B00F93B231A3}"/>
    <cellStyle name="Comma 7 2 5 8" xfId="5866" xr:uid="{FF8F266A-1FD9-41E1-8965-29D758714931}"/>
    <cellStyle name="Comma 7 2 5 8 2" xfId="40973" xr:uid="{16128F9A-3CD6-476F-B0B0-CA8F5F9EFC89}"/>
    <cellStyle name="Comma 7 2 5 9" xfId="11354" xr:uid="{60E8BA2C-6DAA-4484-B997-0A0F4543C72D}"/>
    <cellStyle name="Comma 7 2 5 9 2" xfId="42185" xr:uid="{783A5DE5-B2AE-49D4-BE2C-0DD58999C8AD}"/>
    <cellStyle name="Comma 7 2 6" xfId="4463" xr:uid="{F104E827-C6AC-4EB6-92CA-57DE42004893}"/>
    <cellStyle name="Comma 7 2 6 10" xfId="42849" xr:uid="{B197E0C5-466C-482E-9B2A-6DF67885C68A}"/>
    <cellStyle name="Comma 7 2 6 11" xfId="43560" xr:uid="{F952610B-7002-430B-A11B-545FEFD281CB}"/>
    <cellStyle name="Comma 7 2 6 12" xfId="44564" xr:uid="{64565018-E2AE-46B6-8490-480B6B0FEC4F}"/>
    <cellStyle name="Comma 7 2 6 13" xfId="45726" xr:uid="{9004DDBF-6880-4F16-B26F-6EB651E9C782}"/>
    <cellStyle name="Comma 7 2 6 14" xfId="49354" xr:uid="{80274B02-B04C-47A9-A736-4616BCCA1247}"/>
    <cellStyle name="Comma 7 2 6 15" xfId="53531" xr:uid="{2104EE08-1DF8-45C5-BB0C-E264C20DF744}"/>
    <cellStyle name="Comma 7 2 6 16" xfId="19755" xr:uid="{308624C1-ECD2-4926-AFD8-E18495EA61E2}"/>
    <cellStyle name="Comma 7 2 6 17" xfId="13943" xr:uid="{6207CEF1-1D19-4708-B92F-5E374520B308}"/>
    <cellStyle name="Comma 7 2 6 2" xfId="5720" xr:uid="{3ADEAC31-1612-44BE-8247-020C14063A78}"/>
    <cellStyle name="Comma 7 2 6 2 10" xfId="23372" xr:uid="{6BDDAD08-F301-41C0-878A-315541FE13B0}"/>
    <cellStyle name="Comma 7 2 6 2 11" xfId="14257" xr:uid="{3490A121-D163-4111-8C2B-9C083FC5D7AC}"/>
    <cellStyle name="Comma 7 2 6 2 2" xfId="7822" xr:uid="{981A3DB4-A7E6-48F6-872E-D573BB317EFF}"/>
    <cellStyle name="Comma 7 2 6 2 2 2" xfId="10314" xr:uid="{6E9B0C7D-DA63-4DCB-ADAD-47751EB65878}"/>
    <cellStyle name="Comma 7 2 6 2 2 2 2" xfId="13620" xr:uid="{7BF6AAB2-634A-4EFF-89F4-463698266D3A}"/>
    <cellStyle name="Comma 7 2 6 2 2 2 2 2" xfId="51810" xr:uid="{8C907075-161B-443C-B97D-7693CB2085DC}"/>
    <cellStyle name="Comma 7 2 6 2 2 2 3" xfId="53532" xr:uid="{8D779740-BFF3-48B9-A84C-605AC45F0786}"/>
    <cellStyle name="Comma 7 2 6 2 2 2 4" xfId="49130" xr:uid="{2D918B89-4ADA-4567-A1BB-9EF8E721418A}"/>
    <cellStyle name="Comma 7 2 6 2 2 3" xfId="12335" xr:uid="{1E24C54E-BC73-4903-B777-8E49EE09A700}"/>
    <cellStyle name="Comma 7 2 6 2 2 3 2" xfId="47547" xr:uid="{7DBE328C-91D0-495E-83E4-7B0B62F24C84}"/>
    <cellStyle name="Comma 7 2 6 2 2 4" xfId="50482" xr:uid="{780B7AC2-69C2-457E-BFC9-2288945E876A}"/>
    <cellStyle name="Comma 7 2 6 2 2 5" xfId="53533" xr:uid="{DF895C63-0F68-41A5-BB03-4DF86DFAE585}"/>
    <cellStyle name="Comma 7 2 6 2 2 6" xfId="39763" xr:uid="{1BE36A40-CA79-4292-A3FB-5519C1C6ED32}"/>
    <cellStyle name="Comma 7 2 6 2 2 7" xfId="14749" xr:uid="{BF1B5C11-B2B4-4D57-8325-832D7675C55A}"/>
    <cellStyle name="Comma 7 2 6 2 3" xfId="9820" xr:uid="{1901F185-675E-4EDC-8584-2570E1C2D16C}"/>
    <cellStyle name="Comma 7 2 6 2 3 2" xfId="13126" xr:uid="{04052F2E-AF4E-4358-AC07-526557AFDD20}"/>
    <cellStyle name="Comma 7 2 6 2 3 2 2" xfId="48274" xr:uid="{7A9EAA29-0184-44F1-88B6-A98577BBBCB5}"/>
    <cellStyle name="Comma 7 2 6 2 3 3" xfId="51092" xr:uid="{FF900598-E45E-4C36-84E3-58F494B3649F}"/>
    <cellStyle name="Comma 7 2 6 2 3 4" xfId="53534" xr:uid="{533311A6-69DD-416D-A6D9-AC7079811679}"/>
    <cellStyle name="Comma 7 2 6 2 3 5" xfId="41616" xr:uid="{B5091CAE-A980-4D4B-AD78-E3E1B1C05853}"/>
    <cellStyle name="Comma 7 2 6 2 4" xfId="7318" xr:uid="{891F4F4A-E019-4C18-A7B8-4C3E05FAC5FA}"/>
    <cellStyle name="Comma 7 2 6 2 4 2" xfId="43440" xr:uid="{E77A9287-F20F-447F-81F2-CD836512E572}"/>
    <cellStyle name="Comma 7 2 6 2 5" xfId="11841" xr:uid="{3FBF90F8-0667-4B3B-A618-9C821472907B}"/>
    <cellStyle name="Comma 7 2 6 2 5 2" xfId="44264" xr:uid="{43BAFF35-AE50-4A9B-AF11-A37324CF63CF}"/>
    <cellStyle name="Comma 7 2 6 2 6" xfId="45519" xr:uid="{FDE7A2C5-F623-4100-9444-233AE8CBED75}"/>
    <cellStyle name="Comma 7 2 6 2 7" xfId="46732" xr:uid="{640910AC-8DD6-4E28-9DED-15A5FFFB03E5}"/>
    <cellStyle name="Comma 7 2 6 2 8" xfId="49764" xr:uid="{1A4A6349-09AB-450E-9E4F-B83A852980A0}"/>
    <cellStyle name="Comma 7 2 6 2 9" xfId="53535" xr:uid="{09ED5C06-61D2-4307-8CC6-BFF7A7C949F5}"/>
    <cellStyle name="Comma 7 2 6 3" xfId="7508" xr:uid="{8B54ED28-710F-4F2B-8A29-A330309FD7C1}"/>
    <cellStyle name="Comma 7 2 6 3 2" xfId="10000" xr:uid="{B90A88F0-F29C-493A-AA87-35301E4F3C10}"/>
    <cellStyle name="Comma 7 2 6 3 2 2" xfId="13306" xr:uid="{5222CB6D-76F9-4429-AF46-A4C27C56CBF3}"/>
    <cellStyle name="Comma 7 2 6 3 2 2 2" xfId="50837" xr:uid="{B2AA1BAB-4F0C-45D3-A496-9EE0F02F244A}"/>
    <cellStyle name="Comma 7 2 6 3 2 3" xfId="53536" xr:uid="{B8878288-6446-4DE5-BF32-FEDCB93D9350}"/>
    <cellStyle name="Comma 7 2 6 3 2 4" xfId="47968" xr:uid="{140AB2F6-C416-486D-94C9-88A426871620}"/>
    <cellStyle name="Comma 7 2 6 3 3" xfId="12021" xr:uid="{D4CB52AB-CE40-4300-958C-FAE45A3446B6}"/>
    <cellStyle name="Comma 7 2 6 3 3 2" xfId="46173" xr:uid="{436369FD-4840-4806-9DB7-3245BC423418}"/>
    <cellStyle name="Comma 7 2 6 3 4" xfId="49509" xr:uid="{14230DA8-9A92-48A1-A842-2FFB47159D7B}"/>
    <cellStyle name="Comma 7 2 6 3 5" xfId="53537" xr:uid="{C78128CF-C147-4AC6-9CA9-D4F71A52DD79}"/>
    <cellStyle name="Comma 7 2 6 3 6" xfId="20416" xr:uid="{7321F14E-0386-4028-A525-EFEAB25E5679}"/>
    <cellStyle name="Comma 7 2 6 3 7" xfId="14435" xr:uid="{BC4A26DA-B017-4071-A544-6DA0EB2E49D4}"/>
    <cellStyle name="Comma 7 2 6 4" xfId="11157" xr:uid="{7E44A775-C035-4791-A1F4-72D051DEA493}"/>
    <cellStyle name="Comma 7 2 6 4 2" xfId="13753" xr:uid="{815856A4-AA6D-411D-9794-044A76DE622C}"/>
    <cellStyle name="Comma 7 2 6 4 2 2" xfId="51299" xr:uid="{76F26C3C-B1D8-4211-B285-73802C30A727}"/>
    <cellStyle name="Comma 7 2 6 4 2 3" xfId="53538" xr:uid="{60D1395D-D123-47FC-B873-6CC3AD8ED03E}"/>
    <cellStyle name="Comma 7 2 6 4 2 4" xfId="48513" xr:uid="{8533CF13-A153-4840-8FF5-6A1E8F202AB7}"/>
    <cellStyle name="Comma 7 2 6 4 3" xfId="46952" xr:uid="{13B6410D-8104-46B6-8152-CECCC06E6146}"/>
    <cellStyle name="Comma 7 2 6 4 4" xfId="49971" xr:uid="{C29E0C5A-58EE-4008-95D2-AA3EC52287DB}"/>
    <cellStyle name="Comma 7 2 6 4 5" xfId="53539" xr:uid="{35E1B7CD-692A-4630-AE00-D87BD6B9C033}"/>
    <cellStyle name="Comma 7 2 6 4 6" xfId="24012" xr:uid="{43B0FE69-6F8E-48AB-9211-39685096DFDC}"/>
    <cellStyle name="Comma 7 2 6 4 7" xfId="15064" xr:uid="{35DF8247-B486-45AD-99A8-6601C112DB8C}"/>
    <cellStyle name="Comma 7 2 6 5" xfId="9506" xr:uid="{F2ED6915-52F8-4952-AB55-08D5DF53B76C}"/>
    <cellStyle name="Comma 7 2 6 5 2" xfId="12812" xr:uid="{492B3ED4-ED0E-4086-B810-3E22264ED3A1}"/>
    <cellStyle name="Comma 7 2 6 5 2 2" xfId="51555" xr:uid="{D0389283-EF80-4DA0-8629-86F98B4A0A63}"/>
    <cellStyle name="Comma 7 2 6 5 2 3" xfId="53540" xr:uid="{B83A86A1-B4FC-40C4-A7A4-8E4BFB822020}"/>
    <cellStyle name="Comma 7 2 6 5 2 4" xfId="48820" xr:uid="{31FC2165-F8EA-4D33-B2E2-6E7AB27C4CB3}"/>
    <cellStyle name="Comma 7 2 6 5 3" xfId="47249" xr:uid="{67E2406A-7AB9-4D2A-8D01-DAAC8B8C0A71}"/>
    <cellStyle name="Comma 7 2 6 5 4" xfId="50227" xr:uid="{AF8DA92C-BD79-45E6-BDC1-BEA38AB0E1A4}"/>
    <cellStyle name="Comma 7 2 6 5 5" xfId="53541" xr:uid="{393E8D1C-BF34-497A-984B-488BF1C3D737}"/>
    <cellStyle name="Comma 7 2 6 5 6" xfId="38509" xr:uid="{48EA96FC-FAB1-47A3-94D3-71C8CA6FD9DD}"/>
    <cellStyle name="Comma 7 2 6 6" xfId="6534" xr:uid="{F5FFEDD2-904B-49F0-8D74-13443189E49E}"/>
    <cellStyle name="Comma 7 2 6 6 2" xfId="47783" xr:uid="{FB656AA7-BB74-402F-84CE-18E17777DC6E}"/>
    <cellStyle name="Comma 7 2 6 6 3" xfId="50682" xr:uid="{44919A4A-A74D-4579-BC53-34FF85A095D1}"/>
    <cellStyle name="Comma 7 2 6 6 4" xfId="53542" xr:uid="{357ED7C4-C4B6-458C-804D-701E7A43DB09}"/>
    <cellStyle name="Comma 7 2 6 6 5" xfId="39172" xr:uid="{7F769272-64FC-45EE-A9FC-5E1E00DA91C3}"/>
    <cellStyle name="Comma 7 2 6 7" xfId="11527" xr:uid="{25DCD0D0-5F9F-48C5-AE09-E4B06324EEA4}"/>
    <cellStyle name="Comma 7 2 6 7 2" xfId="40332" xr:uid="{74C7A291-0F9F-4FA3-AC57-E7DE90814EF4}"/>
    <cellStyle name="Comma 7 2 6 8" xfId="40974" xr:uid="{BA77F768-3430-4BBF-B099-5C2EDDA39571}"/>
    <cellStyle name="Comma 7 2 6 9" xfId="42186" xr:uid="{C19AB9EC-21DF-4EF5-9C70-A1FD36FBD0F1}"/>
    <cellStyle name="Comma 7 2 7" xfId="3891" xr:uid="{4C5483D0-EB31-4E1A-9806-7BC2DE56E140}"/>
    <cellStyle name="Comma 7 2 7 10" xfId="44489" xr:uid="{530EB162-EEBE-45B3-8AAC-B9585FF9DE11}"/>
    <cellStyle name="Comma 7 2 7 11" xfId="46656" xr:uid="{55DF9170-39C5-4D51-B1CF-DF72C3AC4A20}"/>
    <cellStyle name="Comma 7 2 7 12" xfId="49689" xr:uid="{29EBE2D5-2E1E-4630-94C1-6485D93F32B0}"/>
    <cellStyle name="Comma 7 2 7 13" xfId="53543" xr:uid="{E10E404E-4F6B-4098-BB03-AADF1EDADB8B}"/>
    <cellStyle name="Comma 7 2 7 14" xfId="20519" xr:uid="{B987DF5E-EE57-4C53-9084-5C578802D3EA}"/>
    <cellStyle name="Comma 7 2 7 15" xfId="14170" xr:uid="{206BD76F-6ECF-43E4-88C4-05005D287047}"/>
    <cellStyle name="Comma 7 2 7 2" xfId="5633" xr:uid="{38A91D28-4D89-48B7-9E63-3273CCCF07CD}"/>
    <cellStyle name="Comma 7 2 7 2 2" xfId="10227" xr:uid="{D87570AF-06F7-42F7-8AA1-6CB88776E114}"/>
    <cellStyle name="Comma 7 2 7 2 2 2" xfId="13533" xr:uid="{8381CA71-1483-4F87-99C1-4B759ECE86FC}"/>
    <cellStyle name="Comma 7 2 7 2 2 2 2" xfId="51224" xr:uid="{DBF612B2-8339-4FC9-BF34-69FA519715D3}"/>
    <cellStyle name="Comma 7 2 7 2 2 3" xfId="53544" xr:uid="{0473475C-86BF-4EB8-87E3-3D10837B6599}"/>
    <cellStyle name="Comma 7 2 7 2 2 4" xfId="48430" xr:uid="{BF5D02D8-6B71-48F7-8A13-EE66F97A26A4}"/>
    <cellStyle name="Comma 7 2 7 2 3" xfId="7735" xr:uid="{648BC9EB-5E90-4A7C-A2FB-BD8D7514E013}"/>
    <cellStyle name="Comma 7 2 7 2 3 2" xfId="46874" xr:uid="{05CED724-1C3A-463E-B582-791470F69C9D}"/>
    <cellStyle name="Comma 7 2 7 2 4" xfId="12248" xr:uid="{30A7FF81-7426-4029-8FFC-5728A29337C4}"/>
    <cellStyle name="Comma 7 2 7 2 4 2" xfId="49896" xr:uid="{B29BCBCB-B01B-4242-88CD-AAE0271DB43D}"/>
    <cellStyle name="Comma 7 2 7 2 5" xfId="53545" xr:uid="{6C158D86-CF1C-40D1-80E4-60146DE5A3BB}"/>
    <cellStyle name="Comma 7 2 7 2 6" xfId="24013" xr:uid="{A188A098-6991-485E-B53D-5FCEF4A988AD}"/>
    <cellStyle name="Comma 7 2 7 2 7" xfId="14662" xr:uid="{32957853-87C5-4A0A-A219-1DB44A22895E}"/>
    <cellStyle name="Comma 7 2 7 3" xfId="9733" xr:uid="{FEFA8E9C-9A62-47F2-8A27-7ED858ECCAD6}"/>
    <cellStyle name="Comma 7 2 7 3 2" xfId="13039" xr:uid="{B349C25D-2D90-40E4-9B4C-E247CEFA1A0E}"/>
    <cellStyle name="Comma 7 2 7 3 2 2" xfId="51735" xr:uid="{1AA8EEF1-C5BC-4D21-86DC-018D43A3C530}"/>
    <cellStyle name="Comma 7 2 7 3 2 3" xfId="53546" xr:uid="{A3F4F66B-A24E-4A3F-8993-F06C5335E315}"/>
    <cellStyle name="Comma 7 2 7 3 2 4" xfId="49045" xr:uid="{EC129928-2624-4546-95DF-C90AAA1E5A10}"/>
    <cellStyle name="Comma 7 2 7 3 3" xfId="47464" xr:uid="{6534979E-F781-44DF-A3AD-494B85FAAE28}"/>
    <cellStyle name="Comma 7 2 7 3 4" xfId="50407" xr:uid="{75C7F0E0-04A0-46F3-B6D1-772675E35AC1}"/>
    <cellStyle name="Comma 7 2 7 3 5" xfId="53547" xr:uid="{826CD921-0E90-4D1F-92A9-B83F03D4CE15}"/>
    <cellStyle name="Comma 7 2 7 3 6" xfId="38510" xr:uid="{C45F50C7-5026-43A2-9264-096FB60C78DA}"/>
    <cellStyle name="Comma 7 2 7 3 7" xfId="14977" xr:uid="{4986B1CE-7064-4CD8-B33A-3E28271FB032}"/>
    <cellStyle name="Comma 7 2 7 4" xfId="7229" xr:uid="{9F749C54-3FC4-4124-9D7A-358582A869C6}"/>
    <cellStyle name="Comma 7 2 7 4 2" xfId="48190" xr:uid="{6E95B3E2-B1EF-4642-AAA6-79D80E714F26}"/>
    <cellStyle name="Comma 7 2 7 4 3" xfId="51017" xr:uid="{79B48D51-3E35-4124-9B25-21DA36EE35F7}"/>
    <cellStyle name="Comma 7 2 7 4 4" xfId="53548" xr:uid="{7F50D419-304C-464A-9949-2104E15F1089}"/>
    <cellStyle name="Comma 7 2 7 4 5" xfId="39274" xr:uid="{ECDEE7C4-77D5-4C08-8B44-160F1F736545}"/>
    <cellStyle name="Comma 7 2 7 5" xfId="11754" xr:uid="{A5DB6C45-25AB-44C7-9503-615D9F39D8E5}"/>
    <cellStyle name="Comma 7 2 7 5 2" xfId="40333" xr:uid="{E1BB112C-1E4B-4A8B-9CCA-606DB8CBAB22}"/>
    <cellStyle name="Comma 7 2 7 6" xfId="40975" xr:uid="{EAA2FE42-E2A5-41B4-8D54-AACCEA342F3B}"/>
    <cellStyle name="Comma 7 2 7 7" xfId="42187" xr:uid="{34FE70B5-E40E-4EC4-BB54-EDDB77A2086A}"/>
    <cellStyle name="Comma 7 2 7 8" xfId="42951" xr:uid="{D6CA10CB-A7CF-4F43-81D3-23FBC63DB890}"/>
    <cellStyle name="Comma 7 2 7 9" xfId="43902" xr:uid="{B36B5869-0097-4086-9EBE-295A1416AD83}"/>
    <cellStyle name="Comma 7 2 8" xfId="5544" xr:uid="{BF7A277E-F436-44B7-ACA6-63D37960C476}"/>
    <cellStyle name="Comma 7 2 8 2" xfId="7646" xr:uid="{5022B5FB-E6C2-4BB2-AB49-B3972F71A997}"/>
    <cellStyle name="Comma 7 2 8 2 2" xfId="10138" xr:uid="{BB57AB31-C98D-423D-834B-4F88B79DB58E}"/>
    <cellStyle name="Comma 7 2 8 2 2 2" xfId="13444" xr:uid="{F11CE21F-1B89-4F01-9D64-9ECE17F9FF44}"/>
    <cellStyle name="Comma 7 2 8 2 2 2 2" xfId="51401" xr:uid="{2738B339-050A-48D3-9073-9DADE5028D7E}"/>
    <cellStyle name="Comma 7 2 8 2 2 3" xfId="53549" xr:uid="{0733B99D-E5F3-48C7-9A71-A5370219013D}"/>
    <cellStyle name="Comma 7 2 8 2 2 4" xfId="48638" xr:uid="{46115354-94A3-48E3-926E-A33903288F58}"/>
    <cellStyle name="Comma 7 2 8 2 3" xfId="12159" xr:uid="{829C13DE-8336-4A91-A352-2D352567D72B}"/>
    <cellStyle name="Comma 7 2 8 2 3 2" xfId="47072" xr:uid="{924091C5-4F7D-4EF4-9CEF-31D39372C8EA}"/>
    <cellStyle name="Comma 7 2 8 2 4" xfId="50073" xr:uid="{7150BA69-8081-4623-AAA9-2A162C78403D}"/>
    <cellStyle name="Comma 7 2 8 2 5" xfId="53550" xr:uid="{B90E582A-6486-4844-8D65-3E7509000A74}"/>
    <cellStyle name="Comma 7 2 8 2 6" xfId="43833" xr:uid="{A97A9F79-5563-471E-9D4E-644A44622C5F}"/>
    <cellStyle name="Comma 7 2 8 2 7" xfId="14573" xr:uid="{79068761-B813-41E8-878D-84BB9A633EA5}"/>
    <cellStyle name="Comma 7 2 8 3" xfId="9644" xr:uid="{47A79EE0-E128-4E66-9FD2-70B6C09A2A05}"/>
    <cellStyle name="Comma 7 2 8 3 2" xfId="12950" xr:uid="{79CB9089-5D6C-468D-AD26-CBB3CEEFE35B}"/>
    <cellStyle name="Comma 7 2 8 3 2 2" xfId="51670" xr:uid="{478244F5-8EC6-47D8-B1C4-D8986B7A3DC3}"/>
    <cellStyle name="Comma 7 2 8 3 2 3" xfId="53551" xr:uid="{43EB7275-FC24-4E1E-B1E3-33A2866EBA6A}"/>
    <cellStyle name="Comma 7 2 8 3 2 4" xfId="48958" xr:uid="{254727B1-075F-4599-A76A-7E4EA65DEAA6}"/>
    <cellStyle name="Comma 7 2 8 3 3" xfId="50342" xr:uid="{6765499D-9290-48A0-BE1F-F58385B7C7FC}"/>
    <cellStyle name="Comma 7 2 8 3 4" xfId="53552" xr:uid="{823A7064-DA8E-49DB-9C77-1DE6F72622F6}"/>
    <cellStyle name="Comma 7 2 8 3 5" xfId="47382" xr:uid="{485E7E8E-3095-46C0-B03C-CE8A4B566DB9}"/>
    <cellStyle name="Comma 7 2 8 4" xfId="7140" xr:uid="{17ED9AD1-8315-4D0E-8F56-6A76BF983ADA}"/>
    <cellStyle name="Comma 7 2 8 4 2" xfId="50952" xr:uid="{BB83C318-37EB-41B6-8CDA-1BEA543A1228}"/>
    <cellStyle name="Comma 7 2 8 4 3" xfId="53553" xr:uid="{CD85AA6E-1358-45DF-9660-BC7206DE30BC}"/>
    <cellStyle name="Comma 7 2 8 4 4" xfId="48103" xr:uid="{7E1D2796-0FBF-454B-B08A-1346727B8F9B}"/>
    <cellStyle name="Comma 7 2 8 5" xfId="11665" xr:uid="{0955B826-2738-4B8E-9D57-D990063EF76D}"/>
    <cellStyle name="Comma 7 2 8 5 2" xfId="46591" xr:uid="{85C5465E-B5FC-48EC-872A-F991D333912D}"/>
    <cellStyle name="Comma 7 2 8 6" xfId="49624" xr:uid="{1C5E66B5-6DCE-4179-9DDB-CB7B905F2F12}"/>
    <cellStyle name="Comma 7 2 8 7" xfId="53554" xr:uid="{4E7EFF48-24B7-475E-91E3-9F94FBAD08F7}"/>
    <cellStyle name="Comma 7 2 8 8" xfId="19926" xr:uid="{83C10CE9-50CB-4FAF-88E0-F71137F4E1C8}"/>
    <cellStyle name="Comma 7 2 8 9" xfId="14081" xr:uid="{E2CCABB1-7BD3-451C-860E-85F0FC02F4A1}"/>
    <cellStyle name="Comma 7 2 9" xfId="5958" xr:uid="{3595E40B-E981-4207-8707-7967C2916807}"/>
    <cellStyle name="Comma 7 2 9 2" xfId="9416" xr:uid="{382A2C1C-4741-4680-925E-44F21F89427B}"/>
    <cellStyle name="Comma 7 2 9 2 2" xfId="12722" xr:uid="{6F57304B-AB4E-40CC-AC31-049F11003FF3}"/>
    <cellStyle name="Comma 7 2 9 2 2 2" xfId="50762" xr:uid="{09A3079C-D2FF-4473-8684-AAE062B842F3}"/>
    <cellStyle name="Comma 7 2 9 2 3" xfId="53555" xr:uid="{B75025C9-1AC9-4688-83B1-1217BE38E843}"/>
    <cellStyle name="Comma 7 2 9 2 4" xfId="47885" xr:uid="{6DA15E37-AF84-43C2-A9FB-4E98C5DA6800}"/>
    <cellStyle name="Comma 7 2 9 3" xfId="11437" xr:uid="{6F5DAF4C-CBE1-44DC-A55A-FA890C0A3637}"/>
    <cellStyle name="Comma 7 2 9 3 2" xfId="45812" xr:uid="{43FCF44B-5977-4C63-9B9E-C3A90C8DB21F}"/>
    <cellStyle name="Comma 7 2 9 4" xfId="49434" xr:uid="{711CAB14-9158-40B9-AFA4-8384F5E17A49}"/>
    <cellStyle name="Comma 7 2 9 5" xfId="53556" xr:uid="{9FF35674-C074-4D7E-A649-4500F914020B}"/>
    <cellStyle name="Comma 7 2 9 6" xfId="23996" xr:uid="{55D390D0-1D09-4BB6-8062-F5FADF01FE98}"/>
    <cellStyle name="Comma 7 2 9 7" xfId="14348" xr:uid="{0E2E134B-7333-408C-B10A-FEE14C59A7A8}"/>
    <cellStyle name="Comma 7 20" xfId="45589" xr:uid="{263B3C75-DFC0-45C8-BFDD-D9D2E56DBBB4}"/>
    <cellStyle name="Comma 7 21" xfId="49219" xr:uid="{58C67B2F-7B19-4937-AAB3-FF424297F981}"/>
    <cellStyle name="Comma 7 22" xfId="53557" xr:uid="{A3E415CE-31A8-4B75-9A41-C286D134F082}"/>
    <cellStyle name="Comma 7 23" xfId="15224" xr:uid="{E96CBA23-8CA7-4D60-878E-07586378E567}"/>
    <cellStyle name="Comma 7 24" xfId="13942" xr:uid="{A0009577-7B55-4E4D-959B-329F1167F2B0}"/>
    <cellStyle name="Comma 7 3" xfId="1796" xr:uid="{1095BC7C-1BF7-49BE-9B78-D3D348388268}"/>
    <cellStyle name="Comma 7 3 10" xfId="8183" xr:uid="{394DD605-B0A1-4F33-B7A0-243448E9037F}"/>
    <cellStyle name="Comma 7 3 10 2" xfId="12639" xr:uid="{5D3B299E-D9F0-49CA-A945-BF491A7B0008}"/>
    <cellStyle name="Comma 7 3 10 2 2" xfId="51483" xr:uid="{556A107A-30FA-4BCA-B1C7-1CC828C9D92C}"/>
    <cellStyle name="Comma 7 3 10 2 3" xfId="53558" xr:uid="{2C61A25C-3837-4B78-9BD6-C5F8D24FAB23}"/>
    <cellStyle name="Comma 7 3 10 2 4" xfId="48739" xr:uid="{D8F4E24A-CC79-40C9-BD29-3E196D249957}"/>
    <cellStyle name="Comma 7 3 10 3" xfId="47174" xr:uid="{46A17275-74B1-4F50-9C39-48F180693C60}"/>
    <cellStyle name="Comma 7 3 10 4" xfId="50155" xr:uid="{5A5E5026-4F4D-4F82-A500-0E7856E65DE9}"/>
    <cellStyle name="Comma 7 3 10 5" xfId="53559" xr:uid="{4985AB99-5245-4231-8515-9476F7406FB5}"/>
    <cellStyle name="Comma 7 3 10 6" xfId="38741" xr:uid="{281E7700-9C82-4629-B10E-CCA87656C651}"/>
    <cellStyle name="Comma 7 3 11" xfId="7970" xr:uid="{B0C5A9FB-8C65-49A0-A126-E185C5A39264}"/>
    <cellStyle name="Comma 7 3 11 2" xfId="12483" xr:uid="{A3069F23-661E-409A-B645-D70A24E2E809}"/>
    <cellStyle name="Comma 7 3 11 2 2" xfId="47638" xr:uid="{336A9DE4-7692-420E-9AF0-F46A7C66F473}"/>
    <cellStyle name="Comma 7 3 11 3" xfId="50551" xr:uid="{E76D2D3A-CDBE-4187-B9B7-74784FCFC501}"/>
    <cellStyle name="Comma 7 3 11 4" xfId="53560" xr:uid="{AC6FBB24-0047-407D-8919-5D6F80A5319C}"/>
    <cellStyle name="Comma 7 3 11 5" xfId="40334" xr:uid="{B2951D03-1BB0-4BB6-B45E-EFE03086F722}"/>
    <cellStyle name="Comma 7 3 12" xfId="5867" xr:uid="{88F61F35-5E14-4BD9-B752-DEE148C32C95}"/>
    <cellStyle name="Comma 7 3 12 2" xfId="40976" xr:uid="{2CCCF036-1E15-414D-A653-513C6658545B}"/>
    <cellStyle name="Comma 7 3 13" xfId="11355" xr:uid="{FBC63ACE-C935-467E-8FAB-4BE02F74963D}"/>
    <cellStyle name="Comma 7 3 13 2" xfId="42188" xr:uid="{889AEF65-1F06-4A5B-9B7C-F04F945A0E5A}"/>
    <cellStyle name="Comma 7 3 14" xfId="42418" xr:uid="{68CAD6F7-70F4-4773-B46E-A2A57783194A}"/>
    <cellStyle name="Comma 7 3 15" xfId="43486" xr:uid="{30BF6F2C-8CA2-48A7-B9B7-DC400A3433A8}"/>
    <cellStyle name="Comma 7 3 16" xfId="44432" xr:uid="{F8342C63-9755-44D1-A693-E4BA5F5B2BE5}"/>
    <cellStyle name="Comma 7 3 17" xfId="45593" xr:uid="{3E90D419-2806-439D-9958-C38FD63E2E79}"/>
    <cellStyle name="Comma 7 3 18" xfId="49223" xr:uid="{82D70E69-7E64-4445-817D-B1FA4337DC51}"/>
    <cellStyle name="Comma 7 3 19" xfId="53561" xr:uid="{8039C5CD-134D-4FD1-8B7E-F001FABA3231}"/>
    <cellStyle name="Comma 7 3 2" xfId="1797" xr:uid="{0D359EE8-6925-499C-9FE2-BE5AEA16A8F5}"/>
    <cellStyle name="Comma 7 3 2 10" xfId="11356" xr:uid="{9BAF6173-EA2F-4810-B6C2-F6F8DE6C9290}"/>
    <cellStyle name="Comma 7 3 2 10 2" xfId="40977" xr:uid="{39DF0267-59B1-499F-AFB0-39BDC6CBF7B6}"/>
    <cellStyle name="Comma 7 3 2 11" xfId="42189" xr:uid="{954A9DC6-0919-42C7-AE33-CDEFDFB8D409}"/>
    <cellStyle name="Comma 7 3 2 12" xfId="42430" xr:uid="{6D54731B-1820-4CED-A5BE-A8164B6DA598}"/>
    <cellStyle name="Comma 7 3 2 13" xfId="43570" xr:uid="{B9221C60-A184-4A83-BB3F-9E1274CF5B07}"/>
    <cellStyle name="Comma 7 3 2 14" xfId="44433" xr:uid="{6F397962-B3F0-4937-9C59-B82ED5D01A45}"/>
    <cellStyle name="Comma 7 3 2 15" xfId="45656" xr:uid="{E10E49D5-7ED3-4E26-A7C8-51B2ABC03A1C}"/>
    <cellStyle name="Comma 7 3 2 16" xfId="49285" xr:uid="{C824E4C7-2D3B-4AD7-B4C4-6E3A4B9518F8}"/>
    <cellStyle name="Comma 7 3 2 17" xfId="53562" xr:uid="{D6533786-40BD-4701-A8EB-492F881DDEF1}"/>
    <cellStyle name="Comma 7 3 2 18" xfId="16458" xr:uid="{50C1A9A1-8324-40DB-AB15-4E3A41C43B8A}"/>
    <cellStyle name="Comma 7 3 2 19" xfId="13953" xr:uid="{6D88B91D-31E6-4558-A10E-EB96E2EBBC22}"/>
    <cellStyle name="Comma 7 3 2 2" xfId="1798" xr:uid="{A7B76BDA-D344-48AE-AC78-B3CB4FA84FD6}"/>
    <cellStyle name="Comma 7 3 2 2 10" xfId="42777" xr:uid="{240974D2-54A1-4F37-9941-237D37CAF093}"/>
    <cellStyle name="Comma 7 3 2 2 11" xfId="43571" xr:uid="{C93516AE-A0B6-49A9-865A-357CCBBE1992}"/>
    <cellStyle name="Comma 7 3 2 2 12" xfId="44434" xr:uid="{934AB78E-9489-4157-8893-969F976A914F}"/>
    <cellStyle name="Comma 7 3 2 2 13" xfId="45775" xr:uid="{609CBCB7-D2EC-400F-93ED-89E1B784C696}"/>
    <cellStyle name="Comma 7 3 2 2 14" xfId="49403" xr:uid="{976A081E-8FFA-496E-816E-BCA0E5C8F83A}"/>
    <cellStyle name="Comma 7 3 2 2 15" xfId="53563" xr:uid="{D01CA6C9-2722-4FA5-81E8-89E3B9F2F278}"/>
    <cellStyle name="Comma 7 3 2 2 16" xfId="17130" xr:uid="{53F29885-CAC4-4104-8B7F-03A45C426335}"/>
    <cellStyle name="Comma 7 3 2 2 17" xfId="13954" xr:uid="{9B754AA4-3654-4A0C-8524-2ABA77608C49}"/>
    <cellStyle name="Comma 7 3 2 2 2" xfId="4474" xr:uid="{569475B8-CC60-415D-B7EB-DA31E61D8348}"/>
    <cellStyle name="Comma 7 3 2 2 2 10" xfId="21125" xr:uid="{EC46A24A-DC1A-4D5A-B2C6-328FE8E6A1FD}"/>
    <cellStyle name="Comma 7 3 2 2 2 11" xfId="14268" xr:uid="{9E69D053-033C-4F08-9F2B-46D393DC928D}"/>
    <cellStyle name="Comma 7 3 2 2 2 2" xfId="5731" xr:uid="{C9B2C35B-D28F-411A-B605-F890446D0D23}"/>
    <cellStyle name="Comma 7 3 2 2 2 2 2" xfId="10325" xr:uid="{E4373A92-06BB-405D-873A-DCC6CCAE9FB5}"/>
    <cellStyle name="Comma 7 3 2 2 2 2 2 2" xfId="13631" xr:uid="{3F5675B9-41E2-41E6-A431-2C6BD0F01C17}"/>
    <cellStyle name="Comma 7 3 2 2 2 2 2 2 2" xfId="51436" xr:uid="{D9BD7129-B01E-497C-9D15-ABCF8F054926}"/>
    <cellStyle name="Comma 7 3 2 2 2 2 2 3" xfId="53564" xr:uid="{C019ED66-E799-40B4-81E8-11F711BC137C}"/>
    <cellStyle name="Comma 7 3 2 2 2 2 2 4" xfId="48681" xr:uid="{498ECCB8-1403-49A9-8B7C-C116D0A55962}"/>
    <cellStyle name="Comma 7 3 2 2 2 2 3" xfId="7833" xr:uid="{BEA72529-8854-407E-8F38-7C4E9ECCC555}"/>
    <cellStyle name="Comma 7 3 2 2 2 2 3 2" xfId="47118" xr:uid="{7FBB35D2-3385-4C08-B8A6-961A601ECF0C}"/>
    <cellStyle name="Comma 7 3 2 2 2 2 4" xfId="12346" xr:uid="{5583545B-310C-44A9-AE79-2AF6E59748C5}"/>
    <cellStyle name="Comma 7 3 2 2 2 2 4 2" xfId="50108" xr:uid="{698F6834-173E-4992-9FAB-0E56F20A6D5F}"/>
    <cellStyle name="Comma 7 3 2 2 2 2 5" xfId="53565" xr:uid="{9F268F4F-66F7-4C25-A678-9795A87D2349}"/>
    <cellStyle name="Comma 7 3 2 2 2 2 6" xfId="39691" xr:uid="{683AC78E-9AA0-4A92-BB56-71463B323EEE}"/>
    <cellStyle name="Comma 7 3 2 2 2 2 7" xfId="14760" xr:uid="{3A4096BB-AB92-492F-B0DE-F0C52904361B}"/>
    <cellStyle name="Comma 7 3 2 2 2 3" xfId="9831" xr:uid="{1FC28EA3-0D25-4783-826F-C5D0007D8615}"/>
    <cellStyle name="Comma 7 3 2 2 2 3 2" xfId="13137" xr:uid="{4D638BC4-526A-4387-AB49-F3107D520E2F}"/>
    <cellStyle name="Comma 7 3 2 2 2 3 2 2" xfId="51821" xr:uid="{D6AFBF32-D392-4925-A1D8-A00D3F20273C}"/>
    <cellStyle name="Comma 7 3 2 2 2 3 2 3" xfId="53566" xr:uid="{07D4F566-FBCB-490E-8452-EECB5C37D3AA}"/>
    <cellStyle name="Comma 7 3 2 2 2 3 2 4" xfId="49141" xr:uid="{ED50CA80-A75C-4A6A-8504-D4682AC0F304}"/>
    <cellStyle name="Comma 7 3 2 2 2 3 3" xfId="47558" xr:uid="{A2198222-F8A8-4377-A23F-BCFFB70670ED}"/>
    <cellStyle name="Comma 7 3 2 2 2 3 4" xfId="50493" xr:uid="{78BBB7AE-EAE7-4B8A-AB60-79D9E82DBF18}"/>
    <cellStyle name="Comma 7 3 2 2 2 3 5" xfId="53567" xr:uid="{78FB506C-A850-4F80-9886-EA7BA19A27BF}"/>
    <cellStyle name="Comma 7 3 2 2 2 3 6" xfId="41544" xr:uid="{D17408FE-37D4-4FA5-B23D-A521A2C8D4C4}"/>
    <cellStyle name="Comma 7 3 2 2 2 3 7" xfId="15075" xr:uid="{531B72D5-3FE4-47F8-AF49-6C8D86A64B26}"/>
    <cellStyle name="Comma 7 3 2 2 2 4" xfId="7329" xr:uid="{788B25FD-ADBF-448E-A05A-E8D3D5616146}"/>
    <cellStyle name="Comma 7 3 2 2 2 4 2" xfId="48285" xr:uid="{CA4169B4-2BF6-4F3A-8692-C9D3DCF431E9}"/>
    <cellStyle name="Comma 7 3 2 2 2 4 3" xfId="51103" xr:uid="{F6AAF436-63ED-4CEF-999C-D18107C016FF}"/>
    <cellStyle name="Comma 7 3 2 2 2 4 4" xfId="53568" xr:uid="{04A8D6DB-D0B9-4792-8D5E-7C72B63C42D9}"/>
    <cellStyle name="Comma 7 3 2 2 2 4 5" xfId="43368" xr:uid="{6FF8011E-D085-4A8D-A599-924F99DAA0CB}"/>
    <cellStyle name="Comma 7 3 2 2 2 5" xfId="11852" xr:uid="{8C915F87-118D-423B-8C77-EBF026AE6378}"/>
    <cellStyle name="Comma 7 3 2 2 2 5 2" xfId="44275" xr:uid="{15411229-3B35-45B6-A72C-59D486ECFEE1}"/>
    <cellStyle name="Comma 7 3 2 2 2 6" xfId="44575" xr:uid="{B13C0CB7-D98B-4352-8D8C-1F321ED08E84}"/>
    <cellStyle name="Comma 7 3 2 2 2 7" xfId="46743" xr:uid="{086431B9-0480-4A87-ADA2-3CA346C58F1C}"/>
    <cellStyle name="Comma 7 3 2 2 2 8" xfId="49775" xr:uid="{9F27A94D-E697-4D6F-AF7D-32A97EE39889}"/>
    <cellStyle name="Comma 7 3 2 2 2 9" xfId="53569" xr:uid="{9D57153E-DA18-4E14-AEAA-7BD3D5DBE443}"/>
    <cellStyle name="Comma 7 3 2 2 3" xfId="5555" xr:uid="{80BD8FC9-943E-4FBD-A6A6-8F1A4602C7F9}"/>
    <cellStyle name="Comma 7 3 2 2 3 2" xfId="7657" xr:uid="{643D50E1-E367-4EED-956F-E10E90D4DFA3}"/>
    <cellStyle name="Comma 7 3 2 2 3 2 2" xfId="10149" xr:uid="{9F7204BE-28C1-4095-ADA3-5F417EB337B9}"/>
    <cellStyle name="Comma 7 3 2 2 3 2 2 2" xfId="13455" xr:uid="{881C4C43-4B9C-4A3A-907E-34820D911619}"/>
    <cellStyle name="Comma 7 3 2 2 3 2 2 2 2" xfId="51681" xr:uid="{2A50CDC6-4931-410A-BBFD-88F60E6D78A1}"/>
    <cellStyle name="Comma 7 3 2 2 3 2 2 3" xfId="53570" xr:uid="{7D511EA2-B2A6-423B-8052-9281013C79B1}"/>
    <cellStyle name="Comma 7 3 2 2 3 2 2 4" xfId="48969" xr:uid="{960C166D-82AA-4FA8-9C1B-A806768BE7CC}"/>
    <cellStyle name="Comma 7 3 2 2 3 2 3" xfId="12170" xr:uid="{D2109B9D-40CB-43E3-835D-CB48380303B0}"/>
    <cellStyle name="Comma 7 3 2 2 3 2 3 2" xfId="47393" xr:uid="{0E8A604C-34CF-4917-9682-633D6C09391D}"/>
    <cellStyle name="Comma 7 3 2 2 3 2 4" xfId="50353" xr:uid="{6B01D1D1-E6EE-446F-97FE-FEB1505065BA}"/>
    <cellStyle name="Comma 7 3 2 2 3 2 5" xfId="53571" xr:uid="{8358D33E-912E-45BF-AA48-BD5E77706445}"/>
    <cellStyle name="Comma 7 3 2 2 3 2 6" xfId="43844" xr:uid="{4356E286-CB55-4653-A887-014F46CB2FA0}"/>
    <cellStyle name="Comma 7 3 2 2 3 2 7" xfId="14584" xr:uid="{C7E2FF51-4AA1-4552-9D2B-59A62081EA17}"/>
    <cellStyle name="Comma 7 3 2 2 3 3" xfId="9655" xr:uid="{19F02AA9-AE02-4B07-BD46-8B79AC464CC6}"/>
    <cellStyle name="Comma 7 3 2 2 3 3 2" xfId="12961" xr:uid="{C777276B-03F4-4BBA-A3C9-1EE242C12845}"/>
    <cellStyle name="Comma 7 3 2 2 3 3 2 2" xfId="50963" xr:uid="{D32FECAA-B78C-4456-AE0A-1D124588FD3B}"/>
    <cellStyle name="Comma 7 3 2 2 3 3 3" xfId="53572" xr:uid="{F2AC2382-C270-45E4-A907-DD7E2A3AD983}"/>
    <cellStyle name="Comma 7 3 2 2 3 3 4" xfId="48114" xr:uid="{282539CB-0C83-47DC-B854-E40868860D2A}"/>
    <cellStyle name="Comma 7 3 2 2 3 4" xfId="7151" xr:uid="{D76F26DC-A92C-41C7-A5D8-78E52C6E4FFC}"/>
    <cellStyle name="Comma 7 3 2 2 3 4 2" xfId="46602" xr:uid="{59102E8A-DBFE-4454-8C5F-DF185EAAE893}"/>
    <cellStyle name="Comma 7 3 2 2 3 5" xfId="11676" xr:uid="{61FD47F7-6767-48E2-B635-E3C4A743F521}"/>
    <cellStyle name="Comma 7 3 2 2 3 5 2" xfId="49635" xr:uid="{8DCC9533-3B5B-4B68-8674-755E80454D92}"/>
    <cellStyle name="Comma 7 3 2 2 3 6" xfId="53573" xr:uid="{62F1DBCE-527E-4063-968E-7D822CC63BDE}"/>
    <cellStyle name="Comma 7 3 2 2 3 7" xfId="20344" xr:uid="{FFC9BA9F-95A4-49E9-BCFB-580935BA1449}"/>
    <cellStyle name="Comma 7 3 2 2 3 8" xfId="14092" xr:uid="{DD15D991-E599-4DE3-9293-92373F269154}"/>
    <cellStyle name="Comma 7 3 2 2 4" xfId="6545" xr:uid="{9C92527F-CCC7-4DED-B13C-4A001DC4EA09}"/>
    <cellStyle name="Comma 7 3 2 2 4 2" xfId="9517" xr:uid="{66836675-5613-4328-973D-A0DD4046B294}"/>
    <cellStyle name="Comma 7 3 2 2 4 2 2" xfId="12823" xr:uid="{017312D3-F17A-48B2-96E0-AFF2029F913A}"/>
    <cellStyle name="Comma 7 3 2 2 4 2 2 2" xfId="50848" xr:uid="{EB3029B7-B918-43FF-ADC8-8CF195BB5A3F}"/>
    <cellStyle name="Comma 7 3 2 2 4 2 3" xfId="53574" xr:uid="{6E6F7D3C-96CF-4CB3-B102-211EE23935C5}"/>
    <cellStyle name="Comma 7 3 2 2 4 2 4" xfId="47979" xr:uid="{ACF78D80-21ED-460A-B672-6E8FCEDDA003}"/>
    <cellStyle name="Comma 7 3 2 2 4 3" xfId="11538" xr:uid="{9FB10DA6-8DA3-41DC-BCD2-D01889634A10}"/>
    <cellStyle name="Comma 7 3 2 2 4 3 2" xfId="46184" xr:uid="{5D2D8021-A33B-4F29-9120-EFC2AC9CC182}"/>
    <cellStyle name="Comma 7 3 2 2 4 4" xfId="49520" xr:uid="{2B8FC429-760D-4403-A30E-911D9416B245}"/>
    <cellStyle name="Comma 7 3 2 2 4 5" xfId="53575" xr:uid="{114DCDD0-F04A-4658-8397-112B1E003EE6}"/>
    <cellStyle name="Comma 7 3 2 2 4 6" xfId="24016" xr:uid="{7E4F7393-8BFF-4BFC-B471-4630064EB881}"/>
    <cellStyle name="Comma 7 3 2 2 4 7" xfId="14446" xr:uid="{44965443-2C41-4AE2-9187-461B3C8BD4E7}"/>
    <cellStyle name="Comma 7 3 2 2 5" xfId="7519" xr:uid="{FF7762E1-3FBD-4EBA-88A4-3E8A7A340001}"/>
    <cellStyle name="Comma 7 3 2 2 5 2" xfId="10011" xr:uid="{668A3C09-7883-4792-BB52-E90E971DA895}"/>
    <cellStyle name="Comma 7 3 2 2 5 2 2" xfId="13317" xr:uid="{3318139F-A6A1-4FC2-95E8-8DD6D31BDC21}"/>
    <cellStyle name="Comma 7 3 2 2 5 2 2 2" xfId="51310" xr:uid="{532F8D63-AA6F-4BF8-95E9-C678BE2703B0}"/>
    <cellStyle name="Comma 7 3 2 2 5 2 3" xfId="53576" xr:uid="{5767A629-6F30-4F2C-B255-BA14A0FF43CE}"/>
    <cellStyle name="Comma 7 3 2 2 5 2 4" xfId="48524" xr:uid="{3D38FC9A-91E4-4420-B6C6-126EB81E0BA3}"/>
    <cellStyle name="Comma 7 3 2 2 5 3" xfId="12032" xr:uid="{261CF6B5-44B6-43EB-B01F-85987E295E58}"/>
    <cellStyle name="Comma 7 3 2 2 5 3 2" xfId="46963" xr:uid="{C1ABFFA4-75D1-4478-A806-14B5B736C86E}"/>
    <cellStyle name="Comma 7 3 2 2 5 4" xfId="49982" xr:uid="{3CA55E92-16DB-4542-94F8-15168ABC42CC}"/>
    <cellStyle name="Comma 7 3 2 2 5 5" xfId="53577" xr:uid="{5B312971-F9DF-45C6-8208-1C19309A4D76}"/>
    <cellStyle name="Comma 7 3 2 2 5 6" xfId="38513" xr:uid="{6B098B4C-D1AA-453D-98BE-81797C75C649}"/>
    <cellStyle name="Comma 7 3 2 2 5 7" xfId="14899" xr:uid="{C13A78A0-154B-4F0B-9891-73F059D412AB}"/>
    <cellStyle name="Comma 7 3 2 2 6" xfId="8185" xr:uid="{909BD7C4-FDF3-4C47-98D7-70DE7D57B5FA}"/>
    <cellStyle name="Comma 7 3 2 2 6 2" xfId="12641" xr:uid="{D462428D-44C4-4CD5-B897-EBC307E997A2}"/>
    <cellStyle name="Comma 7 3 2 2 6 2 2" xfId="51566" xr:uid="{578CFC5B-F752-46B7-BF60-6221F677861C}"/>
    <cellStyle name="Comma 7 3 2 2 6 2 3" xfId="53578" xr:uid="{F009629C-AE66-4E0A-A0D8-911C32E2050B}"/>
    <cellStyle name="Comma 7 3 2 2 6 2 4" xfId="48831" xr:uid="{95C44845-58F0-40ED-A241-6E2FA07580B8}"/>
    <cellStyle name="Comma 7 3 2 2 6 3" xfId="47260" xr:uid="{43E7F2B0-A28A-4905-8562-E39652FA57AF}"/>
    <cellStyle name="Comma 7 3 2 2 6 4" xfId="50238" xr:uid="{7B6E6009-8F6E-4E8F-BED4-4E266B977E31}"/>
    <cellStyle name="Comma 7 3 2 2 6 5" xfId="53579" xr:uid="{F8FD697A-6DEB-4A82-99E4-0A30657BC572}"/>
    <cellStyle name="Comma 7 3 2 2 6 6" xfId="39100" xr:uid="{208EB8FD-B3DD-4FB1-87D0-4631631DC7E6}"/>
    <cellStyle name="Comma 7 3 2 2 7" xfId="7972" xr:uid="{3D72E243-CAC0-4F87-8D73-A3B019BD0D64}"/>
    <cellStyle name="Comma 7 3 2 2 7 2" xfId="12485" xr:uid="{41DB4105-5E18-4A50-A43C-A2539B2464C0}"/>
    <cellStyle name="Comma 7 3 2 2 7 2 2" xfId="47843" xr:uid="{6A8702E4-8E45-4067-8186-DD557BF534FD}"/>
    <cellStyle name="Comma 7 3 2 2 7 3" xfId="50731" xr:uid="{23A4BF10-54A3-4E40-97B1-8D06B53E594B}"/>
    <cellStyle name="Comma 7 3 2 2 7 4" xfId="53580" xr:uid="{84A62C63-B2AD-4CE6-A716-9AF8B31BD692}"/>
    <cellStyle name="Comma 7 3 2 2 7 5" xfId="40336" xr:uid="{D1A80F69-0458-4644-8965-9021D3404A4F}"/>
    <cellStyle name="Comma 7 3 2 2 8" xfId="5869" xr:uid="{01B1C496-E105-4F81-9723-E88A225A65FB}"/>
    <cellStyle name="Comma 7 3 2 2 8 2" xfId="40978" xr:uid="{366AB80E-FF74-4BFD-BF75-6F766E0504DA}"/>
    <cellStyle name="Comma 7 3 2 2 9" xfId="11357" xr:uid="{2FEF55BC-EED9-4EB9-9940-84FB75CA589D}"/>
    <cellStyle name="Comma 7 3 2 2 9 2" xfId="42190" xr:uid="{607A3908-C3B8-4AC7-A06B-D4D76E8F0470}"/>
    <cellStyle name="Comma 7 3 2 3" xfId="4473" xr:uid="{5B3FAFFE-DE8E-46B8-BA37-18B38619DB63}"/>
    <cellStyle name="Comma 7 3 2 3 10" xfId="42853" xr:uid="{7546ECE4-6258-4028-8525-B7EDBBE4A3D1}"/>
    <cellStyle name="Comma 7 3 2 3 11" xfId="44274" xr:uid="{50A185FF-FCE8-40E0-8A74-3BC68FF0AC4A}"/>
    <cellStyle name="Comma 7 3 2 3 12" xfId="44574" xr:uid="{3E7B704A-B67B-42C7-95B1-A220F8DAEA97}"/>
    <cellStyle name="Comma 7 3 2 3 13" xfId="45730" xr:uid="{B193366F-CC8B-4D53-BEEB-58ED9B6D1322}"/>
    <cellStyle name="Comma 7 3 2 3 14" xfId="49358" xr:uid="{329E8C25-9D24-408E-B8BA-28E0F4AE1ED2}"/>
    <cellStyle name="Comma 7 3 2 3 15" xfId="53581" xr:uid="{A3AB1EBC-462B-46A1-A343-CA91C802104F}"/>
    <cellStyle name="Comma 7 3 2 3 16" xfId="19759" xr:uid="{65AEF9B6-88C1-4FCD-A951-519FC7D51093}"/>
    <cellStyle name="Comma 7 3 2 3 17" xfId="14267" xr:uid="{53E9DD93-EB02-4251-A155-A8BBC74B0F5D}"/>
    <cellStyle name="Comma 7 3 2 3 2" xfId="5730" xr:uid="{889A7528-5897-445D-9CEB-DDB773F7C021}"/>
    <cellStyle name="Comma 7 3 2 3 2 10" xfId="14759" xr:uid="{2ADC4BB5-6C98-45CE-981B-6D52C9A6E64F}"/>
    <cellStyle name="Comma 7 3 2 3 2 2" xfId="10324" xr:uid="{89553FE1-D6C6-4D50-9CC9-8A8FF0C47808}"/>
    <cellStyle name="Comma 7 3 2 3 2 2 2" xfId="13630" xr:uid="{B6B7F685-0ECC-481F-BBE5-80143BF30E67}"/>
    <cellStyle name="Comma 7 3 2 3 2 2 2 2" xfId="48284" xr:uid="{9623F7F0-306A-4804-B304-03318169611C}"/>
    <cellStyle name="Comma 7 3 2 3 2 2 3" xfId="51102" xr:uid="{C2E1E30C-74B2-4EFD-ADC7-8531698A5AD0}"/>
    <cellStyle name="Comma 7 3 2 3 2 2 4" xfId="53582" xr:uid="{F1FFBF84-1FAE-402E-B5CB-54D4F893DC46}"/>
    <cellStyle name="Comma 7 3 2 3 2 2 5" xfId="39767" xr:uid="{929FA465-B1A7-47EB-9C1E-B052CE878BCC}"/>
    <cellStyle name="Comma 7 3 2 3 2 3" xfId="7832" xr:uid="{46D82E38-88AC-4AF5-9741-E9DD27E6599A}"/>
    <cellStyle name="Comma 7 3 2 3 2 3 2" xfId="41620" xr:uid="{2EA6A7C0-DE59-42AB-BCD4-996E8F0C7475}"/>
    <cellStyle name="Comma 7 3 2 3 2 4" xfId="12345" xr:uid="{75B5EE01-7AB6-488C-B55A-4A3E153C22B7}"/>
    <cellStyle name="Comma 7 3 2 3 2 4 2" xfId="43444" xr:uid="{1D0C34F4-DE88-401D-BE3E-99048DD5F647}"/>
    <cellStyle name="Comma 7 3 2 3 2 5" xfId="45522" xr:uid="{B542425B-93DC-43F6-A09D-2BE9997E5C25}"/>
    <cellStyle name="Comma 7 3 2 3 2 6" xfId="46742" xr:uid="{F7CAD98B-D4F8-444E-85A3-6B3A51BBD1B6}"/>
    <cellStyle name="Comma 7 3 2 3 2 7" xfId="49774" xr:uid="{898DE542-AB9F-4267-8168-F87929F70694}"/>
    <cellStyle name="Comma 7 3 2 3 2 8" xfId="53583" xr:uid="{A2A2F894-F960-41A4-AED9-E9010756061E}"/>
    <cellStyle name="Comma 7 3 2 3 2 9" xfId="23376" xr:uid="{323503FA-2B38-422C-AFCA-6374E37ECACD}"/>
    <cellStyle name="Comma 7 3 2 3 3" xfId="11162" xr:uid="{7D029729-D7AD-4DD2-AB99-FB7A8345B2A3}"/>
    <cellStyle name="Comma 7 3 2 3 3 2" xfId="13757" xr:uid="{7F430965-99B1-49C2-A67C-73DEBC4AD734}"/>
    <cellStyle name="Comma 7 3 2 3 3 2 2" xfId="51309" xr:uid="{05468A41-D148-4574-8873-99E4D5B7023F}"/>
    <cellStyle name="Comma 7 3 2 3 3 2 3" xfId="53584" xr:uid="{4B4765C2-D945-4A62-B32C-B5FA466BEFE7}"/>
    <cellStyle name="Comma 7 3 2 3 3 2 4" xfId="48523" xr:uid="{26547CDA-05EF-45B8-B189-D24A0C0478DD}"/>
    <cellStyle name="Comma 7 3 2 3 3 3" xfId="46962" xr:uid="{C62A3F95-A1A8-4BB1-827E-24BF6556FF03}"/>
    <cellStyle name="Comma 7 3 2 3 3 4" xfId="49981" xr:uid="{94D7F5A9-B61F-4BB1-B2C0-3C49C6259F72}"/>
    <cellStyle name="Comma 7 3 2 3 3 5" xfId="53585" xr:uid="{CB3B9D89-4D7C-484B-B865-9D4F5FCE9626}"/>
    <cellStyle name="Comma 7 3 2 3 3 6" xfId="20420" xr:uid="{F3BB5493-CD14-4139-9758-2E7A4E0D263F}"/>
    <cellStyle name="Comma 7 3 2 3 3 7" xfId="15074" xr:uid="{58455CF8-DBF8-4F97-A4BC-8200FAF83E51}"/>
    <cellStyle name="Comma 7 3 2 3 4" xfId="9830" xr:uid="{9BA50343-F7FC-4F67-982F-A16D6CC5C4E5}"/>
    <cellStyle name="Comma 7 3 2 3 4 2" xfId="13136" xr:uid="{2B652D33-8F9A-459D-A8D2-5D272AB994A8}"/>
    <cellStyle name="Comma 7 3 2 3 4 2 2" xfId="51820" xr:uid="{6AF0EA3F-DF1B-434C-AA13-BFD919ED644E}"/>
    <cellStyle name="Comma 7 3 2 3 4 2 3" xfId="53586" xr:uid="{C4CC2F0A-E65C-4587-911E-58A2F89C3F96}"/>
    <cellStyle name="Comma 7 3 2 3 4 2 4" xfId="49140" xr:uid="{F68E6E32-897B-45AA-B756-872202ECEAE9}"/>
    <cellStyle name="Comma 7 3 2 3 4 3" xfId="47557" xr:uid="{B2892512-EA3A-4779-B8EC-67C19DACB53A}"/>
    <cellStyle name="Comma 7 3 2 3 4 4" xfId="50492" xr:uid="{4413370D-FBD4-4BA4-9C10-05A552CCEAB1}"/>
    <cellStyle name="Comma 7 3 2 3 4 5" xfId="53587" xr:uid="{086BC194-6215-4423-B8F6-428FED30A5D0}"/>
    <cellStyle name="Comma 7 3 2 3 4 6" xfId="24017" xr:uid="{E2635ED9-4E43-4378-9777-95C35FF4EA2F}"/>
    <cellStyle name="Comma 7 3 2 3 5" xfId="7328" xr:uid="{EEBCCBCC-4AF2-4AC9-8DA1-2301A7756921}"/>
    <cellStyle name="Comma 7 3 2 3 5 2" xfId="47787" xr:uid="{330FE700-B51C-4591-8BC6-6D9A145F6AEC}"/>
    <cellStyle name="Comma 7 3 2 3 5 3" xfId="50686" xr:uid="{22EDC5FB-0E9F-40E1-B1F2-9ACA36C66011}"/>
    <cellStyle name="Comma 7 3 2 3 5 4" xfId="53588" xr:uid="{49F5D5E4-1165-4D1D-B92F-DDCA2DE3BBB5}"/>
    <cellStyle name="Comma 7 3 2 3 5 5" xfId="38514" xr:uid="{7D7A8DD4-B988-4220-9FCA-FF5D39CAABD0}"/>
    <cellStyle name="Comma 7 3 2 3 6" xfId="11851" xr:uid="{2E1B86E1-1B10-44C4-AD2C-AE3D47692688}"/>
    <cellStyle name="Comma 7 3 2 3 6 2" xfId="39176" xr:uid="{BF622F20-CA64-42B4-97E4-536ACCF586C3}"/>
    <cellStyle name="Comma 7 3 2 3 7" xfId="40337" xr:uid="{A39F58B5-1510-4B9B-853B-DE4557C535DA}"/>
    <cellStyle name="Comma 7 3 2 3 8" xfId="40979" xr:uid="{FB4CAE14-3FCB-40CF-954D-CB535C8184FE}"/>
    <cellStyle name="Comma 7 3 2 3 9" xfId="42191" xr:uid="{A105A1F6-EC24-48DF-8295-9C82A042BC30}"/>
    <cellStyle name="Comma 7 3 2 4" xfId="5554" xr:uid="{B7881181-EECD-45A7-9AAC-2776AA9CBFF8}"/>
    <cellStyle name="Comma 7 3 2 4 10" xfId="20653" xr:uid="{410BE480-B0ED-49A0-88D1-2C2F51570BEC}"/>
    <cellStyle name="Comma 7 3 2 4 11" xfId="14091" xr:uid="{97FDD41F-FA6C-4EFE-BF48-4CD79DD37BD2}"/>
    <cellStyle name="Comma 7 3 2 4 2" xfId="7656" xr:uid="{D075A830-469B-4B52-B668-52F5E897130C}"/>
    <cellStyle name="Comma 7 3 2 4 2 2" xfId="10148" xr:uid="{7C5734DF-9174-40C3-8DA7-45CFBF3CAD39}"/>
    <cellStyle name="Comma 7 3 2 4 2 2 2" xfId="13454" xr:uid="{4AAE82C9-947B-4BC5-89ED-3CF6C47D6B07}"/>
    <cellStyle name="Comma 7 3 2 4 2 2 2 2" xfId="51405" xr:uid="{538FC22C-2D59-4552-9E54-EE9B14249DD9}"/>
    <cellStyle name="Comma 7 3 2 4 2 2 3" xfId="53589" xr:uid="{D9EE4658-7680-48DC-ABA2-7F9534848292}"/>
    <cellStyle name="Comma 7 3 2 4 2 2 4" xfId="48642" xr:uid="{95D676E4-135B-4EF1-9E88-73000C817AE0}"/>
    <cellStyle name="Comma 7 3 2 4 2 3" xfId="12169" xr:uid="{061BE6B9-B8E6-4F4D-8D2D-12BE924F9BF4}"/>
    <cellStyle name="Comma 7 3 2 4 2 3 2" xfId="47076" xr:uid="{9000CBE5-7248-40BC-A14C-C2D08789D0DD}"/>
    <cellStyle name="Comma 7 3 2 4 2 4" xfId="50077" xr:uid="{9A258765-FE42-4ACC-B114-80A4AE558180}"/>
    <cellStyle name="Comma 7 3 2 4 2 5" xfId="53590" xr:uid="{5C704261-69BE-41F5-91F9-5E2A0A5DE6B0}"/>
    <cellStyle name="Comma 7 3 2 4 2 6" xfId="39344" xr:uid="{81A6AB96-6637-4DF9-B9EB-E649F76911B7}"/>
    <cellStyle name="Comma 7 3 2 4 2 7" xfId="14583" xr:uid="{8CDB9BE8-66AC-4944-A489-3F2EBB963BBC}"/>
    <cellStyle name="Comma 7 3 2 4 3" xfId="9654" xr:uid="{C83F3C6D-C1FA-4AAE-9982-AD46487592CE}"/>
    <cellStyle name="Comma 7 3 2 4 3 2" xfId="12960" xr:uid="{A04AA903-DEA1-442C-B7DA-16939D8A7B7E}"/>
    <cellStyle name="Comma 7 3 2 4 3 2 2" xfId="51680" xr:uid="{8E13989F-FDC3-46E7-AC2C-E4D30741DC64}"/>
    <cellStyle name="Comma 7 3 2 4 3 2 3" xfId="53591" xr:uid="{26860A51-8184-40A3-B5DE-03B6C48D4E23}"/>
    <cellStyle name="Comma 7 3 2 4 3 2 4" xfId="48968" xr:uid="{8AE8A9DE-A6C8-4CB7-A24F-3EF61035799C}"/>
    <cellStyle name="Comma 7 3 2 4 3 3" xfId="47392" xr:uid="{A835AF50-F335-4848-9263-6EF82AB1D042}"/>
    <cellStyle name="Comma 7 3 2 4 3 4" xfId="50352" xr:uid="{C6DA526A-07C0-4F22-9F42-238CE76CC977}"/>
    <cellStyle name="Comma 7 3 2 4 3 5" xfId="53592" xr:uid="{A2040A16-7402-4237-8345-F8CB3CD16254}"/>
    <cellStyle name="Comma 7 3 2 4 3 6" xfId="41202" xr:uid="{A50F719D-2BEC-4AAF-B934-48908437AE69}"/>
    <cellStyle name="Comma 7 3 2 4 4" xfId="7150" xr:uid="{BCD795A7-CF5C-481E-AD42-DECDCB90C0C3}"/>
    <cellStyle name="Comma 7 3 2 4 4 2" xfId="48113" xr:uid="{F41B9995-0DED-4B2C-AB94-9619C94DAC69}"/>
    <cellStyle name="Comma 7 3 2 4 4 3" xfId="50962" xr:uid="{2FC1F910-C558-438A-8725-31CF251F999C}"/>
    <cellStyle name="Comma 7 3 2 4 4 4" xfId="53593" xr:uid="{BD5BB6AA-FC90-43A1-8E4B-C6953BE78C8A}"/>
    <cellStyle name="Comma 7 3 2 4 4 5" xfId="43021" xr:uid="{E8BA43B8-861F-446E-84F9-BFE62070C17A}"/>
    <cellStyle name="Comma 7 3 2 4 5" xfId="11675" xr:uid="{DE6A4049-5694-4886-8F88-1BAB67854673}"/>
    <cellStyle name="Comma 7 3 2 4 5 2" xfId="43843" xr:uid="{F24A3B47-9DD3-43AD-9CCB-213364707793}"/>
    <cellStyle name="Comma 7 3 2 4 6" xfId="45122" xr:uid="{BEF0AE74-14E7-4D53-A400-D14A47FFCCE2}"/>
    <cellStyle name="Comma 7 3 2 4 7" xfId="46601" xr:uid="{B3DACB1B-9379-44BA-ACCC-1F173226DBBF}"/>
    <cellStyle name="Comma 7 3 2 4 8" xfId="49634" xr:uid="{C79D4F49-B542-4124-9BE7-9F2FBF35847A}"/>
    <cellStyle name="Comma 7 3 2 4 9" xfId="53594" xr:uid="{6D47CB61-821D-4E10-BC85-A12E8CD09B3F}"/>
    <cellStyle name="Comma 7 3 2 5" xfId="6544" xr:uid="{F4D87A02-2044-487C-A23B-368D4EA89462}"/>
    <cellStyle name="Comma 7 3 2 5 2" xfId="9516" xr:uid="{DC46C8D2-6850-4D5D-BA28-E0334C641154}"/>
    <cellStyle name="Comma 7 3 2 5 2 2" xfId="12822" xr:uid="{9A3DB581-DFA1-4975-BA6B-04EE4615FCF5}"/>
    <cellStyle name="Comma 7 3 2 5 2 2 2" xfId="50847" xr:uid="{EC3E7D0E-7EB1-4D62-BBD6-7966A98BFC40}"/>
    <cellStyle name="Comma 7 3 2 5 2 3" xfId="53595" xr:uid="{04FD3849-55F4-48D5-8B7A-08AFDCCAE542}"/>
    <cellStyle name="Comma 7 3 2 5 2 4" xfId="47978" xr:uid="{EDBCE308-C924-4DED-BA56-A689BB4B31C2}"/>
    <cellStyle name="Comma 7 3 2 5 3" xfId="11537" xr:uid="{4A1E5663-CD0E-4EF8-B64A-D14B311E70FA}"/>
    <cellStyle name="Comma 7 3 2 5 3 2" xfId="46183" xr:uid="{54C38B71-D532-4813-A6A6-4D1C76E8D414}"/>
    <cellStyle name="Comma 7 3 2 5 4" xfId="49519" xr:uid="{A7681BB6-3A8F-4BF3-8E29-93787E6D69EC}"/>
    <cellStyle name="Comma 7 3 2 5 5" xfId="53596" xr:uid="{C48DC28B-DBED-410F-A634-412F28B7ADA9}"/>
    <cellStyle name="Comma 7 3 2 5 6" xfId="19997" xr:uid="{BB4E55B8-3051-46BA-96EC-F7258B8357B8}"/>
    <cellStyle name="Comma 7 3 2 5 7" xfId="14445" xr:uid="{277C7933-EA66-4571-B457-51AC3D4CD6B4}"/>
    <cellStyle name="Comma 7 3 2 6" xfId="7518" xr:uid="{7C45B781-055D-44AE-A180-47D01875D9E2}"/>
    <cellStyle name="Comma 7 3 2 6 2" xfId="10010" xr:uid="{1FB700F9-6723-4FCA-A743-C6616F53519E}"/>
    <cellStyle name="Comma 7 3 2 6 2 2" xfId="13316" xr:uid="{BC7AE5E4-C1D2-4444-BC78-9BC6B426A7F0}"/>
    <cellStyle name="Comma 7 3 2 6 2 2 2" xfId="51199" xr:uid="{E68F88B1-1BE1-4FA0-8DA3-FA2EA7F8A964}"/>
    <cellStyle name="Comma 7 3 2 6 2 3" xfId="53597" xr:uid="{47925779-C018-44A2-8F23-7393F1E7C663}"/>
    <cellStyle name="Comma 7 3 2 6 2 4" xfId="48398" xr:uid="{C601F405-F180-4B81-8350-4B6AD1504380}"/>
    <cellStyle name="Comma 7 3 2 6 3" xfId="12031" xr:uid="{1A066946-264F-41B0-98AF-4893FB0BFFC3}"/>
    <cellStyle name="Comma 7 3 2 6 3 2" xfId="46847" xr:uid="{1DDD5871-82C4-4094-B50D-F3CDC1E6DDEC}"/>
    <cellStyle name="Comma 7 3 2 6 4" xfId="49871" xr:uid="{A9981D08-2E4D-43F8-B4EC-E3A131186702}"/>
    <cellStyle name="Comma 7 3 2 6 5" xfId="53598" xr:uid="{C86453B4-CF18-4113-AADF-C83BF6CB0EAC}"/>
    <cellStyle name="Comma 7 3 2 6 6" xfId="24015" xr:uid="{C05DA99A-2AB7-47E8-B0F6-355C8C562787}"/>
    <cellStyle name="Comma 7 3 2 6 7" xfId="14898" xr:uid="{659AD606-2651-4AE7-9E05-BDB74B804EB5}"/>
    <cellStyle name="Comma 7 3 2 7" xfId="8184" xr:uid="{F7D18EDC-6F60-4100-B4C3-9C8499BBFD06}"/>
    <cellStyle name="Comma 7 3 2 7 2" xfId="12640" xr:uid="{66B4DDFE-F333-4CBC-8C21-6CBB822A4096}"/>
    <cellStyle name="Comma 7 3 2 7 2 2" xfId="51565" xr:uid="{7ADB3F8C-8B3C-4358-A04D-19886E67FD8B}"/>
    <cellStyle name="Comma 7 3 2 7 2 3" xfId="53599" xr:uid="{38318159-E80A-46DD-9800-99534A9B2CFD}"/>
    <cellStyle name="Comma 7 3 2 7 2 4" xfId="48830" xr:uid="{C1EE84C7-E083-45F5-9378-1C8F2717271F}"/>
    <cellStyle name="Comma 7 3 2 7 3" xfId="47259" xr:uid="{09106B15-1DF0-4628-81C9-EBEBC523BB71}"/>
    <cellStyle name="Comma 7 3 2 7 4" xfId="50237" xr:uid="{34FD38AF-0698-4D66-8CC9-E975F35FD0C8}"/>
    <cellStyle name="Comma 7 3 2 7 5" xfId="53600" xr:uid="{1E919659-E6DF-4C4E-815F-550EA212C412}"/>
    <cellStyle name="Comma 7 3 2 7 6" xfId="38512" xr:uid="{F782C91D-0CF4-400F-9BBF-E057EF0DC1E3}"/>
    <cellStyle name="Comma 7 3 2 8" xfId="7971" xr:uid="{FC8DBA56-310A-4C8C-9820-1AACF7027DD1}"/>
    <cellStyle name="Comma 7 3 2 8 2" xfId="12484" xr:uid="{18601541-A1C7-4AC8-AC4B-AB8BCDDFF1BE}"/>
    <cellStyle name="Comma 7 3 2 8 2 2" xfId="47705" xr:uid="{DFE1721A-B7DB-4922-93EF-71AD21DFC01B}"/>
    <cellStyle name="Comma 7 3 2 8 3" xfId="50613" xr:uid="{EE61BE71-6FC9-47F8-8496-A39DD5FF0822}"/>
    <cellStyle name="Comma 7 3 2 8 4" xfId="53601" xr:uid="{9F0C98B9-E9F8-4A47-82F7-F41D17435318}"/>
    <cellStyle name="Comma 7 3 2 8 5" xfId="38753" xr:uid="{4C2A8F6B-C2B2-4B67-A342-BD2DC742879E}"/>
    <cellStyle name="Comma 7 3 2 9" xfId="5868" xr:uid="{A50B0C27-B011-4DEE-8D82-08E3F0FC713D}"/>
    <cellStyle name="Comma 7 3 2 9 2" xfId="40335" xr:uid="{3BD5FFD1-AEB3-4BB5-8032-622F57244903}"/>
    <cellStyle name="Comma 7 3 20" xfId="16393" xr:uid="{2DA2955D-2B54-436D-B685-4D78C09661DE}"/>
    <cellStyle name="Comma 7 3 21" xfId="13858" xr:uid="{2C99B31D-5A21-4E76-9676-6015EAE2E294}"/>
    <cellStyle name="Comma 7 3 3" xfId="1799" xr:uid="{0D5F8D2C-DFEE-42FF-A9BB-920D8EA6BF7C}"/>
    <cellStyle name="Comma 7 3 3 10" xfId="40980" xr:uid="{B4572774-3651-4108-A867-355F23D5377F}"/>
    <cellStyle name="Comma 7 3 3 11" xfId="42192" xr:uid="{F6F3C7C7-675F-475A-902C-87EB90D5AAD6}"/>
    <cellStyle name="Comma 7 3 3 12" xfId="42431" xr:uid="{DB14100F-954B-4363-889D-54C5A3DEEA5E}"/>
    <cellStyle name="Comma 7 3 3 13" xfId="43572" xr:uid="{415C5858-9858-44CC-90E0-875222E8A904}"/>
    <cellStyle name="Comma 7 3 3 14" xfId="44435" xr:uid="{130CEF85-F84C-4FD0-9B46-7152F2672BD0}"/>
    <cellStyle name="Comma 7 3 3 15" xfId="45657" xr:uid="{C395FC02-7232-4158-8CCC-DECCB8CFB5C0}"/>
    <cellStyle name="Comma 7 3 3 16" xfId="49286" xr:uid="{BC042F8B-FE7E-402D-B595-0D454670EC44}"/>
    <cellStyle name="Comma 7 3 3 17" xfId="53602" xr:uid="{BED2A989-9D3C-457B-B24B-6595404344AB}"/>
    <cellStyle name="Comma 7 3 3 18" xfId="16459" xr:uid="{4F9A6E5D-DA3A-4A10-93E7-7AD6A7DD51E0}"/>
    <cellStyle name="Comma 7 3 3 19" xfId="13955" xr:uid="{EC278D30-EC51-43FA-841F-01D934ECB1AF}"/>
    <cellStyle name="Comma 7 3 3 2" xfId="4475" xr:uid="{8DCFB40D-D2B2-416E-A90B-A7FEE7CDD909}"/>
    <cellStyle name="Comma 7 3 3 2 10" xfId="42778" xr:uid="{FE9A6406-1377-4493-B960-859B7650026F}"/>
    <cellStyle name="Comma 7 3 3 2 11" xfId="44276" xr:uid="{27FA60FA-2CE9-48FB-BA1E-BFE6F08DD7DE}"/>
    <cellStyle name="Comma 7 3 3 2 12" xfId="44576" xr:uid="{69254B14-35DD-458F-95A1-D7779A909A90}"/>
    <cellStyle name="Comma 7 3 3 2 13" xfId="45731" xr:uid="{88F0A51C-B08D-409A-9172-03E5F719DEB2}"/>
    <cellStyle name="Comma 7 3 3 2 14" xfId="49359" xr:uid="{24AD9999-5687-4E45-BA86-79D76177D8E0}"/>
    <cellStyle name="Comma 7 3 3 2 15" xfId="53603" xr:uid="{60A1392F-B8F4-42C5-AA4B-C1176426384A}"/>
    <cellStyle name="Comma 7 3 3 2 16" xfId="17131" xr:uid="{1F518091-1C54-4AC9-86D4-3F14B78012DA}"/>
    <cellStyle name="Comma 7 3 3 2 17" xfId="14269" xr:uid="{1AE92EE0-5269-4E51-84D5-6116676A7AB2}"/>
    <cellStyle name="Comma 7 3 3 2 2" xfId="5732" xr:uid="{ABC07812-4D77-4AE9-9D47-D95944AE0274}"/>
    <cellStyle name="Comma 7 3 3 2 2 10" xfId="14761" xr:uid="{30D1DC26-68B0-48E3-ABC8-1E29C8BA5D65}"/>
    <cellStyle name="Comma 7 3 3 2 2 2" xfId="10326" xr:uid="{63E0E88A-6091-4624-8A4D-91B311672DD4}"/>
    <cellStyle name="Comma 7 3 3 2 2 2 2" xfId="13632" xr:uid="{9417C478-BCAB-4D4B-BFF1-5E333E79FA00}"/>
    <cellStyle name="Comma 7 3 3 2 2 2 2 2" xfId="48286" xr:uid="{1683813D-1D0B-4515-ABCE-1A2AD20D8996}"/>
    <cellStyle name="Comma 7 3 3 2 2 2 3" xfId="51104" xr:uid="{80D631EF-7A06-4DFB-95C8-1752EC0F7349}"/>
    <cellStyle name="Comma 7 3 3 2 2 2 4" xfId="53604" xr:uid="{BFB84050-43DF-44D9-882E-EB66E3E96D46}"/>
    <cellStyle name="Comma 7 3 3 2 2 2 5" xfId="39692" xr:uid="{F67562A2-187D-4AB2-A422-5A1EDBBCAE3E}"/>
    <cellStyle name="Comma 7 3 3 2 2 3" xfId="7834" xr:uid="{6ABDF17A-2006-4663-A80C-639B8C089438}"/>
    <cellStyle name="Comma 7 3 3 2 2 3 2" xfId="41545" xr:uid="{31402CCE-40D0-410C-8CF2-C224492AE60B}"/>
    <cellStyle name="Comma 7 3 3 2 2 4" xfId="12347" xr:uid="{18CE4159-9D7A-401A-9C3D-1671E5E8ABAA}"/>
    <cellStyle name="Comma 7 3 3 2 2 4 2" xfId="43369" xr:uid="{1AD45686-911A-4756-A3C0-CA6AF8D5F88A}"/>
    <cellStyle name="Comma 7 3 3 2 2 5" xfId="45460" xr:uid="{440CE042-6651-4C7D-ABC0-D6DFAD2376D0}"/>
    <cellStyle name="Comma 7 3 3 2 2 6" xfId="46744" xr:uid="{749166CA-D9AB-4438-A95A-49837724F658}"/>
    <cellStyle name="Comma 7 3 3 2 2 7" xfId="49776" xr:uid="{A49EB5FD-85E0-4334-919B-21BD122D2607}"/>
    <cellStyle name="Comma 7 3 3 2 2 8" xfId="53605" xr:uid="{FD2005D7-831F-4276-BD70-F046AEEF907B}"/>
    <cellStyle name="Comma 7 3 3 2 2 9" xfId="21126" xr:uid="{B8E04241-3A74-4401-A6A4-09723ECDC47A}"/>
    <cellStyle name="Comma 7 3 3 2 3" xfId="11236" xr:uid="{F5E20927-6470-450A-98BA-73C688FB2A79}"/>
    <cellStyle name="Comma 7 3 3 2 3 2" xfId="13798" xr:uid="{5E45D9DE-28E0-4A80-97C9-FF9ECFC12722}"/>
    <cellStyle name="Comma 7 3 3 2 3 2 2" xfId="51437" xr:uid="{34AC5B38-4646-4010-8CB5-F88801640916}"/>
    <cellStyle name="Comma 7 3 3 2 3 2 3" xfId="53606" xr:uid="{260BAEBF-1AB3-4933-9011-A247F097BDA5}"/>
    <cellStyle name="Comma 7 3 3 2 3 2 4" xfId="48682" xr:uid="{11BE6C89-ACEB-46E8-A671-95CAFF6654BB}"/>
    <cellStyle name="Comma 7 3 3 2 3 3" xfId="47119" xr:uid="{A504C66E-BCAA-48E5-946E-2ACC2C8834B0}"/>
    <cellStyle name="Comma 7 3 3 2 3 4" xfId="50109" xr:uid="{EFF895C4-0788-4B6A-B495-21B4844460BE}"/>
    <cellStyle name="Comma 7 3 3 2 3 5" xfId="53607" xr:uid="{C8C692C7-F6A8-4D22-8230-AE5ECE25747B}"/>
    <cellStyle name="Comma 7 3 3 2 3 6" xfId="20345" xr:uid="{0A56CC4C-541A-44D2-BD50-35BF4F50AE82}"/>
    <cellStyle name="Comma 7 3 3 2 3 7" xfId="15076" xr:uid="{08F51A3E-9CBB-41BC-B3DB-B41DB5C0BB9D}"/>
    <cellStyle name="Comma 7 3 3 2 4" xfId="9832" xr:uid="{38B284CE-E366-4A3F-A940-CFD2CF46D4C2}"/>
    <cellStyle name="Comma 7 3 3 2 4 2" xfId="13138" xr:uid="{0EB2086D-36FD-4AB9-B52D-8665EB49388F}"/>
    <cellStyle name="Comma 7 3 3 2 4 2 2" xfId="51822" xr:uid="{EB7D743F-88BA-4512-90E9-F9D102648A41}"/>
    <cellStyle name="Comma 7 3 3 2 4 2 3" xfId="53608" xr:uid="{1F211A95-C414-4A2C-B54A-A6DD5D90A9E3}"/>
    <cellStyle name="Comma 7 3 3 2 4 2 4" xfId="49142" xr:uid="{DED48A22-1F47-4CBF-B0B2-D6DE9AB2312A}"/>
    <cellStyle name="Comma 7 3 3 2 4 3" xfId="47559" xr:uid="{64CA082C-C39B-4235-9684-E578143F569B}"/>
    <cellStyle name="Comma 7 3 3 2 4 4" xfId="50494" xr:uid="{A1248E77-5777-41E1-8E3C-FFE49149E3C1}"/>
    <cellStyle name="Comma 7 3 3 2 4 5" xfId="53609" xr:uid="{F04506C0-5C37-44E0-AD2C-31527FD9B38E}"/>
    <cellStyle name="Comma 7 3 3 2 4 6" xfId="24019" xr:uid="{04C4F0E8-CB4B-4A54-B067-3179043B3833}"/>
    <cellStyle name="Comma 7 3 3 2 5" xfId="7330" xr:uid="{1C620DD6-6DAB-4944-979B-5501C5714DA0}"/>
    <cellStyle name="Comma 7 3 3 2 5 2" xfId="47788" xr:uid="{DD61639F-EA9A-4B3E-AF1C-F316F797DE52}"/>
    <cellStyle name="Comma 7 3 3 2 5 3" xfId="50687" xr:uid="{9102BE7B-A4CA-4835-9892-BD2FDD1A65DA}"/>
    <cellStyle name="Comma 7 3 3 2 5 4" xfId="53610" xr:uid="{A6214E97-5275-45C4-BA89-C56F697E1427}"/>
    <cellStyle name="Comma 7 3 3 2 5 5" xfId="38516" xr:uid="{D1F34F04-8A97-48C5-A433-06832AD311AD}"/>
    <cellStyle name="Comma 7 3 3 2 6" xfId="11853" xr:uid="{FDF65A27-616F-4421-B679-4F4B75D3592F}"/>
    <cellStyle name="Comma 7 3 3 2 6 2" xfId="39101" xr:uid="{6C8D3658-05DA-4F61-B85F-15AD52F6A62E}"/>
    <cellStyle name="Comma 7 3 3 2 7" xfId="40339" xr:uid="{E1D4CC6F-6E5B-448F-B012-FEDE19C20CC0}"/>
    <cellStyle name="Comma 7 3 3 2 8" xfId="40981" xr:uid="{C43DCAFD-0632-4093-884A-D1357F656A5C}"/>
    <cellStyle name="Comma 7 3 3 2 9" xfId="42193" xr:uid="{7136C476-6464-4181-BA30-647D0137C577}"/>
    <cellStyle name="Comma 7 3 3 3" xfId="5556" xr:uid="{385F6227-D8DB-402D-8B4E-8CF6881DCB5B}"/>
    <cellStyle name="Comma 7 3 3 3 10" xfId="42854" xr:uid="{CB2554CB-AD14-468C-83E8-FD765C8BB137}"/>
    <cellStyle name="Comma 7 3 3 3 11" xfId="43845" xr:uid="{CFB2B012-71C5-41EB-A1F8-3D358F669EF3}"/>
    <cellStyle name="Comma 7 3 3 3 12" xfId="44975" xr:uid="{BB1BA549-161A-408B-9730-64C40C412DF6}"/>
    <cellStyle name="Comma 7 3 3 3 13" xfId="46603" xr:uid="{DE8F8AF9-0416-4B25-9E5A-F08F9B135914}"/>
    <cellStyle name="Comma 7 3 3 3 14" xfId="49636" xr:uid="{720C57C5-B857-4CC6-A4FC-A4D5AF634B5F}"/>
    <cellStyle name="Comma 7 3 3 3 15" xfId="53611" xr:uid="{6173DEC8-909A-48F0-A951-A99B41D7F483}"/>
    <cellStyle name="Comma 7 3 3 3 16" xfId="19760" xr:uid="{FF0FB65D-038C-4A5F-AB7B-26B68941282B}"/>
    <cellStyle name="Comma 7 3 3 3 17" xfId="14093" xr:uid="{8E689BAD-67D6-4A20-8ECC-73CB9B7DEE87}"/>
    <cellStyle name="Comma 7 3 3 3 2" xfId="7658" xr:uid="{43282D1E-2977-428B-B1DB-6764C8218D74}"/>
    <cellStyle name="Comma 7 3 3 3 2 10" xfId="14585" xr:uid="{0F7983BC-D7B1-459A-AF51-8B1B66F9A95C}"/>
    <cellStyle name="Comma 7 3 3 3 2 2" xfId="10150" xr:uid="{C3995C34-6B18-4189-9ADC-63C941700879}"/>
    <cellStyle name="Comma 7 3 3 3 2 2 2" xfId="13456" xr:uid="{2379B568-C71B-4F14-BED9-951905D0159C}"/>
    <cellStyle name="Comma 7 3 3 3 2 2 2 2" xfId="48970" xr:uid="{9B2E93DE-1C83-4591-B1B3-358841874486}"/>
    <cellStyle name="Comma 7 3 3 3 2 2 3" xfId="51682" xr:uid="{E88802FC-AFAE-49CD-B0D1-66001D6AAF1C}"/>
    <cellStyle name="Comma 7 3 3 3 2 2 4" xfId="53612" xr:uid="{C5A36831-A479-4257-9FC7-9B2524E537C8}"/>
    <cellStyle name="Comma 7 3 3 3 2 2 5" xfId="39768" xr:uid="{AE6C4CA2-FCF5-42DE-99C2-1C5D60550413}"/>
    <cellStyle name="Comma 7 3 3 3 2 3" xfId="12171" xr:uid="{17EF35CF-A515-4597-83C9-125A9352542B}"/>
    <cellStyle name="Comma 7 3 3 3 2 3 2" xfId="41621" xr:uid="{33B328BB-CBD5-4265-BF7B-D67CB82A9C11}"/>
    <cellStyle name="Comma 7 3 3 3 2 4" xfId="43445" xr:uid="{08B9E6F6-7596-4093-9958-0A7D6D3E4914}"/>
    <cellStyle name="Comma 7 3 3 3 2 5" xfId="45523" xr:uid="{A24E348E-F09E-4B2E-8485-1C341589A169}"/>
    <cellStyle name="Comma 7 3 3 3 2 6" xfId="47394" xr:uid="{06E37429-72ED-42E3-8342-7505095D7378}"/>
    <cellStyle name="Comma 7 3 3 3 2 7" xfId="50354" xr:uid="{69668969-4B08-46CD-8C0E-C2557BB4122B}"/>
    <cellStyle name="Comma 7 3 3 3 2 8" xfId="53613" xr:uid="{5A940B9A-59BC-4B70-850A-DD69BE40C263}"/>
    <cellStyle name="Comma 7 3 3 3 2 9" xfId="23377" xr:uid="{6A0BD2F4-26D8-44C6-97DE-5FB62322F140}"/>
    <cellStyle name="Comma 7 3 3 3 3" xfId="9656" xr:uid="{6CBF836A-4301-4753-B0E4-719646341645}"/>
    <cellStyle name="Comma 7 3 3 3 3 2" xfId="12962" xr:uid="{C1FDDF24-98C0-4E6A-BE32-B61ADAD789F9}"/>
    <cellStyle name="Comma 7 3 3 3 3 2 2" xfId="48115" xr:uid="{F19CFF4C-5181-4F10-A26D-7EF0625B9264}"/>
    <cellStyle name="Comma 7 3 3 3 3 3" xfId="50964" xr:uid="{72CD161E-E71A-44E0-92E3-3F422D3137BF}"/>
    <cellStyle name="Comma 7 3 3 3 3 4" xfId="53614" xr:uid="{B77ED61E-23BE-4213-A5ED-3E8941B75D51}"/>
    <cellStyle name="Comma 7 3 3 3 3 5" xfId="20421" xr:uid="{8A819A73-CC2A-4BB3-8F30-D9C0CA73E8C1}"/>
    <cellStyle name="Comma 7 3 3 3 4" xfId="7152" xr:uid="{2B144BB0-B773-4D44-AFE9-00A5BBD07E27}"/>
    <cellStyle name="Comma 7 3 3 3 4 2" xfId="24020" xr:uid="{716C6D83-FCD8-46A6-9E95-87D4C2B35ED1}"/>
    <cellStyle name="Comma 7 3 3 3 5" xfId="11677" xr:uid="{BB5D620E-D2AB-4DF3-8748-27DABA852CCB}"/>
    <cellStyle name="Comma 7 3 3 3 5 2" xfId="38517" xr:uid="{B0CC83B5-81FB-4D01-881C-5D05CE00335D}"/>
    <cellStyle name="Comma 7 3 3 3 6" xfId="39177" xr:uid="{DAF4255F-49D5-4A5C-8905-42BA21A3EE5A}"/>
    <cellStyle name="Comma 7 3 3 3 7" xfId="40340" xr:uid="{6EC5BCCD-18A5-4766-B97D-A1C2E29A99F3}"/>
    <cellStyle name="Comma 7 3 3 3 8" xfId="40982" xr:uid="{082893CD-98C1-46E5-B57D-1F36CFDE81D7}"/>
    <cellStyle name="Comma 7 3 3 3 9" xfId="42194" xr:uid="{1777652F-D679-442F-B955-DE333E58F4A8}"/>
    <cellStyle name="Comma 7 3 3 4" xfId="6546" xr:uid="{035940CE-663A-4C37-8855-B1406DAA5DD5}"/>
    <cellStyle name="Comma 7 3 3 4 10" xfId="14447" xr:uid="{0D3A0C68-4D25-4174-8699-1C81C166596A}"/>
    <cellStyle name="Comma 7 3 3 4 2" xfId="9518" xr:uid="{347628F8-BF5F-4715-8DEF-44C322E7158A}"/>
    <cellStyle name="Comma 7 3 3 4 2 2" xfId="12824" xr:uid="{67FC598F-D0FB-480C-BF2A-A00E6DE03F47}"/>
    <cellStyle name="Comma 7 3 3 4 2 2 2" xfId="47980" xr:uid="{F3C210D7-A23E-4C28-ABE0-9D7B4BA2A6F3}"/>
    <cellStyle name="Comma 7 3 3 4 2 3" xfId="50849" xr:uid="{3E4DCEBA-A053-4A40-8BA8-C8FC3DAD9A28}"/>
    <cellStyle name="Comma 7 3 3 4 2 4" xfId="53615" xr:uid="{DD3AFF46-F8FB-40A9-8CC6-9A00C8F47A23}"/>
    <cellStyle name="Comma 7 3 3 4 2 5" xfId="39345" xr:uid="{50CD2D25-8EA7-4E2C-A96F-1A26D8A0BFDC}"/>
    <cellStyle name="Comma 7 3 3 4 3" xfId="11539" xr:uid="{B1C33FD6-B2C5-4FC8-840D-8916C4CA111A}"/>
    <cellStyle name="Comma 7 3 3 4 3 2" xfId="41203" xr:uid="{9864DE1D-08AC-4EC2-9340-BD85C1BEA9BE}"/>
    <cellStyle name="Comma 7 3 3 4 4" xfId="43022" xr:uid="{FF6AF1F9-529A-497E-81DE-52033CA6E55B}"/>
    <cellStyle name="Comma 7 3 3 4 5" xfId="45123" xr:uid="{A12A83AA-DB5A-4847-9D52-3C9A2FD0A015}"/>
    <cellStyle name="Comma 7 3 3 4 6" xfId="46185" xr:uid="{F49472EA-4147-48ED-AFD9-66C87C2CA8BE}"/>
    <cellStyle name="Comma 7 3 3 4 7" xfId="49521" xr:uid="{AC842FA0-25D3-4D5C-B794-ED3C5615E6D2}"/>
    <cellStyle name="Comma 7 3 3 4 8" xfId="53616" xr:uid="{4EE9063D-5EDD-4F71-BF5E-F2629AB6163E}"/>
    <cellStyle name="Comma 7 3 3 4 9" xfId="20654" xr:uid="{B20147B7-D62E-4882-A559-D344F51F2EDC}"/>
    <cellStyle name="Comma 7 3 3 5" xfId="7520" xr:uid="{1E666236-DD14-4245-BCE2-136A8A7CDDD1}"/>
    <cellStyle name="Comma 7 3 3 5 2" xfId="10012" xr:uid="{333939A6-E8D8-40D2-9DEB-65236DF0350F}"/>
    <cellStyle name="Comma 7 3 3 5 2 2" xfId="13318" xr:uid="{9D530430-B242-42F6-A803-1AA3383ED711}"/>
    <cellStyle name="Comma 7 3 3 5 2 2 2" xfId="51311" xr:uid="{14961650-9D3B-46BC-8FA4-9D28E6266E7E}"/>
    <cellStyle name="Comma 7 3 3 5 2 3" xfId="53617" xr:uid="{06E26335-8619-427E-88D4-0FE599E35311}"/>
    <cellStyle name="Comma 7 3 3 5 2 4" xfId="48525" xr:uid="{DAC5E27E-8125-41F7-81AD-99CF6AEA058E}"/>
    <cellStyle name="Comma 7 3 3 5 3" xfId="12033" xr:uid="{F219F560-D8F9-4CA9-955A-D1FE10E4845B}"/>
    <cellStyle name="Comma 7 3 3 5 3 2" xfId="46964" xr:uid="{75C8DBB1-5A20-4036-A4D0-5A7E165F0C5B}"/>
    <cellStyle name="Comma 7 3 3 5 4" xfId="49983" xr:uid="{C3461916-C2F4-4EAA-8EF5-75E099F48D0F}"/>
    <cellStyle name="Comma 7 3 3 5 5" xfId="53618" xr:uid="{9252F42A-A9B4-4A4F-A074-999090C724C0}"/>
    <cellStyle name="Comma 7 3 3 5 6" xfId="19998" xr:uid="{A3C0F620-375D-4C6F-9F67-AD7802C5A843}"/>
    <cellStyle name="Comma 7 3 3 5 7" xfId="14900" xr:uid="{4C4FFADD-F0A1-4244-BA5E-897581268AEC}"/>
    <cellStyle name="Comma 7 3 3 6" xfId="8186" xr:uid="{D3308F65-D507-4832-86A0-390D6A4372DC}"/>
    <cellStyle name="Comma 7 3 3 6 2" xfId="12642" xr:uid="{E3902AF1-8125-42F5-A049-36E271212DAF}"/>
    <cellStyle name="Comma 7 3 3 6 2 2" xfId="51567" xr:uid="{4CA6593F-33AE-4A6E-B301-549F261DA08C}"/>
    <cellStyle name="Comma 7 3 3 6 2 3" xfId="53619" xr:uid="{13944914-2219-42EC-895A-E02B40E0D9F3}"/>
    <cellStyle name="Comma 7 3 3 6 2 4" xfId="48832" xr:uid="{74758F84-28F3-4EAA-BCC7-224F0A0011E6}"/>
    <cellStyle name="Comma 7 3 3 6 3" xfId="47261" xr:uid="{39F34293-ED56-4544-8E71-E6EFC639A534}"/>
    <cellStyle name="Comma 7 3 3 6 4" xfId="50239" xr:uid="{72D24ED4-0436-4D77-9279-5BCC66C38012}"/>
    <cellStyle name="Comma 7 3 3 6 5" xfId="53620" xr:uid="{95DDEA54-C470-4F2F-B944-3080BCB02BAB}"/>
    <cellStyle name="Comma 7 3 3 6 6" xfId="24018" xr:uid="{0946C0C0-C66E-4869-B6D2-7D40A2807F40}"/>
    <cellStyle name="Comma 7 3 3 7" xfId="7973" xr:uid="{0FC17CED-FC17-4FC5-AB10-A2BA14C43C2B}"/>
    <cellStyle name="Comma 7 3 3 7 2" xfId="12486" xr:uid="{4065E483-BB24-4378-9D1D-0A7D4F47D578}"/>
    <cellStyle name="Comma 7 3 3 7 2 2" xfId="47706" xr:uid="{C8F1D236-6AC1-44A3-A848-4DB24589DB71}"/>
    <cellStyle name="Comma 7 3 3 7 3" xfId="50614" xr:uid="{1468A924-15C1-429F-97CD-E412B7DC175E}"/>
    <cellStyle name="Comma 7 3 3 7 4" xfId="53621" xr:uid="{CA7E4645-9124-4794-B4FB-A3AC2DB504DB}"/>
    <cellStyle name="Comma 7 3 3 7 5" xfId="38515" xr:uid="{E112B8B4-7DA4-4423-B3FC-D8FAD7A892FE}"/>
    <cellStyle name="Comma 7 3 3 8" xfId="5870" xr:uid="{166561E7-91E8-41C0-A7E4-23F4F2DE5839}"/>
    <cellStyle name="Comma 7 3 3 8 2" xfId="38754" xr:uid="{EBE28167-1C42-4951-90C8-242EAD0F02BA}"/>
    <cellStyle name="Comma 7 3 3 9" xfId="11358" xr:uid="{29789D76-E10B-41B7-8CAE-A856010AB6D5}"/>
    <cellStyle name="Comma 7 3 3 9 2" xfId="40338" xr:uid="{F35FD9FC-4F2B-438E-A506-3179C1FF3106}"/>
    <cellStyle name="Comma 7 3 4" xfId="1800" xr:uid="{A2475E5A-28A3-4845-B4EC-5EDB710DEA97}"/>
    <cellStyle name="Comma 7 3 4 10" xfId="42776" xr:uid="{CC30A3B6-7D17-4F95-A269-D554C400FDE6}"/>
    <cellStyle name="Comma 7 3 4 11" xfId="43573" xr:uid="{175D77CE-C369-40EE-87B7-A515312FD30F}"/>
    <cellStyle name="Comma 7 3 4 12" xfId="44436" xr:uid="{596470E3-DAF7-46C4-A7ED-B7C5AC5D1FA1}"/>
    <cellStyle name="Comma 7 3 4 13" xfId="45655" xr:uid="{6342897B-A611-4731-9631-F9E9B33771C9}"/>
    <cellStyle name="Comma 7 3 4 14" xfId="49284" xr:uid="{8CAA906D-FE2F-46EC-86A3-45B898A05A8D}"/>
    <cellStyle name="Comma 7 3 4 15" xfId="53622" xr:uid="{FA311CD4-355E-4142-ACB6-6EF3A3367F74}"/>
    <cellStyle name="Comma 7 3 4 16" xfId="17129" xr:uid="{BF7ADFC1-7083-4AAD-879C-A9A13E08DCCE}"/>
    <cellStyle name="Comma 7 3 4 17" xfId="13956" xr:uid="{B3931FA1-3018-4D78-A2A6-C3E4E336BED6}"/>
    <cellStyle name="Comma 7 3 4 2" xfId="4476" xr:uid="{1E6417DC-C3C5-4EE2-B326-8D7C7312D612}"/>
    <cellStyle name="Comma 7 3 4 2 10" xfId="21124" xr:uid="{22CCCEEE-F237-46DA-9008-320C9BD80E93}"/>
    <cellStyle name="Comma 7 3 4 2 11" xfId="14270" xr:uid="{5CD338D0-E021-4F29-A959-365C87A1A66F}"/>
    <cellStyle name="Comma 7 3 4 2 2" xfId="5733" xr:uid="{60B12988-FA99-4106-8E08-8D1D75F1D8C7}"/>
    <cellStyle name="Comma 7 3 4 2 2 2" xfId="10327" xr:uid="{C52A791B-4782-487B-B76B-B2C96820DEC6}"/>
    <cellStyle name="Comma 7 3 4 2 2 2 2" xfId="13633" xr:uid="{1052963E-A8EE-4559-A4ED-A27AF1CD8D43}"/>
    <cellStyle name="Comma 7 3 4 2 2 2 2 2" xfId="51105" xr:uid="{7AE485D9-CCB1-4396-A69B-FFC577B5BB1B}"/>
    <cellStyle name="Comma 7 3 4 2 2 2 3" xfId="53623" xr:uid="{196EA165-2A60-49B8-BE55-75131E0B5152}"/>
    <cellStyle name="Comma 7 3 4 2 2 2 4" xfId="48287" xr:uid="{535CA228-8C1C-46B0-B8BD-6249487EF9C3}"/>
    <cellStyle name="Comma 7 3 4 2 2 3" xfId="7835" xr:uid="{82F74D14-440A-4B17-8B05-42BFEA8236EB}"/>
    <cellStyle name="Comma 7 3 4 2 2 3 2" xfId="46745" xr:uid="{FD173BE9-042E-4768-892D-A594F10832DF}"/>
    <cellStyle name="Comma 7 3 4 2 2 4" xfId="12348" xr:uid="{6614BB12-7D56-40E2-8694-65A4DF841673}"/>
    <cellStyle name="Comma 7 3 4 2 2 4 2" xfId="49777" xr:uid="{C72FBAF5-D22E-4E18-B41B-0B52477031E6}"/>
    <cellStyle name="Comma 7 3 4 2 2 5" xfId="53624" xr:uid="{667A99C1-A889-4230-824C-5AA6C1394C38}"/>
    <cellStyle name="Comma 7 3 4 2 2 6" xfId="39690" xr:uid="{75514063-2531-4CB0-AFE3-3C4595D408AC}"/>
    <cellStyle name="Comma 7 3 4 2 2 7" xfId="14762" xr:uid="{1B8825C2-3D0B-4C36-99A0-2F58BA076FE2}"/>
    <cellStyle name="Comma 7 3 4 2 3" xfId="11237" xr:uid="{4EC33541-D1DD-4192-A2F5-1D261CC7BE80}"/>
    <cellStyle name="Comma 7 3 4 2 3 2" xfId="13799" xr:uid="{6A50BB6B-623C-481C-9741-49BA45EDFAC0}"/>
    <cellStyle name="Comma 7 3 4 2 3 2 2" xfId="51438" xr:uid="{6150B07A-CADF-434C-92FD-5C018E01F96C}"/>
    <cellStyle name="Comma 7 3 4 2 3 2 3" xfId="53625" xr:uid="{D4202BE1-E9BD-40BD-BE05-D8655ABC0C72}"/>
    <cellStyle name="Comma 7 3 4 2 3 2 4" xfId="48683" xr:uid="{CDBF9CAF-07FE-4AFE-A2EA-85B329AC21CD}"/>
    <cellStyle name="Comma 7 3 4 2 3 3" xfId="47120" xr:uid="{BE6BC90B-ACF9-42F4-9D62-60DAF0D6092A}"/>
    <cellStyle name="Comma 7 3 4 2 3 4" xfId="50110" xr:uid="{591C62EF-1B64-4DEC-8035-49E0CEB701CD}"/>
    <cellStyle name="Comma 7 3 4 2 3 5" xfId="53626" xr:uid="{A07B5252-F0B7-41CB-A66E-166A1BA37ED5}"/>
    <cellStyle name="Comma 7 3 4 2 3 6" xfId="41543" xr:uid="{3D09D7F5-CC17-4120-8039-ED9FAEC48B9B}"/>
    <cellStyle name="Comma 7 3 4 2 3 7" xfId="15077" xr:uid="{C8577000-5AF8-4864-8311-51EEF2A28F9E}"/>
    <cellStyle name="Comma 7 3 4 2 4" xfId="9833" xr:uid="{BFC768AF-9486-4263-93A3-B93918F9E590}"/>
    <cellStyle name="Comma 7 3 4 2 4 2" xfId="13139" xr:uid="{D70EA9A3-343C-4EA7-B549-CB39C9F3E196}"/>
    <cellStyle name="Comma 7 3 4 2 4 2 2" xfId="51823" xr:uid="{9DDA9832-09D0-4417-8150-BAADE63FFB86}"/>
    <cellStyle name="Comma 7 3 4 2 4 2 3" xfId="53627" xr:uid="{E68DB6F0-F654-40B6-917A-F8D11D45F736}"/>
    <cellStyle name="Comma 7 3 4 2 4 2 4" xfId="49143" xr:uid="{B98819B8-CFDD-47B8-A919-983BC947A583}"/>
    <cellStyle name="Comma 7 3 4 2 4 3" xfId="47560" xr:uid="{8B02C52E-7B59-4FE0-A12B-1BF4FE1AF3F8}"/>
    <cellStyle name="Comma 7 3 4 2 4 4" xfId="50495" xr:uid="{97F2C3BE-6540-4602-8156-8D6D0DE9009B}"/>
    <cellStyle name="Comma 7 3 4 2 4 5" xfId="53628" xr:uid="{1BE5620F-CCD1-42CE-BABE-F5D4A66A6CAC}"/>
    <cellStyle name="Comma 7 3 4 2 4 6" xfId="43367" xr:uid="{EEF59052-23C9-45C0-BBB9-FF79CB416937}"/>
    <cellStyle name="Comma 7 3 4 2 5" xfId="7331" xr:uid="{DD456663-FC0F-447B-A7E8-B9F56B304A21}"/>
    <cellStyle name="Comma 7 3 4 2 5 2" xfId="47842" xr:uid="{93B45BA7-EBA3-47D2-8E31-A3EFCADBE2EF}"/>
    <cellStyle name="Comma 7 3 4 2 5 3" xfId="50730" xr:uid="{EE82B8BE-7B2E-4F15-8D7A-C6FFDAB55974}"/>
    <cellStyle name="Comma 7 3 4 2 5 4" xfId="53629" xr:uid="{C7143AAA-9BF3-478C-95B8-D0E837F1E07E}"/>
    <cellStyle name="Comma 7 3 4 2 5 5" xfId="44277" xr:uid="{4CE57D63-874E-4E84-8118-20B720E74F45}"/>
    <cellStyle name="Comma 7 3 4 2 6" xfId="11854" xr:uid="{42D04169-E823-4C81-96C3-0812A81CB261}"/>
    <cellStyle name="Comma 7 3 4 2 6 2" xfId="44577" xr:uid="{D3D79AB5-7635-4483-BB8F-85E43BB000D1}"/>
    <cellStyle name="Comma 7 3 4 2 7" xfId="45774" xr:uid="{1D22A718-8659-4846-A292-B9CA2B04A713}"/>
    <cellStyle name="Comma 7 3 4 2 8" xfId="49402" xr:uid="{C1293211-D2A8-4A74-998C-947B7E07EF41}"/>
    <cellStyle name="Comma 7 3 4 2 9" xfId="53630" xr:uid="{288A20A4-0EA2-40D9-A447-AA5B367AE973}"/>
    <cellStyle name="Comma 7 3 4 3" xfId="5557" xr:uid="{0D124EFE-3426-4381-BF2A-85DB0A915552}"/>
    <cellStyle name="Comma 7 3 4 3 2" xfId="7659" xr:uid="{06BFC5B9-3E12-40E0-9E23-E82FDDF681DE}"/>
    <cellStyle name="Comma 7 3 4 3 2 2" xfId="10151" xr:uid="{2469572A-BDB2-4B3B-9B69-F9083BEBC0CF}"/>
    <cellStyle name="Comma 7 3 4 3 2 2 2" xfId="13457" xr:uid="{2AF10DD3-6E2A-4B76-857B-EA7EEC561E59}"/>
    <cellStyle name="Comma 7 3 4 3 2 2 2 2" xfId="51683" xr:uid="{18576140-5A2D-41CD-8B9F-22F81DB72932}"/>
    <cellStyle name="Comma 7 3 4 3 2 2 3" xfId="53631" xr:uid="{017C9FDA-AE96-4BEF-BA58-94B700FDE482}"/>
    <cellStyle name="Comma 7 3 4 3 2 2 4" xfId="48971" xr:uid="{1615EFF1-9367-429F-A60E-8550A1FF331F}"/>
    <cellStyle name="Comma 7 3 4 3 2 3" xfId="12172" xr:uid="{CB001A7C-D56A-4CE7-BBA4-F03A6DBEEE9A}"/>
    <cellStyle name="Comma 7 3 4 3 2 3 2" xfId="47395" xr:uid="{AB06E61D-54AD-49C1-BE6B-3FE4A147610A}"/>
    <cellStyle name="Comma 7 3 4 3 2 4" xfId="50355" xr:uid="{23A20180-94D3-4FBF-A87C-D90361049E24}"/>
    <cellStyle name="Comma 7 3 4 3 2 5" xfId="53632" xr:uid="{EB889ED7-06AC-4731-AF65-01E5C327929F}"/>
    <cellStyle name="Comma 7 3 4 3 2 6" xfId="43846" xr:uid="{46E5D644-AEDA-43E3-A84B-92066A823A2A}"/>
    <cellStyle name="Comma 7 3 4 3 2 7" xfId="14586" xr:uid="{E02C7094-E4C2-4578-9AA7-03240A0CEA8C}"/>
    <cellStyle name="Comma 7 3 4 3 3" xfId="9657" xr:uid="{2AEE7317-B545-4007-B9CC-E850C2D88F36}"/>
    <cellStyle name="Comma 7 3 4 3 3 2" xfId="12963" xr:uid="{3CC7CF9E-7F1B-4132-811E-1A6598B62AF5}"/>
    <cellStyle name="Comma 7 3 4 3 3 2 2" xfId="50965" xr:uid="{6D7D8A90-3FAA-4252-8E37-DA6973AC4316}"/>
    <cellStyle name="Comma 7 3 4 3 3 3" xfId="53633" xr:uid="{B81FE137-76D4-4C3C-A5BD-3B1A28DC293C}"/>
    <cellStyle name="Comma 7 3 4 3 3 4" xfId="48116" xr:uid="{5DEEC26D-37C0-4B90-BF4F-123297E0D684}"/>
    <cellStyle name="Comma 7 3 4 3 4" xfId="7153" xr:uid="{5409122E-C227-4B4F-A0C8-709CCA43984F}"/>
    <cellStyle name="Comma 7 3 4 3 4 2" xfId="46604" xr:uid="{54BA3C31-97CC-487C-A113-25D9D709DD6C}"/>
    <cellStyle name="Comma 7 3 4 3 5" xfId="11678" xr:uid="{027BEB2A-8E4D-4F39-A843-99462A7C487C}"/>
    <cellStyle name="Comma 7 3 4 3 5 2" xfId="49637" xr:uid="{AE7FBCA3-F134-4F28-9B90-C0DCAD4B67B8}"/>
    <cellStyle name="Comma 7 3 4 3 6" xfId="53634" xr:uid="{DF1AA59D-1DFE-4E0D-982E-AFABABAA863E}"/>
    <cellStyle name="Comma 7 3 4 3 7" xfId="20343" xr:uid="{A38FC3EC-992F-407B-80CF-C2DDAFB88E70}"/>
    <cellStyle name="Comma 7 3 4 3 8" xfId="14094" xr:uid="{C3A931FA-5F13-4356-9264-58236F699C2A}"/>
    <cellStyle name="Comma 7 3 4 4" xfId="6547" xr:uid="{F4F24A30-2E29-46FC-B640-D088A0E9FD18}"/>
    <cellStyle name="Comma 7 3 4 4 2" xfId="9519" xr:uid="{E884979A-1741-47D2-B87E-CB75661977BA}"/>
    <cellStyle name="Comma 7 3 4 4 2 2" xfId="12825" xr:uid="{6821FC27-DF8D-422C-9DC9-9123B8252C5F}"/>
    <cellStyle name="Comma 7 3 4 4 2 2 2" xfId="50850" xr:uid="{6CB48FBB-04EC-4D27-AEBD-687C1995EDA4}"/>
    <cellStyle name="Comma 7 3 4 4 2 3" xfId="53635" xr:uid="{46A8FA48-59BB-41E9-B2FA-B719F47ADACB}"/>
    <cellStyle name="Comma 7 3 4 4 2 4" xfId="47981" xr:uid="{57BD27D8-4777-43B7-AD55-E07E5593FAB9}"/>
    <cellStyle name="Comma 7 3 4 4 3" xfId="11540" xr:uid="{A0AC2F2D-2706-4544-AF2A-895DDEEA29A2}"/>
    <cellStyle name="Comma 7 3 4 4 3 2" xfId="46186" xr:uid="{3FE420BB-1A9F-40B1-9523-E2805D8762A6}"/>
    <cellStyle name="Comma 7 3 4 4 4" xfId="49522" xr:uid="{5643B93D-EEBB-4C19-9D38-ACCD8C19E593}"/>
    <cellStyle name="Comma 7 3 4 4 5" xfId="53636" xr:uid="{1A39BD26-C95C-40E8-BBBA-32D46333D24E}"/>
    <cellStyle name="Comma 7 3 4 4 6" xfId="24021" xr:uid="{D31D8B36-5642-4469-B854-192CD5C2586A}"/>
    <cellStyle name="Comma 7 3 4 4 7" xfId="14448" xr:uid="{40BF8B6E-9C24-4F0E-B1EC-8504864B1C75}"/>
    <cellStyle name="Comma 7 3 4 5" xfId="7521" xr:uid="{D12C2C69-8DE4-45DE-9148-AF8B434A4263}"/>
    <cellStyle name="Comma 7 3 4 5 2" xfId="10013" xr:uid="{61D1025D-EEF5-4B1C-BB13-935A5F2EECD2}"/>
    <cellStyle name="Comma 7 3 4 5 2 2" xfId="13319" xr:uid="{889A9286-3F9A-4291-97A4-3B0A1D1FB2EA}"/>
    <cellStyle name="Comma 7 3 4 5 2 2 2" xfId="51312" xr:uid="{6421E40F-182D-4AF3-90A3-351FF550BB81}"/>
    <cellStyle name="Comma 7 3 4 5 2 3" xfId="53637" xr:uid="{5807FD00-5449-4F36-8498-5A1F118C28FB}"/>
    <cellStyle name="Comma 7 3 4 5 2 4" xfId="48526" xr:uid="{56136639-EAFD-4AB2-BAD3-E7B03A4FCD10}"/>
    <cellStyle name="Comma 7 3 4 5 3" xfId="12034" xr:uid="{87F97F6D-22E9-47A9-B4E3-CE0DEF2A79F6}"/>
    <cellStyle name="Comma 7 3 4 5 3 2" xfId="46965" xr:uid="{66B09441-4276-4A17-9BCC-84641E58364A}"/>
    <cellStyle name="Comma 7 3 4 5 4" xfId="49984" xr:uid="{EADBD47D-8DBD-4600-8FBD-1AE4A8BAD071}"/>
    <cellStyle name="Comma 7 3 4 5 5" xfId="53638" xr:uid="{4BC961BB-9A86-4FEC-BFFF-811B83B5DEF7}"/>
    <cellStyle name="Comma 7 3 4 5 6" xfId="38518" xr:uid="{EF4595FB-30C3-4B54-8BA2-85E6912F1F3C}"/>
    <cellStyle name="Comma 7 3 4 5 7" xfId="14901" xr:uid="{8AA79961-3D84-4973-A37F-B21673574A77}"/>
    <cellStyle name="Comma 7 3 4 6" xfId="8187" xr:uid="{5900CEDC-270C-41A6-92EB-171AEDF0071E}"/>
    <cellStyle name="Comma 7 3 4 6 2" xfId="12643" xr:uid="{2BCDD729-1FEC-4357-9943-990CF448B69F}"/>
    <cellStyle name="Comma 7 3 4 6 2 2" xfId="51568" xr:uid="{FF396131-F513-4E6B-BA02-D7CC74717A1C}"/>
    <cellStyle name="Comma 7 3 4 6 2 3" xfId="53639" xr:uid="{C3F69B36-65CB-4271-B349-377DEB6415C5}"/>
    <cellStyle name="Comma 7 3 4 6 2 4" xfId="48833" xr:uid="{03B4DB7E-B7AC-46D9-936D-34D195878491}"/>
    <cellStyle name="Comma 7 3 4 6 3" xfId="47262" xr:uid="{CA16260F-C712-4981-AAEF-879CEC33432A}"/>
    <cellStyle name="Comma 7 3 4 6 4" xfId="50240" xr:uid="{049D4D84-8784-473A-8F3A-340D49A24EB3}"/>
    <cellStyle name="Comma 7 3 4 6 5" xfId="53640" xr:uid="{A623C647-E0F1-4285-BC2B-EBB54D757DA8}"/>
    <cellStyle name="Comma 7 3 4 6 6" xfId="39099" xr:uid="{3360541E-2447-4275-9B7F-CC558E051E47}"/>
    <cellStyle name="Comma 7 3 4 7" xfId="7974" xr:uid="{E3474134-1230-4F3B-A48E-7664780A43A9}"/>
    <cellStyle name="Comma 7 3 4 7 2" xfId="12487" xr:uid="{CABECEA1-64D2-4A04-8890-C448F39D7479}"/>
    <cellStyle name="Comma 7 3 4 7 2 2" xfId="47704" xr:uid="{61A3DE23-9CB6-4170-A4EC-9B47AB2D3D3D}"/>
    <cellStyle name="Comma 7 3 4 7 3" xfId="50612" xr:uid="{1A31C6E0-F245-438E-A5EB-BEFCD7C58226}"/>
    <cellStyle name="Comma 7 3 4 7 4" xfId="53641" xr:uid="{B43DAFD4-414F-4115-AD21-A42CE22ECDF7}"/>
    <cellStyle name="Comma 7 3 4 7 5" xfId="40341" xr:uid="{72ED5D42-1431-4ED1-AC95-547F82D4AD5B}"/>
    <cellStyle name="Comma 7 3 4 8" xfId="5871" xr:uid="{0E862929-09DB-4DA4-B8A7-8A0D8CBAD98E}"/>
    <cellStyle name="Comma 7 3 4 8 2" xfId="40983" xr:uid="{2AF65DEA-7836-4529-9855-87444416C360}"/>
    <cellStyle name="Comma 7 3 4 9" xfId="11359" xr:uid="{55BA874C-E908-4768-94E3-E3C815EBC841}"/>
    <cellStyle name="Comma 7 3 4 9 2" xfId="42195" xr:uid="{E1888EB6-F773-4D7F-9DB0-756E428ADB40}"/>
    <cellStyle name="Comma 7 3 5" xfId="4472" xr:uid="{B724404E-9558-4631-819F-4F582CDAB1EF}"/>
    <cellStyle name="Comma 7 3 5 10" xfId="42852" xr:uid="{7B1CBB71-191E-48C5-990F-050F9E723D4B}"/>
    <cellStyle name="Comma 7 3 5 11" xfId="43569" xr:uid="{DB022434-1171-4DE9-8D3D-574CC05068B0}"/>
    <cellStyle name="Comma 7 3 5 12" xfId="44573" xr:uid="{791CCAA4-39FB-426A-AE41-7556CE1C994F}"/>
    <cellStyle name="Comma 7 3 5 13" xfId="45729" xr:uid="{436068C5-E1B5-45F0-9B56-310A5A011D5A}"/>
    <cellStyle name="Comma 7 3 5 14" xfId="49357" xr:uid="{59FCF584-8C57-48D7-9095-9924DB7ABC6B}"/>
    <cellStyle name="Comma 7 3 5 15" xfId="53642" xr:uid="{1D59225D-927B-4FCC-BAD6-53EE0FE165E9}"/>
    <cellStyle name="Comma 7 3 5 16" xfId="19758" xr:uid="{0B6B2CFD-6B7D-4B61-9F7B-389A4BA37325}"/>
    <cellStyle name="Comma 7 3 5 17" xfId="13952" xr:uid="{31A15534-F4CA-4AEB-8071-523F8CBFC978}"/>
    <cellStyle name="Comma 7 3 5 2" xfId="5729" xr:uid="{6AAF7BBE-AF50-4CFF-9021-A2C790A9E286}"/>
    <cellStyle name="Comma 7 3 5 2 10" xfId="23375" xr:uid="{6A863939-B3CF-444B-BB15-D50D7926B048}"/>
    <cellStyle name="Comma 7 3 5 2 11" xfId="14266" xr:uid="{310C0B35-C8F3-4A94-9F1E-318027E4A14E}"/>
    <cellStyle name="Comma 7 3 5 2 2" xfId="7831" xr:uid="{58EA6CF4-0AF1-4A69-8AB6-44570437063A}"/>
    <cellStyle name="Comma 7 3 5 2 2 2" xfId="10323" xr:uid="{F946F917-0F1D-4047-94F9-9916822607BD}"/>
    <cellStyle name="Comma 7 3 5 2 2 2 2" xfId="13629" xr:uid="{9C793705-DB9B-4054-8853-FBFA98298CF4}"/>
    <cellStyle name="Comma 7 3 5 2 2 2 2 2" xfId="51819" xr:uid="{6B9A44A1-8A0C-4841-B500-1F46EDF8A34A}"/>
    <cellStyle name="Comma 7 3 5 2 2 2 3" xfId="53643" xr:uid="{94C355BF-1493-4531-A3B0-809E93245A48}"/>
    <cellStyle name="Comma 7 3 5 2 2 2 4" xfId="49139" xr:uid="{7A7009DD-FC4D-440C-9364-73FF09D0FB73}"/>
    <cellStyle name="Comma 7 3 5 2 2 3" xfId="12344" xr:uid="{68AF98A0-D750-4DD0-A74D-FDA88CE5350D}"/>
    <cellStyle name="Comma 7 3 5 2 2 3 2" xfId="47556" xr:uid="{AAB37889-F361-476D-9AF1-9F9CE85CD22C}"/>
    <cellStyle name="Comma 7 3 5 2 2 4" xfId="50491" xr:uid="{A326A32B-83B6-47B1-8E5A-DF68B128AF2B}"/>
    <cellStyle name="Comma 7 3 5 2 2 5" xfId="53644" xr:uid="{A68C35B0-ED6A-4057-A071-FAA3D754EDA6}"/>
    <cellStyle name="Comma 7 3 5 2 2 6" xfId="39766" xr:uid="{296F1AB8-D60B-4BDF-BF8E-A4F8244EADF6}"/>
    <cellStyle name="Comma 7 3 5 2 2 7" xfId="14758" xr:uid="{322F37D6-0464-480F-A302-4F3C5217DAE1}"/>
    <cellStyle name="Comma 7 3 5 2 3" xfId="9829" xr:uid="{FED0BF4A-DC21-479C-8D74-E2CABE2F19D4}"/>
    <cellStyle name="Comma 7 3 5 2 3 2" xfId="13135" xr:uid="{09EA58F9-8084-4D70-9FC9-748116B711FB}"/>
    <cellStyle name="Comma 7 3 5 2 3 2 2" xfId="48283" xr:uid="{6B9F88B9-9027-4216-89BF-778D1EDA2FF7}"/>
    <cellStyle name="Comma 7 3 5 2 3 3" xfId="51101" xr:uid="{EE809A26-BD2C-4EA7-A2D8-C0E3B8DA9B07}"/>
    <cellStyle name="Comma 7 3 5 2 3 4" xfId="53645" xr:uid="{CB2E31EE-950E-4AF9-AAB6-FA34E7D74A39}"/>
    <cellStyle name="Comma 7 3 5 2 3 5" xfId="41619" xr:uid="{B5446C02-F30B-4319-8433-0CBFE6D02422}"/>
    <cellStyle name="Comma 7 3 5 2 4" xfId="7327" xr:uid="{C6F3993F-224C-461F-92C0-788EDE9AF579}"/>
    <cellStyle name="Comma 7 3 5 2 4 2" xfId="43443" xr:uid="{E2FC5A3A-EDBA-4E65-80FB-6CA38CB4CDCA}"/>
    <cellStyle name="Comma 7 3 5 2 5" xfId="11850" xr:uid="{8FB0EB6F-D4CB-4F88-9C39-67212175D3DD}"/>
    <cellStyle name="Comma 7 3 5 2 5 2" xfId="44273" xr:uid="{1BC95020-30C1-4291-A815-0565C103854F}"/>
    <cellStyle name="Comma 7 3 5 2 6" xfId="45521" xr:uid="{10DB9753-917E-4960-B787-86D3EA366BBF}"/>
    <cellStyle name="Comma 7 3 5 2 7" xfId="46741" xr:uid="{DBD57C8F-9F86-4D4F-BB52-C3CB8BD2AFDB}"/>
    <cellStyle name="Comma 7 3 5 2 8" xfId="49773" xr:uid="{86F856EF-9C06-421E-9271-FC41885902F8}"/>
    <cellStyle name="Comma 7 3 5 2 9" xfId="53646" xr:uid="{83525F16-B3CF-485A-8720-25089BC2CD9A}"/>
    <cellStyle name="Comma 7 3 5 3" xfId="7517" xr:uid="{34876500-5AE9-4F06-AEEC-E94AAA1D0D34}"/>
    <cellStyle name="Comma 7 3 5 3 2" xfId="10009" xr:uid="{444A9384-C490-4417-BFF4-37ED2F2667EC}"/>
    <cellStyle name="Comma 7 3 5 3 2 2" xfId="13315" xr:uid="{F74A8563-423B-464F-B772-C6ED7610208B}"/>
    <cellStyle name="Comma 7 3 5 3 2 2 2" xfId="50846" xr:uid="{5014DF8F-2CCC-4726-88CE-8BE9D8058261}"/>
    <cellStyle name="Comma 7 3 5 3 2 3" xfId="53647" xr:uid="{4B203CCC-43E0-4CB5-950D-4E930490E82E}"/>
    <cellStyle name="Comma 7 3 5 3 2 4" xfId="47977" xr:uid="{C3FB160E-D629-42B7-8BEE-AF28C7B6A231}"/>
    <cellStyle name="Comma 7 3 5 3 3" xfId="12030" xr:uid="{5C072DB9-184D-4F6F-AAC9-71676765CAA0}"/>
    <cellStyle name="Comma 7 3 5 3 3 2" xfId="46182" xr:uid="{33FF8210-C039-48B6-95C0-4622F7660CC3}"/>
    <cellStyle name="Comma 7 3 5 3 4" xfId="49518" xr:uid="{68273BBC-52F9-400B-BE1E-FDA703C04EF5}"/>
    <cellStyle name="Comma 7 3 5 3 5" xfId="53648" xr:uid="{8D61BCE3-2CAE-4125-8CC4-3D7D85D8EF01}"/>
    <cellStyle name="Comma 7 3 5 3 6" xfId="20419" xr:uid="{A0F85945-F2F8-4633-92CE-0807700E6529}"/>
    <cellStyle name="Comma 7 3 5 3 7" xfId="14444" xr:uid="{B57DA8C4-F304-49D0-B088-E20326B1E341}"/>
    <cellStyle name="Comma 7 3 5 4" xfId="11161" xr:uid="{C617C0F8-9BE1-4652-A271-1C9958FF47C6}"/>
    <cellStyle name="Comma 7 3 5 4 2" xfId="13756" xr:uid="{E62497D7-E4DB-499A-9750-774EBA708DB5}"/>
    <cellStyle name="Comma 7 3 5 4 2 2" xfId="51308" xr:uid="{E71C7641-8C5F-4379-B940-65192BCA0D39}"/>
    <cellStyle name="Comma 7 3 5 4 2 3" xfId="53649" xr:uid="{E8FA771D-B226-4411-8698-7C4C8CAF8903}"/>
    <cellStyle name="Comma 7 3 5 4 2 4" xfId="48522" xr:uid="{20B805EF-97FA-4E1E-B2BD-53EA6810657E}"/>
    <cellStyle name="Comma 7 3 5 4 3" xfId="46961" xr:uid="{09161384-7B8B-4877-8867-F1D6CDD4709D}"/>
    <cellStyle name="Comma 7 3 5 4 4" xfId="49980" xr:uid="{743680C5-2286-4C4B-B602-95137712D04B}"/>
    <cellStyle name="Comma 7 3 5 4 5" xfId="53650" xr:uid="{4F4E2977-2AA9-4CC2-849C-EF4292ABCEBD}"/>
    <cellStyle name="Comma 7 3 5 4 6" xfId="24022" xr:uid="{4F29EEED-14B9-4514-8444-7798FF216CD4}"/>
    <cellStyle name="Comma 7 3 5 4 7" xfId="15073" xr:uid="{36BA7EC0-3E1F-44CD-BE29-22FB59EA61F1}"/>
    <cellStyle name="Comma 7 3 5 5" xfId="9515" xr:uid="{BE6B985C-2C97-4ED1-BB0B-45592A669F33}"/>
    <cellStyle name="Comma 7 3 5 5 2" xfId="12821" xr:uid="{2BA8CC7F-A092-49C0-BB5F-55DC65E238E3}"/>
    <cellStyle name="Comma 7 3 5 5 2 2" xfId="51564" xr:uid="{8ACC74A1-865E-43E4-A74C-18E7AC0FAFA0}"/>
    <cellStyle name="Comma 7 3 5 5 2 3" xfId="53651" xr:uid="{9516C598-8946-48E8-9D29-C875575C29E7}"/>
    <cellStyle name="Comma 7 3 5 5 2 4" xfId="48829" xr:uid="{66BEEDC2-6DEF-4651-B988-16B9D5BFF0AB}"/>
    <cellStyle name="Comma 7 3 5 5 3" xfId="47258" xr:uid="{C0D69656-BD43-4EB2-9CD7-E704BA3E47D9}"/>
    <cellStyle name="Comma 7 3 5 5 4" xfId="50236" xr:uid="{FD9AC156-DAF8-494E-B026-AF90F897583C}"/>
    <cellStyle name="Comma 7 3 5 5 5" xfId="53652" xr:uid="{9C5106D0-8690-475E-AC94-869E7325BAEC}"/>
    <cellStyle name="Comma 7 3 5 5 6" xfId="38519" xr:uid="{6CEED564-9E7F-45A7-808A-147AD16D0AD1}"/>
    <cellStyle name="Comma 7 3 5 6" xfId="6543" xr:uid="{712A9F10-20AD-4568-B029-CA03D20EEC5E}"/>
    <cellStyle name="Comma 7 3 5 6 2" xfId="47786" xr:uid="{4CBD8EDC-470B-4358-BFD8-0D3F369D4D6F}"/>
    <cellStyle name="Comma 7 3 5 6 3" xfId="50685" xr:uid="{E98209B8-18F6-44C7-92C7-60444D5B404D}"/>
    <cellStyle name="Comma 7 3 5 6 4" xfId="53653" xr:uid="{F9A51AA7-3E34-4A67-A140-BE83EBE24096}"/>
    <cellStyle name="Comma 7 3 5 6 5" xfId="39175" xr:uid="{1FE2F280-11D8-41DF-A410-7994204A32C4}"/>
    <cellStyle name="Comma 7 3 5 7" xfId="11536" xr:uid="{2F863A8D-0057-4770-AA0E-10D291680F6D}"/>
    <cellStyle name="Comma 7 3 5 7 2" xfId="40342" xr:uid="{59E62449-61B6-4AD0-9539-E8D3BF92D41E}"/>
    <cellStyle name="Comma 7 3 5 8" xfId="40984" xr:uid="{5BE93E4A-E84E-440D-AA76-CF425411EFFC}"/>
    <cellStyle name="Comma 7 3 5 9" xfId="42196" xr:uid="{C9A6D262-6FFD-4AFF-8EBA-BCBE715BF9A4}"/>
    <cellStyle name="Comma 7 3 6" xfId="3894" xr:uid="{0CAE2F06-EF8C-4223-ABF6-3FD5FA668A2F}"/>
    <cellStyle name="Comma 7 3 6 10" xfId="44492" xr:uid="{81EED40F-073B-47F1-9541-81BC48A8254C}"/>
    <cellStyle name="Comma 7 3 6 11" xfId="46659" xr:uid="{B758C8D2-075F-4888-B0C8-03C609A924F9}"/>
    <cellStyle name="Comma 7 3 6 12" xfId="49692" xr:uid="{A4DD2E70-FABB-412E-A4AE-E061D6857C15}"/>
    <cellStyle name="Comma 7 3 6 13" xfId="53654" xr:uid="{E9F27362-F6B4-439B-B022-6B6738199B5A}"/>
    <cellStyle name="Comma 7 3 6 14" xfId="20638" xr:uid="{CA2862D5-B639-47FD-944D-53D556081431}"/>
    <cellStyle name="Comma 7 3 6 15" xfId="14173" xr:uid="{AD4556C9-7923-42ED-BA61-4EC79ADCD054}"/>
    <cellStyle name="Comma 7 3 6 2" xfId="5636" xr:uid="{CD1F54E8-2EDA-4D1E-B256-8CCC6E486B76}"/>
    <cellStyle name="Comma 7 3 6 2 2" xfId="10230" xr:uid="{DDB174E4-D012-4BEC-A020-DC68679EF6FD}"/>
    <cellStyle name="Comma 7 3 6 2 2 2" xfId="13536" xr:uid="{4D29C98B-4EA3-47AA-AA57-72555A54D0EE}"/>
    <cellStyle name="Comma 7 3 6 2 2 2 2" xfId="51227" xr:uid="{B117F17C-B5F8-4C6D-8737-73814575D957}"/>
    <cellStyle name="Comma 7 3 6 2 2 3" xfId="53655" xr:uid="{6F286001-53C1-42B9-ABF8-541AA76B310B}"/>
    <cellStyle name="Comma 7 3 6 2 2 4" xfId="48433" xr:uid="{339DFECB-3EB2-4A0C-AD6D-C0ACF6A67DC7}"/>
    <cellStyle name="Comma 7 3 6 2 3" xfId="7738" xr:uid="{9BF44BF2-7B8C-4504-91EB-D0414315F578}"/>
    <cellStyle name="Comma 7 3 6 2 3 2" xfId="46877" xr:uid="{61AC8A3F-EA6B-4121-99DC-DDD7053EA52A}"/>
    <cellStyle name="Comma 7 3 6 2 4" xfId="12251" xr:uid="{8B37453C-14CB-4FF8-8828-DB054B455883}"/>
    <cellStyle name="Comma 7 3 6 2 4 2" xfId="49899" xr:uid="{2B6CEACD-5C77-43A4-952D-E704805B70BA}"/>
    <cellStyle name="Comma 7 3 6 2 5" xfId="53656" xr:uid="{737637B2-3E01-4951-9AEE-6D4D040C5F28}"/>
    <cellStyle name="Comma 7 3 6 2 6" xfId="24023" xr:uid="{D58E1A3A-1A14-42DB-A166-7EC5A52FBCC0}"/>
    <cellStyle name="Comma 7 3 6 2 7" xfId="14665" xr:uid="{6D878F3D-549C-444E-95D5-94D173CFD9CD}"/>
    <cellStyle name="Comma 7 3 6 3" xfId="9736" xr:uid="{D9D7F302-69DB-46BB-9298-3B77A6AE108A}"/>
    <cellStyle name="Comma 7 3 6 3 2" xfId="13042" xr:uid="{32CC833D-DA64-40F9-B7AF-83DCDB2469BB}"/>
    <cellStyle name="Comma 7 3 6 3 2 2" xfId="51738" xr:uid="{1D21647D-8882-46F9-AEB8-8985F67BCFED}"/>
    <cellStyle name="Comma 7 3 6 3 2 3" xfId="53657" xr:uid="{727BDCD5-381E-4563-BDF8-FC0D9EA9C954}"/>
    <cellStyle name="Comma 7 3 6 3 2 4" xfId="49048" xr:uid="{1E039DAC-353B-4182-8ED0-0BA77DBE2EAB}"/>
    <cellStyle name="Comma 7 3 6 3 3" xfId="47467" xr:uid="{4084A618-EF17-4FD2-BE1B-C91B82763EDF}"/>
    <cellStyle name="Comma 7 3 6 3 4" xfId="50410" xr:uid="{E3BE5819-3583-423D-8D93-C0885534E068}"/>
    <cellStyle name="Comma 7 3 6 3 5" xfId="53658" xr:uid="{2033696D-34DF-456C-AA25-24057AA6B38D}"/>
    <cellStyle name="Comma 7 3 6 3 6" xfId="38520" xr:uid="{BE439E86-14FD-4234-B70F-EA7AC9A8B59A}"/>
    <cellStyle name="Comma 7 3 6 3 7" xfId="14980" xr:uid="{53D11DB7-5B65-4AB8-B24B-B3C11E176ED4}"/>
    <cellStyle name="Comma 7 3 6 4" xfId="7232" xr:uid="{7CB954ED-9B3C-401A-88A3-D285BCDDBA7D}"/>
    <cellStyle name="Comma 7 3 6 4 2" xfId="48193" xr:uid="{14CF8B83-25E0-49AA-82F8-594925C80FB6}"/>
    <cellStyle name="Comma 7 3 6 4 3" xfId="51020" xr:uid="{69F3E07D-C5BD-4C02-8C65-74B8D6CC4926}"/>
    <cellStyle name="Comma 7 3 6 4 4" xfId="53659" xr:uid="{149B470D-3ED0-4263-B8FC-0C47A0BD4B99}"/>
    <cellStyle name="Comma 7 3 6 4 5" xfId="39332" xr:uid="{27FFECEB-6DD6-47D8-8163-8DF5E14890A5}"/>
    <cellStyle name="Comma 7 3 6 5" xfId="11757" xr:uid="{F20B310D-6EAB-4264-BE4E-66B1DD0AABFD}"/>
    <cellStyle name="Comma 7 3 6 5 2" xfId="40343" xr:uid="{FD7CCD33-17F3-4505-A15D-D4965B021B10}"/>
    <cellStyle name="Comma 7 3 6 6" xfId="40985" xr:uid="{83B97B1D-7965-4CEE-A9E0-5572787BDB96}"/>
    <cellStyle name="Comma 7 3 6 7" xfId="42197" xr:uid="{74BE2321-7415-400E-941C-7D82439C26D0}"/>
    <cellStyle name="Comma 7 3 6 8" xfId="43009" xr:uid="{A89AD98F-0C85-4E84-8EB8-9B5FD5399F31}"/>
    <cellStyle name="Comma 7 3 6 9" xfId="43905" xr:uid="{96EA6624-6384-455A-82F7-3B693B8A148C}"/>
    <cellStyle name="Comma 7 3 7" xfId="5553" xr:uid="{51DA486E-6A02-4F32-A29C-C282E26C49C4}"/>
    <cellStyle name="Comma 7 3 7 2" xfId="7655" xr:uid="{7292EDCF-3193-4C1A-8093-D5A3D6CE8650}"/>
    <cellStyle name="Comma 7 3 7 2 2" xfId="10147" xr:uid="{A78BBB08-8211-4D24-8D79-8A044F209C8A}"/>
    <cellStyle name="Comma 7 3 7 2 2 2" xfId="13453" xr:uid="{7216E62E-0023-489B-868E-5269AA6BFBE7}"/>
    <cellStyle name="Comma 7 3 7 2 2 2 2" xfId="51404" xr:uid="{9F86244C-D5A4-4CDF-8CAF-C55FE1563EB1}"/>
    <cellStyle name="Comma 7 3 7 2 2 3" xfId="53660" xr:uid="{B5F750B9-2D59-46D1-86C7-F2F4B78D4F33}"/>
    <cellStyle name="Comma 7 3 7 2 2 4" xfId="48641" xr:uid="{2BAAC0C9-59C3-44D9-90C3-9F27E285A141}"/>
    <cellStyle name="Comma 7 3 7 2 3" xfId="12168" xr:uid="{3BE37F59-B78D-4075-BDD6-749CBDE6E0EE}"/>
    <cellStyle name="Comma 7 3 7 2 3 2" xfId="47075" xr:uid="{89C6F87E-DB70-4B88-9C79-D76E3DDEEC01}"/>
    <cellStyle name="Comma 7 3 7 2 4" xfId="50076" xr:uid="{5EDC4CA8-1B75-4D46-8257-0246E0175BE9}"/>
    <cellStyle name="Comma 7 3 7 2 5" xfId="53661" xr:uid="{5BBD42AC-94A3-4FA0-8B91-CC082575BAED}"/>
    <cellStyle name="Comma 7 3 7 2 6" xfId="43842" xr:uid="{BAF183AA-75EF-4EF6-8E49-67F8C32B023A}"/>
    <cellStyle name="Comma 7 3 7 2 7" xfId="14582" xr:uid="{DAFB9FF0-0DDD-405F-89FE-E335D24D55B8}"/>
    <cellStyle name="Comma 7 3 7 3" xfId="9653" xr:uid="{D6F6A4B8-D6C9-41AC-A68B-07F21A9CF331}"/>
    <cellStyle name="Comma 7 3 7 3 2" xfId="12959" xr:uid="{88AF6892-B202-47EE-A025-6EA1ACCE4FCD}"/>
    <cellStyle name="Comma 7 3 7 3 2 2" xfId="51679" xr:uid="{182A2335-C718-4981-B0F1-AEFA06CE7C4B}"/>
    <cellStyle name="Comma 7 3 7 3 2 3" xfId="53662" xr:uid="{D81B945E-22A5-49C1-A420-14DDD7A9BF42}"/>
    <cellStyle name="Comma 7 3 7 3 2 4" xfId="48967" xr:uid="{BC446866-9DAC-4F9C-9469-918CCA69052A}"/>
    <cellStyle name="Comma 7 3 7 3 3" xfId="50351" xr:uid="{95823FD5-8DE6-4694-9AAF-DEBD21D11BC9}"/>
    <cellStyle name="Comma 7 3 7 3 4" xfId="53663" xr:uid="{D5771EAB-F1C9-4E3D-8C9C-8928B7857666}"/>
    <cellStyle name="Comma 7 3 7 3 5" xfId="47391" xr:uid="{D3ABA3E7-8298-4B7F-AB2B-4054776A8A11}"/>
    <cellStyle name="Comma 7 3 7 4" xfId="7149" xr:uid="{12CC86C5-285E-4607-AF0E-3B9BC5C53A85}"/>
    <cellStyle name="Comma 7 3 7 4 2" xfId="50961" xr:uid="{036BB3B9-F7FF-4710-8C61-7C4C3EBA713A}"/>
    <cellStyle name="Comma 7 3 7 4 3" xfId="53664" xr:uid="{DF3E17D1-84ED-4319-84F9-DEF2EB281177}"/>
    <cellStyle name="Comma 7 3 7 4 4" xfId="48112" xr:uid="{50B38F2E-5AEF-4064-A25F-56C30D83C1A2}"/>
    <cellStyle name="Comma 7 3 7 5" xfId="11674" xr:uid="{77BC84F8-4E90-425C-863D-EC8B20E1C8D1}"/>
    <cellStyle name="Comma 7 3 7 5 2" xfId="46600" xr:uid="{A5B44A43-91A7-4FBA-959D-FBEA481F71F7}"/>
    <cellStyle name="Comma 7 3 7 6" xfId="49633" xr:uid="{34789F91-3695-4DB0-B998-4CF662FA1205}"/>
    <cellStyle name="Comma 7 3 7 7" xfId="53665" xr:uid="{C2F83BFF-07DE-46CD-A661-27DE9CA21C9B}"/>
    <cellStyle name="Comma 7 3 7 8" xfId="19985" xr:uid="{11E0A133-D4EB-4463-A2CA-59F796C95369}"/>
    <cellStyle name="Comma 7 3 7 9" xfId="14090" xr:uid="{C1C03079-0005-4E0F-A346-897C51CBCE89}"/>
    <cellStyle name="Comma 7 3 8" xfId="5961" xr:uid="{0038D021-08CE-4C7E-8995-07A7C38EF5AE}"/>
    <cellStyle name="Comma 7 3 8 2" xfId="9419" xr:uid="{925DEA21-30BF-4FC3-8688-35EB60BD3A1D}"/>
    <cellStyle name="Comma 7 3 8 2 2" xfId="12725" xr:uid="{3E434A10-449F-4DDB-947B-9677729F1BF8}"/>
    <cellStyle name="Comma 7 3 8 2 2 2" xfId="50765" xr:uid="{6CC7F4E9-D3FC-4816-AD93-D2844D94C22D}"/>
    <cellStyle name="Comma 7 3 8 2 3" xfId="53666" xr:uid="{0849A190-9DDD-4DF8-AC73-569861FFB1FE}"/>
    <cellStyle name="Comma 7 3 8 2 4" xfId="47888" xr:uid="{B0D42D87-7D54-4FE7-AAE7-A555DCF29FF8}"/>
    <cellStyle name="Comma 7 3 8 3" xfId="11440" xr:uid="{334C5C26-152B-4ECE-8B03-CC28DFAF7570}"/>
    <cellStyle name="Comma 7 3 8 3 2" xfId="45815" xr:uid="{28059572-B392-4B29-800C-1EB0B6EEBEAF}"/>
    <cellStyle name="Comma 7 3 8 4" xfId="49437" xr:uid="{CCA7D071-4A46-4F29-8A11-43639E49449B}"/>
    <cellStyle name="Comma 7 3 8 5" xfId="53667" xr:uid="{63D45FC7-D38E-4F22-BCAE-4C9BBF4EC9CE}"/>
    <cellStyle name="Comma 7 3 8 6" xfId="24014" xr:uid="{A62D40F9-FE1C-4E06-858C-6823CD4A636A}"/>
    <cellStyle name="Comma 7 3 8 7" xfId="14351" xr:uid="{62132C11-2F8E-4E89-A0D5-E5600F30454C}"/>
    <cellStyle name="Comma 7 3 9" xfId="7424" xr:uid="{90715503-E436-4EDF-83A1-DFF5DB006088}"/>
    <cellStyle name="Comma 7 3 9 2" xfId="9916" xr:uid="{A2B5F3DC-2EF2-4F57-889E-DB115AE705C2}"/>
    <cellStyle name="Comma 7 3 9 2 2" xfId="13222" xr:uid="{ED36B7DE-C0E4-4946-9B55-32183396D0BA}"/>
    <cellStyle name="Comma 7 3 9 2 2 2" xfId="51198" xr:uid="{27D00252-3483-4212-A1FE-B39E3E063EB7}"/>
    <cellStyle name="Comma 7 3 9 2 3" xfId="53668" xr:uid="{EF0A83D9-B6A4-4C85-918E-1AF560378747}"/>
    <cellStyle name="Comma 7 3 9 2 4" xfId="48397" xr:uid="{225E66B7-6654-4EA0-B9AF-E151DFA779E4}"/>
    <cellStyle name="Comma 7 3 9 3" xfId="11937" xr:uid="{4FCECD59-FB05-4F33-B603-A7F599CE5374}"/>
    <cellStyle name="Comma 7 3 9 3 2" xfId="46846" xr:uid="{208BEC5D-4D22-4BC3-A39E-4490049B8950}"/>
    <cellStyle name="Comma 7 3 9 4" xfId="49870" xr:uid="{DC0F1E7E-CD3F-48AE-887E-9A9784421DB8}"/>
    <cellStyle name="Comma 7 3 9 5" xfId="53669" xr:uid="{9B4FBD57-5BE8-46ED-ADE2-69C702CB61E1}"/>
    <cellStyle name="Comma 7 3 9 6" xfId="38511" xr:uid="{C9C65384-5413-4AC7-A5B8-989953F99797}"/>
    <cellStyle name="Comma 7 3 9 7" xfId="14897" xr:uid="{EB9078DC-49CC-438D-85B5-D21B5819945D}"/>
    <cellStyle name="Comma 7 4" xfId="1801" xr:uid="{55B47A8D-662B-466D-B972-7B7E56AE7AF7}"/>
    <cellStyle name="Comma 7 4 10" xfId="8188" xr:uid="{D1050E4A-BAAF-4330-A515-CFB1EC437AE2}"/>
    <cellStyle name="Comma 7 4 10 2" xfId="12644" xr:uid="{966F89D5-BD65-46B1-8AF7-6977A1D2C8FF}"/>
    <cellStyle name="Comma 7 4 10 2 2" xfId="51484" xr:uid="{F7D00D88-504A-438B-A0AD-F1865B26B2EC}"/>
    <cellStyle name="Comma 7 4 10 2 3" xfId="53670" xr:uid="{D1482089-D5AF-43C2-955E-DCADFA40FE5D}"/>
    <cellStyle name="Comma 7 4 10 2 4" xfId="48740" xr:uid="{0903BD0B-9EE0-402B-9F8F-0E027E7EA54E}"/>
    <cellStyle name="Comma 7 4 10 3" xfId="47175" xr:uid="{EEE50266-3E30-4C1E-86F8-76016F320DB7}"/>
    <cellStyle name="Comma 7 4 10 4" xfId="50156" xr:uid="{69DE1A10-5779-408B-83C5-FB7EB4905DA3}"/>
    <cellStyle name="Comma 7 4 10 5" xfId="53671" xr:uid="{63B321B5-1678-4CAB-9759-FFFDD90B1AC2}"/>
    <cellStyle name="Comma 7 4 10 6" xfId="40344" xr:uid="{64D959D9-EF20-4172-9B85-34CA5E11C4C1}"/>
    <cellStyle name="Comma 7 4 11" xfId="7975" xr:uid="{BA6E9BDA-A200-4D16-BD99-E0E3F72786C4}"/>
    <cellStyle name="Comma 7 4 11 2" xfId="12488" xr:uid="{2230F037-7C34-4832-AF90-3D24B6B7E62E}"/>
    <cellStyle name="Comma 7 4 11 2 2" xfId="47639" xr:uid="{26B9C4F6-D09E-40B1-971E-33D331A6DFB8}"/>
    <cellStyle name="Comma 7 4 11 3" xfId="50552" xr:uid="{198247CA-2126-4D07-99D6-D6DD84FE3E6F}"/>
    <cellStyle name="Comma 7 4 11 4" xfId="53672" xr:uid="{3B6FCD84-3149-4CB1-8D73-D76FFEF5724D}"/>
    <cellStyle name="Comma 7 4 11 5" xfId="40986" xr:uid="{11D7C766-A27B-4A4C-954B-88A1E7635634}"/>
    <cellStyle name="Comma 7 4 12" xfId="5872" xr:uid="{3F8480F6-EE33-411E-9C29-D235CFC5121C}"/>
    <cellStyle name="Comma 7 4 12 2" xfId="42198" xr:uid="{6CCADB15-ED7A-4846-97A9-FE48BD3CA115}"/>
    <cellStyle name="Comma 7 4 13" xfId="11360" xr:uid="{47F99A9E-1EFE-47AE-8DD4-3612BE27D93E}"/>
    <cellStyle name="Comma 7 4 13 2" xfId="42473" xr:uid="{54AAB833-0EA2-45C2-A004-B9DE2E9B80E8}"/>
    <cellStyle name="Comma 7 4 14" xfId="43487" xr:uid="{165A029A-6332-465E-88FA-FAA2ADBCB1BB}"/>
    <cellStyle name="Comma 7 4 15" xfId="44437" xr:uid="{5CE1958E-B93A-4EDD-961B-D9B5FECA8C92}"/>
    <cellStyle name="Comma 7 4 16" xfId="45594" xr:uid="{F3A8DA20-F742-4E73-8297-BD4FD703D085}"/>
    <cellStyle name="Comma 7 4 17" xfId="49224" xr:uid="{187B75FE-2056-4BEA-A733-C638418BEE3A}"/>
    <cellStyle name="Comma 7 4 18" xfId="53673" xr:uid="{8C175156-3BFC-4915-A4FC-EA0E2A35B394}"/>
    <cellStyle name="Comma 7 4 19" xfId="16667" xr:uid="{B71AB214-42E7-4FD3-A336-76DBB9CF09F8}"/>
    <cellStyle name="Comma 7 4 2" xfId="1802" xr:uid="{2359D62F-03F6-44F3-9A37-F0ABF33F21F4}"/>
    <cellStyle name="Comma 7 4 2 10" xfId="11361" xr:uid="{3AA299DF-DF3C-4349-95B4-120C891A56A5}"/>
    <cellStyle name="Comma 7 4 2 10 2" xfId="40987" xr:uid="{BC99F94A-7EF7-4735-82D1-91D9D0CFA5C3}"/>
    <cellStyle name="Comma 7 4 2 11" xfId="42199" xr:uid="{711AEC7C-1C1C-43CB-915E-A8F3C6CFAAD3}"/>
    <cellStyle name="Comma 7 4 2 12" xfId="42429" xr:uid="{41CFCF11-8F4B-412A-8445-405C37B8DFFA}"/>
    <cellStyle name="Comma 7 4 2 13" xfId="43575" xr:uid="{B0C4166A-8B9E-4C74-BA15-BE72A97799BE}"/>
    <cellStyle name="Comma 7 4 2 14" xfId="44438" xr:uid="{CCAEA219-2DF0-498A-B732-D94D3D267849}"/>
    <cellStyle name="Comma 7 4 2 15" xfId="45659" xr:uid="{93843C69-A793-4525-A38D-3FFFCACCFB70}"/>
    <cellStyle name="Comma 7 4 2 16" xfId="49288" xr:uid="{EB6D7939-ADB6-47C8-B51E-8FE2B76A24FC}"/>
    <cellStyle name="Comma 7 4 2 17" xfId="53674" xr:uid="{7E6F0EA7-5815-4448-9019-5BC5F3AC4F32}"/>
    <cellStyle name="Comma 7 4 2 18" xfId="16457" xr:uid="{E725E920-B0A7-4912-9D5A-0D248611379B}"/>
    <cellStyle name="Comma 7 4 2 19" xfId="13958" xr:uid="{99A39143-F17E-4810-97E2-E1C6EA53AE25}"/>
    <cellStyle name="Comma 7 4 2 2" xfId="1803" xr:uid="{872F3657-746D-42AF-88D3-1B38AD5DFFD3}"/>
    <cellStyle name="Comma 7 4 2 2 10" xfId="42780" xr:uid="{EB135631-520A-4AD0-AAAA-CD47D51864D2}"/>
    <cellStyle name="Comma 7 4 2 2 11" xfId="43576" xr:uid="{C5A0ED94-60A2-4170-ABED-AAE4773F1BB7}"/>
    <cellStyle name="Comma 7 4 2 2 12" xfId="44439" xr:uid="{91613C8D-8391-4F8C-96F4-5D93FFF9FFF0}"/>
    <cellStyle name="Comma 7 4 2 2 13" xfId="45777" xr:uid="{5037D4A5-9508-4B31-B98E-44E4775D3453}"/>
    <cellStyle name="Comma 7 4 2 2 14" xfId="49405" xr:uid="{1812FF0D-E185-4402-B341-E558DE0D3499}"/>
    <cellStyle name="Comma 7 4 2 2 15" xfId="53675" xr:uid="{334DC0CD-86B8-4B39-A9C8-095A157ECDBC}"/>
    <cellStyle name="Comma 7 4 2 2 16" xfId="17133" xr:uid="{A4A62196-29E8-40CC-923F-367C461CAA28}"/>
    <cellStyle name="Comma 7 4 2 2 17" xfId="13959" xr:uid="{B951A89D-90FF-472D-B9DD-A1C10E93B8EC}"/>
    <cellStyle name="Comma 7 4 2 2 2" xfId="4479" xr:uid="{7176D45F-E63E-4E49-8852-58FB14519926}"/>
    <cellStyle name="Comma 7 4 2 2 2 10" xfId="44280" xr:uid="{142F53FA-1158-4E1E-B68C-4B6B5262E68D}"/>
    <cellStyle name="Comma 7 4 2 2 2 11" xfId="44580" xr:uid="{1E5DD802-3BCD-42F4-B1CA-AD76AFFB46BB}"/>
    <cellStyle name="Comma 7 4 2 2 2 12" xfId="46748" xr:uid="{836C52E0-990B-4550-8BBF-0863CE454BDB}"/>
    <cellStyle name="Comma 7 4 2 2 2 13" xfId="49780" xr:uid="{BD9022F6-6C01-49E9-83A5-F0CE9CAB781D}"/>
    <cellStyle name="Comma 7 4 2 2 2 14" xfId="53676" xr:uid="{5BF9E3A0-7083-4AB1-8B25-40D2FD69867F}"/>
    <cellStyle name="Comma 7 4 2 2 2 15" xfId="21128" xr:uid="{A69F8EFF-7249-46DC-B5AF-E31260941477}"/>
    <cellStyle name="Comma 7 4 2 2 2 16" xfId="14273" xr:uid="{0CCE9CB5-3956-4319-97C5-B4FD4A3B4393}"/>
    <cellStyle name="Comma 7 4 2 2 2 2" xfId="5736" xr:uid="{89ACCABC-2108-4986-9A8E-ED1A977BBA84}"/>
    <cellStyle name="Comma 7 4 2 2 2 2 2" xfId="10330" xr:uid="{2835291A-15EB-40AC-8E48-7C3BB563E94E}"/>
    <cellStyle name="Comma 7 4 2 2 2 2 2 2" xfId="13636" xr:uid="{C355A515-2EFD-40C9-9FEF-FD3BC2115AB3}"/>
    <cellStyle name="Comma 7 4 2 2 2 2 2 2 2" xfId="51440" xr:uid="{9858B6D0-78A4-4909-A73F-9E1AA9BFF264}"/>
    <cellStyle name="Comma 7 4 2 2 2 2 2 3" xfId="53677" xr:uid="{699B291C-400F-4673-B2DC-7CFFDFBBF3BA}"/>
    <cellStyle name="Comma 7 4 2 2 2 2 2 4" xfId="48685" xr:uid="{320C8A00-1815-4777-9A7A-A5FF05BC7A15}"/>
    <cellStyle name="Comma 7 4 2 2 2 2 3" xfId="7838" xr:uid="{50F52A35-3720-4EFA-869D-B2854C675305}"/>
    <cellStyle name="Comma 7 4 2 2 2 2 3 2" xfId="47122" xr:uid="{2D9822CB-A54B-4A24-8BD3-1C4428AD2716}"/>
    <cellStyle name="Comma 7 4 2 2 2 2 4" xfId="12351" xr:uid="{DF00BBCB-A751-4C74-AE4B-6A89E0FE145C}"/>
    <cellStyle name="Comma 7 4 2 2 2 2 4 2" xfId="50112" xr:uid="{51813C90-E90D-4849-B9DA-F43231910BBC}"/>
    <cellStyle name="Comma 7 4 2 2 2 2 5" xfId="53678" xr:uid="{B16B7300-6AE1-4E2B-8F66-B8EA5A6ECFAD}"/>
    <cellStyle name="Comma 7 4 2 2 2 2 6" xfId="24027" xr:uid="{ADD50856-CF9A-436A-AEF3-61FC71B651F0}"/>
    <cellStyle name="Comma 7 4 2 2 2 2 7" xfId="14765" xr:uid="{35777BEE-A6D1-4BFE-B6C6-188D7205FEFC}"/>
    <cellStyle name="Comma 7 4 2 2 2 3" xfId="9836" xr:uid="{7FF76FF3-5FCB-4072-8735-66E239E4A280}"/>
    <cellStyle name="Comma 7 4 2 2 2 3 2" xfId="13142" xr:uid="{358481FE-D1CC-410C-AE0C-6D30553BFE10}"/>
    <cellStyle name="Comma 7 4 2 2 2 3 2 2" xfId="51826" xr:uid="{99D923A2-9414-43E8-BD93-A317D6984268}"/>
    <cellStyle name="Comma 7 4 2 2 2 3 2 3" xfId="53679" xr:uid="{5E4E07C6-97E2-4EA7-B11D-067802E03ADC}"/>
    <cellStyle name="Comma 7 4 2 2 2 3 2 4" xfId="49146" xr:uid="{BA55382B-D77A-4100-914B-67E6664A7BE0}"/>
    <cellStyle name="Comma 7 4 2 2 2 3 3" xfId="47563" xr:uid="{CD0131A7-9E63-415C-A1D5-8C189006074B}"/>
    <cellStyle name="Comma 7 4 2 2 2 3 4" xfId="50498" xr:uid="{2839E8C5-882A-4A98-AE31-BF249D32820A}"/>
    <cellStyle name="Comma 7 4 2 2 2 3 5" xfId="53680" xr:uid="{EB4D6625-D302-48ED-B2BB-4A54997187EF}"/>
    <cellStyle name="Comma 7 4 2 2 2 3 6" xfId="38524" xr:uid="{AE047D97-86F5-4385-9819-1400A23F3A98}"/>
    <cellStyle name="Comma 7 4 2 2 2 3 7" xfId="15080" xr:uid="{5E44CA66-DE66-4F86-874E-618F8E537D95}"/>
    <cellStyle name="Comma 7 4 2 2 2 4" xfId="7334" xr:uid="{DEF36639-4111-4518-B36A-35ED4E5E2504}"/>
    <cellStyle name="Comma 7 4 2 2 2 4 2" xfId="48290" xr:uid="{975CD1AB-084F-409D-BEFC-396DDD518638}"/>
    <cellStyle name="Comma 7 4 2 2 2 4 3" xfId="51108" xr:uid="{CF5E8D65-C471-4D6E-836F-0A6BE3D05ACB}"/>
    <cellStyle name="Comma 7 4 2 2 2 4 4" xfId="53681" xr:uid="{E5426BF1-F110-402A-90BF-55B9B666835E}"/>
    <cellStyle name="Comma 7 4 2 2 2 4 5" xfId="39694" xr:uid="{F3A7E5DA-9251-434C-8870-3FA21C410F83}"/>
    <cellStyle name="Comma 7 4 2 2 2 5" xfId="11857" xr:uid="{8C6C92DE-5F7D-49A2-9133-E7FC081435E4}"/>
    <cellStyle name="Comma 7 4 2 2 2 5 2" xfId="40347" xr:uid="{B453D915-7398-47FC-89BA-9FADF6713D34}"/>
    <cellStyle name="Comma 7 4 2 2 2 6" xfId="40989" xr:uid="{10B860C2-EF99-40A1-B4C6-7A63CCD69D3B}"/>
    <cellStyle name="Comma 7 4 2 2 2 7" xfId="41547" xr:uid="{0118B2A2-1162-4B01-8411-809A36E8DF03}"/>
    <cellStyle name="Comma 7 4 2 2 2 8" xfId="42201" xr:uid="{0A6848AE-5795-463F-BC4C-DE510DDD8385}"/>
    <cellStyle name="Comma 7 4 2 2 2 9" xfId="43371" xr:uid="{C7F451A4-DD36-4BC8-A198-ED57FA3EA85F}"/>
    <cellStyle name="Comma 7 4 2 2 3" xfId="5560" xr:uid="{CC29E83B-ED73-4985-BD43-CAABF3EF99FE}"/>
    <cellStyle name="Comma 7 4 2 2 3 2" xfId="7662" xr:uid="{129C8FB9-FAA1-4AF8-895E-1EDB4A23F350}"/>
    <cellStyle name="Comma 7 4 2 2 3 2 2" xfId="10154" xr:uid="{25EB925B-B77B-4351-844E-D11D4A7FA3BC}"/>
    <cellStyle name="Comma 7 4 2 2 3 2 2 2" xfId="13460" xr:uid="{2EEF8A39-582A-4935-8243-A47F78857015}"/>
    <cellStyle name="Comma 7 4 2 2 3 2 2 2 2" xfId="51686" xr:uid="{6F637E35-1D6C-4BB7-9748-3BF9614248CB}"/>
    <cellStyle name="Comma 7 4 2 2 3 2 2 3" xfId="53682" xr:uid="{2E349FDF-16EB-474D-B685-2146972A2A26}"/>
    <cellStyle name="Comma 7 4 2 2 3 2 2 4" xfId="48974" xr:uid="{7054ECF9-99C3-4DE1-BFD7-0F78950BE3DB}"/>
    <cellStyle name="Comma 7 4 2 2 3 2 3" xfId="12175" xr:uid="{86173A4B-C776-4777-BB82-083920071C89}"/>
    <cellStyle name="Comma 7 4 2 2 3 2 3 2" xfId="47398" xr:uid="{28292DD1-EC1E-4CCB-A3C4-EBB471ADB40F}"/>
    <cellStyle name="Comma 7 4 2 2 3 2 4" xfId="50358" xr:uid="{2276CBF2-61B5-4A62-ACB7-B06E1FF50968}"/>
    <cellStyle name="Comma 7 4 2 2 3 2 5" xfId="53683" xr:uid="{645F2771-F71D-4458-9A35-6325C142913B}"/>
    <cellStyle name="Comma 7 4 2 2 3 2 6" xfId="43849" xr:uid="{07BCF98C-E020-416B-8C18-D07CA778346E}"/>
    <cellStyle name="Comma 7 4 2 2 3 2 7" xfId="14589" xr:uid="{AD4A5CE5-075E-4E1A-87A3-80439DF3723D}"/>
    <cellStyle name="Comma 7 4 2 2 3 3" xfId="9660" xr:uid="{4F88E213-A80D-40A4-97A8-FC3231FA1F6F}"/>
    <cellStyle name="Comma 7 4 2 2 3 3 2" xfId="12966" xr:uid="{E365F261-FF1C-4266-ABBB-7DD758FC8DBF}"/>
    <cellStyle name="Comma 7 4 2 2 3 3 2 2" xfId="50968" xr:uid="{C6EAB7A4-C898-4E23-88B6-BC743F6B1D26}"/>
    <cellStyle name="Comma 7 4 2 2 3 3 3" xfId="53684" xr:uid="{2E13CF87-3B05-4629-BEA0-AFC15A004990}"/>
    <cellStyle name="Comma 7 4 2 2 3 3 4" xfId="48119" xr:uid="{AFA2456B-8CD4-46D3-A739-13141BEE015C}"/>
    <cellStyle name="Comma 7 4 2 2 3 4" xfId="7156" xr:uid="{BFE15B64-EF65-4EC0-9A89-137D12B43CEF}"/>
    <cellStyle name="Comma 7 4 2 2 3 4 2" xfId="46607" xr:uid="{A0795AD6-3280-4ACD-B4F9-0BF48E8078A1}"/>
    <cellStyle name="Comma 7 4 2 2 3 5" xfId="11681" xr:uid="{9D5B3CE9-243A-4729-9854-8E2B1DB6444B}"/>
    <cellStyle name="Comma 7 4 2 2 3 5 2" xfId="49640" xr:uid="{DDA1AB5E-6689-46B8-9262-42947152A655}"/>
    <cellStyle name="Comma 7 4 2 2 3 6" xfId="53685" xr:uid="{DD7ED2DB-7D29-438B-9B90-6CC2CEDCC82C}"/>
    <cellStyle name="Comma 7 4 2 2 3 7" xfId="20347" xr:uid="{5C9391F8-0128-41BD-A3D9-9B4457B0D5D0}"/>
    <cellStyle name="Comma 7 4 2 2 3 8" xfId="14097" xr:uid="{39617EAF-ADCD-4C26-9CE4-3CD12B3FEB1D}"/>
    <cellStyle name="Comma 7 4 2 2 4" xfId="6550" xr:uid="{90C1F014-6867-4C00-BE51-3B10105B5ED4}"/>
    <cellStyle name="Comma 7 4 2 2 4 2" xfId="9522" xr:uid="{2C9CAE39-B0A5-4965-BE95-917771925123}"/>
    <cellStyle name="Comma 7 4 2 2 4 2 2" xfId="12828" xr:uid="{7F395C44-97A9-4119-813C-D084D9B164D7}"/>
    <cellStyle name="Comma 7 4 2 2 4 2 2 2" xfId="50853" xr:uid="{70F00F18-7205-4A5C-84DE-306473317DEB}"/>
    <cellStyle name="Comma 7 4 2 2 4 2 3" xfId="53686" xr:uid="{C0DB3CD7-62B4-4DB8-97C1-A09E354BBFFA}"/>
    <cellStyle name="Comma 7 4 2 2 4 2 4" xfId="47984" xr:uid="{E3D7C34A-CBC0-47DA-99DC-DAB9218B397A}"/>
    <cellStyle name="Comma 7 4 2 2 4 3" xfId="11543" xr:uid="{33C43720-B50F-4DEE-A80D-3D8F8BB155A6}"/>
    <cellStyle name="Comma 7 4 2 2 4 3 2" xfId="46189" xr:uid="{4B4D2A5B-65CB-4E92-8A46-EEEF891FA97C}"/>
    <cellStyle name="Comma 7 4 2 2 4 4" xfId="49525" xr:uid="{4881C656-3D66-453E-8791-DCD808FC0204}"/>
    <cellStyle name="Comma 7 4 2 2 4 5" xfId="53687" xr:uid="{A2FBC880-9BA9-431F-99A4-00A3722E1189}"/>
    <cellStyle name="Comma 7 4 2 2 4 6" xfId="24026" xr:uid="{C2AA85A0-8168-49D9-A176-DCD54A4B120E}"/>
    <cellStyle name="Comma 7 4 2 2 4 7" xfId="14451" xr:uid="{2B0FC09E-AD56-4B8B-97BF-66BB945D9F75}"/>
    <cellStyle name="Comma 7 4 2 2 5" xfId="7524" xr:uid="{8E8AC023-B9EF-4ECA-B486-6CDECBB9151B}"/>
    <cellStyle name="Comma 7 4 2 2 5 2" xfId="10016" xr:uid="{0AD3DEFF-6FA1-4644-9BF4-A94737E9B9D1}"/>
    <cellStyle name="Comma 7 4 2 2 5 2 2" xfId="13322" xr:uid="{7237C8ED-9DFA-491D-AB9E-33975210E16E}"/>
    <cellStyle name="Comma 7 4 2 2 5 2 2 2" xfId="51315" xr:uid="{2B2A0D9C-11D7-44CE-B9FC-B6C4967785E4}"/>
    <cellStyle name="Comma 7 4 2 2 5 2 3" xfId="53688" xr:uid="{FB02A12E-A984-4256-AF73-15D6DDD35E38}"/>
    <cellStyle name="Comma 7 4 2 2 5 2 4" xfId="48529" xr:uid="{C0A4C4A5-7B04-4164-8D7B-6CFE7654AE9E}"/>
    <cellStyle name="Comma 7 4 2 2 5 3" xfId="12037" xr:uid="{B777D9B2-7131-407F-AE35-1E0F57C44ECD}"/>
    <cellStyle name="Comma 7 4 2 2 5 3 2" xfId="46968" xr:uid="{3BE4BE9A-ECC4-4191-81A3-1EF05E3A6759}"/>
    <cellStyle name="Comma 7 4 2 2 5 4" xfId="49987" xr:uid="{383863EA-7A75-412E-A7E4-CA02EBEEA810}"/>
    <cellStyle name="Comma 7 4 2 2 5 5" xfId="53689" xr:uid="{BE0499B3-8192-478C-98C2-B4E0BB01F0EE}"/>
    <cellStyle name="Comma 7 4 2 2 5 6" xfId="38523" xr:uid="{8C75F1A7-C03C-4E6A-8FF6-392EFC47E6D2}"/>
    <cellStyle name="Comma 7 4 2 2 5 7" xfId="14904" xr:uid="{124F9391-33A7-4211-BC80-BDF8AD1979DB}"/>
    <cellStyle name="Comma 7 4 2 2 6" xfId="8190" xr:uid="{033AC5CF-7006-4B38-A05B-82F6CD9D4AD4}"/>
    <cellStyle name="Comma 7 4 2 2 6 2" xfId="12646" xr:uid="{D3953FEE-2813-4189-A81A-220D09A9F9A2}"/>
    <cellStyle name="Comma 7 4 2 2 6 2 2" xfId="51571" xr:uid="{1F53F7E2-5F1D-4D26-BD70-527665C9443E}"/>
    <cellStyle name="Comma 7 4 2 2 6 2 3" xfId="53690" xr:uid="{ADC54918-1A0B-4036-941C-2ABB0B7A45B9}"/>
    <cellStyle name="Comma 7 4 2 2 6 2 4" xfId="48836" xr:uid="{4CFD6F38-212B-41EE-AB21-1A69FE617870}"/>
    <cellStyle name="Comma 7 4 2 2 6 3" xfId="47265" xr:uid="{E3321CEB-B9C5-42EB-AE33-5624A15817EA}"/>
    <cellStyle name="Comma 7 4 2 2 6 4" xfId="50243" xr:uid="{B5EBA5DA-9746-43C2-9367-A215053B7468}"/>
    <cellStyle name="Comma 7 4 2 2 6 5" xfId="53691" xr:uid="{76CEC491-328D-4F88-B836-5DD4474CF527}"/>
    <cellStyle name="Comma 7 4 2 2 6 6" xfId="39103" xr:uid="{99C4BF5B-7E2F-47B3-8CAB-C37D3D33F06D}"/>
    <cellStyle name="Comma 7 4 2 2 7" xfId="7977" xr:uid="{37D387D1-0E77-452F-822C-EC6120B6FA55}"/>
    <cellStyle name="Comma 7 4 2 2 7 2" xfId="12490" xr:uid="{D8107682-6235-4650-B448-A752819E4BD3}"/>
    <cellStyle name="Comma 7 4 2 2 7 2 2" xfId="47845" xr:uid="{487C093D-5EF7-4163-996F-117577A779E9}"/>
    <cellStyle name="Comma 7 4 2 2 7 3" xfId="50733" xr:uid="{C21B7666-FC0A-4C58-957C-203D395398B7}"/>
    <cellStyle name="Comma 7 4 2 2 7 4" xfId="53692" xr:uid="{CE227F41-17C5-452B-8C0E-94B2947B3AEA}"/>
    <cellStyle name="Comma 7 4 2 2 7 5" xfId="40346" xr:uid="{0C05AABA-A468-4003-92FD-04C405523B60}"/>
    <cellStyle name="Comma 7 4 2 2 8" xfId="5874" xr:uid="{45C8F7AD-7F88-49DB-BE20-4FD4F5D6C826}"/>
    <cellStyle name="Comma 7 4 2 2 8 2" xfId="40988" xr:uid="{208DE971-5709-4EF3-8524-3B852F0CB24B}"/>
    <cellStyle name="Comma 7 4 2 2 9" xfId="11362" xr:uid="{19F82A06-03F0-4CE7-AD29-86EC3D44A9A3}"/>
    <cellStyle name="Comma 7 4 2 2 9 2" xfId="42200" xr:uid="{6177BFBA-D01C-4B60-B763-54825FA71E57}"/>
    <cellStyle name="Comma 7 4 2 3" xfId="4478" xr:uid="{AE13965D-7320-456C-A821-C9F03598035A}"/>
    <cellStyle name="Comma 7 4 2 3 10" xfId="42856" xr:uid="{A6C3ECF2-F41C-4664-8640-6448470CDE2A}"/>
    <cellStyle name="Comma 7 4 2 3 11" xfId="44279" xr:uid="{9990A583-C819-4AC9-AC87-4BDF15CD82B5}"/>
    <cellStyle name="Comma 7 4 2 3 12" xfId="44579" xr:uid="{1F6DE5E5-8361-4FFC-9434-254C5D4E80AB}"/>
    <cellStyle name="Comma 7 4 2 3 13" xfId="45733" xr:uid="{90385FFD-FE01-48E0-985B-E64D6EE58C38}"/>
    <cellStyle name="Comma 7 4 2 3 14" xfId="49361" xr:uid="{DB17E35E-0DE7-437E-B3F7-57C91944A820}"/>
    <cellStyle name="Comma 7 4 2 3 15" xfId="53693" xr:uid="{8BE043C7-1926-48B7-9F33-21D9A0E890F1}"/>
    <cellStyle name="Comma 7 4 2 3 16" xfId="19762" xr:uid="{3A49BDE5-4C47-4D02-BB31-76D33DFE51E9}"/>
    <cellStyle name="Comma 7 4 2 3 17" xfId="14272" xr:uid="{B7FF643B-76AC-4D7C-9BB8-EC9787A3921B}"/>
    <cellStyle name="Comma 7 4 2 3 2" xfId="5735" xr:uid="{75677690-3853-4E25-837D-9C100C4008A2}"/>
    <cellStyle name="Comma 7 4 2 3 2 10" xfId="45524" xr:uid="{944B1340-E10A-4744-9F56-74512FB4CA50}"/>
    <cellStyle name="Comma 7 4 2 3 2 11" xfId="46747" xr:uid="{45EF8287-9356-4FA6-AB9C-A1A449175AEA}"/>
    <cellStyle name="Comma 7 4 2 3 2 12" xfId="49779" xr:uid="{E657E1F3-0395-478B-B031-86E2CA8AFE6C}"/>
    <cellStyle name="Comma 7 4 2 3 2 13" xfId="53694" xr:uid="{998CD785-E496-427C-9475-B7CB6A5AC0BA}"/>
    <cellStyle name="Comma 7 4 2 3 2 14" xfId="23379" xr:uid="{987B6E1D-1E83-45BB-8639-0C23A29307D8}"/>
    <cellStyle name="Comma 7 4 2 3 2 15" xfId="14764" xr:uid="{EA05D42B-D305-479A-A03D-A8E6D67B8CB1}"/>
    <cellStyle name="Comma 7 4 2 3 2 2" xfId="10329" xr:uid="{12A37F6B-A854-49C7-AEFF-718941308187}"/>
    <cellStyle name="Comma 7 4 2 3 2 2 2" xfId="13635" xr:uid="{97395CCD-19E2-45C0-B02E-C53E94D61137}"/>
    <cellStyle name="Comma 7 4 2 3 2 2 2 2" xfId="48289" xr:uid="{A096BE82-94A4-44D5-872C-491845D68493}"/>
    <cellStyle name="Comma 7 4 2 3 2 2 3" xfId="51107" xr:uid="{89078E5E-7EFC-4DBB-BAFE-0767B8E42469}"/>
    <cellStyle name="Comma 7 4 2 3 2 2 4" xfId="53695" xr:uid="{42BA5326-DF4F-4AFC-96F7-969D6393A4D5}"/>
    <cellStyle name="Comma 7 4 2 3 2 2 5" xfId="24029" xr:uid="{DFCA4945-B75C-4216-9C90-1D333F5F50A5}"/>
    <cellStyle name="Comma 7 4 2 3 2 3" xfId="7837" xr:uid="{FFAEC747-829A-4E2F-A63B-09174C2E8D8B}"/>
    <cellStyle name="Comma 7 4 2 3 2 3 2" xfId="38526" xr:uid="{685174DD-E84B-4794-AF71-2C596784FD4E}"/>
    <cellStyle name="Comma 7 4 2 3 2 4" xfId="12350" xr:uid="{3535C0D8-3D9D-4250-8BF7-A11D4EFEE4DE}"/>
    <cellStyle name="Comma 7 4 2 3 2 4 2" xfId="39770" xr:uid="{0BB903F1-0F16-4AA6-BDB7-F3813FC6679A}"/>
    <cellStyle name="Comma 7 4 2 3 2 5" xfId="40349" xr:uid="{8D99FEFC-6CBE-4A1B-A966-87BE5222DC45}"/>
    <cellStyle name="Comma 7 4 2 3 2 6" xfId="40991" xr:uid="{C3C0D78F-F975-4286-9057-B028FAF3E6E8}"/>
    <cellStyle name="Comma 7 4 2 3 2 7" xfId="41623" xr:uid="{0B20D895-5B22-4D82-8782-E4E1BDF94A20}"/>
    <cellStyle name="Comma 7 4 2 3 2 8" xfId="42203" xr:uid="{C71B4C3F-28A5-47AC-B6A5-9B4D8E49C0D6}"/>
    <cellStyle name="Comma 7 4 2 3 2 9" xfId="43447" xr:uid="{A909BDBE-1D2B-40A7-80EB-AD3B8F05D0BB}"/>
    <cellStyle name="Comma 7 4 2 3 3" xfId="11238" xr:uid="{564B67FC-BF31-435B-902F-BDF1A5B1CEFB}"/>
    <cellStyle name="Comma 7 4 2 3 3 2" xfId="13800" xr:uid="{8D2CAFC4-7C52-4913-AF5F-990388445A9F}"/>
    <cellStyle name="Comma 7 4 2 3 3 2 2" xfId="51439" xr:uid="{7E49AD67-6B68-46EF-AC18-54D40F7A0180}"/>
    <cellStyle name="Comma 7 4 2 3 3 2 3" xfId="53696" xr:uid="{23C75EDF-86BB-4CB6-B1FC-412DBF22ED24}"/>
    <cellStyle name="Comma 7 4 2 3 3 2 4" xfId="48684" xr:uid="{1269B6D9-02B2-44D5-BA36-491FC75E430D}"/>
    <cellStyle name="Comma 7 4 2 3 3 3" xfId="47121" xr:uid="{DB31E535-36A8-4F82-996B-8776B4632335}"/>
    <cellStyle name="Comma 7 4 2 3 3 4" xfId="50111" xr:uid="{2E377209-5FCA-443B-8013-EB95B430CCF9}"/>
    <cellStyle name="Comma 7 4 2 3 3 5" xfId="53697" xr:uid="{A580A7C1-C12B-4FA9-86C4-5CAC242D94FC}"/>
    <cellStyle name="Comma 7 4 2 3 3 6" xfId="20423" xr:uid="{2CBD4161-4ED4-464E-9379-23B82A825BCB}"/>
    <cellStyle name="Comma 7 4 2 3 3 7" xfId="15079" xr:uid="{5ACCF2FA-6498-4EAE-88A4-FE0F606A0E77}"/>
    <cellStyle name="Comma 7 4 2 3 4" xfId="9835" xr:uid="{19F66BDD-F723-4FC0-B551-C596C4BA556D}"/>
    <cellStyle name="Comma 7 4 2 3 4 2" xfId="13141" xr:uid="{4E1C83C9-94C0-4A16-80B4-9FDFCDDA981D}"/>
    <cellStyle name="Comma 7 4 2 3 4 2 2" xfId="51825" xr:uid="{D8D545ED-FF39-4110-B7B5-860157B2C35B}"/>
    <cellStyle name="Comma 7 4 2 3 4 2 3" xfId="53698" xr:uid="{A581F252-A309-4A00-B294-2C8A5BE2A6EB}"/>
    <cellStyle name="Comma 7 4 2 3 4 2 4" xfId="49145" xr:uid="{9B59BFCB-8F3E-469F-BD7C-6E7CD38DAE6C}"/>
    <cellStyle name="Comma 7 4 2 3 4 3" xfId="47562" xr:uid="{3D55FFE4-323D-47CC-ACCF-50793DD69729}"/>
    <cellStyle name="Comma 7 4 2 3 4 4" xfId="50497" xr:uid="{59D921ED-4EBF-4188-BFED-B5A235F0FD9F}"/>
    <cellStyle name="Comma 7 4 2 3 4 5" xfId="53699" xr:uid="{6E668681-E375-40BB-BEF4-5E16308C61A6}"/>
    <cellStyle name="Comma 7 4 2 3 4 6" xfId="24028" xr:uid="{EABD5B4A-F566-41CC-95EF-619902303F58}"/>
    <cellStyle name="Comma 7 4 2 3 5" xfId="7333" xr:uid="{FCAC5CF1-D0B4-46B8-B927-58AC8AE1869B}"/>
    <cellStyle name="Comma 7 4 2 3 5 2" xfId="47790" xr:uid="{72D8B36B-2BD4-48F8-9A4D-059020D43EFA}"/>
    <cellStyle name="Comma 7 4 2 3 5 3" xfId="50689" xr:uid="{F2278A4C-D770-4FFD-B4AA-29122EF57466}"/>
    <cellStyle name="Comma 7 4 2 3 5 4" xfId="53700" xr:uid="{2D71495D-76D9-440A-8957-3F23E2649C74}"/>
    <cellStyle name="Comma 7 4 2 3 5 5" xfId="38525" xr:uid="{571ED41E-E4A9-401F-A3D3-25F5A3B98513}"/>
    <cellStyle name="Comma 7 4 2 3 6" xfId="11856" xr:uid="{9F29D215-59D3-4D59-9EF7-B60A7A42BEA0}"/>
    <cellStyle name="Comma 7 4 2 3 6 2" xfId="39179" xr:uid="{7B376EAE-202A-4648-8DFD-FFAC13391436}"/>
    <cellStyle name="Comma 7 4 2 3 7" xfId="40348" xr:uid="{9D96EAA7-6BC3-4B85-8273-26493EEE73D1}"/>
    <cellStyle name="Comma 7 4 2 3 8" xfId="40990" xr:uid="{8B37CAFD-313E-47B5-A6AA-C379E1C860F7}"/>
    <cellStyle name="Comma 7 4 2 3 9" xfId="42202" xr:uid="{C7520B0E-AFFD-4626-925F-D75A2F8F61D7}"/>
    <cellStyle name="Comma 7 4 2 4" xfId="5559" xr:uid="{50CE1CCE-25AC-4E3F-8649-7325CD8BDC9A}"/>
    <cellStyle name="Comma 7 4 2 4 10" xfId="43848" xr:uid="{8CE71D13-CB4B-44E0-9162-29A993A3F61C}"/>
    <cellStyle name="Comma 7 4 2 4 11" xfId="45121" xr:uid="{6E1887E0-90B1-45F3-90F4-D0DA7018F648}"/>
    <cellStyle name="Comma 7 4 2 4 12" xfId="46606" xr:uid="{5B41B3B8-4D19-40EF-BE4E-66294CDE00DE}"/>
    <cellStyle name="Comma 7 4 2 4 13" xfId="49639" xr:uid="{5EBCCED0-FA96-4B31-9BF5-32CAA8ED10EB}"/>
    <cellStyle name="Comma 7 4 2 4 14" xfId="53701" xr:uid="{2A8A0E70-38CE-4FD2-B652-E33E8D33DB3F}"/>
    <cellStyle name="Comma 7 4 2 4 15" xfId="20652" xr:uid="{0BBA8EB3-A582-44A4-A870-007208A7471A}"/>
    <cellStyle name="Comma 7 4 2 4 16" xfId="14096" xr:uid="{CFCF76E2-E066-4C74-97BD-91227A2F1A92}"/>
    <cellStyle name="Comma 7 4 2 4 2" xfId="7661" xr:uid="{FB6D8173-B1BF-40C6-A134-EC2C7885C532}"/>
    <cellStyle name="Comma 7 4 2 4 2 2" xfId="10153" xr:uid="{0E9F5161-BAF9-4F1A-AE64-9735E30C9F4A}"/>
    <cellStyle name="Comma 7 4 2 4 2 2 2" xfId="13459" xr:uid="{B8EB9F52-DCB3-40D6-9DA1-55FAF6A21C5E}"/>
    <cellStyle name="Comma 7 4 2 4 2 2 2 2" xfId="51685" xr:uid="{3738DA7B-E41B-441A-9771-227A5BB059A0}"/>
    <cellStyle name="Comma 7 4 2 4 2 2 3" xfId="53702" xr:uid="{E4D7A3BF-2DDD-4D59-9317-28FF659655F7}"/>
    <cellStyle name="Comma 7 4 2 4 2 2 4" xfId="48973" xr:uid="{258F12F7-6499-4415-B6BB-703EAC0D6B0F}"/>
    <cellStyle name="Comma 7 4 2 4 2 3" xfId="12174" xr:uid="{BCFD65A6-C43B-4372-89BA-4B9F18BC781C}"/>
    <cellStyle name="Comma 7 4 2 4 2 3 2" xfId="47397" xr:uid="{2B9D721C-D916-4F97-B821-EC4C4D8FB14A}"/>
    <cellStyle name="Comma 7 4 2 4 2 4" xfId="50357" xr:uid="{74181F9A-C3FA-46E6-9A4A-B550B25EA392}"/>
    <cellStyle name="Comma 7 4 2 4 2 5" xfId="53703" xr:uid="{7D1FBF18-FD4B-4C20-B584-97A60FDC9263}"/>
    <cellStyle name="Comma 7 4 2 4 2 6" xfId="24030" xr:uid="{D18771BE-C8C8-4FA0-B0BC-9BDF6E780EAC}"/>
    <cellStyle name="Comma 7 4 2 4 2 7" xfId="14588" xr:uid="{4DCF2831-821C-458A-8E6E-C2235406BB4A}"/>
    <cellStyle name="Comma 7 4 2 4 3" xfId="9659" xr:uid="{3647BFCA-CB34-44A9-89DF-5ADA53A46D10}"/>
    <cellStyle name="Comma 7 4 2 4 3 2" xfId="12965" xr:uid="{A0F6B678-53A8-47E0-9C62-33911EE3C324}"/>
    <cellStyle name="Comma 7 4 2 4 3 2 2" xfId="48118" xr:uid="{B5D45EA4-9C1B-4B0F-9D6B-07845EC2E1FE}"/>
    <cellStyle name="Comma 7 4 2 4 3 3" xfId="50967" xr:uid="{E3D086B0-35BD-47F7-96CF-ABBEE02AC42D}"/>
    <cellStyle name="Comma 7 4 2 4 3 4" xfId="53704" xr:uid="{F75CD032-6F5A-4FB7-A7CB-EE2C1FCE1D4D}"/>
    <cellStyle name="Comma 7 4 2 4 3 5" xfId="38527" xr:uid="{039EDB4A-03B6-4098-A03F-EFFD2497B52C}"/>
    <cellStyle name="Comma 7 4 2 4 4" xfId="7155" xr:uid="{54C560D9-8B0D-40A7-A830-37F1BAB30BF6}"/>
    <cellStyle name="Comma 7 4 2 4 4 2" xfId="39343" xr:uid="{2690C274-884C-41A8-89B2-7A1ABE08BA10}"/>
    <cellStyle name="Comma 7 4 2 4 5" xfId="11680" xr:uid="{0E28008C-46B5-4725-B64E-8609EBD09930}"/>
    <cellStyle name="Comma 7 4 2 4 5 2" xfId="40350" xr:uid="{5B4F0CD5-1D97-48E6-BDF0-6985243AE7B9}"/>
    <cellStyle name="Comma 7 4 2 4 6" xfId="40992" xr:uid="{C7F1C461-3014-4B5C-988B-DDE50D607FBE}"/>
    <cellStyle name="Comma 7 4 2 4 7" xfId="41201" xr:uid="{33B864A9-81D8-452F-B947-8839EF14A37A}"/>
    <cellStyle name="Comma 7 4 2 4 8" xfId="42204" xr:uid="{FD4690E8-063D-4478-910B-D7C3A2538DAB}"/>
    <cellStyle name="Comma 7 4 2 4 9" xfId="43020" xr:uid="{52F2BFD0-9DEC-4C1B-94BC-BDCB871E8BB4}"/>
    <cellStyle name="Comma 7 4 2 5" xfId="6549" xr:uid="{221A17AA-0E55-44DE-9C99-1D80D630EF3D}"/>
    <cellStyle name="Comma 7 4 2 5 2" xfId="9521" xr:uid="{8006D419-AAA7-4CC2-A42F-CB843D81A0D9}"/>
    <cellStyle name="Comma 7 4 2 5 2 2" xfId="12827" xr:uid="{7FD79033-9AA6-44F8-8EA2-546BBE49A817}"/>
    <cellStyle name="Comma 7 4 2 5 2 2 2" xfId="50852" xr:uid="{DCF8A9CA-0046-4E9E-B563-8EEC8AE73D0A}"/>
    <cellStyle name="Comma 7 4 2 5 2 3" xfId="53705" xr:uid="{E9A92F43-DFC5-4F65-9375-D4D8F16E246E}"/>
    <cellStyle name="Comma 7 4 2 5 2 4" xfId="47983" xr:uid="{61452FB4-ECA6-488F-9046-7AF0E7C5B2D3}"/>
    <cellStyle name="Comma 7 4 2 5 3" xfId="11542" xr:uid="{07B7636C-683D-495B-A8D1-782E47FF1D87}"/>
    <cellStyle name="Comma 7 4 2 5 3 2" xfId="46188" xr:uid="{B045F3CA-0B27-4F88-BA3E-8C4106B832F2}"/>
    <cellStyle name="Comma 7 4 2 5 4" xfId="49524" xr:uid="{7CA83D06-891B-4E36-8C1A-5BE874DDDDFD}"/>
    <cellStyle name="Comma 7 4 2 5 5" xfId="53706" xr:uid="{F350DFF9-D1CB-4A0E-8EE0-E6A66CA5465B}"/>
    <cellStyle name="Comma 7 4 2 5 6" xfId="19996" xr:uid="{BE26AFAB-A70A-4050-81A5-A15C14478633}"/>
    <cellStyle name="Comma 7 4 2 5 7" xfId="14450" xr:uid="{DA71C68E-AB92-416C-AD54-0F6A8129ABB0}"/>
    <cellStyle name="Comma 7 4 2 6" xfId="7523" xr:uid="{89845231-FBA7-4251-B1BD-108E35FA9DF0}"/>
    <cellStyle name="Comma 7 4 2 6 2" xfId="10015" xr:uid="{7A60AD45-DA8D-4578-AA2F-146C955E426A}"/>
    <cellStyle name="Comma 7 4 2 6 2 2" xfId="13321" xr:uid="{AC8258E0-C2FE-47C1-B5EE-FC01E95A8057}"/>
    <cellStyle name="Comma 7 4 2 6 2 2 2" xfId="51314" xr:uid="{1E4D5C95-729A-462A-8299-E58C4B915890}"/>
    <cellStyle name="Comma 7 4 2 6 2 3" xfId="53707" xr:uid="{39C860CA-5FA0-4205-A51E-C044415FB7EA}"/>
    <cellStyle name="Comma 7 4 2 6 2 4" xfId="48528" xr:uid="{DF324D65-4AA8-42C6-8FD1-584D400B4D79}"/>
    <cellStyle name="Comma 7 4 2 6 3" xfId="12036" xr:uid="{84CC3F9F-CFD1-47B2-81A9-D8B460E154A4}"/>
    <cellStyle name="Comma 7 4 2 6 3 2" xfId="46967" xr:uid="{A4757D2F-0DE5-4D33-A46F-5018D7DE1BA4}"/>
    <cellStyle name="Comma 7 4 2 6 4" xfId="49986" xr:uid="{901BD86F-4AF8-42F8-B88D-11902569608F}"/>
    <cellStyle name="Comma 7 4 2 6 5" xfId="53708" xr:uid="{539A5990-CA80-406E-8639-BD3038F1952B}"/>
    <cellStyle name="Comma 7 4 2 6 6" xfId="24025" xr:uid="{B440E052-8AE7-46DC-955C-6AF18123BC49}"/>
    <cellStyle name="Comma 7 4 2 6 7" xfId="14903" xr:uid="{B4C4356E-1683-4EE7-AC67-C4DB9C896161}"/>
    <cellStyle name="Comma 7 4 2 7" xfId="8189" xr:uid="{35C78F64-2F12-4328-9B4D-D03205F1B84C}"/>
    <cellStyle name="Comma 7 4 2 7 2" xfId="12645" xr:uid="{DB1FF154-59AA-480E-A272-DC56D382D554}"/>
    <cellStyle name="Comma 7 4 2 7 2 2" xfId="51570" xr:uid="{CEA4D311-FC54-4AAE-87F8-863C5225E430}"/>
    <cellStyle name="Comma 7 4 2 7 2 3" xfId="53709" xr:uid="{669BC28F-7433-4AC7-A361-9E83E87815FA}"/>
    <cellStyle name="Comma 7 4 2 7 2 4" xfId="48835" xr:uid="{9154C9B6-2FAF-4DE2-85FD-63D4A2CCB50A}"/>
    <cellStyle name="Comma 7 4 2 7 3" xfId="47264" xr:uid="{56CFF5E9-87A5-46E8-B51E-3A56AB227C03}"/>
    <cellStyle name="Comma 7 4 2 7 4" xfId="50242" xr:uid="{E4649D61-72D5-424D-A354-67F8CCC3C3A2}"/>
    <cellStyle name="Comma 7 4 2 7 5" xfId="53710" xr:uid="{69F2DEAD-BE67-417D-9688-FCF7FDD17342}"/>
    <cellStyle name="Comma 7 4 2 7 6" xfId="38522" xr:uid="{086C6393-78DD-4610-850E-4EF039848078}"/>
    <cellStyle name="Comma 7 4 2 8" xfId="7976" xr:uid="{58B3E898-EE01-49B9-A106-FCC505C52D92}"/>
    <cellStyle name="Comma 7 4 2 8 2" xfId="12489" xr:uid="{384B4725-0C40-4E6F-AD7F-12481209DECE}"/>
    <cellStyle name="Comma 7 4 2 8 2 2" xfId="47708" xr:uid="{0934994B-951F-41B1-8313-91A3208CF9CC}"/>
    <cellStyle name="Comma 7 4 2 8 3" xfId="50616" xr:uid="{7497D9C0-2C1F-4D21-9EDB-471FEE3D8E0D}"/>
    <cellStyle name="Comma 7 4 2 8 4" xfId="53711" xr:uid="{80B6DA6D-D98A-46D1-9AA3-8F3F55AF693A}"/>
    <cellStyle name="Comma 7 4 2 8 5" xfId="38752" xr:uid="{1C1F0839-452B-43F4-9379-7CB2F61A8CE8}"/>
    <cellStyle name="Comma 7 4 2 9" xfId="5873" xr:uid="{6E9EE5C3-97AA-4C88-9888-150EC3406C84}"/>
    <cellStyle name="Comma 7 4 2 9 2" xfId="40345" xr:uid="{C4EB1378-D252-42CD-B41E-F8EE3062EC2E}"/>
    <cellStyle name="Comma 7 4 20" xfId="13859" xr:uid="{87D063B6-8ACF-451D-A45F-0BDE40E2E1CF}"/>
    <cellStyle name="Comma 7 4 3" xfId="1804" xr:uid="{9A600AC6-11FB-472B-A5E2-54BE548C7BC6}"/>
    <cellStyle name="Comma 7 4 3 10" xfId="42779" xr:uid="{09F2440A-6F5B-4B50-BA54-29A9AC0A683F}"/>
    <cellStyle name="Comma 7 4 3 11" xfId="43577" xr:uid="{26621CF7-2378-49D7-8BF2-39F5255C42AE}"/>
    <cellStyle name="Comma 7 4 3 12" xfId="44440" xr:uid="{D7773706-5B56-481C-AA72-08087A07CFEF}"/>
    <cellStyle name="Comma 7 4 3 13" xfId="45658" xr:uid="{A08F7223-8E43-4640-ADB2-DEDE317F8649}"/>
    <cellStyle name="Comma 7 4 3 14" xfId="49287" xr:uid="{07740B7D-8EA0-46D9-B790-779D388422B7}"/>
    <cellStyle name="Comma 7 4 3 15" xfId="53712" xr:uid="{EF6BB15B-B669-4E50-9E53-8AE90DF02417}"/>
    <cellStyle name="Comma 7 4 3 16" xfId="17132" xr:uid="{D9898EBA-2B25-4BEC-9779-F13A35BDBF4A}"/>
    <cellStyle name="Comma 7 4 3 17" xfId="13960" xr:uid="{0D9F0B38-8F4F-4B68-BDB9-E9CC9FA07629}"/>
    <cellStyle name="Comma 7 4 3 2" xfId="4480" xr:uid="{BE8BA8BF-B6B6-4A19-BF72-C6AFA9BE375F}"/>
    <cellStyle name="Comma 7 4 3 2 10" xfId="21127" xr:uid="{26B54B2B-7311-407C-8014-EE087BED8069}"/>
    <cellStyle name="Comma 7 4 3 2 11" xfId="14274" xr:uid="{47C0736F-7000-4140-B604-A18E3716C49B}"/>
    <cellStyle name="Comma 7 4 3 2 2" xfId="5737" xr:uid="{63A6D524-4477-4226-87D6-6257D5D03D39}"/>
    <cellStyle name="Comma 7 4 3 2 2 2" xfId="10331" xr:uid="{0EFB8DC3-FFA5-4FA7-806C-1DA43A121B5F}"/>
    <cellStyle name="Comma 7 4 3 2 2 2 2" xfId="13637" xr:uid="{933762A3-1EAA-4D68-8F4D-7516A1E9CB4D}"/>
    <cellStyle name="Comma 7 4 3 2 2 2 2 2" xfId="51109" xr:uid="{8BA0CA73-FD33-4A3A-B117-A4A334D98345}"/>
    <cellStyle name="Comma 7 4 3 2 2 2 3" xfId="53713" xr:uid="{B3D8D80A-A4B6-4689-8FFE-0684C1CB9B60}"/>
    <cellStyle name="Comma 7 4 3 2 2 2 4" xfId="48291" xr:uid="{E9C63D4E-73AE-4BDE-A8A6-3AEDA7295942}"/>
    <cellStyle name="Comma 7 4 3 2 2 3" xfId="7839" xr:uid="{4C86A417-2C74-48F9-B4F2-1D7289328096}"/>
    <cellStyle name="Comma 7 4 3 2 2 3 2" xfId="46749" xr:uid="{CA97FE8A-6CD0-4CBD-9495-0BF18005B742}"/>
    <cellStyle name="Comma 7 4 3 2 2 4" xfId="12352" xr:uid="{922A0D39-DAF3-4129-ACE2-450C456EE5C6}"/>
    <cellStyle name="Comma 7 4 3 2 2 4 2" xfId="49781" xr:uid="{33B6346A-1F4E-47E8-995C-507800FD8C15}"/>
    <cellStyle name="Comma 7 4 3 2 2 5" xfId="53714" xr:uid="{8CED22E8-F165-4DB1-9861-51019DBD5B7A}"/>
    <cellStyle name="Comma 7 4 3 2 2 6" xfId="39693" xr:uid="{41F186B2-F2EC-4CA0-9192-C01958C1FEBF}"/>
    <cellStyle name="Comma 7 4 3 2 2 7" xfId="14766" xr:uid="{E44CCB46-F05F-448A-97C0-D3C953A5198F}"/>
    <cellStyle name="Comma 7 4 3 2 3" xfId="11239" xr:uid="{95A163BC-6C38-4E6A-B3D4-113EA9079359}"/>
    <cellStyle name="Comma 7 4 3 2 3 2" xfId="13801" xr:uid="{4AB671DA-925C-4525-8DB9-5A447907BB48}"/>
    <cellStyle name="Comma 7 4 3 2 3 2 2" xfId="51441" xr:uid="{F200E633-72BA-446B-9B7A-BCE3EEB997F9}"/>
    <cellStyle name="Comma 7 4 3 2 3 2 3" xfId="53715" xr:uid="{23B32968-35F9-472C-9F2E-4AE4F41BAACB}"/>
    <cellStyle name="Comma 7 4 3 2 3 2 4" xfId="48686" xr:uid="{306DABC4-056F-4658-A6D6-3626A45DA922}"/>
    <cellStyle name="Comma 7 4 3 2 3 3" xfId="47123" xr:uid="{9EE4716E-CF21-41F5-9951-D90D6A6DC6A6}"/>
    <cellStyle name="Comma 7 4 3 2 3 4" xfId="50113" xr:uid="{BC03656F-C30A-4AF3-92F8-03F0972AB478}"/>
    <cellStyle name="Comma 7 4 3 2 3 5" xfId="53716" xr:uid="{7DAA0CB0-2078-4A24-9E1B-49FC1699D17E}"/>
    <cellStyle name="Comma 7 4 3 2 3 6" xfId="41546" xr:uid="{874E21B0-2C3F-4540-A4EE-62219906A7E6}"/>
    <cellStyle name="Comma 7 4 3 2 3 7" xfId="15081" xr:uid="{A46F09C1-6B77-48CF-A991-C1D34DE5D0EF}"/>
    <cellStyle name="Comma 7 4 3 2 4" xfId="9837" xr:uid="{6A21DAD6-19A9-4CDA-9C63-BC9EE54A0A59}"/>
    <cellStyle name="Comma 7 4 3 2 4 2" xfId="13143" xr:uid="{1253E936-9561-408E-A509-2C85C65384E9}"/>
    <cellStyle name="Comma 7 4 3 2 4 2 2" xfId="51827" xr:uid="{78E309E9-8179-4D63-B9AA-6EC7DDD515F8}"/>
    <cellStyle name="Comma 7 4 3 2 4 2 3" xfId="53717" xr:uid="{3523080B-500B-4A5D-9A79-29484553CA77}"/>
    <cellStyle name="Comma 7 4 3 2 4 2 4" xfId="49147" xr:uid="{DA38B874-0285-4C3E-8C85-9CE7AB1B08C2}"/>
    <cellStyle name="Comma 7 4 3 2 4 3" xfId="47564" xr:uid="{048C5C55-3998-4C42-8BFC-2CCB43CEA496}"/>
    <cellStyle name="Comma 7 4 3 2 4 4" xfId="50499" xr:uid="{D5991AF3-2F3B-43B1-A05C-52A6B28450A7}"/>
    <cellStyle name="Comma 7 4 3 2 4 5" xfId="53718" xr:uid="{AD40E40A-6716-4B2B-9538-874F188A9D73}"/>
    <cellStyle name="Comma 7 4 3 2 4 6" xfId="43370" xr:uid="{4E2286B7-9291-4077-A5CB-202390FB763D}"/>
    <cellStyle name="Comma 7 4 3 2 5" xfId="7335" xr:uid="{4B6B691A-A07E-4046-90F2-6EB4DC1CE7EB}"/>
    <cellStyle name="Comma 7 4 3 2 5 2" xfId="47844" xr:uid="{BF439C0F-F558-41A1-8114-3511CEF54DA9}"/>
    <cellStyle name="Comma 7 4 3 2 5 3" xfId="50732" xr:uid="{64FFA21A-6447-4D25-85A5-A37B99C93A61}"/>
    <cellStyle name="Comma 7 4 3 2 5 4" xfId="53719" xr:uid="{23B782CC-79EF-42BC-848E-9E2F79922056}"/>
    <cellStyle name="Comma 7 4 3 2 5 5" xfId="44281" xr:uid="{9347DC4A-862A-4245-8AFF-975C697A5454}"/>
    <cellStyle name="Comma 7 4 3 2 6" xfId="11858" xr:uid="{B0058620-B2D4-4DFF-9C57-3C264402ACF4}"/>
    <cellStyle name="Comma 7 4 3 2 6 2" xfId="44581" xr:uid="{B25FFB4B-10C2-495C-AC24-966ED5AE01E3}"/>
    <cellStyle name="Comma 7 4 3 2 7" xfId="45776" xr:uid="{8B724BF7-A8C5-4D05-9DF8-FC7A6E03CBC0}"/>
    <cellStyle name="Comma 7 4 3 2 8" xfId="49404" xr:uid="{C15A4C56-4EF5-48B4-A923-EC8D876432F5}"/>
    <cellStyle name="Comma 7 4 3 2 9" xfId="53720" xr:uid="{E4BC5D09-DFE8-4523-8276-B440B8290AD9}"/>
    <cellStyle name="Comma 7 4 3 3" xfId="5561" xr:uid="{5F3E654C-079C-43C5-99C0-66A453575068}"/>
    <cellStyle name="Comma 7 4 3 3 2" xfId="7663" xr:uid="{726D690A-3E4B-4A32-BBC4-33BFE3DFB6DF}"/>
    <cellStyle name="Comma 7 4 3 3 2 2" xfId="10155" xr:uid="{C4BF6BBD-7C01-4CA3-BBAC-08566BECB43D}"/>
    <cellStyle name="Comma 7 4 3 3 2 2 2" xfId="13461" xr:uid="{824BDB87-D80B-4FFD-A769-F656A93C9D95}"/>
    <cellStyle name="Comma 7 4 3 3 2 2 2 2" xfId="51687" xr:uid="{658F28E6-4201-46A0-AE2F-D2259CAA5EA3}"/>
    <cellStyle name="Comma 7 4 3 3 2 2 3" xfId="53721" xr:uid="{F4E5F6B3-4C4E-4AB1-BB67-88DED748F9F6}"/>
    <cellStyle name="Comma 7 4 3 3 2 2 4" xfId="48975" xr:uid="{9027ED04-7965-452D-B840-BB67CC40530A}"/>
    <cellStyle name="Comma 7 4 3 3 2 3" xfId="12176" xr:uid="{471F8407-A32D-4F3F-9795-E6C6B4330B86}"/>
    <cellStyle name="Comma 7 4 3 3 2 3 2" xfId="47399" xr:uid="{6CAB772D-09B9-4A5E-A084-F6410977E166}"/>
    <cellStyle name="Comma 7 4 3 3 2 4" xfId="50359" xr:uid="{77EED522-7752-48E0-AD85-2E4E46B5E377}"/>
    <cellStyle name="Comma 7 4 3 3 2 5" xfId="53722" xr:uid="{FFAA08F8-EFC3-4846-8408-230657720627}"/>
    <cellStyle name="Comma 7 4 3 3 2 6" xfId="43850" xr:uid="{0A1D08CA-DAE8-44DC-A407-984EE451AEC6}"/>
    <cellStyle name="Comma 7 4 3 3 2 7" xfId="14590" xr:uid="{5CBF35BD-64B6-4459-846F-5F12A9941E02}"/>
    <cellStyle name="Comma 7 4 3 3 3" xfId="9661" xr:uid="{A17D4C5B-6D67-4B8E-B73E-3546E1505CBA}"/>
    <cellStyle name="Comma 7 4 3 3 3 2" xfId="12967" xr:uid="{A4BA5E6E-902C-40E1-9227-B9A1E1A0CF97}"/>
    <cellStyle name="Comma 7 4 3 3 3 2 2" xfId="50969" xr:uid="{0BF80B44-B16E-47A7-A35D-4063896F5498}"/>
    <cellStyle name="Comma 7 4 3 3 3 3" xfId="53723" xr:uid="{713F5F6D-1E55-4691-B1D5-E19F4DD68D6C}"/>
    <cellStyle name="Comma 7 4 3 3 3 4" xfId="48120" xr:uid="{840050C1-DAF0-4892-BCDE-3FFD094D5E99}"/>
    <cellStyle name="Comma 7 4 3 3 4" xfId="7157" xr:uid="{6EFFDAD3-B6BE-4400-AC7C-F3A82D1B4A6F}"/>
    <cellStyle name="Comma 7 4 3 3 4 2" xfId="46608" xr:uid="{46795A17-DC3D-44D6-A0E5-40EF1697A465}"/>
    <cellStyle name="Comma 7 4 3 3 5" xfId="11682" xr:uid="{58B95EB7-62E1-41B1-911D-577F51620B0A}"/>
    <cellStyle name="Comma 7 4 3 3 5 2" xfId="49641" xr:uid="{3B734D22-6AF6-4482-92E0-365796221E8E}"/>
    <cellStyle name="Comma 7 4 3 3 6" xfId="53724" xr:uid="{3589BF01-B657-4A10-91BF-C5FC16996356}"/>
    <cellStyle name="Comma 7 4 3 3 7" xfId="20346" xr:uid="{76589888-8513-47F2-AD85-5DFA493D40E1}"/>
    <cellStyle name="Comma 7 4 3 3 8" xfId="14098" xr:uid="{D974ECB8-5B8B-4690-9412-E25984AC21C6}"/>
    <cellStyle name="Comma 7 4 3 4" xfId="6551" xr:uid="{A8CF48CC-F394-4675-B733-2F795E6F36B6}"/>
    <cellStyle name="Comma 7 4 3 4 2" xfId="9523" xr:uid="{854B5BC4-D678-4CDD-BF87-BCE9260E6EDD}"/>
    <cellStyle name="Comma 7 4 3 4 2 2" xfId="12829" xr:uid="{D15BA278-0F30-44B3-A8DE-A486CF27CDEE}"/>
    <cellStyle name="Comma 7 4 3 4 2 2 2" xfId="50854" xr:uid="{5EB3D56D-DCB0-4A41-83F1-E7F5EC1FDE60}"/>
    <cellStyle name="Comma 7 4 3 4 2 3" xfId="53725" xr:uid="{F1A0F979-3C7D-49D3-AFB5-CD5FBEDCB45D}"/>
    <cellStyle name="Comma 7 4 3 4 2 4" xfId="47985" xr:uid="{4AE52348-8531-4A94-B1F8-45368228A3A4}"/>
    <cellStyle name="Comma 7 4 3 4 3" xfId="11544" xr:uid="{7113666D-C8F0-4C01-B796-25B2012E8615}"/>
    <cellStyle name="Comma 7 4 3 4 3 2" xfId="46190" xr:uid="{B594C80E-7468-4129-A00B-F4A599AAED0D}"/>
    <cellStyle name="Comma 7 4 3 4 4" xfId="49526" xr:uid="{C85824D1-A97D-4609-81ED-C241955B6C3D}"/>
    <cellStyle name="Comma 7 4 3 4 5" xfId="53726" xr:uid="{05D3674E-0A1B-4AAC-BDFA-0676DBC8F2C8}"/>
    <cellStyle name="Comma 7 4 3 4 6" xfId="24031" xr:uid="{CF707035-2392-4174-B726-C8313E645274}"/>
    <cellStyle name="Comma 7 4 3 4 7" xfId="14452" xr:uid="{0B77362E-7002-43E4-9CA1-C84CB085194C}"/>
    <cellStyle name="Comma 7 4 3 5" xfId="7525" xr:uid="{10D32BE9-49F1-4483-BBFA-1BB6C37D4052}"/>
    <cellStyle name="Comma 7 4 3 5 2" xfId="10017" xr:uid="{EB1615BA-84F8-4C15-B48B-B6BB4305B851}"/>
    <cellStyle name="Comma 7 4 3 5 2 2" xfId="13323" xr:uid="{A8A7D41B-F385-4D38-815A-4A61A3087818}"/>
    <cellStyle name="Comma 7 4 3 5 2 2 2" xfId="51316" xr:uid="{D2570D3A-C36F-467F-A7EA-2802AC68819E}"/>
    <cellStyle name="Comma 7 4 3 5 2 3" xfId="53727" xr:uid="{0DA3CB57-11F2-493C-9D6C-4D7CE0F49C5F}"/>
    <cellStyle name="Comma 7 4 3 5 2 4" xfId="48530" xr:uid="{841B2C6B-B423-4708-992C-12AD262067DA}"/>
    <cellStyle name="Comma 7 4 3 5 3" xfId="12038" xr:uid="{7CA45208-2AC3-450C-9A17-DA2CAA1B5C24}"/>
    <cellStyle name="Comma 7 4 3 5 3 2" xfId="46969" xr:uid="{917B23EA-8D53-4C0D-8229-2AB15D1BFFC6}"/>
    <cellStyle name="Comma 7 4 3 5 4" xfId="49988" xr:uid="{EA396557-2FE6-45CC-983B-9745FE447FE7}"/>
    <cellStyle name="Comma 7 4 3 5 5" xfId="53728" xr:uid="{85C82BB4-2C9D-4593-AC6E-DD70FD5B7992}"/>
    <cellStyle name="Comma 7 4 3 5 6" xfId="38528" xr:uid="{1DCEFAB9-4623-4B77-977B-F5A1F2B67DE8}"/>
    <cellStyle name="Comma 7 4 3 5 7" xfId="14905" xr:uid="{9D3A3A4D-776D-48C3-AD28-45ACAB775DBB}"/>
    <cellStyle name="Comma 7 4 3 6" xfId="8191" xr:uid="{0FEDFAE7-38A4-431E-A133-78365F4EC582}"/>
    <cellStyle name="Comma 7 4 3 6 2" xfId="12647" xr:uid="{7208472C-8EDF-4BBE-AC64-CDFFEDB1D80F}"/>
    <cellStyle name="Comma 7 4 3 6 2 2" xfId="51572" xr:uid="{A30FCB79-513D-4FDD-B8BE-EB63C1D6E672}"/>
    <cellStyle name="Comma 7 4 3 6 2 3" xfId="53729" xr:uid="{1E14CFC7-0DAC-4920-91D3-FFB618021E0B}"/>
    <cellStyle name="Comma 7 4 3 6 2 4" xfId="48837" xr:uid="{9F0E8E49-E849-4D43-B189-3C0B0E3B2E39}"/>
    <cellStyle name="Comma 7 4 3 6 3" xfId="47266" xr:uid="{82CF0477-54C8-43E3-A0C5-A8FD80578143}"/>
    <cellStyle name="Comma 7 4 3 6 4" xfId="50244" xr:uid="{8188A5D9-C7D9-4A1D-9EDD-8D9FBAB207BB}"/>
    <cellStyle name="Comma 7 4 3 6 5" xfId="53730" xr:uid="{0FAAE84A-7A50-4B55-9FCB-3AABB53E948E}"/>
    <cellStyle name="Comma 7 4 3 6 6" xfId="39102" xr:uid="{918E2B64-644F-44D3-9064-3BC25A466A87}"/>
    <cellStyle name="Comma 7 4 3 7" xfId="7978" xr:uid="{0CDF3B48-9AFD-49E4-902C-EF40FF6C05DF}"/>
    <cellStyle name="Comma 7 4 3 7 2" xfId="12491" xr:uid="{6819BD9A-8334-45E5-B5EA-2029B4B74C37}"/>
    <cellStyle name="Comma 7 4 3 7 2 2" xfId="47707" xr:uid="{E4302BC5-ECC9-4488-8AF8-8383B9598EE1}"/>
    <cellStyle name="Comma 7 4 3 7 3" xfId="50615" xr:uid="{6233CB02-FD4C-4C1D-935D-897724B8CE26}"/>
    <cellStyle name="Comma 7 4 3 7 4" xfId="53731" xr:uid="{4F40566B-C22C-46D0-833B-38F78CF9ADA9}"/>
    <cellStyle name="Comma 7 4 3 7 5" xfId="40351" xr:uid="{EC23D321-7719-49EC-904C-866C7CC01A75}"/>
    <cellStyle name="Comma 7 4 3 8" xfId="5875" xr:uid="{93BA6F49-4FBD-4378-BF0A-1B9A3C6703F4}"/>
    <cellStyle name="Comma 7 4 3 8 2" xfId="40993" xr:uid="{DBEF781B-9883-4B63-8981-45170AA2AACA}"/>
    <cellStyle name="Comma 7 4 3 9" xfId="11363" xr:uid="{791B1593-350B-4FD7-A9E0-98C5BD86B527}"/>
    <cellStyle name="Comma 7 4 3 9 2" xfId="42205" xr:uid="{8DBCEBD3-5ABC-417B-BB4A-6E40938F4EAF}"/>
    <cellStyle name="Comma 7 4 4" xfId="1805" xr:uid="{5B428485-5CE7-423C-A7E8-1042F7F653B5}"/>
    <cellStyle name="Comma 7 4 4 10" xfId="42855" xr:uid="{7D612E8B-9B8E-4E3F-BD44-0C0F8C51216E}"/>
    <cellStyle name="Comma 7 4 4 11" xfId="43578" xr:uid="{9F19B721-B1E2-461B-A560-42D66AF0A7B1}"/>
    <cellStyle name="Comma 7 4 4 12" xfId="44441" xr:uid="{E4ACE93A-7EC5-495C-AB33-25E1CFD28EA7}"/>
    <cellStyle name="Comma 7 4 4 13" xfId="45753" xr:uid="{BBAC85D0-E05B-4B59-A0D2-01D62CF741C8}"/>
    <cellStyle name="Comma 7 4 4 14" xfId="49381" xr:uid="{21F87722-EA6A-40BC-8BAD-4A33129482CE}"/>
    <cellStyle name="Comma 7 4 4 15" xfId="53732" xr:uid="{54E170E4-185B-4183-AD07-453BD5D9FE19}"/>
    <cellStyle name="Comma 7 4 4 16" xfId="19761" xr:uid="{30626947-5F05-45EC-BBCB-06E1D89A2E51}"/>
    <cellStyle name="Comma 7 4 4 17" xfId="13961" xr:uid="{FC621FA4-21A9-406F-8C16-F458B94D1CB7}"/>
    <cellStyle name="Comma 7 4 4 2" xfId="4481" xr:uid="{2044D003-1A8F-4E67-8487-26D6D15C3A8F}"/>
    <cellStyle name="Comma 7 4 4 2 10" xfId="23378" xr:uid="{8FFE7D8E-4DED-4268-8C7C-B3C66E8F0287}"/>
    <cellStyle name="Comma 7 4 4 2 11" xfId="14275" xr:uid="{E07A7773-5BAD-47FF-9BDB-9506D5688BDC}"/>
    <cellStyle name="Comma 7 4 4 2 2" xfId="5738" xr:uid="{0A00D7CC-F995-4F50-9E9A-87112AAF3E0B}"/>
    <cellStyle name="Comma 7 4 4 2 2 2" xfId="10332" xr:uid="{CB314916-78E5-40C3-8021-374CB5D389D1}"/>
    <cellStyle name="Comma 7 4 4 2 2 2 2" xfId="13638" xr:uid="{CF1E6DEE-FEA4-4F3E-A4DE-95D55B3672DE}"/>
    <cellStyle name="Comma 7 4 4 2 2 2 2 2" xfId="51442" xr:uid="{3E1E9CF6-CC2D-49D7-B116-27DFA6461176}"/>
    <cellStyle name="Comma 7 4 4 2 2 2 3" xfId="53733" xr:uid="{1EE03409-C34E-4886-9F77-CAD8326403CB}"/>
    <cellStyle name="Comma 7 4 4 2 2 2 4" xfId="48687" xr:uid="{A29B82E3-1025-49C1-8563-67F1EB5B9A94}"/>
    <cellStyle name="Comma 7 4 4 2 2 3" xfId="7840" xr:uid="{609EB10F-83CB-4E37-B0C7-B1B314EAAF57}"/>
    <cellStyle name="Comma 7 4 4 2 2 3 2" xfId="47124" xr:uid="{4C933BF9-13CB-4BB8-9C00-50811C1DFCDC}"/>
    <cellStyle name="Comma 7 4 4 2 2 4" xfId="12353" xr:uid="{5D2F2FE4-F36E-4814-B221-2A1A9FE1F1DC}"/>
    <cellStyle name="Comma 7 4 4 2 2 4 2" xfId="50114" xr:uid="{D615EBC9-14CA-47A7-85C1-F4AA63BCAC51}"/>
    <cellStyle name="Comma 7 4 4 2 2 5" xfId="53734" xr:uid="{E553753D-B4FF-488F-86EA-45F7F5644520}"/>
    <cellStyle name="Comma 7 4 4 2 2 6" xfId="39769" xr:uid="{C3B8FA94-7793-4876-B07F-F1A01F53B262}"/>
    <cellStyle name="Comma 7 4 4 2 2 7" xfId="14767" xr:uid="{E334AAC6-0C13-4C0E-8E8B-E280D6DCF624}"/>
    <cellStyle name="Comma 7 4 4 2 3" xfId="9838" xr:uid="{87B99FF2-369B-4DC8-ACEC-326D6C421B17}"/>
    <cellStyle name="Comma 7 4 4 2 3 2" xfId="13144" xr:uid="{6B80F540-69D9-41FB-92B4-31ABFE5F5339}"/>
    <cellStyle name="Comma 7 4 4 2 3 2 2" xfId="51828" xr:uid="{550C849B-038F-49C7-BC4D-A8EA87940296}"/>
    <cellStyle name="Comma 7 4 4 2 3 2 3" xfId="53735" xr:uid="{0A2BC3B3-5E1C-4A00-B9C8-20C266D7EEA7}"/>
    <cellStyle name="Comma 7 4 4 2 3 2 4" xfId="49148" xr:uid="{9B0D5EEB-7082-447B-9C2F-60AE776D3F8C}"/>
    <cellStyle name="Comma 7 4 4 2 3 3" xfId="47565" xr:uid="{DE1F9575-2A47-4906-A15E-7D437D1A08AC}"/>
    <cellStyle name="Comma 7 4 4 2 3 4" xfId="50500" xr:uid="{AC2FA646-4E27-41EE-B719-167C059AE5C0}"/>
    <cellStyle name="Comma 7 4 4 2 3 5" xfId="53736" xr:uid="{7C71518D-5C53-4EFB-B8AD-EA8D70114538}"/>
    <cellStyle name="Comma 7 4 4 2 3 6" xfId="41622" xr:uid="{5A041E2C-73C2-449F-86B0-BE09BDC3B5F4}"/>
    <cellStyle name="Comma 7 4 4 2 3 7" xfId="15082" xr:uid="{11F9EA45-C9B4-4CCA-B1D8-982B68EDB0F4}"/>
    <cellStyle name="Comma 7 4 4 2 4" xfId="7336" xr:uid="{2647B620-1C98-439A-8E9B-B9B68542FE1A}"/>
    <cellStyle name="Comma 7 4 4 2 4 2" xfId="48292" xr:uid="{25E5EF48-7947-44FB-BD91-FC601073739B}"/>
    <cellStyle name="Comma 7 4 4 2 4 3" xfId="51110" xr:uid="{4F738725-DD3C-4F04-860D-D731D799FCF5}"/>
    <cellStyle name="Comma 7 4 4 2 4 4" xfId="53737" xr:uid="{3AABF371-BB32-4670-8F3E-3193BB40B962}"/>
    <cellStyle name="Comma 7 4 4 2 4 5" xfId="43446" xr:uid="{4455353A-BAB0-4005-9066-2C721D3F1B47}"/>
    <cellStyle name="Comma 7 4 4 2 5" xfId="11859" xr:uid="{7E124A62-644E-4695-9872-799A6886B95F}"/>
    <cellStyle name="Comma 7 4 4 2 5 2" xfId="44282" xr:uid="{7FF84897-97E7-4854-9F7C-E57E613A1E88}"/>
    <cellStyle name="Comma 7 4 4 2 6" xfId="44582" xr:uid="{D88470DE-1DA2-4074-B6A0-9118ACE41D30}"/>
    <cellStyle name="Comma 7 4 4 2 7" xfId="46750" xr:uid="{68272D65-59EB-4B21-BE56-24D5D814785B}"/>
    <cellStyle name="Comma 7 4 4 2 8" xfId="49782" xr:uid="{2E0FED20-9FF9-41E0-8B4D-FE39E8172D58}"/>
    <cellStyle name="Comma 7 4 4 2 9" xfId="53738" xr:uid="{696C9855-3C31-4D06-94A4-29679568F554}"/>
    <cellStyle name="Comma 7 4 4 3" xfId="5562" xr:uid="{C10CB42F-D9DA-4332-8980-87A48DFCC8DE}"/>
    <cellStyle name="Comma 7 4 4 3 2" xfId="7664" xr:uid="{6C3C446E-C81D-4DAD-80F8-81812115A2E2}"/>
    <cellStyle name="Comma 7 4 4 3 2 2" xfId="10156" xr:uid="{20913FAF-A870-45A1-B1E0-267CE86E692B}"/>
    <cellStyle name="Comma 7 4 4 3 2 2 2" xfId="13462" xr:uid="{368DE309-069B-4312-9A65-93A38D3FC907}"/>
    <cellStyle name="Comma 7 4 4 3 2 2 2 2" xfId="51688" xr:uid="{53AA53A9-DEC2-4C53-BB1D-116C3DFC41B1}"/>
    <cellStyle name="Comma 7 4 4 3 2 2 3" xfId="53739" xr:uid="{EE0A3903-8861-478F-A753-9D5A48D01A29}"/>
    <cellStyle name="Comma 7 4 4 3 2 2 4" xfId="48976" xr:uid="{894630DC-9429-48CE-8F28-F43E6999061A}"/>
    <cellStyle name="Comma 7 4 4 3 2 3" xfId="12177" xr:uid="{C6B5C451-BD81-4889-8361-442E6C106883}"/>
    <cellStyle name="Comma 7 4 4 3 2 3 2" xfId="47400" xr:uid="{2AE08B2E-7882-4F65-9580-68A2241EBF18}"/>
    <cellStyle name="Comma 7 4 4 3 2 4" xfId="50360" xr:uid="{F319B8EB-FB23-4B03-85A8-38A4695D071D}"/>
    <cellStyle name="Comma 7 4 4 3 2 5" xfId="53740" xr:uid="{95B99713-2067-42F2-BE1D-1E2873AB5CE1}"/>
    <cellStyle name="Comma 7 4 4 3 2 6" xfId="43851" xr:uid="{890DB1D4-9279-43C2-A5F3-6561C79C3862}"/>
    <cellStyle name="Comma 7 4 4 3 2 7" xfId="14591" xr:uid="{47247119-74A9-4F15-AF51-AC4E41B47AB7}"/>
    <cellStyle name="Comma 7 4 4 3 3" xfId="9662" xr:uid="{F756E7D2-A522-447F-91C4-E0FCE701F157}"/>
    <cellStyle name="Comma 7 4 4 3 3 2" xfId="12968" xr:uid="{B9A85DA8-05F5-45E3-B39C-9A3C7E72BF9B}"/>
    <cellStyle name="Comma 7 4 4 3 3 2 2" xfId="50970" xr:uid="{51B2E4FB-C34E-4364-A35B-936B090A06B5}"/>
    <cellStyle name="Comma 7 4 4 3 3 3" xfId="53741" xr:uid="{23A02DF6-3560-460E-912D-EA8BEEEF0B1A}"/>
    <cellStyle name="Comma 7 4 4 3 3 4" xfId="48121" xr:uid="{111F6F81-C17E-4B95-A49B-1A9274C15CB1}"/>
    <cellStyle name="Comma 7 4 4 3 4" xfId="7158" xr:uid="{CDCCFD4B-4698-4370-9432-7570EFF956C2}"/>
    <cellStyle name="Comma 7 4 4 3 4 2" xfId="46609" xr:uid="{55983D0B-927B-48DE-B18E-16F163CBB3D9}"/>
    <cellStyle name="Comma 7 4 4 3 5" xfId="11683" xr:uid="{24DD428D-16B1-49AF-89B0-5A8E71CB5F1A}"/>
    <cellStyle name="Comma 7 4 4 3 5 2" xfId="49642" xr:uid="{93848EAA-75C3-496D-903D-6C597E23B39D}"/>
    <cellStyle name="Comma 7 4 4 3 6" xfId="53742" xr:uid="{950CAA84-E357-486A-A106-C643631BEF41}"/>
    <cellStyle name="Comma 7 4 4 3 7" xfId="20422" xr:uid="{FA44FD74-58FF-4DDB-85BD-231AB57D0FB4}"/>
    <cellStyle name="Comma 7 4 4 3 8" xfId="14099" xr:uid="{D46801CB-C8E2-4904-98A3-3EA3A6306B57}"/>
    <cellStyle name="Comma 7 4 4 4" xfId="6552" xr:uid="{9E0C0072-93E1-46FE-B19B-BBB39E7D374A}"/>
    <cellStyle name="Comma 7 4 4 4 2" xfId="9524" xr:uid="{EB8D0204-4D1E-4994-B653-1110DDB52E11}"/>
    <cellStyle name="Comma 7 4 4 4 2 2" xfId="12830" xr:uid="{66282BA2-F921-4E49-AEC8-88B363A1BC57}"/>
    <cellStyle name="Comma 7 4 4 4 2 2 2" xfId="50855" xr:uid="{A44FDA4B-89BA-43F4-B4BD-B308352285FA}"/>
    <cellStyle name="Comma 7 4 4 4 2 3" xfId="53743" xr:uid="{8F8176CE-4861-4B24-864E-9D2F10BABEDF}"/>
    <cellStyle name="Comma 7 4 4 4 2 4" xfId="47986" xr:uid="{C5C2E9CC-EBAB-4E3B-B7F8-D0E672FA7FA1}"/>
    <cellStyle name="Comma 7 4 4 4 3" xfId="11545" xr:uid="{3EC81648-B3E0-47E6-A508-6EF23DEDBA8E}"/>
    <cellStyle name="Comma 7 4 4 4 3 2" xfId="46191" xr:uid="{3D1FAE3D-9275-4986-8627-3E42EFC2493E}"/>
    <cellStyle name="Comma 7 4 4 4 4" xfId="49527" xr:uid="{D9C09D97-A13A-4B8A-B73E-566E32E03073}"/>
    <cellStyle name="Comma 7 4 4 4 5" xfId="53744" xr:uid="{444BE5B2-1820-4F6A-8EE9-12DFD365A2BB}"/>
    <cellStyle name="Comma 7 4 4 4 6" xfId="24032" xr:uid="{A8A44421-E2E6-44C9-AF23-ED232C17E9A1}"/>
    <cellStyle name="Comma 7 4 4 4 7" xfId="14453" xr:uid="{5FCFCF69-C32B-4066-9DB8-CEB6D2C6A217}"/>
    <cellStyle name="Comma 7 4 4 5" xfId="7526" xr:uid="{8A615336-64D0-4ADC-89A9-A5B4432FE320}"/>
    <cellStyle name="Comma 7 4 4 5 2" xfId="10018" xr:uid="{71BF4C82-12BB-441E-944D-90B0627E2DF8}"/>
    <cellStyle name="Comma 7 4 4 5 2 2" xfId="13324" xr:uid="{8231F28C-8F1E-40B7-A52A-2F814B45A9B7}"/>
    <cellStyle name="Comma 7 4 4 5 2 2 2" xfId="51317" xr:uid="{5410BF3F-9C0A-4638-95AE-DBC356DC33D5}"/>
    <cellStyle name="Comma 7 4 4 5 2 3" xfId="53745" xr:uid="{5FD03A24-DB26-42D8-9E14-EED85E454D1A}"/>
    <cellStyle name="Comma 7 4 4 5 2 4" xfId="48531" xr:uid="{B48CE0EA-A5C0-472B-97CB-DF80558AC450}"/>
    <cellStyle name="Comma 7 4 4 5 3" xfId="12039" xr:uid="{04456E4F-004B-4C29-A0C1-4D01C2DCDF7C}"/>
    <cellStyle name="Comma 7 4 4 5 3 2" xfId="46970" xr:uid="{B3B41CFE-BA5D-4DC4-A27E-C1F7D723D919}"/>
    <cellStyle name="Comma 7 4 4 5 4" xfId="49989" xr:uid="{C497A253-EF7C-4D07-939F-C5E461D2A6F7}"/>
    <cellStyle name="Comma 7 4 4 5 5" xfId="53746" xr:uid="{42D1C706-0220-49D7-81B7-63D5922AC33E}"/>
    <cellStyle name="Comma 7 4 4 5 6" xfId="38529" xr:uid="{8391B312-36CC-4600-9ED2-5D9804FCDFE5}"/>
    <cellStyle name="Comma 7 4 4 5 7" xfId="14906" xr:uid="{0F7EDB99-4F69-4D7C-B059-5C037170751B}"/>
    <cellStyle name="Comma 7 4 4 6" xfId="8192" xr:uid="{E6D67BF8-5A72-4832-B1A2-D66CC5C9B7D6}"/>
    <cellStyle name="Comma 7 4 4 6 2" xfId="12648" xr:uid="{61FF86A7-9BFC-428D-8830-58AD66776672}"/>
    <cellStyle name="Comma 7 4 4 6 2 2" xfId="51573" xr:uid="{FB53D49D-240D-47A9-B40D-3F4ED709876C}"/>
    <cellStyle name="Comma 7 4 4 6 2 3" xfId="53747" xr:uid="{F61ECDAC-41E2-4F9E-9F80-503E8B173956}"/>
    <cellStyle name="Comma 7 4 4 6 2 4" xfId="48838" xr:uid="{79ABA0E6-19E2-4950-BAC8-3808DB474A0D}"/>
    <cellStyle name="Comma 7 4 4 6 3" xfId="47267" xr:uid="{2A8023ED-845B-46B0-8553-F51CB7F6C35C}"/>
    <cellStyle name="Comma 7 4 4 6 4" xfId="50245" xr:uid="{3D57484B-8064-4403-B60B-040276A2A647}"/>
    <cellStyle name="Comma 7 4 4 6 5" xfId="53748" xr:uid="{2489FC77-2C6C-420F-8194-F97FC53547CD}"/>
    <cellStyle name="Comma 7 4 4 6 6" xfId="39178" xr:uid="{678A8F62-7D6D-4985-9F7F-544F25AE7357}"/>
    <cellStyle name="Comma 7 4 4 7" xfId="7979" xr:uid="{88E8E107-32CD-4124-A4DD-53DC78C1267D}"/>
    <cellStyle name="Comma 7 4 4 7 2" xfId="12492" xr:uid="{0D4F8589-54BE-4338-90CC-5BF411791B34}"/>
    <cellStyle name="Comma 7 4 4 7 2 2" xfId="47821" xr:uid="{5318FA98-5F71-49C0-AC6C-6B50E637814D}"/>
    <cellStyle name="Comma 7 4 4 7 3" xfId="50709" xr:uid="{2EF0E4AB-8F14-48D5-8767-17DDD148FB06}"/>
    <cellStyle name="Comma 7 4 4 7 4" xfId="53749" xr:uid="{636139C5-97F4-44FA-9FC9-B557ED2BE86E}"/>
    <cellStyle name="Comma 7 4 4 7 5" xfId="40352" xr:uid="{629D42C0-535A-4560-A150-C33ED19E828B}"/>
    <cellStyle name="Comma 7 4 4 8" xfId="5876" xr:uid="{853EA3CD-5C6E-4BAB-8978-0783AF38461E}"/>
    <cellStyle name="Comma 7 4 4 8 2" xfId="40994" xr:uid="{752AF342-1CEF-4C32-9C97-993F13689165}"/>
    <cellStyle name="Comma 7 4 4 9" xfId="11364" xr:uid="{0EEA62CA-956A-46A6-9800-5D349317DCCC}"/>
    <cellStyle name="Comma 7 4 4 9 2" xfId="42206" xr:uid="{B8A446F4-0E48-49EA-AC72-60E050BEB73B}"/>
    <cellStyle name="Comma 7 4 5" xfId="4477" xr:uid="{335D94C5-28D1-4ACC-A003-940E75DCFCBC}"/>
    <cellStyle name="Comma 7 4 5 10" xfId="44578" xr:uid="{A743C498-D6FA-48B7-B097-9492BD873A31}"/>
    <cellStyle name="Comma 7 4 5 11" xfId="45732" xr:uid="{7B47CA83-9FFD-4BDF-889D-7369E7240861}"/>
    <cellStyle name="Comma 7 4 5 12" xfId="49360" xr:uid="{FD2C41A3-444F-4FDE-B0F2-681357C039C0}"/>
    <cellStyle name="Comma 7 4 5 13" xfId="53750" xr:uid="{C08BE0C2-072C-47AA-87CA-0B102EED3FDD}"/>
    <cellStyle name="Comma 7 4 5 14" xfId="20761" xr:uid="{752A633A-F4E9-4918-B3C4-7B9090BB5B71}"/>
    <cellStyle name="Comma 7 4 5 15" xfId="13957" xr:uid="{89818441-7A3F-4CE1-ADD3-C0812D9DBDFD}"/>
    <cellStyle name="Comma 7 4 5 2" xfId="5734" xr:uid="{052A95F2-EEC3-44C4-9DA4-067768952D37}"/>
    <cellStyle name="Comma 7 4 5 2 2" xfId="7836" xr:uid="{6F665A27-070B-479D-9699-A3F3E5C80306}"/>
    <cellStyle name="Comma 7 4 5 2 2 2" xfId="10328" xr:uid="{A42D05B9-206D-4DAA-B036-3E0522896E63}"/>
    <cellStyle name="Comma 7 4 5 2 2 2 2" xfId="13634" xr:uid="{4FE31FEE-D413-4A8E-B650-BE1BCAD8CC99}"/>
    <cellStyle name="Comma 7 4 5 2 2 2 2 2" xfId="51824" xr:uid="{05A80C9E-59F1-444C-BCC0-5F939E1E0ABE}"/>
    <cellStyle name="Comma 7 4 5 2 2 2 3" xfId="53751" xr:uid="{DF6020FD-415C-42D1-8CC5-43E44CE3F628}"/>
    <cellStyle name="Comma 7 4 5 2 2 2 4" xfId="49144" xr:uid="{4E14AE26-0210-4FE8-A314-057FB0F148DD}"/>
    <cellStyle name="Comma 7 4 5 2 2 3" xfId="12349" xr:uid="{EA41156E-C97B-4603-8313-C79615C15024}"/>
    <cellStyle name="Comma 7 4 5 2 2 3 2" xfId="47561" xr:uid="{91E4AF71-D93C-49A3-AA8C-EDAFE338BBB3}"/>
    <cellStyle name="Comma 7 4 5 2 2 4" xfId="50496" xr:uid="{C1A8C3E6-4772-46DE-A2A2-C0078FD087F8}"/>
    <cellStyle name="Comma 7 4 5 2 2 5" xfId="53752" xr:uid="{A454945D-F5AD-454F-A604-0CA6FA04D1CD}"/>
    <cellStyle name="Comma 7 4 5 2 2 6" xfId="44278" xr:uid="{4E32CC0A-0FD4-4727-8A70-5F363929CC0D}"/>
    <cellStyle name="Comma 7 4 5 2 2 7" xfId="14763" xr:uid="{EC330E44-03E9-45C0-B725-5843CDAC55A4}"/>
    <cellStyle name="Comma 7 4 5 2 3" xfId="9834" xr:uid="{E7D3B5A6-3724-495B-8014-8AE0C828548A}"/>
    <cellStyle name="Comma 7 4 5 2 3 2" xfId="13140" xr:uid="{FE8ABE47-6A4F-49DA-8615-B13C5562CD19}"/>
    <cellStyle name="Comma 7 4 5 2 3 2 2" xfId="51106" xr:uid="{F5D5B241-C9AA-4FEE-BCC8-CD48BDB2A169}"/>
    <cellStyle name="Comma 7 4 5 2 3 3" xfId="53753" xr:uid="{1268F79C-FF8D-4DBC-8CFF-B0465D416497}"/>
    <cellStyle name="Comma 7 4 5 2 3 4" xfId="48288" xr:uid="{80C6EF84-9C74-4B22-8525-6ABE5BC5619D}"/>
    <cellStyle name="Comma 7 4 5 2 4" xfId="7332" xr:uid="{A00A7353-5A4A-4790-B286-4893518E118A}"/>
    <cellStyle name="Comma 7 4 5 2 4 2" xfId="46746" xr:uid="{A72478AA-EC6A-4CAC-B56E-99E9C7D57149}"/>
    <cellStyle name="Comma 7 4 5 2 5" xfId="11855" xr:uid="{6FC2C955-8FC1-4DC2-9AA2-29591471496D}"/>
    <cellStyle name="Comma 7 4 5 2 5 2" xfId="49778" xr:uid="{3D7A5481-7E8D-44D7-9714-742117510A84}"/>
    <cellStyle name="Comma 7 4 5 2 6" xfId="53754" xr:uid="{D0301BBA-632A-4807-9AB4-CDE184B94154}"/>
    <cellStyle name="Comma 7 4 5 2 7" xfId="24033" xr:uid="{0E3E1EAF-B0AA-40CE-AF6D-50F69AA24689}"/>
    <cellStyle name="Comma 7 4 5 2 8" xfId="14271" xr:uid="{8279673A-67EA-4555-A660-841C4F4C1292}"/>
    <cellStyle name="Comma 7 4 5 3" xfId="7522" xr:uid="{E8590299-B50B-43E8-9F84-3F037080BD2F}"/>
    <cellStyle name="Comma 7 4 5 3 2" xfId="10014" xr:uid="{B9D94615-5259-4697-82D1-99B3A523F4C9}"/>
    <cellStyle name="Comma 7 4 5 3 2 2" xfId="13320" xr:uid="{E174CCED-A4CA-4A7C-B162-42F62DA734D2}"/>
    <cellStyle name="Comma 7 4 5 3 2 2 2" xfId="50851" xr:uid="{03B7AAE0-54E4-445B-9114-31E935386ADF}"/>
    <cellStyle name="Comma 7 4 5 3 2 3" xfId="53755" xr:uid="{CBA2AC5E-B60A-411C-98E1-83A3E70469DB}"/>
    <cellStyle name="Comma 7 4 5 3 2 4" xfId="47982" xr:uid="{B2018BF2-C8E2-482F-A3AC-7158D721CEC4}"/>
    <cellStyle name="Comma 7 4 5 3 3" xfId="12035" xr:uid="{08936EE4-B3D4-4F75-A052-CC19BE0917B9}"/>
    <cellStyle name="Comma 7 4 5 3 3 2" xfId="46187" xr:uid="{9C5F40D4-C639-439B-9C6D-765EE16D515D}"/>
    <cellStyle name="Comma 7 4 5 3 4" xfId="49523" xr:uid="{0EFB7E36-0DE5-4C8A-84F0-141898764E25}"/>
    <cellStyle name="Comma 7 4 5 3 5" xfId="53756" xr:uid="{4B531AF0-3FF0-4ABD-B3B2-28A72E2DDAEE}"/>
    <cellStyle name="Comma 7 4 5 3 6" xfId="38530" xr:uid="{ADA35BCA-CE7F-4719-BC5E-27E012800786}"/>
    <cellStyle name="Comma 7 4 5 3 7" xfId="14449" xr:uid="{F876DB02-DEB2-46D2-8883-FC8F0C14BF35}"/>
    <cellStyle name="Comma 7 4 5 4" xfId="11163" xr:uid="{CA0C4822-7114-47B3-BB8F-306969A87062}"/>
    <cellStyle name="Comma 7 4 5 4 2" xfId="13758" xr:uid="{340F849A-8DFA-4429-9B6E-3B917B81D56D}"/>
    <cellStyle name="Comma 7 4 5 4 2 2" xfId="51313" xr:uid="{F41442D5-2ABD-41EA-9A96-7FBAF517ABA1}"/>
    <cellStyle name="Comma 7 4 5 4 2 3" xfId="53757" xr:uid="{95729DE6-DC9D-4ABB-BD5E-C03333EF9CAF}"/>
    <cellStyle name="Comma 7 4 5 4 2 4" xfId="48527" xr:uid="{94481F4F-2B95-4363-9BFE-0B1E98919D31}"/>
    <cellStyle name="Comma 7 4 5 4 3" xfId="46966" xr:uid="{5F13819B-7FB3-40D9-AEEA-D153E7073428}"/>
    <cellStyle name="Comma 7 4 5 4 4" xfId="49985" xr:uid="{BA10B7A4-2E28-4232-A1C0-00BBEA120123}"/>
    <cellStyle name="Comma 7 4 5 4 5" xfId="53758" xr:uid="{2058F8FF-E113-4265-88C9-FAD9B7ABD7AD}"/>
    <cellStyle name="Comma 7 4 5 4 6" xfId="39387" xr:uid="{B6D96BC7-AC97-4C1E-BB15-D2C70639BEB9}"/>
    <cellStyle name="Comma 7 4 5 4 7" xfId="15078" xr:uid="{9B77E742-6402-4E20-890C-A834450DFB79}"/>
    <cellStyle name="Comma 7 4 5 5" xfId="9520" xr:uid="{B9CB3DCF-5053-421F-B483-96D65881ED49}"/>
    <cellStyle name="Comma 7 4 5 5 2" xfId="12826" xr:uid="{C4E90637-DACB-46AB-A38E-CAAB57C65E7E}"/>
    <cellStyle name="Comma 7 4 5 5 2 2" xfId="51569" xr:uid="{059C30BE-F05C-454A-AA24-4A37C165CD42}"/>
    <cellStyle name="Comma 7 4 5 5 2 3" xfId="53759" xr:uid="{E19DFC4B-94A4-42F4-8BF0-30858D51C8A1}"/>
    <cellStyle name="Comma 7 4 5 5 2 4" xfId="48834" xr:uid="{E71CCFE6-5D36-497C-A165-B3517FDD3F7E}"/>
    <cellStyle name="Comma 7 4 5 5 3" xfId="47263" xr:uid="{FB6E857A-AB26-48C0-A6CC-AFC9450660C0}"/>
    <cellStyle name="Comma 7 4 5 5 4" xfId="50241" xr:uid="{BA6B83CD-E549-4819-9AAD-7EA15FD675E4}"/>
    <cellStyle name="Comma 7 4 5 5 5" xfId="53760" xr:uid="{03E64E93-F702-4F9A-93D7-E824B3EDA914}"/>
    <cellStyle name="Comma 7 4 5 5 6" xfId="40353" xr:uid="{244108DA-2FE5-49D6-B341-E6F896B3D047}"/>
    <cellStyle name="Comma 7 4 5 6" xfId="6548" xr:uid="{91488BF9-8EA3-4969-81C6-6C039F0D8B5A}"/>
    <cellStyle name="Comma 7 4 5 6 2" xfId="47789" xr:uid="{B6DB3593-7634-47AD-BFCD-6BE544D10BD8}"/>
    <cellStyle name="Comma 7 4 5 6 3" xfId="50688" xr:uid="{10377B41-5B7D-49EA-97E4-3E6B445AFA36}"/>
    <cellStyle name="Comma 7 4 5 6 4" xfId="53761" xr:uid="{4FC23648-F956-4058-9088-1BFE33539DF3}"/>
    <cellStyle name="Comma 7 4 5 6 5" xfId="40995" xr:uid="{9C6F8B84-7003-4457-8143-835887806D2C}"/>
    <cellStyle name="Comma 7 4 5 7" xfId="11541" xr:uid="{BA38695B-6EA7-4A48-9D7F-6EF4F28934B2}"/>
    <cellStyle name="Comma 7 4 5 7 2" xfId="42207" xr:uid="{29436B61-A65A-48D7-AC0F-D0599E0079BE}"/>
    <cellStyle name="Comma 7 4 5 8" xfId="43064" xr:uid="{6BB8D151-4953-4D03-9285-B9AF766D7ABD}"/>
    <cellStyle name="Comma 7 4 5 9" xfId="43574" xr:uid="{82139AC7-628D-4D83-9C5B-EDA5305C0CCC}"/>
    <cellStyle name="Comma 7 4 6" xfId="3895" xr:uid="{02E56767-6267-4514-845F-A0B76BFFD68C}"/>
    <cellStyle name="Comma 7 4 6 2" xfId="5637" xr:uid="{8BC85C0E-CF94-4EB8-86B5-8D87C24EEA96}"/>
    <cellStyle name="Comma 7 4 6 2 2" xfId="10231" xr:uid="{A2B16C15-57BB-4545-BCA6-3322B0167EFB}"/>
    <cellStyle name="Comma 7 4 6 2 2 2" xfId="13537" xr:uid="{E6CFA22C-9F9D-40C3-B536-3BEFEB814F9B}"/>
    <cellStyle name="Comma 7 4 6 2 2 2 2" xfId="51228" xr:uid="{4BDE5A23-6667-4A4C-8BCF-E3D8FC655057}"/>
    <cellStyle name="Comma 7 4 6 2 2 3" xfId="53762" xr:uid="{6EA8CA63-3757-4A83-8E71-72FBF4BEE4E9}"/>
    <cellStyle name="Comma 7 4 6 2 2 4" xfId="48434" xr:uid="{97034DD8-76CA-4446-B8A3-1BC8A289C5AC}"/>
    <cellStyle name="Comma 7 4 6 2 3" xfId="7739" xr:uid="{DFC386AC-F4F5-4A2E-8243-877D1A28B2D7}"/>
    <cellStyle name="Comma 7 4 6 2 3 2" xfId="46878" xr:uid="{17F9EDAD-58C6-4981-99DA-C3BAEF36F012}"/>
    <cellStyle name="Comma 7 4 6 2 4" xfId="12252" xr:uid="{67A05363-B88F-4AA6-95A9-A8DB5020523C}"/>
    <cellStyle name="Comma 7 4 6 2 4 2" xfId="49900" xr:uid="{EE580DCE-2B47-4A08-B0BB-51882E2F525F}"/>
    <cellStyle name="Comma 7 4 6 2 5" xfId="53763" xr:uid="{EF0353B8-94C2-4F77-843E-B17B4B61AE55}"/>
    <cellStyle name="Comma 7 4 6 2 6" xfId="43906" xr:uid="{814F67E4-B10B-4024-BA0E-8295492A66E6}"/>
    <cellStyle name="Comma 7 4 6 2 7" xfId="14666" xr:uid="{4ED159B8-D0A7-4099-90CD-099B869F0733}"/>
    <cellStyle name="Comma 7 4 6 3" xfId="9737" xr:uid="{997509AB-6590-4EF0-98E7-ADFA67F51A2C}"/>
    <cellStyle name="Comma 7 4 6 3 2" xfId="13043" xr:uid="{094929D6-6577-41DB-932C-9E6FD8B4BFE8}"/>
    <cellStyle name="Comma 7 4 6 3 2 2" xfId="51739" xr:uid="{CEDB5036-9282-4246-A424-2AA478CFDCD2}"/>
    <cellStyle name="Comma 7 4 6 3 2 3" xfId="53764" xr:uid="{4F5C95F4-F703-4C39-B4C6-0D969B473CA9}"/>
    <cellStyle name="Comma 7 4 6 3 2 4" xfId="49049" xr:uid="{8154ED31-F650-42F9-BC2A-DF88C07A685C}"/>
    <cellStyle name="Comma 7 4 6 3 3" xfId="47468" xr:uid="{5CDB0AD1-9F69-4AB8-983C-10E09A3D14B7}"/>
    <cellStyle name="Comma 7 4 6 3 4" xfId="50411" xr:uid="{5EE3BC82-7EFE-4149-818A-897813141A7D}"/>
    <cellStyle name="Comma 7 4 6 3 5" xfId="53765" xr:uid="{C25A32FD-2ABB-4365-852D-9C2589771DDC}"/>
    <cellStyle name="Comma 7 4 6 3 6" xfId="44493" xr:uid="{F7B9433C-5611-4945-95D3-2D8864BB4EA3}"/>
    <cellStyle name="Comma 7 4 6 3 7" xfId="14981" xr:uid="{8125E378-C35C-4BBC-B737-ADB41020FC5D}"/>
    <cellStyle name="Comma 7 4 6 4" xfId="7233" xr:uid="{F201CEF5-FBAC-437B-9C5E-793D0D3151FE}"/>
    <cellStyle name="Comma 7 4 6 4 2" xfId="51021" xr:uid="{EB8B52B9-2450-4732-9261-FF1F45A20908}"/>
    <cellStyle name="Comma 7 4 6 4 3" xfId="53766" xr:uid="{0C65BD27-7DC4-4620-AE40-010138957A67}"/>
    <cellStyle name="Comma 7 4 6 4 4" xfId="48194" xr:uid="{A01C5464-B11F-4840-98D5-7C57DD766A33}"/>
    <cellStyle name="Comma 7 4 6 5" xfId="11758" xr:uid="{8C07CDA8-8112-400A-AE62-6775BB836166}"/>
    <cellStyle name="Comma 7 4 6 5 2" xfId="46660" xr:uid="{0DB5568E-FD04-4A05-A37D-2520A340114E}"/>
    <cellStyle name="Comma 7 4 6 6" xfId="49693" xr:uid="{6D926E70-A7E6-4F2D-BB7A-230A75470EB5}"/>
    <cellStyle name="Comma 7 4 6 7" xfId="53767" xr:uid="{2A6044F6-8690-439C-A2A4-B34BC3DBF29C}"/>
    <cellStyle name="Comma 7 4 6 8" xfId="20040" xr:uid="{1E1B2231-B964-4BA1-B135-257227824153}"/>
    <cellStyle name="Comma 7 4 6 9" xfId="14174" xr:uid="{1409CCB4-5C73-4E75-B2DA-24B490E3B195}"/>
    <cellStyle name="Comma 7 4 7" xfId="5558" xr:uid="{00183F76-3816-43DD-8237-5B6A6F7C29FD}"/>
    <cellStyle name="Comma 7 4 7 2" xfId="7660" xr:uid="{F6B54A0F-E1FD-4C7F-928C-298EF1A83BA1}"/>
    <cellStyle name="Comma 7 4 7 2 2" xfId="10152" xr:uid="{4400EB62-D863-4D4B-8BA3-2F43D69F5B17}"/>
    <cellStyle name="Comma 7 4 7 2 2 2" xfId="13458" xr:uid="{31623AAA-82C7-4B81-9D79-F17F8EE99822}"/>
    <cellStyle name="Comma 7 4 7 2 2 2 2" xfId="51406" xr:uid="{7F60B50A-2011-4298-B489-A1A1CE072994}"/>
    <cellStyle name="Comma 7 4 7 2 2 3" xfId="53768" xr:uid="{48C946DA-97AC-4DDE-8A01-1C32010AF24D}"/>
    <cellStyle name="Comma 7 4 7 2 2 4" xfId="48643" xr:uid="{02FE9FAA-01AF-4BDB-AFFD-F52516E17575}"/>
    <cellStyle name="Comma 7 4 7 2 3" xfId="12173" xr:uid="{4EA42CE9-2F7E-4B14-A527-4B13680F967E}"/>
    <cellStyle name="Comma 7 4 7 2 3 2" xfId="47077" xr:uid="{67237E48-CDE8-4B69-AA76-F678F76C4650}"/>
    <cellStyle name="Comma 7 4 7 2 4" xfId="50078" xr:uid="{3D1510AE-3FF8-4CA8-ACCF-1436E969A7C6}"/>
    <cellStyle name="Comma 7 4 7 2 5" xfId="53769" xr:uid="{10BFCBD1-F2C2-477B-8EAF-A0D878B188A9}"/>
    <cellStyle name="Comma 7 4 7 2 6" xfId="43847" xr:uid="{36332DD7-5D52-4157-9850-C3AE7D255FA2}"/>
    <cellStyle name="Comma 7 4 7 2 7" xfId="14587" xr:uid="{F9EFB03D-797F-45A3-B626-03F3920A9F44}"/>
    <cellStyle name="Comma 7 4 7 3" xfId="9658" xr:uid="{E29EB232-1C0D-4347-9100-8D899DEC6722}"/>
    <cellStyle name="Comma 7 4 7 3 2" xfId="12964" xr:uid="{A91AB3C5-C88D-43C0-87A3-60344163E0F5}"/>
    <cellStyle name="Comma 7 4 7 3 2 2" xfId="51684" xr:uid="{A133A424-E49F-4E20-A575-DE820F899814}"/>
    <cellStyle name="Comma 7 4 7 3 2 3" xfId="53770" xr:uid="{F1B7BB19-A64C-4DDD-BDAB-6150F9D2E02F}"/>
    <cellStyle name="Comma 7 4 7 3 2 4" xfId="48972" xr:uid="{45FE91F9-AEE9-459E-8287-8C32E53E6988}"/>
    <cellStyle name="Comma 7 4 7 3 3" xfId="50356" xr:uid="{A1BB672B-BB0D-4A87-8EF1-0E89A063012C}"/>
    <cellStyle name="Comma 7 4 7 3 4" xfId="53771" xr:uid="{EC837F4B-ABCF-4513-B939-A39EA56A2F05}"/>
    <cellStyle name="Comma 7 4 7 3 5" xfId="47396" xr:uid="{9B1A3125-EEE4-4FC6-89A4-0C38038EF545}"/>
    <cellStyle name="Comma 7 4 7 4" xfId="7154" xr:uid="{32ED67B2-53CD-459F-A27E-B295EA7BE669}"/>
    <cellStyle name="Comma 7 4 7 4 2" xfId="50966" xr:uid="{9AF1FD4C-872B-496A-B145-0429842E377B}"/>
    <cellStyle name="Comma 7 4 7 4 3" xfId="53772" xr:uid="{7D4A1FC4-C7D3-4745-B5DA-24BED17221AB}"/>
    <cellStyle name="Comma 7 4 7 4 4" xfId="48117" xr:uid="{6D2230D8-DA52-4B19-A2ED-8A963D5AA8BA}"/>
    <cellStyle name="Comma 7 4 7 5" xfId="11679" xr:uid="{7FE54DCE-C10D-494C-9802-23CA97880901}"/>
    <cellStyle name="Comma 7 4 7 5 2" xfId="46605" xr:uid="{726AC9C0-33B2-47EB-8048-547489619145}"/>
    <cellStyle name="Comma 7 4 7 6" xfId="49638" xr:uid="{4A26CD81-E2C5-45C2-97D0-4FAE777738F9}"/>
    <cellStyle name="Comma 7 4 7 7" xfId="53773" xr:uid="{0077E754-B841-452C-A468-331F8C15D089}"/>
    <cellStyle name="Comma 7 4 7 8" xfId="24024" xr:uid="{1A4D5337-B02A-44E2-BEB0-2B02361A635F}"/>
    <cellStyle name="Comma 7 4 7 9" xfId="14095" xr:uid="{77B04C97-2CAB-4B04-B8A0-632E3F9851ED}"/>
    <cellStyle name="Comma 7 4 8" xfId="5962" xr:uid="{CA2EC46A-5293-4DF4-84E5-C90405037BCE}"/>
    <cellStyle name="Comma 7 4 8 2" xfId="9420" xr:uid="{8DF784A1-867A-4DE4-B734-18A49F7D1E67}"/>
    <cellStyle name="Comma 7 4 8 2 2" xfId="12726" xr:uid="{6ADBE02B-A295-4A30-865E-59BF7B91E6FA}"/>
    <cellStyle name="Comma 7 4 8 2 2 2" xfId="50766" xr:uid="{18E6CD4F-D74B-42D3-912A-E93628FCB8B5}"/>
    <cellStyle name="Comma 7 4 8 2 3" xfId="53774" xr:uid="{681EFCA5-9F69-4CB1-A01F-5AE5445949C4}"/>
    <cellStyle name="Comma 7 4 8 2 4" xfId="47889" xr:uid="{3477C760-66E9-4D7C-BCB2-644AC03BB370}"/>
    <cellStyle name="Comma 7 4 8 3" xfId="11441" xr:uid="{3EEF6FD3-449F-450A-8AE4-D32F6F4EB0B4}"/>
    <cellStyle name="Comma 7 4 8 3 2" xfId="45816" xr:uid="{01FF1E19-0EF0-4995-B42B-80EE4D45CC46}"/>
    <cellStyle name="Comma 7 4 8 4" xfId="49438" xr:uid="{8DFF4558-3036-4F88-BADD-145427B1875B}"/>
    <cellStyle name="Comma 7 4 8 5" xfId="53775" xr:uid="{939AF215-0595-4D17-9CA6-BA1BD06BEA1B}"/>
    <cellStyle name="Comma 7 4 8 6" xfId="38521" xr:uid="{9920C7F8-4728-4512-855D-BF48EBE2BE88}"/>
    <cellStyle name="Comma 7 4 8 7" xfId="14352" xr:uid="{AA5585D2-A3BC-49B4-8264-A9D0D05586D2}"/>
    <cellStyle name="Comma 7 4 9" xfId="7425" xr:uid="{6125B2FB-EB3E-4610-BE43-014DEC9E4109}"/>
    <cellStyle name="Comma 7 4 9 2" xfId="9917" xr:uid="{8CD74BB3-6C4C-484C-B031-945D255BE8C9}"/>
    <cellStyle name="Comma 7 4 9 2 2" xfId="13223" xr:uid="{F4AA7732-9B08-4BE6-B2A2-5F9DAC9120BB}"/>
    <cellStyle name="Comma 7 4 9 2 2 2" xfId="51200" xr:uid="{393768B0-9EBD-48D1-B408-940DF454C2C3}"/>
    <cellStyle name="Comma 7 4 9 2 3" xfId="53776" xr:uid="{611FA684-430F-41B7-848B-132275151B1E}"/>
    <cellStyle name="Comma 7 4 9 2 4" xfId="48399" xr:uid="{5FBB6AAD-D88D-4E85-A986-ECFBCB38FBDD}"/>
    <cellStyle name="Comma 7 4 9 3" xfId="11938" xr:uid="{6124A0A6-9B01-487B-A2CA-C38A3F1863AF}"/>
    <cellStyle name="Comma 7 4 9 3 2" xfId="46848" xr:uid="{5229A167-D990-4B85-8F9B-06D7D89F695B}"/>
    <cellStyle name="Comma 7 4 9 4" xfId="49872" xr:uid="{48250F69-8EBC-4CBA-BF51-396498545B67}"/>
    <cellStyle name="Comma 7 4 9 5" xfId="53777" xr:uid="{D99B8F80-B900-4CDE-8E8D-CDF19485E618}"/>
    <cellStyle name="Comma 7 4 9 6" xfId="38796" xr:uid="{05E031BC-9275-4E97-A305-8DA144908051}"/>
    <cellStyle name="Comma 7 4 9 7" xfId="14902" xr:uid="{CC0F1B8F-011B-4560-BFBA-7EEEBD7C3B6A}"/>
    <cellStyle name="Comma 7 5" xfId="1806" xr:uid="{1427D3FF-EB00-4E97-8D5B-098979DD09D1}"/>
    <cellStyle name="Comma 7 5 10" xfId="5877" xr:uid="{D7BABD29-9E7E-4573-AA86-AE0E9281B7AE}"/>
    <cellStyle name="Comma 7 5 10 2" xfId="40354" xr:uid="{AEC7710A-E078-415F-A2FB-AFB907FCEA9B}"/>
    <cellStyle name="Comma 7 5 11" xfId="11365" xr:uid="{0925A381-14AF-4E4B-9AA6-8782856CF6E9}"/>
    <cellStyle name="Comma 7 5 11 2" xfId="40996" xr:uid="{F15C29EB-EE0A-4EFA-825D-E1507001FF31}"/>
    <cellStyle name="Comma 7 5 12" xfId="42208" xr:uid="{603613CD-81D7-4D75-A5D6-438B33699B43}"/>
    <cellStyle name="Comma 7 5 13" xfId="42415" xr:uid="{5633B29F-E477-476B-A591-6202A62368E7}"/>
    <cellStyle name="Comma 7 5 14" xfId="43488" xr:uid="{387DD466-8F40-4042-905A-6DC932C4260D}"/>
    <cellStyle name="Comma 7 5 15" xfId="44442" xr:uid="{139AEFA8-ADA9-4DC6-9E32-46F28E1E86E0}"/>
    <cellStyle name="Comma 7 5 16" xfId="45660" xr:uid="{78645D20-A1C4-457E-9BB6-A72CFD0BC5FF}"/>
    <cellStyle name="Comma 7 5 17" xfId="49289" xr:uid="{CE763869-47B7-4A3C-AD10-8EC893B5ECBF}"/>
    <cellStyle name="Comma 7 5 18" xfId="53778" xr:uid="{1E71F735-0AB5-4F5C-BD05-961EC91729F3}"/>
    <cellStyle name="Comma 7 5 19" xfId="16390" xr:uid="{4A45E0C7-BFE5-435C-9071-6CE1172E7724}"/>
    <cellStyle name="Comma 7 5 2" xfId="1807" xr:uid="{AC1FB69A-5D4C-4E12-97D4-10DBE6DBB10C}"/>
    <cellStyle name="Comma 7 5 2 10" xfId="42209" xr:uid="{C76F9413-97AF-40AE-B236-3BF40C3CA958}"/>
    <cellStyle name="Comma 7 5 2 11" xfId="42428" xr:uid="{709CB6B5-6160-4D5B-9BAB-8BD4F70FF76B}"/>
    <cellStyle name="Comma 7 5 2 12" xfId="43580" xr:uid="{95EF8CB1-EB2D-49CC-BEED-95E1428483D4}"/>
    <cellStyle name="Comma 7 5 2 13" xfId="44443" xr:uid="{9A7188BF-925F-4150-92FE-D06D025B134E}"/>
    <cellStyle name="Comma 7 5 2 14" xfId="45778" xr:uid="{AD5CFC90-14BB-4494-BE57-5965CF59FD5D}"/>
    <cellStyle name="Comma 7 5 2 15" xfId="49406" xr:uid="{F81C6983-9784-4182-9805-89335B5AFF30}"/>
    <cellStyle name="Comma 7 5 2 16" xfId="53779" xr:uid="{5D2B83BC-C023-4E79-8406-551151814D8A}"/>
    <cellStyle name="Comma 7 5 2 17" xfId="16456" xr:uid="{D90C3689-0CDC-4368-962D-48A980FE63D4}"/>
    <cellStyle name="Comma 7 5 2 18" xfId="13963" xr:uid="{DC5FE0CE-E11D-4F9A-B3FE-50A5A091E757}"/>
    <cellStyle name="Comma 7 5 2 2" xfId="4483" xr:uid="{1BEC0690-5A17-4A3B-BCE0-6F7503BD8881}"/>
    <cellStyle name="Comma 7 5 2 2 10" xfId="42782" xr:uid="{1992EDA4-5601-45A3-8852-E29A7BF1C052}"/>
    <cellStyle name="Comma 7 5 2 2 11" xfId="44284" xr:uid="{BE8B1CE2-7A36-4C9F-9FD3-485BE6F8AFA2}"/>
    <cellStyle name="Comma 7 5 2 2 12" xfId="44584" xr:uid="{71B8E6ED-D0A3-4897-9713-C06105B2F815}"/>
    <cellStyle name="Comma 7 5 2 2 13" xfId="46752" xr:uid="{AFCFBBAF-F298-4FE6-BAB0-3A7CFA98FC1F}"/>
    <cellStyle name="Comma 7 5 2 2 14" xfId="49784" xr:uid="{ABC89301-B9C9-43BA-AE77-A0EA9F1ED8DD}"/>
    <cellStyle name="Comma 7 5 2 2 15" xfId="53780" xr:uid="{D8F390E9-7F19-4FE1-9BFF-F0E57B0FF9BB}"/>
    <cellStyle name="Comma 7 5 2 2 16" xfId="17135" xr:uid="{7F457BFF-3754-41A0-9DD6-10F1863ED56D}"/>
    <cellStyle name="Comma 7 5 2 2 17" xfId="14277" xr:uid="{4C94AD04-CC66-4062-AE16-EC88D28087DD}"/>
    <cellStyle name="Comma 7 5 2 2 2" xfId="5740" xr:uid="{C393CDDA-B058-463E-88F3-DBC6F03228ED}"/>
    <cellStyle name="Comma 7 5 2 2 2 10" xfId="14769" xr:uid="{4178512C-89C8-4791-9C0C-09D7F5BA72F8}"/>
    <cellStyle name="Comma 7 5 2 2 2 2" xfId="10334" xr:uid="{6805C5D6-3747-4B22-8988-FD1822987C9F}"/>
    <cellStyle name="Comma 7 5 2 2 2 2 2" xfId="13640" xr:uid="{D5150ADA-3C1E-41DE-8906-EF9D54F17144}"/>
    <cellStyle name="Comma 7 5 2 2 2 2 2 2" xfId="48688" xr:uid="{48B01F6D-4486-46A5-A0D7-601F41A7A83D}"/>
    <cellStyle name="Comma 7 5 2 2 2 2 3" xfId="51443" xr:uid="{F9B39864-EF5B-47CD-92A9-6E9D39E775E8}"/>
    <cellStyle name="Comma 7 5 2 2 2 2 4" xfId="53781" xr:uid="{D6B7BA10-6630-4B91-8BBA-6E9FD1FA314C}"/>
    <cellStyle name="Comma 7 5 2 2 2 2 5" xfId="39696" xr:uid="{169180DF-02B1-4E8E-A647-87AC887E39D4}"/>
    <cellStyle name="Comma 7 5 2 2 2 3" xfId="7842" xr:uid="{BBFD0FAA-A36C-4F07-A5F7-79D8EAE481DF}"/>
    <cellStyle name="Comma 7 5 2 2 2 3 2" xfId="41549" xr:uid="{FFB97A98-7BDD-4F3A-A3C7-11547EE60FEF}"/>
    <cellStyle name="Comma 7 5 2 2 2 4" xfId="12355" xr:uid="{6947C7C2-2112-45CC-ABF7-16000FFDCA19}"/>
    <cellStyle name="Comma 7 5 2 2 2 4 2" xfId="43373" xr:uid="{8CB82A33-183D-4017-84DE-5E3C888EFE50}"/>
    <cellStyle name="Comma 7 5 2 2 2 5" xfId="45462" xr:uid="{F155672C-48DA-4572-915F-64B3CE0F752A}"/>
    <cellStyle name="Comma 7 5 2 2 2 6" xfId="47125" xr:uid="{6E27EE40-77C4-41DD-A9DA-75CCAF1C71E2}"/>
    <cellStyle name="Comma 7 5 2 2 2 7" xfId="50115" xr:uid="{BE26932C-C75C-40C2-BC34-1CF6C71FB79D}"/>
    <cellStyle name="Comma 7 5 2 2 2 8" xfId="53782" xr:uid="{64826C99-2D04-4A68-8CD8-6D3E687BACCD}"/>
    <cellStyle name="Comma 7 5 2 2 2 9" xfId="21130" xr:uid="{0D629080-49B1-4352-A087-3614EE0C8F98}"/>
    <cellStyle name="Comma 7 5 2 2 3" xfId="9840" xr:uid="{3E52EFD8-E7F6-42B3-A448-3CE9A6514E1D}"/>
    <cellStyle name="Comma 7 5 2 2 3 2" xfId="13146" xr:uid="{7AFBA196-34FE-4D75-AE87-F3E225271006}"/>
    <cellStyle name="Comma 7 5 2 2 3 2 2" xfId="51830" xr:uid="{2C6CE12E-1E8F-4A3F-9789-68A38AA4411A}"/>
    <cellStyle name="Comma 7 5 2 2 3 2 3" xfId="53783" xr:uid="{E5002C91-FD59-4076-853D-C3257685860E}"/>
    <cellStyle name="Comma 7 5 2 2 3 2 4" xfId="49150" xr:uid="{CBB6AC76-FA27-46F9-8B57-517DAB60299D}"/>
    <cellStyle name="Comma 7 5 2 2 3 3" xfId="47567" xr:uid="{5ACED251-1630-4F4B-B38D-5F053B7D8D72}"/>
    <cellStyle name="Comma 7 5 2 2 3 4" xfId="50502" xr:uid="{18B923F0-50DD-464A-AB81-D6FDCC48DA7D}"/>
    <cellStyle name="Comma 7 5 2 2 3 5" xfId="53784" xr:uid="{310B3A16-FC51-446D-BCC9-DFF57DCCC978}"/>
    <cellStyle name="Comma 7 5 2 2 3 6" xfId="20349" xr:uid="{6C5A7E7B-45ED-45CC-BAE4-F1C5636851F3}"/>
    <cellStyle name="Comma 7 5 2 2 3 7" xfId="15084" xr:uid="{C597D55B-0AB2-415A-AB14-A9E42D5B0F90}"/>
    <cellStyle name="Comma 7 5 2 2 4" xfId="7338" xr:uid="{DB93DADD-CEF7-4CD9-A82D-52DD0CA07EDB}"/>
    <cellStyle name="Comma 7 5 2 2 4 2" xfId="48294" xr:uid="{83FE5FBD-6916-4F29-8C92-E67544C1E121}"/>
    <cellStyle name="Comma 7 5 2 2 4 3" xfId="51112" xr:uid="{9272B737-71FD-42E4-883A-084E15B5AB88}"/>
    <cellStyle name="Comma 7 5 2 2 4 4" xfId="53785" xr:uid="{E11C4FE2-2315-4944-817F-C9BDFC291C60}"/>
    <cellStyle name="Comma 7 5 2 2 4 5" xfId="24036" xr:uid="{3C59527C-B54D-4219-9C49-A7C5E9060EA4}"/>
    <cellStyle name="Comma 7 5 2 2 5" xfId="11861" xr:uid="{73828D41-83BF-4BBF-87EE-345512A331FB}"/>
    <cellStyle name="Comma 7 5 2 2 5 2" xfId="38533" xr:uid="{EBFF4B76-D424-4A4E-8713-E37FF348BB79}"/>
    <cellStyle name="Comma 7 5 2 2 6" xfId="39105" xr:uid="{A6322EAF-1C44-4532-91DE-B7D3778E44DC}"/>
    <cellStyle name="Comma 7 5 2 2 7" xfId="40356" xr:uid="{0E55042E-FA80-4F07-AE4B-3C36B04A14C3}"/>
    <cellStyle name="Comma 7 5 2 2 8" xfId="40998" xr:uid="{453DE640-18FA-4973-96FB-EA0916C95E0A}"/>
    <cellStyle name="Comma 7 5 2 2 9" xfId="42210" xr:uid="{D6CC26D4-3362-40D4-AEC4-7D818D774859}"/>
    <cellStyle name="Comma 7 5 2 3" xfId="5564" xr:uid="{124E5628-C209-4F6D-BD7C-CCE70D4644EC}"/>
    <cellStyle name="Comma 7 5 2 3 10" xfId="20651" xr:uid="{1219DE8E-C0A1-4D56-942E-FEC4226DF866}"/>
    <cellStyle name="Comma 7 5 2 3 11" xfId="14101" xr:uid="{711AE659-74ED-4273-9197-4221E1BB9483}"/>
    <cellStyle name="Comma 7 5 2 3 2" xfId="7666" xr:uid="{AD6B74FE-EFCC-4FD9-A823-193EE1C4C27A}"/>
    <cellStyle name="Comma 7 5 2 3 2 2" xfId="10158" xr:uid="{0811F49B-C6D4-4AB3-9B6A-A2B454A1375E}"/>
    <cellStyle name="Comma 7 5 2 3 2 2 2" xfId="13464" xr:uid="{4F9D059E-BA64-4B7E-B161-C91382E0F24D}"/>
    <cellStyle name="Comma 7 5 2 3 2 2 2 2" xfId="51690" xr:uid="{5FFDB729-CA41-423B-8D52-5A4618AFF5A1}"/>
    <cellStyle name="Comma 7 5 2 3 2 2 3" xfId="53786" xr:uid="{89D23AB7-6788-4964-952A-74912C0B3DA9}"/>
    <cellStyle name="Comma 7 5 2 3 2 2 4" xfId="48978" xr:uid="{C9FFD088-CCA1-4A64-A471-A4F847F022BA}"/>
    <cellStyle name="Comma 7 5 2 3 2 3" xfId="12179" xr:uid="{A7B3D856-0CD0-4389-8746-E28ECCDBFAF3}"/>
    <cellStyle name="Comma 7 5 2 3 2 3 2" xfId="47402" xr:uid="{24D4DAB9-A148-436D-A6DF-8AC9660CF1B9}"/>
    <cellStyle name="Comma 7 5 2 3 2 4" xfId="50362" xr:uid="{D8B70A9C-01DF-418A-881F-44722E56D9E5}"/>
    <cellStyle name="Comma 7 5 2 3 2 5" xfId="53787" xr:uid="{DFC4C24A-48F2-4521-BA47-32D63F68B208}"/>
    <cellStyle name="Comma 7 5 2 3 2 6" xfId="39342" xr:uid="{0EAAFAD8-5524-4552-9FA4-4CB003669EC1}"/>
    <cellStyle name="Comma 7 5 2 3 2 7" xfId="14593" xr:uid="{C337BC61-A840-4778-BD53-FE08C135077C}"/>
    <cellStyle name="Comma 7 5 2 3 3" xfId="9664" xr:uid="{0C90A446-DDD6-41A3-9FD0-D8E2D08EFEE2}"/>
    <cellStyle name="Comma 7 5 2 3 3 2" xfId="12970" xr:uid="{3CDE95D8-1DC3-499B-BA84-50FC07DE9959}"/>
    <cellStyle name="Comma 7 5 2 3 3 2 2" xfId="48123" xr:uid="{5D26454F-5130-4493-8A66-EB3159DC597D}"/>
    <cellStyle name="Comma 7 5 2 3 3 3" xfId="50972" xr:uid="{45F344F5-A7B7-4A74-912D-49EA98D7161C}"/>
    <cellStyle name="Comma 7 5 2 3 3 4" xfId="53788" xr:uid="{5BDD688A-2A9E-45DA-B5A8-4945989DD2BD}"/>
    <cellStyle name="Comma 7 5 2 3 3 5" xfId="41200" xr:uid="{51F105B4-21B9-492F-97D8-E40B319CE9A5}"/>
    <cellStyle name="Comma 7 5 2 3 4" xfId="7160" xr:uid="{B71EB971-B68A-4B4C-82C2-323A859FC570}"/>
    <cellStyle name="Comma 7 5 2 3 4 2" xfId="43019" xr:uid="{77106B1A-0AA2-421E-A0A0-DF1CA0CC6C5E}"/>
    <cellStyle name="Comma 7 5 2 3 5" xfId="11685" xr:uid="{C983E939-6CBD-44AC-9EFE-FAB77A552B2B}"/>
    <cellStyle name="Comma 7 5 2 3 5 2" xfId="43853" xr:uid="{6DF0669E-BCCA-4418-B8A4-4A75E6E35F1E}"/>
    <cellStyle name="Comma 7 5 2 3 6" xfId="45120" xr:uid="{A63B7958-4632-4C06-8EBA-FE95C7FC55D4}"/>
    <cellStyle name="Comma 7 5 2 3 7" xfId="46611" xr:uid="{0BD3C7C4-B28E-4881-B47A-B45D55BDED8B}"/>
    <cellStyle name="Comma 7 5 2 3 8" xfId="49644" xr:uid="{10321B83-F22E-4AF1-B7C5-67007E76BFC0}"/>
    <cellStyle name="Comma 7 5 2 3 9" xfId="53789" xr:uid="{6D7A2B6E-19D0-4EAD-9E3E-6B8CEA46B42A}"/>
    <cellStyle name="Comma 7 5 2 4" xfId="6554" xr:uid="{CA82A408-E7AF-4A39-9E99-7D1D6121E9C8}"/>
    <cellStyle name="Comma 7 5 2 4 2" xfId="9526" xr:uid="{AA2ED469-B3BD-4EF8-BB4D-49C4A6C16F4E}"/>
    <cellStyle name="Comma 7 5 2 4 2 2" xfId="12832" xr:uid="{54D716FA-CF4F-4166-A2FE-C9F2F17F451D}"/>
    <cellStyle name="Comma 7 5 2 4 2 2 2" xfId="50857" xr:uid="{23DA98BB-0BD8-4593-A2CA-4E7D0047473D}"/>
    <cellStyle name="Comma 7 5 2 4 2 3" xfId="53790" xr:uid="{EE9317F3-303E-48AC-A1FA-15E8FE49967D}"/>
    <cellStyle name="Comma 7 5 2 4 2 4" xfId="47988" xr:uid="{5E92C021-2D4E-40C7-BDCC-C69EE5986104}"/>
    <cellStyle name="Comma 7 5 2 4 3" xfId="11547" xr:uid="{54B2D6C9-2620-4382-83C8-48F08FD3D9EA}"/>
    <cellStyle name="Comma 7 5 2 4 3 2" xfId="46193" xr:uid="{2357E619-0031-4DC2-AC72-E132F5A2B376}"/>
    <cellStyle name="Comma 7 5 2 4 4" xfId="49529" xr:uid="{2EAF2808-EFAE-42AC-90AD-B2D9FEC4F503}"/>
    <cellStyle name="Comma 7 5 2 4 5" xfId="53791" xr:uid="{735076BD-ACEB-4CA5-8A0B-E83AFD4F7830}"/>
    <cellStyle name="Comma 7 5 2 4 6" xfId="19995" xr:uid="{5C533AE7-85E1-4053-8A54-8382D2D30705}"/>
    <cellStyle name="Comma 7 5 2 4 7" xfId="14455" xr:uid="{996400DA-985B-4746-9507-AA6BF0640974}"/>
    <cellStyle name="Comma 7 5 2 5" xfId="7528" xr:uid="{64283F3C-5BF1-4315-BDD9-0E78E079FD91}"/>
    <cellStyle name="Comma 7 5 2 5 2" xfId="10020" xr:uid="{1FC1FF94-5D33-4876-A520-85EA00E32E81}"/>
    <cellStyle name="Comma 7 5 2 5 2 2" xfId="13326" xr:uid="{06BD09D9-2A4D-424E-8112-F3D0F4B4B98F}"/>
    <cellStyle name="Comma 7 5 2 5 2 2 2" xfId="51319" xr:uid="{5A61105C-CA65-4B73-B98C-8C6DAA3EF5C2}"/>
    <cellStyle name="Comma 7 5 2 5 2 3" xfId="53792" xr:uid="{6930D0EA-700B-4C6F-941E-89F6B2A72D0F}"/>
    <cellStyle name="Comma 7 5 2 5 2 4" xfId="48533" xr:uid="{E6AB5501-555B-4AA5-9972-566ECA61D3F9}"/>
    <cellStyle name="Comma 7 5 2 5 3" xfId="12041" xr:uid="{96C46FF0-8388-411A-9CBC-E22B85E8649D}"/>
    <cellStyle name="Comma 7 5 2 5 3 2" xfId="46972" xr:uid="{E4550303-A65C-4679-B9C8-52F95ECB0BA5}"/>
    <cellStyle name="Comma 7 5 2 5 4" xfId="49991" xr:uid="{09B87B94-B90E-4575-93EE-E1BEA9CEC4C4}"/>
    <cellStyle name="Comma 7 5 2 5 5" xfId="53793" xr:uid="{9ADD1EB1-A930-4226-B621-1EB9A260CC50}"/>
    <cellStyle name="Comma 7 5 2 5 6" xfId="24035" xr:uid="{9A89D684-C29A-4DD3-B727-3470CA86A807}"/>
    <cellStyle name="Comma 7 5 2 5 7" xfId="14908" xr:uid="{29B0D83C-85F1-4BF3-B8E2-24DB3AE1ABD1}"/>
    <cellStyle name="Comma 7 5 2 6" xfId="8194" xr:uid="{E63207EF-0EB6-4923-AB8E-07B99EBE11B1}"/>
    <cellStyle name="Comma 7 5 2 6 2" xfId="12650" xr:uid="{D8B39026-939A-4A24-9337-4EB23896A65F}"/>
    <cellStyle name="Comma 7 5 2 6 2 2" xfId="51575" xr:uid="{4125E6E8-F9D5-427A-97A2-E62AFA0491D5}"/>
    <cellStyle name="Comma 7 5 2 6 2 3" xfId="53794" xr:uid="{6EA193ED-2F33-4511-9A40-68FAE0A727CA}"/>
    <cellStyle name="Comma 7 5 2 6 2 4" xfId="48840" xr:uid="{12E03D9C-72FB-4D45-97DC-74A522D99808}"/>
    <cellStyle name="Comma 7 5 2 6 3" xfId="47269" xr:uid="{7F86DF98-AD20-4FDB-A4A4-7D78852922A2}"/>
    <cellStyle name="Comma 7 5 2 6 4" xfId="50247" xr:uid="{2B8EC561-C393-49E2-94AF-E39859907365}"/>
    <cellStyle name="Comma 7 5 2 6 5" xfId="53795" xr:uid="{9613B331-F9F0-4D65-8A6D-146AE7BE8120}"/>
    <cellStyle name="Comma 7 5 2 6 6" xfId="38532" xr:uid="{66394A84-2B1A-404C-9C2F-C18B7D10928D}"/>
    <cellStyle name="Comma 7 5 2 7" xfId="7981" xr:uid="{A6FD6CEE-A306-4C44-901C-19CFCEC052B9}"/>
    <cellStyle name="Comma 7 5 2 7 2" xfId="12494" xr:uid="{743987C6-7CE1-4707-84DF-34A67CB5BB17}"/>
    <cellStyle name="Comma 7 5 2 7 2 2" xfId="47846" xr:uid="{A7A17F9C-73EE-4591-94DB-5F15A10026D4}"/>
    <cellStyle name="Comma 7 5 2 7 3" xfId="50734" xr:uid="{04299205-23CE-4932-BEFC-85CC700BBD9B}"/>
    <cellStyle name="Comma 7 5 2 7 4" xfId="53796" xr:uid="{3AFC7815-E3AC-484B-855B-5C581CD66312}"/>
    <cellStyle name="Comma 7 5 2 7 5" xfId="38751" xr:uid="{EB7EC546-2C5E-4CB4-A2ED-DB404FC7FE8E}"/>
    <cellStyle name="Comma 7 5 2 8" xfId="5878" xr:uid="{2170F494-101D-48B3-B3F1-78DF825A86A7}"/>
    <cellStyle name="Comma 7 5 2 8 2" xfId="40355" xr:uid="{266E624C-2094-4957-B93D-65632B18BC6E}"/>
    <cellStyle name="Comma 7 5 2 9" xfId="11366" xr:uid="{95475D18-DE40-4CFE-B47F-58F5C473534B}"/>
    <cellStyle name="Comma 7 5 2 9 2" xfId="40997" xr:uid="{B562EBD9-4516-4D32-9D7A-27BEF3D30364}"/>
    <cellStyle name="Comma 7 5 20" xfId="13860" xr:uid="{212B2F4D-3CE4-40C8-BD27-07850416B0F0}"/>
    <cellStyle name="Comma 7 5 3" xfId="4482" xr:uid="{04560236-797D-4995-AB7F-5600735BE523}"/>
    <cellStyle name="Comma 7 5 3 10" xfId="42781" xr:uid="{66F17B8F-05A6-4958-AA34-6FC525BD2CD6}"/>
    <cellStyle name="Comma 7 5 3 11" xfId="43579" xr:uid="{CBBB6524-2BB8-44ED-8122-B532E33D9ACE}"/>
    <cellStyle name="Comma 7 5 3 12" xfId="44583" xr:uid="{9BB3C8E7-E171-4E5B-9B33-545D5C088E67}"/>
    <cellStyle name="Comma 7 5 3 13" xfId="45734" xr:uid="{266BCEC9-9C44-4BCD-A5D7-8570D9328D1C}"/>
    <cellStyle name="Comma 7 5 3 14" xfId="49362" xr:uid="{A9319828-5A4C-41A4-8E8B-2EBFE3C96EEA}"/>
    <cellStyle name="Comma 7 5 3 15" xfId="53797" xr:uid="{F3788515-B4BF-43C1-8ABF-EE7D9782C4BC}"/>
    <cellStyle name="Comma 7 5 3 16" xfId="17134" xr:uid="{EDE4808A-B4E6-4813-A9B2-680ADCDECE55}"/>
    <cellStyle name="Comma 7 5 3 17" xfId="13962" xr:uid="{8D2B3170-DD4A-4C6D-91E0-76382F28DF77}"/>
    <cellStyle name="Comma 7 5 3 2" xfId="5739" xr:uid="{58E16C02-CD97-413B-8B5A-44E84C153768}"/>
    <cellStyle name="Comma 7 5 3 2 10" xfId="44283" xr:uid="{9F3E6D78-5EE5-412E-97FD-8C9EF9FD55EA}"/>
    <cellStyle name="Comma 7 5 3 2 11" xfId="45461" xr:uid="{D5BAD22F-A85D-436F-AE41-16D947A49097}"/>
    <cellStyle name="Comma 7 5 3 2 12" xfId="46751" xr:uid="{7BF46969-397D-44BA-A24D-C03EB403DC7A}"/>
    <cellStyle name="Comma 7 5 3 2 13" xfId="49783" xr:uid="{0D22E37C-AF9E-4522-8C9A-1F731F481AE1}"/>
    <cellStyle name="Comma 7 5 3 2 14" xfId="53798" xr:uid="{F34BF187-1B2E-4464-AAAD-6D978C31BBEC}"/>
    <cellStyle name="Comma 7 5 3 2 15" xfId="21129" xr:uid="{E91133A8-D471-4D5F-A107-87886E370690}"/>
    <cellStyle name="Comma 7 5 3 2 16" xfId="14276" xr:uid="{317ABC3F-CA58-4982-A00D-3C76E0B46921}"/>
    <cellStyle name="Comma 7 5 3 2 2" xfId="7841" xr:uid="{86CAAF2E-69BE-43C1-B8BC-29D4743E1474}"/>
    <cellStyle name="Comma 7 5 3 2 2 2" xfId="10333" xr:uid="{31007406-12FF-41D7-B5EA-A5D3F0415772}"/>
    <cellStyle name="Comma 7 5 3 2 2 2 2" xfId="13639" xr:uid="{C4D521A0-6E30-4F55-935E-2306ED772293}"/>
    <cellStyle name="Comma 7 5 3 2 2 2 2 2" xfId="51829" xr:uid="{5E549972-F2F3-4572-A736-956C0604A408}"/>
    <cellStyle name="Comma 7 5 3 2 2 2 3" xfId="53799" xr:uid="{77221849-3F68-4AA3-9D41-747BB4AEC481}"/>
    <cellStyle name="Comma 7 5 3 2 2 2 4" xfId="49149" xr:uid="{7EBD1CE7-A996-42BA-BF99-F6A41216922E}"/>
    <cellStyle name="Comma 7 5 3 2 2 3" xfId="12354" xr:uid="{605F2E97-4E0C-4D7B-9BE9-74578A117B01}"/>
    <cellStyle name="Comma 7 5 3 2 2 3 2" xfId="47566" xr:uid="{182686B7-5636-4F54-B8EC-49A5AE59A909}"/>
    <cellStyle name="Comma 7 5 3 2 2 4" xfId="50501" xr:uid="{101332D2-5CE5-41CE-9261-757D2702FA97}"/>
    <cellStyle name="Comma 7 5 3 2 2 5" xfId="53800" xr:uid="{82DCDEDF-2F6E-4162-B101-C529E8DEB612}"/>
    <cellStyle name="Comma 7 5 3 2 2 6" xfId="24038" xr:uid="{435A473C-89D0-4EAF-AD34-6F7A4C6E5701}"/>
    <cellStyle name="Comma 7 5 3 2 2 7" xfId="14768" xr:uid="{54522538-A040-4B22-9F86-2DC8938A1D00}"/>
    <cellStyle name="Comma 7 5 3 2 3" xfId="9839" xr:uid="{E8C35FA2-CA23-4B3D-9209-DAC0F04ED88D}"/>
    <cellStyle name="Comma 7 5 3 2 3 2" xfId="13145" xr:uid="{BDB1A52A-3C0F-405C-9EE9-D1CAEB03D0C2}"/>
    <cellStyle name="Comma 7 5 3 2 3 2 2" xfId="48293" xr:uid="{04483AA2-E071-46D4-BED4-2E2AFDFAA9ED}"/>
    <cellStyle name="Comma 7 5 3 2 3 3" xfId="51111" xr:uid="{F5492BBF-3421-49B1-8894-28F81C3D04A9}"/>
    <cellStyle name="Comma 7 5 3 2 3 4" xfId="53801" xr:uid="{5916E3A7-F362-4644-B9D1-6A14F8EB37C6}"/>
    <cellStyle name="Comma 7 5 3 2 3 5" xfId="38535" xr:uid="{41D79C06-67F7-4B30-9329-8C6293E2818B}"/>
    <cellStyle name="Comma 7 5 3 2 4" xfId="7337" xr:uid="{220BBE44-B965-4CF0-8B2D-F3802B2DF8A8}"/>
    <cellStyle name="Comma 7 5 3 2 4 2" xfId="39695" xr:uid="{A97ED5D8-9398-46A6-8491-D57359DB506D}"/>
    <cellStyle name="Comma 7 5 3 2 5" xfId="11860" xr:uid="{95FCBA0E-9D4C-439C-B2CA-F2FE09A0D32C}"/>
    <cellStyle name="Comma 7 5 3 2 5 2" xfId="40358" xr:uid="{4E302177-E437-4112-99D4-2CCBB40CD207}"/>
    <cellStyle name="Comma 7 5 3 2 6" xfId="41000" xr:uid="{4853B4F2-65AA-4FAC-AC91-F460DF776640}"/>
    <cellStyle name="Comma 7 5 3 2 7" xfId="41548" xr:uid="{A6584995-64F3-41F3-BE2F-BB7100B78DA6}"/>
    <cellStyle name="Comma 7 5 3 2 8" xfId="42212" xr:uid="{69433EB7-91D2-4A2A-BE5A-50832B455695}"/>
    <cellStyle name="Comma 7 5 3 2 9" xfId="43372" xr:uid="{C361D3C8-6683-4659-B4F5-8A71DBB28D40}"/>
    <cellStyle name="Comma 7 5 3 3" xfId="7527" xr:uid="{8474AD96-010A-430E-A634-94CEA94CF18B}"/>
    <cellStyle name="Comma 7 5 3 3 2" xfId="10019" xr:uid="{8D854DDD-B810-40EB-A1CB-F4E4D852FBA4}"/>
    <cellStyle name="Comma 7 5 3 3 2 2" xfId="13325" xr:uid="{1FBD228B-C2BB-4173-BAA1-9AB0B035C88C}"/>
    <cellStyle name="Comma 7 5 3 3 2 2 2" xfId="50856" xr:uid="{D8DC92B3-91E2-4857-8261-E2C6A92187A0}"/>
    <cellStyle name="Comma 7 5 3 3 2 3" xfId="53802" xr:uid="{30DE9E65-DF4C-4131-9002-CF3C35D41A4C}"/>
    <cellStyle name="Comma 7 5 3 3 2 4" xfId="47987" xr:uid="{B1817447-9FED-4992-B7D0-B0CCF073D14C}"/>
    <cellStyle name="Comma 7 5 3 3 3" xfId="12040" xr:uid="{7C64FE76-6A52-4328-91A8-DD25AC825451}"/>
    <cellStyle name="Comma 7 5 3 3 3 2" xfId="46192" xr:uid="{93C19743-99B1-4E09-9A30-8804D489FB6C}"/>
    <cellStyle name="Comma 7 5 3 3 4" xfId="49528" xr:uid="{111AF35A-887B-4825-82F5-380F9DAEA54D}"/>
    <cellStyle name="Comma 7 5 3 3 5" xfId="53803" xr:uid="{65933016-4BDC-46F0-8CB0-96497F8064A9}"/>
    <cellStyle name="Comma 7 5 3 3 6" xfId="20348" xr:uid="{5942E421-C3E8-498A-9FEF-94EEBA434039}"/>
    <cellStyle name="Comma 7 5 3 3 7" xfId="14454" xr:uid="{12BDBF4B-EB20-4686-A6D0-FF982F42B1BB}"/>
    <cellStyle name="Comma 7 5 3 4" xfId="11164" xr:uid="{9914BAAB-4E67-404B-9CAD-6924A44146B8}"/>
    <cellStyle name="Comma 7 5 3 4 2" xfId="13759" xr:uid="{8EBF64D5-87A6-4B3F-887F-AA51D1FC47B4}"/>
    <cellStyle name="Comma 7 5 3 4 2 2" xfId="51318" xr:uid="{48F23704-F39E-4B9B-9ACE-D58C18BC4E99}"/>
    <cellStyle name="Comma 7 5 3 4 2 3" xfId="53804" xr:uid="{02F5A824-E63A-40F8-B972-68F119BA30CD}"/>
    <cellStyle name="Comma 7 5 3 4 2 4" xfId="48532" xr:uid="{C6ACAB68-226C-411B-AD66-6F29796C6562}"/>
    <cellStyle name="Comma 7 5 3 4 3" xfId="46971" xr:uid="{F9C1DAAD-BA1F-45E9-B528-685FF3DD05F4}"/>
    <cellStyle name="Comma 7 5 3 4 4" xfId="49990" xr:uid="{8235F2CF-AB51-42E7-B7B2-A1A0D5B50F40}"/>
    <cellStyle name="Comma 7 5 3 4 5" xfId="53805" xr:uid="{FB638A51-61B5-4A53-94B4-D9FD3B69D2D5}"/>
    <cellStyle name="Comma 7 5 3 4 6" xfId="24037" xr:uid="{7834A267-C651-4890-BB0A-B097BECA7409}"/>
    <cellStyle name="Comma 7 5 3 4 7" xfId="15083" xr:uid="{97A8B78F-98E1-4DDD-A0F5-8C320964DDA7}"/>
    <cellStyle name="Comma 7 5 3 5" xfId="9525" xr:uid="{5C47245A-ED02-4D6B-89D9-47639E8C752B}"/>
    <cellStyle name="Comma 7 5 3 5 2" xfId="12831" xr:uid="{F988B6DA-DB27-4FB8-8CE6-AA59957902E9}"/>
    <cellStyle name="Comma 7 5 3 5 2 2" xfId="51574" xr:uid="{AF71A497-2B08-4993-BCC4-B019A4C7E2D4}"/>
    <cellStyle name="Comma 7 5 3 5 2 3" xfId="53806" xr:uid="{B6328888-8802-48BF-89C1-F2979957F12D}"/>
    <cellStyle name="Comma 7 5 3 5 2 4" xfId="48839" xr:uid="{9DAA7BC7-D5C2-4620-BBE4-B78B2A683B04}"/>
    <cellStyle name="Comma 7 5 3 5 3" xfId="47268" xr:uid="{02E42F25-0EF3-4C4E-A19C-00943586BCA7}"/>
    <cellStyle name="Comma 7 5 3 5 4" xfId="50246" xr:uid="{6348BBB6-F9FB-41A0-B7A9-70712B9A89B1}"/>
    <cellStyle name="Comma 7 5 3 5 5" xfId="53807" xr:uid="{AFCD99C2-20F7-481B-8793-C123E6211DE1}"/>
    <cellStyle name="Comma 7 5 3 5 6" xfId="38534" xr:uid="{98DF8887-0ABB-4511-9AFC-8B4F4E0D1C10}"/>
    <cellStyle name="Comma 7 5 3 6" xfId="6553" xr:uid="{7F9B1662-CEFF-475A-AB2E-933742CF2A94}"/>
    <cellStyle name="Comma 7 5 3 6 2" xfId="47791" xr:uid="{4E805260-BC29-424C-9FAB-E55645EE0D09}"/>
    <cellStyle name="Comma 7 5 3 6 3" xfId="50690" xr:uid="{16FE8287-C2B6-4E40-B046-5F0FE1C9090A}"/>
    <cellStyle name="Comma 7 5 3 6 4" xfId="53808" xr:uid="{962B1066-C710-4208-94DF-17A3EF9A0C74}"/>
    <cellStyle name="Comma 7 5 3 6 5" xfId="39104" xr:uid="{4D33AA63-5F20-4520-8E25-282EF286AD4B}"/>
    <cellStyle name="Comma 7 5 3 7" xfId="11546" xr:uid="{C5D91550-D539-4168-8141-6FC4D4B0B0FC}"/>
    <cellStyle name="Comma 7 5 3 7 2" xfId="40357" xr:uid="{60B4DA87-468E-4907-AFC2-91C9A391F9FC}"/>
    <cellStyle name="Comma 7 5 3 8" xfId="40999" xr:uid="{DED1AB64-DF96-47EB-8CDA-F82B84450C72}"/>
    <cellStyle name="Comma 7 5 3 9" xfId="42211" xr:uid="{1555383E-4149-4CDE-AC4A-3AC707DA425C}"/>
    <cellStyle name="Comma 7 5 4" xfId="3896" xr:uid="{E633B9A6-FE5D-446A-97E2-AD8E301FC051}"/>
    <cellStyle name="Comma 7 5 4 10" xfId="42857" xr:uid="{8671F2F6-BCFA-4437-8557-3E396C7D38B6}"/>
    <cellStyle name="Comma 7 5 4 11" xfId="43907" xr:uid="{183CCF85-8139-4119-BB6E-35F4DACC8080}"/>
    <cellStyle name="Comma 7 5 4 12" xfId="44494" xr:uid="{1D9F9AC2-028D-4B4D-9A64-1D96793C3441}"/>
    <cellStyle name="Comma 7 5 4 13" xfId="46661" xr:uid="{C7B90266-71BE-4FBA-8CD9-139694ECF292}"/>
    <cellStyle name="Comma 7 5 4 14" xfId="49694" xr:uid="{2D20B48E-8E8D-4B71-9BBF-461E1C38B858}"/>
    <cellStyle name="Comma 7 5 4 15" xfId="53809" xr:uid="{23D0C6D9-60B5-4677-A68B-50D1276B0917}"/>
    <cellStyle name="Comma 7 5 4 16" xfId="19763" xr:uid="{4D661999-0E91-4E54-B71F-51ED95F69100}"/>
    <cellStyle name="Comma 7 5 4 17" xfId="14175" xr:uid="{B13A4801-EC8C-48D8-8429-4F262E02CCF2}"/>
    <cellStyle name="Comma 7 5 4 2" xfId="5638" xr:uid="{5D4AEA1F-D688-413F-9DE7-6C9E3BF423C5}"/>
    <cellStyle name="Comma 7 5 4 2 10" xfId="14667" xr:uid="{13A2D1E1-45FB-41FA-9907-094FFEBDCD2A}"/>
    <cellStyle name="Comma 7 5 4 2 2" xfId="10232" xr:uid="{65E01247-C931-49DD-BC5E-A29EE5335CC8}"/>
    <cellStyle name="Comma 7 5 4 2 2 2" xfId="13538" xr:uid="{BCF7FF34-E26B-4516-BB10-0D958F429DA5}"/>
    <cellStyle name="Comma 7 5 4 2 2 2 2" xfId="48435" xr:uid="{5FE0FED3-B285-4C32-901E-DC3807903AC5}"/>
    <cellStyle name="Comma 7 5 4 2 2 3" xfId="51229" xr:uid="{C9459127-D44E-4127-B505-7259969BEF15}"/>
    <cellStyle name="Comma 7 5 4 2 2 4" xfId="53810" xr:uid="{E458E028-45F5-493E-8E6B-49FCA4531493}"/>
    <cellStyle name="Comma 7 5 4 2 2 5" xfId="39771" xr:uid="{C9BED9E3-9122-48CA-8084-FBBB9E5A2DA6}"/>
    <cellStyle name="Comma 7 5 4 2 3" xfId="7740" xr:uid="{4F1FA3A1-B3B2-42A2-A487-C906176F45D9}"/>
    <cellStyle name="Comma 7 5 4 2 3 2" xfId="41624" xr:uid="{8802118F-A901-4438-8178-363DF3BC9D58}"/>
    <cellStyle name="Comma 7 5 4 2 4" xfId="12253" xr:uid="{CB86AC39-3452-4788-A223-590EFFEF7BA9}"/>
    <cellStyle name="Comma 7 5 4 2 4 2" xfId="43448" xr:uid="{13CFCC3A-B266-48A6-873F-172D38542938}"/>
    <cellStyle name="Comma 7 5 4 2 5" xfId="45525" xr:uid="{8BDF742F-D014-4C55-ACA2-14002ECF9C58}"/>
    <cellStyle name="Comma 7 5 4 2 6" xfId="46879" xr:uid="{594149D5-DC28-410C-9AF9-E2109EFCF60F}"/>
    <cellStyle name="Comma 7 5 4 2 7" xfId="49901" xr:uid="{8828CCB7-E16B-4580-8786-504066D9BC46}"/>
    <cellStyle name="Comma 7 5 4 2 8" xfId="53811" xr:uid="{52D1CED4-4470-4739-B96F-C8CED523F439}"/>
    <cellStyle name="Comma 7 5 4 2 9" xfId="23380" xr:uid="{F47169F4-E4C2-4866-80AE-F3A3B80EC4F0}"/>
    <cellStyle name="Comma 7 5 4 3" xfId="9738" xr:uid="{DDFD62B8-8677-4BFF-AC53-E36C52FCD233}"/>
    <cellStyle name="Comma 7 5 4 3 2" xfId="13044" xr:uid="{59F3DAF2-A459-437A-A0C5-B309A6A3D8F8}"/>
    <cellStyle name="Comma 7 5 4 3 2 2" xfId="51740" xr:uid="{1296AA6A-5C58-4690-A21D-F23B1B170B0C}"/>
    <cellStyle name="Comma 7 5 4 3 2 3" xfId="53812" xr:uid="{F32AE796-4FFB-489F-AC20-71EA31B5EF69}"/>
    <cellStyle name="Comma 7 5 4 3 2 4" xfId="49050" xr:uid="{CCEF3271-A8B4-4199-B5AF-2725754A61CF}"/>
    <cellStyle name="Comma 7 5 4 3 3" xfId="47469" xr:uid="{7D099CBB-ACDB-44A1-939B-398460ED0F9F}"/>
    <cellStyle name="Comma 7 5 4 3 4" xfId="50412" xr:uid="{4FCCC158-BC5E-4549-9233-02686DB8CDCE}"/>
    <cellStyle name="Comma 7 5 4 3 5" xfId="53813" xr:uid="{C8F62635-794F-4FD1-809B-50AF85F479D4}"/>
    <cellStyle name="Comma 7 5 4 3 6" xfId="20424" xr:uid="{651A054D-24DD-48AF-99FE-CBA85F591233}"/>
    <cellStyle name="Comma 7 5 4 3 7" xfId="14982" xr:uid="{774FD2AC-7CFA-446D-9823-213BCBEC69E0}"/>
    <cellStyle name="Comma 7 5 4 4" xfId="7234" xr:uid="{25A7C588-288D-4E4F-8288-1096D25ACEFD}"/>
    <cellStyle name="Comma 7 5 4 4 2" xfId="48195" xr:uid="{D7F8D2FE-ED9D-469B-892E-5A35514547A7}"/>
    <cellStyle name="Comma 7 5 4 4 3" xfId="51022" xr:uid="{61AFF0D4-BB04-4703-A681-AFC9232AFB63}"/>
    <cellStyle name="Comma 7 5 4 4 4" xfId="53814" xr:uid="{69AEE9BB-2BDD-436C-8F15-A84D3401901C}"/>
    <cellStyle name="Comma 7 5 4 4 5" xfId="24039" xr:uid="{022A40B4-EB40-4453-A3CF-19FD6911FE7E}"/>
    <cellStyle name="Comma 7 5 4 5" xfId="11759" xr:uid="{DC7A3FCB-8B93-408C-91EE-AC97B57219CB}"/>
    <cellStyle name="Comma 7 5 4 5 2" xfId="38536" xr:uid="{FAA47D9B-765F-453C-81D4-7F7A5F67A65A}"/>
    <cellStyle name="Comma 7 5 4 6" xfId="39180" xr:uid="{23F09242-2089-4531-A725-42CEBE4A9C18}"/>
    <cellStyle name="Comma 7 5 4 7" xfId="40359" xr:uid="{27FC7350-F748-4FEF-B544-B99E6F8C0152}"/>
    <cellStyle name="Comma 7 5 4 8" xfId="41001" xr:uid="{E764FA86-D132-45B2-8E80-F49DDB096C75}"/>
    <cellStyle name="Comma 7 5 4 9" xfId="42213" xr:uid="{8B968F50-4FF3-4E8F-9C86-C45597171F08}"/>
    <cellStyle name="Comma 7 5 5" xfId="5563" xr:uid="{D32F18E3-9C1C-4EDA-A082-B88A2751FE60}"/>
    <cellStyle name="Comma 7 5 5 10" xfId="43852" xr:uid="{418021C1-09E4-40A0-A6FB-E5B69D83DEB2}"/>
    <cellStyle name="Comma 7 5 5 11" xfId="45111" xr:uid="{B028CF67-6A96-4A4A-B498-4DD91A9D3FFA}"/>
    <cellStyle name="Comma 7 5 5 12" xfId="46610" xr:uid="{8A07C314-D0C5-4496-A660-A89DC2A58909}"/>
    <cellStyle name="Comma 7 5 5 13" xfId="49643" xr:uid="{FCFCFEB9-4035-493D-94AE-0EB532953E88}"/>
    <cellStyle name="Comma 7 5 5 14" xfId="53815" xr:uid="{36EC020F-454A-48BE-8274-6A9327C9E45E}"/>
    <cellStyle name="Comma 7 5 5 15" xfId="20635" xr:uid="{26DFF935-67B2-4630-876D-179947EEE211}"/>
    <cellStyle name="Comma 7 5 5 16" xfId="14100" xr:uid="{12FE705B-7FBB-4320-AE65-C8EA35561735}"/>
    <cellStyle name="Comma 7 5 5 2" xfId="7665" xr:uid="{850B1283-776A-4528-ACB7-96D09BD9EEB3}"/>
    <cellStyle name="Comma 7 5 5 2 2" xfId="10157" xr:uid="{24B8BB29-C4BC-4011-8F8C-A6B57F660E3A}"/>
    <cellStyle name="Comma 7 5 5 2 2 2" xfId="13463" xr:uid="{0819DC01-7271-4837-BC9E-A266635D8C3B}"/>
    <cellStyle name="Comma 7 5 5 2 2 2 2" xfId="51407" xr:uid="{DDF2F8FB-CA04-4C6F-A419-ED9CB9CEF1C3}"/>
    <cellStyle name="Comma 7 5 5 2 2 3" xfId="53816" xr:uid="{F81FBDBF-CC5C-4C58-B9E0-E20078407966}"/>
    <cellStyle name="Comma 7 5 5 2 2 4" xfId="48644" xr:uid="{FD0DCB10-25F7-4CAA-8BA4-ED77972352EE}"/>
    <cellStyle name="Comma 7 5 5 2 3" xfId="12178" xr:uid="{4D048168-C18A-46A5-ABBB-729157D11AEF}"/>
    <cellStyle name="Comma 7 5 5 2 3 2" xfId="47078" xr:uid="{EE14235D-7BB2-4BC9-B9C9-ED7BD2A725BE}"/>
    <cellStyle name="Comma 7 5 5 2 4" xfId="50079" xr:uid="{D4030560-F0AA-409A-B21D-3DAD86953EEC}"/>
    <cellStyle name="Comma 7 5 5 2 5" xfId="53817" xr:uid="{251405B9-5CEB-436A-AA5F-6D5A64F94BDD}"/>
    <cellStyle name="Comma 7 5 5 2 6" xfId="24040" xr:uid="{CD48ED32-70B1-4632-B559-F5757A6F38E3}"/>
    <cellStyle name="Comma 7 5 5 2 7" xfId="14592" xr:uid="{273AA627-53E2-4412-B936-81B8C52D25FE}"/>
    <cellStyle name="Comma 7 5 5 3" xfId="9663" xr:uid="{47E232CB-832B-4FC8-BA16-05691454D21D}"/>
    <cellStyle name="Comma 7 5 5 3 2" xfId="12969" xr:uid="{3F235EEB-2A02-4309-BEEE-7D47AF90EA13}"/>
    <cellStyle name="Comma 7 5 5 3 2 2" xfId="51689" xr:uid="{B65DB937-0D07-4E45-82C2-C982D960EA08}"/>
    <cellStyle name="Comma 7 5 5 3 2 3" xfId="53818" xr:uid="{63A682E0-A7FE-4DB2-8372-E0828C8B89CF}"/>
    <cellStyle name="Comma 7 5 5 3 2 4" xfId="48977" xr:uid="{D35E65D8-5037-4008-B074-8ACD2619877E}"/>
    <cellStyle name="Comma 7 5 5 3 3" xfId="47401" xr:uid="{072DA425-6881-4C02-9728-6C97F632111F}"/>
    <cellStyle name="Comma 7 5 5 3 4" xfId="50361" xr:uid="{EA75C185-EA2A-41DF-966E-88ECA2719CFF}"/>
    <cellStyle name="Comma 7 5 5 3 5" xfId="53819" xr:uid="{1BD17F6F-D017-435B-B072-7CCDE09B1FD5}"/>
    <cellStyle name="Comma 7 5 5 3 6" xfId="38537" xr:uid="{FA7C94C2-6B76-468B-91FC-82072BD3F7BE}"/>
    <cellStyle name="Comma 7 5 5 4" xfId="7159" xr:uid="{2C57ED06-46B9-4C1D-9202-90DA17D01A9C}"/>
    <cellStyle name="Comma 7 5 5 4 2" xfId="48122" xr:uid="{3453C33C-257E-43C6-9535-0BC92AED474C}"/>
    <cellStyle name="Comma 7 5 5 4 3" xfId="50971" xr:uid="{97AECB90-8902-47E8-B1FD-98AA9474D6AF}"/>
    <cellStyle name="Comma 7 5 5 4 4" xfId="53820" xr:uid="{07B87755-556B-4FCD-B198-9287CFED3DC5}"/>
    <cellStyle name="Comma 7 5 5 4 5" xfId="39329" xr:uid="{B2E954CF-6189-49C7-AA92-1392340CE7C3}"/>
    <cellStyle name="Comma 7 5 5 5" xfId="11684" xr:uid="{2A6865E0-C8F5-4A49-8FFA-F2D4A4F7687C}"/>
    <cellStyle name="Comma 7 5 5 5 2" xfId="40360" xr:uid="{67E4445B-0882-4152-B354-4945225EEDD0}"/>
    <cellStyle name="Comma 7 5 5 6" xfId="41002" xr:uid="{84F13388-1181-45D7-9C85-11D6D7D499CD}"/>
    <cellStyle name="Comma 7 5 5 7" xfId="41191" xr:uid="{D990CE12-9BCB-43CA-843A-E50D27D3A701}"/>
    <cellStyle name="Comma 7 5 5 8" xfId="42214" xr:uid="{A9CDE182-9CF6-46DD-87D2-E5062761014D}"/>
    <cellStyle name="Comma 7 5 5 9" xfId="43006" xr:uid="{8DA7B185-B3D7-4879-B2EA-EB905863C5A4}"/>
    <cellStyle name="Comma 7 5 6" xfId="5963" xr:uid="{8DD2A919-06B1-4A13-A491-B899D226E1FA}"/>
    <cellStyle name="Comma 7 5 6 10" xfId="19982" xr:uid="{0C4FA23C-03DA-4083-A8C7-D60C6F3E4E1F}"/>
    <cellStyle name="Comma 7 5 6 11" xfId="14353" xr:uid="{335ABC75-F21E-4C19-8E7E-87ABB4A0DF25}"/>
    <cellStyle name="Comma 7 5 6 2" xfId="9421" xr:uid="{60D12E29-3B80-41E6-9B13-D512389E2C12}"/>
    <cellStyle name="Comma 7 5 6 2 2" xfId="12727" xr:uid="{B068690D-C133-451B-8C42-AAE080B7A185}"/>
    <cellStyle name="Comma 7 5 6 2 2 2" xfId="47890" xr:uid="{F211DAE2-ECDF-4CB2-91E9-783E62934380}"/>
    <cellStyle name="Comma 7 5 6 2 3" xfId="50767" xr:uid="{C6A59F05-1F34-48CB-8D18-50D0995035AE}"/>
    <cellStyle name="Comma 7 5 6 2 4" xfId="53821" xr:uid="{E2979D6A-EDB7-41ED-B596-A6BB2B0F301B}"/>
    <cellStyle name="Comma 7 5 6 2 5" xfId="24041" xr:uid="{00CE69C8-B512-4D08-93AF-B654B25E76D7}"/>
    <cellStyle name="Comma 7 5 6 3" xfId="11442" xr:uid="{3BC29EF7-2DF8-4835-8211-A624BAB4454C}"/>
    <cellStyle name="Comma 7 5 6 3 2" xfId="38538" xr:uid="{2F45EA11-617A-4A61-B033-B50BE790DE1B}"/>
    <cellStyle name="Comma 7 5 6 4" xfId="40361" xr:uid="{AE29EB4F-15E9-48C2-9252-7550DC094914}"/>
    <cellStyle name="Comma 7 5 6 5" xfId="41003" xr:uid="{01D22DAF-5A95-4342-A9EC-0FD0BA7260DC}"/>
    <cellStyle name="Comma 7 5 6 6" xfId="42215" xr:uid="{AC18E609-738D-4904-A4C9-9EAD4D3E5E14}"/>
    <cellStyle name="Comma 7 5 6 7" xfId="45817" xr:uid="{7981596F-D085-4EF4-A78B-6569AF868E34}"/>
    <cellStyle name="Comma 7 5 6 8" xfId="49439" xr:uid="{AC3DDB0F-79BC-4820-AE06-60FF6964C1EC}"/>
    <cellStyle name="Comma 7 5 6 9" xfId="53822" xr:uid="{2F53B363-3DE2-441F-8155-90053A066ED5}"/>
    <cellStyle name="Comma 7 5 7" xfId="7426" xr:uid="{B5BE64F9-950A-4406-A0FC-52356A39726C}"/>
    <cellStyle name="Comma 7 5 7 2" xfId="9918" xr:uid="{25C05380-77B3-4AB6-8E05-EF814E7DED2E}"/>
    <cellStyle name="Comma 7 5 7 2 2" xfId="13224" xr:uid="{5BA29762-80E6-42CB-8D37-0C5E06D37853}"/>
    <cellStyle name="Comma 7 5 7 2 2 2" xfId="51201" xr:uid="{A4789395-6D07-4912-8F19-5E52B21B81B5}"/>
    <cellStyle name="Comma 7 5 7 2 3" xfId="53823" xr:uid="{F573CDA7-5B66-43A6-9E1D-526A3AD2B0D1}"/>
    <cellStyle name="Comma 7 5 7 2 4" xfId="48400" xr:uid="{66F3D234-F186-482F-AD2D-AF0A9639BEBC}"/>
    <cellStyle name="Comma 7 5 7 3" xfId="11939" xr:uid="{C9AD4BE8-C63F-4F25-9121-69B84B25C0BD}"/>
    <cellStyle name="Comma 7 5 7 3 2" xfId="46849" xr:uid="{ED8B34BF-3D16-40D8-8DCA-3FFCDA009765}"/>
    <cellStyle name="Comma 7 5 7 4" xfId="49873" xr:uid="{4EA1F408-A2FC-4472-8EA8-B7404240A499}"/>
    <cellStyle name="Comma 7 5 7 5" xfId="53824" xr:uid="{CF92BB9D-C38D-4AC2-BAE1-0117424BA14F}"/>
    <cellStyle name="Comma 7 5 7 6" xfId="24034" xr:uid="{787CB8E9-BD2A-4BD5-A3D3-9AE27A2DBDD2}"/>
    <cellStyle name="Comma 7 5 7 7" xfId="14907" xr:uid="{6380F23C-5F7D-41EE-BE51-39E9222EC0B2}"/>
    <cellStyle name="Comma 7 5 8" xfId="8193" xr:uid="{A8187B1B-6AFC-43C0-89FB-B7666F24BE16}"/>
    <cellStyle name="Comma 7 5 8 2" xfId="12649" xr:uid="{986B424B-87E7-4ADF-9AD2-55B4E32F9398}"/>
    <cellStyle name="Comma 7 5 8 2 2" xfId="51485" xr:uid="{E92F00E7-C8C2-4E1E-958D-31598DE3B74A}"/>
    <cellStyle name="Comma 7 5 8 2 3" xfId="53825" xr:uid="{0AE68810-CA1B-4DAF-9136-362061BC60D1}"/>
    <cellStyle name="Comma 7 5 8 2 4" xfId="48741" xr:uid="{35FA266F-95F3-46CC-A4FB-CA23DD0E564F}"/>
    <cellStyle name="Comma 7 5 8 3" xfId="47176" xr:uid="{256D26F7-C650-42F4-9651-63DC4FDEEEDE}"/>
    <cellStyle name="Comma 7 5 8 4" xfId="50157" xr:uid="{F7A525AD-15C0-4169-AD02-8A9783C0B701}"/>
    <cellStyle name="Comma 7 5 8 5" xfId="53826" xr:uid="{B2E01B04-735B-4493-A4C7-AD4F8A8AD00A}"/>
    <cellStyle name="Comma 7 5 8 6" xfId="38531" xr:uid="{70CEEE98-F7C8-44F1-A901-90E652706591}"/>
    <cellStyle name="Comma 7 5 9" xfId="7980" xr:uid="{04A188A2-916D-4363-8F92-C95F3580338D}"/>
    <cellStyle name="Comma 7 5 9 2" xfId="12493" xr:uid="{042EC144-D35C-44B5-9AD9-F96688B3FBD6}"/>
    <cellStyle name="Comma 7 5 9 2 2" xfId="47709" xr:uid="{6578D068-1003-4E58-87BB-4C94BD83C5AE}"/>
    <cellStyle name="Comma 7 5 9 3" xfId="50617" xr:uid="{A4FC662F-4C97-4823-8C01-BA3506A4224F}"/>
    <cellStyle name="Comma 7 5 9 4" xfId="53827" xr:uid="{65363F1A-4908-4671-9D37-636C17A25264}"/>
    <cellStyle name="Comma 7 5 9 5" xfId="38738" xr:uid="{A0BC3B19-0FB5-4F34-9F77-3D853C8BF3B8}"/>
    <cellStyle name="Comma 7 6" xfId="1808" xr:uid="{5B25CB9F-1705-4788-AB5C-2C33DB831F8F}"/>
    <cellStyle name="Comma 7 6 10" xfId="11367" xr:uid="{05614494-482B-40D8-98F1-2BC78329F88B}"/>
    <cellStyle name="Comma 7 6 10 2" xfId="42216" xr:uid="{BDA7E111-B489-44E7-B1C6-ABB7BC397707}"/>
    <cellStyle name="Comma 7 6 11" xfId="42783" xr:uid="{17F871FE-28A4-40DD-B1EE-D93165678704}"/>
    <cellStyle name="Comma 7 6 12" xfId="43581" xr:uid="{9A0A961D-DA62-4BA3-9EF9-4DD7ABA4CC74}"/>
    <cellStyle name="Comma 7 6 13" xfId="44444" xr:uid="{64EB25A2-EEC0-4557-AAB8-A585CCAEF733}"/>
    <cellStyle name="Comma 7 6 14" xfId="45661" xr:uid="{5D1F37F7-DB15-4F64-9B89-1BA2ACA38A88}"/>
    <cellStyle name="Comma 7 6 15" xfId="49290" xr:uid="{16D64BDB-D8BE-4B5C-A6AD-34E1D534F56E}"/>
    <cellStyle name="Comma 7 6 16" xfId="53828" xr:uid="{50990F87-37EE-44C2-8A5E-C5041DC88DBA}"/>
    <cellStyle name="Comma 7 6 17" xfId="17136" xr:uid="{AA99F35F-0D68-413B-B7D5-E57E4F234998}"/>
    <cellStyle name="Comma 7 6 18" xfId="13964" xr:uid="{61721678-90CC-4C78-9445-3874197512CF}"/>
    <cellStyle name="Comma 7 6 2" xfId="1809" xr:uid="{FD0916F1-6C5A-4B80-83BB-F3B737061C71}"/>
    <cellStyle name="Comma 7 6 2 10" xfId="42858" xr:uid="{606A0883-F46A-4183-B52A-030E07353C2E}"/>
    <cellStyle name="Comma 7 6 2 11" xfId="43582" xr:uid="{2BB6156C-9BFA-41A4-A978-BAEA55FD3A31}"/>
    <cellStyle name="Comma 7 6 2 12" xfId="44445" xr:uid="{A0438A61-E5CC-455B-8375-3044FB9AA6C4}"/>
    <cellStyle name="Comma 7 6 2 13" xfId="45779" xr:uid="{0DB9341C-EACA-41AC-9E63-3E22B72D9E5E}"/>
    <cellStyle name="Comma 7 6 2 14" xfId="49407" xr:uid="{037C83B4-ECA2-4E6F-8EA9-CE94E9CC53FF}"/>
    <cellStyle name="Comma 7 6 2 15" xfId="53829" xr:uid="{C7DFAC8E-5999-4AF3-B441-BD722FF21237}"/>
    <cellStyle name="Comma 7 6 2 16" xfId="19764" xr:uid="{BD09CE93-067D-4CAD-BAFA-5BFA858538DA}"/>
    <cellStyle name="Comma 7 6 2 17" xfId="13965" xr:uid="{627EB7D3-40CD-47DE-A7C2-91B97DF00676}"/>
    <cellStyle name="Comma 7 6 2 2" xfId="4485" xr:uid="{BED3A504-1EC0-4E92-BF84-D5D916401580}"/>
    <cellStyle name="Comma 7 6 2 2 10" xfId="44286" xr:uid="{42750A34-27C8-47B8-924F-F9DFDA5F7B4E}"/>
    <cellStyle name="Comma 7 6 2 2 11" xfId="44586" xr:uid="{08631E13-394A-49D6-85FE-A94440DD3EB5}"/>
    <cellStyle name="Comma 7 6 2 2 12" xfId="46754" xr:uid="{B9EA6D2C-8F34-4154-85C0-CB7EB26EC445}"/>
    <cellStyle name="Comma 7 6 2 2 13" xfId="49786" xr:uid="{1EDA938D-005F-4813-B8E4-DAFB0C811379}"/>
    <cellStyle name="Comma 7 6 2 2 14" xfId="53830" xr:uid="{DF18BF0B-271C-4C0F-9645-2396AA148844}"/>
    <cellStyle name="Comma 7 6 2 2 15" xfId="23381" xr:uid="{C4820DF7-52E7-446A-BE37-77E7C0947521}"/>
    <cellStyle name="Comma 7 6 2 2 16" xfId="14279" xr:uid="{01611A9E-A571-4D12-B178-0C403104F90D}"/>
    <cellStyle name="Comma 7 6 2 2 2" xfId="5742" xr:uid="{9C4D8E8E-2F0B-4D81-A7AC-BA19193F0B10}"/>
    <cellStyle name="Comma 7 6 2 2 2 2" xfId="10336" xr:uid="{D75AACAA-19C6-4D4A-9EA2-10EA8D641525}"/>
    <cellStyle name="Comma 7 6 2 2 2 2 2" xfId="13642" xr:uid="{30C99879-725A-425A-BF29-D047EF46DC10}"/>
    <cellStyle name="Comma 7 6 2 2 2 2 2 2" xfId="51445" xr:uid="{862D9E66-2542-49EF-9AFE-EC138CD5D39A}"/>
    <cellStyle name="Comma 7 6 2 2 2 2 3" xfId="53831" xr:uid="{4C34FEF5-06C3-4F5B-B08B-586802C65849}"/>
    <cellStyle name="Comma 7 6 2 2 2 2 4" xfId="48690" xr:uid="{650E0A19-191D-45DA-B9BB-BC367E3D6574}"/>
    <cellStyle name="Comma 7 6 2 2 2 3" xfId="7844" xr:uid="{341BD656-AED4-43A9-9CD5-B64866B7E17C}"/>
    <cellStyle name="Comma 7 6 2 2 2 3 2" xfId="47127" xr:uid="{811606B1-B74C-4137-82B9-987FBEEB0F96}"/>
    <cellStyle name="Comma 7 6 2 2 2 4" xfId="12357" xr:uid="{FB759E1E-CFF0-44D5-BE68-D3DF927A2AE9}"/>
    <cellStyle name="Comma 7 6 2 2 2 4 2" xfId="50117" xr:uid="{D107DFFE-463B-43F3-8E03-000FBEB06261}"/>
    <cellStyle name="Comma 7 6 2 2 2 5" xfId="53832" xr:uid="{8862BB93-7035-49D0-B628-88A4FAADCD70}"/>
    <cellStyle name="Comma 7 6 2 2 2 6" xfId="24044" xr:uid="{E9644285-5156-4773-AD80-9F226E157EFC}"/>
    <cellStyle name="Comma 7 6 2 2 2 7" xfId="14771" xr:uid="{6F1DA70F-D5BE-4AE7-916A-0F2DB1AB28F3}"/>
    <cellStyle name="Comma 7 6 2 2 3" xfId="9842" xr:uid="{D14441FB-F7FB-40C7-99C6-7F828278F320}"/>
    <cellStyle name="Comma 7 6 2 2 3 2" xfId="13148" xr:uid="{33975C43-DD21-4572-9EE0-29AAB418F7D0}"/>
    <cellStyle name="Comma 7 6 2 2 3 2 2" xfId="51832" xr:uid="{DBF79352-7B9C-45DA-822C-9D8483F5EE37}"/>
    <cellStyle name="Comma 7 6 2 2 3 2 3" xfId="53833" xr:uid="{8178995C-987E-40C1-8BCD-B91E5BDB3604}"/>
    <cellStyle name="Comma 7 6 2 2 3 2 4" xfId="49152" xr:uid="{E1E28E50-86E8-474D-A703-392F6FCFF5DE}"/>
    <cellStyle name="Comma 7 6 2 2 3 3" xfId="47569" xr:uid="{E558745A-9E34-47DD-8A2D-1BB8E9BC72FF}"/>
    <cellStyle name="Comma 7 6 2 2 3 4" xfId="50504" xr:uid="{EAE04457-9693-4A50-9054-5C1B93367EA4}"/>
    <cellStyle name="Comma 7 6 2 2 3 5" xfId="53834" xr:uid="{8C5945D9-546A-41FA-9B1B-5CDD22AB4ACE}"/>
    <cellStyle name="Comma 7 6 2 2 3 6" xfId="38541" xr:uid="{090DA903-C04B-4373-8962-4E427C5D5FE1}"/>
    <cellStyle name="Comma 7 6 2 2 3 7" xfId="15086" xr:uid="{58400483-0DA9-4673-9E48-54CF3C205E7D}"/>
    <cellStyle name="Comma 7 6 2 2 4" xfId="7340" xr:uid="{BBAC7935-4F31-4C81-9FE2-055EE1ADF4C5}"/>
    <cellStyle name="Comma 7 6 2 2 4 2" xfId="48296" xr:uid="{87E28E01-6D64-450E-B3B9-8F7CE632B292}"/>
    <cellStyle name="Comma 7 6 2 2 4 3" xfId="51114" xr:uid="{8B73ED30-4461-4ED3-9A69-FC4EDDA8E12D}"/>
    <cellStyle name="Comma 7 6 2 2 4 4" xfId="53835" xr:uid="{316F3992-A25F-41F3-A4FB-1363385646DE}"/>
    <cellStyle name="Comma 7 6 2 2 4 5" xfId="39772" xr:uid="{DD8BF53F-B81C-4D19-8E98-265A82B4134B}"/>
    <cellStyle name="Comma 7 6 2 2 5" xfId="11863" xr:uid="{54094744-4299-49E6-BE65-AB2D6A917B72}"/>
    <cellStyle name="Comma 7 6 2 2 5 2" xfId="40364" xr:uid="{28F2E212-E9D9-40AF-BC69-DC163C3E74EF}"/>
    <cellStyle name="Comma 7 6 2 2 6" xfId="41006" xr:uid="{05BC35C6-588C-4404-A26E-A6DF4C6270C8}"/>
    <cellStyle name="Comma 7 6 2 2 7" xfId="41625" xr:uid="{07760932-DC38-4022-80C9-8479EEE46905}"/>
    <cellStyle name="Comma 7 6 2 2 8" xfId="42218" xr:uid="{1F678EC6-5619-4A71-BEEE-F36B131CE64B}"/>
    <cellStyle name="Comma 7 6 2 2 9" xfId="43449" xr:uid="{DDAD33ED-CD11-41F2-BE18-B9E65870190D}"/>
    <cellStyle name="Comma 7 6 2 3" xfId="5566" xr:uid="{D295EC64-B0AD-43A1-BC63-5344BFBA21D0}"/>
    <cellStyle name="Comma 7 6 2 3 2" xfId="7668" xr:uid="{C8421331-6E63-4E5D-A237-3D573D92F420}"/>
    <cellStyle name="Comma 7 6 2 3 2 2" xfId="10160" xr:uid="{5801A78B-9596-41F0-A065-CFC1034920EB}"/>
    <cellStyle name="Comma 7 6 2 3 2 2 2" xfId="13466" xr:uid="{5A397A64-08CF-49DD-AEF2-E3F6E510467C}"/>
    <cellStyle name="Comma 7 6 2 3 2 2 2 2" xfId="51692" xr:uid="{C26549CC-883A-4D7F-8D96-E8979240E76E}"/>
    <cellStyle name="Comma 7 6 2 3 2 2 3" xfId="53836" xr:uid="{E5CFBCD7-0484-4646-9AE5-A7F8910B3990}"/>
    <cellStyle name="Comma 7 6 2 3 2 2 4" xfId="48980" xr:uid="{51AF74DC-8048-4B78-96BA-5580D58C9032}"/>
    <cellStyle name="Comma 7 6 2 3 2 3" xfId="12181" xr:uid="{AF0006E1-5A52-496A-95FD-1B528F4B0064}"/>
    <cellStyle name="Comma 7 6 2 3 2 3 2" xfId="47404" xr:uid="{B2AA0C57-92CD-423A-AA11-C2C93A21C3EE}"/>
    <cellStyle name="Comma 7 6 2 3 2 4" xfId="50364" xr:uid="{420AF14F-23D0-46DE-8D1C-AEBDD0A1D41B}"/>
    <cellStyle name="Comma 7 6 2 3 2 5" xfId="53837" xr:uid="{EFCCD12D-9E7A-4E44-B2B3-54EE35378D08}"/>
    <cellStyle name="Comma 7 6 2 3 2 6" xfId="43855" xr:uid="{1CEC52D8-F364-4819-8BED-0C544DF98207}"/>
    <cellStyle name="Comma 7 6 2 3 2 7" xfId="14595" xr:uid="{AD6E210E-3D9A-4C4A-86B7-9F71752F725B}"/>
    <cellStyle name="Comma 7 6 2 3 3" xfId="9666" xr:uid="{4AC7743B-807C-45C3-A4CE-70B389B06F63}"/>
    <cellStyle name="Comma 7 6 2 3 3 2" xfId="12972" xr:uid="{820C398E-C3CC-4077-984D-A4340FE68B5D}"/>
    <cellStyle name="Comma 7 6 2 3 3 2 2" xfId="50974" xr:uid="{566B6E94-99BF-4F50-A439-46C240F1D190}"/>
    <cellStyle name="Comma 7 6 2 3 3 3" xfId="53838" xr:uid="{8EEBF1A9-C64D-4D0F-AA89-D89FD2CED76F}"/>
    <cellStyle name="Comma 7 6 2 3 3 4" xfId="48125" xr:uid="{B5CA19B5-CB8F-4CDF-A302-95C5EBF84DF6}"/>
    <cellStyle name="Comma 7 6 2 3 4" xfId="7162" xr:uid="{3612916C-F6C5-4BEC-B062-57107BFC384D}"/>
    <cellStyle name="Comma 7 6 2 3 4 2" xfId="46613" xr:uid="{3E039AB9-08FE-4334-89AE-2470031CCC57}"/>
    <cellStyle name="Comma 7 6 2 3 5" xfId="11687" xr:uid="{A8797FF9-FCE4-46D1-9BF7-FACC2E7F140A}"/>
    <cellStyle name="Comma 7 6 2 3 5 2" xfId="49646" xr:uid="{8B46307F-13A4-48A8-9A1E-68DFCB13962E}"/>
    <cellStyle name="Comma 7 6 2 3 6" xfId="53839" xr:uid="{47DF6EE8-08CC-4242-8903-E2F7EF3DF714}"/>
    <cellStyle name="Comma 7 6 2 3 7" xfId="20425" xr:uid="{A66F1CF4-34DB-4B73-B01C-3FFD8DBB837B}"/>
    <cellStyle name="Comma 7 6 2 3 8" xfId="14103" xr:uid="{2BC68EB4-5880-41ED-8074-03B871048613}"/>
    <cellStyle name="Comma 7 6 2 4" xfId="6556" xr:uid="{3A0CA675-6FF8-48D5-9B94-24054097B7B7}"/>
    <cellStyle name="Comma 7 6 2 4 2" xfId="9528" xr:uid="{B3B18F9D-75EF-4668-94F6-979BA8F79847}"/>
    <cellStyle name="Comma 7 6 2 4 2 2" xfId="12834" xr:uid="{EECB3404-90A4-4447-BCB0-B2D7075D2EE2}"/>
    <cellStyle name="Comma 7 6 2 4 2 2 2" xfId="50859" xr:uid="{6D4A6884-7E20-4C96-9B92-B74A9AE34D4A}"/>
    <cellStyle name="Comma 7 6 2 4 2 3" xfId="53840" xr:uid="{C415D67F-9F8A-4AD8-B294-804C1CFB709F}"/>
    <cellStyle name="Comma 7 6 2 4 2 4" xfId="47990" xr:uid="{A72A9A27-924E-4FB6-9ACB-8D818A9EE0E2}"/>
    <cellStyle name="Comma 7 6 2 4 3" xfId="11549" xr:uid="{419E5A77-D4C0-4D74-AA4D-B3C5ED9F27C3}"/>
    <cellStyle name="Comma 7 6 2 4 3 2" xfId="46195" xr:uid="{EEDB8CD7-D8A2-478C-8535-393F8D8CF5B0}"/>
    <cellStyle name="Comma 7 6 2 4 4" xfId="49531" xr:uid="{3374FD40-892E-486C-A41A-DC3A7B6ED750}"/>
    <cellStyle name="Comma 7 6 2 4 5" xfId="53841" xr:uid="{4D31DB15-5750-410B-906F-318F098BAFDE}"/>
    <cellStyle name="Comma 7 6 2 4 6" xfId="24043" xr:uid="{AB28D717-EB8C-437F-BBEE-B938AA9AF280}"/>
    <cellStyle name="Comma 7 6 2 4 7" xfId="14457" xr:uid="{3AC844CA-C8AA-45E1-AE9A-A5BFC6B39CCF}"/>
    <cellStyle name="Comma 7 6 2 5" xfId="7530" xr:uid="{A9440124-55FB-4123-A625-D11B3F84AC10}"/>
    <cellStyle name="Comma 7 6 2 5 2" xfId="10022" xr:uid="{0E01FD11-3F60-421A-BA44-F62156307124}"/>
    <cellStyle name="Comma 7 6 2 5 2 2" xfId="13328" xr:uid="{FA375E30-4892-4F81-B5A6-0868B574227C}"/>
    <cellStyle name="Comma 7 6 2 5 2 2 2" xfId="51321" xr:uid="{DDDB2ABF-B1EB-4CC5-AE71-816225E84A9C}"/>
    <cellStyle name="Comma 7 6 2 5 2 3" xfId="53842" xr:uid="{1A738911-8924-4D92-B4D3-8831B89984CC}"/>
    <cellStyle name="Comma 7 6 2 5 2 4" xfId="48535" xr:uid="{2DBEB866-2D2E-4619-AAA5-6E63C5C4D1EE}"/>
    <cellStyle name="Comma 7 6 2 5 3" xfId="12043" xr:uid="{C53B25C0-3FFC-40F8-9500-67FB7560E5E7}"/>
    <cellStyle name="Comma 7 6 2 5 3 2" xfId="46974" xr:uid="{8938634C-ECBB-4BB6-9ABA-A3A180803FE8}"/>
    <cellStyle name="Comma 7 6 2 5 4" xfId="49993" xr:uid="{4701AEBF-DC58-40DB-8A52-F611A4BDC1C3}"/>
    <cellStyle name="Comma 7 6 2 5 5" xfId="53843" xr:uid="{F3B05100-2429-4840-941A-FDBDE5DAE53C}"/>
    <cellStyle name="Comma 7 6 2 5 6" xfId="38540" xr:uid="{B1621C3B-EF48-489E-91E3-E12A86325E6E}"/>
    <cellStyle name="Comma 7 6 2 5 7" xfId="14910" xr:uid="{B04FE811-74A1-4BE5-B6A4-BC7E301D744E}"/>
    <cellStyle name="Comma 7 6 2 6" xfId="8196" xr:uid="{54338BB1-39D0-40A9-A42F-AC1B2F853A71}"/>
    <cellStyle name="Comma 7 6 2 6 2" xfId="12652" xr:uid="{EE17064F-373A-48FC-94A4-91406A150963}"/>
    <cellStyle name="Comma 7 6 2 6 2 2" xfId="51577" xr:uid="{26569D3F-F658-46BA-9882-F275417C9AAD}"/>
    <cellStyle name="Comma 7 6 2 6 2 3" xfId="53844" xr:uid="{31B635F9-8E31-4BD1-B250-A9ED1E5DED3E}"/>
    <cellStyle name="Comma 7 6 2 6 2 4" xfId="48842" xr:uid="{6E8AA2FD-3B16-4A4E-9157-D506BEAE37C5}"/>
    <cellStyle name="Comma 7 6 2 6 3" xfId="47271" xr:uid="{E398050E-4EBA-4872-BA35-86D81C5BDCF6}"/>
    <cellStyle name="Comma 7 6 2 6 4" xfId="50249" xr:uid="{F9B0524D-6205-48CD-80D5-5DDDB7971EC8}"/>
    <cellStyle name="Comma 7 6 2 6 5" xfId="53845" xr:uid="{7A63E5FD-401A-4C17-BCE3-72A9E919D0BD}"/>
    <cellStyle name="Comma 7 6 2 6 6" xfId="39181" xr:uid="{898774D1-4900-40DD-B9E2-6462F5C6840C}"/>
    <cellStyle name="Comma 7 6 2 7" xfId="7983" xr:uid="{24FA71ED-D44C-40E1-B638-A4BC088E08CA}"/>
    <cellStyle name="Comma 7 6 2 7 2" xfId="12496" xr:uid="{9FD90820-4017-4257-8B35-32A1A63633E1}"/>
    <cellStyle name="Comma 7 6 2 7 2 2" xfId="47847" xr:uid="{9D97242E-FDF6-49D2-A23E-CC594DE6E17B}"/>
    <cellStyle name="Comma 7 6 2 7 3" xfId="50735" xr:uid="{09BFCE89-F5E2-4655-AC69-CA602EFD18C7}"/>
    <cellStyle name="Comma 7 6 2 7 4" xfId="53846" xr:uid="{2E2E1C43-7B7B-4399-BD4D-D1F0CEE8C891}"/>
    <cellStyle name="Comma 7 6 2 7 5" xfId="40363" xr:uid="{546CACFE-6669-4EA1-8C42-9E6D9106D69D}"/>
    <cellStyle name="Comma 7 6 2 8" xfId="5880" xr:uid="{F24B83CD-F2BA-4218-BB60-6D2063DD3AC4}"/>
    <cellStyle name="Comma 7 6 2 8 2" xfId="41005" xr:uid="{466C8352-2229-4C0B-BC70-8877BBFFACAF}"/>
    <cellStyle name="Comma 7 6 2 9" xfId="11368" xr:uid="{9A48FF7D-758F-41A9-AAAC-A60B7A5222DC}"/>
    <cellStyle name="Comma 7 6 2 9 2" xfId="42217" xr:uid="{5ED8F7A5-F597-4BCC-9D25-31215B1FD587}"/>
    <cellStyle name="Comma 7 6 3" xfId="4484" xr:uid="{D61CD896-014E-452B-933F-2DBAD2616950}"/>
    <cellStyle name="Comma 7 6 3 10" xfId="21131" xr:uid="{5977A6D5-C1E5-4089-9C0B-4A7E50AEEFC3}"/>
    <cellStyle name="Comma 7 6 3 11" xfId="14278" xr:uid="{5C912B45-A7D1-45F9-A5DF-15A313D02377}"/>
    <cellStyle name="Comma 7 6 3 2" xfId="5741" xr:uid="{18BF7F9A-5A74-4DE9-99C6-1023FE6D7D9D}"/>
    <cellStyle name="Comma 7 6 3 2 2" xfId="10335" xr:uid="{2BBE16E7-09DB-40F0-9E69-D1C8B08FD0FF}"/>
    <cellStyle name="Comma 7 6 3 2 2 2" xfId="13641" xr:uid="{97386720-9E0A-4F0A-A5AC-10AEA06FE01F}"/>
    <cellStyle name="Comma 7 6 3 2 2 2 2" xfId="51113" xr:uid="{07B63B27-9B63-4BB7-941B-34C0389C69B2}"/>
    <cellStyle name="Comma 7 6 3 2 2 3" xfId="53847" xr:uid="{1E21E329-2B0E-41CC-BE09-B68E73C26AC9}"/>
    <cellStyle name="Comma 7 6 3 2 2 4" xfId="48295" xr:uid="{D903DE98-B1B5-4A6C-B0F6-2565F0FF7A67}"/>
    <cellStyle name="Comma 7 6 3 2 3" xfId="7843" xr:uid="{6237985C-9513-46E7-98F0-62CAFF4243D4}"/>
    <cellStyle name="Comma 7 6 3 2 3 2" xfId="46753" xr:uid="{46AD090C-A3A2-4F6F-99C3-9D06053EAC4A}"/>
    <cellStyle name="Comma 7 6 3 2 4" xfId="12356" xr:uid="{61A9F418-CD8B-4C33-89F9-82D7D171EA7C}"/>
    <cellStyle name="Comma 7 6 3 2 4 2" xfId="49785" xr:uid="{A84CC25B-49FB-4051-B10D-EF25272304C7}"/>
    <cellStyle name="Comma 7 6 3 2 5" xfId="53848" xr:uid="{9A657C7D-8CDA-4231-B6C6-C1336DB9B680}"/>
    <cellStyle name="Comma 7 6 3 2 6" xfId="39697" xr:uid="{A86E5FC3-641C-40EC-A2B9-27A6E4DD9FF4}"/>
    <cellStyle name="Comma 7 6 3 2 7" xfId="14770" xr:uid="{5BFA76B1-DD1B-437C-BAFD-27F1F7414B92}"/>
    <cellStyle name="Comma 7 6 3 3" xfId="11240" xr:uid="{A89DE019-EDC9-43EA-A2FB-B0AF763A9E9E}"/>
    <cellStyle name="Comma 7 6 3 3 2" xfId="13802" xr:uid="{D1CD3CCB-BBFC-4F6C-BC7D-0ABA4B8A34B1}"/>
    <cellStyle name="Comma 7 6 3 3 2 2" xfId="51444" xr:uid="{40902CE4-46E5-4B86-B312-1C8407F30279}"/>
    <cellStyle name="Comma 7 6 3 3 2 3" xfId="53849" xr:uid="{4056C5D7-7C39-486F-8949-E59E761D3316}"/>
    <cellStyle name="Comma 7 6 3 3 2 4" xfId="48689" xr:uid="{B2C15E29-A6EB-410C-8462-A76F8D89D3AB}"/>
    <cellStyle name="Comma 7 6 3 3 3" xfId="47126" xr:uid="{DD7A156F-B6E5-46B0-81CD-1491FD977370}"/>
    <cellStyle name="Comma 7 6 3 3 4" xfId="50116" xr:uid="{D4E75023-5E28-4012-83B2-7EF0B8074F45}"/>
    <cellStyle name="Comma 7 6 3 3 5" xfId="53850" xr:uid="{94861166-BDAF-4BB6-8D9C-4B5DA5A531DD}"/>
    <cellStyle name="Comma 7 6 3 3 6" xfId="41550" xr:uid="{5C725634-E2E4-4C97-BC50-3F935336B255}"/>
    <cellStyle name="Comma 7 6 3 3 7" xfId="15085" xr:uid="{DE35AD84-01DE-47D2-ACD3-7ABE74D29699}"/>
    <cellStyle name="Comma 7 6 3 4" xfId="9841" xr:uid="{8B63487D-32A6-436C-802A-3601975CD0F9}"/>
    <cellStyle name="Comma 7 6 3 4 2" xfId="13147" xr:uid="{D3BB50C0-1B05-48C3-A59B-7C22350E2BFF}"/>
    <cellStyle name="Comma 7 6 3 4 2 2" xfId="51831" xr:uid="{E3E56793-AE0A-4074-90C8-396E2A691A6F}"/>
    <cellStyle name="Comma 7 6 3 4 2 3" xfId="53851" xr:uid="{6F74E0BC-7608-441F-ACD1-52EA7A5036F1}"/>
    <cellStyle name="Comma 7 6 3 4 2 4" xfId="49151" xr:uid="{77EFA21D-8269-44E1-AEB0-1ACFFFDA880F}"/>
    <cellStyle name="Comma 7 6 3 4 3" xfId="47568" xr:uid="{52F60674-A67B-442C-BC15-417C30D46996}"/>
    <cellStyle name="Comma 7 6 3 4 4" xfId="50503" xr:uid="{1128A005-54B7-40C3-8335-42112D182D2D}"/>
    <cellStyle name="Comma 7 6 3 4 5" xfId="53852" xr:uid="{6B8FDA1C-A2A8-43CB-A9D0-D408DC1A0C1F}"/>
    <cellStyle name="Comma 7 6 3 4 6" xfId="43374" xr:uid="{C89F51DD-87AA-460F-B6AC-9EAFE50DB2D7}"/>
    <cellStyle name="Comma 7 6 3 5" xfId="7339" xr:uid="{E630470D-3B71-44AD-898B-FB80E2B6F128}"/>
    <cellStyle name="Comma 7 6 3 5 2" xfId="47792" xr:uid="{032441E8-ABE9-46D9-BB3A-5AB9ECAFB612}"/>
    <cellStyle name="Comma 7 6 3 5 3" xfId="50691" xr:uid="{0C37D0DF-53FD-4BFF-8EBC-5723EE41D3CA}"/>
    <cellStyle name="Comma 7 6 3 5 4" xfId="53853" xr:uid="{672D40E3-4CDC-4F1B-8AFD-D639A7884467}"/>
    <cellStyle name="Comma 7 6 3 5 5" xfId="44285" xr:uid="{63488A4B-809C-41D3-8515-C7556363F257}"/>
    <cellStyle name="Comma 7 6 3 6" xfId="11862" xr:uid="{BFD95037-538C-4938-A0F4-C7627A831289}"/>
    <cellStyle name="Comma 7 6 3 6 2" xfId="44585" xr:uid="{22808238-FDD4-43C1-BC6A-0E770B5EC5B5}"/>
    <cellStyle name="Comma 7 6 3 7" xfId="45735" xr:uid="{EBDA9C7D-33A1-452A-A6AF-850D6F6AE1BA}"/>
    <cellStyle name="Comma 7 6 3 8" xfId="49363" xr:uid="{86379D2A-ED7B-4534-A0A1-1CCCC43C94BA}"/>
    <cellStyle name="Comma 7 6 3 9" xfId="53854" xr:uid="{1FAB58BB-66DE-420F-8F40-77EC82EDB9E8}"/>
    <cellStyle name="Comma 7 6 4" xfId="5565" xr:uid="{A6C27150-0011-4286-94A2-CD5D9BE2D934}"/>
    <cellStyle name="Comma 7 6 4 2" xfId="7667" xr:uid="{62406D89-A978-4580-8A6A-ADEFB62EB332}"/>
    <cellStyle name="Comma 7 6 4 2 2" xfId="10159" xr:uid="{A1A6AFFC-0EA4-4C0B-8A61-53CD3CA32E39}"/>
    <cellStyle name="Comma 7 6 4 2 2 2" xfId="13465" xr:uid="{19FCFD13-4FC9-4037-AA46-F1FDF346D8EE}"/>
    <cellStyle name="Comma 7 6 4 2 2 2 2" xfId="51691" xr:uid="{E916B486-7813-431A-B32E-DE00621D5E84}"/>
    <cellStyle name="Comma 7 6 4 2 2 3" xfId="53855" xr:uid="{68216892-7DB1-4118-9328-AFE5C1012E9E}"/>
    <cellStyle name="Comma 7 6 4 2 2 4" xfId="48979" xr:uid="{89CA9D66-6B20-4C04-838E-6F592A061F13}"/>
    <cellStyle name="Comma 7 6 4 2 3" xfId="12180" xr:uid="{987FA10D-B231-4D0A-8E27-2A3A43266DE5}"/>
    <cellStyle name="Comma 7 6 4 2 3 2" xfId="47403" xr:uid="{649759A2-9695-4251-AA5F-C7FA61D34115}"/>
    <cellStyle name="Comma 7 6 4 2 4" xfId="50363" xr:uid="{D4CF3448-9491-4B43-ACD6-B736DBB4FC97}"/>
    <cellStyle name="Comma 7 6 4 2 5" xfId="53856" xr:uid="{C28B10CE-F0D8-4018-B641-AE047E6A340D}"/>
    <cellStyle name="Comma 7 6 4 2 6" xfId="43854" xr:uid="{668085A5-A577-42FF-94AC-F214D4623F46}"/>
    <cellStyle name="Comma 7 6 4 2 7" xfId="14594" xr:uid="{CF70DE79-938D-4536-865A-EC1D5F9453FC}"/>
    <cellStyle name="Comma 7 6 4 3" xfId="9665" xr:uid="{E17F4A4C-5732-4D7F-A407-11F7219CA3B0}"/>
    <cellStyle name="Comma 7 6 4 3 2" xfId="12971" xr:uid="{0D236BC4-0984-49D5-A220-8090B8741E75}"/>
    <cellStyle name="Comma 7 6 4 3 2 2" xfId="50973" xr:uid="{B4C96884-A167-41FB-919D-115A71DF8CD3}"/>
    <cellStyle name="Comma 7 6 4 3 3" xfId="53857" xr:uid="{6AE884C4-4E7C-40E1-8B3B-D1A43B6B831C}"/>
    <cellStyle name="Comma 7 6 4 3 4" xfId="48124" xr:uid="{F0288EFD-7AF7-4D66-BE61-D94CD259E7BA}"/>
    <cellStyle name="Comma 7 6 4 4" xfId="7161" xr:uid="{0A3295BF-A78B-4073-9DFB-EDB99AF40397}"/>
    <cellStyle name="Comma 7 6 4 4 2" xfId="46612" xr:uid="{16D47AE3-8C92-415B-9A09-ACA9FD06D28A}"/>
    <cellStyle name="Comma 7 6 4 5" xfId="11686" xr:uid="{67B85399-128B-42AF-8B89-B7A416E56043}"/>
    <cellStyle name="Comma 7 6 4 5 2" xfId="49645" xr:uid="{DD233E78-E982-46C1-B58E-CBDE182D388F}"/>
    <cellStyle name="Comma 7 6 4 6" xfId="53858" xr:uid="{9B1F06A2-B7C5-4EFE-A66A-2B9963D57941}"/>
    <cellStyle name="Comma 7 6 4 7" xfId="20350" xr:uid="{93E2D94F-EFDC-44DF-B5C6-B94E9D3A610D}"/>
    <cellStyle name="Comma 7 6 4 8" xfId="14102" xr:uid="{8AC8D087-82A9-4453-A6BE-FB288D0BC6C2}"/>
    <cellStyle name="Comma 7 6 5" xfId="6555" xr:uid="{823F595F-C3F5-4E77-8653-652F0D6BAC01}"/>
    <cellStyle name="Comma 7 6 5 2" xfId="9527" xr:uid="{99E724F7-F759-42A9-A8BA-B11FEB1C7305}"/>
    <cellStyle name="Comma 7 6 5 2 2" xfId="12833" xr:uid="{23C8F866-CF99-4F60-97A8-2C21D198483C}"/>
    <cellStyle name="Comma 7 6 5 2 2 2" xfId="50858" xr:uid="{87D23DF0-FCBF-4FE0-BAD6-E2944F294AF2}"/>
    <cellStyle name="Comma 7 6 5 2 3" xfId="53859" xr:uid="{CB2CB9F4-A72D-474D-87F8-725A26FEE04C}"/>
    <cellStyle name="Comma 7 6 5 2 4" xfId="47989" xr:uid="{E88AA08B-D083-4813-8762-6B792DC4E163}"/>
    <cellStyle name="Comma 7 6 5 3" xfId="11548" xr:uid="{DA3252B3-382E-4B1B-AE9A-5BCF9BEC75B4}"/>
    <cellStyle name="Comma 7 6 5 3 2" xfId="46194" xr:uid="{1FE1C9B9-CE96-4FE7-BBE8-E27874A79EBA}"/>
    <cellStyle name="Comma 7 6 5 4" xfId="49530" xr:uid="{874EDE10-B038-420E-9AA5-1E9D3ABC2B24}"/>
    <cellStyle name="Comma 7 6 5 5" xfId="53860" xr:uid="{DBBFF2AA-7DAF-487C-B4D4-C2803A84BFF0}"/>
    <cellStyle name="Comma 7 6 5 6" xfId="24042" xr:uid="{033BEEA4-90E6-49BF-B584-FBADF1C58283}"/>
    <cellStyle name="Comma 7 6 5 7" xfId="14456" xr:uid="{EB0315AD-9142-41BD-ADDC-6A71FAD3995A}"/>
    <cellStyle name="Comma 7 6 6" xfId="7529" xr:uid="{8C494FB6-BB87-49EC-BF20-4F0E1214D1EB}"/>
    <cellStyle name="Comma 7 6 6 2" xfId="10021" xr:uid="{FA237978-49FB-4C7C-AC4F-785AE289478B}"/>
    <cellStyle name="Comma 7 6 6 2 2" xfId="13327" xr:uid="{538779CA-5114-4B58-A2AE-B962B1D65FF1}"/>
    <cellStyle name="Comma 7 6 6 2 2 2" xfId="51320" xr:uid="{3A0916D0-C1C5-4C88-A32F-597B733B4529}"/>
    <cellStyle name="Comma 7 6 6 2 3" xfId="53861" xr:uid="{BBC4085B-8848-4273-993F-4D140BD3AA5E}"/>
    <cellStyle name="Comma 7 6 6 2 4" xfId="48534" xr:uid="{39A3FF99-1308-4965-ADB0-26902E702147}"/>
    <cellStyle name="Comma 7 6 6 3" xfId="12042" xr:uid="{92A029B7-C122-41C8-96A3-7A01705E41F3}"/>
    <cellStyle name="Comma 7 6 6 3 2" xfId="46973" xr:uid="{A0237111-F7C5-4952-AFAF-30744F89318D}"/>
    <cellStyle name="Comma 7 6 6 4" xfId="49992" xr:uid="{247A83D6-0234-42CA-8912-C9A48CB86A28}"/>
    <cellStyle name="Comma 7 6 6 5" xfId="53862" xr:uid="{7433B3EB-D53C-4B3D-AC93-FD84D0DA84EA}"/>
    <cellStyle name="Comma 7 6 6 6" xfId="38539" xr:uid="{17712052-D9A2-41DE-92F1-549EC20E5F56}"/>
    <cellStyle name="Comma 7 6 6 7" xfId="14909" xr:uid="{14482209-1659-48D9-B40F-0F8AC3E7C5F8}"/>
    <cellStyle name="Comma 7 6 7" xfId="8195" xr:uid="{0992E0F4-BFF9-4605-AB6B-8D7D55602436}"/>
    <cellStyle name="Comma 7 6 7 2" xfId="12651" xr:uid="{F532848F-2E1C-4334-B6B4-5A0B33DB4363}"/>
    <cellStyle name="Comma 7 6 7 2 2" xfId="51576" xr:uid="{5B1FF4D6-9883-4BA5-B9B7-49A12604A982}"/>
    <cellStyle name="Comma 7 6 7 2 3" xfId="53863" xr:uid="{FE7A6867-EF47-4206-82D5-29DD0550CCDA}"/>
    <cellStyle name="Comma 7 6 7 2 4" xfId="48841" xr:uid="{856B3B92-DF76-417C-9815-6AC6F268D54A}"/>
    <cellStyle name="Comma 7 6 7 3" xfId="47270" xr:uid="{D9042566-9919-483D-A39D-DFD53AE0FD9E}"/>
    <cellStyle name="Comma 7 6 7 4" xfId="50248" xr:uid="{F7EB1AD9-A9EE-4FDB-A670-BDC574CF8D5E}"/>
    <cellStyle name="Comma 7 6 7 5" xfId="53864" xr:uid="{69860322-20E2-4C7D-883A-603E95764BAF}"/>
    <cellStyle name="Comma 7 6 7 6" xfId="39106" xr:uid="{EDC6AE10-5FE6-4A89-B2CB-1D632EAE1D91}"/>
    <cellStyle name="Comma 7 6 8" xfId="7982" xr:uid="{4F14A31C-DDE7-42A9-B8DE-01D51EDE7CE9}"/>
    <cellStyle name="Comma 7 6 8 2" xfId="12495" xr:uid="{DC9268DD-0762-43AD-8B30-BC926ADE1B03}"/>
    <cellStyle name="Comma 7 6 8 2 2" xfId="47710" xr:uid="{3F05E534-D00B-425A-8A57-475EF48F1D82}"/>
    <cellStyle name="Comma 7 6 8 3" xfId="50618" xr:uid="{766E189A-C8CC-4A21-8459-42494B301CCC}"/>
    <cellStyle name="Comma 7 6 8 4" xfId="53865" xr:uid="{BDB578C9-C980-4E9E-B931-BB97FCCC31DA}"/>
    <cellStyle name="Comma 7 6 8 5" xfId="40362" xr:uid="{FBF43D53-55F2-45B8-AC1A-8F90E8D7D8C3}"/>
    <cellStyle name="Comma 7 6 9" xfId="5879" xr:uid="{3B26C7D3-A363-49FD-80EE-21AB273BF7C5}"/>
    <cellStyle name="Comma 7 6 9 2" xfId="41004" xr:uid="{37BD675B-AD56-4713-B6EC-6D38BE307A53}"/>
    <cellStyle name="Comma 7 7" xfId="1810" xr:uid="{64398C53-5B45-4BB6-BCC8-CC4F969D2EED}"/>
    <cellStyle name="Comma 7 7 10" xfId="42770" xr:uid="{D63A4593-0C97-4378-A0EE-91E54C76BD9A}"/>
    <cellStyle name="Comma 7 7 11" xfId="43583" xr:uid="{B9721A5C-BC34-453F-A297-8887F99E6D91}"/>
    <cellStyle name="Comma 7 7 12" xfId="44446" xr:uid="{E09AF56C-5C04-41C4-A5AB-5B19DEE91246}"/>
    <cellStyle name="Comma 7 7 13" xfId="45651" xr:uid="{AA10AC9B-6F27-4EDD-89A2-ACB6B9D37B03}"/>
    <cellStyle name="Comma 7 7 14" xfId="49280" xr:uid="{82E8CD44-D21E-427A-8573-9FCCCEF1FFA5}"/>
    <cellStyle name="Comma 7 7 15" xfId="53866" xr:uid="{19515C65-341E-4216-9A63-C4FA197A6B1C}"/>
    <cellStyle name="Comma 7 7 16" xfId="17123" xr:uid="{FFE15696-DB00-43CD-9FF0-9BB394F48C7C}"/>
    <cellStyle name="Comma 7 7 17" xfId="13966" xr:uid="{23156E50-BD73-455C-9B3E-BCCD67A416A7}"/>
    <cellStyle name="Comma 7 7 2" xfId="4486" xr:uid="{C77AB821-B84F-4133-886A-4C799D966D91}"/>
    <cellStyle name="Comma 7 7 2 10" xfId="21118" xr:uid="{3CCA4871-1A1E-4113-9E03-EA6ABD476B90}"/>
    <cellStyle name="Comma 7 7 2 11" xfId="14280" xr:uid="{6A7CB8F6-B7C4-4A9B-84A5-A1D5E81199C2}"/>
    <cellStyle name="Comma 7 7 2 2" xfId="5743" xr:uid="{CA650707-48C4-44EF-9EDD-7F89D71EF6AC}"/>
    <cellStyle name="Comma 7 7 2 2 2" xfId="10337" xr:uid="{74EEB3F9-8400-46BD-B1C0-5703A43FA05C}"/>
    <cellStyle name="Comma 7 7 2 2 2 2" xfId="13643" xr:uid="{6D743F9D-1DF2-4A6E-A026-64901C17C657}"/>
    <cellStyle name="Comma 7 7 2 2 2 2 2" xfId="51115" xr:uid="{0B5A5FE0-5FF8-4EE3-BE3F-FC1374C5AB54}"/>
    <cellStyle name="Comma 7 7 2 2 2 3" xfId="53867" xr:uid="{C3D309EC-C0BA-423A-B104-E39A6927E0FF}"/>
    <cellStyle name="Comma 7 7 2 2 2 4" xfId="48297" xr:uid="{47CDCF44-3FC5-458D-930D-59ADA7731589}"/>
    <cellStyle name="Comma 7 7 2 2 3" xfId="7845" xr:uid="{94C46A53-386D-49F5-B8D1-7C5C37BF454E}"/>
    <cellStyle name="Comma 7 7 2 2 3 2" xfId="46755" xr:uid="{EF5DD815-47F4-4992-8187-C5DD64429DB0}"/>
    <cellStyle name="Comma 7 7 2 2 4" xfId="12358" xr:uid="{80C9F73B-29A2-47E4-A86C-83A1B0060C40}"/>
    <cellStyle name="Comma 7 7 2 2 4 2" xfId="49787" xr:uid="{83761441-7629-4CB0-A613-FF2EE09133F9}"/>
    <cellStyle name="Comma 7 7 2 2 5" xfId="53868" xr:uid="{A8E843C1-2A47-4309-9E91-02602C78E2EC}"/>
    <cellStyle name="Comma 7 7 2 2 6" xfId="39684" xr:uid="{E7538DF8-6760-41A2-893C-6BE5C173EED0}"/>
    <cellStyle name="Comma 7 7 2 2 7" xfId="14772" xr:uid="{1DF2517B-F66B-448F-8BE3-90CFCB49BE72}"/>
    <cellStyle name="Comma 7 7 2 3" xfId="11241" xr:uid="{CF98CC44-8C37-47B6-BEB8-2C9BEF2B90E6}"/>
    <cellStyle name="Comma 7 7 2 3 2" xfId="13803" xr:uid="{376285B3-72D5-4FF9-AE11-9B539F666AB1}"/>
    <cellStyle name="Comma 7 7 2 3 2 2" xfId="51446" xr:uid="{C5BD5867-F900-41BC-8A43-5A19BFE37ECB}"/>
    <cellStyle name="Comma 7 7 2 3 2 3" xfId="53869" xr:uid="{34A96EBE-708A-499C-A51B-F9BE1B360668}"/>
    <cellStyle name="Comma 7 7 2 3 2 4" xfId="48691" xr:uid="{AB567656-6D37-40F8-8BA7-E1BA98155BC1}"/>
    <cellStyle name="Comma 7 7 2 3 3" xfId="47128" xr:uid="{7ABBDC3D-E5F8-4CBB-A395-A77054B28952}"/>
    <cellStyle name="Comma 7 7 2 3 4" xfId="50118" xr:uid="{588BDE71-9B6A-498F-8DE0-A7786C81314A}"/>
    <cellStyle name="Comma 7 7 2 3 5" xfId="53870" xr:uid="{1C859B6F-8749-435C-AAB1-BD4C6AA5A2E7}"/>
    <cellStyle name="Comma 7 7 2 3 6" xfId="41537" xr:uid="{87D9AE9E-0720-4A6F-88C8-176188DE9294}"/>
    <cellStyle name="Comma 7 7 2 3 7" xfId="15087" xr:uid="{6C759A6D-AFFA-4D37-A404-BBF608A52AE1}"/>
    <cellStyle name="Comma 7 7 2 4" xfId="9843" xr:uid="{283E771A-47EE-479F-A0BD-2CF1BD0D5FBA}"/>
    <cellStyle name="Comma 7 7 2 4 2" xfId="13149" xr:uid="{3D40D498-35C0-4E3A-98E4-AC389D691101}"/>
    <cellStyle name="Comma 7 7 2 4 2 2" xfId="51833" xr:uid="{724E5610-DCED-45A6-B6E7-04651D821A37}"/>
    <cellStyle name="Comma 7 7 2 4 2 3" xfId="53871" xr:uid="{2EBD31FE-1150-408B-9109-ACBB31A29252}"/>
    <cellStyle name="Comma 7 7 2 4 2 4" xfId="49153" xr:uid="{260E7010-E9C5-48F7-98EC-CA974433D15F}"/>
    <cellStyle name="Comma 7 7 2 4 3" xfId="47570" xr:uid="{35391B55-0F3D-4835-AEC6-F3E2245A740F}"/>
    <cellStyle name="Comma 7 7 2 4 4" xfId="50505" xr:uid="{EE3E7332-6969-423A-BA8C-D9A8EEA4C622}"/>
    <cellStyle name="Comma 7 7 2 4 5" xfId="53872" xr:uid="{D715F9EA-EEAC-4BA5-84AC-CE33A1625352}"/>
    <cellStyle name="Comma 7 7 2 4 6" xfId="43361" xr:uid="{D6725EDC-6EEE-4F90-84F3-A799F58C0DF1}"/>
    <cellStyle name="Comma 7 7 2 5" xfId="7341" xr:uid="{4D487F05-25C5-4AD6-B5B4-DAE7619DFD01}"/>
    <cellStyle name="Comma 7 7 2 5 2" xfId="47838" xr:uid="{DD839B3F-B782-48DD-98B3-82C855B26331}"/>
    <cellStyle name="Comma 7 7 2 5 3" xfId="50726" xr:uid="{B6F66A5F-660C-4E36-B35E-2A1E006BCE26}"/>
    <cellStyle name="Comma 7 7 2 5 4" xfId="53873" xr:uid="{16422FCC-56E7-4E96-9313-9F1EA21C3BC0}"/>
    <cellStyle name="Comma 7 7 2 5 5" xfId="44287" xr:uid="{71DEDBAA-B7BE-4042-BBD1-09766F99CBF4}"/>
    <cellStyle name="Comma 7 7 2 6" xfId="11864" xr:uid="{A928C0BF-4D6F-46BD-9AD7-D3796AEF5B64}"/>
    <cellStyle name="Comma 7 7 2 6 2" xfId="44587" xr:uid="{337730FB-5F89-4D31-81CB-520B67361394}"/>
    <cellStyle name="Comma 7 7 2 7" xfId="45770" xr:uid="{1A90D843-AB73-4840-A819-058DFA4B4756}"/>
    <cellStyle name="Comma 7 7 2 8" xfId="49398" xr:uid="{331E3221-2FEB-4FD9-9152-AA6FC777E3BF}"/>
    <cellStyle name="Comma 7 7 2 9" xfId="53874" xr:uid="{B5776F80-E2E2-46D8-B328-4B6C8F0909E9}"/>
    <cellStyle name="Comma 7 7 3" xfId="5567" xr:uid="{4121209F-70EF-4DDB-9489-B0EF96005B3C}"/>
    <cellStyle name="Comma 7 7 3 2" xfId="7669" xr:uid="{CED4171C-C674-45BD-A10F-95CDA3C024D8}"/>
    <cellStyle name="Comma 7 7 3 2 2" xfId="10161" xr:uid="{1B6018D6-7696-4986-A51B-2FA4BE4AC723}"/>
    <cellStyle name="Comma 7 7 3 2 2 2" xfId="13467" xr:uid="{C009DE80-B590-48CF-A437-4746D8C8E418}"/>
    <cellStyle name="Comma 7 7 3 2 2 2 2" xfId="51693" xr:uid="{1069F2D4-C7DF-474F-8598-1D025AA561AA}"/>
    <cellStyle name="Comma 7 7 3 2 2 3" xfId="53875" xr:uid="{76710894-B6E9-491F-ACEB-89FF9CC1A6DC}"/>
    <cellStyle name="Comma 7 7 3 2 2 4" xfId="48981" xr:uid="{7003A99D-1B1B-47CF-BB7E-5E32217630E7}"/>
    <cellStyle name="Comma 7 7 3 2 3" xfId="12182" xr:uid="{53F99FCF-0755-4C8A-AD94-E3E77DCC98EA}"/>
    <cellStyle name="Comma 7 7 3 2 3 2" xfId="47405" xr:uid="{9F1BEE30-6C49-4993-8116-985E3F23B016}"/>
    <cellStyle name="Comma 7 7 3 2 4" xfId="50365" xr:uid="{93D6EDCB-C31A-49AE-94C4-9B50C9A7B0FE}"/>
    <cellStyle name="Comma 7 7 3 2 5" xfId="53876" xr:uid="{9BF179BF-81BC-4563-9F24-F5159CB6F2E4}"/>
    <cellStyle name="Comma 7 7 3 2 6" xfId="43856" xr:uid="{1574CE68-17E3-4B53-9B39-E8B62834EF6F}"/>
    <cellStyle name="Comma 7 7 3 2 7" xfId="14596" xr:uid="{E2C07C96-11D7-4572-B99C-44F350C1F4E0}"/>
    <cellStyle name="Comma 7 7 3 3" xfId="9667" xr:uid="{35C84DD9-361E-4C6B-B2A6-7347D511C242}"/>
    <cellStyle name="Comma 7 7 3 3 2" xfId="12973" xr:uid="{67152C2E-0BF1-4531-946C-4E38E3075CD7}"/>
    <cellStyle name="Comma 7 7 3 3 2 2" xfId="50975" xr:uid="{0504A402-B49B-444A-9178-C5C9CAF43329}"/>
    <cellStyle name="Comma 7 7 3 3 3" xfId="53877" xr:uid="{3ED19F88-C359-434C-83BF-CCBC4CF0CDE9}"/>
    <cellStyle name="Comma 7 7 3 3 4" xfId="48126" xr:uid="{937329C7-BC3D-4E11-91EA-A0D99D327ED1}"/>
    <cellStyle name="Comma 7 7 3 4" xfId="7163" xr:uid="{3C399C0B-7D21-4F11-B05B-BE4F1D4869C5}"/>
    <cellStyle name="Comma 7 7 3 4 2" xfId="46614" xr:uid="{B3A661DC-5F31-4F86-817B-D8938C34A1D3}"/>
    <cellStyle name="Comma 7 7 3 5" xfId="11688" xr:uid="{E6D12A26-6506-438B-B167-ACD7ACCE9039}"/>
    <cellStyle name="Comma 7 7 3 5 2" xfId="49647" xr:uid="{2A074C62-C806-4E12-A6B6-4075BDFC86DF}"/>
    <cellStyle name="Comma 7 7 3 6" xfId="53878" xr:uid="{862C8E51-AE4B-41DA-9D50-793731D1AD5F}"/>
    <cellStyle name="Comma 7 7 3 7" xfId="20337" xr:uid="{B0A060B1-2686-4C1B-90D6-3F377AE17CD9}"/>
    <cellStyle name="Comma 7 7 3 8" xfId="14104" xr:uid="{3FEEBAD4-B04F-4A41-9E48-962D76C1588A}"/>
    <cellStyle name="Comma 7 7 4" xfId="6557" xr:uid="{D26582A5-44C9-480A-805F-B26844A0BA4A}"/>
    <cellStyle name="Comma 7 7 4 2" xfId="9529" xr:uid="{D6C60AA2-B044-4790-B470-61F24050A602}"/>
    <cellStyle name="Comma 7 7 4 2 2" xfId="12835" xr:uid="{9B004803-E7BA-48DD-B552-6CF2A24FFC1A}"/>
    <cellStyle name="Comma 7 7 4 2 2 2" xfId="50860" xr:uid="{2607C2C6-142F-4843-86C7-4EB05DB546C5}"/>
    <cellStyle name="Comma 7 7 4 2 3" xfId="53879" xr:uid="{8D59D1A0-E571-4681-80AA-5F6398172AE7}"/>
    <cellStyle name="Comma 7 7 4 2 4" xfId="47991" xr:uid="{50052E80-4DE9-473D-91BD-946DBDFE9BBB}"/>
    <cellStyle name="Comma 7 7 4 3" xfId="11550" xr:uid="{66BE7BB7-54FA-4459-A96D-9EEF23F8D2A0}"/>
    <cellStyle name="Comma 7 7 4 3 2" xfId="46196" xr:uid="{93064044-91B8-4CB8-B46F-6C9E66587009}"/>
    <cellStyle name="Comma 7 7 4 4" xfId="49532" xr:uid="{EBD57571-EDDC-4167-A38B-D80359DD28A8}"/>
    <cellStyle name="Comma 7 7 4 5" xfId="53880" xr:uid="{A08C67AB-FD9F-4618-A41C-983A44CB9D27}"/>
    <cellStyle name="Comma 7 7 4 6" xfId="24045" xr:uid="{C691299E-F5CC-4730-893C-0B8B911409BE}"/>
    <cellStyle name="Comma 7 7 4 7" xfId="14458" xr:uid="{A7AE20DE-D650-4624-9A57-7EDE870D0BA1}"/>
    <cellStyle name="Comma 7 7 5" xfId="7531" xr:uid="{C9BF7FF3-164C-443A-A3BB-052E90A79171}"/>
    <cellStyle name="Comma 7 7 5 2" xfId="10023" xr:uid="{83F04CD2-86B4-41DB-B337-ABE2D84D750B}"/>
    <cellStyle name="Comma 7 7 5 2 2" xfId="13329" xr:uid="{11A1A7D6-E2E5-4BE6-BFED-E554C15524A4}"/>
    <cellStyle name="Comma 7 7 5 2 2 2" xfId="51322" xr:uid="{1D7BC91D-0DB3-4E8A-B9DD-5A0A032E77F7}"/>
    <cellStyle name="Comma 7 7 5 2 3" xfId="53881" xr:uid="{0A6B68D9-3854-4CD4-82D9-10D475018775}"/>
    <cellStyle name="Comma 7 7 5 2 4" xfId="48536" xr:uid="{33F24A7D-3707-475D-8310-2D1470D6795E}"/>
    <cellStyle name="Comma 7 7 5 3" xfId="12044" xr:uid="{B9B18405-9185-4EDA-9130-4E7C86806B24}"/>
    <cellStyle name="Comma 7 7 5 3 2" xfId="46975" xr:uid="{56375A3E-445F-4042-AD68-81CEB6B23F1E}"/>
    <cellStyle name="Comma 7 7 5 4" xfId="49994" xr:uid="{D9846A64-9506-465A-8E63-535665DC518F}"/>
    <cellStyle name="Comma 7 7 5 5" xfId="53882" xr:uid="{8652EDC1-0FC2-4C26-B10C-5C9AD5B54BC4}"/>
    <cellStyle name="Comma 7 7 5 6" xfId="38542" xr:uid="{9D93F593-13BD-4767-A1B5-DCD75932451E}"/>
    <cellStyle name="Comma 7 7 5 7" xfId="14911" xr:uid="{44C33857-2BA8-4909-9FA1-D5474E26FDBE}"/>
    <cellStyle name="Comma 7 7 6" xfId="8197" xr:uid="{A429B59B-E1A8-4071-90B1-23914A23F14A}"/>
    <cellStyle name="Comma 7 7 6 2" xfId="12653" xr:uid="{E2F46CF7-39B1-4481-BA04-52A87B582495}"/>
    <cellStyle name="Comma 7 7 6 2 2" xfId="51578" xr:uid="{77F071EA-4A5F-4B4E-8F57-2573387811E4}"/>
    <cellStyle name="Comma 7 7 6 2 3" xfId="53883" xr:uid="{385DC8EB-AA0D-439D-8D9F-A60E658BDEDE}"/>
    <cellStyle name="Comma 7 7 6 2 4" xfId="48843" xr:uid="{08980098-3204-4DCD-AF9D-78093EEAAE5D}"/>
    <cellStyle name="Comma 7 7 6 3" xfId="47272" xr:uid="{9B0899F9-C6B4-4940-B2CC-CE07C208CFE5}"/>
    <cellStyle name="Comma 7 7 6 4" xfId="50250" xr:uid="{F2E56D36-E463-4325-84F4-35B12FEB2552}"/>
    <cellStyle name="Comma 7 7 6 5" xfId="53884" xr:uid="{4D807D72-5326-44E7-9F26-53C88DB4C5BE}"/>
    <cellStyle name="Comma 7 7 6 6" xfId="39093" xr:uid="{D2526AB3-EDEF-4492-BCAB-0ED275CA6775}"/>
    <cellStyle name="Comma 7 7 7" xfId="7984" xr:uid="{BCDF6AD8-B590-40E9-8844-F16A3527B2FD}"/>
    <cellStyle name="Comma 7 7 7 2" xfId="12497" xr:uid="{788B6A98-F230-48D7-9642-3E01BE552AB7}"/>
    <cellStyle name="Comma 7 7 7 2 2" xfId="47700" xr:uid="{EC75E2B8-8B4C-4E4B-8E7D-1E3859A458E3}"/>
    <cellStyle name="Comma 7 7 7 3" xfId="50608" xr:uid="{836161E1-DE6B-4482-B7B2-0372DF46277C}"/>
    <cellStyle name="Comma 7 7 7 4" xfId="53885" xr:uid="{C2EE2EAB-BE5B-41B1-ABAE-070D55571CCA}"/>
    <cellStyle name="Comma 7 7 7 5" xfId="40365" xr:uid="{0E50CF0A-8428-43D7-A850-0E973307DF88}"/>
    <cellStyle name="Comma 7 7 8" xfId="5881" xr:uid="{06C70378-8DE4-4DA3-9109-6250226D8706}"/>
    <cellStyle name="Comma 7 7 8 2" xfId="41007" xr:uid="{7513230C-5A67-4A9B-ACC2-9F78277DB2CB}"/>
    <cellStyle name="Comma 7 7 9" xfId="11369" xr:uid="{B7A4F9B0-F97A-43A4-A90F-89E9DC529186}"/>
    <cellStyle name="Comma 7 7 9 2" xfId="42219" xr:uid="{FAE7414D-5FE0-40C7-84E5-5D78602789DF}"/>
    <cellStyle name="Comma 7 8" xfId="4462" xr:uid="{B88C30B6-A27A-4617-8819-B294CB9F6C33}"/>
    <cellStyle name="Comma 7 8 10" xfId="42848" xr:uid="{62B3F82D-0014-42CE-9EBE-66AE18C4DF2D}"/>
    <cellStyle name="Comma 7 8 11" xfId="44263" xr:uid="{FEB35130-9A49-49BA-80C5-3E5B4BCA4272}"/>
    <cellStyle name="Comma 7 8 12" xfId="44563" xr:uid="{94A8588C-FAE7-4429-BB29-E3A07684478C}"/>
    <cellStyle name="Comma 7 8 13" xfId="45725" xr:uid="{9CC8A167-F673-4942-8337-95EA9226070B}"/>
    <cellStyle name="Comma 7 8 14" xfId="49353" xr:uid="{DE5F1F4B-E295-4BAC-8DDD-EC49679B8926}"/>
    <cellStyle name="Comma 7 8 15" xfId="53886" xr:uid="{19AFF0AB-B078-4B0F-8E3A-4E4200D7DD2A}"/>
    <cellStyle name="Comma 7 8 16" xfId="19754" xr:uid="{08532C06-50BD-465E-947D-0EE1C63C5E82}"/>
    <cellStyle name="Comma 7 8 17" xfId="14256" xr:uid="{59A42224-8CA7-40E8-A8F4-8BB0BE8ADE5F}"/>
    <cellStyle name="Comma 7 8 2" xfId="5719" xr:uid="{4143DA8C-7C17-4CF5-92C1-DB1D88BC8436}"/>
    <cellStyle name="Comma 7 8 2 10" xfId="45518" xr:uid="{4ED4314E-70EC-4BFD-B390-22A1D8BF7273}"/>
    <cellStyle name="Comma 7 8 2 11" xfId="46731" xr:uid="{D90337A9-6478-445A-B7D9-19FA8C3E6F50}"/>
    <cellStyle name="Comma 7 8 2 12" xfId="49763" xr:uid="{EA592025-F178-46FB-A434-96879AFBDE55}"/>
    <cellStyle name="Comma 7 8 2 13" xfId="53887" xr:uid="{FDDCF601-E9B6-46B9-8F74-3B077E001159}"/>
    <cellStyle name="Comma 7 8 2 14" xfId="23371" xr:uid="{7F61EDED-84C0-4AC3-B93B-FD52BBE94916}"/>
    <cellStyle name="Comma 7 8 2 15" xfId="14748" xr:uid="{9FFCE72A-8860-4A0A-9E25-BADF84E072C7}"/>
    <cellStyle name="Comma 7 8 2 2" xfId="10313" xr:uid="{E7809F3E-6040-4937-BAEB-FFDD1FDB869B}"/>
    <cellStyle name="Comma 7 8 2 2 2" xfId="13619" xr:uid="{5BD9EFDA-3941-4DB6-B1E6-3C23F78ED16B}"/>
    <cellStyle name="Comma 7 8 2 2 2 2" xfId="48273" xr:uid="{5964995D-B02D-4310-B7F1-04A4E945A7E2}"/>
    <cellStyle name="Comma 7 8 2 2 3" xfId="51091" xr:uid="{561A7AB9-F3C7-4B1F-9EAD-5ADEB81F4175}"/>
    <cellStyle name="Comma 7 8 2 2 4" xfId="53888" xr:uid="{15F406C7-7055-4AD2-9268-B6CC3881AC66}"/>
    <cellStyle name="Comma 7 8 2 2 5" xfId="24047" xr:uid="{98429166-210C-4D61-9C5C-5F25483EBA04}"/>
    <cellStyle name="Comma 7 8 2 3" xfId="7821" xr:uid="{9A8BB7C9-56E1-41F0-8D82-FF324ED6F6EA}"/>
    <cellStyle name="Comma 7 8 2 3 2" xfId="38544" xr:uid="{7EB77401-AEB5-4139-AB47-D3BC04C04184}"/>
    <cellStyle name="Comma 7 8 2 4" xfId="12334" xr:uid="{C64E2FAB-369D-43E0-9B0F-86D7EA5B5C0B}"/>
    <cellStyle name="Comma 7 8 2 4 2" xfId="39762" xr:uid="{86DC5181-8F47-473B-A97A-F9656E9B37D7}"/>
    <cellStyle name="Comma 7 8 2 5" xfId="40367" xr:uid="{0A52BF72-E7F8-48EE-8093-B18DEB27E320}"/>
    <cellStyle name="Comma 7 8 2 6" xfId="41009" xr:uid="{649970D1-0446-4973-9D43-939DF863328D}"/>
    <cellStyle name="Comma 7 8 2 7" xfId="41615" xr:uid="{689547DD-8853-40DA-A4D9-8A29C5632052}"/>
    <cellStyle name="Comma 7 8 2 8" xfId="42221" xr:uid="{978C4105-1E10-4342-B98B-C88740C404DA}"/>
    <cellStyle name="Comma 7 8 2 9" xfId="43439" xr:uid="{BDDF4C86-A0F7-4D46-8C15-3DA09EF1BA39}"/>
    <cellStyle name="Comma 7 8 3" xfId="11156" xr:uid="{70280295-81A4-4452-9C72-A6130599CAEF}"/>
    <cellStyle name="Comma 7 8 3 2" xfId="13752" xr:uid="{B2412A5F-46BB-4455-8118-36005EC98DAF}"/>
    <cellStyle name="Comma 7 8 3 2 2" xfId="51298" xr:uid="{C4B7B334-1FCE-44F8-BE18-2C510A1FE08B}"/>
    <cellStyle name="Comma 7 8 3 2 3" xfId="53889" xr:uid="{61373CCA-5F3B-4AE5-BDF2-76A351576E03}"/>
    <cellStyle name="Comma 7 8 3 2 4" xfId="48512" xr:uid="{4BA6E52D-EA24-4740-AC2C-96894182543A}"/>
    <cellStyle name="Comma 7 8 3 3" xfId="46951" xr:uid="{6E9B4BBE-B998-4D67-96E2-B5F16A707EA3}"/>
    <cellStyle name="Comma 7 8 3 4" xfId="49970" xr:uid="{E07078F6-1779-4C5F-89DC-2C214F52A05A}"/>
    <cellStyle name="Comma 7 8 3 5" xfId="53890" xr:uid="{9E2B79BA-D117-4667-B145-22F37A9C9A13}"/>
    <cellStyle name="Comma 7 8 3 6" xfId="20415" xr:uid="{FFBEFB07-B6C9-4D1D-9686-F69A593780D5}"/>
    <cellStyle name="Comma 7 8 3 7" xfId="15063" xr:uid="{BAB3AFFE-BE20-48C0-9643-BADE38E4BB77}"/>
    <cellStyle name="Comma 7 8 4" xfId="9819" xr:uid="{49E444BF-17C2-411F-ADB0-07AA447281DC}"/>
    <cellStyle name="Comma 7 8 4 2" xfId="13125" xr:uid="{37F92E45-F81A-499D-B227-39BC8DA53CB0}"/>
    <cellStyle name="Comma 7 8 4 2 2" xfId="51809" xr:uid="{793112C3-47C2-4904-B9F5-97980E2A4B94}"/>
    <cellStyle name="Comma 7 8 4 2 3" xfId="53891" xr:uid="{8761760A-C043-4FD2-B563-92D102EF7A0F}"/>
    <cellStyle name="Comma 7 8 4 2 4" xfId="49129" xr:uid="{F8A9ED57-C46D-4EB4-BD69-7327574CD366}"/>
    <cellStyle name="Comma 7 8 4 3" xfId="47546" xr:uid="{1B666D3F-5A02-4887-8758-1D9398C82A15}"/>
    <cellStyle name="Comma 7 8 4 4" xfId="50481" xr:uid="{47049ABE-47B7-4155-9D35-F453FF6F4693}"/>
    <cellStyle name="Comma 7 8 4 5" xfId="53892" xr:uid="{E8B261A0-7915-493E-A7AB-268CFF4EAAEF}"/>
    <cellStyle name="Comma 7 8 4 6" xfId="24046" xr:uid="{4A6A75D4-0D6A-49B1-A3BF-DAC65BA947E8}"/>
    <cellStyle name="Comma 7 8 5" xfId="7317" xr:uid="{61C173F0-B7DF-4DB0-A3F2-DF274E041884}"/>
    <cellStyle name="Comma 7 8 5 2" xfId="47782" xr:uid="{4A2114D2-D726-4585-92C4-9AE8C1114ABD}"/>
    <cellStyle name="Comma 7 8 5 3" xfId="50681" xr:uid="{685AF446-BBA6-4F89-8F75-2DD399A8793D}"/>
    <cellStyle name="Comma 7 8 5 4" xfId="53893" xr:uid="{E26F6A0A-684C-4AE1-8EC9-14E6989CE274}"/>
    <cellStyle name="Comma 7 8 5 5" xfId="38543" xr:uid="{96CA98EC-61DA-456B-87FB-C7F18EB36BF0}"/>
    <cellStyle name="Comma 7 8 6" xfId="11840" xr:uid="{CE74327E-2F10-4F53-B288-1550708AF4FD}"/>
    <cellStyle name="Comma 7 8 6 2" xfId="39171" xr:uid="{9C5B7462-A0DE-4C87-AF6B-1B9B593C0876}"/>
    <cellStyle name="Comma 7 8 7" xfId="40366" xr:uid="{CDD762C8-0774-488D-A07F-CBFB730E2F23}"/>
    <cellStyle name="Comma 7 8 8" xfId="41008" xr:uid="{CC4E2D6D-3039-476A-96A3-FCEF32F87DB2}"/>
    <cellStyle name="Comma 7 8 9" xfId="42220" xr:uid="{F0665039-32FB-42E3-B15E-03EB625D430C}"/>
    <cellStyle name="Comma 7 9" xfId="5543" xr:uid="{5928BE40-459C-4C82-B2B4-16A067E44347}"/>
    <cellStyle name="Comma 7 9 10" xfId="20481" xr:uid="{CA95CC93-8D66-4EF3-852E-C7152C6432AB}"/>
    <cellStyle name="Comma 7 9 11" xfId="14080" xr:uid="{9825660D-4943-4138-9368-9B83F0034745}"/>
    <cellStyle name="Comma 7 9 2" xfId="7645" xr:uid="{547291E6-7FEE-49C9-9F3E-7086ADCD05C2}"/>
    <cellStyle name="Comma 7 9 2 2" xfId="10137" xr:uid="{6199072E-283B-4041-A8DB-479871F4CC25}"/>
    <cellStyle name="Comma 7 9 2 2 2" xfId="13443" xr:uid="{8D9166E5-6409-438E-BB8E-BA6DE103716A}"/>
    <cellStyle name="Comma 7 9 2 2 2 2" xfId="51400" xr:uid="{CDE2345C-2235-4B91-804D-CA96251E3BAA}"/>
    <cellStyle name="Comma 7 9 2 2 3" xfId="53894" xr:uid="{E3A65359-AA7A-4C73-9B50-5812D16036CE}"/>
    <cellStyle name="Comma 7 9 2 2 4" xfId="48637" xr:uid="{0992B2F3-86FF-4BB6-9598-C26B537C6CC5}"/>
    <cellStyle name="Comma 7 9 2 3" xfId="12158" xr:uid="{99070C8C-7E98-4F41-9C34-2AE820AC2FD7}"/>
    <cellStyle name="Comma 7 9 2 3 2" xfId="47071" xr:uid="{567E9624-41BD-4C0C-BE25-1BD79517DFF9}"/>
    <cellStyle name="Comma 7 9 2 4" xfId="50072" xr:uid="{04F57A4F-0287-4A57-9499-038A4B018798}"/>
    <cellStyle name="Comma 7 9 2 5" xfId="53895" xr:uid="{95AA40E4-AD0F-41ED-AE62-7E9B900E4853}"/>
    <cellStyle name="Comma 7 9 2 6" xfId="39236" xr:uid="{2BF3C00E-6218-4937-B28F-A33D906FD7F0}"/>
    <cellStyle name="Comma 7 9 2 7" xfId="14572" xr:uid="{B86F1462-2016-45EE-A353-C63B4844346F}"/>
    <cellStyle name="Comma 7 9 3" xfId="9643" xr:uid="{AE6E4927-1781-4C50-BC92-36BA9371EA49}"/>
    <cellStyle name="Comma 7 9 3 2" xfId="12949" xr:uid="{0481146A-BD10-4EAE-9990-BBDE888CC18D}"/>
    <cellStyle name="Comma 7 9 3 2 2" xfId="51669" xr:uid="{F30E74D9-6933-4D40-B85C-88A0743504FB}"/>
    <cellStyle name="Comma 7 9 3 2 3" xfId="53896" xr:uid="{7CFB0A27-D194-4EE1-BD77-F9D4D5FD93D6}"/>
    <cellStyle name="Comma 7 9 3 2 4" xfId="48957" xr:uid="{B8E4B032-EE07-44F3-AE9C-5BB3B5890822}"/>
    <cellStyle name="Comma 7 9 3 3" xfId="47381" xr:uid="{841929E9-41C0-44D5-AC9B-E8D7D480B95A}"/>
    <cellStyle name="Comma 7 9 3 4" xfId="50341" xr:uid="{3027BEA1-1C57-48B0-BB17-A537A53088BE}"/>
    <cellStyle name="Comma 7 9 3 5" xfId="53897" xr:uid="{38E47CB9-FF87-4EB4-BF5E-CFBC9C64FAAE}"/>
    <cellStyle name="Comma 7 9 3 6" xfId="41105" xr:uid="{09D55BA5-1F2D-4B62-A919-65001845988D}"/>
    <cellStyle name="Comma 7 9 4" xfId="7139" xr:uid="{C3DB76B0-F426-4615-B798-0AE0FE828511}"/>
    <cellStyle name="Comma 7 9 4 2" xfId="48102" xr:uid="{D50193D3-CCD8-4983-BB3A-D7553C6285A6}"/>
    <cellStyle name="Comma 7 9 4 3" xfId="50951" xr:uid="{D9C1F07B-F6CB-4DE5-B0F5-41EF7D742B60}"/>
    <cellStyle name="Comma 7 9 4 4" xfId="53898" xr:uid="{1BD12120-4D6E-479A-9FDF-1904694C25FC}"/>
    <cellStyle name="Comma 7 9 4 5" xfId="42913" xr:uid="{148FF192-B7F6-4C02-B44A-CD626BA95A9D}"/>
    <cellStyle name="Comma 7 9 5" xfId="11664" xr:uid="{C946E734-DF92-462F-B5E8-8D3883E38DD4}"/>
    <cellStyle name="Comma 7 9 5 2" xfId="43832" xr:uid="{E2BE2BDA-22C4-45C9-BCB5-7E1FBE2657F7}"/>
    <cellStyle name="Comma 7 9 6" xfId="45020" xr:uid="{17C0E582-B1CE-46ED-93AE-115A2A758BFA}"/>
    <cellStyle name="Comma 7 9 7" xfId="46590" xr:uid="{8FAD2CDF-92A0-4FEE-844B-39A1BE52DD57}"/>
    <cellStyle name="Comma 7 9 8" xfId="49623" xr:uid="{7CB33689-4326-445E-971D-5F1EAC5386FF}"/>
    <cellStyle name="Comma 7 9 9" xfId="53899" xr:uid="{06D3A814-7449-46C7-A3AA-B77D01FE99BF}"/>
    <cellStyle name="Comma 8" xfId="1811" xr:uid="{EFBC796E-6717-4388-BF57-CDB5FF4D0249}"/>
    <cellStyle name="Comma 8 10" xfId="6558" xr:uid="{823914C2-209D-4660-ADDC-A0A506B56608}"/>
    <cellStyle name="Comma 8 10 2" xfId="9530" xr:uid="{E215199F-6153-47DE-A827-8275959A699D}"/>
    <cellStyle name="Comma 8 10 2 2" xfId="12836" xr:uid="{BF5850E6-8FB3-47BE-918E-880C0813707E}"/>
    <cellStyle name="Comma 8 10 2 2 2" xfId="50861" xr:uid="{9FA34DC3-B224-49C7-A458-6826BAA55499}"/>
    <cellStyle name="Comma 8 10 2 3" xfId="53900" xr:uid="{65868912-007D-4762-8C2A-D8A6FBC87C29}"/>
    <cellStyle name="Comma 8 10 2 4" xfId="47992" xr:uid="{CFBA3567-69FE-4004-BF4A-1D3FF35DE48A}"/>
    <cellStyle name="Comma 8 10 3" xfId="11551" xr:uid="{9F3FA84D-8B45-45FD-B77E-13402E488FD9}"/>
    <cellStyle name="Comma 8 10 3 2" xfId="46197" xr:uid="{A3F742A5-AF6A-4F80-8CC3-65CCED0822FD}"/>
    <cellStyle name="Comma 8 10 4" xfId="49533" xr:uid="{3A24214D-99E0-4978-A276-3F91D5A3B430}"/>
    <cellStyle name="Comma 8 10 5" xfId="53901" xr:uid="{F265353C-9C3A-46F1-8089-F79307DFFE6E}"/>
    <cellStyle name="Comma 8 10 6" xfId="19888" xr:uid="{7E1B5CCE-937F-41E5-9760-5DF08593D83B}"/>
    <cellStyle name="Comma 8 10 7" xfId="14459" xr:uid="{32D3A1D0-2076-4434-B1DA-F4BA69D02891}"/>
    <cellStyle name="Comma 8 11" xfId="7532" xr:uid="{96E70CFE-FE12-4058-9FBC-A71840ABD4EC}"/>
    <cellStyle name="Comma 8 11 2" xfId="10024" xr:uid="{D4B72E7B-53AD-4770-A468-5C2348E25288}"/>
    <cellStyle name="Comma 8 11 2 2" xfId="13330" xr:uid="{DBFF284E-E3FC-4AFB-8FC2-EC4F35CD1721}"/>
    <cellStyle name="Comma 8 11 2 2 2" xfId="51202" xr:uid="{11679A2F-9F98-45A1-80D1-101C8B577F21}"/>
    <cellStyle name="Comma 8 11 2 3" xfId="53902" xr:uid="{E2930705-19AE-4B4D-A3AB-2897159E5147}"/>
    <cellStyle name="Comma 8 11 2 4" xfId="48401" xr:uid="{5F858237-BF32-4197-8D61-8217C92ED254}"/>
    <cellStyle name="Comma 8 11 3" xfId="12045" xr:uid="{20C424A3-434A-42D6-9B8A-2909513192BA}"/>
    <cellStyle name="Comma 8 11 3 2" xfId="46850" xr:uid="{449DDB32-0FD4-4C4E-A21F-FE8214CB0CD5}"/>
    <cellStyle name="Comma 8 11 4" xfId="49874" xr:uid="{2BE281B3-BD6C-49E4-B1FB-281A710B6922}"/>
    <cellStyle name="Comma 8 11 5" xfId="53903" xr:uid="{6FB566EC-759D-487F-A5E4-73D1B56C8EB9}"/>
    <cellStyle name="Comma 8 11 6" xfId="24048" xr:uid="{FFCD685C-7FB7-4108-BD18-D53FB66FB71E}"/>
    <cellStyle name="Comma 8 11 7" xfId="14912" xr:uid="{0CC91357-05DE-4899-A77B-22CFC2124D9D}"/>
    <cellStyle name="Comma 8 12" xfId="8198" xr:uid="{5ECBADC2-E353-4650-BE80-5983449A47F7}"/>
    <cellStyle name="Comma 8 12 2" xfId="12654" xr:uid="{73DA65CE-3D29-49CF-8893-10E9157A637B}"/>
    <cellStyle name="Comma 8 12 2 2" xfId="51579" xr:uid="{CEB555A3-25BC-4CF2-A44C-6BC55D95A75E}"/>
    <cellStyle name="Comma 8 12 2 3" xfId="53904" xr:uid="{8D3782DB-5047-4AE4-8A90-6C25C6921861}"/>
    <cellStyle name="Comma 8 12 2 4" xfId="48844" xr:uid="{0D2BF72E-C19B-4994-BBB4-CE43001D0380}"/>
    <cellStyle name="Comma 8 12 3" xfId="47273" xr:uid="{A22366E0-73AC-4FF9-8B31-748754D0B2BA}"/>
    <cellStyle name="Comma 8 12 4" xfId="50251" xr:uid="{8CA74685-24D5-4A19-BD07-CE56A1BF6D5B}"/>
    <cellStyle name="Comma 8 12 5" xfId="53905" xr:uid="{C33CE8C1-8DA8-44C1-9B74-F1807A47DF56}"/>
    <cellStyle name="Comma 8 12 6" xfId="38545" xr:uid="{F4F59B7D-6B24-4E05-B675-E69B31AE7FE6}"/>
    <cellStyle name="Comma 8 13" xfId="7985" xr:uid="{40226F7F-314F-4E2C-8B95-9C66FCF221AE}"/>
    <cellStyle name="Comma 8 13 2" xfId="12498" xr:uid="{47C9708C-9E75-4971-B373-4633E75AAB37}"/>
    <cellStyle name="Comma 8 13 2 2" xfId="47640" xr:uid="{CA6FBD76-9622-4C6A-AB67-D76E4059BD04}"/>
    <cellStyle name="Comma 8 13 3" xfId="50553" xr:uid="{45260234-DDCC-47A2-882E-3F64A05BA63D}"/>
    <cellStyle name="Comma 8 13 4" xfId="53906" xr:uid="{7526B2AF-5FA4-4C58-832F-03C3F3664961}"/>
    <cellStyle name="Comma 8 13 5" xfId="38646" xr:uid="{744790F0-30CE-48BE-9F8B-E93718910415}"/>
    <cellStyle name="Comma 8 14" xfId="5882" xr:uid="{4EDC7587-64C0-477C-B791-EC540C131E40}"/>
    <cellStyle name="Comma 8 14 2" xfId="40368" xr:uid="{504A5704-6F7D-4EDF-9A58-2E2916788C20}"/>
    <cellStyle name="Comma 8 15" xfId="11370" xr:uid="{CB29117A-3B05-494D-8AC9-3B6DEC642758}"/>
    <cellStyle name="Comma 8 15 2" xfId="41010" xr:uid="{7A2888CE-DBF0-44E7-AD2E-65F7BD8284B3}"/>
    <cellStyle name="Comma 8 16" xfId="42222" xr:uid="{F3CEA9AF-BB69-4D65-B80C-DA90164D98FA}"/>
    <cellStyle name="Comma 8 17" xfId="42323" xr:uid="{C05E1E8F-91A2-4DCE-95E6-9056DA02C6DB}"/>
    <cellStyle name="Comma 8 18" xfId="43584" xr:uid="{FF723D18-6784-4FBD-8570-1CB5638DE512}"/>
    <cellStyle name="Comma 8 19" xfId="44447" xr:uid="{91EA4056-5CAE-4232-90A7-3360D5AC042F}"/>
    <cellStyle name="Comma 8 2" xfId="1812" xr:uid="{99EBD91F-786C-4AFD-831E-6DFC2C61257F}"/>
    <cellStyle name="Comma 8 2 10" xfId="7427" xr:uid="{9A856B90-EB73-4B72-B5EF-9B1E41623C97}"/>
    <cellStyle name="Comma 8 2 10 2" xfId="9919" xr:uid="{293C639A-BFFB-4A37-9021-D6C3739D4DAF}"/>
    <cellStyle name="Comma 8 2 10 2 2" xfId="13225" xr:uid="{4D48B302-B793-434D-911A-600155F89C9B}"/>
    <cellStyle name="Comma 8 2 10 2 2 2" xfId="51203" xr:uid="{B09A04C6-C1EA-4EFC-97B3-3830E0CC303F}"/>
    <cellStyle name="Comma 8 2 10 2 3" xfId="53907" xr:uid="{FC208249-742D-4696-BE3D-34300DE3A7EB}"/>
    <cellStyle name="Comma 8 2 10 2 4" xfId="48402" xr:uid="{5D40419D-9A8C-4235-BE6C-D033CB59F976}"/>
    <cellStyle name="Comma 8 2 10 3" xfId="11940" xr:uid="{34CC5913-0BE9-4221-8A13-874C1C9A2633}"/>
    <cellStyle name="Comma 8 2 10 3 2" xfId="46851" xr:uid="{9A2D9EB1-2501-439B-B2C6-8566E2C2CD4C}"/>
    <cellStyle name="Comma 8 2 10 4" xfId="49875" xr:uid="{BA969ECA-95E3-4A81-B9D6-86D8F838DBF7}"/>
    <cellStyle name="Comma 8 2 10 5" xfId="53908" xr:uid="{0ECEFA1B-1DDD-4658-841B-F42FF75C3FCB}"/>
    <cellStyle name="Comma 8 2 10 6" xfId="38546" xr:uid="{6BE372EF-D897-439B-B9AE-A3AE3F023781}"/>
    <cellStyle name="Comma 8 2 10 7" xfId="14913" xr:uid="{CB7BA1BB-A365-4B5C-A76D-3243ECEA3025}"/>
    <cellStyle name="Comma 8 2 11" xfId="8199" xr:uid="{03D9E8E6-1369-4567-BC11-384CB1E81E49}"/>
    <cellStyle name="Comma 8 2 11 2" xfId="12655" xr:uid="{AD079069-AC98-456A-A16A-FAB90FD80EF6}"/>
    <cellStyle name="Comma 8 2 11 2 2" xfId="51486" xr:uid="{50A8A988-5667-4E4F-B78F-0390AA573958}"/>
    <cellStyle name="Comma 8 2 11 2 3" xfId="53909" xr:uid="{BB0A0320-FC1F-42F6-BA9A-8FD05DD95290}"/>
    <cellStyle name="Comma 8 2 11 2 4" xfId="48742" xr:uid="{CE5B6EFD-6CE6-431D-871B-49AC61690F89}"/>
    <cellStyle name="Comma 8 2 11 3" xfId="47177" xr:uid="{2F190F34-9A44-415F-BAD5-1C9674B0E7EE}"/>
    <cellStyle name="Comma 8 2 11 4" xfId="50158" xr:uid="{76282F07-4511-4023-BBFB-A77932281E67}"/>
    <cellStyle name="Comma 8 2 11 5" xfId="53910" xr:uid="{19FAEF86-C957-4938-AF3F-E1FAFF74A86E}"/>
    <cellStyle name="Comma 8 2 11 6" xfId="38684" xr:uid="{9399AF31-97AD-4D25-A4DC-61667569C600}"/>
    <cellStyle name="Comma 8 2 12" xfId="7986" xr:uid="{C1968371-930A-4ED4-A804-F711CD4A0C77}"/>
    <cellStyle name="Comma 8 2 12 2" xfId="12499" xr:uid="{A3207A3A-44AE-48D2-BA60-AE8FEB413091}"/>
    <cellStyle name="Comma 8 2 12 2 2" xfId="47641" xr:uid="{17C84170-B1DF-4CFA-B383-21D324067C08}"/>
    <cellStyle name="Comma 8 2 12 3" xfId="50554" xr:uid="{47147149-586C-41EA-AD3B-5F3AD93878D4}"/>
    <cellStyle name="Comma 8 2 12 4" xfId="53911" xr:uid="{5533BF32-DAF5-4032-B77E-21B9B0C4022B}"/>
    <cellStyle name="Comma 8 2 12 5" xfId="40369" xr:uid="{A3D5F113-9DEC-4082-90A6-BAD46D431ECD}"/>
    <cellStyle name="Comma 8 2 13" xfId="5883" xr:uid="{2977F65B-48FD-4C3F-A1C8-5B4C4CA533EB}"/>
    <cellStyle name="Comma 8 2 13 2" xfId="41011" xr:uid="{1ED028C5-D29B-4EC0-9D4D-9484A42D729A}"/>
    <cellStyle name="Comma 8 2 14" xfId="11371" xr:uid="{5DD0974C-BAE7-4102-ABA6-ECFA701B360C}"/>
    <cellStyle name="Comma 8 2 14 2" xfId="42223" xr:uid="{7765717A-8457-451E-B5FD-D57F3B519978}"/>
    <cellStyle name="Comma 8 2 15" xfId="42361" xr:uid="{5B1B0CCF-52FD-4D1D-9B4C-E685C9C96447}"/>
    <cellStyle name="Comma 8 2 16" xfId="43489" xr:uid="{300D8D4A-A0A0-4C0D-8A2E-27FA1C3E90C1}"/>
    <cellStyle name="Comma 8 2 17" xfId="44448" xr:uid="{92DA4F74-19DC-4CF1-A6AE-921650F35C27}"/>
    <cellStyle name="Comma 8 2 18" xfId="45596" xr:uid="{CAF32C26-B572-4BEA-A361-BF8501057E23}"/>
    <cellStyle name="Comma 8 2 19" xfId="49226" xr:uid="{14C2694A-FF70-49F0-AC4E-CE1D8FE20858}"/>
    <cellStyle name="Comma 8 2 2" xfId="1813" xr:uid="{30D81ACF-9426-4485-8B78-FD9BD730F297}"/>
    <cellStyle name="Comma 8 2 2 10" xfId="7987" xr:uid="{C7EDA908-6E0A-426F-9C3C-8DF23A920806}"/>
    <cellStyle name="Comma 8 2 2 10 2" xfId="12500" xr:uid="{2510B950-4B8C-43C7-9C66-A02880B626F7}"/>
    <cellStyle name="Comma 8 2 2 10 2 2" xfId="47642" xr:uid="{56A644E9-39B6-4677-99DB-7E71395D4AA0}"/>
    <cellStyle name="Comma 8 2 2 10 3" xfId="50555" xr:uid="{5FAC9574-3310-4852-AE4B-4DFCBFDFF745}"/>
    <cellStyle name="Comma 8 2 2 10 4" xfId="53912" xr:uid="{E376CE21-4020-427A-95D2-F4F4A0F36563}"/>
    <cellStyle name="Comma 8 2 2 10 5" xfId="41012" xr:uid="{A6DF2AC7-D5DF-4BF2-A37B-524599CD0A58}"/>
    <cellStyle name="Comma 8 2 2 11" xfId="5884" xr:uid="{F820AACB-B5FE-47D9-B041-90B0CB801A0B}"/>
    <cellStyle name="Comma 8 2 2 11 2" xfId="42224" xr:uid="{99852BDC-2BD8-4740-B0EA-CA786D35AA5D}"/>
    <cellStyle name="Comma 8 2 2 12" xfId="11372" xr:uid="{3AF7CD26-0912-4DA8-93DC-49E63A30B30E}"/>
    <cellStyle name="Comma 8 2 2 12 2" xfId="42421" xr:uid="{A4E6CD20-629A-45C5-B165-FE603B061AC4}"/>
    <cellStyle name="Comma 8 2 2 13" xfId="43490" xr:uid="{1513B7FC-7D81-46DF-BB77-B081012357AD}"/>
    <cellStyle name="Comma 8 2 2 14" xfId="44449" xr:uid="{D5067026-CDEC-4D12-B227-2C19A3AADF62}"/>
    <cellStyle name="Comma 8 2 2 15" xfId="45597" xr:uid="{8BE5ECFE-E2D3-4912-A1F3-695E9815DC72}"/>
    <cellStyle name="Comma 8 2 2 16" xfId="49227" xr:uid="{823264F1-EFE7-4929-BF51-AB3456488A6F}"/>
    <cellStyle name="Comma 8 2 2 17" xfId="53913" xr:uid="{D642811F-351E-4EE0-BF49-8CCFB41BCD50}"/>
    <cellStyle name="Comma 8 2 2 18" xfId="16396" xr:uid="{0BD71213-F4F2-4489-8D31-68E1B4ACB2E3}"/>
    <cellStyle name="Comma 8 2 2 19" xfId="13862" xr:uid="{23F07F4D-67B9-4FA2-86CA-6E69F367C5B8}"/>
    <cellStyle name="Comma 8 2 2 2" xfId="1814" xr:uid="{7C58B6D7-AB38-4180-90E8-CD87248C67EE}"/>
    <cellStyle name="Comma 8 2 2 2 10" xfId="42786" xr:uid="{ECA6BBE9-53F1-456E-9107-78EA5D8E42A6}"/>
    <cellStyle name="Comma 8 2 2 2 11" xfId="43587" xr:uid="{52241436-A61A-474B-8F8F-E75FD6EFE46A}"/>
    <cellStyle name="Comma 8 2 2 2 12" xfId="44450" xr:uid="{F56BD4DD-E8C2-4B66-A20E-E67784BC9C99}"/>
    <cellStyle name="Comma 8 2 2 2 13" xfId="45664" xr:uid="{4EA11E7C-2F76-4042-AC65-79138D62C4FA}"/>
    <cellStyle name="Comma 8 2 2 2 14" xfId="49293" xr:uid="{6204EBF9-C165-44D9-8588-A0B80D3C7515}"/>
    <cellStyle name="Comma 8 2 2 2 15" xfId="53914" xr:uid="{F5E86B57-FE88-46B3-B6BF-9D2AE0B3424E}"/>
    <cellStyle name="Comma 8 2 2 2 16" xfId="17139" xr:uid="{1F3DEBE7-64DF-4937-B2EA-306085B22CB5}"/>
    <cellStyle name="Comma 8 2 2 2 17" xfId="13970" xr:uid="{93C27710-165E-48CC-8920-A9E22E9C14F4}"/>
    <cellStyle name="Comma 8 2 2 2 2" xfId="4490" xr:uid="{296532D2-2621-42C2-85D6-93A9BCAE1E27}"/>
    <cellStyle name="Comma 8 2 2 2 2 10" xfId="21134" xr:uid="{0BF5C282-4BC6-4DEA-9424-4A3F5D5211E7}"/>
    <cellStyle name="Comma 8 2 2 2 2 11" xfId="14284" xr:uid="{0D2E7CF6-D372-44DF-A062-99CC3030B270}"/>
    <cellStyle name="Comma 8 2 2 2 2 2" xfId="5747" xr:uid="{4B5853F2-FA5D-47B0-AAF0-0AF1F1CA490E}"/>
    <cellStyle name="Comma 8 2 2 2 2 2 2" xfId="10341" xr:uid="{47FACED2-1C67-41B4-A5D9-4337CC34A123}"/>
    <cellStyle name="Comma 8 2 2 2 2 2 2 2" xfId="13647" xr:uid="{F0CFF7DE-57E9-4DD4-BBA3-348DB38C5FB5}"/>
    <cellStyle name="Comma 8 2 2 2 2 2 2 2 2" xfId="51119" xr:uid="{DA1CF26B-CA09-4805-8496-5F0F22F7FD6C}"/>
    <cellStyle name="Comma 8 2 2 2 2 2 2 3" xfId="53915" xr:uid="{0DC4EB20-60AC-4D67-96AE-7A624BB7FD7F}"/>
    <cellStyle name="Comma 8 2 2 2 2 2 2 4" xfId="48301" xr:uid="{E4BC84DF-06D9-4715-968C-A83077F8808C}"/>
    <cellStyle name="Comma 8 2 2 2 2 2 3" xfId="7849" xr:uid="{90059824-634B-47A7-B8FB-1690334F20CE}"/>
    <cellStyle name="Comma 8 2 2 2 2 2 3 2" xfId="46759" xr:uid="{AD3638BA-B4FC-496C-B508-A30B692FCA44}"/>
    <cellStyle name="Comma 8 2 2 2 2 2 4" xfId="12362" xr:uid="{4A8AC796-22C2-4E45-8F79-6376CAA65EF1}"/>
    <cellStyle name="Comma 8 2 2 2 2 2 4 2" xfId="49791" xr:uid="{2735F459-25BA-43B8-947A-314689F2837F}"/>
    <cellStyle name="Comma 8 2 2 2 2 2 5" xfId="53916" xr:uid="{33BE7C74-7B24-41FC-BFF5-324B6BECFA6A}"/>
    <cellStyle name="Comma 8 2 2 2 2 2 6" xfId="39700" xr:uid="{CD753F59-5F56-4D4A-9FFF-17F66881F67A}"/>
    <cellStyle name="Comma 8 2 2 2 2 2 7" xfId="14776" xr:uid="{5E49E674-E695-4120-B1BC-2EDAB3D8F646}"/>
    <cellStyle name="Comma 8 2 2 2 2 3" xfId="11242" xr:uid="{2E7129AD-1C15-4C90-AFE1-A0D9EB958B05}"/>
    <cellStyle name="Comma 8 2 2 2 2 3 2" xfId="13804" xr:uid="{2A85C1C2-E4FA-41E9-B014-53307B440B43}"/>
    <cellStyle name="Comma 8 2 2 2 2 3 2 2" xfId="51447" xr:uid="{384F7B00-5A55-47AF-8054-103FA5556A3E}"/>
    <cellStyle name="Comma 8 2 2 2 2 3 2 3" xfId="53917" xr:uid="{FE3DF4A2-A07F-4E0C-B071-B50CF70BAF04}"/>
    <cellStyle name="Comma 8 2 2 2 2 3 2 4" xfId="48692" xr:uid="{8582306F-05E8-4B00-B09C-95BACD95522C}"/>
    <cellStyle name="Comma 8 2 2 2 2 3 3" xfId="47129" xr:uid="{FAD227A2-43A0-4546-B575-50668564B2D2}"/>
    <cellStyle name="Comma 8 2 2 2 2 3 4" xfId="50119" xr:uid="{925CF745-103A-45E1-981F-47F0564E76E6}"/>
    <cellStyle name="Comma 8 2 2 2 2 3 5" xfId="53918" xr:uid="{B7C712FD-3023-4BCE-8095-5DB44887D19E}"/>
    <cellStyle name="Comma 8 2 2 2 2 3 6" xfId="41553" xr:uid="{A11C41A9-C561-4886-B746-6A1CF53AE1D8}"/>
    <cellStyle name="Comma 8 2 2 2 2 3 7" xfId="15091" xr:uid="{1F2BFB01-0CA9-4C82-87B9-2FF44C5DDA7F}"/>
    <cellStyle name="Comma 8 2 2 2 2 4" xfId="9847" xr:uid="{68B6BB90-CB2F-4B24-BBEA-62ABCB45A4A7}"/>
    <cellStyle name="Comma 8 2 2 2 2 4 2" xfId="13153" xr:uid="{36F2D7AB-A4D2-4E06-B258-F8B3E4904A7B}"/>
    <cellStyle name="Comma 8 2 2 2 2 4 2 2" xfId="51837" xr:uid="{49F49B37-0256-4E8D-8AFB-C9A7259962D5}"/>
    <cellStyle name="Comma 8 2 2 2 2 4 2 3" xfId="53919" xr:uid="{EFFCB807-7761-4B76-B7D4-9771A11DB0D8}"/>
    <cellStyle name="Comma 8 2 2 2 2 4 2 4" xfId="49157" xr:uid="{BEAE1415-E61A-4D49-AFFA-83D53A8DCB31}"/>
    <cellStyle name="Comma 8 2 2 2 2 4 3" xfId="47574" xr:uid="{55D13C7B-99D1-4168-9908-867DAA57A895}"/>
    <cellStyle name="Comma 8 2 2 2 2 4 4" xfId="50509" xr:uid="{94B4D4BE-C5B6-4C32-ACD4-1AD62E96BC3F}"/>
    <cellStyle name="Comma 8 2 2 2 2 4 5" xfId="53920" xr:uid="{A7B2FEA6-C0D4-430B-8EF9-C1656A0F47BB}"/>
    <cellStyle name="Comma 8 2 2 2 2 4 6" xfId="43377" xr:uid="{47CB065B-E6AD-4A94-939D-6C3E67335813}"/>
    <cellStyle name="Comma 8 2 2 2 2 5" xfId="7345" xr:uid="{6CCC1A0D-8387-4CF5-98BA-FFE0A6D2E327}"/>
    <cellStyle name="Comma 8 2 2 2 2 5 2" xfId="47850" xr:uid="{31725585-8E19-44D9-9CAB-E1FB070E9926}"/>
    <cellStyle name="Comma 8 2 2 2 2 5 3" xfId="50738" xr:uid="{21B64D3A-28CF-4958-AA9D-E13D8DC898B7}"/>
    <cellStyle name="Comma 8 2 2 2 2 5 4" xfId="53921" xr:uid="{EED77F1C-B73C-4DD3-8657-D0B183C8D06B}"/>
    <cellStyle name="Comma 8 2 2 2 2 5 5" xfId="44291" xr:uid="{5EE775A4-C408-4C3D-B4DE-DB03734441F6}"/>
    <cellStyle name="Comma 8 2 2 2 2 6" xfId="11868" xr:uid="{69E777A3-02C6-42D4-A5EF-72729AF51C0A}"/>
    <cellStyle name="Comma 8 2 2 2 2 6 2" xfId="44591" xr:uid="{91EFFAF9-31BC-48CE-ABE2-9DC1FD866A8B}"/>
    <cellStyle name="Comma 8 2 2 2 2 7" xfId="45782" xr:uid="{9ED40F9E-A388-47C4-9BAE-525CE9D2A417}"/>
    <cellStyle name="Comma 8 2 2 2 2 8" xfId="49410" xr:uid="{91DA6B52-1310-4460-AE70-0AD036ACF5FC}"/>
    <cellStyle name="Comma 8 2 2 2 2 9" xfId="53922" xr:uid="{F1ABECD8-66E4-4DF7-8D76-60B1F242AEA8}"/>
    <cellStyle name="Comma 8 2 2 2 3" xfId="5571" xr:uid="{E6EE56D9-FE7D-4704-A175-0D0996BC41D2}"/>
    <cellStyle name="Comma 8 2 2 2 3 2" xfId="7673" xr:uid="{16AB79C4-7BA5-4D1A-8956-1526CB9283E1}"/>
    <cellStyle name="Comma 8 2 2 2 3 2 2" xfId="10165" xr:uid="{90873D90-E923-4041-B4CC-66B629E821E5}"/>
    <cellStyle name="Comma 8 2 2 2 3 2 2 2" xfId="13471" xr:uid="{F951F6D1-4539-49E4-8255-4C50A96D4E28}"/>
    <cellStyle name="Comma 8 2 2 2 3 2 2 2 2" xfId="51697" xr:uid="{8A3979EA-3EE4-4C44-9B0C-ACCA5F85DCCB}"/>
    <cellStyle name="Comma 8 2 2 2 3 2 2 3" xfId="53923" xr:uid="{CD4A78BD-688D-4D52-A15D-7AF07F3A0979}"/>
    <cellStyle name="Comma 8 2 2 2 3 2 2 4" xfId="48985" xr:uid="{F3C8AB30-86B4-4519-A354-0300806DA897}"/>
    <cellStyle name="Comma 8 2 2 2 3 2 3" xfId="12186" xr:uid="{102AEAD2-B583-46D6-A913-ED8030406F3E}"/>
    <cellStyle name="Comma 8 2 2 2 3 2 3 2" xfId="47409" xr:uid="{9EEAAD77-BD19-4025-B01A-0B4260D8FA97}"/>
    <cellStyle name="Comma 8 2 2 2 3 2 4" xfId="50369" xr:uid="{1FC3112C-B87F-46B4-846A-D4E8C4B312B9}"/>
    <cellStyle name="Comma 8 2 2 2 3 2 5" xfId="53924" xr:uid="{2FE05920-52C5-4605-822C-2B7C2B94E76C}"/>
    <cellStyle name="Comma 8 2 2 2 3 2 6" xfId="43860" xr:uid="{37A75D75-4421-4B18-9FB7-7782B2095CD3}"/>
    <cellStyle name="Comma 8 2 2 2 3 2 7" xfId="14600" xr:uid="{0B14D60C-B9B6-4FCC-A5F9-07469A3687C0}"/>
    <cellStyle name="Comma 8 2 2 2 3 3" xfId="9671" xr:uid="{92815020-C823-4285-A844-4FA2979F1AA5}"/>
    <cellStyle name="Comma 8 2 2 2 3 3 2" xfId="12977" xr:uid="{401670D5-98D7-4FC4-991F-587CB75A3BF8}"/>
    <cellStyle name="Comma 8 2 2 2 3 3 2 2" xfId="50979" xr:uid="{45360DEF-D2E8-417C-8806-296F4C8395E7}"/>
    <cellStyle name="Comma 8 2 2 2 3 3 3" xfId="53925" xr:uid="{573BA5FE-C9AE-486D-8E95-3CF8E22DAC76}"/>
    <cellStyle name="Comma 8 2 2 2 3 3 4" xfId="48130" xr:uid="{DC1F92BE-D2E6-487B-811E-8F60E040AC72}"/>
    <cellStyle name="Comma 8 2 2 2 3 4" xfId="7167" xr:uid="{7169E963-384F-40E1-B600-BC89A0F6CD43}"/>
    <cellStyle name="Comma 8 2 2 2 3 4 2" xfId="46618" xr:uid="{A3C01B3C-01BF-4203-A7B7-CAAD48DB6F17}"/>
    <cellStyle name="Comma 8 2 2 2 3 5" xfId="11692" xr:uid="{A3C119D1-20E4-4506-9B62-54E91D93CDDF}"/>
    <cellStyle name="Comma 8 2 2 2 3 5 2" xfId="49651" xr:uid="{6BCAA87E-4547-4F72-A61C-BFDD23C332DD}"/>
    <cellStyle name="Comma 8 2 2 2 3 6" xfId="53926" xr:uid="{664897EA-C923-4048-9A63-2AE6D983CB0D}"/>
    <cellStyle name="Comma 8 2 2 2 3 7" xfId="20353" xr:uid="{82BA8CF8-B2CA-49C1-8119-C570086C2FEF}"/>
    <cellStyle name="Comma 8 2 2 2 3 8" xfId="14108" xr:uid="{23888522-5840-4913-B734-2D0E45C45CF8}"/>
    <cellStyle name="Comma 8 2 2 2 4" xfId="6561" xr:uid="{38B16A8E-F10E-44DA-BFDF-7ABF11A818D4}"/>
    <cellStyle name="Comma 8 2 2 2 4 2" xfId="9533" xr:uid="{7EC26E1B-E4FD-4C57-8558-5DC0FC91C853}"/>
    <cellStyle name="Comma 8 2 2 2 4 2 2" xfId="12839" xr:uid="{AB4756A9-B58E-4D22-8A17-58460612E641}"/>
    <cellStyle name="Comma 8 2 2 2 4 2 2 2" xfId="50864" xr:uid="{7DD70325-0833-4E6F-8EBA-577C44A4E02D}"/>
    <cellStyle name="Comma 8 2 2 2 4 2 3" xfId="53927" xr:uid="{FD36464E-B02E-4F8C-81F3-8845749C9628}"/>
    <cellStyle name="Comma 8 2 2 2 4 2 4" xfId="47995" xr:uid="{7F4BE1BA-6EA4-45DA-8004-92F6664E3A0F}"/>
    <cellStyle name="Comma 8 2 2 2 4 3" xfId="11554" xr:uid="{29948DEE-4C65-4B5C-8CC1-F7340FFFF1CD}"/>
    <cellStyle name="Comma 8 2 2 2 4 3 2" xfId="46200" xr:uid="{A3E8488E-526E-4EF1-A73F-EF394F491B30}"/>
    <cellStyle name="Comma 8 2 2 2 4 4" xfId="49536" xr:uid="{290E3B95-4EBB-4B07-A466-6050F99FFB41}"/>
    <cellStyle name="Comma 8 2 2 2 4 5" xfId="53928" xr:uid="{70B6E671-133F-442A-A696-1C187A1E79EE}"/>
    <cellStyle name="Comma 8 2 2 2 4 6" xfId="24051" xr:uid="{DB4B5236-A631-49D7-9A97-24F20912B6DB}"/>
    <cellStyle name="Comma 8 2 2 2 4 7" xfId="14462" xr:uid="{0A506551-036E-4BBD-BB97-E364BABAC65B}"/>
    <cellStyle name="Comma 8 2 2 2 5" xfId="7535" xr:uid="{D7D6C4A6-B8A9-406D-9432-7142748D71F0}"/>
    <cellStyle name="Comma 8 2 2 2 5 2" xfId="10027" xr:uid="{CAE420F7-8155-490B-B8C9-570F1E6E2393}"/>
    <cellStyle name="Comma 8 2 2 2 5 2 2" xfId="13333" xr:uid="{2BA642FF-3A32-4F66-915F-2F027BF348A7}"/>
    <cellStyle name="Comma 8 2 2 2 5 2 2 2" xfId="51326" xr:uid="{BD83B5E6-BF29-4DBA-98B8-C33D2C33D05E}"/>
    <cellStyle name="Comma 8 2 2 2 5 2 3" xfId="53929" xr:uid="{C444073A-602B-4935-AFE9-3F63B078006B}"/>
    <cellStyle name="Comma 8 2 2 2 5 2 4" xfId="48540" xr:uid="{CD8357E5-1D8E-48E2-88AE-9B00D090D641}"/>
    <cellStyle name="Comma 8 2 2 2 5 3" xfId="12048" xr:uid="{5F943EA9-54FB-474D-BE1C-26A64A04FCB4}"/>
    <cellStyle name="Comma 8 2 2 2 5 3 2" xfId="46979" xr:uid="{F51DEBCC-8455-4110-A910-4535D777CC35}"/>
    <cellStyle name="Comma 8 2 2 2 5 4" xfId="49998" xr:uid="{CB1EB2C0-0B95-4DB9-9C62-4E7CF392F92F}"/>
    <cellStyle name="Comma 8 2 2 2 5 5" xfId="53930" xr:uid="{5B19D650-396C-4A05-AFDC-A7D8177023BC}"/>
    <cellStyle name="Comma 8 2 2 2 5 6" xfId="38548" xr:uid="{C3933877-BA03-45E8-AFBC-4831EE5F1679}"/>
    <cellStyle name="Comma 8 2 2 2 5 7" xfId="14915" xr:uid="{B2300196-772E-4281-8D8D-61EAABAF7FE5}"/>
    <cellStyle name="Comma 8 2 2 2 6" xfId="8201" xr:uid="{B568E2B9-BA21-4C85-9778-4EF3070718CF}"/>
    <cellStyle name="Comma 8 2 2 2 6 2" xfId="12657" xr:uid="{73DD9AD7-D8E5-441D-8CE0-38378F12F112}"/>
    <cellStyle name="Comma 8 2 2 2 6 2 2" xfId="51582" xr:uid="{5779F1BE-4765-456E-B065-2BBDAE415F92}"/>
    <cellStyle name="Comma 8 2 2 2 6 2 3" xfId="53931" xr:uid="{AAEA8C27-848E-482E-B4E0-0D4CB4AA286E}"/>
    <cellStyle name="Comma 8 2 2 2 6 2 4" xfId="48847" xr:uid="{777D92DF-3BF9-4B8A-9350-0073304F80CD}"/>
    <cellStyle name="Comma 8 2 2 2 6 3" xfId="47276" xr:uid="{73F5D0B5-591B-4931-9D6A-80EBE6D77395}"/>
    <cellStyle name="Comma 8 2 2 2 6 4" xfId="50254" xr:uid="{3D928AE8-2121-4D42-AE77-0FF853A83C28}"/>
    <cellStyle name="Comma 8 2 2 2 6 5" xfId="53932" xr:uid="{4F5B4C4E-FB37-4F88-8706-7BA3682750D2}"/>
    <cellStyle name="Comma 8 2 2 2 6 6" xfId="39109" xr:uid="{25A98C55-4387-41F7-BDD6-AB140CE5FF19}"/>
    <cellStyle name="Comma 8 2 2 2 7" xfId="7988" xr:uid="{E805886A-E32C-4B20-A840-B67BD8CD6905}"/>
    <cellStyle name="Comma 8 2 2 2 7 2" xfId="12501" xr:uid="{23FC3DB1-1788-4812-B1D8-60E3A8657C0D}"/>
    <cellStyle name="Comma 8 2 2 2 7 2 2" xfId="47713" xr:uid="{1FA59C01-636C-424F-84F1-73B08B172307}"/>
    <cellStyle name="Comma 8 2 2 2 7 3" xfId="50621" xr:uid="{E070BE85-4A38-4733-9038-5A24C40A210B}"/>
    <cellStyle name="Comma 8 2 2 2 7 4" xfId="53933" xr:uid="{BDCC4F59-1667-4AFD-A12D-E6F55B5D0D5A}"/>
    <cellStyle name="Comma 8 2 2 2 7 5" xfId="40371" xr:uid="{C993C713-4FCB-404F-9974-36458B139915}"/>
    <cellStyle name="Comma 8 2 2 2 8" xfId="5885" xr:uid="{4B77A1BC-E7D8-47BD-8DE3-AD3F59AF1080}"/>
    <cellStyle name="Comma 8 2 2 2 8 2" xfId="41013" xr:uid="{137A1AC8-3F0C-479A-8251-EC4E89DF37CF}"/>
    <cellStyle name="Comma 8 2 2 2 9" xfId="11373" xr:uid="{874B3A87-B1E6-4BC7-A1E4-231E8C093639}"/>
    <cellStyle name="Comma 8 2 2 2 9 2" xfId="42225" xr:uid="{6393385A-AF1D-403B-AF25-D1F6D5D570CB}"/>
    <cellStyle name="Comma 8 2 2 3" xfId="1815" xr:uid="{CEF47675-C71E-4CF5-88EA-E740E37E6003}"/>
    <cellStyle name="Comma 8 2 2 3 10" xfId="42861" xr:uid="{F375D5B0-2F95-49E7-AEB7-AE765668B9C8}"/>
    <cellStyle name="Comma 8 2 2 3 11" xfId="43588" xr:uid="{B5F50289-B52D-47CA-8D1A-65EFA59DBCB6}"/>
    <cellStyle name="Comma 8 2 2 3 12" xfId="44451" xr:uid="{987614C5-6BEF-46BB-8328-DB0CBBE85DE8}"/>
    <cellStyle name="Comma 8 2 2 3 13" xfId="45755" xr:uid="{8D04DC51-BF8F-4B73-BCF6-F00DF94B4F7E}"/>
    <cellStyle name="Comma 8 2 2 3 14" xfId="49383" xr:uid="{9170CB9B-671A-4533-A6F6-40E77FB8B40C}"/>
    <cellStyle name="Comma 8 2 2 3 15" xfId="53934" xr:uid="{F8740FCE-8F28-448B-A430-D64A31C6844B}"/>
    <cellStyle name="Comma 8 2 2 3 16" xfId="19767" xr:uid="{DC52FEB2-8CA6-42E1-841E-5A9584745C75}"/>
    <cellStyle name="Comma 8 2 2 3 17" xfId="13971" xr:uid="{5704F7D1-D479-477B-B114-8C7543F66BFD}"/>
    <cellStyle name="Comma 8 2 2 3 2" xfId="4491" xr:uid="{764E52F8-F4DC-496E-8C46-C7AD8FE439D6}"/>
    <cellStyle name="Comma 8 2 2 3 2 10" xfId="23384" xr:uid="{A24A50A7-2E74-4DF5-ADC1-9094F3E73DB4}"/>
    <cellStyle name="Comma 8 2 2 3 2 11" xfId="14285" xr:uid="{F911E9CE-7ED8-4E08-B15A-12EE577E6BD7}"/>
    <cellStyle name="Comma 8 2 2 3 2 2" xfId="5748" xr:uid="{10B2370B-08AF-40E4-9624-35D1D2AF504D}"/>
    <cellStyle name="Comma 8 2 2 3 2 2 2" xfId="10342" xr:uid="{B9CA5A11-4EE6-4322-B5C7-EC7A4B1C1D49}"/>
    <cellStyle name="Comma 8 2 2 3 2 2 2 2" xfId="13648" xr:uid="{0EEC0800-1F1A-4173-87EF-480764121EA0}"/>
    <cellStyle name="Comma 8 2 2 3 2 2 2 2 2" xfId="51448" xr:uid="{AB99D916-9FD9-4469-8E14-1EDC083E2078}"/>
    <cellStyle name="Comma 8 2 2 3 2 2 2 3" xfId="53935" xr:uid="{79623EE7-FF93-487C-A9B9-D4DEBAC645C5}"/>
    <cellStyle name="Comma 8 2 2 3 2 2 2 4" xfId="48693" xr:uid="{E20E4093-6329-42F2-BFB0-A56EA78FDDDD}"/>
    <cellStyle name="Comma 8 2 2 3 2 2 3" xfId="7850" xr:uid="{423FCF67-837D-463B-ACE7-A19A264A7A71}"/>
    <cellStyle name="Comma 8 2 2 3 2 2 3 2" xfId="47130" xr:uid="{B2302BC2-AC4D-4EDC-826C-1CBEC7D872E8}"/>
    <cellStyle name="Comma 8 2 2 3 2 2 4" xfId="12363" xr:uid="{171D9546-0241-4DE1-AAE5-E273303D331A}"/>
    <cellStyle name="Comma 8 2 2 3 2 2 4 2" xfId="50120" xr:uid="{F9D7B0C0-A037-4BDA-92D6-B89CB8002C1C}"/>
    <cellStyle name="Comma 8 2 2 3 2 2 5" xfId="53936" xr:uid="{9571FC0F-7AEB-4AC7-9163-F4A6D7111038}"/>
    <cellStyle name="Comma 8 2 2 3 2 2 6" xfId="39775" xr:uid="{0E758900-6DC6-46EB-B6CB-13FFF62BDB29}"/>
    <cellStyle name="Comma 8 2 2 3 2 2 7" xfId="14777" xr:uid="{177D2750-1CA1-4907-AB48-BF5FB95A7A8C}"/>
    <cellStyle name="Comma 8 2 2 3 2 3" xfId="9848" xr:uid="{9A465D59-2DD7-4E3E-8151-7F129EE2B9D3}"/>
    <cellStyle name="Comma 8 2 2 3 2 3 2" xfId="13154" xr:uid="{93968A6A-76B5-4520-B28B-430F70B325D4}"/>
    <cellStyle name="Comma 8 2 2 3 2 3 2 2" xfId="51838" xr:uid="{9A7BDE2B-535C-4504-A146-80768F9A8F67}"/>
    <cellStyle name="Comma 8 2 2 3 2 3 2 3" xfId="53937" xr:uid="{52EB6C02-74A8-4105-A18C-349A2F0279CA}"/>
    <cellStyle name="Comma 8 2 2 3 2 3 2 4" xfId="49158" xr:uid="{7E2AEB7E-2DD2-4B06-AF50-A2B557103091}"/>
    <cellStyle name="Comma 8 2 2 3 2 3 3" xfId="47575" xr:uid="{715C805B-D864-4A1B-89E3-A92DE05A18FA}"/>
    <cellStyle name="Comma 8 2 2 3 2 3 4" xfId="50510" xr:uid="{F5A50D3B-85A2-468C-B2E3-F8D4AFB19D45}"/>
    <cellStyle name="Comma 8 2 2 3 2 3 5" xfId="53938" xr:uid="{1B73DCEF-10CD-406C-AE8F-2423F0F0BAFF}"/>
    <cellStyle name="Comma 8 2 2 3 2 3 6" xfId="41628" xr:uid="{10113E3C-D7CD-4E68-AD4F-5E5E11B137BA}"/>
    <cellStyle name="Comma 8 2 2 3 2 3 7" xfId="15092" xr:uid="{8D4478AC-F3EA-4DF2-B69D-9A7FF61BBBFD}"/>
    <cellStyle name="Comma 8 2 2 3 2 4" xfId="7346" xr:uid="{FE4E7D08-CCCC-4F12-840B-E9485F09D8C8}"/>
    <cellStyle name="Comma 8 2 2 3 2 4 2" xfId="48302" xr:uid="{CA8F5289-655D-4A2D-BACC-FA104DC83763}"/>
    <cellStyle name="Comma 8 2 2 3 2 4 3" xfId="51120" xr:uid="{8482D300-A803-4FEE-982D-28658045E011}"/>
    <cellStyle name="Comma 8 2 2 3 2 4 4" xfId="53939" xr:uid="{A3454DBC-FCAE-4076-9EA1-883AD774AC62}"/>
    <cellStyle name="Comma 8 2 2 3 2 4 5" xfId="43452" xr:uid="{CE793F46-7AA4-47E3-9919-F4088C23A61F}"/>
    <cellStyle name="Comma 8 2 2 3 2 5" xfId="11869" xr:uid="{C01A41E8-0FEE-4E4D-88F1-237C047597CE}"/>
    <cellStyle name="Comma 8 2 2 3 2 5 2" xfId="44292" xr:uid="{E024F44C-8DB4-4853-94E9-16A963093071}"/>
    <cellStyle name="Comma 8 2 2 3 2 6" xfId="44592" xr:uid="{98B90CCE-5D4A-4EE0-979D-995D7FE9AE69}"/>
    <cellStyle name="Comma 8 2 2 3 2 7" xfId="46760" xr:uid="{93A69BAF-AADA-4C53-B7E9-4A97C215FE74}"/>
    <cellStyle name="Comma 8 2 2 3 2 8" xfId="49792" xr:uid="{EB7E9F48-B8D3-4B9C-A2AB-E4A4187F2A22}"/>
    <cellStyle name="Comma 8 2 2 3 2 9" xfId="53940" xr:uid="{52BF2109-1C68-435F-B7C4-3951959226DE}"/>
    <cellStyle name="Comma 8 2 2 3 3" xfId="5572" xr:uid="{455BC7A4-16C1-4163-AE94-4CC457D1185B}"/>
    <cellStyle name="Comma 8 2 2 3 3 2" xfId="7674" xr:uid="{DD80AB93-C684-4614-9D81-A0067A7DC01D}"/>
    <cellStyle name="Comma 8 2 2 3 3 2 2" xfId="10166" xr:uid="{1D8C223B-332A-4622-A231-F602FD39AE5C}"/>
    <cellStyle name="Comma 8 2 2 3 3 2 2 2" xfId="13472" xr:uid="{15BA1BC0-85EB-40F3-BC89-BE91F02EE37A}"/>
    <cellStyle name="Comma 8 2 2 3 3 2 2 2 2" xfId="51698" xr:uid="{4CD0DA15-844A-4267-98B3-F5552E33E356}"/>
    <cellStyle name="Comma 8 2 2 3 3 2 2 3" xfId="53941" xr:uid="{A5F74851-A585-434E-999D-CC04DDFB8065}"/>
    <cellStyle name="Comma 8 2 2 3 3 2 2 4" xfId="48986" xr:uid="{B8D9B428-617E-4176-B24A-72FF3203D45E}"/>
    <cellStyle name="Comma 8 2 2 3 3 2 3" xfId="12187" xr:uid="{5F5E71E0-F99B-4FB7-B1D7-EB981220E1F7}"/>
    <cellStyle name="Comma 8 2 2 3 3 2 3 2" xfId="47410" xr:uid="{A42AFA31-68AD-4429-83F0-A4149AEB845C}"/>
    <cellStyle name="Comma 8 2 2 3 3 2 4" xfId="50370" xr:uid="{EB1C14A8-E64C-465A-804D-07005A00A53C}"/>
    <cellStyle name="Comma 8 2 2 3 3 2 5" xfId="53942" xr:uid="{B3E16D31-C518-4CAD-8EDA-E53329DD8CC6}"/>
    <cellStyle name="Comma 8 2 2 3 3 2 6" xfId="43861" xr:uid="{75FFEF0A-42F4-42DC-B96F-7A466835F8ED}"/>
    <cellStyle name="Comma 8 2 2 3 3 2 7" xfId="14601" xr:uid="{3ED683D7-65BB-465C-A444-6B2E10766E54}"/>
    <cellStyle name="Comma 8 2 2 3 3 3" xfId="9672" xr:uid="{22958C53-476D-4E08-80D2-0EFFC3192289}"/>
    <cellStyle name="Comma 8 2 2 3 3 3 2" xfId="12978" xr:uid="{4102CB42-6E57-4E16-8CF2-E914A600CE94}"/>
    <cellStyle name="Comma 8 2 2 3 3 3 2 2" xfId="50980" xr:uid="{013A01F8-3873-454B-900C-DEA3CC4B212E}"/>
    <cellStyle name="Comma 8 2 2 3 3 3 3" xfId="53943" xr:uid="{E25F92AB-CEB1-4974-B879-B53EA8F939E2}"/>
    <cellStyle name="Comma 8 2 2 3 3 3 4" xfId="48131" xr:uid="{E5059E53-F558-4D9D-B9FE-720EE34A00BF}"/>
    <cellStyle name="Comma 8 2 2 3 3 4" xfId="7168" xr:uid="{4342C232-2CBC-4186-A8EB-C8370B0234AC}"/>
    <cellStyle name="Comma 8 2 2 3 3 4 2" xfId="46619" xr:uid="{E9755B18-0891-4C54-B10F-F26C17F0948F}"/>
    <cellStyle name="Comma 8 2 2 3 3 5" xfId="11693" xr:uid="{ADD77864-C7A5-424C-AF34-4A253F4D40F9}"/>
    <cellStyle name="Comma 8 2 2 3 3 5 2" xfId="49652" xr:uid="{A0AF2F1E-887E-4CA7-9B86-EBC2C4FA6129}"/>
    <cellStyle name="Comma 8 2 2 3 3 6" xfId="53944" xr:uid="{555F2E41-2949-4DDD-AEC6-1FDDDEB98738}"/>
    <cellStyle name="Comma 8 2 2 3 3 7" xfId="20428" xr:uid="{B49551D7-D5D0-4473-AAEF-F30D74F8AC5C}"/>
    <cellStyle name="Comma 8 2 2 3 3 8" xfId="14109" xr:uid="{0E0DB3C2-E912-4FBC-BA4C-0FE7FD684F8B}"/>
    <cellStyle name="Comma 8 2 2 3 4" xfId="6562" xr:uid="{3FF74322-2C4A-4DB0-93C9-7D8942F97506}"/>
    <cellStyle name="Comma 8 2 2 3 4 2" xfId="9534" xr:uid="{026F626F-98D9-4611-B65A-64DE152263D3}"/>
    <cellStyle name="Comma 8 2 2 3 4 2 2" xfId="12840" xr:uid="{AECC1554-7FEF-4D34-8FE8-6DCFB12F112D}"/>
    <cellStyle name="Comma 8 2 2 3 4 2 2 2" xfId="50865" xr:uid="{4D1C1F53-E170-4885-B6AC-75AEB1B93853}"/>
    <cellStyle name="Comma 8 2 2 3 4 2 3" xfId="53945" xr:uid="{11999858-3F4E-48E1-840B-1493AAFB6B54}"/>
    <cellStyle name="Comma 8 2 2 3 4 2 4" xfId="47996" xr:uid="{19679F09-F123-4F94-8E6E-B6E3F8A07CB6}"/>
    <cellStyle name="Comma 8 2 2 3 4 3" xfId="11555" xr:uid="{5DC3B419-1866-4625-A37D-443FD03797E7}"/>
    <cellStyle name="Comma 8 2 2 3 4 3 2" xfId="46201" xr:uid="{BD557DF3-8DCA-400C-A83D-261B09A610BF}"/>
    <cellStyle name="Comma 8 2 2 3 4 4" xfId="49537" xr:uid="{6C4ADCEF-BA0F-42D1-9E1B-8AF512C8E6C2}"/>
    <cellStyle name="Comma 8 2 2 3 4 5" xfId="53946" xr:uid="{F1856CFB-75A9-435B-9484-CDD518ECB36C}"/>
    <cellStyle name="Comma 8 2 2 3 4 6" xfId="24052" xr:uid="{4E1CDE73-0323-461E-B629-CB3267646F3A}"/>
    <cellStyle name="Comma 8 2 2 3 4 7" xfId="14463" xr:uid="{B5546882-80FC-46D5-B880-CD10DD0FD57C}"/>
    <cellStyle name="Comma 8 2 2 3 5" xfId="7536" xr:uid="{82146878-32ED-40CD-AC04-6DDF43A91C06}"/>
    <cellStyle name="Comma 8 2 2 3 5 2" xfId="10028" xr:uid="{198A8856-984D-4FF1-AD56-184F943431BE}"/>
    <cellStyle name="Comma 8 2 2 3 5 2 2" xfId="13334" xr:uid="{6F96979C-E2C1-43FC-81E8-B03119E06FF2}"/>
    <cellStyle name="Comma 8 2 2 3 5 2 2 2" xfId="51327" xr:uid="{26B1721B-D5E0-49F7-831E-8199AC048BF5}"/>
    <cellStyle name="Comma 8 2 2 3 5 2 3" xfId="53947" xr:uid="{F938FD36-03EF-466E-9758-4CEC7BFAE914}"/>
    <cellStyle name="Comma 8 2 2 3 5 2 4" xfId="48541" xr:uid="{8AE010BE-8A13-4D7B-B0EE-B8C20346CF62}"/>
    <cellStyle name="Comma 8 2 2 3 5 3" xfId="12049" xr:uid="{E577E96C-7E6C-41B5-A9D8-1DC0E9778C19}"/>
    <cellStyle name="Comma 8 2 2 3 5 3 2" xfId="46980" xr:uid="{73F2C38C-57A7-4D05-BBAF-CADC3130C36D}"/>
    <cellStyle name="Comma 8 2 2 3 5 4" xfId="49999" xr:uid="{06BCCE55-F6F1-4D52-A5BC-F441A3FDA84A}"/>
    <cellStyle name="Comma 8 2 2 3 5 5" xfId="53948" xr:uid="{7257BE36-AAE9-4BEE-B99E-8E65D7EE7387}"/>
    <cellStyle name="Comma 8 2 2 3 5 6" xfId="38549" xr:uid="{97574ED7-DABA-4C20-A570-D2325696B86C}"/>
    <cellStyle name="Comma 8 2 2 3 5 7" xfId="14916" xr:uid="{4AA1FC48-4A7E-4C27-ABEC-694D2FC098BA}"/>
    <cellStyle name="Comma 8 2 2 3 6" xfId="8202" xr:uid="{56BDE88E-2ADC-4ABB-A347-9EA67AB21125}"/>
    <cellStyle name="Comma 8 2 2 3 6 2" xfId="12658" xr:uid="{C9DCA886-17EA-4394-B3F7-2FAE3AAE5FFC}"/>
    <cellStyle name="Comma 8 2 2 3 6 2 2" xfId="51583" xr:uid="{F45914BD-258A-48E4-AA26-43FBA92C560D}"/>
    <cellStyle name="Comma 8 2 2 3 6 2 3" xfId="53949" xr:uid="{9BFF8DC3-C7E2-46F1-92DB-C4A4A8B15D2C}"/>
    <cellStyle name="Comma 8 2 2 3 6 2 4" xfId="48848" xr:uid="{CBBC977B-79B6-454B-B518-5CB6EDD2666C}"/>
    <cellStyle name="Comma 8 2 2 3 6 3" xfId="47277" xr:uid="{6A5114CC-7BAA-4B8C-9B26-3EF13D063D49}"/>
    <cellStyle name="Comma 8 2 2 3 6 4" xfId="50255" xr:uid="{880B4272-32B3-4DA4-AB3A-DB79C08C9FC2}"/>
    <cellStyle name="Comma 8 2 2 3 6 5" xfId="53950" xr:uid="{E9EC7469-B0B8-4789-9E45-C82EF17ECAA5}"/>
    <cellStyle name="Comma 8 2 2 3 6 6" xfId="39184" xr:uid="{27DD444C-E16D-4070-AE5D-FAE6DB0633C8}"/>
    <cellStyle name="Comma 8 2 2 3 7" xfId="7989" xr:uid="{CC55A7DE-3ABA-4B10-85F1-D4C74201AC4D}"/>
    <cellStyle name="Comma 8 2 2 3 7 2" xfId="12502" xr:uid="{B2CED884-353A-4B2F-85BD-9CB881B123A2}"/>
    <cellStyle name="Comma 8 2 2 3 7 2 2" xfId="47823" xr:uid="{07202030-BC63-4DCB-9536-EA78229EFBCB}"/>
    <cellStyle name="Comma 8 2 2 3 7 3" xfId="50711" xr:uid="{873E4878-AF73-4C5B-ACDD-815A390EC19F}"/>
    <cellStyle name="Comma 8 2 2 3 7 4" xfId="53951" xr:uid="{46A29F80-50DF-4786-87A4-0C9844B53C35}"/>
    <cellStyle name="Comma 8 2 2 3 7 5" xfId="40372" xr:uid="{122E3008-F547-4C33-A6FD-06A57F50CB99}"/>
    <cellStyle name="Comma 8 2 2 3 8" xfId="5886" xr:uid="{B02C9E21-989E-4F15-B3A6-76D1929F99EC}"/>
    <cellStyle name="Comma 8 2 2 3 8 2" xfId="41014" xr:uid="{3C8A24A6-D8B1-44AD-9306-34DBCA121F4A}"/>
    <cellStyle name="Comma 8 2 2 3 9" xfId="11374" xr:uid="{18BC8A1E-AE30-4E06-8417-CF2B5D4045EA}"/>
    <cellStyle name="Comma 8 2 2 3 9 2" xfId="42226" xr:uid="{489CE8CB-DE19-46E2-A5D8-D3ECC336567B}"/>
    <cellStyle name="Comma 8 2 2 4" xfId="4489" xr:uid="{200B64BF-0545-415A-B83E-52D1F0C5A517}"/>
    <cellStyle name="Comma 8 2 2 4 10" xfId="44590" xr:uid="{9423452A-F9D7-4B27-9CF8-575348A7BE15}"/>
    <cellStyle name="Comma 8 2 2 4 11" xfId="45738" xr:uid="{4F1F2681-0CF9-4F25-AA3B-0F75D86F7D0D}"/>
    <cellStyle name="Comma 8 2 2 4 12" xfId="49366" xr:uid="{B9141046-1091-4E88-A6F5-1AF4E858CE20}"/>
    <cellStyle name="Comma 8 2 2 4 13" xfId="53952" xr:uid="{7CDAE46C-EF72-497F-B8B8-9C42C653A3DC}"/>
    <cellStyle name="Comma 8 2 2 4 14" xfId="20641" xr:uid="{4898326F-756F-49B7-8BF0-D8885D04AC61}"/>
    <cellStyle name="Comma 8 2 2 4 15" xfId="13969" xr:uid="{4FAC4AC1-C90E-449D-AB4B-D05775767665}"/>
    <cellStyle name="Comma 8 2 2 4 2" xfId="5746" xr:uid="{2C8546FA-E4E0-4DDA-934D-92CD547F3C63}"/>
    <cellStyle name="Comma 8 2 2 4 2 2" xfId="7848" xr:uid="{57A39540-6F52-4877-AA46-9BC7719AC461}"/>
    <cellStyle name="Comma 8 2 2 4 2 2 2" xfId="10340" xr:uid="{81056BC3-BB26-4256-99E5-08185F336BEF}"/>
    <cellStyle name="Comma 8 2 2 4 2 2 2 2" xfId="13646" xr:uid="{EE54292C-0E37-40E0-A0DC-F725EA2F8B9C}"/>
    <cellStyle name="Comma 8 2 2 4 2 2 2 2 2" xfId="51836" xr:uid="{9EA83D7F-A48F-4CA0-B672-B1EAA2E3D9B4}"/>
    <cellStyle name="Comma 8 2 2 4 2 2 2 3" xfId="53953" xr:uid="{27286B0A-A19C-4D98-A022-471F982F2D66}"/>
    <cellStyle name="Comma 8 2 2 4 2 2 2 4" xfId="49156" xr:uid="{1F1AE8E1-C60E-4751-B4B7-6508D160FAF8}"/>
    <cellStyle name="Comma 8 2 2 4 2 2 3" xfId="12361" xr:uid="{AD192E2D-BBDF-4D53-AC5B-F57B4A9E7EF9}"/>
    <cellStyle name="Comma 8 2 2 4 2 2 3 2" xfId="47573" xr:uid="{C661D80F-3BD1-4275-9302-D3AA8569436C}"/>
    <cellStyle name="Comma 8 2 2 4 2 2 4" xfId="50508" xr:uid="{0853CCA4-7508-4C0E-A40E-9DFA10AFAAE0}"/>
    <cellStyle name="Comma 8 2 2 4 2 2 5" xfId="53954" xr:uid="{B6744F4D-2B22-47F7-A08F-14FE924EFD01}"/>
    <cellStyle name="Comma 8 2 2 4 2 2 6" xfId="44290" xr:uid="{82CB278F-274D-4B81-A362-0DB74297C5FA}"/>
    <cellStyle name="Comma 8 2 2 4 2 2 7" xfId="14775" xr:uid="{3E619A09-0972-465D-AC38-8073F9F95765}"/>
    <cellStyle name="Comma 8 2 2 4 2 3" xfId="9846" xr:uid="{C1312F6D-4BDB-44ED-9BB1-B1181C78B7B2}"/>
    <cellStyle name="Comma 8 2 2 4 2 3 2" xfId="13152" xr:uid="{4F455DF8-9CFE-402B-BD05-4BFB770586F3}"/>
    <cellStyle name="Comma 8 2 2 4 2 3 2 2" xfId="51118" xr:uid="{B5EE508C-A6B4-44B3-A7BE-F91D6F724416}"/>
    <cellStyle name="Comma 8 2 2 4 2 3 3" xfId="53955" xr:uid="{E410ED74-204F-4284-903A-2B47E104E2B6}"/>
    <cellStyle name="Comma 8 2 2 4 2 3 4" xfId="48300" xr:uid="{84E91107-5E59-47DD-93E9-729282BE7F39}"/>
    <cellStyle name="Comma 8 2 2 4 2 4" xfId="7344" xr:uid="{604EE890-A3B3-47C3-AE15-CA4CAE4D023E}"/>
    <cellStyle name="Comma 8 2 2 4 2 4 2" xfId="46758" xr:uid="{1084A668-7D7A-4325-B4A3-F875C744C36E}"/>
    <cellStyle name="Comma 8 2 2 4 2 5" xfId="11867" xr:uid="{6A813468-7CE5-4A70-9658-1C6FD54658BF}"/>
    <cellStyle name="Comma 8 2 2 4 2 5 2" xfId="49790" xr:uid="{BDEFFD7D-8235-4F39-AEBB-C1B09F2C9509}"/>
    <cellStyle name="Comma 8 2 2 4 2 6" xfId="53956" xr:uid="{7F1D3B4A-7685-43DB-8934-BBF5FC81986A}"/>
    <cellStyle name="Comma 8 2 2 4 2 7" xfId="24053" xr:uid="{25780CAE-5337-4704-BD88-27715F586969}"/>
    <cellStyle name="Comma 8 2 2 4 2 8" xfId="14283" xr:uid="{9DCB0AB9-8EF6-4FF8-817A-2F49EF86EF7F}"/>
    <cellStyle name="Comma 8 2 2 4 3" xfId="7534" xr:uid="{FB091379-F6AD-447E-BB4B-5C3AE29A0FBA}"/>
    <cellStyle name="Comma 8 2 2 4 3 2" xfId="10026" xr:uid="{2CB8C521-64E9-4E01-921F-B2A766B4D376}"/>
    <cellStyle name="Comma 8 2 2 4 3 2 2" xfId="13332" xr:uid="{64635592-E78E-4D62-B762-7BADAE2DD4FF}"/>
    <cellStyle name="Comma 8 2 2 4 3 2 2 2" xfId="50863" xr:uid="{177835D4-6FFF-4279-B877-05E53906B63F}"/>
    <cellStyle name="Comma 8 2 2 4 3 2 3" xfId="53957" xr:uid="{B8CDDCB2-0B73-495F-B7F5-FE8B7FF29EB1}"/>
    <cellStyle name="Comma 8 2 2 4 3 2 4" xfId="47994" xr:uid="{2CDE426F-7EBB-4F35-8CEB-028A123FEA7F}"/>
    <cellStyle name="Comma 8 2 2 4 3 3" xfId="12047" xr:uid="{BCBCB74F-1047-4653-88E3-0B4DA64A8E75}"/>
    <cellStyle name="Comma 8 2 2 4 3 3 2" xfId="46199" xr:uid="{703185E2-B26D-4BE4-BD8E-0D086E8CA840}"/>
    <cellStyle name="Comma 8 2 2 4 3 4" xfId="49535" xr:uid="{9D063103-AED1-4EC8-AB19-386D65FC432C}"/>
    <cellStyle name="Comma 8 2 2 4 3 5" xfId="53958" xr:uid="{C95E580C-0408-4F26-B228-658192EFD864}"/>
    <cellStyle name="Comma 8 2 2 4 3 6" xfId="38550" xr:uid="{2478D7D6-A7CF-49E5-AC5B-FAD4249A7884}"/>
    <cellStyle name="Comma 8 2 2 4 3 7" xfId="14461" xr:uid="{831DAB34-668C-483E-A921-F1C10EE6A6ED}"/>
    <cellStyle name="Comma 8 2 2 4 4" xfId="11167" xr:uid="{8C7426BF-3B3E-453C-8AF9-5CE9F3857C62}"/>
    <cellStyle name="Comma 8 2 2 4 4 2" xfId="13762" xr:uid="{56DB65A3-8123-43A9-8A6B-3A37960E9E5A}"/>
    <cellStyle name="Comma 8 2 2 4 4 2 2" xfId="51325" xr:uid="{BEB1EE84-6DA7-440B-8401-8C0C385505D5}"/>
    <cellStyle name="Comma 8 2 2 4 4 2 3" xfId="53959" xr:uid="{B44F0E5D-89FE-4C4D-871C-1A580E622EDA}"/>
    <cellStyle name="Comma 8 2 2 4 4 2 4" xfId="48539" xr:uid="{ED1E3BCF-0060-45D5-9E6C-02C4AD88CBE3}"/>
    <cellStyle name="Comma 8 2 2 4 4 3" xfId="46978" xr:uid="{D9B4A4FC-898C-4E06-83FD-0545C4B37930}"/>
    <cellStyle name="Comma 8 2 2 4 4 4" xfId="49997" xr:uid="{05C3D7EB-B8AC-4410-92F7-717EFE40E358}"/>
    <cellStyle name="Comma 8 2 2 4 4 5" xfId="53960" xr:uid="{A85DE6B7-6F1B-4104-ABB3-E7BE723A9059}"/>
    <cellStyle name="Comma 8 2 2 4 4 6" xfId="39335" xr:uid="{A1379BF9-4832-4BC3-81A8-C794B4394A3C}"/>
    <cellStyle name="Comma 8 2 2 4 4 7" xfId="15090" xr:uid="{FD2D4425-43FF-491B-9D44-E15F3DF41A36}"/>
    <cellStyle name="Comma 8 2 2 4 5" xfId="9532" xr:uid="{BF433D1C-74BE-407B-9586-269318B80B06}"/>
    <cellStyle name="Comma 8 2 2 4 5 2" xfId="12838" xr:uid="{BBB8CB4D-52D7-48CF-9E4C-F2971C159CCC}"/>
    <cellStyle name="Comma 8 2 2 4 5 2 2" xfId="51581" xr:uid="{9B7F12E5-D7DD-404C-B784-B819C2D7A2C5}"/>
    <cellStyle name="Comma 8 2 2 4 5 2 3" xfId="53961" xr:uid="{25965E4E-8926-4E85-BE0F-BC03D4468676}"/>
    <cellStyle name="Comma 8 2 2 4 5 2 4" xfId="48846" xr:uid="{3224B412-EB9D-45EE-9639-54DD195B96C5}"/>
    <cellStyle name="Comma 8 2 2 4 5 3" xfId="47275" xr:uid="{46DF48CC-45AF-4203-BDA0-64DF2E6A1E3B}"/>
    <cellStyle name="Comma 8 2 2 4 5 4" xfId="50253" xr:uid="{2491F0FD-94ED-4850-BEB2-CF55ECE6884C}"/>
    <cellStyle name="Comma 8 2 2 4 5 5" xfId="53962" xr:uid="{C8CA1456-FC94-4027-B062-196D0C832D00}"/>
    <cellStyle name="Comma 8 2 2 4 5 6" xfId="40373" xr:uid="{625668D9-03C0-437F-9B2C-564854121469}"/>
    <cellStyle name="Comma 8 2 2 4 6" xfId="6560" xr:uid="{7698D696-038A-4C9F-8BF6-95441FBD620B}"/>
    <cellStyle name="Comma 8 2 2 4 6 2" xfId="47795" xr:uid="{3BCA034B-4478-4321-BC94-3C0D2DFFE066}"/>
    <cellStyle name="Comma 8 2 2 4 6 3" xfId="50694" xr:uid="{B483AA0C-5D25-4B0E-BE34-B0F10398F20D}"/>
    <cellStyle name="Comma 8 2 2 4 6 4" xfId="53963" xr:uid="{9117DF8C-8771-4FEF-A095-504115FCACBC}"/>
    <cellStyle name="Comma 8 2 2 4 6 5" xfId="41015" xr:uid="{11650D98-B510-44D5-A8E8-E9A8A3AE3A5E}"/>
    <cellStyle name="Comma 8 2 2 4 7" xfId="11553" xr:uid="{ED321F43-6541-49BF-A429-DF257A743C5D}"/>
    <cellStyle name="Comma 8 2 2 4 7 2" xfId="42227" xr:uid="{FCA9646D-88AB-406F-8813-C52B0E411F79}"/>
    <cellStyle name="Comma 8 2 2 4 8" xfId="43012" xr:uid="{499BC2B5-9D59-4642-A364-3F2B3FFCC2E6}"/>
    <cellStyle name="Comma 8 2 2 4 9" xfId="43586" xr:uid="{7C2D661E-AA8B-46B3-A387-E9C08889B20C}"/>
    <cellStyle name="Comma 8 2 2 5" xfId="3898" xr:uid="{9D9B4F40-0455-429E-95A1-FC8CC817D772}"/>
    <cellStyle name="Comma 8 2 2 5 2" xfId="5640" xr:uid="{A9CF5802-DF71-4521-AEBD-3955D6C6A4EC}"/>
    <cellStyle name="Comma 8 2 2 5 2 2" xfId="10234" xr:uid="{0E0DAF38-4AE0-425C-8B69-6C6537BA7E78}"/>
    <cellStyle name="Comma 8 2 2 5 2 2 2" xfId="13540" xr:uid="{66C80D73-7B5A-44B5-B5F6-7251A8A7C958}"/>
    <cellStyle name="Comma 8 2 2 5 2 2 2 2" xfId="51231" xr:uid="{BB5FA533-A989-46A3-8F21-DE1784BF4781}"/>
    <cellStyle name="Comma 8 2 2 5 2 2 3" xfId="53964" xr:uid="{E544E015-5CFA-4880-877E-695AB8A5D8C3}"/>
    <cellStyle name="Comma 8 2 2 5 2 2 4" xfId="48437" xr:uid="{C9528E2D-D564-4FA2-A68E-9E84F59B568A}"/>
    <cellStyle name="Comma 8 2 2 5 2 3" xfId="7742" xr:uid="{CE46938C-9476-4733-8DDF-0886E842CA9A}"/>
    <cellStyle name="Comma 8 2 2 5 2 3 2" xfId="46881" xr:uid="{1C9AA11F-CA13-428C-86D4-1E0B2FAE6271}"/>
    <cellStyle name="Comma 8 2 2 5 2 4" xfId="12255" xr:uid="{ABDBB894-ADD3-4E79-87B7-EB476967AD1C}"/>
    <cellStyle name="Comma 8 2 2 5 2 4 2" xfId="49903" xr:uid="{D83BD23E-258C-4D06-8093-39EB7222AB5B}"/>
    <cellStyle name="Comma 8 2 2 5 2 5" xfId="53965" xr:uid="{2CA819D8-4255-472A-A21D-7F7C65D72BDD}"/>
    <cellStyle name="Comma 8 2 2 5 2 6" xfId="43909" xr:uid="{09763CA9-4D69-4045-9A26-C04608243E26}"/>
    <cellStyle name="Comma 8 2 2 5 2 7" xfId="14669" xr:uid="{5E0CBBD5-DAAE-4B29-9791-8568082D06B2}"/>
    <cellStyle name="Comma 8 2 2 5 3" xfId="9740" xr:uid="{A92BE729-0BAD-429B-B62E-C4B49D798CD5}"/>
    <cellStyle name="Comma 8 2 2 5 3 2" xfId="13046" xr:uid="{D8606CDA-F110-42F2-A4E5-CA2C22118FE2}"/>
    <cellStyle name="Comma 8 2 2 5 3 2 2" xfId="51742" xr:uid="{BC37B09B-CBBA-42B8-9F87-DDAB3AE8EA76}"/>
    <cellStyle name="Comma 8 2 2 5 3 2 3" xfId="53966" xr:uid="{3AF12286-DD48-4228-8972-1B14B00C72A9}"/>
    <cellStyle name="Comma 8 2 2 5 3 2 4" xfId="49052" xr:uid="{2F1796BB-EFCA-4B66-BA7D-47E57CFE3D04}"/>
    <cellStyle name="Comma 8 2 2 5 3 3" xfId="47471" xr:uid="{A49609A2-751F-4E68-9339-AE23F47B5587}"/>
    <cellStyle name="Comma 8 2 2 5 3 4" xfId="50414" xr:uid="{29A1B2BE-9FE1-49BC-9002-24A1F7B05AED}"/>
    <cellStyle name="Comma 8 2 2 5 3 5" xfId="53967" xr:uid="{802601AA-A35F-4FC3-93A1-97942A2A1849}"/>
    <cellStyle name="Comma 8 2 2 5 3 6" xfId="44496" xr:uid="{D092341C-D8BD-4CFE-9E8B-BD2237F47D66}"/>
    <cellStyle name="Comma 8 2 2 5 3 7" xfId="14984" xr:uid="{B7EBF339-4F23-46BB-9B77-E8345F4C43CE}"/>
    <cellStyle name="Comma 8 2 2 5 4" xfId="7236" xr:uid="{3904E6AE-636F-4B27-A691-7D21DE26FFA2}"/>
    <cellStyle name="Comma 8 2 2 5 4 2" xfId="51024" xr:uid="{4FF28726-09A1-4BF2-B580-BFA6F1E57F1E}"/>
    <cellStyle name="Comma 8 2 2 5 4 3" xfId="53968" xr:uid="{850BE392-3402-4175-A28D-CA0392419CCD}"/>
    <cellStyle name="Comma 8 2 2 5 4 4" xfId="48197" xr:uid="{1B3CF987-649D-48A5-B9C0-04F1AD04FBFA}"/>
    <cellStyle name="Comma 8 2 2 5 5" xfId="11761" xr:uid="{9E4711C8-89E2-4E70-AA9B-3D245BFD3DE3}"/>
    <cellStyle name="Comma 8 2 2 5 5 2" xfId="46663" xr:uid="{42E6A407-E8A6-4FF2-AFFE-6E28A4FEBDF6}"/>
    <cellStyle name="Comma 8 2 2 5 6" xfId="49696" xr:uid="{4C943B64-56F8-4261-A746-42565E500428}"/>
    <cellStyle name="Comma 8 2 2 5 7" xfId="53969" xr:uid="{7DDF3686-F4E3-4877-925E-58C9CA277A9C}"/>
    <cellStyle name="Comma 8 2 2 5 8" xfId="19988" xr:uid="{51AA3539-6485-457A-81E0-B1D67F3267BB}"/>
    <cellStyle name="Comma 8 2 2 5 9" xfId="14177" xr:uid="{7ABB4E41-633B-4B5F-AD92-CFB720083102}"/>
    <cellStyle name="Comma 8 2 2 6" xfId="5570" xr:uid="{0A8139C6-D766-4771-99F1-AA2EB3014EC5}"/>
    <cellStyle name="Comma 8 2 2 6 2" xfId="7672" xr:uid="{6C0E7AF4-851D-4133-8D0D-D0CC1D5DC449}"/>
    <cellStyle name="Comma 8 2 2 6 2 2" xfId="10164" xr:uid="{7041E765-5314-4637-B2CB-61CFAB5B3F19}"/>
    <cellStyle name="Comma 8 2 2 6 2 2 2" xfId="13470" xr:uid="{9B8488B1-E9CD-4219-9323-33ED379CEACD}"/>
    <cellStyle name="Comma 8 2 2 6 2 2 2 2" xfId="51410" xr:uid="{36BF42CE-D245-44A0-9581-BC4910EB9E4E}"/>
    <cellStyle name="Comma 8 2 2 6 2 2 3" xfId="53970" xr:uid="{89DBD3F5-ACBF-4321-946E-A2057317BEB3}"/>
    <cellStyle name="Comma 8 2 2 6 2 2 4" xfId="48647" xr:uid="{7D6D3B50-EA8E-471F-9468-408FA78D50E3}"/>
    <cellStyle name="Comma 8 2 2 6 2 3" xfId="12185" xr:uid="{03B71EC0-FF37-4C8C-AE08-67537705BD49}"/>
    <cellStyle name="Comma 8 2 2 6 2 3 2" xfId="47081" xr:uid="{55B07469-A36B-4130-8F49-401D8BA1C511}"/>
    <cellStyle name="Comma 8 2 2 6 2 4" xfId="50082" xr:uid="{4533926D-DE98-4DA6-8A4F-308FC0F4F94B}"/>
    <cellStyle name="Comma 8 2 2 6 2 5" xfId="53971" xr:uid="{B3E207D7-028C-4D7B-97A9-1EE3D61838E6}"/>
    <cellStyle name="Comma 8 2 2 6 2 6" xfId="43859" xr:uid="{53CA2350-3F1B-426F-9DCB-F62BBC4994AA}"/>
    <cellStyle name="Comma 8 2 2 6 2 7" xfId="14599" xr:uid="{0FC42F22-6F49-4AB0-BEA2-A613E9C70A0F}"/>
    <cellStyle name="Comma 8 2 2 6 3" xfId="9670" xr:uid="{9B483B0E-A5F5-42FD-AB10-94000A6CB010}"/>
    <cellStyle name="Comma 8 2 2 6 3 2" xfId="12976" xr:uid="{DBFB39DC-E06B-4E7A-AAE1-CF721524016E}"/>
    <cellStyle name="Comma 8 2 2 6 3 2 2" xfId="51696" xr:uid="{D975114B-386B-4EEF-8AC4-631D7CCC1675}"/>
    <cellStyle name="Comma 8 2 2 6 3 2 3" xfId="53972" xr:uid="{BBB9B771-EA18-4FBD-92CC-0765BCE6003E}"/>
    <cellStyle name="Comma 8 2 2 6 3 2 4" xfId="48984" xr:uid="{78D97C49-1213-41AC-8B88-8471D0B86A1A}"/>
    <cellStyle name="Comma 8 2 2 6 3 3" xfId="50368" xr:uid="{8AAD775C-5BDB-4B99-8DBF-15406EAA0D7F}"/>
    <cellStyle name="Comma 8 2 2 6 3 4" xfId="53973" xr:uid="{917E55B9-9AB2-498B-8C54-232D7CE2A2CE}"/>
    <cellStyle name="Comma 8 2 2 6 3 5" xfId="47408" xr:uid="{76E6217A-B204-40D2-A684-18FE864EDD64}"/>
    <cellStyle name="Comma 8 2 2 6 4" xfId="7166" xr:uid="{3A47FCEC-FB7A-44C0-97D7-FC09E469BE3A}"/>
    <cellStyle name="Comma 8 2 2 6 4 2" xfId="50978" xr:uid="{89D2B32D-75BA-4308-9514-53339E1481AB}"/>
    <cellStyle name="Comma 8 2 2 6 4 3" xfId="53974" xr:uid="{EC898891-C696-4314-BE82-7F0E02291CB4}"/>
    <cellStyle name="Comma 8 2 2 6 4 4" xfId="48129" xr:uid="{48039F24-95C9-4F25-8F72-5AAE6CBFBDAC}"/>
    <cellStyle name="Comma 8 2 2 6 5" xfId="11691" xr:uid="{AB0CC09C-D4E8-448F-85AF-CB7E353CD743}"/>
    <cellStyle name="Comma 8 2 2 6 5 2" xfId="46617" xr:uid="{B51DF0CC-A2D8-4E0E-819C-E05970776D62}"/>
    <cellStyle name="Comma 8 2 2 6 6" xfId="49650" xr:uid="{B5087AC5-4FB2-4EC1-BB84-277F582D6BD0}"/>
    <cellStyle name="Comma 8 2 2 6 7" xfId="53975" xr:uid="{CE325EDB-6779-4097-B344-BF8C33D866A1}"/>
    <cellStyle name="Comma 8 2 2 6 8" xfId="24050" xr:uid="{0B8C982F-CFE0-4DB5-B764-1935EBCB223E}"/>
    <cellStyle name="Comma 8 2 2 6 9" xfId="14107" xr:uid="{3A61C99D-A9B1-4192-AFA3-B9389F9EB46D}"/>
    <cellStyle name="Comma 8 2 2 7" xfId="5965" xr:uid="{95226639-D959-4C2B-9CF4-D8859E3723D3}"/>
    <cellStyle name="Comma 8 2 2 7 2" xfId="9423" xr:uid="{7F190890-C19D-4B85-AE68-88C8BC38F4FB}"/>
    <cellStyle name="Comma 8 2 2 7 2 2" xfId="12729" xr:uid="{68A6D263-24F1-440A-95EB-4723050AB17E}"/>
    <cellStyle name="Comma 8 2 2 7 2 2 2" xfId="50769" xr:uid="{6DE29168-3360-40FA-A244-C9FF9837C1AA}"/>
    <cellStyle name="Comma 8 2 2 7 2 3" xfId="53976" xr:uid="{7E4C6967-17F7-4710-B83A-592925867CBC}"/>
    <cellStyle name="Comma 8 2 2 7 2 4" xfId="47892" xr:uid="{6C5756C1-B0C7-4B02-A5B9-CC8041DA5851}"/>
    <cellStyle name="Comma 8 2 2 7 3" xfId="11444" xr:uid="{FDCC26B4-9D53-4705-8DA5-C198787787DE}"/>
    <cellStyle name="Comma 8 2 2 7 3 2" xfId="45819" xr:uid="{49E29297-C0AD-4A56-AED1-A59AB12AF835}"/>
    <cellStyle name="Comma 8 2 2 7 4" xfId="49441" xr:uid="{ECA72B11-050F-409F-B26C-EEC515493701}"/>
    <cellStyle name="Comma 8 2 2 7 5" xfId="53977" xr:uid="{88BA0DFC-472B-4EE8-B20B-0B3187EBA37A}"/>
    <cellStyle name="Comma 8 2 2 7 6" xfId="38547" xr:uid="{1AF0454C-E96B-489E-9F6C-1FCE3E923A78}"/>
    <cellStyle name="Comma 8 2 2 7 7" xfId="14355" xr:uid="{EEE8C69C-4CE8-4771-97D8-4F06A7145BDE}"/>
    <cellStyle name="Comma 8 2 2 8" xfId="7428" xr:uid="{FD4AF570-FB73-42DE-BFF3-B2E6637AB903}"/>
    <cellStyle name="Comma 8 2 2 8 2" xfId="9920" xr:uid="{28A34ED5-1F91-4D96-B5EA-B347F2D347F8}"/>
    <cellStyle name="Comma 8 2 2 8 2 2" xfId="13226" xr:uid="{5D4E0ACB-FE09-4CCF-8547-C91D590CB433}"/>
    <cellStyle name="Comma 8 2 2 8 2 2 2" xfId="51204" xr:uid="{E6C353BB-F930-452B-8690-235D3D59053B}"/>
    <cellStyle name="Comma 8 2 2 8 2 3" xfId="53978" xr:uid="{59B2981E-F935-45D5-98A1-2E464DFACC63}"/>
    <cellStyle name="Comma 8 2 2 8 2 4" xfId="48403" xr:uid="{141A6D34-92AF-4538-9007-D941BECF91FF}"/>
    <cellStyle name="Comma 8 2 2 8 3" xfId="11941" xr:uid="{AF270322-18C8-409F-A4A5-726BD685702C}"/>
    <cellStyle name="Comma 8 2 2 8 3 2" xfId="46852" xr:uid="{3501B403-13F7-43A2-B36C-83E84B3CDD6D}"/>
    <cellStyle name="Comma 8 2 2 8 4" xfId="49876" xr:uid="{2665B4A6-223B-4826-B3E2-902573525595}"/>
    <cellStyle name="Comma 8 2 2 8 5" xfId="53979" xr:uid="{9B8D7A85-5A32-47F7-8195-1462E42A7BEE}"/>
    <cellStyle name="Comma 8 2 2 8 6" xfId="38744" xr:uid="{CEE848D7-1EAD-4DFE-99DC-CAC90F91B20F}"/>
    <cellStyle name="Comma 8 2 2 8 7" xfId="14914" xr:uid="{32C85C6D-E229-4170-9864-C7B2FE4274BC}"/>
    <cellStyle name="Comma 8 2 2 9" xfId="8200" xr:uid="{44983B1F-DFD5-43D6-8A06-10B3C5A23DF6}"/>
    <cellStyle name="Comma 8 2 2 9 2" xfId="12656" xr:uid="{3A7E6785-997F-4BEC-9309-B5095C3FB70C}"/>
    <cellStyle name="Comma 8 2 2 9 2 2" xfId="51487" xr:uid="{FE4C111C-1F13-4330-B3DC-388E9E7EF7BA}"/>
    <cellStyle name="Comma 8 2 2 9 2 3" xfId="53980" xr:uid="{03B4A6C3-25FE-4A06-8D5B-3B500886D3F5}"/>
    <cellStyle name="Comma 8 2 2 9 2 4" xfId="48743" xr:uid="{E885899A-1E7A-4B6C-B8A7-BD0918FF1C4F}"/>
    <cellStyle name="Comma 8 2 2 9 3" xfId="47178" xr:uid="{CA8DB525-790E-4363-BEB7-D105309FF491}"/>
    <cellStyle name="Comma 8 2 2 9 4" xfId="50159" xr:uid="{C920EE7B-3CCB-411B-90AF-693A4B902D57}"/>
    <cellStyle name="Comma 8 2 2 9 5" xfId="53981" xr:uid="{31A41655-8117-48DD-96BF-4241AB4EF82E}"/>
    <cellStyle name="Comma 8 2 2 9 6" xfId="40370" xr:uid="{924BAFE6-77CC-4B64-8CF8-E8EFB2737EF3}"/>
    <cellStyle name="Comma 8 2 20" xfId="53982" xr:uid="{742E77C6-A004-4BFE-A5F5-CBED49D87BAD}"/>
    <cellStyle name="Comma 8 2 21" xfId="15327" xr:uid="{AFA1474C-276E-460E-8F17-4C5218AF3E63}"/>
    <cellStyle name="Comma 8 2 22" xfId="13861" xr:uid="{7CA439F7-75F5-42F8-94DE-E4DF375A1DE2}"/>
    <cellStyle name="Comma 8 2 3" xfId="1816" xr:uid="{8B7C0135-DD97-47C3-A2EF-B402C21F06A9}"/>
    <cellStyle name="Comma 8 2 3 10" xfId="7990" xr:uid="{0193C924-CC43-4326-ACF6-BC8AF326B704}"/>
    <cellStyle name="Comma 8 2 3 10 2" xfId="12503" xr:uid="{7020A871-C202-45C1-B017-195515168C4A}"/>
    <cellStyle name="Comma 8 2 3 10 2 2" xfId="47643" xr:uid="{98227F7E-4436-436E-A3B9-3EFBE4A31EE5}"/>
    <cellStyle name="Comma 8 2 3 10 3" xfId="50556" xr:uid="{85B09386-5169-4C58-8D38-1243543DC4C8}"/>
    <cellStyle name="Comma 8 2 3 10 4" xfId="53983" xr:uid="{EE7AD30C-F23B-48F1-8B89-CC22496C4FC7}"/>
    <cellStyle name="Comma 8 2 3 10 5" xfId="40374" xr:uid="{58DC9052-A613-49F1-81A9-FCD094E9A1C7}"/>
    <cellStyle name="Comma 8 2 3 11" xfId="5887" xr:uid="{A49A89F8-9E40-4ED5-999D-11D1A8C32485}"/>
    <cellStyle name="Comma 8 2 3 11 2" xfId="41016" xr:uid="{36DE5E38-12BA-4FD7-A163-30DD83F4E2C0}"/>
    <cellStyle name="Comma 8 2 3 12" xfId="11375" xr:uid="{32F16A53-A2B0-4032-A531-907D349697D6}"/>
    <cellStyle name="Comma 8 2 3 12 2" xfId="42228" xr:uid="{3FD5C9D0-89E5-4FF1-804B-7D29117ED3A8}"/>
    <cellStyle name="Comma 8 2 3 13" xfId="42513" xr:uid="{F48E61BD-5974-442F-B45D-B097C2AB46A1}"/>
    <cellStyle name="Comma 8 2 3 14" xfId="43491" xr:uid="{718C7644-599A-4FA5-AF46-CA01E034C307}"/>
    <cellStyle name="Comma 8 2 3 15" xfId="44452" xr:uid="{4383DC9C-AB56-458A-96A5-0D5C5FA5397A}"/>
    <cellStyle name="Comma 8 2 3 16" xfId="45598" xr:uid="{0DF425D3-1B87-46DC-9151-FDDEFD695563}"/>
    <cellStyle name="Comma 8 2 3 17" xfId="49228" xr:uid="{0BFDE156-6A1E-4151-8A59-F36D8DBF298D}"/>
    <cellStyle name="Comma 8 2 3 18" xfId="53984" xr:uid="{3C1A27F9-C98C-4CF1-8D18-7F68416F41D6}"/>
    <cellStyle name="Comma 8 2 3 19" xfId="16776" xr:uid="{7B338A40-8A82-430B-8B10-78876C41E5B0}"/>
    <cellStyle name="Comma 8 2 3 2" xfId="1817" xr:uid="{ADD7004C-C661-43E6-92E2-2E96508897D7}"/>
    <cellStyle name="Comma 8 2 3 2 10" xfId="42229" xr:uid="{1D430DD7-07BE-4F75-9FF0-DB0A5A268455}"/>
    <cellStyle name="Comma 8 2 3 2 11" xfId="42427" xr:uid="{01615F04-77F9-43F7-8227-6173B28742F8}"/>
    <cellStyle name="Comma 8 2 3 2 12" xfId="43590" xr:uid="{7238D759-0011-41E1-B24F-B308873C656C}"/>
    <cellStyle name="Comma 8 2 3 2 13" xfId="44453" xr:uid="{1CFCC2F9-BD06-43EB-BA28-A0D854C298E2}"/>
    <cellStyle name="Comma 8 2 3 2 14" xfId="45665" xr:uid="{DE7BB2D0-CC9B-41C3-BBAC-6562C21103D3}"/>
    <cellStyle name="Comma 8 2 3 2 15" xfId="49294" xr:uid="{8713B47D-023E-4C93-8339-F5D04F7127FB}"/>
    <cellStyle name="Comma 8 2 3 2 16" xfId="53985" xr:uid="{1C288FB8-7BC9-4152-92EA-2671BA347E35}"/>
    <cellStyle name="Comma 8 2 3 2 17" xfId="16455" xr:uid="{2518F481-24D8-4A35-AC73-1937BFF2BC66}"/>
    <cellStyle name="Comma 8 2 3 2 18" xfId="13973" xr:uid="{49EF7097-A6A2-4708-96EB-11A863902689}"/>
    <cellStyle name="Comma 8 2 3 2 2" xfId="4493" xr:uid="{B2B0FE2F-1BA9-4B75-B8BB-6A5342C1B194}"/>
    <cellStyle name="Comma 8 2 3 2 2 10" xfId="42788" xr:uid="{64583874-502D-4A64-931C-E846728DF9B6}"/>
    <cellStyle name="Comma 8 2 3 2 2 11" xfId="44294" xr:uid="{FD5C10CE-A582-49C2-81E7-01D53C8091F8}"/>
    <cellStyle name="Comma 8 2 3 2 2 12" xfId="44594" xr:uid="{D0FBCBDA-3D86-46C8-8CD6-55294CA15814}"/>
    <cellStyle name="Comma 8 2 3 2 2 13" xfId="45783" xr:uid="{7EF0069A-63BA-455E-89D1-B20BBF150D94}"/>
    <cellStyle name="Comma 8 2 3 2 2 14" xfId="49411" xr:uid="{60F0BC9D-7128-4FB9-8274-EDA60FD32C59}"/>
    <cellStyle name="Comma 8 2 3 2 2 15" xfId="53986" xr:uid="{B53C1F7E-22FE-4EBF-93B0-EE2D7D5782A5}"/>
    <cellStyle name="Comma 8 2 3 2 2 16" xfId="17141" xr:uid="{F61AB946-CBA5-438A-BC43-790D93D1581F}"/>
    <cellStyle name="Comma 8 2 3 2 2 17" xfId="14287" xr:uid="{AFBCF307-E6D0-416A-B0D5-B32D2CBA8715}"/>
    <cellStyle name="Comma 8 2 3 2 2 2" xfId="5750" xr:uid="{33C80320-8D60-4BF8-A169-ED22F2F5A441}"/>
    <cellStyle name="Comma 8 2 3 2 2 2 10" xfId="14779" xr:uid="{0F7FC549-698B-4459-8020-9051915314D3}"/>
    <cellStyle name="Comma 8 2 3 2 2 2 2" xfId="10344" xr:uid="{DA71B4F5-A146-4115-920A-EFEA27B7296B}"/>
    <cellStyle name="Comma 8 2 3 2 2 2 2 2" xfId="13650" xr:uid="{D80B4A2E-A2DB-48CA-968C-8406742AC5C3}"/>
    <cellStyle name="Comma 8 2 3 2 2 2 2 2 2" xfId="48304" xr:uid="{36A1267D-3A91-4D87-A77A-19B934F07A8D}"/>
    <cellStyle name="Comma 8 2 3 2 2 2 2 3" xfId="51122" xr:uid="{5E2598C1-259B-478C-9B4D-A1B58E9E12B4}"/>
    <cellStyle name="Comma 8 2 3 2 2 2 2 4" xfId="53987" xr:uid="{BB31AC81-FABC-4C47-BE76-B14C0DA4B47C}"/>
    <cellStyle name="Comma 8 2 3 2 2 2 2 5" xfId="39702" xr:uid="{622A22FE-62BD-4C79-8FE0-BF649402171A}"/>
    <cellStyle name="Comma 8 2 3 2 2 2 3" xfId="7852" xr:uid="{3738EA44-1489-4933-ADBD-291B9E699B96}"/>
    <cellStyle name="Comma 8 2 3 2 2 2 3 2" xfId="41555" xr:uid="{E3D6D32A-1DB8-4203-AA1B-46CCDC217CF2}"/>
    <cellStyle name="Comma 8 2 3 2 2 2 4" xfId="12365" xr:uid="{F4B5CAD8-6AE7-4FC1-A062-F9BE36E6AC49}"/>
    <cellStyle name="Comma 8 2 3 2 2 2 4 2" xfId="43379" xr:uid="{5E859026-EF33-415B-BDAE-DD57D2EF64A8}"/>
    <cellStyle name="Comma 8 2 3 2 2 2 5" xfId="45463" xr:uid="{1D97F9F3-FE47-4AF6-A5E7-48BDBB30DC10}"/>
    <cellStyle name="Comma 8 2 3 2 2 2 6" xfId="46762" xr:uid="{5A3FF065-3344-4687-BB58-1DC0DB71B60C}"/>
    <cellStyle name="Comma 8 2 3 2 2 2 7" xfId="49794" xr:uid="{4B2414F0-E6AF-4526-9599-F79FCCE6B579}"/>
    <cellStyle name="Comma 8 2 3 2 2 2 8" xfId="53988" xr:uid="{40D71444-498B-4E74-B183-719FFB9F17D7}"/>
    <cellStyle name="Comma 8 2 3 2 2 2 9" xfId="21136" xr:uid="{4F32BC69-A9A4-4D1D-BF68-B51D28AE42A4}"/>
    <cellStyle name="Comma 8 2 3 2 2 3" xfId="11243" xr:uid="{452D6DCF-B771-42A2-975D-B3497F7079C1}"/>
    <cellStyle name="Comma 8 2 3 2 2 3 2" xfId="13805" xr:uid="{2687C3FD-9FAF-40D7-8F81-05F414DF1F8D}"/>
    <cellStyle name="Comma 8 2 3 2 2 3 2 2" xfId="51449" xr:uid="{317EC3DB-948F-4CAB-BA50-E86ADCD8E951}"/>
    <cellStyle name="Comma 8 2 3 2 2 3 2 3" xfId="53989" xr:uid="{C41B0FA9-D2B2-400C-857C-70E56D7B8663}"/>
    <cellStyle name="Comma 8 2 3 2 2 3 2 4" xfId="48694" xr:uid="{4D22B8B3-7FFF-4233-812C-3BB3F8E9DA60}"/>
    <cellStyle name="Comma 8 2 3 2 2 3 3" xfId="47131" xr:uid="{0A69B384-B888-4804-A8E5-7F2E9B82C8B1}"/>
    <cellStyle name="Comma 8 2 3 2 2 3 4" xfId="50121" xr:uid="{55B04A0B-0A5E-4A87-90E7-7E55D5910BB7}"/>
    <cellStyle name="Comma 8 2 3 2 2 3 5" xfId="53990" xr:uid="{492298F0-C6E9-4281-A32F-5755127D4A32}"/>
    <cellStyle name="Comma 8 2 3 2 2 3 6" xfId="20355" xr:uid="{8AE729C6-4615-4D18-AA0B-C1C8C416A479}"/>
    <cellStyle name="Comma 8 2 3 2 2 3 7" xfId="15094" xr:uid="{936CC733-E10B-430D-812C-128CB685E742}"/>
    <cellStyle name="Comma 8 2 3 2 2 4" xfId="9850" xr:uid="{8A60710F-2851-47D7-AA33-40116D67619F}"/>
    <cellStyle name="Comma 8 2 3 2 2 4 2" xfId="13156" xr:uid="{A6F73A74-803A-428E-94D9-2C3499E014F6}"/>
    <cellStyle name="Comma 8 2 3 2 2 4 2 2" xfId="51840" xr:uid="{207BC69F-3B8C-4F2C-8C54-6B6D0661C06A}"/>
    <cellStyle name="Comma 8 2 3 2 2 4 2 3" xfId="53991" xr:uid="{ABDE5899-5E2D-4B27-AB23-7DA276216389}"/>
    <cellStyle name="Comma 8 2 3 2 2 4 2 4" xfId="49160" xr:uid="{A90E6E89-AAC2-4333-BEA4-8FF9A2E85DE1}"/>
    <cellStyle name="Comma 8 2 3 2 2 4 3" xfId="47577" xr:uid="{21314527-C9D9-4F8F-A800-FC87F5F23BEF}"/>
    <cellStyle name="Comma 8 2 3 2 2 4 4" xfId="50512" xr:uid="{8CD42910-436A-4B30-A1F2-E686446FF480}"/>
    <cellStyle name="Comma 8 2 3 2 2 4 5" xfId="53992" xr:uid="{C64E4598-1352-4FA6-AC26-6F6D6568AE04}"/>
    <cellStyle name="Comma 8 2 3 2 2 4 6" xfId="24056" xr:uid="{2CD3210C-AC02-4629-A467-01D3CB7BD678}"/>
    <cellStyle name="Comma 8 2 3 2 2 5" xfId="7348" xr:uid="{47E8B67A-9274-4ABF-8172-7E87C655BD91}"/>
    <cellStyle name="Comma 8 2 3 2 2 5 2" xfId="47851" xr:uid="{94345278-44B9-4D5C-90CE-2601B41231E3}"/>
    <cellStyle name="Comma 8 2 3 2 2 5 3" xfId="50739" xr:uid="{198F6E95-78CD-4D0E-AA25-DFFC0EA0717D}"/>
    <cellStyle name="Comma 8 2 3 2 2 5 4" xfId="53993" xr:uid="{C2242D40-69A1-4B77-AA11-4A9969C925C1}"/>
    <cellStyle name="Comma 8 2 3 2 2 5 5" xfId="38553" xr:uid="{24B825C1-5C3A-47EB-A5C9-01F542A8FB5D}"/>
    <cellStyle name="Comma 8 2 3 2 2 6" xfId="11871" xr:uid="{BB0A1022-5C78-4FBD-AA01-65B2DD0C8631}"/>
    <cellStyle name="Comma 8 2 3 2 2 6 2" xfId="39111" xr:uid="{20181E9C-477B-4C15-A7BA-866B76035BAF}"/>
    <cellStyle name="Comma 8 2 3 2 2 7" xfId="40376" xr:uid="{17B701C6-7D95-472B-8C88-E0DB55AF598E}"/>
    <cellStyle name="Comma 8 2 3 2 2 8" xfId="41018" xr:uid="{575CECB9-A968-42E9-9A8E-430E0D9C46D2}"/>
    <cellStyle name="Comma 8 2 3 2 2 9" xfId="42230" xr:uid="{643A5A9E-C39D-4E24-9836-4671C17A892A}"/>
    <cellStyle name="Comma 8 2 3 2 3" xfId="5574" xr:uid="{B273C0D4-1913-4FC4-9C5D-9E3B7916C88D}"/>
    <cellStyle name="Comma 8 2 3 2 3 10" xfId="20650" xr:uid="{31AD8A3F-1BAA-4EC8-BDB6-565ABA3E97F9}"/>
    <cellStyle name="Comma 8 2 3 2 3 11" xfId="14111" xr:uid="{6412CB3F-7997-4D5C-80BF-60F6D382988D}"/>
    <cellStyle name="Comma 8 2 3 2 3 2" xfId="7676" xr:uid="{E12B9791-686C-4552-8591-66610D9AC11E}"/>
    <cellStyle name="Comma 8 2 3 2 3 2 2" xfId="10168" xr:uid="{5F25F4CB-48EE-45EC-951C-4A54EAC8DD80}"/>
    <cellStyle name="Comma 8 2 3 2 3 2 2 2" xfId="13474" xr:uid="{A5C5602D-1880-4F69-86B7-81230494A20A}"/>
    <cellStyle name="Comma 8 2 3 2 3 2 2 2 2" xfId="51700" xr:uid="{F6287B9D-5E24-4092-A4B1-6066BCB778FB}"/>
    <cellStyle name="Comma 8 2 3 2 3 2 2 3" xfId="53994" xr:uid="{40829832-BD9E-4A48-A7D2-B2B9EB70B1BF}"/>
    <cellStyle name="Comma 8 2 3 2 3 2 2 4" xfId="48988" xr:uid="{95C7D4FB-64A1-489F-B252-3C7C99DEE20B}"/>
    <cellStyle name="Comma 8 2 3 2 3 2 3" xfId="12189" xr:uid="{898FCA75-A2A9-4D35-8C6A-710938032A8F}"/>
    <cellStyle name="Comma 8 2 3 2 3 2 3 2" xfId="47412" xr:uid="{2C8C95EC-E448-414D-918A-5E3AF9AAED78}"/>
    <cellStyle name="Comma 8 2 3 2 3 2 4" xfId="50372" xr:uid="{721B59BF-E8AA-4D8C-BAD2-AC52D27762ED}"/>
    <cellStyle name="Comma 8 2 3 2 3 2 5" xfId="53995" xr:uid="{1DC8B5C5-56FD-46AC-BC6E-935F92E1B996}"/>
    <cellStyle name="Comma 8 2 3 2 3 2 6" xfId="39341" xr:uid="{4FEB57CF-0BCB-4E88-90BE-8AFA6CB2A550}"/>
    <cellStyle name="Comma 8 2 3 2 3 2 7" xfId="14603" xr:uid="{D3FB3E48-0899-49B2-9C8C-51EEF7920FAA}"/>
    <cellStyle name="Comma 8 2 3 2 3 3" xfId="9674" xr:uid="{8E651A11-758E-459B-A440-AC2153026671}"/>
    <cellStyle name="Comma 8 2 3 2 3 3 2" xfId="12980" xr:uid="{F9C46FD0-8327-412A-953F-422340594180}"/>
    <cellStyle name="Comma 8 2 3 2 3 3 2 2" xfId="48133" xr:uid="{92DBA4D5-F274-4142-88CD-8EFD20E397D2}"/>
    <cellStyle name="Comma 8 2 3 2 3 3 3" xfId="50982" xr:uid="{86EF88E0-7844-413D-96D3-5889304E261D}"/>
    <cellStyle name="Comma 8 2 3 2 3 3 4" xfId="53996" xr:uid="{0D133350-2D65-4B8F-9566-F5ED747F6365}"/>
    <cellStyle name="Comma 8 2 3 2 3 3 5" xfId="41199" xr:uid="{207F6045-F3F2-4786-97C2-EA0B55828ACC}"/>
    <cellStyle name="Comma 8 2 3 2 3 4" xfId="7170" xr:uid="{9FACF3D9-5CD9-4C65-9058-C274C0AD8825}"/>
    <cellStyle name="Comma 8 2 3 2 3 4 2" xfId="43018" xr:uid="{70B37B17-E9E5-4D03-8E5B-EA13322BDC7E}"/>
    <cellStyle name="Comma 8 2 3 2 3 5" xfId="11695" xr:uid="{52FD3ABD-6152-46BF-9118-053849E83829}"/>
    <cellStyle name="Comma 8 2 3 2 3 5 2" xfId="43863" xr:uid="{54EAA4D8-8B84-4F04-8AEE-1B33210DF276}"/>
    <cellStyle name="Comma 8 2 3 2 3 6" xfId="45119" xr:uid="{35B5C7B8-3104-45F2-BD36-CC5250BD7AC1}"/>
    <cellStyle name="Comma 8 2 3 2 3 7" xfId="46621" xr:uid="{A768D4A7-5593-4485-B946-2C56416B7D5E}"/>
    <cellStyle name="Comma 8 2 3 2 3 8" xfId="49654" xr:uid="{2D159F98-F1F3-4366-ACC1-23B0D69BCDAB}"/>
    <cellStyle name="Comma 8 2 3 2 3 9" xfId="53997" xr:uid="{5110C95A-5766-45D3-8CD6-CAC0BDFB886B}"/>
    <cellStyle name="Comma 8 2 3 2 4" xfId="6564" xr:uid="{3FB1EFCB-1BFA-40F9-BC31-2CF283777850}"/>
    <cellStyle name="Comma 8 2 3 2 4 2" xfId="9536" xr:uid="{FFF10627-DED5-491A-B4BE-821DB47CCA84}"/>
    <cellStyle name="Comma 8 2 3 2 4 2 2" xfId="12842" xr:uid="{78D8666E-BD8A-4F33-B9ED-5CC835910758}"/>
    <cellStyle name="Comma 8 2 3 2 4 2 2 2" xfId="50867" xr:uid="{7E2CB12E-DED2-4EA8-BA30-1CAF52701BEE}"/>
    <cellStyle name="Comma 8 2 3 2 4 2 3" xfId="53998" xr:uid="{2028AF92-EBA3-45F2-99B4-6C369E929E86}"/>
    <cellStyle name="Comma 8 2 3 2 4 2 4" xfId="47998" xr:uid="{7A418A7B-2203-4921-8387-762805FB0456}"/>
    <cellStyle name="Comma 8 2 3 2 4 3" xfId="11557" xr:uid="{5575E93F-1FEE-444A-BAE6-8FDD3C05C871}"/>
    <cellStyle name="Comma 8 2 3 2 4 3 2" xfId="46203" xr:uid="{1D45226C-694A-4E6B-B2C8-D0B523B34C37}"/>
    <cellStyle name="Comma 8 2 3 2 4 4" xfId="49539" xr:uid="{AE68AC1C-CD76-4CC4-8E6B-37F5BBEBBD54}"/>
    <cellStyle name="Comma 8 2 3 2 4 5" xfId="53999" xr:uid="{DECECD18-906C-4E92-8A9B-D72479CE861D}"/>
    <cellStyle name="Comma 8 2 3 2 4 6" xfId="19994" xr:uid="{49188C99-BF39-4279-9FA4-9756A5CAB505}"/>
    <cellStyle name="Comma 8 2 3 2 4 7" xfId="14465" xr:uid="{6A9C30D7-2CC1-4D81-9135-BC44B33EED2C}"/>
    <cellStyle name="Comma 8 2 3 2 5" xfId="7538" xr:uid="{5B20FFD6-92A8-4C6A-A223-A1BB5A5D27F0}"/>
    <cellStyle name="Comma 8 2 3 2 5 2" xfId="10030" xr:uid="{0AE9D16D-3915-418C-B944-79EF3B315E04}"/>
    <cellStyle name="Comma 8 2 3 2 5 2 2" xfId="13336" xr:uid="{9FEFF204-C9FA-4635-AD6E-1085590554AF}"/>
    <cellStyle name="Comma 8 2 3 2 5 2 2 2" xfId="51329" xr:uid="{66C33D76-9F21-4456-B04B-68381A8DD397}"/>
    <cellStyle name="Comma 8 2 3 2 5 2 3" xfId="54000" xr:uid="{51A1532D-386A-4E6C-849F-A5CB91CF61F3}"/>
    <cellStyle name="Comma 8 2 3 2 5 2 4" xfId="48543" xr:uid="{ABCCEB39-7D2A-40C7-A303-11F15E9B8B72}"/>
    <cellStyle name="Comma 8 2 3 2 5 3" xfId="12051" xr:uid="{89193A4C-2E76-4ADF-84C9-7AF1B275457F}"/>
    <cellStyle name="Comma 8 2 3 2 5 3 2" xfId="46982" xr:uid="{51B7FC04-E53E-45A0-91CF-BB3529AC3B00}"/>
    <cellStyle name="Comma 8 2 3 2 5 4" xfId="50001" xr:uid="{DB32CC25-8D29-4871-ACE6-3142431AFCEE}"/>
    <cellStyle name="Comma 8 2 3 2 5 5" xfId="54001" xr:uid="{71B6C962-2DCB-4A7C-A204-695230A2952A}"/>
    <cellStyle name="Comma 8 2 3 2 5 6" xfId="24055" xr:uid="{DF3E7B16-5C3A-498A-90CB-C0A77D6EF892}"/>
    <cellStyle name="Comma 8 2 3 2 5 7" xfId="14918" xr:uid="{140D1047-B61A-4BFD-8BA5-93BB2788C74D}"/>
    <cellStyle name="Comma 8 2 3 2 6" xfId="8204" xr:uid="{C057B7EB-93A9-4D96-ADCD-C7FB32FCF5D6}"/>
    <cellStyle name="Comma 8 2 3 2 6 2" xfId="12660" xr:uid="{1302A275-14F1-4583-8DED-D5326BFC0769}"/>
    <cellStyle name="Comma 8 2 3 2 6 2 2" xfId="51585" xr:uid="{57E721CD-60E2-47DC-A4A4-E78066545ED9}"/>
    <cellStyle name="Comma 8 2 3 2 6 2 3" xfId="54002" xr:uid="{72B37053-AC52-4E1F-BE44-C7B529E79D19}"/>
    <cellStyle name="Comma 8 2 3 2 6 2 4" xfId="48850" xr:uid="{FE60652F-B3A5-4803-8A8F-00C239F7D3E5}"/>
    <cellStyle name="Comma 8 2 3 2 6 3" xfId="47279" xr:uid="{AC0968F2-B0C8-4910-B372-3E9DE72D03AD}"/>
    <cellStyle name="Comma 8 2 3 2 6 4" xfId="50257" xr:uid="{4F250679-A993-4457-875A-D6A0A9621B0F}"/>
    <cellStyle name="Comma 8 2 3 2 6 5" xfId="54003" xr:uid="{9181FCF9-D6CC-407C-9DEF-F0AD8AD79BFC}"/>
    <cellStyle name="Comma 8 2 3 2 6 6" xfId="38552" xr:uid="{266044E1-C168-42B5-A00F-1320C03F7925}"/>
    <cellStyle name="Comma 8 2 3 2 7" xfId="7991" xr:uid="{39DCB9DD-04CA-4BA1-AF13-50813F6EF2F5}"/>
    <cellStyle name="Comma 8 2 3 2 7 2" xfId="12504" xr:uid="{F3130B3D-808A-4B9A-9B7A-025E3F7EE2F0}"/>
    <cellStyle name="Comma 8 2 3 2 7 2 2" xfId="47714" xr:uid="{F977ABA2-1816-40BB-BD32-4435499EAEB6}"/>
    <cellStyle name="Comma 8 2 3 2 7 3" xfId="50622" xr:uid="{EA6DF2FC-223E-48FB-8BC3-68C09CA770B1}"/>
    <cellStyle name="Comma 8 2 3 2 7 4" xfId="54004" xr:uid="{A55B620D-CE69-4745-9A68-4B4F5D576447}"/>
    <cellStyle name="Comma 8 2 3 2 7 5" xfId="38750" xr:uid="{E256BBE7-7128-45CD-BE11-BAD82C59C8B2}"/>
    <cellStyle name="Comma 8 2 3 2 8" xfId="5888" xr:uid="{756ED166-963B-4417-998B-D06E5BED64CB}"/>
    <cellStyle name="Comma 8 2 3 2 8 2" xfId="40375" xr:uid="{48A26B59-1D81-4774-B0D3-CF123A9BCE41}"/>
    <cellStyle name="Comma 8 2 3 2 9" xfId="11376" xr:uid="{DF5DE22A-D182-46D2-BEE6-42BB074D9AA9}"/>
    <cellStyle name="Comma 8 2 3 2 9 2" xfId="41017" xr:uid="{3026A18C-57BF-405E-9C20-CE717C1D733C}"/>
    <cellStyle name="Comma 8 2 3 20" xfId="13863" xr:uid="{7C1EF710-8CB3-41A9-A649-518FBA2F447B}"/>
    <cellStyle name="Comma 8 2 3 3" xfId="1818" xr:uid="{53FE37FC-3A0A-4ADC-83CF-514DEA540B5F}"/>
    <cellStyle name="Comma 8 2 3 3 10" xfId="42787" xr:uid="{3FD195F0-6264-4018-8238-691D2BABD456}"/>
    <cellStyle name="Comma 8 2 3 3 11" xfId="43591" xr:uid="{6EDC45C9-4E17-46EC-841C-583B696E41DC}"/>
    <cellStyle name="Comma 8 2 3 3 12" xfId="44454" xr:uid="{7C2E73F7-725B-42AD-8651-943926683F66}"/>
    <cellStyle name="Comma 8 2 3 3 13" xfId="45756" xr:uid="{918D057A-9CA5-450F-A20D-AFA60BE3E013}"/>
    <cellStyle name="Comma 8 2 3 3 14" xfId="49384" xr:uid="{C543F2E9-6A17-4B37-BD21-9E6FA7E4D7EC}"/>
    <cellStyle name="Comma 8 2 3 3 15" xfId="54005" xr:uid="{1602819E-74B1-45D9-9F95-18B1CD3C813F}"/>
    <cellStyle name="Comma 8 2 3 3 16" xfId="17140" xr:uid="{72D3B2BA-3016-467D-B00B-D97AA615C358}"/>
    <cellStyle name="Comma 8 2 3 3 17" xfId="13974" xr:uid="{A279E7C9-D031-4951-A7DF-E3952C74D3C6}"/>
    <cellStyle name="Comma 8 2 3 3 2" xfId="4494" xr:uid="{D24E1A72-B32D-4C56-BC1C-4B04A9B1A65F}"/>
    <cellStyle name="Comma 8 2 3 3 2 10" xfId="21135" xr:uid="{8369C60A-638C-40BE-9F0F-D410915FA6D5}"/>
    <cellStyle name="Comma 8 2 3 3 2 11" xfId="14288" xr:uid="{696A9530-9417-435A-AE63-D68C608C0452}"/>
    <cellStyle name="Comma 8 2 3 3 2 2" xfId="5751" xr:uid="{9D2E40E5-F752-4627-9C15-675DD41A500B}"/>
    <cellStyle name="Comma 8 2 3 3 2 2 2" xfId="10345" xr:uid="{6CD3AB43-2AD4-4BE9-8A6B-861205C7152B}"/>
    <cellStyle name="Comma 8 2 3 3 2 2 2 2" xfId="13651" xr:uid="{43B17492-E4FD-4AA6-877F-4EC164EFAF45}"/>
    <cellStyle name="Comma 8 2 3 3 2 2 2 2 2" xfId="51450" xr:uid="{89009CA5-233F-4D27-8807-282989F7DFDE}"/>
    <cellStyle name="Comma 8 2 3 3 2 2 2 3" xfId="54006" xr:uid="{60F0AFE3-1F41-442C-9C8F-32457C499930}"/>
    <cellStyle name="Comma 8 2 3 3 2 2 2 4" xfId="48695" xr:uid="{403AA370-4C0A-4F37-8861-ACFA75C32E6D}"/>
    <cellStyle name="Comma 8 2 3 3 2 2 3" xfId="7853" xr:uid="{43E95EA9-71EC-40A5-BD7E-BC7E7DAAFFB6}"/>
    <cellStyle name="Comma 8 2 3 3 2 2 3 2" xfId="47132" xr:uid="{3708C993-BF58-48E8-BF3D-4BB0F9A14A72}"/>
    <cellStyle name="Comma 8 2 3 3 2 2 4" xfId="12366" xr:uid="{C0FC3063-7E0F-40F3-99F4-D83FA559DBD2}"/>
    <cellStyle name="Comma 8 2 3 3 2 2 4 2" xfId="50122" xr:uid="{745B2729-147E-40FF-A408-8692082C9242}"/>
    <cellStyle name="Comma 8 2 3 3 2 2 5" xfId="54007" xr:uid="{0FA60D88-81AB-4C9F-9172-92A2C10AC48A}"/>
    <cellStyle name="Comma 8 2 3 3 2 2 6" xfId="39701" xr:uid="{3150E16E-3700-4011-A0F6-E627D22F9B24}"/>
    <cellStyle name="Comma 8 2 3 3 2 2 7" xfId="14780" xr:uid="{5393E0FE-994F-42F3-AF2A-0BBC11E791DF}"/>
    <cellStyle name="Comma 8 2 3 3 2 3" xfId="9851" xr:uid="{A8F093F1-6B3A-43F8-92FD-E201313FBA33}"/>
    <cellStyle name="Comma 8 2 3 3 2 3 2" xfId="13157" xr:uid="{554CAAF2-AEF1-4601-91B7-170A5849F5F3}"/>
    <cellStyle name="Comma 8 2 3 3 2 3 2 2" xfId="51841" xr:uid="{7609E7D9-C365-4036-B9EC-A3E3321A73F7}"/>
    <cellStyle name="Comma 8 2 3 3 2 3 2 3" xfId="54008" xr:uid="{0D89B5C3-DB79-4AB7-BB36-434233869977}"/>
    <cellStyle name="Comma 8 2 3 3 2 3 2 4" xfId="49161" xr:uid="{45F043AD-72D0-49E7-81E0-322A5F3F9141}"/>
    <cellStyle name="Comma 8 2 3 3 2 3 3" xfId="47578" xr:uid="{96DCEA3E-F88B-4477-A55A-EE01C26492F1}"/>
    <cellStyle name="Comma 8 2 3 3 2 3 4" xfId="50513" xr:uid="{755A7F6A-FC14-43A4-93A9-9AA841F08164}"/>
    <cellStyle name="Comma 8 2 3 3 2 3 5" xfId="54009" xr:uid="{C2B96BB6-B23F-4817-85D9-96FE4B31F2C6}"/>
    <cellStyle name="Comma 8 2 3 3 2 3 6" xfId="41554" xr:uid="{01BBFD93-C445-43F1-8C18-14E5DA6AB453}"/>
    <cellStyle name="Comma 8 2 3 3 2 3 7" xfId="15095" xr:uid="{3B57CFBC-A043-4A4C-8F41-37D5BAFFDD6A}"/>
    <cellStyle name="Comma 8 2 3 3 2 4" xfId="7349" xr:uid="{F19B416A-36BA-4CE1-AFA1-0BEB1CF4E426}"/>
    <cellStyle name="Comma 8 2 3 3 2 4 2" xfId="48305" xr:uid="{5AFFC39F-7139-469A-821A-AB4487AF2BB6}"/>
    <cellStyle name="Comma 8 2 3 3 2 4 3" xfId="51123" xr:uid="{651EFB1E-8D00-40B5-804C-6F3C6B7DC630}"/>
    <cellStyle name="Comma 8 2 3 3 2 4 4" xfId="54010" xr:uid="{C66B520B-ED9E-47AA-9715-30F808DF2E10}"/>
    <cellStyle name="Comma 8 2 3 3 2 4 5" xfId="43378" xr:uid="{AB65A888-57D6-4DF4-9EA9-89F6F7365CBE}"/>
    <cellStyle name="Comma 8 2 3 3 2 5" xfId="11872" xr:uid="{3896B025-8947-470E-9CA3-E7FE766CD426}"/>
    <cellStyle name="Comma 8 2 3 3 2 5 2" xfId="44295" xr:uid="{6D811C17-D484-48CE-8376-3FC31D0DFB48}"/>
    <cellStyle name="Comma 8 2 3 3 2 6" xfId="44595" xr:uid="{C750E437-4626-45AD-949D-143DFCC237E6}"/>
    <cellStyle name="Comma 8 2 3 3 2 7" xfId="46763" xr:uid="{813884A0-B825-45C0-9351-98764FEDB9C9}"/>
    <cellStyle name="Comma 8 2 3 3 2 8" xfId="49795" xr:uid="{117EC424-4183-4E1F-A72D-05F77A0036D0}"/>
    <cellStyle name="Comma 8 2 3 3 2 9" xfId="54011" xr:uid="{02E5266D-D7E4-4253-9161-072176054F31}"/>
    <cellStyle name="Comma 8 2 3 3 3" xfId="5575" xr:uid="{816A50E5-9E28-4D30-8D7C-6B4E6CA12EE5}"/>
    <cellStyle name="Comma 8 2 3 3 3 2" xfId="7677" xr:uid="{931FB90F-2C67-4BD7-BD9C-9ABCCB16F2F6}"/>
    <cellStyle name="Comma 8 2 3 3 3 2 2" xfId="10169" xr:uid="{8787BD26-5E40-4EDA-8BB3-CA1F4C5EC251}"/>
    <cellStyle name="Comma 8 2 3 3 3 2 2 2" xfId="13475" xr:uid="{D1465ECE-47D4-4234-82E2-9A22C3FCFB4B}"/>
    <cellStyle name="Comma 8 2 3 3 3 2 2 2 2" xfId="51701" xr:uid="{9237D651-A98B-456E-8C08-FC83E5FBA30F}"/>
    <cellStyle name="Comma 8 2 3 3 3 2 2 3" xfId="54012" xr:uid="{2C4765DB-F66C-45C3-B9D0-6F092A28B965}"/>
    <cellStyle name="Comma 8 2 3 3 3 2 2 4" xfId="48989" xr:uid="{9ACFF916-E509-4406-A05A-E57AE7108EB4}"/>
    <cellStyle name="Comma 8 2 3 3 3 2 3" xfId="12190" xr:uid="{ACCE8BE5-3CC0-4A0A-8C70-BEC5BF045CDE}"/>
    <cellStyle name="Comma 8 2 3 3 3 2 3 2" xfId="47413" xr:uid="{016046F3-A889-455D-B1C9-D7F4499DBB8B}"/>
    <cellStyle name="Comma 8 2 3 3 3 2 4" xfId="50373" xr:uid="{CED9EB50-AA5A-41A5-A27B-9EA75A4E1A8B}"/>
    <cellStyle name="Comma 8 2 3 3 3 2 5" xfId="54013" xr:uid="{E58CF2A9-92A1-49A5-96B4-5F07F54E8469}"/>
    <cellStyle name="Comma 8 2 3 3 3 2 6" xfId="43864" xr:uid="{005BAA41-7FBF-4897-981F-7209E58D7886}"/>
    <cellStyle name="Comma 8 2 3 3 3 2 7" xfId="14604" xr:uid="{4E2C2F1F-CCE9-445C-89D4-74D7D36781E5}"/>
    <cellStyle name="Comma 8 2 3 3 3 3" xfId="9675" xr:uid="{63214DA2-A5F6-44D1-876B-39F86EEBFC33}"/>
    <cellStyle name="Comma 8 2 3 3 3 3 2" xfId="12981" xr:uid="{BC4D8C82-D3A2-450B-901B-E9C8D32D0DA1}"/>
    <cellStyle name="Comma 8 2 3 3 3 3 2 2" xfId="50983" xr:uid="{9A89B2D1-2A09-48B2-9751-26F433CEB6C6}"/>
    <cellStyle name="Comma 8 2 3 3 3 3 3" xfId="54014" xr:uid="{6FC02EEF-0B39-49A1-B2C0-728513796587}"/>
    <cellStyle name="Comma 8 2 3 3 3 3 4" xfId="48134" xr:uid="{932B888E-AA80-4BAA-87C8-4AE77977910B}"/>
    <cellStyle name="Comma 8 2 3 3 3 4" xfId="7171" xr:uid="{FE3B5C99-B88E-450A-9079-412B916BEC3A}"/>
    <cellStyle name="Comma 8 2 3 3 3 4 2" xfId="46622" xr:uid="{9445F74E-02F8-47A2-BBD9-5444C3A4A3FF}"/>
    <cellStyle name="Comma 8 2 3 3 3 5" xfId="11696" xr:uid="{CC526B79-2991-42CD-993E-88FD4F104B3C}"/>
    <cellStyle name="Comma 8 2 3 3 3 5 2" xfId="49655" xr:uid="{459239BF-F69E-468B-BEDF-CC75CD14F5BD}"/>
    <cellStyle name="Comma 8 2 3 3 3 6" xfId="54015" xr:uid="{B20A5A82-65B6-42A0-BF55-6BFD894FE70A}"/>
    <cellStyle name="Comma 8 2 3 3 3 7" xfId="20354" xr:uid="{46849B7B-EB7D-4A5D-B678-FAAF30F1925F}"/>
    <cellStyle name="Comma 8 2 3 3 3 8" xfId="14112" xr:uid="{0197172D-CDEE-414F-BE81-12453A02F491}"/>
    <cellStyle name="Comma 8 2 3 3 4" xfId="6565" xr:uid="{D4C13B7A-CCB3-469F-82F6-EB12AB1E716F}"/>
    <cellStyle name="Comma 8 2 3 3 4 2" xfId="9537" xr:uid="{828FCF9D-1AE4-46F2-8FC1-56BC766B81C8}"/>
    <cellStyle name="Comma 8 2 3 3 4 2 2" xfId="12843" xr:uid="{720A8570-EEE6-4619-8E93-6804FACC9B5B}"/>
    <cellStyle name="Comma 8 2 3 3 4 2 2 2" xfId="50868" xr:uid="{FDC7EC60-E266-404C-9805-556DCF2A37F4}"/>
    <cellStyle name="Comma 8 2 3 3 4 2 3" xfId="54016" xr:uid="{9ED4CCCA-64B0-4035-8C7F-CF7FC11812CC}"/>
    <cellStyle name="Comma 8 2 3 3 4 2 4" xfId="47999" xr:uid="{1B7B5262-756E-4008-B99F-FE8DFE06E6FC}"/>
    <cellStyle name="Comma 8 2 3 3 4 3" xfId="11558" xr:uid="{A10248F7-10CA-43E8-889F-732E4F26BEAF}"/>
    <cellStyle name="Comma 8 2 3 3 4 3 2" xfId="46204" xr:uid="{A4966F1D-4885-4EE7-9D81-A0570515F438}"/>
    <cellStyle name="Comma 8 2 3 3 4 4" xfId="49540" xr:uid="{15E6AD9A-16D5-48AE-A5CB-567B93AA75BE}"/>
    <cellStyle name="Comma 8 2 3 3 4 5" xfId="54017" xr:uid="{D4245786-0412-4509-A58C-8F9526A39319}"/>
    <cellStyle name="Comma 8 2 3 3 4 6" xfId="24057" xr:uid="{C30F0424-D422-4F95-A779-034CA7AB1FCC}"/>
    <cellStyle name="Comma 8 2 3 3 4 7" xfId="14466" xr:uid="{31232715-B525-4DFD-B555-44AF6A4720BE}"/>
    <cellStyle name="Comma 8 2 3 3 5" xfId="7539" xr:uid="{F51A64B9-13B3-4C89-9E76-ACAED29CB792}"/>
    <cellStyle name="Comma 8 2 3 3 5 2" xfId="10031" xr:uid="{E51D9FA9-EC1B-48A9-BB65-9D00B11E469B}"/>
    <cellStyle name="Comma 8 2 3 3 5 2 2" xfId="13337" xr:uid="{B0F0CB84-0D18-4DFD-8A16-2F67DB3BAFA1}"/>
    <cellStyle name="Comma 8 2 3 3 5 2 2 2" xfId="51330" xr:uid="{0FB4F870-45EC-45C7-87C0-D465DFFBF8B8}"/>
    <cellStyle name="Comma 8 2 3 3 5 2 3" xfId="54018" xr:uid="{2E06F67B-7CFA-4A2D-84BE-AC164040527D}"/>
    <cellStyle name="Comma 8 2 3 3 5 2 4" xfId="48544" xr:uid="{E69D553A-5FBC-4345-A431-AEF6D94BDB39}"/>
    <cellStyle name="Comma 8 2 3 3 5 3" xfId="12052" xr:uid="{764BED57-0C7D-435E-B62E-8CF7826F2822}"/>
    <cellStyle name="Comma 8 2 3 3 5 3 2" xfId="46983" xr:uid="{76D6021E-6DC6-42F6-8055-40C4F2C3CADA}"/>
    <cellStyle name="Comma 8 2 3 3 5 4" xfId="50002" xr:uid="{F7B31D6F-62D6-44DA-8CF0-A24881E573DA}"/>
    <cellStyle name="Comma 8 2 3 3 5 5" xfId="54019" xr:uid="{720DA468-BB84-4428-AAA7-707AD0F08A53}"/>
    <cellStyle name="Comma 8 2 3 3 5 6" xfId="38554" xr:uid="{ED64DB7F-5EA9-4919-A577-0CF83C0C1247}"/>
    <cellStyle name="Comma 8 2 3 3 5 7" xfId="14919" xr:uid="{AD1E8007-B8F0-4023-83FD-6E6766AFCB7E}"/>
    <cellStyle name="Comma 8 2 3 3 6" xfId="8205" xr:uid="{61848439-3F01-4D72-8C12-6A19D5824BBE}"/>
    <cellStyle name="Comma 8 2 3 3 6 2" xfId="12661" xr:uid="{1EF20D13-F3C8-4D36-9BAC-DFCFF4EEE8C9}"/>
    <cellStyle name="Comma 8 2 3 3 6 2 2" xfId="51586" xr:uid="{FF7488A7-48E5-4BC9-BCB7-9C11365F04EB}"/>
    <cellStyle name="Comma 8 2 3 3 6 2 3" xfId="54020" xr:uid="{92BCC4A5-4EC4-476E-A0B0-94EC6E4EE6D8}"/>
    <cellStyle name="Comma 8 2 3 3 6 2 4" xfId="48851" xr:uid="{E69054A7-75B9-473D-AB14-A8D5E0D14AA4}"/>
    <cellStyle name="Comma 8 2 3 3 6 3" xfId="47280" xr:uid="{8D7392E8-4DD0-4606-9E71-983BFEB51BA2}"/>
    <cellStyle name="Comma 8 2 3 3 6 4" xfId="50258" xr:uid="{B4EB421A-8F07-4D04-938F-AA018913C4C5}"/>
    <cellStyle name="Comma 8 2 3 3 6 5" xfId="54021" xr:uid="{830E833F-68CF-45A5-93D1-5B4D09140AD3}"/>
    <cellStyle name="Comma 8 2 3 3 6 6" xfId="39110" xr:uid="{06212624-03D9-4E76-BCF5-13F8DB40618C}"/>
    <cellStyle name="Comma 8 2 3 3 7" xfId="7992" xr:uid="{75806BC6-C480-497F-BF65-6B6438817B50}"/>
    <cellStyle name="Comma 8 2 3 3 7 2" xfId="12505" xr:uid="{7F73DC82-8FAC-4372-B390-EB83FDF69B3B}"/>
    <cellStyle name="Comma 8 2 3 3 7 2 2" xfId="47824" xr:uid="{C2E970CD-40FE-4601-9764-1F61C60C317E}"/>
    <cellStyle name="Comma 8 2 3 3 7 3" xfId="50712" xr:uid="{2E4E2474-2839-4543-846D-979D8E6AF2D3}"/>
    <cellStyle name="Comma 8 2 3 3 7 4" xfId="54022" xr:uid="{48972C37-528D-4732-98C0-09E3613C7B5A}"/>
    <cellStyle name="Comma 8 2 3 3 7 5" xfId="40377" xr:uid="{B1E55F5B-82CE-42AE-B726-4485FDFD8B92}"/>
    <cellStyle name="Comma 8 2 3 3 8" xfId="5889" xr:uid="{ADCC9E8C-2422-4465-8535-02D0EEEE875C}"/>
    <cellStyle name="Comma 8 2 3 3 8 2" xfId="41019" xr:uid="{3252D1EE-0ABA-4C41-9F15-9A41004BF22E}"/>
    <cellStyle name="Comma 8 2 3 3 9" xfId="11377" xr:uid="{75BA1BC9-FA55-44CA-A05D-93068793A5B3}"/>
    <cellStyle name="Comma 8 2 3 3 9 2" xfId="42231" xr:uid="{052F25F2-C63C-4C94-92CD-0EE561B136C3}"/>
    <cellStyle name="Comma 8 2 3 4" xfId="4492" xr:uid="{1046DE76-5E26-4FC9-97C7-F047FE61DFEB}"/>
    <cellStyle name="Comma 8 2 3 4 10" xfId="42862" xr:uid="{DB5067A1-7826-4488-90A2-0A572A391275}"/>
    <cellStyle name="Comma 8 2 3 4 11" xfId="43589" xr:uid="{158B995A-D2FD-4DEC-A76A-9DDEE0C67FF1}"/>
    <cellStyle name="Comma 8 2 3 4 12" xfId="44593" xr:uid="{AE2E3EF2-9DCE-44EE-A636-4309C759E708}"/>
    <cellStyle name="Comma 8 2 3 4 13" xfId="45739" xr:uid="{138F810F-F983-4386-B745-73F980BAABD7}"/>
    <cellStyle name="Comma 8 2 3 4 14" xfId="49367" xr:uid="{4B24ED96-3BC6-449B-8600-E2E8C7BDACBA}"/>
    <cellStyle name="Comma 8 2 3 4 15" xfId="54023" xr:uid="{282E0C62-0872-47FB-BF0D-CC32C907CC6B}"/>
    <cellStyle name="Comma 8 2 3 4 16" xfId="19768" xr:uid="{434DB736-7AC3-4411-8974-FB68F732D2FC}"/>
    <cellStyle name="Comma 8 2 3 4 17" xfId="13972" xr:uid="{0DC2E90A-E6E7-405B-999B-1474AF1ECEF6}"/>
    <cellStyle name="Comma 8 2 3 4 2" xfId="5749" xr:uid="{FB8C29D6-48EF-4818-9998-C1A7854CFE6D}"/>
    <cellStyle name="Comma 8 2 3 4 2 10" xfId="23385" xr:uid="{027BBB19-DEB6-445F-92D3-2C203A376C59}"/>
    <cellStyle name="Comma 8 2 3 4 2 11" xfId="14286" xr:uid="{7D256E2E-CE8C-4731-B186-783455A7FD92}"/>
    <cellStyle name="Comma 8 2 3 4 2 2" xfId="7851" xr:uid="{B26CE441-D20B-473E-871F-32821CE5BF0B}"/>
    <cellStyle name="Comma 8 2 3 4 2 2 2" xfId="10343" xr:uid="{DA1EC833-0CDD-4B2A-835C-8BA8B00D5661}"/>
    <cellStyle name="Comma 8 2 3 4 2 2 2 2" xfId="13649" xr:uid="{4F9EC353-09D0-4B5B-9B18-A626E2AF6E7A}"/>
    <cellStyle name="Comma 8 2 3 4 2 2 2 2 2" xfId="51839" xr:uid="{F5E42036-B9CA-4C91-AE39-5163E4CECFA5}"/>
    <cellStyle name="Comma 8 2 3 4 2 2 2 3" xfId="54024" xr:uid="{FF9E32EC-D7D7-455D-B8D5-DBF727F5A2AD}"/>
    <cellStyle name="Comma 8 2 3 4 2 2 2 4" xfId="49159" xr:uid="{DE6E2F37-7545-4565-9F50-675392AE1B96}"/>
    <cellStyle name="Comma 8 2 3 4 2 2 3" xfId="12364" xr:uid="{90F42724-D671-4AF7-83E7-ECC616701686}"/>
    <cellStyle name="Comma 8 2 3 4 2 2 3 2" xfId="47576" xr:uid="{F86960D9-349B-4328-A101-F9D95D6E4A25}"/>
    <cellStyle name="Comma 8 2 3 4 2 2 4" xfId="50511" xr:uid="{52167F75-569F-48F8-93C1-54540D8002F6}"/>
    <cellStyle name="Comma 8 2 3 4 2 2 5" xfId="54025" xr:uid="{09A02201-95E6-4B4F-9ADC-74299E563256}"/>
    <cellStyle name="Comma 8 2 3 4 2 2 6" xfId="39776" xr:uid="{AB70CB7B-345F-4366-B3B8-04316C0C778F}"/>
    <cellStyle name="Comma 8 2 3 4 2 2 7" xfId="14778" xr:uid="{0C9E1C48-91B3-47E7-975E-36AD3643D508}"/>
    <cellStyle name="Comma 8 2 3 4 2 3" xfId="9849" xr:uid="{B0B2D0C7-B60D-4584-BD70-9D942903D713}"/>
    <cellStyle name="Comma 8 2 3 4 2 3 2" xfId="13155" xr:uid="{B8D1E0BB-3FBD-4234-9AB7-9A3EFE26CFED}"/>
    <cellStyle name="Comma 8 2 3 4 2 3 2 2" xfId="48303" xr:uid="{552EB70F-2E30-4FB9-B9C7-69C50B57D8C0}"/>
    <cellStyle name="Comma 8 2 3 4 2 3 3" xfId="51121" xr:uid="{1FC9D5B4-82EF-4335-9DBE-A8C2EFA3AC5E}"/>
    <cellStyle name="Comma 8 2 3 4 2 3 4" xfId="54026" xr:uid="{EA1A93EE-3724-4F17-876F-3283CDADA159}"/>
    <cellStyle name="Comma 8 2 3 4 2 3 5" xfId="41629" xr:uid="{EBEC6415-1766-4951-8380-494046C3C3CE}"/>
    <cellStyle name="Comma 8 2 3 4 2 4" xfId="7347" xr:uid="{9B2FE2B6-49F7-43AC-A21A-350D79A277F6}"/>
    <cellStyle name="Comma 8 2 3 4 2 4 2" xfId="43453" xr:uid="{2DF2E871-54FD-45E7-8AA5-36B84058DC31}"/>
    <cellStyle name="Comma 8 2 3 4 2 5" xfId="11870" xr:uid="{2A1209F0-C594-4CA8-8249-99E1DA218E8D}"/>
    <cellStyle name="Comma 8 2 3 4 2 5 2" xfId="44293" xr:uid="{7E60D703-F130-4A4E-8FF3-4AA8F51721C1}"/>
    <cellStyle name="Comma 8 2 3 4 2 6" xfId="45528" xr:uid="{BC7FA0B1-27D3-4397-8648-F5D1EBEC4501}"/>
    <cellStyle name="Comma 8 2 3 4 2 7" xfId="46761" xr:uid="{934A1852-AB4B-4EFC-9B3C-9C2703D409A3}"/>
    <cellStyle name="Comma 8 2 3 4 2 8" xfId="49793" xr:uid="{89DA5614-AF4A-49F3-AFF9-070ABC4DAC79}"/>
    <cellStyle name="Comma 8 2 3 4 2 9" xfId="54027" xr:uid="{B09F4E49-D284-42D9-959D-A48A36DE4513}"/>
    <cellStyle name="Comma 8 2 3 4 3" xfId="7537" xr:uid="{EF712B2E-4DA6-4131-9B3F-384ADD2F588C}"/>
    <cellStyle name="Comma 8 2 3 4 3 2" xfId="10029" xr:uid="{5F1C47A3-A3EC-436F-B4D7-BE8D06739F17}"/>
    <cellStyle name="Comma 8 2 3 4 3 2 2" xfId="13335" xr:uid="{EC617251-D8B6-4734-8609-C9F6E11DD602}"/>
    <cellStyle name="Comma 8 2 3 4 3 2 2 2" xfId="50866" xr:uid="{D33ABDB9-2B3B-453F-A881-D5001D6941CA}"/>
    <cellStyle name="Comma 8 2 3 4 3 2 3" xfId="54028" xr:uid="{6B038183-E2E6-4688-B54E-7EB2427DB3ED}"/>
    <cellStyle name="Comma 8 2 3 4 3 2 4" xfId="47997" xr:uid="{353669DA-2E4F-4E10-9F03-05F9471E90E9}"/>
    <cellStyle name="Comma 8 2 3 4 3 3" xfId="12050" xr:uid="{E4627FB9-FAF3-4C80-9488-3B2F8A8D2218}"/>
    <cellStyle name="Comma 8 2 3 4 3 3 2" xfId="46202" xr:uid="{03D48D82-A9A2-4951-A2BA-A99E03B32B92}"/>
    <cellStyle name="Comma 8 2 3 4 3 4" xfId="49538" xr:uid="{759F36FC-01A0-475B-B233-2709988A8D03}"/>
    <cellStyle name="Comma 8 2 3 4 3 5" xfId="54029" xr:uid="{6878578D-7F2C-482F-A7B4-65044571F8D1}"/>
    <cellStyle name="Comma 8 2 3 4 3 6" xfId="20429" xr:uid="{A36DFD7B-9290-4A99-AA9C-037586DA5F1E}"/>
    <cellStyle name="Comma 8 2 3 4 3 7" xfId="14464" xr:uid="{B2FC97D2-E2FB-47D7-AABF-2EF5482C22FC}"/>
    <cellStyle name="Comma 8 2 3 4 4" xfId="11168" xr:uid="{6941BE3A-E72E-4509-9B29-585580C2965A}"/>
    <cellStyle name="Comma 8 2 3 4 4 2" xfId="13763" xr:uid="{9EE0236A-2D46-4FCD-AF85-07EADB7B96C2}"/>
    <cellStyle name="Comma 8 2 3 4 4 2 2" xfId="51328" xr:uid="{4C6CCFA6-C61B-4626-8728-491C75825434}"/>
    <cellStyle name="Comma 8 2 3 4 4 2 3" xfId="54030" xr:uid="{2DEAD97E-4493-4B04-AFBE-2892E8CC4EB1}"/>
    <cellStyle name="Comma 8 2 3 4 4 2 4" xfId="48542" xr:uid="{99BA7572-5392-4730-98B6-0C2E2BFC2EB2}"/>
    <cellStyle name="Comma 8 2 3 4 4 3" xfId="46981" xr:uid="{18592EA0-9C7F-4915-9175-68669D6C2C3A}"/>
    <cellStyle name="Comma 8 2 3 4 4 4" xfId="50000" xr:uid="{1FCCC499-3F93-48EC-BF9C-CBBF4649ADA3}"/>
    <cellStyle name="Comma 8 2 3 4 4 5" xfId="54031" xr:uid="{7C424AF0-658C-43C2-AD0E-E6FE01FA1F86}"/>
    <cellStyle name="Comma 8 2 3 4 4 6" xfId="24058" xr:uid="{A0986A36-D1F4-4B95-9AB6-DD30B6CE0FB3}"/>
    <cellStyle name="Comma 8 2 3 4 4 7" xfId="15093" xr:uid="{BDE81F8D-37A8-43B9-8E62-73A41824EDB6}"/>
    <cellStyle name="Comma 8 2 3 4 5" xfId="9535" xr:uid="{75E0EC11-23CC-40C6-A9E5-4181B63D0207}"/>
    <cellStyle name="Comma 8 2 3 4 5 2" xfId="12841" xr:uid="{95D2A4AB-C7BC-4CE3-9516-124B8776791F}"/>
    <cellStyle name="Comma 8 2 3 4 5 2 2" xfId="51584" xr:uid="{BE4787B0-0251-44B4-883C-C114969FCC10}"/>
    <cellStyle name="Comma 8 2 3 4 5 2 3" xfId="54032" xr:uid="{D775ECE3-35C6-4EEB-A56C-A03F952CABD2}"/>
    <cellStyle name="Comma 8 2 3 4 5 2 4" xfId="48849" xr:uid="{3421BE6B-B843-4B42-9F2B-91F08629BF7B}"/>
    <cellStyle name="Comma 8 2 3 4 5 3" xfId="47278" xr:uid="{588A1090-7294-4E2E-9B6D-756BF7AB3E05}"/>
    <cellStyle name="Comma 8 2 3 4 5 4" xfId="50256" xr:uid="{0C9D40D1-6753-4824-ABE7-8093A76AA51D}"/>
    <cellStyle name="Comma 8 2 3 4 5 5" xfId="54033" xr:uid="{0009D25F-9F55-4DC1-AC66-1F6DBE69FC2F}"/>
    <cellStyle name="Comma 8 2 3 4 5 6" xfId="38555" xr:uid="{4B9016E0-B26F-45F9-92C0-728B5C3C66CD}"/>
    <cellStyle name="Comma 8 2 3 4 6" xfId="6563" xr:uid="{24474193-033E-47D2-A7D0-229B00B96C34}"/>
    <cellStyle name="Comma 8 2 3 4 6 2" xfId="47796" xr:uid="{D8A84519-3474-4902-ABD0-E98F34776C22}"/>
    <cellStyle name="Comma 8 2 3 4 6 3" xfId="50695" xr:uid="{57EDC31E-3017-4784-B1AA-75AE1305945E}"/>
    <cellStyle name="Comma 8 2 3 4 6 4" xfId="54034" xr:uid="{B16A912A-FCB6-4827-9FEE-C35F6AA73399}"/>
    <cellStyle name="Comma 8 2 3 4 6 5" xfId="39185" xr:uid="{F0717866-D254-4B4C-8487-7E2A6E8C093D}"/>
    <cellStyle name="Comma 8 2 3 4 7" xfId="11556" xr:uid="{5030A0F9-D531-4FEC-8CDF-E78E28A5B064}"/>
    <cellStyle name="Comma 8 2 3 4 7 2" xfId="40378" xr:uid="{D3AA0A29-8975-4B7D-AAFB-20FCC84D854E}"/>
    <cellStyle name="Comma 8 2 3 4 8" xfId="41020" xr:uid="{3D3F2966-88E5-44E1-8637-537F9684E522}"/>
    <cellStyle name="Comma 8 2 3 4 9" xfId="42232" xr:uid="{E07DEE25-D520-4F44-BF8A-4A4E5C221B1D}"/>
    <cellStyle name="Comma 8 2 3 5" xfId="3899" xr:uid="{CFDAB88E-A16A-44B6-AB4E-A59DB30DD51E}"/>
    <cellStyle name="Comma 8 2 3 5 10" xfId="44497" xr:uid="{F01E87B3-ED7D-486B-8164-2637F9DD7E17}"/>
    <cellStyle name="Comma 8 2 3 5 11" xfId="46664" xr:uid="{0E2B76CB-C342-47C7-A777-3E8C71133B06}"/>
    <cellStyle name="Comma 8 2 3 5 12" xfId="49697" xr:uid="{B70FA68F-C4FF-4D35-A879-49A7B2B9B711}"/>
    <cellStyle name="Comma 8 2 3 5 13" xfId="54035" xr:uid="{9D4CBF83-7DF4-4B89-9585-AED572F060E0}"/>
    <cellStyle name="Comma 8 2 3 5 14" xfId="20802" xr:uid="{F83A6F8B-E2C8-431D-9C49-77DFF1A8F65B}"/>
    <cellStyle name="Comma 8 2 3 5 15" xfId="14178" xr:uid="{298807E1-DF8B-46C1-937D-2BC7F0D03474}"/>
    <cellStyle name="Comma 8 2 3 5 2" xfId="5641" xr:uid="{47C8D6F3-D770-424F-8529-EB3630CACE3A}"/>
    <cellStyle name="Comma 8 2 3 5 2 2" xfId="10235" xr:uid="{7B6BE795-56D4-4B7A-A550-F0C719E669DF}"/>
    <cellStyle name="Comma 8 2 3 5 2 2 2" xfId="13541" xr:uid="{279DAEC0-8E93-408B-B9CA-B9CC0BE9B644}"/>
    <cellStyle name="Comma 8 2 3 5 2 2 2 2" xfId="51232" xr:uid="{7A703019-04D0-473B-B548-4FC00D1E177B}"/>
    <cellStyle name="Comma 8 2 3 5 2 2 3" xfId="54036" xr:uid="{74AB7E49-D6BC-4CD0-A400-BAAC574E32A3}"/>
    <cellStyle name="Comma 8 2 3 5 2 2 4" xfId="48438" xr:uid="{B6913646-CD4C-499F-8C7F-435E8BAC4D1D}"/>
    <cellStyle name="Comma 8 2 3 5 2 3" xfId="7743" xr:uid="{58B088B5-EE26-415C-BEFE-E1BE3499408C}"/>
    <cellStyle name="Comma 8 2 3 5 2 3 2" xfId="46882" xr:uid="{DAF4F83B-17BF-4F31-A5B7-CB24F0535568}"/>
    <cellStyle name="Comma 8 2 3 5 2 4" xfId="12256" xr:uid="{A8CD1E1B-44C2-49AF-B373-7A5BA2F052A8}"/>
    <cellStyle name="Comma 8 2 3 5 2 4 2" xfId="49904" xr:uid="{600566D6-64E5-47CE-A680-2269B0B54DB6}"/>
    <cellStyle name="Comma 8 2 3 5 2 5" xfId="54037" xr:uid="{00532832-89FD-4F65-A258-640A89F8AE66}"/>
    <cellStyle name="Comma 8 2 3 5 2 6" xfId="24059" xr:uid="{88189173-E2B7-4C2B-974D-621CDB3226DD}"/>
    <cellStyle name="Comma 8 2 3 5 2 7" xfId="14670" xr:uid="{F4E2A14C-4640-4A5E-A542-3F3173EFECD5}"/>
    <cellStyle name="Comma 8 2 3 5 3" xfId="9741" xr:uid="{09D1E0BD-8CBC-4D9C-B957-FC24C07CB844}"/>
    <cellStyle name="Comma 8 2 3 5 3 2" xfId="13047" xr:uid="{0243237A-85B8-4C8C-8667-0A14F4D03341}"/>
    <cellStyle name="Comma 8 2 3 5 3 2 2" xfId="51743" xr:uid="{290F72DD-1E87-4A75-884E-E7FA63AD13C0}"/>
    <cellStyle name="Comma 8 2 3 5 3 2 3" xfId="54038" xr:uid="{8EFE6B8B-0259-48C7-8B47-87CE8480B9C8}"/>
    <cellStyle name="Comma 8 2 3 5 3 2 4" xfId="49053" xr:uid="{53D0210E-01D0-4002-BA78-93FDDA5DAC26}"/>
    <cellStyle name="Comma 8 2 3 5 3 3" xfId="47472" xr:uid="{D02A3D53-FB7A-4278-B4AF-2D1017EBDE31}"/>
    <cellStyle name="Comma 8 2 3 5 3 4" xfId="50415" xr:uid="{56FCB677-417C-453B-B3F1-48D06BE4664B}"/>
    <cellStyle name="Comma 8 2 3 5 3 5" xfId="54039" xr:uid="{DE8F0115-3225-4333-9339-66968609FC7F}"/>
    <cellStyle name="Comma 8 2 3 5 3 6" xfId="38556" xr:uid="{97A25C17-9DBD-4D11-A282-914D76DC4676}"/>
    <cellStyle name="Comma 8 2 3 5 3 7" xfId="14985" xr:uid="{1B0F9585-4D2B-4A4C-8451-04ADF6EA2DA4}"/>
    <cellStyle name="Comma 8 2 3 5 4" xfId="7237" xr:uid="{908FF121-AEBD-4069-B68B-329D10FBAFA8}"/>
    <cellStyle name="Comma 8 2 3 5 4 2" xfId="48198" xr:uid="{1B959304-9ADD-4D40-986A-90177541EDD9}"/>
    <cellStyle name="Comma 8 2 3 5 4 3" xfId="51025" xr:uid="{CC875BC3-74F5-47BC-973B-A18AF8F118AD}"/>
    <cellStyle name="Comma 8 2 3 5 4 4" xfId="54040" xr:uid="{FBEC60A9-12DF-44EE-ADB0-25AD3C4B6936}"/>
    <cellStyle name="Comma 8 2 3 5 4 5" xfId="39427" xr:uid="{1801D9E4-8D71-4B9D-A480-DE8182EADDE9}"/>
    <cellStyle name="Comma 8 2 3 5 5" xfId="11762" xr:uid="{5B57F8CE-59D1-4EB0-9E16-EC818FAD86C5}"/>
    <cellStyle name="Comma 8 2 3 5 5 2" xfId="40379" xr:uid="{430BC4AE-0484-4643-9955-9DD08BE96643}"/>
    <cellStyle name="Comma 8 2 3 5 6" xfId="41021" xr:uid="{0A406DF9-6AD3-421D-A6BA-BF34F2A206C5}"/>
    <cellStyle name="Comma 8 2 3 5 7" xfId="42233" xr:uid="{7B944016-37A5-4913-893D-B34BB6E232D9}"/>
    <cellStyle name="Comma 8 2 3 5 8" xfId="43104" xr:uid="{A2463320-86FC-4A85-B6DC-936991999777}"/>
    <cellStyle name="Comma 8 2 3 5 9" xfId="43910" xr:uid="{66644FC0-6084-432C-8093-4F4513558479}"/>
    <cellStyle name="Comma 8 2 3 6" xfId="5573" xr:uid="{50C20703-B8EE-4681-A342-1A9952597A11}"/>
    <cellStyle name="Comma 8 2 3 6 2" xfId="7675" xr:uid="{6D246B81-1BB2-48C9-9D69-6E1A1380567D}"/>
    <cellStyle name="Comma 8 2 3 6 2 2" xfId="10167" xr:uid="{034B76E4-8E96-4C83-B850-DE36CB6CB8E6}"/>
    <cellStyle name="Comma 8 2 3 6 2 2 2" xfId="13473" xr:uid="{8E2D1256-EEE7-4466-820A-C896D02438AF}"/>
    <cellStyle name="Comma 8 2 3 6 2 2 2 2" xfId="51411" xr:uid="{57A28ED1-3A9A-4B4C-9220-5B4AD64C83A9}"/>
    <cellStyle name="Comma 8 2 3 6 2 2 3" xfId="54041" xr:uid="{172941ED-FCFB-43A5-AEEE-CA6D5E72CB82}"/>
    <cellStyle name="Comma 8 2 3 6 2 2 4" xfId="48648" xr:uid="{C08791C2-C31F-44B3-A32B-9F2881F8815A}"/>
    <cellStyle name="Comma 8 2 3 6 2 3" xfId="12188" xr:uid="{91C8569B-0C63-41CF-826A-FD4D82489B95}"/>
    <cellStyle name="Comma 8 2 3 6 2 3 2" xfId="47082" xr:uid="{7AE35CB1-8BA6-4410-9E2B-E69A292F5DA9}"/>
    <cellStyle name="Comma 8 2 3 6 2 4" xfId="50083" xr:uid="{DBF5968A-8BB3-4A63-891D-BF2E0BAA5904}"/>
    <cellStyle name="Comma 8 2 3 6 2 5" xfId="54042" xr:uid="{6D711B74-457D-4DB5-8DB9-048F20AAECA7}"/>
    <cellStyle name="Comma 8 2 3 6 2 6" xfId="43862" xr:uid="{20375ABD-8B0B-407F-B7DC-CF9D96B4A5CB}"/>
    <cellStyle name="Comma 8 2 3 6 2 7" xfId="14602" xr:uid="{8A3AABD0-BE3F-4AEF-83FD-22A8DF8F75F0}"/>
    <cellStyle name="Comma 8 2 3 6 3" xfId="9673" xr:uid="{A57A83D6-0064-4EE1-8206-E4F33286380A}"/>
    <cellStyle name="Comma 8 2 3 6 3 2" xfId="12979" xr:uid="{9ED01990-8CDD-43D8-A58B-99132DE1B9FB}"/>
    <cellStyle name="Comma 8 2 3 6 3 2 2" xfId="51699" xr:uid="{547BC013-62BA-4E71-B3FA-DFEF8DE66475}"/>
    <cellStyle name="Comma 8 2 3 6 3 2 3" xfId="54043" xr:uid="{7B5BB258-67F3-41D6-BEF6-032C95C595E5}"/>
    <cellStyle name="Comma 8 2 3 6 3 2 4" xfId="48987" xr:uid="{E52B620F-F342-4550-9133-6B5CD686D245}"/>
    <cellStyle name="Comma 8 2 3 6 3 3" xfId="50371" xr:uid="{ECA9D697-C040-4FF6-AC1C-CCD8132F2BCD}"/>
    <cellStyle name="Comma 8 2 3 6 3 4" xfId="54044" xr:uid="{C82254D9-A8BF-429F-8E7E-1B2E88118A3D}"/>
    <cellStyle name="Comma 8 2 3 6 3 5" xfId="47411" xr:uid="{D90D92A6-3F93-46A0-BCD1-8D144EB98920}"/>
    <cellStyle name="Comma 8 2 3 6 4" xfId="7169" xr:uid="{A74F4DCE-DC13-4D8C-A571-E50403AD9910}"/>
    <cellStyle name="Comma 8 2 3 6 4 2" xfId="50981" xr:uid="{29530DF8-2F2C-45A7-A3DD-AC1E4D752724}"/>
    <cellStyle name="Comma 8 2 3 6 4 3" xfId="54045" xr:uid="{0FB063C7-C948-4D23-9F18-680B14188BFD}"/>
    <cellStyle name="Comma 8 2 3 6 4 4" xfId="48132" xr:uid="{8D4C689B-6FE1-479B-8688-4A9AA0A19905}"/>
    <cellStyle name="Comma 8 2 3 6 5" xfId="11694" xr:uid="{88C8672A-472A-4698-AD4E-86F806153814}"/>
    <cellStyle name="Comma 8 2 3 6 5 2" xfId="46620" xr:uid="{922A51DF-FD3D-473F-A853-0258DBFAC00F}"/>
    <cellStyle name="Comma 8 2 3 6 6" xfId="49653" xr:uid="{1D3FF7C5-53F8-440F-A1C6-69EFB91FC5DD}"/>
    <cellStyle name="Comma 8 2 3 6 7" xfId="54046" xr:uid="{847FEE51-C94B-469F-8E9E-EABA6A62B4A3}"/>
    <cellStyle name="Comma 8 2 3 6 8" xfId="20080" xr:uid="{9A0BF2B8-5367-44B4-A16D-9429A2767169}"/>
    <cellStyle name="Comma 8 2 3 6 9" xfId="14110" xr:uid="{37FF2CB9-C0A9-4BC9-8A12-06F4A6AB809B}"/>
    <cellStyle name="Comma 8 2 3 7" xfId="5966" xr:uid="{2EBC850D-F31A-42E1-84E0-3AA72C5305A0}"/>
    <cellStyle name="Comma 8 2 3 7 2" xfId="9424" xr:uid="{7A4F8A8C-8DAA-4F96-8B89-48FD58C77E4E}"/>
    <cellStyle name="Comma 8 2 3 7 2 2" xfId="12730" xr:uid="{0ECFA24E-6432-4E0F-9905-4559E939FEDE}"/>
    <cellStyle name="Comma 8 2 3 7 2 2 2" xfId="50770" xr:uid="{A2117A92-EBBF-418D-9E15-7C4C971ACA51}"/>
    <cellStyle name="Comma 8 2 3 7 2 3" xfId="54047" xr:uid="{C52A228F-BD7B-4C1A-B43F-52071A8D9E7A}"/>
    <cellStyle name="Comma 8 2 3 7 2 4" xfId="47893" xr:uid="{39D5B93F-0A72-4EE6-8676-24AC9750EF9D}"/>
    <cellStyle name="Comma 8 2 3 7 3" xfId="11445" xr:uid="{5BDA3B7C-EB0C-46F7-BF2F-896C5F88F751}"/>
    <cellStyle name="Comma 8 2 3 7 3 2" xfId="45820" xr:uid="{7A1AC53D-5DED-4108-A626-4FB6DE22BD91}"/>
    <cellStyle name="Comma 8 2 3 7 4" xfId="49442" xr:uid="{CA2F2E95-2C75-4C86-BD16-6B3A287A256D}"/>
    <cellStyle name="Comma 8 2 3 7 5" xfId="54048" xr:uid="{EE9FD2E0-4B43-4869-8D1C-08A77D575DD5}"/>
    <cellStyle name="Comma 8 2 3 7 6" xfId="24054" xr:uid="{97034CE8-EF2E-4B7D-AC0C-2951D6E44814}"/>
    <cellStyle name="Comma 8 2 3 7 7" xfId="14356" xr:uid="{5518EBCA-7B7D-4E24-A47D-6C579C15C60C}"/>
    <cellStyle name="Comma 8 2 3 8" xfId="7429" xr:uid="{11B557A1-452D-44A3-B180-23295DDCB68B}"/>
    <cellStyle name="Comma 8 2 3 8 2" xfId="9921" xr:uid="{CBF45C3B-3CF6-428A-85A4-F2D565397A1D}"/>
    <cellStyle name="Comma 8 2 3 8 2 2" xfId="13227" xr:uid="{B76CAA07-1159-4639-B94E-BC23EA0D0601}"/>
    <cellStyle name="Comma 8 2 3 8 2 2 2" xfId="51205" xr:uid="{138B6066-8287-4C54-8E97-EA1CAA4B2117}"/>
    <cellStyle name="Comma 8 2 3 8 2 3" xfId="54049" xr:uid="{DC1A0502-171D-4925-A56A-870B5C0F991A}"/>
    <cellStyle name="Comma 8 2 3 8 2 4" xfId="48404" xr:uid="{A4823554-BAE8-4517-920C-1811246170D8}"/>
    <cellStyle name="Comma 8 2 3 8 3" xfId="11942" xr:uid="{939C3B32-83D8-4007-95D3-0EBA9C90A781}"/>
    <cellStyle name="Comma 8 2 3 8 3 2" xfId="46853" xr:uid="{3DD0749C-D645-4D92-B819-840B961AA378}"/>
    <cellStyle name="Comma 8 2 3 8 4" xfId="49877" xr:uid="{6FB44EEE-1A47-4629-AA75-4252C02C07AE}"/>
    <cellStyle name="Comma 8 2 3 8 5" xfId="54050" xr:uid="{B233B606-4EDC-49EC-B475-1EC16A95FC47}"/>
    <cellStyle name="Comma 8 2 3 8 6" xfId="38551" xr:uid="{985CC155-EF27-4CD9-8BEA-16B65982DA08}"/>
    <cellStyle name="Comma 8 2 3 8 7" xfId="14917" xr:uid="{A8B32B8B-EA11-4914-BFBD-56F2101F3817}"/>
    <cellStyle name="Comma 8 2 3 9" xfId="8203" xr:uid="{564BB901-396E-4432-ACEE-CF72A73187E0}"/>
    <cellStyle name="Comma 8 2 3 9 2" xfId="12659" xr:uid="{D39A9059-61F2-41EC-A07D-F037516A6908}"/>
    <cellStyle name="Comma 8 2 3 9 2 2" xfId="51488" xr:uid="{24C7D89A-F8A4-4F8A-A978-645F58751CCE}"/>
    <cellStyle name="Comma 8 2 3 9 2 3" xfId="54051" xr:uid="{140C9B92-F7DB-43DB-991F-C4BB3B1CFBA4}"/>
    <cellStyle name="Comma 8 2 3 9 2 4" xfId="48744" xr:uid="{C493799C-90F5-413A-B930-F4A4AD105965}"/>
    <cellStyle name="Comma 8 2 3 9 3" xfId="47179" xr:uid="{4C493A78-5614-43DB-870D-65FA5C717A56}"/>
    <cellStyle name="Comma 8 2 3 9 4" xfId="50160" xr:uid="{55A25141-08BF-4405-A0F9-33DFC895F425}"/>
    <cellStyle name="Comma 8 2 3 9 5" xfId="54052" xr:uid="{2C140148-F093-45BD-A8AB-FFB2F1B15E5F}"/>
    <cellStyle name="Comma 8 2 3 9 6" xfId="38836" xr:uid="{99711F01-D9CB-4FC6-BFE7-ED7B96C3B1CC}"/>
    <cellStyle name="Comma 8 2 4" xfId="1819" xr:uid="{1247B83C-F45D-4F0D-8FBC-CA3726E42167}"/>
    <cellStyle name="Comma 8 2 4 10" xfId="42234" xr:uid="{0F7DB045-34D2-4BD5-B735-91846EBA421A}"/>
    <cellStyle name="Comma 8 2 4 11" xfId="42420" xr:uid="{C94B3D67-7AB8-4AE6-90B1-5A0AE7DE48CC}"/>
    <cellStyle name="Comma 8 2 4 12" xfId="43592" xr:uid="{D0FE7774-53DE-494F-835C-18890E0E6A0B}"/>
    <cellStyle name="Comma 8 2 4 13" xfId="44455" xr:uid="{C5768D18-26DF-433D-9FEF-2BD408CF6154}"/>
    <cellStyle name="Comma 8 2 4 14" xfId="45663" xr:uid="{3A92B333-14CB-44F1-A265-C375FCF862B9}"/>
    <cellStyle name="Comma 8 2 4 15" xfId="49292" xr:uid="{8AEE31B7-08BD-4190-85BE-30CDDA01DCE0}"/>
    <cellStyle name="Comma 8 2 4 16" xfId="54053" xr:uid="{76FCD8B9-FF7F-4384-8FC9-1FB68FC61B71}"/>
    <cellStyle name="Comma 8 2 4 17" xfId="16395" xr:uid="{87A198BF-2D27-420F-AB46-03B4008D8EB1}"/>
    <cellStyle name="Comma 8 2 4 18" xfId="13975" xr:uid="{E744FB23-7BC9-478E-9A82-4BFED17140E6}"/>
    <cellStyle name="Comma 8 2 4 2" xfId="4495" xr:uid="{CF719F48-EC7D-4657-A1D7-378ACDACCF79}"/>
    <cellStyle name="Comma 8 2 4 2 10" xfId="42789" xr:uid="{C06D6D59-665B-4AA7-8468-6CFE92A6AE30}"/>
    <cellStyle name="Comma 8 2 4 2 11" xfId="44296" xr:uid="{296AFE00-88DA-4BF0-BFB8-0C061C3719E4}"/>
    <cellStyle name="Comma 8 2 4 2 12" xfId="44596" xr:uid="{5BC5AF69-F372-4B41-BDA6-BE5FFFF85326}"/>
    <cellStyle name="Comma 8 2 4 2 13" xfId="45781" xr:uid="{A6085760-B8B1-4579-AC2A-D462F3C6AD97}"/>
    <cellStyle name="Comma 8 2 4 2 14" xfId="49409" xr:uid="{E1BCD0B0-CDD0-4461-8EE1-09E7432A0B75}"/>
    <cellStyle name="Comma 8 2 4 2 15" xfId="54054" xr:uid="{D2235031-00C0-4D5D-9810-582C656852D4}"/>
    <cellStyle name="Comma 8 2 4 2 16" xfId="17142" xr:uid="{AD603B84-3A4E-4629-938D-C81237BCB86C}"/>
    <cellStyle name="Comma 8 2 4 2 17" xfId="14289" xr:uid="{261FFD22-C3F3-4B18-95D7-CB788DB571BB}"/>
    <cellStyle name="Comma 8 2 4 2 2" xfId="5752" xr:uid="{4B2C2242-348B-45B5-BF84-4A18D87CF199}"/>
    <cellStyle name="Comma 8 2 4 2 2 10" xfId="45464" xr:uid="{5B8AFF61-4C80-4D1B-AF98-C271B1D35AE9}"/>
    <cellStyle name="Comma 8 2 4 2 2 11" xfId="46764" xr:uid="{5A6C16FB-1403-4A97-99CE-53C9E8E80ABC}"/>
    <cellStyle name="Comma 8 2 4 2 2 12" xfId="49796" xr:uid="{6F2C6EA8-C113-458F-91BD-671570EA3E90}"/>
    <cellStyle name="Comma 8 2 4 2 2 13" xfId="54055" xr:uid="{C388DA6F-D1D5-4A1D-A1BC-99AB51C2FAC2}"/>
    <cellStyle name="Comma 8 2 4 2 2 14" xfId="21137" xr:uid="{7DFBF8E2-9DF4-4D88-9081-E293E1BB9C34}"/>
    <cellStyle name="Comma 8 2 4 2 2 15" xfId="14781" xr:uid="{30BEDE88-8D56-4997-AECD-9B8EDCB5E0E7}"/>
    <cellStyle name="Comma 8 2 4 2 2 2" xfId="10346" xr:uid="{0622A39D-1BCE-45AC-B925-63D70994E618}"/>
    <cellStyle name="Comma 8 2 4 2 2 2 2" xfId="13652" xr:uid="{880984C4-002D-434D-91EA-3C6F1255CF52}"/>
    <cellStyle name="Comma 8 2 4 2 2 2 2 2" xfId="48306" xr:uid="{879D5BCE-FA7C-43AB-860B-3CC8A23EF9EC}"/>
    <cellStyle name="Comma 8 2 4 2 2 2 3" xfId="51124" xr:uid="{FCE46AB2-C3C4-4DAC-B92E-AF574A007C71}"/>
    <cellStyle name="Comma 8 2 4 2 2 2 4" xfId="54056" xr:uid="{D16BFF4A-48E6-4DDB-9926-A95FFC13E26E}"/>
    <cellStyle name="Comma 8 2 4 2 2 2 5" xfId="24062" xr:uid="{FA2791AA-CD63-4DA8-8BC3-451A2888033B}"/>
    <cellStyle name="Comma 8 2 4 2 2 3" xfId="7854" xr:uid="{5703FBCC-327B-4815-B22B-DFE7A7D06529}"/>
    <cellStyle name="Comma 8 2 4 2 2 3 2" xfId="38559" xr:uid="{7231587F-4021-4E0E-BFFC-8CF50DEF395D}"/>
    <cellStyle name="Comma 8 2 4 2 2 4" xfId="12367" xr:uid="{273D90D0-ED20-429B-BB8F-C937FEA20179}"/>
    <cellStyle name="Comma 8 2 4 2 2 4 2" xfId="39703" xr:uid="{FF840C15-3E47-4728-8A2F-7C6A41C4CE90}"/>
    <cellStyle name="Comma 8 2 4 2 2 5" xfId="40382" xr:uid="{EC623ACB-A7B4-4E65-B358-DED12E9099D9}"/>
    <cellStyle name="Comma 8 2 4 2 2 6" xfId="41024" xr:uid="{359E2B62-1814-4993-BE6F-45335116DD75}"/>
    <cellStyle name="Comma 8 2 4 2 2 7" xfId="41556" xr:uid="{02B67B21-433B-4784-9769-9F12A26F0080}"/>
    <cellStyle name="Comma 8 2 4 2 2 8" xfId="42236" xr:uid="{2BDE01E7-B0DB-43A3-B048-B93966066FC2}"/>
    <cellStyle name="Comma 8 2 4 2 2 9" xfId="43380" xr:uid="{8E44CDDF-0570-47D0-9945-1BCF25474B4D}"/>
    <cellStyle name="Comma 8 2 4 2 3" xfId="11244" xr:uid="{ABBBF794-ED5E-4E6E-AD1A-1063AA59F858}"/>
    <cellStyle name="Comma 8 2 4 2 3 2" xfId="13806" xr:uid="{CEBD4937-129E-47D3-B8AA-6CE5D4D59633}"/>
    <cellStyle name="Comma 8 2 4 2 3 2 2" xfId="51451" xr:uid="{144AD6A9-453F-4D30-BB50-31C9BAF53CB3}"/>
    <cellStyle name="Comma 8 2 4 2 3 2 3" xfId="54057" xr:uid="{F77AD544-795D-4777-A374-B24BBE29729A}"/>
    <cellStyle name="Comma 8 2 4 2 3 2 4" xfId="48696" xr:uid="{07D22D29-06F7-4F04-9A43-5BDE11D93EDC}"/>
    <cellStyle name="Comma 8 2 4 2 3 3" xfId="47133" xr:uid="{143B12C9-D560-4712-ACAB-CFAEB936321A}"/>
    <cellStyle name="Comma 8 2 4 2 3 4" xfId="50123" xr:uid="{7DC42BF5-2A53-44A1-BDFD-DF0C34728EAD}"/>
    <cellStyle name="Comma 8 2 4 2 3 5" xfId="54058" xr:uid="{9DC35677-B3E4-4AEE-A403-1E1E357C1746}"/>
    <cellStyle name="Comma 8 2 4 2 3 6" xfId="20356" xr:uid="{07AED45A-7005-469A-B3AC-CE20E5E72957}"/>
    <cellStyle name="Comma 8 2 4 2 3 7" xfId="15096" xr:uid="{D7DCA53D-DCB5-46F9-822F-A1F290B8BD24}"/>
    <cellStyle name="Comma 8 2 4 2 4" xfId="9852" xr:uid="{AD6D0B08-A1E1-481D-B963-31B418CF6399}"/>
    <cellStyle name="Comma 8 2 4 2 4 2" xfId="13158" xr:uid="{229835CA-32E5-43CD-809A-6CDE1C159D62}"/>
    <cellStyle name="Comma 8 2 4 2 4 2 2" xfId="51842" xr:uid="{B0FA087B-33E1-45CE-92E7-75EB98B31F80}"/>
    <cellStyle name="Comma 8 2 4 2 4 2 3" xfId="54059" xr:uid="{B3CB11B3-F86B-4227-B789-4E093520B8A5}"/>
    <cellStyle name="Comma 8 2 4 2 4 2 4" xfId="49162" xr:uid="{136E12D7-EC2E-4F5D-86A7-BD852B777C8D}"/>
    <cellStyle name="Comma 8 2 4 2 4 3" xfId="47579" xr:uid="{B471169E-21A5-4087-B389-ABD76C7C2AB4}"/>
    <cellStyle name="Comma 8 2 4 2 4 4" xfId="50514" xr:uid="{B8470EB7-CAC2-49C3-9E55-98329E03942C}"/>
    <cellStyle name="Comma 8 2 4 2 4 5" xfId="54060" xr:uid="{3F939552-233C-4324-BE27-B63AA2EB2835}"/>
    <cellStyle name="Comma 8 2 4 2 4 6" xfId="24061" xr:uid="{2BBF087F-971F-4D38-9A81-AFE6037D8445}"/>
    <cellStyle name="Comma 8 2 4 2 5" xfId="7350" xr:uid="{42F11422-BBD7-4284-ABB3-267A8A7C69D8}"/>
    <cellStyle name="Comma 8 2 4 2 5 2" xfId="47849" xr:uid="{7249428B-A788-4C29-AE98-AECA10D410E0}"/>
    <cellStyle name="Comma 8 2 4 2 5 3" xfId="50737" xr:uid="{858B062F-C1DD-471A-A55A-F16DE7C7730F}"/>
    <cellStyle name="Comma 8 2 4 2 5 4" xfId="54061" xr:uid="{54DCFCE5-EB0E-4D0D-916D-20DA5CEE9335}"/>
    <cellStyle name="Comma 8 2 4 2 5 5" xfId="38558" xr:uid="{4084AE47-1ED6-4B78-A6AE-1A25D243AA6E}"/>
    <cellStyle name="Comma 8 2 4 2 6" xfId="11873" xr:uid="{5C9CB85E-09CC-4AE5-947A-960EDBD50EB4}"/>
    <cellStyle name="Comma 8 2 4 2 6 2" xfId="39112" xr:uid="{72F79D23-B761-4FD6-8C3F-7D0244A59461}"/>
    <cellStyle name="Comma 8 2 4 2 7" xfId="40381" xr:uid="{4136A815-8C12-444A-85EC-74798BFB3FEE}"/>
    <cellStyle name="Comma 8 2 4 2 8" xfId="41023" xr:uid="{5853AC90-88B3-4DBD-BFD4-F28271B5ED6C}"/>
    <cellStyle name="Comma 8 2 4 2 9" xfId="42235" xr:uid="{0CF1B55B-5927-4D7E-BC10-B8B49EEE5062}"/>
    <cellStyle name="Comma 8 2 4 3" xfId="5576" xr:uid="{6AF2A3E8-2E4F-4B64-AFC3-40F655068906}"/>
    <cellStyle name="Comma 8 2 4 3 10" xfId="43865" xr:uid="{C8F9DFEB-CFC3-4568-ADEC-837AA2BEAF58}"/>
    <cellStyle name="Comma 8 2 4 3 11" xfId="45114" xr:uid="{DFF894BA-A37B-4D86-86CD-4FAA9D747080}"/>
    <cellStyle name="Comma 8 2 4 3 12" xfId="46623" xr:uid="{5CD6A687-3094-4F12-9D46-BF8BE1847BD2}"/>
    <cellStyle name="Comma 8 2 4 3 13" xfId="49656" xr:uid="{45FDD879-5104-4967-B163-C2025EE53A5C}"/>
    <cellStyle name="Comma 8 2 4 3 14" xfId="54062" xr:uid="{159E5D97-6016-4173-B8E0-F02AC1CD6A59}"/>
    <cellStyle name="Comma 8 2 4 3 15" xfId="20640" xr:uid="{AEBF7681-9357-4690-A3EE-0DF4C2DAE8DD}"/>
    <cellStyle name="Comma 8 2 4 3 16" xfId="14113" xr:uid="{EBE793FB-B16C-445E-89B1-53E1AF21DB63}"/>
    <cellStyle name="Comma 8 2 4 3 2" xfId="7678" xr:uid="{C2097E5F-F182-40AE-89B6-0D0EA5E9F893}"/>
    <cellStyle name="Comma 8 2 4 3 2 2" xfId="10170" xr:uid="{F0E44C49-6328-4DEB-8C92-DE025B04306E}"/>
    <cellStyle name="Comma 8 2 4 3 2 2 2" xfId="13476" xr:uid="{754BF566-0F34-4BF3-A853-9980A34F91A6}"/>
    <cellStyle name="Comma 8 2 4 3 2 2 2 2" xfId="51702" xr:uid="{7F0C3460-C987-4BCF-8EF1-C579A44DBAA5}"/>
    <cellStyle name="Comma 8 2 4 3 2 2 3" xfId="54063" xr:uid="{7476BB1B-1518-48CC-9324-EAF5E25EBEF0}"/>
    <cellStyle name="Comma 8 2 4 3 2 2 4" xfId="48990" xr:uid="{666573B8-6F7A-4798-8017-556BD7ED2A89}"/>
    <cellStyle name="Comma 8 2 4 3 2 3" xfId="12191" xr:uid="{765BF9E8-42BE-474D-86A7-4FD3F1AF6232}"/>
    <cellStyle name="Comma 8 2 4 3 2 3 2" xfId="47414" xr:uid="{C7AA08E2-71C4-45D7-8FC6-6184491A88CA}"/>
    <cellStyle name="Comma 8 2 4 3 2 4" xfId="50374" xr:uid="{6917277F-5E49-42BB-9E55-DC2168D7FB9A}"/>
    <cellStyle name="Comma 8 2 4 3 2 5" xfId="54064" xr:uid="{28827AA0-7C4B-4C4F-98C0-0C8ED4F6FC9B}"/>
    <cellStyle name="Comma 8 2 4 3 2 6" xfId="24063" xr:uid="{C88D0C1B-F75E-4C7A-96D0-1E323B3B9FF8}"/>
    <cellStyle name="Comma 8 2 4 3 2 7" xfId="14605" xr:uid="{075CE39B-AE3A-4E61-8EAD-DE196A8BCF2C}"/>
    <cellStyle name="Comma 8 2 4 3 3" xfId="9676" xr:uid="{2AC98C0A-9EDF-4954-A6A6-BE6AE62EA29F}"/>
    <cellStyle name="Comma 8 2 4 3 3 2" xfId="12982" xr:uid="{C9ADBCE4-6B41-4BDA-93A6-0542564D5A23}"/>
    <cellStyle name="Comma 8 2 4 3 3 2 2" xfId="48135" xr:uid="{9B32340B-E2AC-4F1A-AB35-23EEE4171D11}"/>
    <cellStyle name="Comma 8 2 4 3 3 3" xfId="50984" xr:uid="{363E84B2-46F4-4E2A-A5B6-E28C5C1A2A5E}"/>
    <cellStyle name="Comma 8 2 4 3 3 4" xfId="54065" xr:uid="{F7FE6547-52C5-44CE-A3F5-63EB4C545B34}"/>
    <cellStyle name="Comma 8 2 4 3 3 5" xfId="38560" xr:uid="{9EF6FF9F-A83C-42D7-A907-7CE26F9F1D7B}"/>
    <cellStyle name="Comma 8 2 4 3 4" xfId="7172" xr:uid="{5185A79F-C32C-44E7-8C5F-344E26DF7282}"/>
    <cellStyle name="Comma 8 2 4 3 4 2" xfId="39334" xr:uid="{5AC2E195-D127-449A-BB68-559569F64625}"/>
    <cellStyle name="Comma 8 2 4 3 5" xfId="11697" xr:uid="{F2890988-55F5-43BF-A38D-06DB2B3E434E}"/>
    <cellStyle name="Comma 8 2 4 3 5 2" xfId="40383" xr:uid="{EEE81C97-259E-4F13-AE93-A253198D46FD}"/>
    <cellStyle name="Comma 8 2 4 3 6" xfId="41025" xr:uid="{963AE1E9-6472-4E2E-BE49-43C2FF29BE90}"/>
    <cellStyle name="Comma 8 2 4 3 7" xfId="41194" xr:uid="{D1084FA5-E857-401B-8139-98CB35341A61}"/>
    <cellStyle name="Comma 8 2 4 3 8" xfId="42237" xr:uid="{9A032B53-AEA4-4D7D-8A99-8B9431DFBE15}"/>
    <cellStyle name="Comma 8 2 4 3 9" xfId="43011" xr:uid="{FF3E11DE-B405-4F02-90AF-C78024D230B7}"/>
    <cellStyle name="Comma 8 2 4 4" xfId="6566" xr:uid="{88A584D6-B654-4D22-9617-F44881A95AD8}"/>
    <cellStyle name="Comma 8 2 4 4 2" xfId="9538" xr:uid="{41440B67-2CB2-4D18-A28E-59EF76061916}"/>
    <cellStyle name="Comma 8 2 4 4 2 2" xfId="12844" xr:uid="{BE8FF7BF-3E6D-47E3-8BA7-B85AE594FB79}"/>
    <cellStyle name="Comma 8 2 4 4 2 2 2" xfId="50869" xr:uid="{FB155D6F-53C9-41B9-8A05-121D2D10F07B}"/>
    <cellStyle name="Comma 8 2 4 4 2 3" xfId="54066" xr:uid="{72E4E354-95F1-43F5-ADD9-60C1DCF77662}"/>
    <cellStyle name="Comma 8 2 4 4 2 4" xfId="48000" xr:uid="{E522F4CE-01C1-41BE-B248-5844752845E6}"/>
    <cellStyle name="Comma 8 2 4 4 3" xfId="11559" xr:uid="{24EABE02-E1B2-4980-8163-E03710E9A2D1}"/>
    <cellStyle name="Comma 8 2 4 4 3 2" xfId="46205" xr:uid="{3DE7B5E5-FB56-46CE-8E98-67C50CAF141E}"/>
    <cellStyle name="Comma 8 2 4 4 4" xfId="49541" xr:uid="{78045A52-3EE6-4948-A1A5-CF36815896FF}"/>
    <cellStyle name="Comma 8 2 4 4 5" xfId="54067" xr:uid="{601EE710-C58E-4011-9B2C-0EE61E5A9143}"/>
    <cellStyle name="Comma 8 2 4 4 6" xfId="19987" xr:uid="{B816B2AF-A999-4962-A8D0-8CE8EA6CEBF2}"/>
    <cellStyle name="Comma 8 2 4 4 7" xfId="14467" xr:uid="{8671A251-7B77-4D40-9D86-635C59A816F0}"/>
    <cellStyle name="Comma 8 2 4 5" xfId="7540" xr:uid="{3FE9F3A2-27F5-4283-9856-C34FA0F73CCC}"/>
    <cellStyle name="Comma 8 2 4 5 2" xfId="10032" xr:uid="{1BB3A6FB-252B-4A20-8B21-E8B181A0A871}"/>
    <cellStyle name="Comma 8 2 4 5 2 2" xfId="13338" xr:uid="{5302E1B8-B766-449E-AFCB-0741D7DFDAA1}"/>
    <cellStyle name="Comma 8 2 4 5 2 2 2" xfId="51331" xr:uid="{9E43AC1F-6EF0-42DE-A8BD-1D4E168D390C}"/>
    <cellStyle name="Comma 8 2 4 5 2 3" xfId="54068" xr:uid="{B7CA9D92-D339-406E-9249-9A780A818BF8}"/>
    <cellStyle name="Comma 8 2 4 5 2 4" xfId="48545" xr:uid="{794974BF-AF93-412F-9C5E-1766D09D2AB8}"/>
    <cellStyle name="Comma 8 2 4 5 3" xfId="12053" xr:uid="{B2F30FE8-26B6-4FE1-962F-49FB4D34780F}"/>
    <cellStyle name="Comma 8 2 4 5 3 2" xfId="46984" xr:uid="{5AB559E4-4907-4A7D-A884-24BFF280A326}"/>
    <cellStyle name="Comma 8 2 4 5 4" xfId="50003" xr:uid="{6EAB7FD3-2A5C-497F-AC8A-B57135479279}"/>
    <cellStyle name="Comma 8 2 4 5 5" xfId="54069" xr:uid="{1E56223B-59FB-42A9-B20F-7003AF8E9347}"/>
    <cellStyle name="Comma 8 2 4 5 6" xfId="24060" xr:uid="{13BAE7BE-4A62-43DB-BCEB-00927AEC2B9B}"/>
    <cellStyle name="Comma 8 2 4 5 7" xfId="14920" xr:uid="{D2419713-9B4F-4D48-B3D2-B7D42B71668D}"/>
    <cellStyle name="Comma 8 2 4 6" xfId="8206" xr:uid="{6AB22395-A287-472D-927E-DC4B2203F4C6}"/>
    <cellStyle name="Comma 8 2 4 6 2" xfId="12662" xr:uid="{158FF487-12AB-4814-A847-FE915DA39AA2}"/>
    <cellStyle name="Comma 8 2 4 6 2 2" xfId="51587" xr:uid="{9B540542-2747-49ED-BF6C-56F407F969F9}"/>
    <cellStyle name="Comma 8 2 4 6 2 3" xfId="54070" xr:uid="{3D19544A-53F4-42F0-8702-4E34E79C51BE}"/>
    <cellStyle name="Comma 8 2 4 6 2 4" xfId="48852" xr:uid="{613B0B10-C742-47CA-B6AF-A137B339B64C}"/>
    <cellStyle name="Comma 8 2 4 6 3" xfId="47281" xr:uid="{284BCE46-5C31-4072-87B0-0E7D76779E2F}"/>
    <cellStyle name="Comma 8 2 4 6 4" xfId="50259" xr:uid="{5919E507-53FD-4E19-B9E5-1CC233D5B441}"/>
    <cellStyle name="Comma 8 2 4 6 5" xfId="54071" xr:uid="{70EA0A51-C0C0-4358-9050-54F9717EEF7D}"/>
    <cellStyle name="Comma 8 2 4 6 6" xfId="38557" xr:uid="{D237C043-85B8-458D-9B81-16B15921E52E}"/>
    <cellStyle name="Comma 8 2 4 7" xfId="7993" xr:uid="{561ED06F-C9BF-482B-9269-EF6CCF818C59}"/>
    <cellStyle name="Comma 8 2 4 7 2" xfId="12506" xr:uid="{A6466624-885B-4F8E-885A-26903C7D24D6}"/>
    <cellStyle name="Comma 8 2 4 7 2 2" xfId="47712" xr:uid="{8FF96BAC-C60F-4E9A-BA0F-2AE29AD508DD}"/>
    <cellStyle name="Comma 8 2 4 7 3" xfId="50620" xr:uid="{E1DE9A0E-DA3A-4314-A661-F2549608393C}"/>
    <cellStyle name="Comma 8 2 4 7 4" xfId="54072" xr:uid="{C6A9F62C-C7A4-47E1-B0D0-20C1A29A9702}"/>
    <cellStyle name="Comma 8 2 4 7 5" xfId="38743" xr:uid="{56C54C74-3DB6-4164-AAB7-2B4CF127D526}"/>
    <cellStyle name="Comma 8 2 4 8" xfId="5890" xr:uid="{27343A78-89D8-439B-90D4-345F6E774E7E}"/>
    <cellStyle name="Comma 8 2 4 8 2" xfId="40380" xr:uid="{4A89FE3B-2A59-4A08-8DEA-91F3A90E213F}"/>
    <cellStyle name="Comma 8 2 4 9" xfId="11378" xr:uid="{D276A792-6DE8-4FB1-BC39-9A460B85B792}"/>
    <cellStyle name="Comma 8 2 4 9 2" xfId="41022" xr:uid="{E72C9CFF-39F2-4CF3-8820-D74203AF2F2A}"/>
    <cellStyle name="Comma 8 2 5" xfId="1820" xr:uid="{59810C2A-B22E-4E57-9B57-FBB9981015D1}"/>
    <cellStyle name="Comma 8 2 5 10" xfId="42785" xr:uid="{7679B849-316F-42F5-97D8-0164FDDF58EE}"/>
    <cellStyle name="Comma 8 2 5 11" xfId="43593" xr:uid="{4810C60E-5C1C-4968-B88E-525557668B6D}"/>
    <cellStyle name="Comma 8 2 5 12" xfId="44456" xr:uid="{B5AD9BC5-1766-4036-BE92-598589BF585D}"/>
    <cellStyle name="Comma 8 2 5 13" xfId="45754" xr:uid="{08CA0824-6B9B-489D-AFE5-023ADFA549CC}"/>
    <cellStyle name="Comma 8 2 5 14" xfId="49382" xr:uid="{34BA151F-D2AA-4376-9AEC-D94DA7489225}"/>
    <cellStyle name="Comma 8 2 5 15" xfId="54073" xr:uid="{F345BFED-972F-41D5-B133-8EBF567DD081}"/>
    <cellStyle name="Comma 8 2 5 16" xfId="17138" xr:uid="{992D8C49-006E-4CFB-B7B2-CD525C7DCB5B}"/>
    <cellStyle name="Comma 8 2 5 17" xfId="13976" xr:uid="{76EF1FF1-C1B3-40AB-BD01-2025F76501EE}"/>
    <cellStyle name="Comma 8 2 5 2" xfId="4496" xr:uid="{B6F6739E-8917-4525-8A09-FF9E51E29808}"/>
    <cellStyle name="Comma 8 2 5 2 10" xfId="21133" xr:uid="{B70E7F71-ED76-483B-A072-33F494A43B33}"/>
    <cellStyle name="Comma 8 2 5 2 11" xfId="14290" xr:uid="{0AE1367A-5CD1-4B68-ADE9-D6E1E0D3A3AF}"/>
    <cellStyle name="Comma 8 2 5 2 2" xfId="5753" xr:uid="{B0161DF7-E980-40BC-BD13-E4D76AC32BAD}"/>
    <cellStyle name="Comma 8 2 5 2 2 2" xfId="10347" xr:uid="{B052A9CE-A2A7-4C14-AEF9-685FB0871311}"/>
    <cellStyle name="Comma 8 2 5 2 2 2 2" xfId="13653" xr:uid="{70AE0598-BE49-46D2-8514-58FDEBDD2361}"/>
    <cellStyle name="Comma 8 2 5 2 2 2 2 2" xfId="51452" xr:uid="{3F2E9D80-586B-4E7E-B940-896D6D81449E}"/>
    <cellStyle name="Comma 8 2 5 2 2 2 3" xfId="54074" xr:uid="{1A271173-E7AB-4FD3-A107-5BD355F284EF}"/>
    <cellStyle name="Comma 8 2 5 2 2 2 4" xfId="48697" xr:uid="{4723D3FD-9A24-4B1C-BB2E-8B3D1B989E88}"/>
    <cellStyle name="Comma 8 2 5 2 2 3" xfId="7855" xr:uid="{7F922551-9DB1-4F98-9BD0-C1277420FC1E}"/>
    <cellStyle name="Comma 8 2 5 2 2 3 2" xfId="47134" xr:uid="{1A485277-F58A-4A08-A146-08F176CF7CE7}"/>
    <cellStyle name="Comma 8 2 5 2 2 4" xfId="12368" xr:uid="{E0E899F7-BCB2-4495-A688-83687556480A}"/>
    <cellStyle name="Comma 8 2 5 2 2 4 2" xfId="50124" xr:uid="{AA9B3AF1-80F1-4571-9113-FA18FC6D290E}"/>
    <cellStyle name="Comma 8 2 5 2 2 5" xfId="54075" xr:uid="{8B6EA1DA-F9C5-4BF2-8404-993816E5A71B}"/>
    <cellStyle name="Comma 8 2 5 2 2 6" xfId="39699" xr:uid="{8911ADEE-433E-43EF-A101-0AFB890B8A9E}"/>
    <cellStyle name="Comma 8 2 5 2 2 7" xfId="14782" xr:uid="{A2429646-0849-4654-AD6B-20E3CB88C869}"/>
    <cellStyle name="Comma 8 2 5 2 3" xfId="9853" xr:uid="{B1F5675F-736C-4B1A-B1B7-ABA003220427}"/>
    <cellStyle name="Comma 8 2 5 2 3 2" xfId="13159" xr:uid="{CD70C304-8B95-4149-907C-3717909E7FED}"/>
    <cellStyle name="Comma 8 2 5 2 3 2 2" xfId="51843" xr:uid="{A7D0EE05-0611-4D41-A4B6-46724AF1E20F}"/>
    <cellStyle name="Comma 8 2 5 2 3 2 3" xfId="54076" xr:uid="{A9699359-4DD0-4428-8216-E1D7E27A1D26}"/>
    <cellStyle name="Comma 8 2 5 2 3 2 4" xfId="49163" xr:uid="{A6D11388-C3C0-4300-B480-2453C2CA708E}"/>
    <cellStyle name="Comma 8 2 5 2 3 3" xfId="47580" xr:uid="{B8C5C20E-F3FF-46BB-9F34-744B50DD74A3}"/>
    <cellStyle name="Comma 8 2 5 2 3 4" xfId="50515" xr:uid="{FB8D4480-1440-4688-A005-47317597F5E8}"/>
    <cellStyle name="Comma 8 2 5 2 3 5" xfId="54077" xr:uid="{67A102D5-034F-414D-816C-7992BD433AAB}"/>
    <cellStyle name="Comma 8 2 5 2 3 6" xfId="41552" xr:uid="{EB29A57B-704E-40D9-8D4F-E89EFA765C9D}"/>
    <cellStyle name="Comma 8 2 5 2 3 7" xfId="15097" xr:uid="{37743E1B-315F-4FC1-AE43-D3A6B74DD7DE}"/>
    <cellStyle name="Comma 8 2 5 2 4" xfId="7351" xr:uid="{F29C0CDC-14F0-4EA2-B258-BE1141A74FE5}"/>
    <cellStyle name="Comma 8 2 5 2 4 2" xfId="48307" xr:uid="{5993128B-5800-4DB4-9444-6520FF2808CE}"/>
    <cellStyle name="Comma 8 2 5 2 4 3" xfId="51125" xr:uid="{A3B936BE-5BF0-4181-9B5A-07B94B664468}"/>
    <cellStyle name="Comma 8 2 5 2 4 4" xfId="54078" xr:uid="{37839DB1-49FF-49A0-B3FA-36A356100793}"/>
    <cellStyle name="Comma 8 2 5 2 4 5" xfId="43376" xr:uid="{B1FC0B65-A3BA-453A-B557-A5BAC075E21D}"/>
    <cellStyle name="Comma 8 2 5 2 5" xfId="11874" xr:uid="{6DE1FB30-6F2C-4930-ACED-6108595B1250}"/>
    <cellStyle name="Comma 8 2 5 2 5 2" xfId="44297" xr:uid="{16D621B3-F5F3-4F84-A7A7-BA7CC4778FC1}"/>
    <cellStyle name="Comma 8 2 5 2 6" xfId="44597" xr:uid="{F892BB51-9322-4F0C-BAF0-A8F119C378E0}"/>
    <cellStyle name="Comma 8 2 5 2 7" xfId="46765" xr:uid="{5B8D2745-83F9-49C4-BD00-33C063E219F0}"/>
    <cellStyle name="Comma 8 2 5 2 8" xfId="49797" xr:uid="{61454293-4C09-4CCC-B38B-3BE3919E1644}"/>
    <cellStyle name="Comma 8 2 5 2 9" xfId="54079" xr:uid="{C2F05B6B-FD09-4129-8816-67F0FF25AE90}"/>
    <cellStyle name="Comma 8 2 5 3" xfId="5577" xr:uid="{1DEC1CA0-15B7-41E8-84E7-EA01B25A6C6A}"/>
    <cellStyle name="Comma 8 2 5 3 2" xfId="7679" xr:uid="{72B0C04A-25EE-4CEA-91C7-714EC89291F5}"/>
    <cellStyle name="Comma 8 2 5 3 2 2" xfId="10171" xr:uid="{27CF8A23-EDF9-4AE2-ADFB-A6BDAB41BDE2}"/>
    <cellStyle name="Comma 8 2 5 3 2 2 2" xfId="13477" xr:uid="{98D49C58-B600-4DB6-A1CB-3BBA6AADFA91}"/>
    <cellStyle name="Comma 8 2 5 3 2 2 2 2" xfId="51703" xr:uid="{F4675EA9-E0B0-419F-87D4-53B18E1863B1}"/>
    <cellStyle name="Comma 8 2 5 3 2 2 3" xfId="54080" xr:uid="{FF26E7D8-1489-41E1-A2B4-9021FCFDCFAF}"/>
    <cellStyle name="Comma 8 2 5 3 2 2 4" xfId="48991" xr:uid="{9681C564-BD17-4975-86C5-3485DD04F314}"/>
    <cellStyle name="Comma 8 2 5 3 2 3" xfId="12192" xr:uid="{0A60D68A-29CE-4966-B168-46F1F56108D2}"/>
    <cellStyle name="Comma 8 2 5 3 2 3 2" xfId="47415" xr:uid="{EEA55F1D-51A5-45DD-B65E-EA5F5E9120B4}"/>
    <cellStyle name="Comma 8 2 5 3 2 4" xfId="50375" xr:uid="{5A665882-3A8B-47FA-AA17-1E19A31C0897}"/>
    <cellStyle name="Comma 8 2 5 3 2 5" xfId="54081" xr:uid="{242D45D1-D0F3-4B0D-BE0F-D51196C2A068}"/>
    <cellStyle name="Comma 8 2 5 3 2 6" xfId="43866" xr:uid="{27646C3C-AC3E-418A-8B1F-8B69DE91FCA4}"/>
    <cellStyle name="Comma 8 2 5 3 2 7" xfId="14606" xr:uid="{CA0F403D-92EE-4BBF-B4CD-0AF8D1DD69A1}"/>
    <cellStyle name="Comma 8 2 5 3 3" xfId="9677" xr:uid="{2311FAD5-C937-41D0-A146-5B9E4EB814E9}"/>
    <cellStyle name="Comma 8 2 5 3 3 2" xfId="12983" xr:uid="{BAD7D95A-D45B-451F-B7C7-7741E8CA430D}"/>
    <cellStyle name="Comma 8 2 5 3 3 2 2" xfId="50985" xr:uid="{CFD9469A-3292-499B-A74C-B86E1F4D5AB3}"/>
    <cellStyle name="Comma 8 2 5 3 3 3" xfId="54082" xr:uid="{7CE54D30-F87B-42B8-A8C4-E965FC001DEC}"/>
    <cellStyle name="Comma 8 2 5 3 3 4" xfId="48136" xr:uid="{81E0968B-5A9D-49E8-9AA3-080AC0D5C037}"/>
    <cellStyle name="Comma 8 2 5 3 4" xfId="7173" xr:uid="{50A83C6A-4663-4E9F-AAE5-63F4B36E95E4}"/>
    <cellStyle name="Comma 8 2 5 3 4 2" xfId="46624" xr:uid="{3134A648-E869-4A74-B040-B485BB990ED5}"/>
    <cellStyle name="Comma 8 2 5 3 5" xfId="11698" xr:uid="{107B8BEF-B4AB-4C02-98CA-EE040A5A40B5}"/>
    <cellStyle name="Comma 8 2 5 3 5 2" xfId="49657" xr:uid="{DAF9CE68-F076-477B-AB5C-39868D1CEC7F}"/>
    <cellStyle name="Comma 8 2 5 3 6" xfId="54083" xr:uid="{2E771237-B91F-4644-A97D-803CF7584298}"/>
    <cellStyle name="Comma 8 2 5 3 7" xfId="20352" xr:uid="{B226BA27-E8E0-4FE2-B5C2-BF1E35388D86}"/>
    <cellStyle name="Comma 8 2 5 3 8" xfId="14114" xr:uid="{FF834FF7-C9B2-4ABB-855F-FC0E9F87D0AF}"/>
    <cellStyle name="Comma 8 2 5 4" xfId="6567" xr:uid="{495EFA4E-A449-408D-BF62-9D4B7B256B28}"/>
    <cellStyle name="Comma 8 2 5 4 2" xfId="9539" xr:uid="{30C3B2D3-B81E-4D52-A724-5D49FB68C8CB}"/>
    <cellStyle name="Comma 8 2 5 4 2 2" xfId="12845" xr:uid="{674E1029-DF5D-4196-B124-6BD201B86C3D}"/>
    <cellStyle name="Comma 8 2 5 4 2 2 2" xfId="50870" xr:uid="{F725AD1D-D26D-439B-9F01-9F88A1C8C0E1}"/>
    <cellStyle name="Comma 8 2 5 4 2 3" xfId="54084" xr:uid="{085A279A-447C-4A84-9CD8-77BCD585CD8B}"/>
    <cellStyle name="Comma 8 2 5 4 2 4" xfId="48001" xr:uid="{B1A6A5EC-7767-445A-A914-D03452F09FE9}"/>
    <cellStyle name="Comma 8 2 5 4 3" xfId="11560" xr:uid="{915FC48A-D26A-4111-B4DA-8824575B6FFC}"/>
    <cellStyle name="Comma 8 2 5 4 3 2" xfId="46206" xr:uid="{9D63FB44-599F-4F76-A969-719A307DC594}"/>
    <cellStyle name="Comma 8 2 5 4 4" xfId="49542" xr:uid="{AB7AF13C-A1EE-4421-B25A-D8131F7089A8}"/>
    <cellStyle name="Comma 8 2 5 4 5" xfId="54085" xr:uid="{918578C3-228D-4DD2-A23A-DD9D9E034EAE}"/>
    <cellStyle name="Comma 8 2 5 4 6" xfId="24064" xr:uid="{B63A8F28-BA71-4FDF-ABB3-F9146D1D13F5}"/>
    <cellStyle name="Comma 8 2 5 4 7" xfId="14468" xr:uid="{B726BD60-5331-4C72-ADF7-1848B0E35178}"/>
    <cellStyle name="Comma 8 2 5 5" xfId="7541" xr:uid="{AE39F6F0-CB3F-44D1-97F5-333DA479B965}"/>
    <cellStyle name="Comma 8 2 5 5 2" xfId="10033" xr:uid="{A8519451-D4C4-4CE6-9BE4-EA6227B03982}"/>
    <cellStyle name="Comma 8 2 5 5 2 2" xfId="13339" xr:uid="{00C4F535-FA48-4D47-994A-16B93F04EB21}"/>
    <cellStyle name="Comma 8 2 5 5 2 2 2" xfId="51332" xr:uid="{B82CFADB-7484-4FE1-84ED-113E9956CE75}"/>
    <cellStyle name="Comma 8 2 5 5 2 3" xfId="54086" xr:uid="{8D3D1F61-086D-454B-8C91-B3524F657B46}"/>
    <cellStyle name="Comma 8 2 5 5 2 4" xfId="48546" xr:uid="{A7EA3FB5-425E-432C-8047-6D1781E85451}"/>
    <cellStyle name="Comma 8 2 5 5 3" xfId="12054" xr:uid="{BC946011-16D5-48C6-BC22-8C8AC82338BD}"/>
    <cellStyle name="Comma 8 2 5 5 3 2" xfId="46985" xr:uid="{6609BE9F-A4AA-4C94-8C00-6D48F79B4A2C}"/>
    <cellStyle name="Comma 8 2 5 5 4" xfId="50004" xr:uid="{F607BEA4-DB6D-4BBE-871C-1AEC1B277730}"/>
    <cellStyle name="Comma 8 2 5 5 5" xfId="54087" xr:uid="{D8E1B7E1-49F1-40E4-9044-6C85CC1188D2}"/>
    <cellStyle name="Comma 8 2 5 5 6" xfId="38561" xr:uid="{879192C9-919B-46C2-AA5D-3F8C5CA6FE5B}"/>
    <cellStyle name="Comma 8 2 5 5 7" xfId="14921" xr:uid="{94CD27F8-2AE7-4FBE-9CFF-1A3AFB4DFACE}"/>
    <cellStyle name="Comma 8 2 5 6" xfId="8207" xr:uid="{4EB2DABF-DEF7-4233-B9D9-B916EF7F3CDB}"/>
    <cellStyle name="Comma 8 2 5 6 2" xfId="12663" xr:uid="{2A2B1EA2-3D9A-4946-B880-E5AC0CA8F38F}"/>
    <cellStyle name="Comma 8 2 5 6 2 2" xfId="51588" xr:uid="{28145BEE-B981-40CE-94CE-A6931B2E606D}"/>
    <cellStyle name="Comma 8 2 5 6 2 3" xfId="54088" xr:uid="{C9470B67-3EE2-45E6-BFD3-183C070801DA}"/>
    <cellStyle name="Comma 8 2 5 6 2 4" xfId="48853" xr:uid="{21B81E80-6092-481C-8BD3-36F5542CCB4D}"/>
    <cellStyle name="Comma 8 2 5 6 3" xfId="47282" xr:uid="{74E56B1E-E4A2-48C4-94DD-171A0D308786}"/>
    <cellStyle name="Comma 8 2 5 6 4" xfId="50260" xr:uid="{5D4CAEFD-C006-4436-B1BA-783526214835}"/>
    <cellStyle name="Comma 8 2 5 6 5" xfId="54089" xr:uid="{D3FEA72E-E0C5-47F8-9982-257A97FF3BCE}"/>
    <cellStyle name="Comma 8 2 5 6 6" xfId="39108" xr:uid="{98A9ECF1-ED40-4528-9894-528C121CFE96}"/>
    <cellStyle name="Comma 8 2 5 7" xfId="7994" xr:uid="{862FA702-7714-4C6E-9EEA-C32992941D66}"/>
    <cellStyle name="Comma 8 2 5 7 2" xfId="12507" xr:uid="{21795B05-1E37-4F61-BA9C-2F360D31F8E3}"/>
    <cellStyle name="Comma 8 2 5 7 2 2" xfId="47822" xr:uid="{33626FC3-068C-488E-9A58-68E1D340261C}"/>
    <cellStyle name="Comma 8 2 5 7 3" xfId="50710" xr:uid="{2D92344A-DBA3-4602-8A17-910993FA58DD}"/>
    <cellStyle name="Comma 8 2 5 7 4" xfId="54090" xr:uid="{32D18040-826A-4E87-8D81-4F7ABD0F3F01}"/>
    <cellStyle name="Comma 8 2 5 7 5" xfId="40384" xr:uid="{D24B3EAF-6680-460A-AA71-A2F880653030}"/>
    <cellStyle name="Comma 8 2 5 8" xfId="5891" xr:uid="{B155D271-72A2-44D2-9FE9-A2745497B567}"/>
    <cellStyle name="Comma 8 2 5 8 2" xfId="41026" xr:uid="{13E596BA-0F5E-435C-9834-7EA3B968BD17}"/>
    <cellStyle name="Comma 8 2 5 9" xfId="11379" xr:uid="{FD64F57C-DF3D-4224-BF92-0CCFF5A544B4}"/>
    <cellStyle name="Comma 8 2 5 9 2" xfId="42238" xr:uid="{19106463-9D6E-444F-8CCC-02E29190DDDF}"/>
    <cellStyle name="Comma 8 2 6" xfId="4488" xr:uid="{DA5D44D5-8765-4EC8-981F-80A74A2E7D59}"/>
    <cellStyle name="Comma 8 2 6 10" xfId="42860" xr:uid="{5F42A470-B7D6-4C42-BD16-741AF85F1A9E}"/>
    <cellStyle name="Comma 8 2 6 11" xfId="43585" xr:uid="{A7DC3420-1E50-41B0-B1FC-B291456A0329}"/>
    <cellStyle name="Comma 8 2 6 12" xfId="44589" xr:uid="{B942B5C6-8EF9-4CAC-B2B2-87EEBEDC78A7}"/>
    <cellStyle name="Comma 8 2 6 13" xfId="45737" xr:uid="{A899EDE1-AA09-4660-B9E6-E4498FBE894C}"/>
    <cellStyle name="Comma 8 2 6 14" xfId="49365" xr:uid="{711D4A30-B778-4B9C-91AE-DB48275ACE49}"/>
    <cellStyle name="Comma 8 2 6 15" xfId="54091" xr:uid="{368090C0-737C-4512-9FC2-29B2468D943B}"/>
    <cellStyle name="Comma 8 2 6 16" xfId="19766" xr:uid="{72F42279-5578-465A-B1D6-99A0B3FAB930}"/>
    <cellStyle name="Comma 8 2 6 17" xfId="13968" xr:uid="{03E66C56-338B-4E37-9007-48519037A20C}"/>
    <cellStyle name="Comma 8 2 6 2" xfId="5745" xr:uid="{9480D95F-DFBC-4FBB-8ADE-116BDAFB0042}"/>
    <cellStyle name="Comma 8 2 6 2 10" xfId="23383" xr:uid="{6E1FC9B8-26E3-420C-8274-0E026C1223DC}"/>
    <cellStyle name="Comma 8 2 6 2 11" xfId="14282" xr:uid="{A0C65B2C-F76E-4C09-BE97-E9B4E301300F}"/>
    <cellStyle name="Comma 8 2 6 2 2" xfId="7847" xr:uid="{BC502C07-6975-4E32-9C1B-2EDFD31899A1}"/>
    <cellStyle name="Comma 8 2 6 2 2 2" xfId="10339" xr:uid="{00A6AE95-836E-4409-955D-F731E99AB7D1}"/>
    <cellStyle name="Comma 8 2 6 2 2 2 2" xfId="13645" xr:uid="{442F9498-E456-4718-AF25-420F5DFA789B}"/>
    <cellStyle name="Comma 8 2 6 2 2 2 2 2" xfId="51835" xr:uid="{623F3DF4-33AA-45A9-A7C0-B8743C67F03F}"/>
    <cellStyle name="Comma 8 2 6 2 2 2 3" xfId="54092" xr:uid="{0ED1AE91-B0E0-4699-A06A-60B413089E4B}"/>
    <cellStyle name="Comma 8 2 6 2 2 2 4" xfId="49155" xr:uid="{6A331FF8-5F1A-4EB2-B267-EA0BC9B478EC}"/>
    <cellStyle name="Comma 8 2 6 2 2 3" xfId="12360" xr:uid="{A8C95B7A-B710-473D-B850-99C904A3BD49}"/>
    <cellStyle name="Comma 8 2 6 2 2 3 2" xfId="47572" xr:uid="{E82E1A3E-7A1E-4CDC-938E-635843AFBB1F}"/>
    <cellStyle name="Comma 8 2 6 2 2 4" xfId="50507" xr:uid="{B5132724-AEDE-4403-A169-928BA8BE3468}"/>
    <cellStyle name="Comma 8 2 6 2 2 5" xfId="54093" xr:uid="{AC23CAAB-BB0B-420C-8147-F21D60A30F69}"/>
    <cellStyle name="Comma 8 2 6 2 2 6" xfId="39774" xr:uid="{37E06533-C89D-4881-8C91-FF66BFDC6E1D}"/>
    <cellStyle name="Comma 8 2 6 2 2 7" xfId="14774" xr:uid="{DB61767A-4A62-46F9-B159-046C5FC4FB81}"/>
    <cellStyle name="Comma 8 2 6 2 3" xfId="9845" xr:uid="{468AD057-2195-4D57-8462-9148EA870DD5}"/>
    <cellStyle name="Comma 8 2 6 2 3 2" xfId="13151" xr:uid="{E63DE41F-8749-4127-9C5C-B47EC5F90061}"/>
    <cellStyle name="Comma 8 2 6 2 3 2 2" xfId="48299" xr:uid="{1BE8193F-1700-47B7-A753-95893A88446A}"/>
    <cellStyle name="Comma 8 2 6 2 3 3" xfId="51117" xr:uid="{8303C64A-B4A2-44EE-B304-E438A9065774}"/>
    <cellStyle name="Comma 8 2 6 2 3 4" xfId="54094" xr:uid="{2D9B2097-60A0-46C6-AEEF-C0CD58BDEDCF}"/>
    <cellStyle name="Comma 8 2 6 2 3 5" xfId="41627" xr:uid="{C1326F6B-2723-4E9E-B7FC-4F4F0A851B00}"/>
    <cellStyle name="Comma 8 2 6 2 4" xfId="7343" xr:uid="{C11AC728-0AEB-4386-BBA6-AFD9082BD6DD}"/>
    <cellStyle name="Comma 8 2 6 2 4 2" xfId="43451" xr:uid="{85CEE1B2-E6E4-4EB1-8B07-74F5886A8087}"/>
    <cellStyle name="Comma 8 2 6 2 5" xfId="11866" xr:uid="{03154534-58A3-4CB0-A8C1-BE5B23FC89D8}"/>
    <cellStyle name="Comma 8 2 6 2 5 2" xfId="44289" xr:uid="{CB498A27-9D1F-4AAB-9A6B-8734B9B79070}"/>
    <cellStyle name="Comma 8 2 6 2 6" xfId="45527" xr:uid="{2BD6B3A5-3A88-4B73-BCA6-DB792A110B2E}"/>
    <cellStyle name="Comma 8 2 6 2 7" xfId="46757" xr:uid="{ACB0EB49-549B-4302-A68A-3235BB9994EE}"/>
    <cellStyle name="Comma 8 2 6 2 8" xfId="49789" xr:uid="{E04A8F19-F9B7-43A0-B891-370823563F6F}"/>
    <cellStyle name="Comma 8 2 6 2 9" xfId="54095" xr:uid="{9C1104A8-B8C6-4497-BE45-561988960B91}"/>
    <cellStyle name="Comma 8 2 6 3" xfId="7533" xr:uid="{A9C39B79-13EC-4B72-8C41-0DED257E7EE6}"/>
    <cellStyle name="Comma 8 2 6 3 2" xfId="10025" xr:uid="{2EF6A770-99A0-4A93-AA41-3D2BFF76B254}"/>
    <cellStyle name="Comma 8 2 6 3 2 2" xfId="13331" xr:uid="{E9A122AC-B3DF-4370-B4FD-31A2DCFBC66C}"/>
    <cellStyle name="Comma 8 2 6 3 2 2 2" xfId="50862" xr:uid="{E799B0FD-B741-411B-B199-C69F16997773}"/>
    <cellStyle name="Comma 8 2 6 3 2 3" xfId="54096" xr:uid="{E2C02CD2-DCC1-45A5-91C4-0FAFE5A1DD09}"/>
    <cellStyle name="Comma 8 2 6 3 2 4" xfId="47993" xr:uid="{FE121497-FBC2-413F-9D6D-35551C4701BD}"/>
    <cellStyle name="Comma 8 2 6 3 3" xfId="12046" xr:uid="{951EA2F4-3CC6-46D4-8414-71416129107D}"/>
    <cellStyle name="Comma 8 2 6 3 3 2" xfId="46198" xr:uid="{D3D4FB61-6B03-4F84-858E-58F0DD17B9AF}"/>
    <cellStyle name="Comma 8 2 6 3 4" xfId="49534" xr:uid="{97B6EA62-D169-462D-ABE8-1F2816353F29}"/>
    <cellStyle name="Comma 8 2 6 3 5" xfId="54097" xr:uid="{A6EC5EDF-834C-46E2-B0A4-AB8A51DB5015}"/>
    <cellStyle name="Comma 8 2 6 3 6" xfId="20427" xr:uid="{F3FEB823-9C04-42B1-ABAF-65E7B038355B}"/>
    <cellStyle name="Comma 8 2 6 3 7" xfId="14460" xr:uid="{DCDA2D4B-EB85-4ADC-9440-BCD99CDD237A}"/>
    <cellStyle name="Comma 8 2 6 4" xfId="11166" xr:uid="{6235028E-BB7A-4A4A-A606-336017F88BDF}"/>
    <cellStyle name="Comma 8 2 6 4 2" xfId="13761" xr:uid="{074430F0-27DB-4509-BB64-62A906E23022}"/>
    <cellStyle name="Comma 8 2 6 4 2 2" xfId="51324" xr:uid="{A216F893-E66F-4C60-A556-5ED48290F208}"/>
    <cellStyle name="Comma 8 2 6 4 2 3" xfId="54098" xr:uid="{786D995D-171F-40C8-8361-487E653F6AB2}"/>
    <cellStyle name="Comma 8 2 6 4 2 4" xfId="48538" xr:uid="{5F366355-9E3A-4C7D-BBBC-B119137E0EE0}"/>
    <cellStyle name="Comma 8 2 6 4 3" xfId="46977" xr:uid="{C83DFC56-FF27-42F1-9CC8-7D7A799366D4}"/>
    <cellStyle name="Comma 8 2 6 4 4" xfId="49996" xr:uid="{9BD47890-1C70-4EBE-A08D-4DC42C15B28C}"/>
    <cellStyle name="Comma 8 2 6 4 5" xfId="54099" xr:uid="{EBB01B6C-7BC7-4BDF-A9E6-1C4295E5BA19}"/>
    <cellStyle name="Comma 8 2 6 4 6" xfId="24065" xr:uid="{BB29573E-C346-475D-8B08-552EC62E5E61}"/>
    <cellStyle name="Comma 8 2 6 4 7" xfId="15089" xr:uid="{5834A818-CF83-4571-BCDE-DAC201035AB7}"/>
    <cellStyle name="Comma 8 2 6 5" xfId="9531" xr:uid="{00BFACBE-BEE6-4362-A51C-40B9F89E289C}"/>
    <cellStyle name="Comma 8 2 6 5 2" xfId="12837" xr:uid="{A76236A8-7DED-4CA7-B167-8BCA099FB74F}"/>
    <cellStyle name="Comma 8 2 6 5 2 2" xfId="51580" xr:uid="{18DFA3C0-B722-4FE7-B509-5F76AA0BCB5D}"/>
    <cellStyle name="Comma 8 2 6 5 2 3" xfId="54100" xr:uid="{26B09AE0-AD57-4E9D-BE9E-C91EE60F0636}"/>
    <cellStyle name="Comma 8 2 6 5 2 4" xfId="48845" xr:uid="{BFFE7E66-DB81-4960-B2ED-A3E5CFEFC26E}"/>
    <cellStyle name="Comma 8 2 6 5 3" xfId="47274" xr:uid="{439675E5-415C-4B32-93BB-D8411F62745F}"/>
    <cellStyle name="Comma 8 2 6 5 4" xfId="50252" xr:uid="{D560B119-6BB0-412F-AF92-4A3CA723D33E}"/>
    <cellStyle name="Comma 8 2 6 5 5" xfId="54101" xr:uid="{8B3EFB65-A4A3-4EFA-BFB7-3173A0439B0A}"/>
    <cellStyle name="Comma 8 2 6 5 6" xfId="38562" xr:uid="{8B1E6B59-61B7-4EA9-B6B3-2432935A9DE3}"/>
    <cellStyle name="Comma 8 2 6 6" xfId="6559" xr:uid="{B30C6FD1-9771-4A4E-98D1-948639BD0904}"/>
    <cellStyle name="Comma 8 2 6 6 2" xfId="47794" xr:uid="{3422AB65-BF4D-4E83-8FCD-425F74930755}"/>
    <cellStyle name="Comma 8 2 6 6 3" xfId="50693" xr:uid="{0B1E4EC4-22FD-4B42-9B73-84C5B955E0A7}"/>
    <cellStyle name="Comma 8 2 6 6 4" xfId="54102" xr:uid="{F5551442-E96C-4E3F-A979-151E49C79B6A}"/>
    <cellStyle name="Comma 8 2 6 6 5" xfId="39183" xr:uid="{4FDF7177-C4F5-4676-8543-36EDD6FFA346}"/>
    <cellStyle name="Comma 8 2 6 7" xfId="11552" xr:uid="{7860CC78-4FA3-48E9-8D8F-DD4B3826E018}"/>
    <cellStyle name="Comma 8 2 6 7 2" xfId="40385" xr:uid="{D24682E5-C698-4BDB-8B11-5A310B7124A3}"/>
    <cellStyle name="Comma 8 2 6 8" xfId="41027" xr:uid="{8CC39767-BB28-4B74-BB0D-33A8EF7085D3}"/>
    <cellStyle name="Comma 8 2 6 9" xfId="42239" xr:uid="{689FE2EA-BC7D-4589-8A3C-44FC50E304D4}"/>
    <cellStyle name="Comma 8 2 7" xfId="3897" xr:uid="{17895148-3086-4D51-9977-A233CCE7A51B}"/>
    <cellStyle name="Comma 8 2 7 10" xfId="44495" xr:uid="{FA55BCB2-DCFC-4C0E-89E8-3AE0E166634B}"/>
    <cellStyle name="Comma 8 2 7 11" xfId="46662" xr:uid="{3C0165E2-75FF-4815-A76B-CC73603F21B5}"/>
    <cellStyle name="Comma 8 2 7 12" xfId="49695" xr:uid="{5E1885A3-326D-446B-AA95-71054F2AEE27}"/>
    <cellStyle name="Comma 8 2 7 13" xfId="54103" xr:uid="{1410E73B-6FD6-4F69-A927-2BCAB90A9C24}"/>
    <cellStyle name="Comma 8 2 7 14" xfId="20520" xr:uid="{AA34BFFF-3794-4E71-A81B-547F492213E9}"/>
    <cellStyle name="Comma 8 2 7 15" xfId="14176" xr:uid="{F9FE069E-205A-45AB-8E4E-E42C6BDE5687}"/>
    <cellStyle name="Comma 8 2 7 2" xfId="5639" xr:uid="{CAC7B089-2A38-4897-B545-771B721505FF}"/>
    <cellStyle name="Comma 8 2 7 2 2" xfId="10233" xr:uid="{DC448B0B-5F3D-45C2-A3E6-FBD3691C3B78}"/>
    <cellStyle name="Comma 8 2 7 2 2 2" xfId="13539" xr:uid="{3C605F67-D393-49C0-9E11-76A5CA3E77A7}"/>
    <cellStyle name="Comma 8 2 7 2 2 2 2" xfId="51230" xr:uid="{20B52B04-2ADA-42CF-AE90-22C880E57969}"/>
    <cellStyle name="Comma 8 2 7 2 2 3" xfId="54104" xr:uid="{352D1EDE-C1A1-4714-92D7-9030AC67569D}"/>
    <cellStyle name="Comma 8 2 7 2 2 4" xfId="48436" xr:uid="{1036F571-C1D5-48ED-98F5-E895E5631AA7}"/>
    <cellStyle name="Comma 8 2 7 2 3" xfId="7741" xr:uid="{8E256FFF-69DC-413B-8D70-BE09BE640491}"/>
    <cellStyle name="Comma 8 2 7 2 3 2" xfId="46880" xr:uid="{086BC463-8632-41D2-A4B2-2FC91CF61C61}"/>
    <cellStyle name="Comma 8 2 7 2 4" xfId="12254" xr:uid="{AE723948-1F05-4C07-98CE-B7A837545A95}"/>
    <cellStyle name="Comma 8 2 7 2 4 2" xfId="49902" xr:uid="{A6645033-D46A-479D-B99A-BC947366758E}"/>
    <cellStyle name="Comma 8 2 7 2 5" xfId="54105" xr:uid="{0FB4677E-F7BC-4F4F-9C43-8606953F026F}"/>
    <cellStyle name="Comma 8 2 7 2 6" xfId="24066" xr:uid="{28EE5EF7-8904-4D46-B499-9490C96513A7}"/>
    <cellStyle name="Comma 8 2 7 2 7" xfId="14668" xr:uid="{9FFD75FA-566C-408C-8BEE-93592553810D}"/>
    <cellStyle name="Comma 8 2 7 3" xfId="9739" xr:uid="{C89D5F54-95EB-4CE8-B72B-248B0F0CD7C4}"/>
    <cellStyle name="Comma 8 2 7 3 2" xfId="13045" xr:uid="{28EF07A0-8A60-4BB4-8246-ACD4D58E8AC3}"/>
    <cellStyle name="Comma 8 2 7 3 2 2" xfId="51741" xr:uid="{098C2826-E434-4081-B1D2-773F6DFD5A28}"/>
    <cellStyle name="Comma 8 2 7 3 2 3" xfId="54106" xr:uid="{A26857A0-A08F-4F43-A597-472E172D415F}"/>
    <cellStyle name="Comma 8 2 7 3 2 4" xfId="49051" xr:uid="{449F5293-14EF-413C-87C0-0F6E72B9E4C5}"/>
    <cellStyle name="Comma 8 2 7 3 3" xfId="47470" xr:uid="{F691B31C-5787-43DD-9E2C-CC05182ED13D}"/>
    <cellStyle name="Comma 8 2 7 3 4" xfId="50413" xr:uid="{116FB1E2-BE30-4A4E-84EC-3089BC5F8697}"/>
    <cellStyle name="Comma 8 2 7 3 5" xfId="54107" xr:uid="{74F7459D-AD30-4778-9457-A1A14586F933}"/>
    <cellStyle name="Comma 8 2 7 3 6" xfId="38563" xr:uid="{7E46EAB8-808B-4C96-AD33-1925A67706EE}"/>
    <cellStyle name="Comma 8 2 7 3 7" xfId="14983" xr:uid="{D8D4C676-4DD5-4825-9116-417E6A9293C1}"/>
    <cellStyle name="Comma 8 2 7 4" xfId="7235" xr:uid="{B8C79E55-08E6-4C68-A830-62D9E43C8B3E}"/>
    <cellStyle name="Comma 8 2 7 4 2" xfId="48196" xr:uid="{A024A9FC-8AEF-447F-B989-9312D0C045C6}"/>
    <cellStyle name="Comma 8 2 7 4 3" xfId="51023" xr:uid="{EBCAE045-1592-4BF5-A5C4-C140ABC492F1}"/>
    <cellStyle name="Comma 8 2 7 4 4" xfId="54108" xr:uid="{F5E79F77-1FB9-4662-8C8B-AFE579A976DB}"/>
    <cellStyle name="Comma 8 2 7 4 5" xfId="39275" xr:uid="{B175B0D5-F9DE-4EAA-9058-7E36E3E991E0}"/>
    <cellStyle name="Comma 8 2 7 5" xfId="11760" xr:uid="{F24FA760-5B4C-4AFF-9917-5084DC600A00}"/>
    <cellStyle name="Comma 8 2 7 5 2" xfId="40386" xr:uid="{989A2A96-E52F-4A59-A5B8-25102AE640F1}"/>
    <cellStyle name="Comma 8 2 7 6" xfId="41028" xr:uid="{C575D6D2-FEEC-4393-968D-EB1FEE98E8F6}"/>
    <cellStyle name="Comma 8 2 7 7" xfId="42240" xr:uid="{6A769E67-BED7-4212-A0DF-FA0B05462D9E}"/>
    <cellStyle name="Comma 8 2 7 8" xfId="42952" xr:uid="{8837AC9A-0CBB-4B28-B886-7FB5FD438129}"/>
    <cellStyle name="Comma 8 2 7 9" xfId="43908" xr:uid="{BF6131EC-D48D-4D40-BD67-8F1B0CEF1CB0}"/>
    <cellStyle name="Comma 8 2 8" xfId="5569" xr:uid="{DBBD77D9-8446-4782-8C41-A5E296D66D88}"/>
    <cellStyle name="Comma 8 2 8 2" xfId="7671" xr:uid="{209B2C09-A42E-4024-A4FF-74ECD6CDB81C}"/>
    <cellStyle name="Comma 8 2 8 2 2" xfId="10163" xr:uid="{61D93B49-0C12-4976-A37F-B2DD6D522C14}"/>
    <cellStyle name="Comma 8 2 8 2 2 2" xfId="13469" xr:uid="{1AF51319-37D4-4963-AF4B-5543EF10C626}"/>
    <cellStyle name="Comma 8 2 8 2 2 2 2" xfId="51409" xr:uid="{4FA83C44-2420-40DA-8D6D-25B9C60A7536}"/>
    <cellStyle name="Comma 8 2 8 2 2 3" xfId="54109" xr:uid="{337548DA-F0B7-4C5C-B8A8-B289BE7457FE}"/>
    <cellStyle name="Comma 8 2 8 2 2 4" xfId="48646" xr:uid="{70E02785-C80F-4ADF-A16D-EE6E8FB16351}"/>
    <cellStyle name="Comma 8 2 8 2 3" xfId="12184" xr:uid="{6BEE7095-8FC8-4B5B-9D7D-EE84B8CCD116}"/>
    <cellStyle name="Comma 8 2 8 2 3 2" xfId="47080" xr:uid="{00C6A18B-CA01-4839-88E0-499A55FBAF23}"/>
    <cellStyle name="Comma 8 2 8 2 4" xfId="50081" xr:uid="{39071CB7-73D4-4D73-A030-2ACF9F490A87}"/>
    <cellStyle name="Comma 8 2 8 2 5" xfId="54110" xr:uid="{C018AE83-F39C-443F-85DD-A53A497BED11}"/>
    <cellStyle name="Comma 8 2 8 2 6" xfId="43858" xr:uid="{72A324CE-4D6B-45D3-A553-AF2D21D6D748}"/>
    <cellStyle name="Comma 8 2 8 2 7" xfId="14598" xr:uid="{CD90D0A2-3096-4842-8649-EF8DC7B70301}"/>
    <cellStyle name="Comma 8 2 8 3" xfId="9669" xr:uid="{CA857A06-3C5B-43E7-97A9-A772CE008E21}"/>
    <cellStyle name="Comma 8 2 8 3 2" xfId="12975" xr:uid="{EF54B0EA-31A8-4782-8B11-1D809BF1D82E}"/>
    <cellStyle name="Comma 8 2 8 3 2 2" xfId="51695" xr:uid="{BD788A1F-FC00-4E69-989F-B88B77BE038B}"/>
    <cellStyle name="Comma 8 2 8 3 2 3" xfId="54111" xr:uid="{1F7CF58A-FFA8-4A3C-84E6-BC54467724A7}"/>
    <cellStyle name="Comma 8 2 8 3 2 4" xfId="48983" xr:uid="{78C2055A-21C3-4B24-99B6-02E6C44C05E3}"/>
    <cellStyle name="Comma 8 2 8 3 3" xfId="50367" xr:uid="{0E749CFC-01B6-49D0-9756-91F47E7761C3}"/>
    <cellStyle name="Comma 8 2 8 3 4" xfId="54112" xr:uid="{8D9A17CD-9EDC-4FE0-A3E7-EFA52E3727A0}"/>
    <cellStyle name="Comma 8 2 8 3 5" xfId="47407" xr:uid="{4DF0903A-F618-4475-A779-B0E1F7D324AA}"/>
    <cellStyle name="Comma 8 2 8 4" xfId="7165" xr:uid="{80AC192B-2492-4414-AAE1-0CD014D5571F}"/>
    <cellStyle name="Comma 8 2 8 4 2" xfId="50977" xr:uid="{ED4E38C4-F6E2-47E4-926D-A28D67E3EF11}"/>
    <cellStyle name="Comma 8 2 8 4 3" xfId="54113" xr:uid="{BAA83FF1-679D-4D24-8319-D2849F0D419B}"/>
    <cellStyle name="Comma 8 2 8 4 4" xfId="48128" xr:uid="{963D1442-6524-42FE-A1C7-EACF89B5B9AD}"/>
    <cellStyle name="Comma 8 2 8 5" xfId="11690" xr:uid="{24B979C5-ADC6-433D-967C-82A7BA68E241}"/>
    <cellStyle name="Comma 8 2 8 5 2" xfId="46616" xr:uid="{4BD2E6D6-1CB1-4C7C-A2A1-E6187C6E62C4}"/>
    <cellStyle name="Comma 8 2 8 6" xfId="49649" xr:uid="{6E22CBBB-3AE1-46EA-A06C-E7C31800C75E}"/>
    <cellStyle name="Comma 8 2 8 7" xfId="54114" xr:uid="{E869D0BC-EBCD-4E5A-B0D0-C0CC0E5C6E55}"/>
    <cellStyle name="Comma 8 2 8 8" xfId="19927" xr:uid="{2F74EEE1-CAD0-4922-A272-BB7C0DBE3CFB}"/>
    <cellStyle name="Comma 8 2 8 9" xfId="14106" xr:uid="{A88D92A7-F46C-484B-90FB-19DF8DAC3AA2}"/>
    <cellStyle name="Comma 8 2 9" xfId="5964" xr:uid="{920DBEA2-E5BC-4A00-9484-759CBF945E75}"/>
    <cellStyle name="Comma 8 2 9 2" xfId="9422" xr:uid="{A013E2BD-3EC1-40FD-B187-B5ADDE35801D}"/>
    <cellStyle name="Comma 8 2 9 2 2" xfId="12728" xr:uid="{248752C8-8564-4ECE-8473-CCA52970A309}"/>
    <cellStyle name="Comma 8 2 9 2 2 2" xfId="50768" xr:uid="{24238BF0-A196-4C9B-83A6-7C4098CAE7D1}"/>
    <cellStyle name="Comma 8 2 9 2 3" xfId="54115" xr:uid="{CB8F8769-91DD-40E2-AC35-D55164D132AA}"/>
    <cellStyle name="Comma 8 2 9 2 4" xfId="47891" xr:uid="{B9F413E1-6F70-4884-A6FA-18F6AD186FBF}"/>
    <cellStyle name="Comma 8 2 9 3" xfId="11443" xr:uid="{3FCA6607-BF3B-4BB6-A3E8-F1235EE15466}"/>
    <cellStyle name="Comma 8 2 9 3 2" xfId="45818" xr:uid="{EEA986E1-E6D0-413F-AF42-96C1BDB221A5}"/>
    <cellStyle name="Comma 8 2 9 4" xfId="49440" xr:uid="{082A96FD-F51C-43B6-B03A-A9A594286D95}"/>
    <cellStyle name="Comma 8 2 9 5" xfId="54116" xr:uid="{DF5F2012-7009-4A8A-BEB1-0ECB04D1621E}"/>
    <cellStyle name="Comma 8 2 9 6" xfId="24049" xr:uid="{82EA5080-B127-49EF-92D5-532ABBA4EA2C}"/>
    <cellStyle name="Comma 8 2 9 7" xfId="14354" xr:uid="{26341768-C3FE-467F-8C94-B051972DEB50}"/>
    <cellStyle name="Comma 8 20" xfId="45595" xr:uid="{53F9C9B2-BD7A-4552-AB35-DBE9FE0BD0D6}"/>
    <cellStyle name="Comma 8 21" xfId="49225" xr:uid="{C200C416-D6C8-4CF7-BCD6-A6EB3497C4C4}"/>
    <cellStyle name="Comma 8 22" xfId="54117" xr:uid="{EA58D1E4-B777-4475-9EFE-E8B8EB4F6777}"/>
    <cellStyle name="Comma 8 23" xfId="15225" xr:uid="{51A3EB1D-8BDF-4512-9E84-BB0EA73D6BAE}"/>
    <cellStyle name="Comma 8 24" xfId="13967" xr:uid="{59134051-58AC-457F-BF80-CB40C8460F59}"/>
    <cellStyle name="Comma 8 3" xfId="1821" xr:uid="{FD73F9AC-6A2E-4234-A575-DEE1CF443BB6}"/>
    <cellStyle name="Comma 8 3 10" xfId="8208" xr:uid="{6C35CE75-30CB-4F39-A0A4-23A2728E599C}"/>
    <cellStyle name="Comma 8 3 10 2" xfId="12664" xr:uid="{79195248-DCEF-4348-8412-EF03CFA20609}"/>
    <cellStyle name="Comma 8 3 10 2 2" xfId="51489" xr:uid="{E4EC51D9-D835-479C-ABF6-3A7557AB6508}"/>
    <cellStyle name="Comma 8 3 10 2 3" xfId="54118" xr:uid="{F7041603-EAD0-4430-8183-69E17011C069}"/>
    <cellStyle name="Comma 8 3 10 2 4" xfId="48745" xr:uid="{8A3BB0EF-A69F-4CF8-A0D2-F69A26656D61}"/>
    <cellStyle name="Comma 8 3 10 3" xfId="47180" xr:uid="{B9709852-4974-4370-99B2-5AC1E5238F25}"/>
    <cellStyle name="Comma 8 3 10 4" xfId="50161" xr:uid="{A5568680-CFAA-4E4C-B761-F32EEDFE2FF9}"/>
    <cellStyle name="Comma 8 3 10 5" xfId="54119" xr:uid="{414A83D9-6461-4BB8-9A57-FFCF57726A32}"/>
    <cellStyle name="Comma 8 3 10 6" xfId="38745" xr:uid="{E73C202C-40AA-4C33-95C6-DA6AD937396E}"/>
    <cellStyle name="Comma 8 3 11" xfId="7995" xr:uid="{C5935558-EA44-4DE6-BC05-EB983D157167}"/>
    <cellStyle name="Comma 8 3 11 2" xfId="12508" xr:uid="{77D5B2CA-8BF4-4993-8594-A4407DC83A84}"/>
    <cellStyle name="Comma 8 3 11 2 2" xfId="47644" xr:uid="{288518AE-F3C0-49E5-B530-ECE5FCC2EE40}"/>
    <cellStyle name="Comma 8 3 11 3" xfId="50557" xr:uid="{76031A0B-6D98-491B-9360-E39F87D50024}"/>
    <cellStyle name="Comma 8 3 11 4" xfId="54120" xr:uid="{79A2181D-6546-44AC-83F4-92E391A5974D}"/>
    <cellStyle name="Comma 8 3 11 5" xfId="40387" xr:uid="{7FB2239F-BA78-42CF-8DB2-1D2137758E49}"/>
    <cellStyle name="Comma 8 3 12" xfId="5892" xr:uid="{108931DB-EE66-48CE-ACEA-ABB2DCBB2656}"/>
    <cellStyle name="Comma 8 3 12 2" xfId="41029" xr:uid="{93B45FAF-7269-4BE8-BF14-8E0108769BA7}"/>
    <cellStyle name="Comma 8 3 13" xfId="11380" xr:uid="{A6875CE8-43EE-4BE5-B4FF-68DDDE1625A0}"/>
    <cellStyle name="Comma 8 3 13 2" xfId="42241" xr:uid="{7A8765AF-E059-4EC5-B8CD-E884D9B5B5B8}"/>
    <cellStyle name="Comma 8 3 14" xfId="42422" xr:uid="{8E9354F4-D7F3-439D-B82D-BF5987AE1898}"/>
    <cellStyle name="Comma 8 3 15" xfId="43492" xr:uid="{BA0E6686-6BE0-43E2-BC72-F674E41573A6}"/>
    <cellStyle name="Comma 8 3 16" xfId="44457" xr:uid="{AA22E34D-4994-42D5-A212-A88E996C930E}"/>
    <cellStyle name="Comma 8 3 17" xfId="45599" xr:uid="{3C18112C-07B9-40B3-8EE1-4E230A14BD61}"/>
    <cellStyle name="Comma 8 3 18" xfId="49229" xr:uid="{11C17889-95EC-43E0-B8F4-DAE1B14A0BD3}"/>
    <cellStyle name="Comma 8 3 19" xfId="54121" xr:uid="{25451AD1-165A-42B1-9937-D456911A0416}"/>
    <cellStyle name="Comma 8 3 2" xfId="1822" xr:uid="{D1E9766E-C196-49EF-9B91-5F61CCA2AACF}"/>
    <cellStyle name="Comma 8 3 2 10" xfId="11381" xr:uid="{7B297E32-4B1B-4110-B230-7E094681E5A9}"/>
    <cellStyle name="Comma 8 3 2 10 2" xfId="41030" xr:uid="{026D88CE-6E53-4B4A-8C8C-91CAD77698F1}"/>
    <cellStyle name="Comma 8 3 2 11" xfId="42242" xr:uid="{A4D6EB04-611E-4544-92BD-78CD3B8F8BA0}"/>
    <cellStyle name="Comma 8 3 2 12" xfId="42425" xr:uid="{8143766E-480F-4FB7-B129-6EA5C2C37358}"/>
    <cellStyle name="Comma 8 3 2 13" xfId="43595" xr:uid="{73BA637E-1092-47D0-B98A-8941E65212AC}"/>
    <cellStyle name="Comma 8 3 2 14" xfId="44458" xr:uid="{AC665717-1CBD-4D87-91A1-C6B8515F3BE0}"/>
    <cellStyle name="Comma 8 3 2 15" xfId="45667" xr:uid="{6065E2B7-1139-4EAB-A279-3D3D1E97A18E}"/>
    <cellStyle name="Comma 8 3 2 16" xfId="49296" xr:uid="{DDF47072-C5C1-4946-9AE6-D2B4CCD086C2}"/>
    <cellStyle name="Comma 8 3 2 17" xfId="54122" xr:uid="{53D5E38E-DAEC-426B-98A4-C41F7134FEFF}"/>
    <cellStyle name="Comma 8 3 2 18" xfId="16453" xr:uid="{2485D442-FE07-482B-B18A-FE232C014888}"/>
    <cellStyle name="Comma 8 3 2 19" xfId="13978" xr:uid="{C6714D8E-5DFF-4DBE-9558-EF93D20212A7}"/>
    <cellStyle name="Comma 8 3 2 2" xfId="1823" xr:uid="{18AFAE7F-D5F9-46F4-B97F-7DFE7DAE94B7}"/>
    <cellStyle name="Comma 8 3 2 2 10" xfId="42791" xr:uid="{23F93019-2AAA-45B8-8F59-CB2FCAF79F03}"/>
    <cellStyle name="Comma 8 3 2 2 11" xfId="43596" xr:uid="{D5F52E08-3B92-4933-876F-E58C799E1962}"/>
    <cellStyle name="Comma 8 3 2 2 12" xfId="44459" xr:uid="{C3E6200D-D693-4434-A18B-672995A4F3DE}"/>
    <cellStyle name="Comma 8 3 2 2 13" xfId="45785" xr:uid="{3149D317-A855-4FC9-8896-97F6BA8D12B6}"/>
    <cellStyle name="Comma 8 3 2 2 14" xfId="49413" xr:uid="{E44B125C-0C05-4C54-B2FC-CFA19EB48B31}"/>
    <cellStyle name="Comma 8 3 2 2 15" xfId="54123" xr:uid="{DDE58B72-0F11-4128-A2F7-9FEAC62CB2A6}"/>
    <cellStyle name="Comma 8 3 2 2 16" xfId="17144" xr:uid="{685ADF2D-C111-498A-A3DD-EC8EF4397522}"/>
    <cellStyle name="Comma 8 3 2 2 17" xfId="13979" xr:uid="{34CA19E7-0429-496F-8A0C-18D2E986BD17}"/>
    <cellStyle name="Comma 8 3 2 2 2" xfId="4499" xr:uid="{C3893823-1C31-4D4D-90B0-5E726E22E302}"/>
    <cellStyle name="Comma 8 3 2 2 2 10" xfId="21139" xr:uid="{98888567-69CD-4242-8EA4-5D2F83AB8E4D}"/>
    <cellStyle name="Comma 8 3 2 2 2 11" xfId="14293" xr:uid="{F274670C-9B00-4F12-BCC3-29AC457692A5}"/>
    <cellStyle name="Comma 8 3 2 2 2 2" xfId="5756" xr:uid="{D0ACA29C-E20E-4D33-86F7-BFC9D97EB9D5}"/>
    <cellStyle name="Comma 8 3 2 2 2 2 2" xfId="10350" xr:uid="{FDD683B2-1363-488B-BFE7-CF8145197359}"/>
    <cellStyle name="Comma 8 3 2 2 2 2 2 2" xfId="13656" xr:uid="{71A1594F-D9AE-47A3-8B34-864DC30AB5DB}"/>
    <cellStyle name="Comma 8 3 2 2 2 2 2 2 2" xfId="51453" xr:uid="{E2523B00-6905-4773-97E2-C53A9E03878B}"/>
    <cellStyle name="Comma 8 3 2 2 2 2 2 3" xfId="54124" xr:uid="{9C76BAE3-1C2C-46D0-B4DF-0A44CAC54ED0}"/>
    <cellStyle name="Comma 8 3 2 2 2 2 2 4" xfId="48698" xr:uid="{AAF49815-33E9-4524-9346-5914180F5E1E}"/>
    <cellStyle name="Comma 8 3 2 2 2 2 3" xfId="7858" xr:uid="{E3428FE3-2069-47AF-868E-4484F10E5E54}"/>
    <cellStyle name="Comma 8 3 2 2 2 2 3 2" xfId="47135" xr:uid="{CD38A460-0735-4FD6-9A93-0BD74F1BE310}"/>
    <cellStyle name="Comma 8 3 2 2 2 2 4" xfId="12371" xr:uid="{DC83C0F2-A005-4E26-BF3C-DF79B874F647}"/>
    <cellStyle name="Comma 8 3 2 2 2 2 4 2" xfId="50125" xr:uid="{B3B3BD94-7BD6-430C-B906-F347D6997B01}"/>
    <cellStyle name="Comma 8 3 2 2 2 2 5" xfId="54125" xr:uid="{F3D76314-FE3D-4C37-B5BA-AEB226AD499B}"/>
    <cellStyle name="Comma 8 3 2 2 2 2 6" xfId="39705" xr:uid="{54709F0B-0CCF-4193-9339-DE52551A6252}"/>
    <cellStyle name="Comma 8 3 2 2 2 2 7" xfId="14785" xr:uid="{F3B0C8A5-C995-4005-84E0-0343C282ADC3}"/>
    <cellStyle name="Comma 8 3 2 2 2 3" xfId="9856" xr:uid="{0E048406-912E-4170-9779-84129F2BEEF7}"/>
    <cellStyle name="Comma 8 3 2 2 2 3 2" xfId="13162" xr:uid="{84696495-2795-45F0-9F0C-752CAA620193}"/>
    <cellStyle name="Comma 8 3 2 2 2 3 2 2" xfId="51846" xr:uid="{A6940742-93AD-4014-880B-2FF833297D88}"/>
    <cellStyle name="Comma 8 3 2 2 2 3 2 3" xfId="54126" xr:uid="{635C910B-4C51-4F48-9232-193BF5D2B010}"/>
    <cellStyle name="Comma 8 3 2 2 2 3 2 4" xfId="49166" xr:uid="{8A65E32A-A2E9-4825-A800-DF8072DF1E3B}"/>
    <cellStyle name="Comma 8 3 2 2 2 3 3" xfId="47583" xr:uid="{0C7C3ECF-138B-46AE-B988-7DDBE3745ED3}"/>
    <cellStyle name="Comma 8 3 2 2 2 3 4" xfId="50518" xr:uid="{7EDC4A69-DC0F-4EDE-9E9D-7C477146BB71}"/>
    <cellStyle name="Comma 8 3 2 2 2 3 5" xfId="54127" xr:uid="{9912F455-7597-4D18-B822-A6123E18A03B}"/>
    <cellStyle name="Comma 8 3 2 2 2 3 6" xfId="41558" xr:uid="{5B3BAA39-9846-49B0-8145-3311FF52D336}"/>
    <cellStyle name="Comma 8 3 2 2 2 3 7" xfId="15100" xr:uid="{1CF7075B-6214-43F1-AEFF-77A7BE3729C3}"/>
    <cellStyle name="Comma 8 3 2 2 2 4" xfId="7354" xr:uid="{D6DD1D06-C2EA-47E3-93B1-21C8C312303A}"/>
    <cellStyle name="Comma 8 3 2 2 2 4 2" xfId="48310" xr:uid="{E91620A7-C302-4288-9258-A5C2142D116C}"/>
    <cellStyle name="Comma 8 3 2 2 2 4 3" xfId="51128" xr:uid="{927C28F7-6CD1-4AB2-B924-08469C83D804}"/>
    <cellStyle name="Comma 8 3 2 2 2 4 4" xfId="54128" xr:uid="{FE9FEF05-7039-4C8A-BA31-C6CA77506EC3}"/>
    <cellStyle name="Comma 8 3 2 2 2 4 5" xfId="43382" xr:uid="{4476F342-6DD2-4AC6-A287-2CC24ACF36D3}"/>
    <cellStyle name="Comma 8 3 2 2 2 5" xfId="11877" xr:uid="{A2E5D2C2-C8C8-4DD4-BF0F-2B0ECF03B19F}"/>
    <cellStyle name="Comma 8 3 2 2 2 5 2" xfId="44300" xr:uid="{1F97DC61-8D3E-45B2-9874-E88BF4BE0E5C}"/>
    <cellStyle name="Comma 8 3 2 2 2 6" xfId="44600" xr:uid="{4BCB0ABF-AEF4-401C-93A0-AD075B32CC71}"/>
    <cellStyle name="Comma 8 3 2 2 2 7" xfId="46768" xr:uid="{094A2563-0FF2-488D-BA47-9DACA38D6B9D}"/>
    <cellStyle name="Comma 8 3 2 2 2 8" xfId="49800" xr:uid="{A52CD7CA-9AEB-4AEA-AF5E-A74EDA607E7B}"/>
    <cellStyle name="Comma 8 3 2 2 2 9" xfId="54129" xr:uid="{4F8D317B-B2B5-4A75-81AE-504B13FDB98B}"/>
    <cellStyle name="Comma 8 3 2 2 3" xfId="5580" xr:uid="{37DE5791-D304-4ED9-99A4-9834946B08C9}"/>
    <cellStyle name="Comma 8 3 2 2 3 2" xfId="7682" xr:uid="{A63B5300-85EF-4050-8387-04A2A38702A5}"/>
    <cellStyle name="Comma 8 3 2 2 3 2 2" xfId="10174" xr:uid="{B8C37EFD-F6A5-4BC4-B2E0-B83D07A6A3B4}"/>
    <cellStyle name="Comma 8 3 2 2 3 2 2 2" xfId="13480" xr:uid="{99FB8B80-55F8-4EED-ADA9-B079A9E55817}"/>
    <cellStyle name="Comma 8 3 2 2 3 2 2 2 2" xfId="51706" xr:uid="{F7DCF917-FAE3-4A07-BBC3-0B591103B036}"/>
    <cellStyle name="Comma 8 3 2 2 3 2 2 3" xfId="54130" xr:uid="{A5B03B5C-0285-4458-A405-003B93BD9FB7}"/>
    <cellStyle name="Comma 8 3 2 2 3 2 2 4" xfId="48994" xr:uid="{36FC7A14-8692-4FB7-A002-08BA77E395B8}"/>
    <cellStyle name="Comma 8 3 2 2 3 2 3" xfId="12195" xr:uid="{8F95A664-EA6D-43C2-A0B5-483A638028EE}"/>
    <cellStyle name="Comma 8 3 2 2 3 2 3 2" xfId="47418" xr:uid="{F6397BBF-1E3D-4294-A6C3-11E5C032B86C}"/>
    <cellStyle name="Comma 8 3 2 2 3 2 4" xfId="50378" xr:uid="{FF8A5D45-67BA-4271-80C6-E9876B0889C0}"/>
    <cellStyle name="Comma 8 3 2 2 3 2 5" xfId="54131" xr:uid="{FACE68DA-D423-44D2-8DDF-8E2A2843EE1B}"/>
    <cellStyle name="Comma 8 3 2 2 3 2 6" xfId="43869" xr:uid="{0A60900B-351A-4D77-B817-D78DDFFC4CAB}"/>
    <cellStyle name="Comma 8 3 2 2 3 2 7" xfId="14609" xr:uid="{CFF4C534-0E27-4D47-8900-7A81E0255C49}"/>
    <cellStyle name="Comma 8 3 2 2 3 3" xfId="9680" xr:uid="{C6B7F82E-5CB9-463A-BA37-08B256AF60AE}"/>
    <cellStyle name="Comma 8 3 2 2 3 3 2" xfId="12986" xr:uid="{405CCA92-457E-4964-B755-FBFA85E36962}"/>
    <cellStyle name="Comma 8 3 2 2 3 3 2 2" xfId="50988" xr:uid="{2A7C21A1-CFDB-407B-A552-624518A0D501}"/>
    <cellStyle name="Comma 8 3 2 2 3 3 3" xfId="54132" xr:uid="{B1801ABB-21FA-422E-BDA7-86A414733E8E}"/>
    <cellStyle name="Comma 8 3 2 2 3 3 4" xfId="48139" xr:uid="{6255E2CA-4A8F-474F-ADF5-317B73627DDE}"/>
    <cellStyle name="Comma 8 3 2 2 3 4" xfId="7176" xr:uid="{D64F3476-A760-4786-9DDC-2A127C9D09C9}"/>
    <cellStyle name="Comma 8 3 2 2 3 4 2" xfId="46627" xr:uid="{D721878D-F6DD-4330-B45C-E5B91C2BEB83}"/>
    <cellStyle name="Comma 8 3 2 2 3 5" xfId="11701" xr:uid="{2FFA4B24-696A-4E78-A41B-037EFF1E31F9}"/>
    <cellStyle name="Comma 8 3 2 2 3 5 2" xfId="49660" xr:uid="{0F1342E5-D173-42EA-8B96-585A0E2D816F}"/>
    <cellStyle name="Comma 8 3 2 2 3 6" xfId="54133" xr:uid="{FA85780A-99FA-41E7-8751-EAD25A065489}"/>
    <cellStyle name="Comma 8 3 2 2 3 7" xfId="20358" xr:uid="{BD75048B-0438-42C8-B9EE-516B6454B52D}"/>
    <cellStyle name="Comma 8 3 2 2 3 8" xfId="14117" xr:uid="{4B37519F-12DD-4668-A36F-75BFC92C8DBF}"/>
    <cellStyle name="Comma 8 3 2 2 4" xfId="6570" xr:uid="{BC9AC88D-2E1D-4160-AC03-05AF9DA714E5}"/>
    <cellStyle name="Comma 8 3 2 2 4 2" xfId="9542" xr:uid="{01F4E3E3-4D48-4D0C-B35F-08FD7A4DCAE6}"/>
    <cellStyle name="Comma 8 3 2 2 4 2 2" xfId="12848" xr:uid="{BAFC831D-1FA1-43DA-BB9B-7A4D67C6708C}"/>
    <cellStyle name="Comma 8 3 2 2 4 2 2 2" xfId="50873" xr:uid="{46C83C0F-DE02-47BC-A0DE-6D34F6FFBCBD}"/>
    <cellStyle name="Comma 8 3 2 2 4 2 3" xfId="54134" xr:uid="{E4A6D1A1-E0EA-47A1-B1B6-0A14769D3303}"/>
    <cellStyle name="Comma 8 3 2 2 4 2 4" xfId="48004" xr:uid="{FFFA3D5F-DDFB-4CEB-BA3C-F6331394C557}"/>
    <cellStyle name="Comma 8 3 2 2 4 3" xfId="11563" xr:uid="{131CFC5D-4EFC-47CB-B9C2-02EC62BD90A9}"/>
    <cellStyle name="Comma 8 3 2 2 4 3 2" xfId="46209" xr:uid="{10C7A049-F6B8-45FE-906A-96F3E557A000}"/>
    <cellStyle name="Comma 8 3 2 2 4 4" xfId="49545" xr:uid="{0154BC05-800D-426B-903F-46AD2BBF3FE3}"/>
    <cellStyle name="Comma 8 3 2 2 4 5" xfId="54135" xr:uid="{DFC0E9B5-25DA-41C9-A60A-69EFA839CE62}"/>
    <cellStyle name="Comma 8 3 2 2 4 6" xfId="24069" xr:uid="{9CAFE844-7298-4989-BC22-0BBF32955DA4}"/>
    <cellStyle name="Comma 8 3 2 2 4 7" xfId="14471" xr:uid="{D96E25C7-90A9-4B69-B875-5A1B80247D9D}"/>
    <cellStyle name="Comma 8 3 2 2 5" xfId="7544" xr:uid="{1B32F26A-5879-408B-85DE-53A2D11E3566}"/>
    <cellStyle name="Comma 8 3 2 2 5 2" xfId="10036" xr:uid="{D9614FBF-B6A8-4DD0-B4B2-C450C8AA04F2}"/>
    <cellStyle name="Comma 8 3 2 2 5 2 2" xfId="13342" xr:uid="{5E538432-F1EF-4AB6-97A9-A3FEFBA793D5}"/>
    <cellStyle name="Comma 8 3 2 2 5 2 2 2" xfId="51335" xr:uid="{C99E20F4-783D-4EB0-BE83-3339B6E6E127}"/>
    <cellStyle name="Comma 8 3 2 2 5 2 3" xfId="54136" xr:uid="{EEAE963C-F941-43CA-970E-7586D90B53F7}"/>
    <cellStyle name="Comma 8 3 2 2 5 2 4" xfId="48549" xr:uid="{46F7EEC3-0CE0-4DBD-BE2B-065DFF6B2897}"/>
    <cellStyle name="Comma 8 3 2 2 5 3" xfId="12057" xr:uid="{C8372E5B-068B-4D98-9F05-8F08B3B2F209}"/>
    <cellStyle name="Comma 8 3 2 2 5 3 2" xfId="46988" xr:uid="{1F7B4D1E-30F1-4F51-A3BA-3889B39A58B8}"/>
    <cellStyle name="Comma 8 3 2 2 5 4" xfId="50007" xr:uid="{17715A3F-0BBB-42CA-887D-E1A8514F55E0}"/>
    <cellStyle name="Comma 8 3 2 2 5 5" xfId="54137" xr:uid="{8B232A70-4329-4708-8685-EFA523282860}"/>
    <cellStyle name="Comma 8 3 2 2 5 6" xfId="38566" xr:uid="{F42B7D0A-20D5-49A2-8328-00ED2120D725}"/>
    <cellStyle name="Comma 8 3 2 2 5 7" xfId="14924" xr:uid="{5B00C692-2301-4281-999A-7D41EBFFC0FE}"/>
    <cellStyle name="Comma 8 3 2 2 6" xfId="8210" xr:uid="{C3FCC36B-BA29-459B-A576-769A8819CC6C}"/>
    <cellStyle name="Comma 8 3 2 2 6 2" xfId="12666" xr:uid="{C90A55CB-92B7-4CFD-8260-D1EA20A5DE81}"/>
    <cellStyle name="Comma 8 3 2 2 6 2 2" xfId="51591" xr:uid="{5665F3CC-669E-4C8F-92A5-94A497FEEE99}"/>
    <cellStyle name="Comma 8 3 2 2 6 2 3" xfId="54138" xr:uid="{EA798AB5-5F89-4D5E-8C17-03DC427E44BC}"/>
    <cellStyle name="Comma 8 3 2 2 6 2 4" xfId="48856" xr:uid="{7DF32BC4-100F-4B8C-91CD-233B81FCFBBB}"/>
    <cellStyle name="Comma 8 3 2 2 6 3" xfId="47285" xr:uid="{9DD68616-F955-4E22-88CD-69F7AE5E33DB}"/>
    <cellStyle name="Comma 8 3 2 2 6 4" xfId="50263" xr:uid="{D6E2A763-EF6A-489F-921B-45E7E5B414BC}"/>
    <cellStyle name="Comma 8 3 2 2 6 5" xfId="54139" xr:uid="{F34328C9-B7D7-4DC6-BAE6-9B6E3D4235B1}"/>
    <cellStyle name="Comma 8 3 2 2 6 6" xfId="39114" xr:uid="{B53EE893-D4B0-4C81-A165-C8FBD474F7A7}"/>
    <cellStyle name="Comma 8 3 2 2 7" xfId="7997" xr:uid="{C1313762-7138-4508-9711-701F1742D735}"/>
    <cellStyle name="Comma 8 3 2 2 7 2" xfId="12510" xr:uid="{374D581C-25DC-4FD3-827C-37A1A1D7C7A4}"/>
    <cellStyle name="Comma 8 3 2 2 7 2 2" xfId="47853" xr:uid="{A950D7B2-A7D8-4B2E-A9B6-9B436A976ABE}"/>
    <cellStyle name="Comma 8 3 2 2 7 3" xfId="50741" xr:uid="{37F4FB29-F07A-42B1-BE98-C57AB05C75A3}"/>
    <cellStyle name="Comma 8 3 2 2 7 4" xfId="54140" xr:uid="{00852148-B184-445E-BF63-5AE91FDF7A40}"/>
    <cellStyle name="Comma 8 3 2 2 7 5" xfId="40389" xr:uid="{3322FBDF-CEE0-48D0-8D3B-A89C45A14DCD}"/>
    <cellStyle name="Comma 8 3 2 2 8" xfId="5894" xr:uid="{24826DA8-0A72-4ABC-9F3A-A72031A45BAF}"/>
    <cellStyle name="Comma 8 3 2 2 8 2" xfId="41031" xr:uid="{26151C67-4DA5-4904-A65A-ABC7EF7E35F8}"/>
    <cellStyle name="Comma 8 3 2 2 9" xfId="11382" xr:uid="{31CE3ADC-C7D8-4CD2-8092-6B9E5D0BB12B}"/>
    <cellStyle name="Comma 8 3 2 2 9 2" xfId="42243" xr:uid="{7F0D8017-2EAE-447F-85D7-4307A1A47B5B}"/>
    <cellStyle name="Comma 8 3 2 3" xfId="4498" xr:uid="{96B60DD1-D62E-489C-BDC6-191B88299586}"/>
    <cellStyle name="Comma 8 3 2 3 10" xfId="42864" xr:uid="{D1F09ED3-C9E6-444D-8291-C4F93EE76B13}"/>
    <cellStyle name="Comma 8 3 2 3 11" xfId="44299" xr:uid="{B2DE46B8-8E74-4F9D-8B29-709615B3D2AC}"/>
    <cellStyle name="Comma 8 3 2 3 12" xfId="44599" xr:uid="{55F29169-4F33-4BB6-B311-4E5142BD1053}"/>
    <cellStyle name="Comma 8 3 2 3 13" xfId="45741" xr:uid="{6D4B8883-9A7C-4D74-996D-FFCB5AA5AF83}"/>
    <cellStyle name="Comma 8 3 2 3 14" xfId="49369" xr:uid="{5A14DEA1-50C9-4A6C-A953-752D04E0D019}"/>
    <cellStyle name="Comma 8 3 2 3 15" xfId="54141" xr:uid="{65F21774-64FF-4D0D-9B98-02F50E5202D9}"/>
    <cellStyle name="Comma 8 3 2 3 16" xfId="19770" xr:uid="{5E567813-4665-4AA5-BAD9-F112EA3D8059}"/>
    <cellStyle name="Comma 8 3 2 3 17" xfId="14292" xr:uid="{560D936C-D440-4A11-AA25-F1B068F30312}"/>
    <cellStyle name="Comma 8 3 2 3 2" xfId="5755" xr:uid="{8F43132B-9230-47A1-B7AB-84E0275B0B84}"/>
    <cellStyle name="Comma 8 3 2 3 2 10" xfId="14784" xr:uid="{62E8DE4C-14E2-482D-AB47-0023BB4ED8CD}"/>
    <cellStyle name="Comma 8 3 2 3 2 2" xfId="10349" xr:uid="{FCA4D857-5BE2-4495-833E-2A7A1E73FAA1}"/>
    <cellStyle name="Comma 8 3 2 3 2 2 2" xfId="13655" xr:uid="{0595BD64-0EF5-4EF9-839D-FF4579ABFBBB}"/>
    <cellStyle name="Comma 8 3 2 3 2 2 2 2" xfId="48309" xr:uid="{07F59B76-0A3E-4321-9C4D-FFDCFF58C798}"/>
    <cellStyle name="Comma 8 3 2 3 2 2 3" xfId="51127" xr:uid="{0283CFDD-18C5-4EB5-B532-EB594BC1C52B}"/>
    <cellStyle name="Comma 8 3 2 3 2 2 4" xfId="54142" xr:uid="{DBAFC90A-F2D2-4F42-B4AD-95E25BC7CBF0}"/>
    <cellStyle name="Comma 8 3 2 3 2 2 5" xfId="39778" xr:uid="{680BF59F-1A89-428F-A711-40BEC8E06BF0}"/>
    <cellStyle name="Comma 8 3 2 3 2 3" xfId="7857" xr:uid="{D7773188-533C-455E-9664-CBBCC4541A8C}"/>
    <cellStyle name="Comma 8 3 2 3 2 3 2" xfId="41631" xr:uid="{70D03FFE-3182-44E2-9AB0-148CAD5B5FD4}"/>
    <cellStyle name="Comma 8 3 2 3 2 4" xfId="12370" xr:uid="{7831B8E5-E97F-42FA-8B06-1E8A3C1B8812}"/>
    <cellStyle name="Comma 8 3 2 3 2 4 2" xfId="43455" xr:uid="{C3B1C877-D350-419C-881D-E0704633C22B}"/>
    <cellStyle name="Comma 8 3 2 3 2 5" xfId="45530" xr:uid="{AF4EF431-760E-4559-95DD-D4B8E304A1D7}"/>
    <cellStyle name="Comma 8 3 2 3 2 6" xfId="46767" xr:uid="{B8C80817-7F9A-4618-B4A5-088CFBCBCB75}"/>
    <cellStyle name="Comma 8 3 2 3 2 7" xfId="49799" xr:uid="{9C281977-3C1B-4F95-87D8-7DF7417BBFA5}"/>
    <cellStyle name="Comma 8 3 2 3 2 8" xfId="54143" xr:uid="{11628C22-AC92-4BD0-9981-0430B4737199}"/>
    <cellStyle name="Comma 8 3 2 3 2 9" xfId="23387" xr:uid="{C923A129-081F-4AC1-9A2A-778476455A98}"/>
    <cellStyle name="Comma 8 3 2 3 3" xfId="11170" xr:uid="{B4B954E8-06C9-4E0C-9260-1475309D1936}"/>
    <cellStyle name="Comma 8 3 2 3 3 2" xfId="13765" xr:uid="{405574DB-7657-421C-8695-C19169C6D6F6}"/>
    <cellStyle name="Comma 8 3 2 3 3 2 2" xfId="51334" xr:uid="{99F52DD9-27CC-4215-8A77-08E43BAB702A}"/>
    <cellStyle name="Comma 8 3 2 3 3 2 3" xfId="54144" xr:uid="{28491797-584C-4508-A41C-E2D66B7F8E73}"/>
    <cellStyle name="Comma 8 3 2 3 3 2 4" xfId="48548" xr:uid="{F4E1C1A6-5648-4670-A47C-1ACD2209CAD5}"/>
    <cellStyle name="Comma 8 3 2 3 3 3" xfId="46987" xr:uid="{508B718D-5BB6-4C09-9C2A-F328C7664496}"/>
    <cellStyle name="Comma 8 3 2 3 3 4" xfId="50006" xr:uid="{3A39FBA2-D7F6-4DA1-BC9B-ACEE35A24AF3}"/>
    <cellStyle name="Comma 8 3 2 3 3 5" xfId="54145" xr:uid="{050FD88B-A862-464A-8A35-848C32135CFF}"/>
    <cellStyle name="Comma 8 3 2 3 3 6" xfId="20431" xr:uid="{91F0EE5B-15AD-4EAB-8535-0387D0B4E349}"/>
    <cellStyle name="Comma 8 3 2 3 3 7" xfId="15099" xr:uid="{1B77BE17-BD92-43DA-9D3D-04B06A7DDE8A}"/>
    <cellStyle name="Comma 8 3 2 3 4" xfId="9855" xr:uid="{D4C46CCE-A9DE-489F-82C6-0BD60BEBC092}"/>
    <cellStyle name="Comma 8 3 2 3 4 2" xfId="13161" xr:uid="{C055FEA1-9939-4E6C-BC8E-1AAC0430C212}"/>
    <cellStyle name="Comma 8 3 2 3 4 2 2" xfId="51845" xr:uid="{E49ABBC9-7883-44FE-B676-55E6B95E0174}"/>
    <cellStyle name="Comma 8 3 2 3 4 2 3" xfId="54146" xr:uid="{5EC4CC65-A568-4EF4-8C26-27142C3E6BE0}"/>
    <cellStyle name="Comma 8 3 2 3 4 2 4" xfId="49165" xr:uid="{6AC2EE83-D701-4604-91A9-48D2B4C41919}"/>
    <cellStyle name="Comma 8 3 2 3 4 3" xfId="47582" xr:uid="{4B6683EC-64DE-46E8-BC51-20B6B79FB0A6}"/>
    <cellStyle name="Comma 8 3 2 3 4 4" xfId="50517" xr:uid="{8BD20AA2-669A-46AC-A49B-CB3893808B63}"/>
    <cellStyle name="Comma 8 3 2 3 4 5" xfId="54147" xr:uid="{14C605D3-5D4D-4EC1-8363-A98654C535DC}"/>
    <cellStyle name="Comma 8 3 2 3 4 6" xfId="24070" xr:uid="{D91A0E68-60C8-4B24-BCF8-DD9069073325}"/>
    <cellStyle name="Comma 8 3 2 3 5" xfId="7353" xr:uid="{B1B6A564-9A53-4706-966B-482684C1BC7A}"/>
    <cellStyle name="Comma 8 3 2 3 5 2" xfId="47798" xr:uid="{689340D9-5E2A-4A58-8D64-C6A6A46D85B1}"/>
    <cellStyle name="Comma 8 3 2 3 5 3" xfId="50697" xr:uid="{004BFE80-F402-4676-94B5-6A1FC1AEDEB6}"/>
    <cellStyle name="Comma 8 3 2 3 5 4" xfId="54148" xr:uid="{43A31192-FF0E-44A1-809E-4A4A1CE5387C}"/>
    <cellStyle name="Comma 8 3 2 3 5 5" xfId="38567" xr:uid="{642D51FD-AF1A-4EC0-B4F5-EA1C31BB5ECB}"/>
    <cellStyle name="Comma 8 3 2 3 6" xfId="11876" xr:uid="{FA00D1F0-17CA-4292-BAFC-EB2D194B70DB}"/>
    <cellStyle name="Comma 8 3 2 3 6 2" xfId="39187" xr:uid="{36C6FF90-DBD7-4236-B103-310382C539C8}"/>
    <cellStyle name="Comma 8 3 2 3 7" xfId="40390" xr:uid="{75F957CE-17BE-4D37-90DD-FF99F15B4CC7}"/>
    <cellStyle name="Comma 8 3 2 3 8" xfId="41032" xr:uid="{EFF7CE4E-3831-491C-B244-201E3306951F}"/>
    <cellStyle name="Comma 8 3 2 3 9" xfId="42244" xr:uid="{A9951AB0-A85B-4BBA-9862-17D9D588C9FB}"/>
    <cellStyle name="Comma 8 3 2 4" xfId="5579" xr:uid="{129BAD71-13B4-49D5-9D10-4271DDB19854}"/>
    <cellStyle name="Comma 8 3 2 4 10" xfId="20648" xr:uid="{90580A86-B689-43F5-872C-6355C3031599}"/>
    <cellStyle name="Comma 8 3 2 4 11" xfId="14116" xr:uid="{A0B0D3BF-6FF5-4963-8EB1-D9B3A5B9EB03}"/>
    <cellStyle name="Comma 8 3 2 4 2" xfId="7681" xr:uid="{BDBBE438-5E5D-4132-834E-CEF7F3203E1B}"/>
    <cellStyle name="Comma 8 3 2 4 2 2" xfId="10173" xr:uid="{C59499EF-FAEB-4705-A3CF-5406C60A469C}"/>
    <cellStyle name="Comma 8 3 2 4 2 2 2" xfId="13479" xr:uid="{1AA416A3-DDC1-46C9-9675-975BCFB7A0AB}"/>
    <cellStyle name="Comma 8 3 2 4 2 2 2 2" xfId="51413" xr:uid="{BC5D9C9B-ABF2-4073-AD98-11AB542B95C2}"/>
    <cellStyle name="Comma 8 3 2 4 2 2 3" xfId="54149" xr:uid="{A1D737B5-38B8-4647-A130-5B9E6C8403A9}"/>
    <cellStyle name="Comma 8 3 2 4 2 2 4" xfId="48650" xr:uid="{96824F29-CAA2-47FD-82F3-455B4C37102A}"/>
    <cellStyle name="Comma 8 3 2 4 2 3" xfId="12194" xr:uid="{41A18658-FEA6-4AF1-B1C0-A8ADA0EA4EAE}"/>
    <cellStyle name="Comma 8 3 2 4 2 3 2" xfId="47084" xr:uid="{D4663DEB-72EF-4122-B158-8A1633793C49}"/>
    <cellStyle name="Comma 8 3 2 4 2 4" xfId="50085" xr:uid="{6E7CF58B-505D-4600-A43F-B4F4967B36B5}"/>
    <cellStyle name="Comma 8 3 2 4 2 5" xfId="54150" xr:uid="{29E2F791-EAF9-40B3-AB78-7A3756DE36B2}"/>
    <cellStyle name="Comma 8 3 2 4 2 6" xfId="39339" xr:uid="{DACC81F2-773C-45C7-B7E7-A61386FBB286}"/>
    <cellStyle name="Comma 8 3 2 4 2 7" xfId="14608" xr:uid="{47288266-C26F-42A5-9FC1-E061444A4467}"/>
    <cellStyle name="Comma 8 3 2 4 3" xfId="9679" xr:uid="{534E26E3-139E-4D88-A0B8-FB81A5F176C9}"/>
    <cellStyle name="Comma 8 3 2 4 3 2" xfId="12985" xr:uid="{6A2EFE0D-1A95-486F-8504-E95AD2443754}"/>
    <cellStyle name="Comma 8 3 2 4 3 2 2" xfId="51705" xr:uid="{9FFDC043-A2EC-436F-B6B5-328EE36AF477}"/>
    <cellStyle name="Comma 8 3 2 4 3 2 3" xfId="54151" xr:uid="{64011AC5-04DA-4CF5-9C35-3130CC5EBA1E}"/>
    <cellStyle name="Comma 8 3 2 4 3 2 4" xfId="48993" xr:uid="{6912E350-387B-4045-BA17-844AB1E0C1B0}"/>
    <cellStyle name="Comma 8 3 2 4 3 3" xfId="47417" xr:uid="{66DF4D1C-7884-49C3-96F3-3F4A5CBBC59F}"/>
    <cellStyle name="Comma 8 3 2 4 3 4" xfId="50377" xr:uid="{9DCF49B0-69C7-474E-B150-3BA40D328117}"/>
    <cellStyle name="Comma 8 3 2 4 3 5" xfId="54152" xr:uid="{89EC6AB0-9B29-4EB4-9C84-B22CAF18C263}"/>
    <cellStyle name="Comma 8 3 2 4 3 6" xfId="41197" xr:uid="{41FE8EAC-068A-49B4-9D07-DD2A36861F90}"/>
    <cellStyle name="Comma 8 3 2 4 4" xfId="7175" xr:uid="{1BF8178F-5F91-4443-B9E2-A957AA14BC6E}"/>
    <cellStyle name="Comma 8 3 2 4 4 2" xfId="48138" xr:uid="{2EFB87D4-550D-408A-BED7-A378E6F0300B}"/>
    <cellStyle name="Comma 8 3 2 4 4 3" xfId="50987" xr:uid="{DF95E854-A335-4281-9E20-503C9ABF102B}"/>
    <cellStyle name="Comma 8 3 2 4 4 4" xfId="54153" xr:uid="{EAEAB5D3-16C9-4957-9C95-F4EBB7C4376C}"/>
    <cellStyle name="Comma 8 3 2 4 4 5" xfId="43016" xr:uid="{266CC3CF-BE69-4E64-8010-E8E1A786208D}"/>
    <cellStyle name="Comma 8 3 2 4 5" xfId="11700" xr:uid="{6214DBCD-30AB-488D-AC5B-CBE177E6B874}"/>
    <cellStyle name="Comma 8 3 2 4 5 2" xfId="43868" xr:uid="{3A467680-C091-42A4-83C0-77A39F56D087}"/>
    <cellStyle name="Comma 8 3 2 4 6" xfId="45117" xr:uid="{4E3DA9B0-52DE-4370-9360-6D2D1C5300D6}"/>
    <cellStyle name="Comma 8 3 2 4 7" xfId="46626" xr:uid="{255B2D32-D67E-4934-BC58-FAF45ADCD7C2}"/>
    <cellStyle name="Comma 8 3 2 4 8" xfId="49659" xr:uid="{EB11BA6E-E2C5-440E-89BC-C6193361D60E}"/>
    <cellStyle name="Comma 8 3 2 4 9" xfId="54154" xr:uid="{4EECBF8B-2149-452C-B6C9-C28B7A3D38C9}"/>
    <cellStyle name="Comma 8 3 2 5" xfId="6569" xr:uid="{4775A8E7-5FF9-4721-BFEE-3E5FECB963CF}"/>
    <cellStyle name="Comma 8 3 2 5 2" xfId="9541" xr:uid="{08FCD19A-ABAE-466D-A4A1-93A82FB28727}"/>
    <cellStyle name="Comma 8 3 2 5 2 2" xfId="12847" xr:uid="{BE219DDE-A109-43B4-B9AE-8D3B7496BD43}"/>
    <cellStyle name="Comma 8 3 2 5 2 2 2" xfId="50872" xr:uid="{EEEA1A4B-88CA-42CF-8489-0834F284ADE1}"/>
    <cellStyle name="Comma 8 3 2 5 2 3" xfId="54155" xr:uid="{DA65EA10-CFA2-4733-9214-70BF0BFA6591}"/>
    <cellStyle name="Comma 8 3 2 5 2 4" xfId="48003" xr:uid="{1F987031-1BA3-4ED9-878E-EDAA6437BF12}"/>
    <cellStyle name="Comma 8 3 2 5 3" xfId="11562" xr:uid="{DC852442-9D1D-489C-AA70-A460D6100CC5}"/>
    <cellStyle name="Comma 8 3 2 5 3 2" xfId="46208" xr:uid="{66E68F0A-6CC9-4954-83BE-1904E3DE0B65}"/>
    <cellStyle name="Comma 8 3 2 5 4" xfId="49544" xr:uid="{34E29058-8CDC-4BCE-BBBD-9FF958879838}"/>
    <cellStyle name="Comma 8 3 2 5 5" xfId="54156" xr:uid="{B2B612AA-F958-4709-8E14-29A62ED27E35}"/>
    <cellStyle name="Comma 8 3 2 5 6" xfId="19992" xr:uid="{326B1665-229E-4375-816D-4749E2942815}"/>
    <cellStyle name="Comma 8 3 2 5 7" xfId="14470" xr:uid="{5689F6B7-7665-484C-92D6-5CA49F3BC9AF}"/>
    <cellStyle name="Comma 8 3 2 6" xfId="7543" xr:uid="{9F33F0D8-2B47-44C1-B70C-7D12A0968A4E}"/>
    <cellStyle name="Comma 8 3 2 6 2" xfId="10035" xr:uid="{9290B61E-F850-4788-9BB6-FE98F07B280C}"/>
    <cellStyle name="Comma 8 3 2 6 2 2" xfId="13341" xr:uid="{529D89AE-D717-4E09-8C89-8A1227F41E1B}"/>
    <cellStyle name="Comma 8 3 2 6 2 2 2" xfId="51207" xr:uid="{61B29B17-4F0F-4B69-8C11-CD06AEF7CDC1}"/>
    <cellStyle name="Comma 8 3 2 6 2 3" xfId="54157" xr:uid="{B12C9496-7BB1-437F-98A9-1723C9C9C89B}"/>
    <cellStyle name="Comma 8 3 2 6 2 4" xfId="48406" xr:uid="{4711EC9B-7DB9-4E52-9E48-36515D5C498D}"/>
    <cellStyle name="Comma 8 3 2 6 3" xfId="12056" xr:uid="{15C5F1C8-56AB-4681-883A-C4DDFED9D378}"/>
    <cellStyle name="Comma 8 3 2 6 3 2" xfId="46855" xr:uid="{CAE3EC83-B645-4DBF-826B-38E0291728BC}"/>
    <cellStyle name="Comma 8 3 2 6 4" xfId="49879" xr:uid="{374FFD1E-8649-4A11-ADBA-53A1EAFD5CAD}"/>
    <cellStyle name="Comma 8 3 2 6 5" xfId="54158" xr:uid="{E966C0E3-C06C-4A6A-8897-F98A8DBD0349}"/>
    <cellStyle name="Comma 8 3 2 6 6" xfId="24068" xr:uid="{82120959-886C-4060-BBF0-09F47C0E9D5D}"/>
    <cellStyle name="Comma 8 3 2 6 7" xfId="14923" xr:uid="{099E0048-07E3-4634-9439-B4B92932C671}"/>
    <cellStyle name="Comma 8 3 2 7" xfId="8209" xr:uid="{478D9B77-60EF-4DA2-85A1-A57E4A9B11F5}"/>
    <cellStyle name="Comma 8 3 2 7 2" xfId="12665" xr:uid="{4C0B71C1-6E3F-4317-8B17-09863B30A302}"/>
    <cellStyle name="Comma 8 3 2 7 2 2" xfId="51590" xr:uid="{7E4D9549-7F8F-4337-81BC-307676689FD6}"/>
    <cellStyle name="Comma 8 3 2 7 2 3" xfId="54159" xr:uid="{BBB9431A-86BD-4227-9B20-B9AC9E057792}"/>
    <cellStyle name="Comma 8 3 2 7 2 4" xfId="48855" xr:uid="{BC51D3D1-DD3F-4051-AE4A-2DA57AE9B358}"/>
    <cellStyle name="Comma 8 3 2 7 3" xfId="47284" xr:uid="{7201CC19-4663-4908-BEA2-1E1BC8C97A2A}"/>
    <cellStyle name="Comma 8 3 2 7 4" xfId="50262" xr:uid="{7E3439D1-CBB6-4CA0-8500-514A7B038553}"/>
    <cellStyle name="Comma 8 3 2 7 5" xfId="54160" xr:uid="{5ABD8CE0-626C-439F-8A21-4696D3D4DA0E}"/>
    <cellStyle name="Comma 8 3 2 7 6" xfId="38565" xr:uid="{3692ED5A-B41A-45D4-A087-EE5564796240}"/>
    <cellStyle name="Comma 8 3 2 8" xfId="7996" xr:uid="{11CC44AC-FBBC-41A7-AA56-F297F503BEC3}"/>
    <cellStyle name="Comma 8 3 2 8 2" xfId="12509" xr:uid="{B8069028-75E9-4210-B289-1A9BEA54CE4D}"/>
    <cellStyle name="Comma 8 3 2 8 2 2" xfId="47716" xr:uid="{B92DDFE1-7247-4FE0-B6D1-8C99C5ED3198}"/>
    <cellStyle name="Comma 8 3 2 8 3" xfId="50624" xr:uid="{130688E4-23F8-455A-AA50-936631BD4567}"/>
    <cellStyle name="Comma 8 3 2 8 4" xfId="54161" xr:uid="{E577C838-310E-4D7E-A06B-7C65AD2C7B87}"/>
    <cellStyle name="Comma 8 3 2 8 5" xfId="38748" xr:uid="{37061E5D-FB95-47AF-BB85-463A5F25984D}"/>
    <cellStyle name="Comma 8 3 2 9" xfId="5893" xr:uid="{8759AD80-76FF-46FD-BF6E-CED93B585171}"/>
    <cellStyle name="Comma 8 3 2 9 2" xfId="40388" xr:uid="{4C431332-BDA9-48BB-85E8-630F108B7A73}"/>
    <cellStyle name="Comma 8 3 20" xfId="16397" xr:uid="{065A93BE-5329-4859-B288-4C3718C862B1}"/>
    <cellStyle name="Comma 8 3 21" xfId="13864" xr:uid="{157665C2-1ABF-4791-ACE4-23E08A608C57}"/>
    <cellStyle name="Comma 8 3 3" xfId="1824" xr:uid="{63F1B785-0345-4C2A-8C31-AC6CA360860B}"/>
    <cellStyle name="Comma 8 3 3 10" xfId="41033" xr:uid="{5020A89E-F986-47DD-A6A6-46B5F81428C9}"/>
    <cellStyle name="Comma 8 3 3 11" xfId="42245" xr:uid="{E8624548-7CD9-4B2C-B694-A5B64A9FA3C3}"/>
    <cellStyle name="Comma 8 3 3 12" xfId="42426" xr:uid="{DBCBAF80-64F9-4DD0-8AAC-38A205E88FC3}"/>
    <cellStyle name="Comma 8 3 3 13" xfId="43597" xr:uid="{25A3BC31-ED72-4103-9C51-9D6893DF4C6A}"/>
    <cellStyle name="Comma 8 3 3 14" xfId="44460" xr:uid="{11D830FD-064A-4A25-A0CD-3D47569AE044}"/>
    <cellStyle name="Comma 8 3 3 15" xfId="45668" xr:uid="{A9BD49C0-6B2D-4474-A705-E3060B0C476B}"/>
    <cellStyle name="Comma 8 3 3 16" xfId="49297" xr:uid="{6C1EBC52-888F-4826-B888-E890C5D68E88}"/>
    <cellStyle name="Comma 8 3 3 17" xfId="54162" xr:uid="{608A50F8-D443-4372-BE75-AB02D36B590B}"/>
    <cellStyle name="Comma 8 3 3 18" xfId="16454" xr:uid="{75CA5931-AE81-447C-B4A9-91E09BBD0242}"/>
    <cellStyle name="Comma 8 3 3 19" xfId="13980" xr:uid="{DA57D3C5-A18F-41C5-8132-3957E88DCD5D}"/>
    <cellStyle name="Comma 8 3 3 2" xfId="4500" xr:uid="{DB447E43-8E08-4E30-B49C-E3476346ACC7}"/>
    <cellStyle name="Comma 8 3 3 2 10" xfId="42792" xr:uid="{0079F417-ADB4-4149-B81A-C3533F03D2EA}"/>
    <cellStyle name="Comma 8 3 3 2 11" xfId="44301" xr:uid="{684BE6B4-3761-424B-B828-736DF0CDD754}"/>
    <cellStyle name="Comma 8 3 3 2 12" xfId="44601" xr:uid="{B3500B33-56AC-41DF-941C-99905E6849C6}"/>
    <cellStyle name="Comma 8 3 3 2 13" xfId="45742" xr:uid="{BB8D035C-F32D-4AB1-B5C9-E476BB347B81}"/>
    <cellStyle name="Comma 8 3 3 2 14" xfId="49370" xr:uid="{1A666C76-5A06-4EF7-8199-B322C1772C9F}"/>
    <cellStyle name="Comma 8 3 3 2 15" xfId="54163" xr:uid="{BC9EF200-C080-46E4-8E59-9DC1FAC6987B}"/>
    <cellStyle name="Comma 8 3 3 2 16" xfId="17145" xr:uid="{6A4EF9D0-6353-4BD4-A6BF-F8AACE05555B}"/>
    <cellStyle name="Comma 8 3 3 2 17" xfId="14294" xr:uid="{AA26F669-C653-4C61-8656-04D46FBB2029}"/>
    <cellStyle name="Comma 8 3 3 2 2" xfId="5757" xr:uid="{6A7FCA84-0D39-4FB8-BDEB-117F8850E23A}"/>
    <cellStyle name="Comma 8 3 3 2 2 10" xfId="14786" xr:uid="{B23DD798-249F-46B7-8DB0-3AC964ED3A1C}"/>
    <cellStyle name="Comma 8 3 3 2 2 2" xfId="10351" xr:uid="{4DCD603F-3803-493B-ABD3-FF5D81F92833}"/>
    <cellStyle name="Comma 8 3 3 2 2 2 2" xfId="13657" xr:uid="{1CE70E1F-009F-4C31-A15C-98A8159078B7}"/>
    <cellStyle name="Comma 8 3 3 2 2 2 2 2" xfId="48311" xr:uid="{34716A84-97AC-4F6C-A86A-3F2960F7C6F2}"/>
    <cellStyle name="Comma 8 3 3 2 2 2 3" xfId="51129" xr:uid="{3F117B4B-B2CE-46CF-BBA5-1B05F96ED3C0}"/>
    <cellStyle name="Comma 8 3 3 2 2 2 4" xfId="54164" xr:uid="{626486D5-898D-48EE-911A-B63C5F7219B2}"/>
    <cellStyle name="Comma 8 3 3 2 2 2 5" xfId="39706" xr:uid="{4379B413-FE0F-4D81-AA20-7C3C5CC1BB09}"/>
    <cellStyle name="Comma 8 3 3 2 2 3" xfId="7859" xr:uid="{5495DE23-6699-4BCD-9946-CF8E01BF5E5B}"/>
    <cellStyle name="Comma 8 3 3 2 2 3 2" xfId="41559" xr:uid="{624D8197-13A5-4611-9883-CA6D030FF42F}"/>
    <cellStyle name="Comma 8 3 3 2 2 4" xfId="12372" xr:uid="{5FB04BF8-C2F9-40FA-B32B-4A20B2429C69}"/>
    <cellStyle name="Comma 8 3 3 2 2 4 2" xfId="43383" xr:uid="{56FCD76D-4884-4171-9CF6-72667BC6ACF7}"/>
    <cellStyle name="Comma 8 3 3 2 2 5" xfId="45465" xr:uid="{3512F8BF-20AF-4234-8223-3DC0797D2D8C}"/>
    <cellStyle name="Comma 8 3 3 2 2 6" xfId="46769" xr:uid="{96151474-7BFE-4D6C-ADF2-FCD624357C15}"/>
    <cellStyle name="Comma 8 3 3 2 2 7" xfId="49801" xr:uid="{420F6B0B-7479-46E7-8489-3943D4FED159}"/>
    <cellStyle name="Comma 8 3 3 2 2 8" xfId="54165" xr:uid="{402AF063-A765-4E1A-967E-D2C2E77ABA9F}"/>
    <cellStyle name="Comma 8 3 3 2 2 9" xfId="21140" xr:uid="{E2B64373-E6B9-4A25-8086-3081F5D999CE}"/>
    <cellStyle name="Comma 8 3 3 2 3" xfId="11245" xr:uid="{174F69B1-B1C6-4465-AF85-C091A1FA4A34}"/>
    <cellStyle name="Comma 8 3 3 2 3 2" xfId="13807" xr:uid="{154C836B-2C61-466D-A78C-1014208971B1}"/>
    <cellStyle name="Comma 8 3 3 2 3 2 2" xfId="51454" xr:uid="{3616D82C-D0A4-4886-A8DD-C46D238A4AEB}"/>
    <cellStyle name="Comma 8 3 3 2 3 2 3" xfId="54166" xr:uid="{8EBDB8A7-9DBC-440B-BE15-A8176B051FBC}"/>
    <cellStyle name="Comma 8 3 3 2 3 2 4" xfId="48699" xr:uid="{C37A1E77-E6D8-4542-B27A-EBC14BB41880}"/>
    <cellStyle name="Comma 8 3 3 2 3 3" xfId="47136" xr:uid="{868BCC07-44C6-4FE2-93FD-AD0BDC5AEB18}"/>
    <cellStyle name="Comma 8 3 3 2 3 4" xfId="50126" xr:uid="{8845921D-98FD-4233-BE52-2A21C9ED9127}"/>
    <cellStyle name="Comma 8 3 3 2 3 5" xfId="54167" xr:uid="{68D5E3F0-4187-4926-B382-170B1DE19852}"/>
    <cellStyle name="Comma 8 3 3 2 3 6" xfId="20359" xr:uid="{E4F40BF5-A0E2-4FA4-B6DC-E87A5B82262D}"/>
    <cellStyle name="Comma 8 3 3 2 3 7" xfId="15101" xr:uid="{FD81824F-0A1E-4B62-9A18-2F1C3223E81D}"/>
    <cellStyle name="Comma 8 3 3 2 4" xfId="9857" xr:uid="{AC42ACC8-E587-4D51-A6DD-35DB3526F2AB}"/>
    <cellStyle name="Comma 8 3 3 2 4 2" xfId="13163" xr:uid="{E9DDB9CF-3AA6-4E23-B5E9-1AD7CFFE449A}"/>
    <cellStyle name="Comma 8 3 3 2 4 2 2" xfId="51847" xr:uid="{A1F8C4EB-42E5-455E-B711-EB5B3834D7C7}"/>
    <cellStyle name="Comma 8 3 3 2 4 2 3" xfId="54168" xr:uid="{CC3EC32C-F824-4C54-9CB9-02995D6B8906}"/>
    <cellStyle name="Comma 8 3 3 2 4 2 4" xfId="49167" xr:uid="{BFB874F2-4957-4526-8403-3E3769244D01}"/>
    <cellStyle name="Comma 8 3 3 2 4 3" xfId="47584" xr:uid="{FE11B834-09C3-4B9A-9EB3-AF93B74B0053}"/>
    <cellStyle name="Comma 8 3 3 2 4 4" xfId="50519" xr:uid="{94F88EFA-5242-4FD4-ADA5-067B1A00DDF6}"/>
    <cellStyle name="Comma 8 3 3 2 4 5" xfId="54169" xr:uid="{057A82CA-603C-4A59-AAB7-F22FA9A29D2A}"/>
    <cellStyle name="Comma 8 3 3 2 4 6" xfId="24072" xr:uid="{C9142E33-E3FB-4884-B7B1-DABBDA443B3E}"/>
    <cellStyle name="Comma 8 3 3 2 5" xfId="7355" xr:uid="{FE6DB3E5-D718-4D7F-B7FA-0B1C5A7CEDC0}"/>
    <cellStyle name="Comma 8 3 3 2 5 2" xfId="47799" xr:uid="{04686197-40E5-4FC3-A131-067726D29E93}"/>
    <cellStyle name="Comma 8 3 3 2 5 3" xfId="50698" xr:uid="{5D2ACDAF-9474-4335-A4CA-84752B2FE91F}"/>
    <cellStyle name="Comma 8 3 3 2 5 4" xfId="54170" xr:uid="{E62B75D3-8537-4383-9E27-2E42377572A0}"/>
    <cellStyle name="Comma 8 3 3 2 5 5" xfId="38569" xr:uid="{632651DA-BC13-47E9-A0E3-4609D3B62737}"/>
    <cellStyle name="Comma 8 3 3 2 6" xfId="11878" xr:uid="{5D36C9FD-A0B7-4695-9D0C-ABF979F468A2}"/>
    <cellStyle name="Comma 8 3 3 2 6 2" xfId="39115" xr:uid="{3F786633-7594-49CA-83EE-5C5FF1AAD91E}"/>
    <cellStyle name="Comma 8 3 3 2 7" xfId="40392" xr:uid="{55C67714-B496-4286-A95E-DFA107C7BABB}"/>
    <cellStyle name="Comma 8 3 3 2 8" xfId="41034" xr:uid="{D8B0D480-7ACE-4982-A5DE-6872A4577292}"/>
    <cellStyle name="Comma 8 3 3 2 9" xfId="42246" xr:uid="{50EE2680-0836-4FB4-9AD9-FF9908A19104}"/>
    <cellStyle name="Comma 8 3 3 3" xfId="5581" xr:uid="{9C5F92F9-EB20-43F1-AF0C-72163B3949DD}"/>
    <cellStyle name="Comma 8 3 3 3 10" xfId="42865" xr:uid="{EE185037-96B3-4826-858E-1B77617EAC5E}"/>
    <cellStyle name="Comma 8 3 3 3 11" xfId="43870" xr:uid="{0D26848E-4A0E-4889-81DC-6552A22DFB6E}"/>
    <cellStyle name="Comma 8 3 3 3 12" xfId="44976" xr:uid="{39E2A102-F2FE-4360-98F2-2DF4BFF56341}"/>
    <cellStyle name="Comma 8 3 3 3 13" xfId="46628" xr:uid="{50F2FFBF-133C-48A6-9376-F58FA9B2C670}"/>
    <cellStyle name="Comma 8 3 3 3 14" xfId="49661" xr:uid="{F4BB0B22-510C-408F-9197-BBF607D7AE97}"/>
    <cellStyle name="Comma 8 3 3 3 15" xfId="54171" xr:uid="{9D80046D-4261-4118-8517-3C1E26359C66}"/>
    <cellStyle name="Comma 8 3 3 3 16" xfId="19771" xr:uid="{BF1EECEA-BE83-4C58-B471-93A139845A3B}"/>
    <cellStyle name="Comma 8 3 3 3 17" xfId="14118" xr:uid="{09952B2E-5537-4822-8D57-4FB9B78838AC}"/>
    <cellStyle name="Comma 8 3 3 3 2" xfId="7683" xr:uid="{5D490C7F-5839-4320-AC4D-7EB9478DD01B}"/>
    <cellStyle name="Comma 8 3 3 3 2 10" xfId="14610" xr:uid="{6EA58F5B-68B2-4AA4-90C9-6142B9A27E55}"/>
    <cellStyle name="Comma 8 3 3 3 2 2" xfId="10175" xr:uid="{57C33E57-BC0E-41B9-8DBE-8CCF79F1D7B4}"/>
    <cellStyle name="Comma 8 3 3 3 2 2 2" xfId="13481" xr:uid="{8A8920F8-5A5B-49D0-AB7C-3E6B2188DDF1}"/>
    <cellStyle name="Comma 8 3 3 3 2 2 2 2" xfId="48995" xr:uid="{08A3F064-8A10-4397-9FC6-CA091F26652F}"/>
    <cellStyle name="Comma 8 3 3 3 2 2 3" xfId="51707" xr:uid="{3A9D725D-2E98-4F95-BCE7-4B1BB8E01445}"/>
    <cellStyle name="Comma 8 3 3 3 2 2 4" xfId="54172" xr:uid="{9C3B7E1A-0715-408F-AB4A-145C2A3BD7BA}"/>
    <cellStyle name="Comma 8 3 3 3 2 2 5" xfId="39779" xr:uid="{6D9E1502-9E7E-4E5C-85F2-47F6F64968FF}"/>
    <cellStyle name="Comma 8 3 3 3 2 3" xfId="12196" xr:uid="{4371072A-2AE8-479B-8F1A-1BC620509100}"/>
    <cellStyle name="Comma 8 3 3 3 2 3 2" xfId="41632" xr:uid="{1FB91738-ED07-4E2D-8254-2AB04DAF2DDF}"/>
    <cellStyle name="Comma 8 3 3 3 2 4" xfId="43456" xr:uid="{BF85820C-FB7D-447F-BE7D-AEF56D332852}"/>
    <cellStyle name="Comma 8 3 3 3 2 5" xfId="45531" xr:uid="{F061CD19-B579-4FD0-B757-6C891D0FD521}"/>
    <cellStyle name="Comma 8 3 3 3 2 6" xfId="47419" xr:uid="{726A7E0F-256E-4105-9BDE-D08AC9C402B2}"/>
    <cellStyle name="Comma 8 3 3 3 2 7" xfId="50379" xr:uid="{B87C7004-8DA2-499D-86AF-E2B6F8FE6768}"/>
    <cellStyle name="Comma 8 3 3 3 2 8" xfId="54173" xr:uid="{95311A46-9F49-4042-8BE9-2C96CD0E9709}"/>
    <cellStyle name="Comma 8 3 3 3 2 9" xfId="23388" xr:uid="{4AD7C46B-3E6A-4902-B804-67B67AEDCA59}"/>
    <cellStyle name="Comma 8 3 3 3 3" xfId="9681" xr:uid="{4BD65986-7E6C-4C2F-B8D6-FE5DA4BFE81C}"/>
    <cellStyle name="Comma 8 3 3 3 3 2" xfId="12987" xr:uid="{EF79FBD5-0ACB-4628-B3B3-E319B7CE0515}"/>
    <cellStyle name="Comma 8 3 3 3 3 2 2" xfId="48140" xr:uid="{99102C6E-9BA3-403B-B225-D7F3500C6B49}"/>
    <cellStyle name="Comma 8 3 3 3 3 3" xfId="50989" xr:uid="{91D17B53-7107-4D90-A915-C8B61F9AEF16}"/>
    <cellStyle name="Comma 8 3 3 3 3 4" xfId="54174" xr:uid="{908BA5ED-6EF6-4A58-BF11-06992C068423}"/>
    <cellStyle name="Comma 8 3 3 3 3 5" xfId="20432" xr:uid="{FF9A1B66-A665-464A-9426-4D9356B2A771}"/>
    <cellStyle name="Comma 8 3 3 3 4" xfId="7177" xr:uid="{3EEFBEB5-3602-4022-B2DA-7B3552264206}"/>
    <cellStyle name="Comma 8 3 3 3 4 2" xfId="24073" xr:uid="{29B450C1-E142-43F1-A439-52325176330B}"/>
    <cellStyle name="Comma 8 3 3 3 5" xfId="11702" xr:uid="{2C52AD7F-970A-460E-8542-53529D88ACF4}"/>
    <cellStyle name="Comma 8 3 3 3 5 2" xfId="38570" xr:uid="{E66FB6D3-4532-4407-95BB-B905E1FF2216}"/>
    <cellStyle name="Comma 8 3 3 3 6" xfId="39188" xr:uid="{CC43544D-F0FF-4E0F-A7B8-43008FF97A03}"/>
    <cellStyle name="Comma 8 3 3 3 7" xfId="40393" xr:uid="{C24FD542-5712-4B19-AFD0-26393D43020C}"/>
    <cellStyle name="Comma 8 3 3 3 8" xfId="41035" xr:uid="{EB93376D-E79C-4CC3-89B0-F19F94B6C838}"/>
    <cellStyle name="Comma 8 3 3 3 9" xfId="42247" xr:uid="{ECA4F83D-2A25-45EF-9370-7B489AF36550}"/>
    <cellStyle name="Comma 8 3 3 4" xfId="6571" xr:uid="{88871CD8-898D-4CF6-A7C2-9D1E7FEC55E4}"/>
    <cellStyle name="Comma 8 3 3 4 10" xfId="14472" xr:uid="{E68D5F75-8A4B-45A7-A11C-40FA120CCDD9}"/>
    <cellStyle name="Comma 8 3 3 4 2" xfId="9543" xr:uid="{320D60BC-DB89-47D6-98EE-BF84AD1DE61E}"/>
    <cellStyle name="Comma 8 3 3 4 2 2" xfId="12849" xr:uid="{E6ACF0C9-209D-498A-B8FE-F07896B13BAA}"/>
    <cellStyle name="Comma 8 3 3 4 2 2 2" xfId="48005" xr:uid="{16F40368-9CA3-4B7F-ABB6-B611062B088D}"/>
    <cellStyle name="Comma 8 3 3 4 2 3" xfId="50874" xr:uid="{FDB39091-B3B1-485C-BB55-92747E78F537}"/>
    <cellStyle name="Comma 8 3 3 4 2 4" xfId="54175" xr:uid="{B1B35BB5-2EC7-41CF-BF03-E6001DF4D258}"/>
    <cellStyle name="Comma 8 3 3 4 2 5" xfId="39340" xr:uid="{B0C1FA31-8AF1-45FF-8DCB-9E9E1918F067}"/>
    <cellStyle name="Comma 8 3 3 4 3" xfId="11564" xr:uid="{7497AF2B-A96B-45E2-9FBA-3C1090E7EC66}"/>
    <cellStyle name="Comma 8 3 3 4 3 2" xfId="41198" xr:uid="{1E3F3B60-B77E-4705-B148-6BB48B11E7A5}"/>
    <cellStyle name="Comma 8 3 3 4 4" xfId="43017" xr:uid="{5A7BDCAA-4C1A-44F1-8A49-ADCB0D6B5AB0}"/>
    <cellStyle name="Comma 8 3 3 4 5" xfId="45118" xr:uid="{EA3C4D78-6599-4EDC-BB65-5242B76025E7}"/>
    <cellStyle name="Comma 8 3 3 4 6" xfId="46210" xr:uid="{C792BC95-1AD0-4E9C-A56D-8254DC4EDEC4}"/>
    <cellStyle name="Comma 8 3 3 4 7" xfId="49546" xr:uid="{15A51046-440C-4C9E-B9DC-AA74A05B39A2}"/>
    <cellStyle name="Comma 8 3 3 4 8" xfId="54176" xr:uid="{ECEE1D0F-F290-464C-A51B-5723549B2389}"/>
    <cellStyle name="Comma 8 3 3 4 9" xfId="20649" xr:uid="{0CE1C7E1-D15E-4286-A48F-5727D7A4B7D7}"/>
    <cellStyle name="Comma 8 3 3 5" xfId="7545" xr:uid="{74D85334-2C9A-466E-9269-9A6788786411}"/>
    <cellStyle name="Comma 8 3 3 5 2" xfId="10037" xr:uid="{9DD12D43-D65A-43DB-A8A5-ADF99503EFD9}"/>
    <cellStyle name="Comma 8 3 3 5 2 2" xfId="13343" xr:uid="{2E25D64F-878B-4626-B40E-C03AF157DE3B}"/>
    <cellStyle name="Comma 8 3 3 5 2 2 2" xfId="51336" xr:uid="{D18A5C9F-8D00-42E3-9D5E-35624916ABAD}"/>
    <cellStyle name="Comma 8 3 3 5 2 3" xfId="54177" xr:uid="{DF2E41C4-8CFA-466A-8792-3AFAD038EE66}"/>
    <cellStyle name="Comma 8 3 3 5 2 4" xfId="48550" xr:uid="{E9C105F7-30D1-4D6F-954C-43D1E07431C8}"/>
    <cellStyle name="Comma 8 3 3 5 3" xfId="12058" xr:uid="{AAA6A501-356E-4C68-84DF-6C8FA7846D0D}"/>
    <cellStyle name="Comma 8 3 3 5 3 2" xfId="46989" xr:uid="{844FE6B5-32CA-4B3A-BB7E-42E1EB1CFD72}"/>
    <cellStyle name="Comma 8 3 3 5 4" xfId="50008" xr:uid="{DBB29235-8174-4BF0-BDDB-5BC50329017B}"/>
    <cellStyle name="Comma 8 3 3 5 5" xfId="54178" xr:uid="{64E3FB38-80AD-4A32-A3EE-18F0C5B283C2}"/>
    <cellStyle name="Comma 8 3 3 5 6" xfId="19993" xr:uid="{B63F7B11-62FF-4B9A-AD23-B99DDED0A6C2}"/>
    <cellStyle name="Comma 8 3 3 5 7" xfId="14925" xr:uid="{7D1EDF4B-CB16-4C05-B485-E6D611CF7DDA}"/>
    <cellStyle name="Comma 8 3 3 6" xfId="8211" xr:uid="{737CEC89-EB4E-43D8-8F9F-5FCF0FC53192}"/>
    <cellStyle name="Comma 8 3 3 6 2" xfId="12667" xr:uid="{5A76ADE9-352D-4D70-BFF5-EE41621A5F56}"/>
    <cellStyle name="Comma 8 3 3 6 2 2" xfId="51592" xr:uid="{8280445C-C224-49D4-AF7C-3D25F1A23062}"/>
    <cellStyle name="Comma 8 3 3 6 2 3" xfId="54179" xr:uid="{D489D958-D237-4B28-82E9-F5D346F66872}"/>
    <cellStyle name="Comma 8 3 3 6 2 4" xfId="48857" xr:uid="{532B459A-B2DD-44B8-8EC5-05E86DADDE8E}"/>
    <cellStyle name="Comma 8 3 3 6 3" xfId="47286" xr:uid="{762190EA-1820-4000-B2AA-791CC034CCEF}"/>
    <cellStyle name="Comma 8 3 3 6 4" xfId="50264" xr:uid="{B176A266-349F-45A4-8208-DE800DE127AD}"/>
    <cellStyle name="Comma 8 3 3 6 5" xfId="54180" xr:uid="{F47599E4-A340-4432-9685-5179B5DDF1BE}"/>
    <cellStyle name="Comma 8 3 3 6 6" xfId="24071" xr:uid="{DEED428B-D3FC-46F4-995C-5A977A2E268E}"/>
    <cellStyle name="Comma 8 3 3 7" xfId="7998" xr:uid="{B6F42518-C9C6-4EB2-97E0-CF85D3BB09F6}"/>
    <cellStyle name="Comma 8 3 3 7 2" xfId="12511" xr:uid="{5479F21F-C61E-466A-BB16-767240DAD190}"/>
    <cellStyle name="Comma 8 3 3 7 2 2" xfId="47717" xr:uid="{2CDD307F-A14E-40B4-AF17-DA72486F8F1B}"/>
    <cellStyle name="Comma 8 3 3 7 3" xfId="50625" xr:uid="{AC573A22-678E-4FDD-9180-E69679D550E7}"/>
    <cellStyle name="Comma 8 3 3 7 4" xfId="54181" xr:uid="{EBBED21B-24A9-44D2-8858-09AF1C4112D4}"/>
    <cellStyle name="Comma 8 3 3 7 5" xfId="38568" xr:uid="{0FAD9E26-1382-49FD-81C4-7C061A6A4162}"/>
    <cellStyle name="Comma 8 3 3 8" xfId="5895" xr:uid="{8ADC1398-E80D-4A5A-98A0-FA4199E748FF}"/>
    <cellStyle name="Comma 8 3 3 8 2" xfId="38749" xr:uid="{0A677F12-E0EB-43EF-8419-F1C1F12EA8D1}"/>
    <cellStyle name="Comma 8 3 3 9" xfId="11383" xr:uid="{443C8194-2154-48EA-87D0-6864BA2CD180}"/>
    <cellStyle name="Comma 8 3 3 9 2" xfId="40391" xr:uid="{0697C8B4-A397-49B4-BE9C-7DF9AD5C45A3}"/>
    <cellStyle name="Comma 8 3 4" xfId="1825" xr:uid="{BAFFDE5C-A10B-443C-A0A9-946303D6D92D}"/>
    <cellStyle name="Comma 8 3 4 10" xfId="42790" xr:uid="{1905E744-6D35-46D7-93F3-99F4AD161AEC}"/>
    <cellStyle name="Comma 8 3 4 11" xfId="43598" xr:uid="{0DB2F929-04BD-4671-95A6-56F71C66CBEB}"/>
    <cellStyle name="Comma 8 3 4 12" xfId="44461" xr:uid="{EA334C0B-244B-4BBD-9535-B4F7E3E774AD}"/>
    <cellStyle name="Comma 8 3 4 13" xfId="45666" xr:uid="{FFE5617F-CEAB-4419-901B-1CCD37B0D147}"/>
    <cellStyle name="Comma 8 3 4 14" xfId="49295" xr:uid="{8E2D595B-6D1C-41AE-8B89-5A5A871E499B}"/>
    <cellStyle name="Comma 8 3 4 15" xfId="54182" xr:uid="{E9E48F74-72DA-4E4C-96E5-61DA020AF659}"/>
    <cellStyle name="Comma 8 3 4 16" xfId="17143" xr:uid="{8A058F8B-35E8-4240-ABED-B97A7A8F0B49}"/>
    <cellStyle name="Comma 8 3 4 17" xfId="13981" xr:uid="{44C861A0-1769-4BB1-9190-AFF3CC32C05F}"/>
    <cellStyle name="Comma 8 3 4 2" xfId="4501" xr:uid="{BD82F561-61AB-4979-9381-67CF761824C2}"/>
    <cellStyle name="Comma 8 3 4 2 10" xfId="21138" xr:uid="{69C727CB-0E95-4BA6-B0D5-AC6881B9CA1F}"/>
    <cellStyle name="Comma 8 3 4 2 11" xfId="14295" xr:uid="{81FD8854-79AE-4B8C-AFB3-F23CD0B33F07}"/>
    <cellStyle name="Comma 8 3 4 2 2" xfId="5758" xr:uid="{CB0BE472-AC4A-4C0B-8670-22BE28F67C21}"/>
    <cellStyle name="Comma 8 3 4 2 2 2" xfId="10352" xr:uid="{0B5580E9-178C-42B8-BF37-06CE6CF0B02F}"/>
    <cellStyle name="Comma 8 3 4 2 2 2 2" xfId="13658" xr:uid="{F3338EED-D400-4B2F-9D78-156BAD698BAD}"/>
    <cellStyle name="Comma 8 3 4 2 2 2 2 2" xfId="51130" xr:uid="{F5016704-6369-41C8-B1D4-7FBE8465F08F}"/>
    <cellStyle name="Comma 8 3 4 2 2 2 3" xfId="54183" xr:uid="{3D130A02-FE67-4BD1-8019-AEF2F09D851D}"/>
    <cellStyle name="Comma 8 3 4 2 2 2 4" xfId="48312" xr:uid="{E21D7229-4ACD-4D8C-96EF-903D6B333A74}"/>
    <cellStyle name="Comma 8 3 4 2 2 3" xfId="7860" xr:uid="{FD743322-A191-4292-9861-DA933673EC6B}"/>
    <cellStyle name="Comma 8 3 4 2 2 3 2" xfId="46770" xr:uid="{5BAA5C17-98B4-411F-B3FE-9B4D27BB83E6}"/>
    <cellStyle name="Comma 8 3 4 2 2 4" xfId="12373" xr:uid="{7849D3A6-B410-4EFD-AD2F-50BC725D2991}"/>
    <cellStyle name="Comma 8 3 4 2 2 4 2" xfId="49802" xr:uid="{7E158AE2-2EB3-4A08-87E9-ECEF019C1027}"/>
    <cellStyle name="Comma 8 3 4 2 2 5" xfId="54184" xr:uid="{C586021D-B6F1-4E70-B363-D039CC332614}"/>
    <cellStyle name="Comma 8 3 4 2 2 6" xfId="39704" xr:uid="{DD75672E-CE51-4CF5-8D40-615984C8E0B6}"/>
    <cellStyle name="Comma 8 3 4 2 2 7" xfId="14787" xr:uid="{A570EAEB-6577-4776-A43E-B445DD9A1081}"/>
    <cellStyle name="Comma 8 3 4 2 3" xfId="11246" xr:uid="{5701A88E-AA35-4C8C-9319-6B9121E573FE}"/>
    <cellStyle name="Comma 8 3 4 2 3 2" xfId="13808" xr:uid="{FB43E01A-A6AA-4A3C-818C-58C5C5BB284A}"/>
    <cellStyle name="Comma 8 3 4 2 3 2 2" xfId="51455" xr:uid="{61DFA4C8-C859-4744-B072-E2EDD05C64E7}"/>
    <cellStyle name="Comma 8 3 4 2 3 2 3" xfId="54185" xr:uid="{134E20C7-A5FE-4627-9054-7CFDD906A3DD}"/>
    <cellStyle name="Comma 8 3 4 2 3 2 4" xfId="48700" xr:uid="{B2908A02-7F4D-4CCC-AD5F-DDE2CEDA2706}"/>
    <cellStyle name="Comma 8 3 4 2 3 3" xfId="47137" xr:uid="{6C667E3D-F7DA-4441-BB2F-3B424DE381C6}"/>
    <cellStyle name="Comma 8 3 4 2 3 4" xfId="50127" xr:uid="{8B9A6B63-C196-4662-8D3F-C346B9F4A51A}"/>
    <cellStyle name="Comma 8 3 4 2 3 5" xfId="54186" xr:uid="{16665DAE-D4D9-4F97-8762-086DC6DBFCDA}"/>
    <cellStyle name="Comma 8 3 4 2 3 6" xfId="41557" xr:uid="{F10DD44B-B583-477B-B215-9B8FB18E449E}"/>
    <cellStyle name="Comma 8 3 4 2 3 7" xfId="15102" xr:uid="{2E9C156E-8806-41A2-9C22-239723573F82}"/>
    <cellStyle name="Comma 8 3 4 2 4" xfId="9858" xr:uid="{A977FA36-CDFC-43E5-8481-0E5D21DD5158}"/>
    <cellStyle name="Comma 8 3 4 2 4 2" xfId="13164" xr:uid="{F2F0E5AD-185E-4A9F-8FC5-987BD08C23AD}"/>
    <cellStyle name="Comma 8 3 4 2 4 2 2" xfId="51848" xr:uid="{312F34FD-39F4-4CAD-9449-A5B496C65DEA}"/>
    <cellStyle name="Comma 8 3 4 2 4 2 3" xfId="54187" xr:uid="{A8A535C2-FEB2-49FA-951A-D4C5AD15200C}"/>
    <cellStyle name="Comma 8 3 4 2 4 2 4" xfId="49168" xr:uid="{3962B4F8-6CA1-4BF7-899F-D0CA83CF3B5A}"/>
    <cellStyle name="Comma 8 3 4 2 4 3" xfId="47585" xr:uid="{7A80DB7C-034D-4B63-8F56-8F2577F6100D}"/>
    <cellStyle name="Comma 8 3 4 2 4 4" xfId="50520" xr:uid="{98EB2E31-7876-4B67-B654-D61A418ED843}"/>
    <cellStyle name="Comma 8 3 4 2 4 5" xfId="54188" xr:uid="{F9E9FD67-6DE4-49DD-927A-CA04D6DF6FB4}"/>
    <cellStyle name="Comma 8 3 4 2 4 6" xfId="43381" xr:uid="{AF3E6F0D-4E98-4BFA-9333-718E34C49A81}"/>
    <cellStyle name="Comma 8 3 4 2 5" xfId="7356" xr:uid="{1053E762-AC79-4810-A8FA-35B63E9285F1}"/>
    <cellStyle name="Comma 8 3 4 2 5 2" xfId="47852" xr:uid="{94B40CC6-BDF4-4C86-B8D4-A5F6B9EB0B1A}"/>
    <cellStyle name="Comma 8 3 4 2 5 3" xfId="50740" xr:uid="{70A1D078-8B4E-4095-AD1A-E550991F6F75}"/>
    <cellStyle name="Comma 8 3 4 2 5 4" xfId="54189" xr:uid="{71FF0B74-017C-42B5-BDD8-8BB3716A565B}"/>
    <cellStyle name="Comma 8 3 4 2 5 5" xfId="44302" xr:uid="{698193D1-3BED-4301-8D27-89563BE0BBD6}"/>
    <cellStyle name="Comma 8 3 4 2 6" xfId="11879" xr:uid="{EF830FE3-6988-4C67-AC16-F2A0D4C540A9}"/>
    <cellStyle name="Comma 8 3 4 2 6 2" xfId="44602" xr:uid="{D1A96934-1605-40DC-995B-6D9C9D29E3FF}"/>
    <cellStyle name="Comma 8 3 4 2 7" xfId="45784" xr:uid="{67EB8C8C-A8CD-46C5-8409-74FBB37F0F3A}"/>
    <cellStyle name="Comma 8 3 4 2 8" xfId="49412" xr:uid="{56276D35-D4E8-49B1-9CB3-3FA2C219A485}"/>
    <cellStyle name="Comma 8 3 4 2 9" xfId="54190" xr:uid="{7A4BD77C-6AC1-4E1F-BF78-BD4D53AFB3A4}"/>
    <cellStyle name="Comma 8 3 4 3" xfId="5582" xr:uid="{21CF3765-6B42-45A0-BAD9-0D1C4D860278}"/>
    <cellStyle name="Comma 8 3 4 3 2" xfId="7684" xr:uid="{AF66ABA8-DDA7-4D75-94B6-9F82C4E27C37}"/>
    <cellStyle name="Comma 8 3 4 3 2 2" xfId="10176" xr:uid="{16A3F5C3-1267-415C-9150-31B007DE3D87}"/>
    <cellStyle name="Comma 8 3 4 3 2 2 2" xfId="13482" xr:uid="{3DE11683-B0AB-4275-8C2F-B3F878E0477D}"/>
    <cellStyle name="Comma 8 3 4 3 2 2 2 2" xfId="51708" xr:uid="{7200F13E-C77A-413E-8F3A-B20C48ABEFB1}"/>
    <cellStyle name="Comma 8 3 4 3 2 2 3" xfId="54191" xr:uid="{F8324997-5EC2-4924-85BA-23E7ACD710DB}"/>
    <cellStyle name="Comma 8 3 4 3 2 2 4" xfId="48996" xr:uid="{048DC409-375C-437D-BDBC-CADA1C0F57EE}"/>
    <cellStyle name="Comma 8 3 4 3 2 3" xfId="12197" xr:uid="{7E930F96-F240-4E14-AEE7-E8C5332A42A2}"/>
    <cellStyle name="Comma 8 3 4 3 2 3 2" xfId="47420" xr:uid="{08B85BEE-B3F9-42C2-BF21-EC5CDDAA7677}"/>
    <cellStyle name="Comma 8 3 4 3 2 4" xfId="50380" xr:uid="{FAC8FF8A-A056-43E6-BA1F-BEF9BCCBF98E}"/>
    <cellStyle name="Comma 8 3 4 3 2 5" xfId="54192" xr:uid="{67EE3F9C-8B86-4512-A020-B103B5430140}"/>
    <cellStyle name="Comma 8 3 4 3 2 6" xfId="43871" xr:uid="{8646F3B5-80A2-4D9F-9EFE-7B933C7E8379}"/>
    <cellStyle name="Comma 8 3 4 3 2 7" xfId="14611" xr:uid="{F3E5E0EA-45C0-45BA-9511-2A3D884DE14E}"/>
    <cellStyle name="Comma 8 3 4 3 3" xfId="9682" xr:uid="{CD0B7BA2-FF23-4B40-B66C-1B8DF60387FA}"/>
    <cellStyle name="Comma 8 3 4 3 3 2" xfId="12988" xr:uid="{212C11C9-D1C9-4073-B1DD-8BBBB36DE12E}"/>
    <cellStyle name="Comma 8 3 4 3 3 2 2" xfId="50990" xr:uid="{E2D8AEC6-900B-4BF6-850D-51FC92601970}"/>
    <cellStyle name="Comma 8 3 4 3 3 3" xfId="54193" xr:uid="{ACF8F588-9CDC-47CA-B441-271EC31BFE49}"/>
    <cellStyle name="Comma 8 3 4 3 3 4" xfId="48141" xr:uid="{4A873BC0-B546-4FEA-9A53-50D209A6C0A4}"/>
    <cellStyle name="Comma 8 3 4 3 4" xfId="7178" xr:uid="{E3DB820F-6F63-4216-850E-FA3D02FC4C0E}"/>
    <cellStyle name="Comma 8 3 4 3 4 2" xfId="46629" xr:uid="{BEB1C18F-5A77-4C5B-AD69-82CEC8D6C664}"/>
    <cellStyle name="Comma 8 3 4 3 5" xfId="11703" xr:uid="{5356AB4F-2716-42DA-A6EC-86D67EB4D0F6}"/>
    <cellStyle name="Comma 8 3 4 3 5 2" xfId="49662" xr:uid="{5427EF6E-C00D-4835-A781-65DE9549111E}"/>
    <cellStyle name="Comma 8 3 4 3 6" xfId="54194" xr:uid="{8937D4AF-7D46-4411-90CF-8DD0CAE1FBB0}"/>
    <cellStyle name="Comma 8 3 4 3 7" xfId="20357" xr:uid="{6DA9B63D-6AD9-4A35-9647-E991584AD922}"/>
    <cellStyle name="Comma 8 3 4 3 8" xfId="14119" xr:uid="{66CD1FC0-49FC-4633-9F8E-4C8DB076B153}"/>
    <cellStyle name="Comma 8 3 4 4" xfId="6572" xr:uid="{FC696106-6816-4227-B16B-37491079A351}"/>
    <cellStyle name="Comma 8 3 4 4 2" xfId="9544" xr:uid="{E32BAF49-7F42-4E96-936C-4557F2A86AE7}"/>
    <cellStyle name="Comma 8 3 4 4 2 2" xfId="12850" xr:uid="{4D99646E-4941-4433-B570-0CD8E781B7A3}"/>
    <cellStyle name="Comma 8 3 4 4 2 2 2" xfId="50875" xr:uid="{13EBEC36-BC5C-444D-AB55-7FA61A0A5381}"/>
    <cellStyle name="Comma 8 3 4 4 2 3" xfId="54195" xr:uid="{682D49D6-B1B3-4C96-89EB-4B5A1F51E3EC}"/>
    <cellStyle name="Comma 8 3 4 4 2 4" xfId="48006" xr:uid="{A02B4BF0-4DDE-4B29-990E-409FB51E202B}"/>
    <cellStyle name="Comma 8 3 4 4 3" xfId="11565" xr:uid="{33ED9B52-ABBB-4609-A8BF-B2C878996740}"/>
    <cellStyle name="Comma 8 3 4 4 3 2" xfId="46211" xr:uid="{0CCB7207-75FE-48DB-B276-299A1C7E6AAE}"/>
    <cellStyle name="Comma 8 3 4 4 4" xfId="49547" xr:uid="{F9F454C7-F61E-4F66-89E8-3B59DF4962A0}"/>
    <cellStyle name="Comma 8 3 4 4 5" xfId="54196" xr:uid="{A4106C98-3F68-4E1F-BDA5-46199B537330}"/>
    <cellStyle name="Comma 8 3 4 4 6" xfId="24074" xr:uid="{5616D886-C5BA-4B79-9535-DEC00164DA87}"/>
    <cellStyle name="Comma 8 3 4 4 7" xfId="14473" xr:uid="{67DD6F96-2B2A-46E7-8476-371C1B81911D}"/>
    <cellStyle name="Comma 8 3 4 5" xfId="7546" xr:uid="{96716080-DB4B-44D3-A5B2-2BEABB14A78D}"/>
    <cellStyle name="Comma 8 3 4 5 2" xfId="10038" xr:uid="{AD426F29-F353-4CDC-87B2-B679C7A03FD8}"/>
    <cellStyle name="Comma 8 3 4 5 2 2" xfId="13344" xr:uid="{7D2CD180-88DF-4201-8B41-03BC5418CF6D}"/>
    <cellStyle name="Comma 8 3 4 5 2 2 2" xfId="51337" xr:uid="{3338EEAC-5663-4E9C-B004-650D8822E26A}"/>
    <cellStyle name="Comma 8 3 4 5 2 3" xfId="54197" xr:uid="{D5918651-C4B6-450E-8A8B-98C00BA6F6E7}"/>
    <cellStyle name="Comma 8 3 4 5 2 4" xfId="48551" xr:uid="{FB4CF6FB-7FD6-45C0-A970-932A01B1668A}"/>
    <cellStyle name="Comma 8 3 4 5 3" xfId="12059" xr:uid="{165D45C5-BA9C-4475-94E8-87B8F6D199D1}"/>
    <cellStyle name="Comma 8 3 4 5 3 2" xfId="46990" xr:uid="{50D2E86C-8441-4090-A778-3409FBE5320F}"/>
    <cellStyle name="Comma 8 3 4 5 4" xfId="50009" xr:uid="{BB601B00-426F-4F55-90F2-015A39970A5C}"/>
    <cellStyle name="Comma 8 3 4 5 5" xfId="54198" xr:uid="{4F083CD8-922C-4312-BA17-74399B15DE22}"/>
    <cellStyle name="Comma 8 3 4 5 6" xfId="38571" xr:uid="{E8A3441A-102F-4204-9250-940D1F2BF7D6}"/>
    <cellStyle name="Comma 8 3 4 5 7" xfId="14926" xr:uid="{2FD9C31E-4F4C-4DDA-B95B-268DCA07733E}"/>
    <cellStyle name="Comma 8 3 4 6" xfId="8212" xr:uid="{BEC9D50B-3811-4619-A8AC-C3737DB2FE74}"/>
    <cellStyle name="Comma 8 3 4 6 2" xfId="12668" xr:uid="{009776C8-1322-4B24-B3B5-BE78D905EE6B}"/>
    <cellStyle name="Comma 8 3 4 6 2 2" xfId="51593" xr:uid="{D08AFF14-7BF2-4FAA-80B9-AF52BB5DDFC5}"/>
    <cellStyle name="Comma 8 3 4 6 2 3" xfId="54199" xr:uid="{5F64E409-8CAF-4745-86A2-C7BDEDEECCD4}"/>
    <cellStyle name="Comma 8 3 4 6 2 4" xfId="48858" xr:uid="{1D70CF1D-DB63-4D2E-9BE3-D10D8608E11F}"/>
    <cellStyle name="Comma 8 3 4 6 3" xfId="47287" xr:uid="{F01CCEBA-233A-4F24-A2A3-5397DEB4C6DE}"/>
    <cellStyle name="Comma 8 3 4 6 4" xfId="50265" xr:uid="{93F8713D-46EE-43B5-ADF2-858AF6CB1B89}"/>
    <cellStyle name="Comma 8 3 4 6 5" xfId="54200" xr:uid="{8F678635-0A84-40E1-8C41-B3F70C2CC46B}"/>
    <cellStyle name="Comma 8 3 4 6 6" xfId="39113" xr:uid="{021F4AFD-E587-4822-9B0D-F9C9CD232E2E}"/>
    <cellStyle name="Comma 8 3 4 7" xfId="7999" xr:uid="{F901280C-7B7E-4E2C-8223-209E7C55EE4B}"/>
    <cellStyle name="Comma 8 3 4 7 2" xfId="12512" xr:uid="{75729164-C38C-4294-8931-F62ADE786D33}"/>
    <cellStyle name="Comma 8 3 4 7 2 2" xfId="47715" xr:uid="{1F383D1B-9522-4491-9815-5618ADB1A735}"/>
    <cellStyle name="Comma 8 3 4 7 3" xfId="50623" xr:uid="{D5561017-8315-498A-884F-730F90AAA43E}"/>
    <cellStyle name="Comma 8 3 4 7 4" xfId="54201" xr:uid="{1C1E994F-B823-4D7D-B400-F2DE5F301DC9}"/>
    <cellStyle name="Comma 8 3 4 7 5" xfId="40394" xr:uid="{AC5D3FEF-2770-4DBA-8A21-241E4D56FEFA}"/>
    <cellStyle name="Comma 8 3 4 8" xfId="5896" xr:uid="{21AE13C0-1EAF-48F6-896D-35E35D8AE3B2}"/>
    <cellStyle name="Comma 8 3 4 8 2" xfId="41036" xr:uid="{F8E38DE7-BE6D-4DCE-91CF-68F536312216}"/>
    <cellStyle name="Comma 8 3 4 9" xfId="11384" xr:uid="{626E4E03-A361-4FE9-AD8C-BBBEDA9248D0}"/>
    <cellStyle name="Comma 8 3 4 9 2" xfId="42248" xr:uid="{463FBAB3-52D3-4526-B487-DE2217F547E7}"/>
    <cellStyle name="Comma 8 3 5" xfId="4497" xr:uid="{B472D81C-AE27-43B3-8F2F-DF5C9053B6C2}"/>
    <cellStyle name="Comma 8 3 5 10" xfId="42863" xr:uid="{0247200E-7A02-4C74-B1D3-5B92F28F9719}"/>
    <cellStyle name="Comma 8 3 5 11" xfId="43594" xr:uid="{A6B6CE02-0AAE-46AC-9079-F816E666B936}"/>
    <cellStyle name="Comma 8 3 5 12" xfId="44598" xr:uid="{8E18C4F2-7446-4FFA-9D92-A2D7D8B3E031}"/>
    <cellStyle name="Comma 8 3 5 13" xfId="45740" xr:uid="{F9116397-2542-4373-90A1-15600556C681}"/>
    <cellStyle name="Comma 8 3 5 14" xfId="49368" xr:uid="{0DCA09E6-5419-4093-B03D-1AA804A89853}"/>
    <cellStyle name="Comma 8 3 5 15" xfId="54202" xr:uid="{15530A68-E0D1-4049-80F3-D306EFB7A6E6}"/>
    <cellStyle name="Comma 8 3 5 16" xfId="19769" xr:uid="{E5E3B45D-9932-4AA3-AC10-6BBFB7B507DA}"/>
    <cellStyle name="Comma 8 3 5 17" xfId="13977" xr:uid="{1FAB14E0-8D9C-49FE-96E4-B8E51E611AFA}"/>
    <cellStyle name="Comma 8 3 5 2" xfId="5754" xr:uid="{45BC048B-569C-4ACF-A34D-5B52C81D2D1C}"/>
    <cellStyle name="Comma 8 3 5 2 10" xfId="23386" xr:uid="{93BB469F-2AB8-4366-B494-382ED590485E}"/>
    <cellStyle name="Comma 8 3 5 2 11" xfId="14291" xr:uid="{BBF5B992-B7A9-4038-91B7-64A9A56F02D4}"/>
    <cellStyle name="Comma 8 3 5 2 2" xfId="7856" xr:uid="{4058CB2E-CCDC-4093-A7E6-96DC2A8E496B}"/>
    <cellStyle name="Comma 8 3 5 2 2 2" xfId="10348" xr:uid="{2C13D5DA-E09A-4744-A308-E5E9071BEF8A}"/>
    <cellStyle name="Comma 8 3 5 2 2 2 2" xfId="13654" xr:uid="{B65194A5-702F-4056-918C-07EC826E084F}"/>
    <cellStyle name="Comma 8 3 5 2 2 2 2 2" xfId="51844" xr:uid="{FCF90037-1656-4D33-9EF7-86776D3B10D5}"/>
    <cellStyle name="Comma 8 3 5 2 2 2 3" xfId="54203" xr:uid="{CF9C9CF1-C969-4863-9148-B2D5A9BC9EED}"/>
    <cellStyle name="Comma 8 3 5 2 2 2 4" xfId="49164" xr:uid="{6CDC7356-D75A-4CE1-A57F-699C470AE3C8}"/>
    <cellStyle name="Comma 8 3 5 2 2 3" xfId="12369" xr:uid="{A83EB1C6-2E66-413A-9D9B-CE24C49ADF4F}"/>
    <cellStyle name="Comma 8 3 5 2 2 3 2" xfId="47581" xr:uid="{8D8059FD-D01A-481B-BFB7-67EF099393E7}"/>
    <cellStyle name="Comma 8 3 5 2 2 4" xfId="50516" xr:uid="{413EE38D-1E61-4449-BD38-0010EC3A3DC8}"/>
    <cellStyle name="Comma 8 3 5 2 2 5" xfId="54204" xr:uid="{E027FBF8-C2E2-49CD-8628-4EB66DB1A57D}"/>
    <cellStyle name="Comma 8 3 5 2 2 6" xfId="39777" xr:uid="{C0D66988-B2F4-4420-A72D-552FCCC81683}"/>
    <cellStyle name="Comma 8 3 5 2 2 7" xfId="14783" xr:uid="{98BBC210-1CCE-4735-B8CC-9759BF7B176B}"/>
    <cellStyle name="Comma 8 3 5 2 3" xfId="9854" xr:uid="{D60D1B31-2251-4F76-8682-F8EE8790412D}"/>
    <cellStyle name="Comma 8 3 5 2 3 2" xfId="13160" xr:uid="{A39A3EFF-D1A8-45AA-8831-E74E1D9404A8}"/>
    <cellStyle name="Comma 8 3 5 2 3 2 2" xfId="48308" xr:uid="{C54C6F3D-F7E0-4E1E-90F6-71653BED158C}"/>
    <cellStyle name="Comma 8 3 5 2 3 3" xfId="51126" xr:uid="{D4535434-81D9-42DA-BF4C-963E6C896F41}"/>
    <cellStyle name="Comma 8 3 5 2 3 4" xfId="54205" xr:uid="{FCC2DB6A-141D-43D4-A449-A6A9FC4628EB}"/>
    <cellStyle name="Comma 8 3 5 2 3 5" xfId="41630" xr:uid="{E08AD91B-3638-4652-B4F2-5C5207D0DBB3}"/>
    <cellStyle name="Comma 8 3 5 2 4" xfId="7352" xr:uid="{52AFEE74-946B-4BD8-B65B-068AFA631A88}"/>
    <cellStyle name="Comma 8 3 5 2 4 2" xfId="43454" xr:uid="{0255857B-A1F0-4D74-8CBC-58DD777D11B3}"/>
    <cellStyle name="Comma 8 3 5 2 5" xfId="11875" xr:uid="{BC95DCE7-3644-412A-A388-03A233EB4740}"/>
    <cellStyle name="Comma 8 3 5 2 5 2" xfId="44298" xr:uid="{C50A84A8-9DFC-4767-AC7A-290FEFA3F916}"/>
    <cellStyle name="Comma 8 3 5 2 6" xfId="45529" xr:uid="{8FD680D7-90C5-484E-8A4A-AFD4D22E099F}"/>
    <cellStyle name="Comma 8 3 5 2 7" xfId="46766" xr:uid="{5F0A4328-2D4C-4EEB-9186-C733CA577470}"/>
    <cellStyle name="Comma 8 3 5 2 8" xfId="49798" xr:uid="{DB415F9F-519C-4DEF-8DD1-C69514DE008A}"/>
    <cellStyle name="Comma 8 3 5 2 9" xfId="54206" xr:uid="{5CEA7140-1A19-416F-BC97-7A661A9DD977}"/>
    <cellStyle name="Comma 8 3 5 3" xfId="7542" xr:uid="{046B72E6-5662-43D7-9241-6D5F0F3B215F}"/>
    <cellStyle name="Comma 8 3 5 3 2" xfId="10034" xr:uid="{50D0ECB4-3E8D-4098-BD02-89B362B3FE56}"/>
    <cellStyle name="Comma 8 3 5 3 2 2" xfId="13340" xr:uid="{46F0C716-CF3F-4AC6-854D-8D130C4865FD}"/>
    <cellStyle name="Comma 8 3 5 3 2 2 2" xfId="50871" xr:uid="{9922FDB5-3487-4563-8621-788F3AAC1024}"/>
    <cellStyle name="Comma 8 3 5 3 2 3" xfId="54207" xr:uid="{846475F6-2DD6-4EB6-B752-EDF270CF3269}"/>
    <cellStyle name="Comma 8 3 5 3 2 4" xfId="48002" xr:uid="{14705EF3-A08C-443E-8FA5-3A4902E21E19}"/>
    <cellStyle name="Comma 8 3 5 3 3" xfId="12055" xr:uid="{710B8E16-804B-435D-AD93-798159885BFC}"/>
    <cellStyle name="Comma 8 3 5 3 3 2" xfId="46207" xr:uid="{BADA9858-9DA3-4582-A15E-EE507FE813CF}"/>
    <cellStyle name="Comma 8 3 5 3 4" xfId="49543" xr:uid="{3693B7BB-C425-44CA-BDC4-F4F4CCA6FB52}"/>
    <cellStyle name="Comma 8 3 5 3 5" xfId="54208" xr:uid="{B78C1820-CC04-4419-B87C-BDDC218BBCD4}"/>
    <cellStyle name="Comma 8 3 5 3 6" xfId="20430" xr:uid="{77B982B9-9115-4926-B2D7-47802EDC7C93}"/>
    <cellStyle name="Comma 8 3 5 3 7" xfId="14469" xr:uid="{738B0DF2-38C8-47D9-8771-821653E8F823}"/>
    <cellStyle name="Comma 8 3 5 4" xfId="11169" xr:uid="{45AA59AB-8ED3-41AF-855D-6EC7388F13BB}"/>
    <cellStyle name="Comma 8 3 5 4 2" xfId="13764" xr:uid="{75A36F6D-563B-4810-ADAC-4F2090440AC8}"/>
    <cellStyle name="Comma 8 3 5 4 2 2" xfId="51333" xr:uid="{890FFBCE-3D81-4479-BDD7-A5056A3B9979}"/>
    <cellStyle name="Comma 8 3 5 4 2 3" xfId="54209" xr:uid="{E0E01F5B-D95B-4A36-B067-440A02797CC4}"/>
    <cellStyle name="Comma 8 3 5 4 2 4" xfId="48547" xr:uid="{C65EA639-4BBB-4A8F-9ECA-83ECEFB1793F}"/>
    <cellStyle name="Comma 8 3 5 4 3" xfId="46986" xr:uid="{ED96DC60-FCAC-4C3C-8A2C-80889F284B20}"/>
    <cellStyle name="Comma 8 3 5 4 4" xfId="50005" xr:uid="{37CBEE13-8BEB-415B-BE53-3CD9965BC0C8}"/>
    <cellStyle name="Comma 8 3 5 4 5" xfId="54210" xr:uid="{A393D133-E010-4276-A62B-941F72A783A1}"/>
    <cellStyle name="Comma 8 3 5 4 6" xfId="24075" xr:uid="{A5A989A4-217E-4AE9-B464-D2A1C0F84E1C}"/>
    <cellStyle name="Comma 8 3 5 4 7" xfId="15098" xr:uid="{73F09404-DCDF-45E9-B320-C2047EC11B7D}"/>
    <cellStyle name="Comma 8 3 5 5" xfId="9540" xr:uid="{0D6C6B89-577C-4112-BE5F-F88FC567A5CF}"/>
    <cellStyle name="Comma 8 3 5 5 2" xfId="12846" xr:uid="{67A9B41F-9E2D-4438-819A-C90435D5E6D0}"/>
    <cellStyle name="Comma 8 3 5 5 2 2" xfId="51589" xr:uid="{EA92FA7A-E010-41D4-B63A-DB2940E700A2}"/>
    <cellStyle name="Comma 8 3 5 5 2 3" xfId="54211" xr:uid="{B6FCCDB7-9ED5-4DEE-B734-390B565AEA71}"/>
    <cellStyle name="Comma 8 3 5 5 2 4" xfId="48854" xr:uid="{11048BC4-CE38-4CF6-A248-502BC4D7ECFB}"/>
    <cellStyle name="Comma 8 3 5 5 3" xfId="47283" xr:uid="{BFE4ED66-39B4-43BE-B58B-5CC428D259C2}"/>
    <cellStyle name="Comma 8 3 5 5 4" xfId="50261" xr:uid="{287D0A44-4D70-429E-B545-9716AD05BF22}"/>
    <cellStyle name="Comma 8 3 5 5 5" xfId="54212" xr:uid="{50E97C0A-1F78-41F4-9AE5-F6C7993680A3}"/>
    <cellStyle name="Comma 8 3 5 5 6" xfId="38572" xr:uid="{6516C15F-5624-4BE9-99A1-D440FE61F589}"/>
    <cellStyle name="Comma 8 3 5 6" xfId="6568" xr:uid="{A9B55039-8391-491B-BC63-CAD2F0369093}"/>
    <cellStyle name="Comma 8 3 5 6 2" xfId="47797" xr:uid="{DDABCBD7-3583-4ACA-8195-B32651701821}"/>
    <cellStyle name="Comma 8 3 5 6 3" xfId="50696" xr:uid="{3A7C98F5-37A4-4E34-9A9D-48354D333CFB}"/>
    <cellStyle name="Comma 8 3 5 6 4" xfId="54213" xr:uid="{663AB7CE-53E4-4499-9E56-DBB8FECD8173}"/>
    <cellStyle name="Comma 8 3 5 6 5" xfId="39186" xr:uid="{B95902F7-3DE1-4B81-903B-D15239C4D5AD}"/>
    <cellStyle name="Comma 8 3 5 7" xfId="11561" xr:uid="{0DABB28E-D753-4B59-B3F5-2346076E3304}"/>
    <cellStyle name="Comma 8 3 5 7 2" xfId="40395" xr:uid="{D105A628-E1D9-4E6D-A4D4-CB49D331801B}"/>
    <cellStyle name="Comma 8 3 5 8" xfId="41037" xr:uid="{4E6CC01E-822E-4B2A-A68E-A7C3290794E7}"/>
    <cellStyle name="Comma 8 3 5 9" xfId="42249" xr:uid="{6F0BDDD5-E17D-43DA-9E3D-3F34FD194AF9}"/>
    <cellStyle name="Comma 8 3 6" xfId="3900" xr:uid="{488518D8-3E58-4F72-81B7-E5DFA20393FF}"/>
    <cellStyle name="Comma 8 3 6 10" xfId="44498" xr:uid="{8C724DE0-93C5-4E4C-911E-1B6F4D0975CF}"/>
    <cellStyle name="Comma 8 3 6 11" xfId="46665" xr:uid="{FE164A58-9F66-495F-9DD3-D022385471A7}"/>
    <cellStyle name="Comma 8 3 6 12" xfId="49698" xr:uid="{627D92C7-A8FC-4F05-858C-4005C8B2A7C9}"/>
    <cellStyle name="Comma 8 3 6 13" xfId="54214" xr:uid="{86381191-BF0C-40B7-AB59-4F310B2E1AB9}"/>
    <cellStyle name="Comma 8 3 6 14" xfId="20642" xr:uid="{4C33067B-64B0-477D-918F-2E90B8E5B535}"/>
    <cellStyle name="Comma 8 3 6 15" xfId="14179" xr:uid="{51189C8F-9C22-4AB9-B7F4-61C9501579F4}"/>
    <cellStyle name="Comma 8 3 6 2" xfId="5642" xr:uid="{40EA8844-5A33-4FAA-A580-593EA0A6171C}"/>
    <cellStyle name="Comma 8 3 6 2 2" xfId="10236" xr:uid="{1AF0DD28-2777-49E8-B64A-E5D4E238F20F}"/>
    <cellStyle name="Comma 8 3 6 2 2 2" xfId="13542" xr:uid="{B4182840-8096-4267-9012-E9579C4B2631}"/>
    <cellStyle name="Comma 8 3 6 2 2 2 2" xfId="51233" xr:uid="{003047EA-C81C-4BE2-AF9B-18235999ED0F}"/>
    <cellStyle name="Comma 8 3 6 2 2 3" xfId="54215" xr:uid="{F3A62CE2-0496-482F-BA73-34420720C6B0}"/>
    <cellStyle name="Comma 8 3 6 2 2 4" xfId="48439" xr:uid="{9A2CFF6A-F20A-4475-A122-4C4B6E08E8CC}"/>
    <cellStyle name="Comma 8 3 6 2 3" xfId="7744" xr:uid="{0CAAFB09-555A-4DD9-B018-BB15AF93E2ED}"/>
    <cellStyle name="Comma 8 3 6 2 3 2" xfId="46883" xr:uid="{87835CE4-BD68-419F-A25A-AD5ED0B90570}"/>
    <cellStyle name="Comma 8 3 6 2 4" xfId="12257" xr:uid="{F9C84179-D7BB-46A6-9996-81F1514B3EDA}"/>
    <cellStyle name="Comma 8 3 6 2 4 2" xfId="49905" xr:uid="{99DF1759-0316-4E2F-BB17-A7C186164EED}"/>
    <cellStyle name="Comma 8 3 6 2 5" xfId="54216" xr:uid="{09ADF76A-DA63-48A5-9A85-32E418135BA9}"/>
    <cellStyle name="Comma 8 3 6 2 6" xfId="24076" xr:uid="{4387893C-FD5E-4B50-AC70-A45646C4711B}"/>
    <cellStyle name="Comma 8 3 6 2 7" xfId="14671" xr:uid="{0C05EF16-29D2-49CD-9EEE-B7AFFD72583D}"/>
    <cellStyle name="Comma 8 3 6 3" xfId="9742" xr:uid="{B69DE36C-63C4-4C62-B63A-087B50338032}"/>
    <cellStyle name="Comma 8 3 6 3 2" xfId="13048" xr:uid="{4CF663CA-FE96-40B4-A8EA-C876FCCEE58B}"/>
    <cellStyle name="Comma 8 3 6 3 2 2" xfId="51744" xr:uid="{CA196365-DF02-4BC6-B72D-A46B201E6F05}"/>
    <cellStyle name="Comma 8 3 6 3 2 3" xfId="54217" xr:uid="{42038E03-8E5B-4848-BA17-6E304706E3CD}"/>
    <cellStyle name="Comma 8 3 6 3 2 4" xfId="49054" xr:uid="{CAAE6AD4-DF94-44FF-9B8B-AB9BA5F464B4}"/>
    <cellStyle name="Comma 8 3 6 3 3" xfId="47473" xr:uid="{842ACA6D-75CB-4C71-B790-612399447102}"/>
    <cellStyle name="Comma 8 3 6 3 4" xfId="50416" xr:uid="{2DFA75BF-E46A-4B23-9E9F-0553A04E40C7}"/>
    <cellStyle name="Comma 8 3 6 3 5" xfId="54218" xr:uid="{A36C8CD2-9594-4FCE-98FC-01A507F32931}"/>
    <cellStyle name="Comma 8 3 6 3 6" xfId="38573" xr:uid="{C54CE3E4-01D4-41B2-AE0E-6B0FAC7EE81D}"/>
    <cellStyle name="Comma 8 3 6 3 7" xfId="14986" xr:uid="{6DBB906C-DD67-483C-B743-97950F1B1E61}"/>
    <cellStyle name="Comma 8 3 6 4" xfId="7238" xr:uid="{468C0552-C799-46BE-B149-55D029A537EB}"/>
    <cellStyle name="Comma 8 3 6 4 2" xfId="48199" xr:uid="{9B38BD0E-4B06-4CDA-980A-C89719997E81}"/>
    <cellStyle name="Comma 8 3 6 4 3" xfId="51026" xr:uid="{CA64C6E1-76AC-4B8A-9581-55AED92B49E5}"/>
    <cellStyle name="Comma 8 3 6 4 4" xfId="54219" xr:uid="{13EF8197-0D35-4023-9FF0-62F995A915C5}"/>
    <cellStyle name="Comma 8 3 6 4 5" xfId="39336" xr:uid="{160574F8-38C8-4BC6-9B88-5D52F51DD24B}"/>
    <cellStyle name="Comma 8 3 6 5" xfId="11763" xr:uid="{FE630DA4-3974-44AF-ABB5-523FCCD4BAD2}"/>
    <cellStyle name="Comma 8 3 6 5 2" xfId="40396" xr:uid="{B144FDB1-BEB1-4E58-9466-3DA3E06123F0}"/>
    <cellStyle name="Comma 8 3 6 6" xfId="41038" xr:uid="{3339FC7E-399E-419D-9485-E6F7EA6DE81D}"/>
    <cellStyle name="Comma 8 3 6 7" xfId="42250" xr:uid="{AC8FC267-D30F-4759-BD34-C8737521BAA3}"/>
    <cellStyle name="Comma 8 3 6 8" xfId="43013" xr:uid="{5031A49D-AD38-40BC-878B-8F0E3A6C1657}"/>
    <cellStyle name="Comma 8 3 6 9" xfId="43911" xr:uid="{BBB58CB6-287C-4291-ADB9-9C98C3EA6142}"/>
    <cellStyle name="Comma 8 3 7" xfId="5578" xr:uid="{472D558B-C9DB-4268-BC20-271718A0AB6D}"/>
    <cellStyle name="Comma 8 3 7 2" xfId="7680" xr:uid="{E757B36D-44E0-415C-BC31-1999203C8078}"/>
    <cellStyle name="Comma 8 3 7 2 2" xfId="10172" xr:uid="{BEB5E317-B82C-44B4-95E2-AC14F6AB4A4B}"/>
    <cellStyle name="Comma 8 3 7 2 2 2" xfId="13478" xr:uid="{4B208E5C-63A6-4A44-AC5C-76C6495DF2C1}"/>
    <cellStyle name="Comma 8 3 7 2 2 2 2" xfId="51412" xr:uid="{C0C247C5-2E35-4645-9DD2-03F6F32EC22F}"/>
    <cellStyle name="Comma 8 3 7 2 2 3" xfId="54220" xr:uid="{21D0BD31-C5A8-4E28-AE58-E846FC159D9E}"/>
    <cellStyle name="Comma 8 3 7 2 2 4" xfId="48649" xr:uid="{479682E9-670C-400D-A427-9623BBCB9854}"/>
    <cellStyle name="Comma 8 3 7 2 3" xfId="12193" xr:uid="{06A1CD8E-8B39-46C6-8978-89EC4ED62CCB}"/>
    <cellStyle name="Comma 8 3 7 2 3 2" xfId="47083" xr:uid="{BFA77258-C2F9-4BC2-97B6-E94A364B175B}"/>
    <cellStyle name="Comma 8 3 7 2 4" xfId="50084" xr:uid="{EF77FC6D-1902-4C3B-A82F-6F2A1860117A}"/>
    <cellStyle name="Comma 8 3 7 2 5" xfId="54221" xr:uid="{7CEA3584-93FD-4CF6-BE2A-4CD47CFF5F60}"/>
    <cellStyle name="Comma 8 3 7 2 6" xfId="43867" xr:uid="{07B5F2B7-CF32-4B86-81F6-B660C6AFE61C}"/>
    <cellStyle name="Comma 8 3 7 2 7" xfId="14607" xr:uid="{DAA0DD2F-BE35-47C4-8FE7-F64731FB416A}"/>
    <cellStyle name="Comma 8 3 7 3" xfId="9678" xr:uid="{3637DDA1-B65B-4418-8287-80129A757252}"/>
    <cellStyle name="Comma 8 3 7 3 2" xfId="12984" xr:uid="{633C0EB8-91CB-44A4-805B-9A72268B3683}"/>
    <cellStyle name="Comma 8 3 7 3 2 2" xfId="51704" xr:uid="{3CA68DE5-D0EB-4ED4-834D-5A43E056145C}"/>
    <cellStyle name="Comma 8 3 7 3 2 3" xfId="54222" xr:uid="{610DA831-6C6D-49BE-A1ED-46C6F1D20931}"/>
    <cellStyle name="Comma 8 3 7 3 2 4" xfId="48992" xr:uid="{5FB3A058-CB14-4936-A20A-C4821F4A6AA8}"/>
    <cellStyle name="Comma 8 3 7 3 3" xfId="50376" xr:uid="{4962474B-0BB1-4822-87CF-A50A478B1C08}"/>
    <cellStyle name="Comma 8 3 7 3 4" xfId="54223" xr:uid="{857700C9-6A45-48CC-B935-4EBB34904032}"/>
    <cellStyle name="Comma 8 3 7 3 5" xfId="47416" xr:uid="{CFA41B23-5AB1-432E-AB80-9C4F67FCE0BE}"/>
    <cellStyle name="Comma 8 3 7 4" xfId="7174" xr:uid="{4E3ABF9E-41BA-443A-BDC8-463FE1CE2EB3}"/>
    <cellStyle name="Comma 8 3 7 4 2" xfId="50986" xr:uid="{30B8AA0F-3D90-4000-B796-63BC80E6A620}"/>
    <cellStyle name="Comma 8 3 7 4 3" xfId="54224" xr:uid="{01D21414-AB3B-42D4-8CDB-1612957AF68C}"/>
    <cellStyle name="Comma 8 3 7 4 4" xfId="48137" xr:uid="{126CD08A-87D4-4D44-9BF6-0393E7EE15B5}"/>
    <cellStyle name="Comma 8 3 7 5" xfId="11699" xr:uid="{E0FFEC63-5DF6-464D-B821-8AAC90F308A2}"/>
    <cellStyle name="Comma 8 3 7 5 2" xfId="46625" xr:uid="{D34AC314-3E12-48D6-9597-227BA4E8EC40}"/>
    <cellStyle name="Comma 8 3 7 6" xfId="49658" xr:uid="{A1971B81-9677-4432-9842-CB23D97E0910}"/>
    <cellStyle name="Comma 8 3 7 7" xfId="54225" xr:uid="{1D06FB29-86CD-411C-A169-CDA62CEA2EF6}"/>
    <cellStyle name="Comma 8 3 7 8" xfId="19989" xr:uid="{FF88EDB6-C7A0-4DF1-8043-0B6484541E8A}"/>
    <cellStyle name="Comma 8 3 7 9" xfId="14115" xr:uid="{E8993D9E-D254-4744-8FE3-D1D5FE8D2C0A}"/>
    <cellStyle name="Comma 8 3 8" xfId="5967" xr:uid="{E7975C8C-6F89-43BB-8322-B3109491E2AD}"/>
    <cellStyle name="Comma 8 3 8 2" xfId="9425" xr:uid="{BA48AB5C-D84F-4375-BA05-5065BC1AD5E6}"/>
    <cellStyle name="Comma 8 3 8 2 2" xfId="12731" xr:uid="{7CEBA7B4-CAB8-4403-8FCE-A64039ABEFCC}"/>
    <cellStyle name="Comma 8 3 8 2 2 2" xfId="50771" xr:uid="{2D47CEFD-11F2-4816-A8AA-6D3ED7A1C3E9}"/>
    <cellStyle name="Comma 8 3 8 2 3" xfId="54226" xr:uid="{96CDD947-2FCE-48FC-9BA2-698C69F86AFA}"/>
    <cellStyle name="Comma 8 3 8 2 4" xfId="47894" xr:uid="{4D52E4DD-A81E-4BC9-8243-A973C53855B9}"/>
    <cellStyle name="Comma 8 3 8 3" xfId="11446" xr:uid="{58397276-1437-4411-955E-88BA698179A7}"/>
    <cellStyle name="Comma 8 3 8 3 2" xfId="45821" xr:uid="{F7E2406B-3BA1-48DF-BD72-1A35339058A2}"/>
    <cellStyle name="Comma 8 3 8 4" xfId="49443" xr:uid="{7F972943-B745-45AE-977B-591924F52734}"/>
    <cellStyle name="Comma 8 3 8 5" xfId="54227" xr:uid="{255F0919-F48F-47A5-A578-ABE9BACB0DFB}"/>
    <cellStyle name="Comma 8 3 8 6" xfId="24067" xr:uid="{8E4DF192-31E4-41CA-8A63-69374FE3EFFF}"/>
    <cellStyle name="Comma 8 3 8 7" xfId="14357" xr:uid="{1A561269-D327-42E5-88E8-B7C95633F064}"/>
    <cellStyle name="Comma 8 3 9" xfId="7430" xr:uid="{EB01FB7F-72FC-4026-98AC-B265AF7453F1}"/>
    <cellStyle name="Comma 8 3 9 2" xfId="9922" xr:uid="{6CFA55DE-0CC2-4D52-9829-D0F7C7A92CAA}"/>
    <cellStyle name="Comma 8 3 9 2 2" xfId="13228" xr:uid="{B9E765A8-278C-4B57-87E8-E4B49AFE2B95}"/>
    <cellStyle name="Comma 8 3 9 2 2 2" xfId="51206" xr:uid="{20462F52-5406-4854-A2C4-CBEA5F3DC0C1}"/>
    <cellStyle name="Comma 8 3 9 2 3" xfId="54228" xr:uid="{4D790DDA-37BF-49D9-A861-33D13DC337F1}"/>
    <cellStyle name="Comma 8 3 9 2 4" xfId="48405" xr:uid="{24B07C0A-6946-4697-AE39-CAF3AD3F86E4}"/>
    <cellStyle name="Comma 8 3 9 3" xfId="11943" xr:uid="{2C234FE5-609B-47E0-9118-73BB673B7350}"/>
    <cellStyle name="Comma 8 3 9 3 2" xfId="46854" xr:uid="{BB9A2258-6E6A-4C27-B86C-CF007ABABA9C}"/>
    <cellStyle name="Comma 8 3 9 4" xfId="49878" xr:uid="{FC036F54-95AE-4857-9DF2-44FE7D2069EE}"/>
    <cellStyle name="Comma 8 3 9 5" xfId="54229" xr:uid="{AB7C8098-2DE1-4206-9B7E-2236D349EAFA}"/>
    <cellStyle name="Comma 8 3 9 6" xfId="38564" xr:uid="{5D668568-BD48-4FFB-9039-C13680A8DFEE}"/>
    <cellStyle name="Comma 8 3 9 7" xfId="14922" xr:uid="{C39B5B73-F062-4EA9-B4EA-FA41E4CD4D76}"/>
    <cellStyle name="Comma 8 4" xfId="1826" xr:uid="{DB2139EE-9511-4ABE-AEBF-D09ECA23A800}"/>
    <cellStyle name="Comma 8 4 10" xfId="8213" xr:uid="{1BDCF52F-D6BC-43B8-A297-CD9B9A604B17}"/>
    <cellStyle name="Comma 8 4 10 2" xfId="12669" xr:uid="{03BD4130-8BD1-467C-BD47-4D844C2208A2}"/>
    <cellStyle name="Comma 8 4 10 2 2" xfId="51490" xr:uid="{B39F658E-072E-455C-9545-D48EE7090981}"/>
    <cellStyle name="Comma 8 4 10 2 3" xfId="54230" xr:uid="{3E8402C8-BDC4-407D-828F-21D7F04529CE}"/>
    <cellStyle name="Comma 8 4 10 2 4" xfId="48746" xr:uid="{355D6C53-CB14-484C-9482-123EAFB40830}"/>
    <cellStyle name="Comma 8 4 10 3" xfId="47181" xr:uid="{1D31E8A3-5EB4-42E7-9E90-04445C4ADAF5}"/>
    <cellStyle name="Comma 8 4 10 4" xfId="50162" xr:uid="{E470277C-F2B7-4EC4-BFCB-300B5F6E2746}"/>
    <cellStyle name="Comma 8 4 10 5" xfId="54231" xr:uid="{749D9327-B687-417F-9200-708262A747E7}"/>
    <cellStyle name="Comma 8 4 10 6" xfId="40397" xr:uid="{85C1E42E-A7B2-422E-9484-090E33417D42}"/>
    <cellStyle name="Comma 8 4 11" xfId="8000" xr:uid="{AE555DBA-8900-4270-B1AF-90D5AA6212D7}"/>
    <cellStyle name="Comma 8 4 11 2" xfId="12513" xr:uid="{19546179-8ACA-4D06-88C1-46E452994E02}"/>
    <cellStyle name="Comma 8 4 11 2 2" xfId="47645" xr:uid="{2A9004B3-C4E2-4844-8FA2-720C21DCC1DB}"/>
    <cellStyle name="Comma 8 4 11 3" xfId="50558" xr:uid="{1066DE65-5180-4456-8B2C-EFF84954F965}"/>
    <cellStyle name="Comma 8 4 11 4" xfId="54232" xr:uid="{CD4D1DB9-EEC6-443E-B008-94BAF78651B6}"/>
    <cellStyle name="Comma 8 4 11 5" xfId="41039" xr:uid="{D0A701B3-7B4E-484C-B324-78C0177F73E0}"/>
    <cellStyle name="Comma 8 4 12" xfId="5897" xr:uid="{BB22808E-2845-417B-A911-D1E3DB9E97E7}"/>
    <cellStyle name="Comma 8 4 12 2" xfId="42251" xr:uid="{D1DDB310-CE57-41A5-8CC5-C65860342D01}"/>
    <cellStyle name="Comma 8 4 13" xfId="11385" xr:uid="{49E8F520-B27A-4B7A-AE95-F37973D9E49F}"/>
    <cellStyle name="Comma 8 4 13 2" xfId="42474" xr:uid="{7CA242C4-4D1C-4550-90F8-4460D9ADEFE9}"/>
    <cellStyle name="Comma 8 4 14" xfId="43493" xr:uid="{9884D15D-C4C9-4497-9422-720899376AB0}"/>
    <cellStyle name="Comma 8 4 15" xfId="44462" xr:uid="{83AC6FEB-C195-44BD-876D-DDD75EC0DB2E}"/>
    <cellStyle name="Comma 8 4 16" xfId="45600" xr:uid="{B5693A9B-9BE5-4087-8F48-4564ED794005}"/>
    <cellStyle name="Comma 8 4 17" xfId="49230" xr:uid="{C2C4B188-3EAD-452A-9D75-34C39AFA2E0B}"/>
    <cellStyle name="Comma 8 4 18" xfId="54233" xr:uid="{44A8037C-4A64-492B-BCA5-E177CA0F8DAA}"/>
    <cellStyle name="Comma 8 4 19" xfId="16668" xr:uid="{4167E7D4-089A-4961-A369-40B502B244E5}"/>
    <cellStyle name="Comma 8 4 2" xfId="1827" xr:uid="{0FF7A8F4-E1F4-4DF4-A4DF-EA71B0026801}"/>
    <cellStyle name="Comma 8 4 2 10" xfId="11386" xr:uid="{7BAE75FA-5161-4F3B-9969-E6FCA021E845}"/>
    <cellStyle name="Comma 8 4 2 10 2" xfId="41040" xr:uid="{40EB106B-7812-4B94-A1E6-9295204C1106}"/>
    <cellStyle name="Comma 8 4 2 11" xfId="42252" xr:uid="{083D750B-47F7-4813-B0AB-4EE96D11820A}"/>
    <cellStyle name="Comma 8 4 2 12" xfId="42424" xr:uid="{E6F5A674-5E44-4E14-88CD-28EB066FCA92}"/>
    <cellStyle name="Comma 8 4 2 13" xfId="43600" xr:uid="{726E84D5-0441-49FD-85A1-152D23F9DE08}"/>
    <cellStyle name="Comma 8 4 2 14" xfId="44463" xr:uid="{90DA5665-BE2E-4FAD-A2C3-0337494F75D2}"/>
    <cellStyle name="Comma 8 4 2 15" xfId="45670" xr:uid="{5CB26B5B-4456-41DF-9008-7D5C6E4EBDA1}"/>
    <cellStyle name="Comma 8 4 2 16" xfId="49299" xr:uid="{4DBC5B7B-1298-4872-BAF1-33DCA4346F0E}"/>
    <cellStyle name="Comma 8 4 2 17" xfId="54234" xr:uid="{7E1DA90A-32D8-42D4-A3C6-D4A87887D9FE}"/>
    <cellStyle name="Comma 8 4 2 18" xfId="16452" xr:uid="{B9550580-7FF3-41A7-BA3A-9CF1D58B5678}"/>
    <cellStyle name="Comma 8 4 2 19" xfId="13983" xr:uid="{476EF2CC-5148-41D2-AB80-0ED664C778EE}"/>
    <cellStyle name="Comma 8 4 2 2" xfId="1828" xr:uid="{6D3AB7CD-300C-43FA-B668-98BFA3F80BA3}"/>
    <cellStyle name="Comma 8 4 2 2 10" xfId="42794" xr:uid="{5EF110F1-6204-4C13-B5C9-218C07AF0699}"/>
    <cellStyle name="Comma 8 4 2 2 11" xfId="43601" xr:uid="{1EED47C3-9B5B-4488-8F8D-6CEDECB0F54E}"/>
    <cellStyle name="Comma 8 4 2 2 12" xfId="44464" xr:uid="{0F415815-72B9-409B-84AC-EDB9BEB36B08}"/>
    <cellStyle name="Comma 8 4 2 2 13" xfId="45787" xr:uid="{C762E22E-3DBB-4A8A-AC0A-56D1103C07C2}"/>
    <cellStyle name="Comma 8 4 2 2 14" xfId="49415" xr:uid="{6D35ABFD-232B-4243-A727-5A8640B1B2E5}"/>
    <cellStyle name="Comma 8 4 2 2 15" xfId="54235" xr:uid="{20957BFD-3859-4995-8668-2D36A68D309D}"/>
    <cellStyle name="Comma 8 4 2 2 16" xfId="17147" xr:uid="{A89C611A-B95A-4E42-A4D6-DB52A23260CB}"/>
    <cellStyle name="Comma 8 4 2 2 17" xfId="13984" xr:uid="{6BB84A32-6FC9-48A3-994A-97155291B4B1}"/>
    <cellStyle name="Comma 8 4 2 2 2" xfId="4504" xr:uid="{747CAAA7-37EB-4D4B-8774-DCAD117FC47C}"/>
    <cellStyle name="Comma 8 4 2 2 2 10" xfId="44305" xr:uid="{E1D456CC-ED40-4F6E-82D9-A2E4E2A7E04E}"/>
    <cellStyle name="Comma 8 4 2 2 2 11" xfId="44605" xr:uid="{8453C0D9-77D5-4AD3-91C4-04637FAFE741}"/>
    <cellStyle name="Comma 8 4 2 2 2 12" xfId="46773" xr:uid="{39418960-E5DD-482E-B529-B5A9001E8808}"/>
    <cellStyle name="Comma 8 4 2 2 2 13" xfId="49805" xr:uid="{890A1072-9AB8-46FE-B384-808A23417F75}"/>
    <cellStyle name="Comma 8 4 2 2 2 14" xfId="54236" xr:uid="{28EC7F2A-C45C-43EE-AADD-A9D7BD07A513}"/>
    <cellStyle name="Comma 8 4 2 2 2 15" xfId="21142" xr:uid="{0C8988B0-82D0-4205-9733-3FCFE488AF3B}"/>
    <cellStyle name="Comma 8 4 2 2 2 16" xfId="14298" xr:uid="{D5F98B41-EAEE-43F5-BB3C-F5093CF0075C}"/>
    <cellStyle name="Comma 8 4 2 2 2 2" xfId="5761" xr:uid="{7F664105-884B-4D78-9084-0D131BECB504}"/>
    <cellStyle name="Comma 8 4 2 2 2 2 2" xfId="10355" xr:uid="{854366F2-CAA7-4F98-9A24-27D1288101DD}"/>
    <cellStyle name="Comma 8 4 2 2 2 2 2 2" xfId="13661" xr:uid="{C198E32D-4469-4A23-B7E3-1CC6C43AEF9B}"/>
    <cellStyle name="Comma 8 4 2 2 2 2 2 2 2" xfId="51457" xr:uid="{432480D3-FC21-4351-A58B-34A651E07BED}"/>
    <cellStyle name="Comma 8 4 2 2 2 2 2 3" xfId="54237" xr:uid="{AEEEFC32-5B03-45D9-B02E-337FF3E3642A}"/>
    <cellStyle name="Comma 8 4 2 2 2 2 2 4" xfId="48702" xr:uid="{D057DE94-69CE-4145-A1B8-D0A8A32A0390}"/>
    <cellStyle name="Comma 8 4 2 2 2 2 3" xfId="7863" xr:uid="{99C1C6DB-E80A-48C9-9506-FBB139FFF6D2}"/>
    <cellStyle name="Comma 8 4 2 2 2 2 3 2" xfId="47139" xr:uid="{DA79E69B-4FC4-4498-BCB7-6FDE60BC48C9}"/>
    <cellStyle name="Comma 8 4 2 2 2 2 4" xfId="12376" xr:uid="{EE14720F-8785-4FA9-A9C8-2276DD00832D}"/>
    <cellStyle name="Comma 8 4 2 2 2 2 4 2" xfId="50129" xr:uid="{18E97F7B-B526-449F-BE6C-A4372579D7B2}"/>
    <cellStyle name="Comma 8 4 2 2 2 2 5" xfId="54238" xr:uid="{F08B13A4-40FF-4228-AD5E-AAD2CA0239B8}"/>
    <cellStyle name="Comma 8 4 2 2 2 2 6" xfId="24080" xr:uid="{91C4A5FB-8A82-4AEF-A024-79362B33A71C}"/>
    <cellStyle name="Comma 8 4 2 2 2 2 7" xfId="14790" xr:uid="{E815FAFF-6428-4FD5-8D8F-583E01FCBACE}"/>
    <cellStyle name="Comma 8 4 2 2 2 3" xfId="9861" xr:uid="{770D68AF-E026-4F0F-B8F4-7B5B7BF7DF78}"/>
    <cellStyle name="Comma 8 4 2 2 2 3 2" xfId="13167" xr:uid="{D4CCC869-55C7-4FF9-B7C2-F05567D44F0D}"/>
    <cellStyle name="Comma 8 4 2 2 2 3 2 2" xfId="51851" xr:uid="{8739F805-434D-4C84-81FC-849431AF59FE}"/>
    <cellStyle name="Comma 8 4 2 2 2 3 2 3" xfId="54239" xr:uid="{C9177D02-3ABF-48C9-B3D6-598BB3BA1F1D}"/>
    <cellStyle name="Comma 8 4 2 2 2 3 2 4" xfId="49171" xr:uid="{256D1124-32E1-4B76-B482-9E6F0C793CCB}"/>
    <cellStyle name="Comma 8 4 2 2 2 3 3" xfId="47588" xr:uid="{BCC03215-E15A-47B8-BB8F-E5F9F071EAF9}"/>
    <cellStyle name="Comma 8 4 2 2 2 3 4" xfId="50523" xr:uid="{7A9B5E2C-82F4-416C-8943-0CF80694CAD8}"/>
    <cellStyle name="Comma 8 4 2 2 2 3 5" xfId="54240" xr:uid="{0C63D742-5189-4882-A4F7-A1D24B67EA16}"/>
    <cellStyle name="Comma 8 4 2 2 2 3 6" xfId="38577" xr:uid="{FA19C8F3-200B-488C-A2C1-025A34BCF889}"/>
    <cellStyle name="Comma 8 4 2 2 2 3 7" xfId="15105" xr:uid="{2AC119AB-994F-4F22-99A9-C8AF520045C0}"/>
    <cellStyle name="Comma 8 4 2 2 2 4" xfId="7359" xr:uid="{85DF665A-6A2C-4F91-B0AE-1A1B13F54137}"/>
    <cellStyle name="Comma 8 4 2 2 2 4 2" xfId="48315" xr:uid="{CDE9D477-A4D9-42DD-9E5E-D327D0BFC5A7}"/>
    <cellStyle name="Comma 8 4 2 2 2 4 3" xfId="51133" xr:uid="{E0FF17E6-B54E-489E-85D5-234E41BC20A3}"/>
    <cellStyle name="Comma 8 4 2 2 2 4 4" xfId="54241" xr:uid="{DBAEA360-7CE0-473D-BF5C-A9DF04D094E3}"/>
    <cellStyle name="Comma 8 4 2 2 2 4 5" xfId="39708" xr:uid="{58220657-D41E-432D-B713-391F22927650}"/>
    <cellStyle name="Comma 8 4 2 2 2 5" xfId="11882" xr:uid="{5F1B0EC2-D32C-4AD7-A5E1-C951A1E46B56}"/>
    <cellStyle name="Comma 8 4 2 2 2 5 2" xfId="40400" xr:uid="{98F6D74F-5BCB-4563-B66B-8683978AEF55}"/>
    <cellStyle name="Comma 8 4 2 2 2 6" xfId="41042" xr:uid="{721D8388-5FA8-43C9-97DF-5F5D2A7CD25B}"/>
    <cellStyle name="Comma 8 4 2 2 2 7" xfId="41561" xr:uid="{9E43D911-CDBF-4D2D-8EDF-C52B353FC420}"/>
    <cellStyle name="Comma 8 4 2 2 2 8" xfId="42254" xr:uid="{8E5C8216-679B-4C0B-B86E-6FC58BC4DB74}"/>
    <cellStyle name="Comma 8 4 2 2 2 9" xfId="43385" xr:uid="{F3989409-1660-4A8A-B53F-60935CE3858C}"/>
    <cellStyle name="Comma 8 4 2 2 3" xfId="5585" xr:uid="{F914F577-05E2-4370-9DB1-FB09B42E4D58}"/>
    <cellStyle name="Comma 8 4 2 2 3 2" xfId="7687" xr:uid="{FE9C6C14-2331-4118-8D46-51F4E43BDCD2}"/>
    <cellStyle name="Comma 8 4 2 2 3 2 2" xfId="10179" xr:uid="{395521CB-9C3C-4B23-9E38-769B81201F29}"/>
    <cellStyle name="Comma 8 4 2 2 3 2 2 2" xfId="13485" xr:uid="{B8A80526-2B3F-4D55-8882-F549D9D72599}"/>
    <cellStyle name="Comma 8 4 2 2 3 2 2 2 2" xfId="51711" xr:uid="{6D975278-FECD-4ED4-83A5-44D116D5F478}"/>
    <cellStyle name="Comma 8 4 2 2 3 2 2 3" xfId="54242" xr:uid="{F6E7C6AE-C36F-407D-99E9-A166E5196733}"/>
    <cellStyle name="Comma 8 4 2 2 3 2 2 4" xfId="48999" xr:uid="{B78FA2A2-32D3-4B39-816C-DF2F99AD6B53}"/>
    <cellStyle name="Comma 8 4 2 2 3 2 3" xfId="12200" xr:uid="{1AB678A9-C7DE-437E-82BA-BB9614CF18B2}"/>
    <cellStyle name="Comma 8 4 2 2 3 2 3 2" xfId="47423" xr:uid="{95DFEFC6-7A98-4C2C-B265-7B9C2E978586}"/>
    <cellStyle name="Comma 8 4 2 2 3 2 4" xfId="50383" xr:uid="{E709DBAF-6BF0-423A-8674-33EEF21821DF}"/>
    <cellStyle name="Comma 8 4 2 2 3 2 5" xfId="54243" xr:uid="{A5F730DD-C00A-4F15-AEDF-6C9C350E0EE3}"/>
    <cellStyle name="Comma 8 4 2 2 3 2 6" xfId="43874" xr:uid="{548AF74C-1C14-4418-8BAB-E1C0F410A230}"/>
    <cellStyle name="Comma 8 4 2 2 3 2 7" xfId="14614" xr:uid="{A4CFD211-81B0-4ADC-8D60-62E39F1E69AC}"/>
    <cellStyle name="Comma 8 4 2 2 3 3" xfId="9685" xr:uid="{5D690B77-693A-4A51-9992-00EA6E12C7E9}"/>
    <cellStyle name="Comma 8 4 2 2 3 3 2" xfId="12991" xr:uid="{66B2F689-8BDB-4E6C-9F82-124CD50D1760}"/>
    <cellStyle name="Comma 8 4 2 2 3 3 2 2" xfId="50993" xr:uid="{908FC50B-72C7-4A7D-BC4E-C0E73F6C25E2}"/>
    <cellStyle name="Comma 8 4 2 2 3 3 3" xfId="54244" xr:uid="{A00FC47B-74B6-4F90-B6E4-1FBC73C4F82A}"/>
    <cellStyle name="Comma 8 4 2 2 3 3 4" xfId="48144" xr:uid="{68812378-BA23-44C5-970F-3484D3FA50A6}"/>
    <cellStyle name="Comma 8 4 2 2 3 4" xfId="7181" xr:uid="{8B15E9C2-72D6-48DD-9B34-9851B5C5D772}"/>
    <cellStyle name="Comma 8 4 2 2 3 4 2" xfId="46632" xr:uid="{EC6C0781-FA46-4CB1-8568-FD9F32F5391C}"/>
    <cellStyle name="Comma 8 4 2 2 3 5" xfId="11706" xr:uid="{FF385AC9-9025-4194-973E-A06B65A5F29C}"/>
    <cellStyle name="Comma 8 4 2 2 3 5 2" xfId="49665" xr:uid="{B583B7EF-B646-4824-B8B5-394B8F8FCB7F}"/>
    <cellStyle name="Comma 8 4 2 2 3 6" xfId="54245" xr:uid="{2E8A698D-7A83-4C54-B1A8-47A82B1759D0}"/>
    <cellStyle name="Comma 8 4 2 2 3 7" xfId="20361" xr:uid="{21E8BFCE-EB2A-4C64-A1A9-FC723FE4F06D}"/>
    <cellStyle name="Comma 8 4 2 2 3 8" xfId="14122" xr:uid="{1C53868F-5DA9-46CF-A568-418294D78881}"/>
    <cellStyle name="Comma 8 4 2 2 4" xfId="6575" xr:uid="{7B8DB72C-8126-4499-85D4-481714EF0EBE}"/>
    <cellStyle name="Comma 8 4 2 2 4 2" xfId="9547" xr:uid="{2CAED08C-4175-439D-8A07-02D791C4ED58}"/>
    <cellStyle name="Comma 8 4 2 2 4 2 2" xfId="12853" xr:uid="{3B0E7FBA-6944-4993-BB47-1848B87AF2E1}"/>
    <cellStyle name="Comma 8 4 2 2 4 2 2 2" xfId="50878" xr:uid="{2C0FF894-AB1F-4464-B41E-61BAC311059F}"/>
    <cellStyle name="Comma 8 4 2 2 4 2 3" xfId="54246" xr:uid="{B18FAB4B-F771-4D12-B6D2-403635CEADEB}"/>
    <cellStyle name="Comma 8 4 2 2 4 2 4" xfId="48009" xr:uid="{D5E7C1A0-1F70-4958-9094-45F8BFC61CA7}"/>
    <cellStyle name="Comma 8 4 2 2 4 3" xfId="11568" xr:uid="{D5BB3FA3-9CBF-41C0-B3B0-E87DB8E70912}"/>
    <cellStyle name="Comma 8 4 2 2 4 3 2" xfId="46214" xr:uid="{DF2C1753-8744-4E87-A499-2BBA6BE542F7}"/>
    <cellStyle name="Comma 8 4 2 2 4 4" xfId="49550" xr:uid="{62C7A760-EA77-4CAB-BB77-8DA73BE8A49A}"/>
    <cellStyle name="Comma 8 4 2 2 4 5" xfId="54247" xr:uid="{79F2F45B-56C4-4F34-8037-5007D7EA9800}"/>
    <cellStyle name="Comma 8 4 2 2 4 6" xfId="24079" xr:uid="{2807B9AA-C5C9-4E89-8239-92DFF606E104}"/>
    <cellStyle name="Comma 8 4 2 2 4 7" xfId="14476" xr:uid="{59ADE356-4CB9-4F18-BFC0-8A340751B06A}"/>
    <cellStyle name="Comma 8 4 2 2 5" xfId="7549" xr:uid="{1710BDAB-144B-497A-87BA-2938A913CBA2}"/>
    <cellStyle name="Comma 8 4 2 2 5 2" xfId="10041" xr:uid="{BCA7DCA0-E12D-4635-8D07-5D2EC3C4BBB1}"/>
    <cellStyle name="Comma 8 4 2 2 5 2 2" xfId="13347" xr:uid="{67D81403-8431-4E96-8D89-EB224C626E76}"/>
    <cellStyle name="Comma 8 4 2 2 5 2 2 2" xfId="51340" xr:uid="{9D3B4027-7B11-42F0-A088-CE18393E1AA5}"/>
    <cellStyle name="Comma 8 4 2 2 5 2 3" xfId="54248" xr:uid="{D5ADF991-8B0F-4817-A139-2F26A2E142EC}"/>
    <cellStyle name="Comma 8 4 2 2 5 2 4" xfId="48554" xr:uid="{B81F1A78-6828-4D81-BE30-785DE5AEAEBE}"/>
    <cellStyle name="Comma 8 4 2 2 5 3" xfId="12062" xr:uid="{B2EB9DD2-2842-4DAB-893A-A2E08450B198}"/>
    <cellStyle name="Comma 8 4 2 2 5 3 2" xfId="46993" xr:uid="{ACF2FA37-72E5-41FB-9059-B77AFB2EDB8E}"/>
    <cellStyle name="Comma 8 4 2 2 5 4" xfId="50012" xr:uid="{BFA71B48-4486-4193-A386-EB349AB1A9DE}"/>
    <cellStyle name="Comma 8 4 2 2 5 5" xfId="54249" xr:uid="{C348D2CE-4E60-4280-A519-8ACF0884D738}"/>
    <cellStyle name="Comma 8 4 2 2 5 6" xfId="38576" xr:uid="{97EB4FEF-1A59-44EA-98D7-BE11EF1A0F04}"/>
    <cellStyle name="Comma 8 4 2 2 5 7" xfId="14929" xr:uid="{E181D0EF-B46E-4EA6-99D1-7929050FB78A}"/>
    <cellStyle name="Comma 8 4 2 2 6" xfId="8215" xr:uid="{AE72FB7A-585D-4A1D-8E6C-3BAB5B6D9689}"/>
    <cellStyle name="Comma 8 4 2 2 6 2" xfId="12671" xr:uid="{E74E2C8A-A689-4A3B-8B1A-15CE47C49998}"/>
    <cellStyle name="Comma 8 4 2 2 6 2 2" xfId="51596" xr:uid="{E6703305-E1C9-4F4B-8557-2ECDA98DED93}"/>
    <cellStyle name="Comma 8 4 2 2 6 2 3" xfId="54250" xr:uid="{074F08A7-0DFD-4015-B937-69A5489FC762}"/>
    <cellStyle name="Comma 8 4 2 2 6 2 4" xfId="48861" xr:uid="{938C21FB-0D4B-4861-B955-5A83F8A15211}"/>
    <cellStyle name="Comma 8 4 2 2 6 3" xfId="47290" xr:uid="{0E3736D2-5E46-4660-A70E-A48A28BA8287}"/>
    <cellStyle name="Comma 8 4 2 2 6 4" xfId="50268" xr:uid="{4E785FA9-AFE3-4D00-ACAE-F2E38D783A1D}"/>
    <cellStyle name="Comma 8 4 2 2 6 5" xfId="54251" xr:uid="{80B007B4-EA3F-40F8-81B7-C1B351A235DF}"/>
    <cellStyle name="Comma 8 4 2 2 6 6" xfId="39117" xr:uid="{5C6EFC6A-A650-4B16-9FEE-57F1C88CDAB0}"/>
    <cellStyle name="Comma 8 4 2 2 7" xfId="8002" xr:uid="{A381EBD5-2EA3-4F13-A8D6-1794F23141A4}"/>
    <cellStyle name="Comma 8 4 2 2 7 2" xfId="12515" xr:uid="{8B654255-71C8-4E1B-AA34-23E0E9B169F2}"/>
    <cellStyle name="Comma 8 4 2 2 7 2 2" xfId="47855" xr:uid="{888FBEC5-BCB0-450B-AAF8-47F69BCCD3A3}"/>
    <cellStyle name="Comma 8 4 2 2 7 3" xfId="50743" xr:uid="{F5C7FF98-A60E-419C-B861-2B1BF9D79C43}"/>
    <cellStyle name="Comma 8 4 2 2 7 4" xfId="54252" xr:uid="{9B619081-907C-425D-9D26-A750C0A247EF}"/>
    <cellStyle name="Comma 8 4 2 2 7 5" xfId="40399" xr:uid="{79DAF4F1-42A2-4815-A502-C1228D28959F}"/>
    <cellStyle name="Comma 8 4 2 2 8" xfId="5899" xr:uid="{8BC66746-78FC-4D5E-A800-091A864A81D8}"/>
    <cellStyle name="Comma 8 4 2 2 8 2" xfId="41041" xr:uid="{59A2CBB1-1FBD-4474-8A6C-E9F075DF5A5C}"/>
    <cellStyle name="Comma 8 4 2 2 9" xfId="11387" xr:uid="{63974F8D-A68B-4423-A846-1594E4F5F12B}"/>
    <cellStyle name="Comma 8 4 2 2 9 2" xfId="42253" xr:uid="{B1F82F1F-1686-4921-89FC-1B39B2950EF6}"/>
    <cellStyle name="Comma 8 4 2 3" xfId="4503" xr:uid="{F169EBCA-AAAA-41FE-BA5E-E59E69B5CC35}"/>
    <cellStyle name="Comma 8 4 2 3 10" xfId="42867" xr:uid="{285459E1-2F9E-4CA8-9244-FBCE2A5C82F7}"/>
    <cellStyle name="Comma 8 4 2 3 11" xfId="44304" xr:uid="{D38B45C7-13C5-4B5F-BBD8-C8EB1C4C3A93}"/>
    <cellStyle name="Comma 8 4 2 3 12" xfId="44604" xr:uid="{96733929-F16A-470A-9000-BA2A23F36219}"/>
    <cellStyle name="Comma 8 4 2 3 13" xfId="45744" xr:uid="{8D989372-A937-4032-A81E-A74E03E1280C}"/>
    <cellStyle name="Comma 8 4 2 3 14" xfId="49372" xr:uid="{39421ACF-C4A3-41B9-A62E-2A16F1CC2F40}"/>
    <cellStyle name="Comma 8 4 2 3 15" xfId="54253" xr:uid="{E4BF25FC-1655-43BC-A8EF-43202E263E0D}"/>
    <cellStyle name="Comma 8 4 2 3 16" xfId="19773" xr:uid="{6629747B-DBB4-47ED-BD85-1740EA940FEE}"/>
    <cellStyle name="Comma 8 4 2 3 17" xfId="14297" xr:uid="{A802E10A-FA61-4C55-A0D5-2DD6247E31A8}"/>
    <cellStyle name="Comma 8 4 2 3 2" xfId="5760" xr:uid="{E94F30EA-D312-407F-ACDE-DD03ADD3582A}"/>
    <cellStyle name="Comma 8 4 2 3 2 10" xfId="45532" xr:uid="{80CB11A9-CC55-4B37-B821-30DA0C2B4746}"/>
    <cellStyle name="Comma 8 4 2 3 2 11" xfId="46772" xr:uid="{3F749571-C5E1-4B58-B688-6107D7D07192}"/>
    <cellStyle name="Comma 8 4 2 3 2 12" xfId="49804" xr:uid="{EFEFE8E8-B873-443D-9254-D82BC8BD2873}"/>
    <cellStyle name="Comma 8 4 2 3 2 13" xfId="54254" xr:uid="{5F108611-D616-4D22-AF5D-1D78D83B585D}"/>
    <cellStyle name="Comma 8 4 2 3 2 14" xfId="23390" xr:uid="{B31AAA52-CF8C-451C-911A-4E18E0C07511}"/>
    <cellStyle name="Comma 8 4 2 3 2 15" xfId="14789" xr:uid="{C7B802A3-AD90-4D7D-A1D5-9B539B23A97F}"/>
    <cellStyle name="Comma 8 4 2 3 2 2" xfId="10354" xr:uid="{E6D30572-5CA3-4985-B297-2AAD6F0E96C9}"/>
    <cellStyle name="Comma 8 4 2 3 2 2 2" xfId="13660" xr:uid="{2BFABE24-79F8-4B31-B09D-D2DB5443E392}"/>
    <cellStyle name="Comma 8 4 2 3 2 2 2 2" xfId="48314" xr:uid="{C99735A9-3BD7-431E-8604-4ADCA8360A67}"/>
    <cellStyle name="Comma 8 4 2 3 2 2 3" xfId="51132" xr:uid="{10D04588-441E-4F1D-ADF3-C44B4E7C5B13}"/>
    <cellStyle name="Comma 8 4 2 3 2 2 4" xfId="54255" xr:uid="{3EACF04F-D70A-4C66-A622-5CC4577AA928}"/>
    <cellStyle name="Comma 8 4 2 3 2 2 5" xfId="24082" xr:uid="{1E354274-69B8-4647-8764-97DBB65E269A}"/>
    <cellStyle name="Comma 8 4 2 3 2 3" xfId="7862" xr:uid="{3F60ED00-02E5-41AC-9181-ED03FC5EC5BF}"/>
    <cellStyle name="Comma 8 4 2 3 2 3 2" xfId="38579" xr:uid="{AFFF7D18-3B4F-42F3-AC57-EE8740FFCF40}"/>
    <cellStyle name="Comma 8 4 2 3 2 4" xfId="12375" xr:uid="{C4D1A2D1-DF22-4CFB-B71D-C113DFDE4E8B}"/>
    <cellStyle name="Comma 8 4 2 3 2 4 2" xfId="39781" xr:uid="{53D7F1A8-B2DE-4FDE-8D27-20D28F7DD26C}"/>
    <cellStyle name="Comma 8 4 2 3 2 5" xfId="40402" xr:uid="{A9E51C94-3E94-4363-A57D-33CF73A78EC8}"/>
    <cellStyle name="Comma 8 4 2 3 2 6" xfId="41044" xr:uid="{727D7E31-9826-41F9-8F4B-CAC9F0751E03}"/>
    <cellStyle name="Comma 8 4 2 3 2 7" xfId="41634" xr:uid="{DA5AEBC8-ABE2-4DF2-BC10-CF41EF199E5D}"/>
    <cellStyle name="Comma 8 4 2 3 2 8" xfId="42256" xr:uid="{2FCAE5D1-5E5B-4966-A7B8-A7EC116484DF}"/>
    <cellStyle name="Comma 8 4 2 3 2 9" xfId="43458" xr:uid="{58F3F72B-97FB-47F4-9DB3-749A31C5FDB9}"/>
    <cellStyle name="Comma 8 4 2 3 3" xfId="11247" xr:uid="{D4CE205B-F2C3-4FB0-ACEF-E4D4ADDD488C}"/>
    <cellStyle name="Comma 8 4 2 3 3 2" xfId="13809" xr:uid="{8CE8479A-9EF2-47F7-AA1A-4D4F95B62048}"/>
    <cellStyle name="Comma 8 4 2 3 3 2 2" xfId="51456" xr:uid="{FC13695A-3F63-4E79-9743-1FDD320FBC4B}"/>
    <cellStyle name="Comma 8 4 2 3 3 2 3" xfId="54256" xr:uid="{69F16362-88F4-4874-A291-831886C18BBE}"/>
    <cellStyle name="Comma 8 4 2 3 3 2 4" xfId="48701" xr:uid="{003CF6BF-AA70-42D8-8B69-EE78BAFE1303}"/>
    <cellStyle name="Comma 8 4 2 3 3 3" xfId="47138" xr:uid="{2D3F77C7-35B5-45CF-99A0-210E61F61142}"/>
    <cellStyle name="Comma 8 4 2 3 3 4" xfId="50128" xr:uid="{B77578C6-956B-4E6E-94A1-6F18A7AD9124}"/>
    <cellStyle name="Comma 8 4 2 3 3 5" xfId="54257" xr:uid="{5EEA431E-3E4F-4E01-9B81-A94AB8C52E46}"/>
    <cellStyle name="Comma 8 4 2 3 3 6" xfId="20434" xr:uid="{30838396-C17B-4EBB-93D2-645D60EEB9EC}"/>
    <cellStyle name="Comma 8 4 2 3 3 7" xfId="15104" xr:uid="{2B258BBA-0AC6-417D-B6D4-FF9C93E813E1}"/>
    <cellStyle name="Comma 8 4 2 3 4" xfId="9860" xr:uid="{F025CFFD-1242-4E08-BE07-3B434AF767C1}"/>
    <cellStyle name="Comma 8 4 2 3 4 2" xfId="13166" xr:uid="{16005577-5F34-4F5E-91EB-4B968EE6127B}"/>
    <cellStyle name="Comma 8 4 2 3 4 2 2" xfId="51850" xr:uid="{6C741211-AE31-4130-8CE9-583E583AAC4C}"/>
    <cellStyle name="Comma 8 4 2 3 4 2 3" xfId="54258" xr:uid="{2BA1EAEC-7AB9-4AE0-8A92-CFE059DC85F3}"/>
    <cellStyle name="Comma 8 4 2 3 4 2 4" xfId="49170" xr:uid="{6D3B8AFE-3735-4510-9E6F-3383F0190F9A}"/>
    <cellStyle name="Comma 8 4 2 3 4 3" xfId="47587" xr:uid="{822D96F2-9ED8-4F61-9D17-F107C9D963E8}"/>
    <cellStyle name="Comma 8 4 2 3 4 4" xfId="50522" xr:uid="{6C1DB58F-3327-49FC-87CE-01D1E4B6031B}"/>
    <cellStyle name="Comma 8 4 2 3 4 5" xfId="54259" xr:uid="{3CE62EAC-F4E6-4BD2-AAD9-CF5DFC0F5571}"/>
    <cellStyle name="Comma 8 4 2 3 4 6" xfId="24081" xr:uid="{D1BCB3DF-1F56-43CF-B2A9-C374AAE40DC9}"/>
    <cellStyle name="Comma 8 4 2 3 5" xfId="7358" xr:uid="{7DA1647C-8692-4D8C-ACA4-61A53355D809}"/>
    <cellStyle name="Comma 8 4 2 3 5 2" xfId="47801" xr:uid="{9492D8CD-16CE-4E67-AFF1-B7EF9FE3B3EA}"/>
    <cellStyle name="Comma 8 4 2 3 5 3" xfId="50700" xr:uid="{41C05770-A6AD-4204-9D0F-8A060EB1A672}"/>
    <cellStyle name="Comma 8 4 2 3 5 4" xfId="54260" xr:uid="{D2395F1B-386C-4916-A410-B49A318426CB}"/>
    <cellStyle name="Comma 8 4 2 3 5 5" xfId="38578" xr:uid="{B579DB56-E1FC-4852-AB19-C56717E46543}"/>
    <cellStyle name="Comma 8 4 2 3 6" xfId="11881" xr:uid="{DE5F51A4-FFCF-4C9E-B5EE-7C5EB013EC2C}"/>
    <cellStyle name="Comma 8 4 2 3 6 2" xfId="39190" xr:uid="{EF174A7D-F81C-4F4B-8D2C-41B6D6CD64E2}"/>
    <cellStyle name="Comma 8 4 2 3 7" xfId="40401" xr:uid="{7C24B492-AF60-49D0-9B62-6BA41AD65B53}"/>
    <cellStyle name="Comma 8 4 2 3 8" xfId="41043" xr:uid="{4DB84A5C-40E1-4ACE-BB9E-CEBF96035557}"/>
    <cellStyle name="Comma 8 4 2 3 9" xfId="42255" xr:uid="{D527B412-8845-4E99-BBDE-AEA266DEEBF4}"/>
    <cellStyle name="Comma 8 4 2 4" xfId="5584" xr:uid="{3698DE20-CD80-424E-BD67-392660C2D587}"/>
    <cellStyle name="Comma 8 4 2 4 10" xfId="43873" xr:uid="{101FBCDB-8EC0-4766-A1FF-ABDEB4206128}"/>
    <cellStyle name="Comma 8 4 2 4 11" xfId="45116" xr:uid="{E1B6C823-01B2-4E45-B7BD-ED88776AE283}"/>
    <cellStyle name="Comma 8 4 2 4 12" xfId="46631" xr:uid="{229E7AAE-233D-4149-9CC7-49C74686B9C5}"/>
    <cellStyle name="Comma 8 4 2 4 13" xfId="49664" xr:uid="{A387B0AE-7F25-4670-9528-11ACA8554B0B}"/>
    <cellStyle name="Comma 8 4 2 4 14" xfId="54261" xr:uid="{93963460-78FC-4D76-A897-9DB67841E91E}"/>
    <cellStyle name="Comma 8 4 2 4 15" xfId="20647" xr:uid="{1538E1CF-49E0-4F82-B959-0D508982F3F6}"/>
    <cellStyle name="Comma 8 4 2 4 16" xfId="14121" xr:uid="{58AD6DA1-00B5-46A1-87BC-67C3A7C11E1F}"/>
    <cellStyle name="Comma 8 4 2 4 2" xfId="7686" xr:uid="{EB731FF6-3C33-48B3-8D2D-EC28438CD069}"/>
    <cellStyle name="Comma 8 4 2 4 2 2" xfId="10178" xr:uid="{8256B099-C5F5-45EC-9203-3D3CAEAB66F6}"/>
    <cellStyle name="Comma 8 4 2 4 2 2 2" xfId="13484" xr:uid="{262CB156-D6C6-42F0-9865-2F64F8E00ACF}"/>
    <cellStyle name="Comma 8 4 2 4 2 2 2 2" xfId="51710" xr:uid="{405CAC9F-EE41-4537-9850-488B9D36A94D}"/>
    <cellStyle name="Comma 8 4 2 4 2 2 3" xfId="54262" xr:uid="{CA7DE4A6-9991-4222-A482-13A4CA7D2299}"/>
    <cellStyle name="Comma 8 4 2 4 2 2 4" xfId="48998" xr:uid="{18E063F4-6E63-49C8-92C3-99E50C5764F2}"/>
    <cellStyle name="Comma 8 4 2 4 2 3" xfId="12199" xr:uid="{2EB4DEF0-92E0-413A-BCE9-F6FF7185EC7C}"/>
    <cellStyle name="Comma 8 4 2 4 2 3 2" xfId="47422" xr:uid="{54A57CC3-024E-4ED3-8330-DCB9E1797933}"/>
    <cellStyle name="Comma 8 4 2 4 2 4" xfId="50382" xr:uid="{E42D7097-B56C-41EA-9194-8B6F0F7A7D16}"/>
    <cellStyle name="Comma 8 4 2 4 2 5" xfId="54263" xr:uid="{CE8D9DDE-CDA9-4B53-BC17-28504449AFF0}"/>
    <cellStyle name="Comma 8 4 2 4 2 6" xfId="24083" xr:uid="{794C5D54-683F-4A38-B166-9C9C2A31B3CF}"/>
    <cellStyle name="Comma 8 4 2 4 2 7" xfId="14613" xr:uid="{C2BC67BE-B63F-46C7-AD21-785ABF25743B}"/>
    <cellStyle name="Comma 8 4 2 4 3" xfId="9684" xr:uid="{1E6CC53C-2BF5-4A47-8EE7-E2194D92F05C}"/>
    <cellStyle name="Comma 8 4 2 4 3 2" xfId="12990" xr:uid="{A7983A0A-2C6C-4841-8516-4868E44D1175}"/>
    <cellStyle name="Comma 8 4 2 4 3 2 2" xfId="48143" xr:uid="{B093515F-4473-44FD-8E7F-5DB166BF693A}"/>
    <cellStyle name="Comma 8 4 2 4 3 3" xfId="50992" xr:uid="{B3BD448F-D4C0-43D8-8F37-6EC4082F81C9}"/>
    <cellStyle name="Comma 8 4 2 4 3 4" xfId="54264" xr:uid="{B0ADA254-8BD4-4567-9CD3-E98006FB86E8}"/>
    <cellStyle name="Comma 8 4 2 4 3 5" xfId="38580" xr:uid="{52A57375-A3CD-4B35-8161-3DC2C0CB00DF}"/>
    <cellStyle name="Comma 8 4 2 4 4" xfId="7180" xr:uid="{9B50CADC-E89F-4285-A3A7-50EC84306041}"/>
    <cellStyle name="Comma 8 4 2 4 4 2" xfId="39338" xr:uid="{DCC885E1-E0D4-4D94-B195-AC756AB81FF2}"/>
    <cellStyle name="Comma 8 4 2 4 5" xfId="11705" xr:uid="{F2B6FA41-F094-4AFC-BE63-23E3E10CBEEA}"/>
    <cellStyle name="Comma 8 4 2 4 5 2" xfId="40403" xr:uid="{642B5198-5BBF-4247-AD24-772C7E6768EC}"/>
    <cellStyle name="Comma 8 4 2 4 6" xfId="41045" xr:uid="{FE056C7B-ADE4-4C26-8BDE-7066217A86F9}"/>
    <cellStyle name="Comma 8 4 2 4 7" xfId="41196" xr:uid="{EF963300-3EEA-4402-A990-5FAA2AAB79F5}"/>
    <cellStyle name="Comma 8 4 2 4 8" xfId="42257" xr:uid="{56C754E1-EA79-44D8-AB54-20FBC4D48040}"/>
    <cellStyle name="Comma 8 4 2 4 9" xfId="43015" xr:uid="{97137C20-0FAF-4FBE-B673-D0EF117E1505}"/>
    <cellStyle name="Comma 8 4 2 5" xfId="6574" xr:uid="{F6FE74E2-F50C-4EDD-86C7-D38AB7445A28}"/>
    <cellStyle name="Comma 8 4 2 5 2" xfId="9546" xr:uid="{2C931CBC-CCDD-42A6-A3D4-D875C4014CB4}"/>
    <cellStyle name="Comma 8 4 2 5 2 2" xfId="12852" xr:uid="{9B8E0587-14C2-4832-9975-DF9D83C53117}"/>
    <cellStyle name="Comma 8 4 2 5 2 2 2" xfId="50877" xr:uid="{062FAA7B-F0BE-4E58-AAA7-92062AE93EC6}"/>
    <cellStyle name="Comma 8 4 2 5 2 3" xfId="54265" xr:uid="{A13588C5-BBCE-4F7B-BF54-5A35F6CF9C33}"/>
    <cellStyle name="Comma 8 4 2 5 2 4" xfId="48008" xr:uid="{0A0A567F-B996-4BB4-A231-B923FBE64AC6}"/>
    <cellStyle name="Comma 8 4 2 5 3" xfId="11567" xr:uid="{79E20EAF-216A-4019-BC6C-2A89E54B607C}"/>
    <cellStyle name="Comma 8 4 2 5 3 2" xfId="46213" xr:uid="{4248F5E9-1103-43AF-94B4-3070422B5022}"/>
    <cellStyle name="Comma 8 4 2 5 4" xfId="49549" xr:uid="{99611AF7-9352-453E-9A72-4C6FAA0EFB19}"/>
    <cellStyle name="Comma 8 4 2 5 5" xfId="54266" xr:uid="{53D4EEC5-777C-4B75-83F1-8AE19465E37F}"/>
    <cellStyle name="Comma 8 4 2 5 6" xfId="19991" xr:uid="{6743B788-9C2F-47CD-BABF-47A8C6136AA2}"/>
    <cellStyle name="Comma 8 4 2 5 7" xfId="14475" xr:uid="{8871CB49-FD24-4E5E-8502-952C88A95DF0}"/>
    <cellStyle name="Comma 8 4 2 6" xfId="7548" xr:uid="{444FC43C-8DD0-465A-A1CB-D7F84A541B03}"/>
    <cellStyle name="Comma 8 4 2 6 2" xfId="10040" xr:uid="{1380766B-37C6-4664-ACF9-2FD892780589}"/>
    <cellStyle name="Comma 8 4 2 6 2 2" xfId="13346" xr:uid="{71AF4F78-81EA-4216-B9EF-5562925D2D1D}"/>
    <cellStyle name="Comma 8 4 2 6 2 2 2" xfId="51339" xr:uid="{0E3403F8-6C55-44D5-B39E-4CB0B837A016}"/>
    <cellStyle name="Comma 8 4 2 6 2 3" xfId="54267" xr:uid="{FCE42440-ECBF-4072-AD39-E83041834516}"/>
    <cellStyle name="Comma 8 4 2 6 2 4" xfId="48553" xr:uid="{A7BD09BE-7F9B-4325-93C2-7BD7EBA2E27B}"/>
    <cellStyle name="Comma 8 4 2 6 3" xfId="12061" xr:uid="{0A004244-F22E-4246-A9A9-B325D582D9E5}"/>
    <cellStyle name="Comma 8 4 2 6 3 2" xfId="46992" xr:uid="{969FF964-C588-4A97-A69C-CF5D9717145B}"/>
    <cellStyle name="Comma 8 4 2 6 4" xfId="50011" xr:uid="{F34D23E8-AE94-442D-A5FE-8C15301865FD}"/>
    <cellStyle name="Comma 8 4 2 6 5" xfId="54268" xr:uid="{6915D44C-D0A0-4B94-832A-5B4E1C22D51F}"/>
    <cellStyle name="Comma 8 4 2 6 6" xfId="24078" xr:uid="{3A1F9AC6-AF87-48B4-A871-60DBB08AE9D6}"/>
    <cellStyle name="Comma 8 4 2 6 7" xfId="14928" xr:uid="{3D6FBAAB-53DC-4A56-A403-BC722EA83BBE}"/>
    <cellStyle name="Comma 8 4 2 7" xfId="8214" xr:uid="{9B9E3C43-16A1-4C89-81B8-2A32D8F218F3}"/>
    <cellStyle name="Comma 8 4 2 7 2" xfId="12670" xr:uid="{5BF03353-F8D4-4B4E-9CAA-51A581D654E1}"/>
    <cellStyle name="Comma 8 4 2 7 2 2" xfId="51595" xr:uid="{3BA4F29A-F56C-42CC-A9B8-2483845E828B}"/>
    <cellStyle name="Comma 8 4 2 7 2 3" xfId="54269" xr:uid="{D311F460-C155-423F-AFF7-7A454A7ADCC4}"/>
    <cellStyle name="Comma 8 4 2 7 2 4" xfId="48860" xr:uid="{83EF57F9-41BD-4E83-8309-231D3085B199}"/>
    <cellStyle name="Comma 8 4 2 7 3" xfId="47289" xr:uid="{6E6E8D0D-E39E-43FA-96A5-78C8623A06B4}"/>
    <cellStyle name="Comma 8 4 2 7 4" xfId="50267" xr:uid="{4CF93534-B467-43FC-A59B-6DD436AACB1E}"/>
    <cellStyle name="Comma 8 4 2 7 5" xfId="54270" xr:uid="{67249E3D-9CAE-4ED3-96F7-84971B93F930}"/>
    <cellStyle name="Comma 8 4 2 7 6" xfId="38575" xr:uid="{E47C2D54-86D7-4C05-BB2D-8956E06587F6}"/>
    <cellStyle name="Comma 8 4 2 8" xfId="8001" xr:uid="{BA7BFAF8-8C8D-4B41-9EB3-ADEECFFC1C29}"/>
    <cellStyle name="Comma 8 4 2 8 2" xfId="12514" xr:uid="{F2D75003-62E9-4F22-9C56-9E17EDE95FE5}"/>
    <cellStyle name="Comma 8 4 2 8 2 2" xfId="47719" xr:uid="{9D53545F-62B8-4F51-BE0C-4935C9D1C937}"/>
    <cellStyle name="Comma 8 4 2 8 3" xfId="50627" xr:uid="{A8F55589-8E3E-49ED-82DB-50AFE6678B0E}"/>
    <cellStyle name="Comma 8 4 2 8 4" xfId="54271" xr:uid="{CCFFCD72-C5AD-4DF4-A0B5-7BD95E164F94}"/>
    <cellStyle name="Comma 8 4 2 8 5" xfId="38747" xr:uid="{FF0F5AA3-99D2-41BE-A442-93A75E4DA4B5}"/>
    <cellStyle name="Comma 8 4 2 9" xfId="5898" xr:uid="{94B9FD6E-DE64-4561-8926-1145F1F037F5}"/>
    <cellStyle name="Comma 8 4 2 9 2" xfId="40398" xr:uid="{29723ADB-14B5-4BFE-B602-B8679BA03B87}"/>
    <cellStyle name="Comma 8 4 20" xfId="13865" xr:uid="{21E69058-CDC1-4A70-9881-2C06139EAF56}"/>
    <cellStyle name="Comma 8 4 3" xfId="1829" xr:uid="{9A65EE29-24FE-4A18-A7FE-1A03B489CF6D}"/>
    <cellStyle name="Comma 8 4 3 10" xfId="42793" xr:uid="{B515A2AA-2F10-47E7-BF63-9C9D0262E56B}"/>
    <cellStyle name="Comma 8 4 3 11" xfId="43602" xr:uid="{344E03A9-70B2-4FB3-8F7E-B20DE97AC015}"/>
    <cellStyle name="Comma 8 4 3 12" xfId="44465" xr:uid="{7F697457-593D-4819-9964-4BDB4063685B}"/>
    <cellStyle name="Comma 8 4 3 13" xfId="45669" xr:uid="{4F65AC3B-21C8-420A-A1D7-01ECAF8E1C9A}"/>
    <cellStyle name="Comma 8 4 3 14" xfId="49298" xr:uid="{9B2328D8-C425-4AF8-8B7E-5D833BC7B61D}"/>
    <cellStyle name="Comma 8 4 3 15" xfId="54272" xr:uid="{A109342A-E056-47CF-890A-47C1B5EC96BF}"/>
    <cellStyle name="Comma 8 4 3 16" xfId="17146" xr:uid="{91343DFB-6069-4C98-AB32-89777DC937DE}"/>
    <cellStyle name="Comma 8 4 3 17" xfId="13985" xr:uid="{A14720B7-343D-468D-BD12-D790D5735681}"/>
    <cellStyle name="Comma 8 4 3 2" xfId="4505" xr:uid="{A2D0B12F-52F7-4438-BFD9-011ABF7FC37B}"/>
    <cellStyle name="Comma 8 4 3 2 10" xfId="21141" xr:uid="{E595D213-0372-4A1A-917F-13EB5CB009D9}"/>
    <cellStyle name="Comma 8 4 3 2 11" xfId="14299" xr:uid="{2971A5AD-AB0B-47A5-9943-F8B23A407546}"/>
    <cellStyle name="Comma 8 4 3 2 2" xfId="5762" xr:uid="{79F9B02C-696B-4628-95D0-2C5E12D63FD7}"/>
    <cellStyle name="Comma 8 4 3 2 2 2" xfId="10356" xr:uid="{C8D4DF67-5061-4693-A38F-9549D44B8833}"/>
    <cellStyle name="Comma 8 4 3 2 2 2 2" xfId="13662" xr:uid="{F9A93A4B-7A65-43E3-9695-5CFB304F39C5}"/>
    <cellStyle name="Comma 8 4 3 2 2 2 2 2" xfId="51134" xr:uid="{89347EF6-6078-443A-A57C-3302E34214CE}"/>
    <cellStyle name="Comma 8 4 3 2 2 2 3" xfId="54273" xr:uid="{7EDAD19C-F679-423A-9C02-D8A04BE6B60D}"/>
    <cellStyle name="Comma 8 4 3 2 2 2 4" xfId="48316" xr:uid="{C5AD189E-897A-4E78-B38A-E685BAC5C761}"/>
    <cellStyle name="Comma 8 4 3 2 2 3" xfId="7864" xr:uid="{E34D1E4D-FABA-44AE-A232-A5CDB0B91E7E}"/>
    <cellStyle name="Comma 8 4 3 2 2 3 2" xfId="46774" xr:uid="{BB9F7495-FD22-43F1-AB2D-E251C8303968}"/>
    <cellStyle name="Comma 8 4 3 2 2 4" xfId="12377" xr:uid="{E54E4DA2-0A2D-478D-B271-AD823573925B}"/>
    <cellStyle name="Comma 8 4 3 2 2 4 2" xfId="49806" xr:uid="{E044239F-348F-458C-B0D3-C6F8B7D2B602}"/>
    <cellStyle name="Comma 8 4 3 2 2 5" xfId="54274" xr:uid="{A01EED43-8CAE-4779-A253-20A64E7B8D60}"/>
    <cellStyle name="Comma 8 4 3 2 2 6" xfId="39707" xr:uid="{683A9F6F-E1A8-40C0-BEA3-5B0826050DE1}"/>
    <cellStyle name="Comma 8 4 3 2 2 7" xfId="14791" xr:uid="{8C93BF1F-178B-4B6A-88E3-FC97D921735A}"/>
    <cellStyle name="Comma 8 4 3 2 3" xfId="11248" xr:uid="{6981B66B-3B5D-48B0-96F7-3D214AD346A5}"/>
    <cellStyle name="Comma 8 4 3 2 3 2" xfId="13810" xr:uid="{EB1F5F05-3D11-4878-9EFE-FB9A87C8C376}"/>
    <cellStyle name="Comma 8 4 3 2 3 2 2" xfId="51458" xr:uid="{8AD5436B-64F2-4B19-B104-7D6F905EB3AB}"/>
    <cellStyle name="Comma 8 4 3 2 3 2 3" xfId="54275" xr:uid="{F735546C-25A6-445A-9B50-F0B545FE4607}"/>
    <cellStyle name="Comma 8 4 3 2 3 2 4" xfId="48703" xr:uid="{DDE23C4A-B600-40B4-A946-C104DA5EDB5F}"/>
    <cellStyle name="Comma 8 4 3 2 3 3" xfId="47140" xr:uid="{F000ACE4-81A3-4849-B433-B44993543091}"/>
    <cellStyle name="Comma 8 4 3 2 3 4" xfId="50130" xr:uid="{D9FDF000-8B6B-4FA9-820E-36CCD182C3A0}"/>
    <cellStyle name="Comma 8 4 3 2 3 5" xfId="54276" xr:uid="{6A211C0D-3F98-4012-98C8-4EE87ADEBCBB}"/>
    <cellStyle name="Comma 8 4 3 2 3 6" xfId="41560" xr:uid="{CB172ABA-C32A-443A-B409-AA9474DE705D}"/>
    <cellStyle name="Comma 8 4 3 2 3 7" xfId="15106" xr:uid="{861813DD-92CE-4C1D-A33D-21AE3C3610C9}"/>
    <cellStyle name="Comma 8 4 3 2 4" xfId="9862" xr:uid="{E36F4F2F-C435-40EE-80ED-0EA888012EF4}"/>
    <cellStyle name="Comma 8 4 3 2 4 2" xfId="13168" xr:uid="{87325F2F-8870-4E4C-BD04-61249072054C}"/>
    <cellStyle name="Comma 8 4 3 2 4 2 2" xfId="51852" xr:uid="{1924C4C1-AEE1-41BB-942B-288D2E3CBF57}"/>
    <cellStyle name="Comma 8 4 3 2 4 2 3" xfId="54277" xr:uid="{03D2DE01-0F57-492A-9E2C-5F9565A4536F}"/>
    <cellStyle name="Comma 8 4 3 2 4 2 4" xfId="49172" xr:uid="{67686D63-0AE4-4B2E-BBFC-61BB4FEBCFE7}"/>
    <cellStyle name="Comma 8 4 3 2 4 3" xfId="47589" xr:uid="{3391844D-2F85-46F2-AB12-FC686962BBF3}"/>
    <cellStyle name="Comma 8 4 3 2 4 4" xfId="50524" xr:uid="{78F4901F-BE87-498A-96A2-EDDCFB91CDAA}"/>
    <cellStyle name="Comma 8 4 3 2 4 5" xfId="54278" xr:uid="{AF4BE245-2E21-4893-8A4B-0136A6E44AEE}"/>
    <cellStyle name="Comma 8 4 3 2 4 6" xfId="43384" xr:uid="{BB23644F-C548-47FE-9BDF-AFEFBDFEC66C}"/>
    <cellStyle name="Comma 8 4 3 2 5" xfId="7360" xr:uid="{9A44C8B2-AB0F-4765-AFE6-71DDABBF9E95}"/>
    <cellStyle name="Comma 8 4 3 2 5 2" xfId="47854" xr:uid="{63BE6EF7-4117-4F78-821A-B17782E40710}"/>
    <cellStyle name="Comma 8 4 3 2 5 3" xfId="50742" xr:uid="{DE62486A-B30E-4769-9160-1CB6AE61E7F3}"/>
    <cellStyle name="Comma 8 4 3 2 5 4" xfId="54279" xr:uid="{CD5FB315-ACA2-4E40-8A64-179542E1B60E}"/>
    <cellStyle name="Comma 8 4 3 2 5 5" xfId="44306" xr:uid="{680135DA-7AA8-4439-A697-C93DDBF48264}"/>
    <cellStyle name="Comma 8 4 3 2 6" xfId="11883" xr:uid="{0633BC04-4284-4039-8FD5-EAE8B936134D}"/>
    <cellStyle name="Comma 8 4 3 2 6 2" xfId="44606" xr:uid="{C41BF772-AB7F-46CB-B08A-356F9EFF5CAB}"/>
    <cellStyle name="Comma 8 4 3 2 7" xfId="45786" xr:uid="{ACF07D6F-FF51-493C-9DDD-87031B9774DF}"/>
    <cellStyle name="Comma 8 4 3 2 8" xfId="49414" xr:uid="{1DCCAB9A-6575-4AE4-99F5-97AC0B26ADBE}"/>
    <cellStyle name="Comma 8 4 3 2 9" xfId="54280" xr:uid="{FC14051C-8D74-422F-A117-CF9B1AE4DD43}"/>
    <cellStyle name="Comma 8 4 3 3" xfId="5586" xr:uid="{CCA790EE-B37F-43F0-B516-72E951B777C3}"/>
    <cellStyle name="Comma 8 4 3 3 2" xfId="7688" xr:uid="{CF3389FF-FAD2-4DB6-A5B7-2CE138F20038}"/>
    <cellStyle name="Comma 8 4 3 3 2 2" xfId="10180" xr:uid="{77966F7B-31A2-4D2F-B105-F62B173D34C5}"/>
    <cellStyle name="Comma 8 4 3 3 2 2 2" xfId="13486" xr:uid="{82371FDD-B7C6-4157-8880-551D4500B9AF}"/>
    <cellStyle name="Comma 8 4 3 3 2 2 2 2" xfId="51712" xr:uid="{041A531C-D9C6-490F-A34C-421478C09913}"/>
    <cellStyle name="Comma 8 4 3 3 2 2 3" xfId="54281" xr:uid="{429925A8-528B-435A-B1A3-DC6542946E57}"/>
    <cellStyle name="Comma 8 4 3 3 2 2 4" xfId="49000" xr:uid="{64E7C3C1-01DD-4269-B75E-E426D80540D4}"/>
    <cellStyle name="Comma 8 4 3 3 2 3" xfId="12201" xr:uid="{2DC05118-083D-4759-AD49-4CB1938AE22A}"/>
    <cellStyle name="Comma 8 4 3 3 2 3 2" xfId="47424" xr:uid="{9A41E2C4-2688-4F5C-A8EE-458BE3D189DF}"/>
    <cellStyle name="Comma 8 4 3 3 2 4" xfId="50384" xr:uid="{C9019AE1-D340-4143-AA65-8EE40055E33F}"/>
    <cellStyle name="Comma 8 4 3 3 2 5" xfId="54282" xr:uid="{FCE48866-78CD-41D2-AE8D-48FC7FB9D8D1}"/>
    <cellStyle name="Comma 8 4 3 3 2 6" xfId="43875" xr:uid="{8195D177-2DF5-44E3-833F-D21714077F25}"/>
    <cellStyle name="Comma 8 4 3 3 2 7" xfId="14615" xr:uid="{049BED85-D82A-4F43-ACF2-7DBB165549BE}"/>
    <cellStyle name="Comma 8 4 3 3 3" xfId="9686" xr:uid="{43DD4F89-2010-41D9-BEDA-FAE924C4A2CB}"/>
    <cellStyle name="Comma 8 4 3 3 3 2" xfId="12992" xr:uid="{FA1677A7-55F1-4E84-894B-BAA8D8D471DE}"/>
    <cellStyle name="Comma 8 4 3 3 3 2 2" xfId="50994" xr:uid="{A7EB4A8D-F129-4E0E-A9DB-1BFBE76B1FDF}"/>
    <cellStyle name="Comma 8 4 3 3 3 3" xfId="54283" xr:uid="{D4B793C4-E4F0-4F9F-AF94-1CDE6A0FD031}"/>
    <cellStyle name="Comma 8 4 3 3 3 4" xfId="48145" xr:uid="{34D8C5F6-A7E8-407B-9C36-58A9B3B94426}"/>
    <cellStyle name="Comma 8 4 3 3 4" xfId="7182" xr:uid="{67CBDCBC-63EB-4088-86D8-621FDEEAFFA1}"/>
    <cellStyle name="Comma 8 4 3 3 4 2" xfId="46633" xr:uid="{6589CE54-35F9-4276-A7F6-685DD0BD2972}"/>
    <cellStyle name="Comma 8 4 3 3 5" xfId="11707" xr:uid="{566396F2-C4CE-4C14-A9D3-23433A153605}"/>
    <cellStyle name="Comma 8 4 3 3 5 2" xfId="49666" xr:uid="{64D89508-4A16-4230-B21D-FE5507925402}"/>
    <cellStyle name="Comma 8 4 3 3 6" xfId="54284" xr:uid="{2F697C05-2AB5-42C2-86FC-F80F7098F894}"/>
    <cellStyle name="Comma 8 4 3 3 7" xfId="20360" xr:uid="{12918522-DD3F-4358-8816-3E38A65400AB}"/>
    <cellStyle name="Comma 8 4 3 3 8" xfId="14123" xr:uid="{40DAD043-587E-410A-A07D-A3AAA6D63872}"/>
    <cellStyle name="Comma 8 4 3 4" xfId="6576" xr:uid="{2D21FD88-701E-440F-AB8E-CA24129F8480}"/>
    <cellStyle name="Comma 8 4 3 4 2" xfId="9548" xr:uid="{0759B274-2D31-4760-995D-DB90C5BB4D87}"/>
    <cellStyle name="Comma 8 4 3 4 2 2" xfId="12854" xr:uid="{11380A28-CFFD-4478-A97B-BB63D58E62E9}"/>
    <cellStyle name="Comma 8 4 3 4 2 2 2" xfId="50879" xr:uid="{F4A1158D-434A-4F93-A694-290DCA9032D7}"/>
    <cellStyle name="Comma 8 4 3 4 2 3" xfId="54285" xr:uid="{E3CA292A-2F17-4F1E-B041-4A2FA9590F34}"/>
    <cellStyle name="Comma 8 4 3 4 2 4" xfId="48010" xr:uid="{1BA354D2-F4DF-4A81-9ED2-1F5539C8662B}"/>
    <cellStyle name="Comma 8 4 3 4 3" xfId="11569" xr:uid="{0CBD98F9-88EB-4F6A-9029-79179F35C3B4}"/>
    <cellStyle name="Comma 8 4 3 4 3 2" xfId="46215" xr:uid="{CD163452-7930-4E05-B6A1-464AE96735B7}"/>
    <cellStyle name="Comma 8 4 3 4 4" xfId="49551" xr:uid="{5D8964D5-7DA4-4CA7-AFFF-35C27FBC11D7}"/>
    <cellStyle name="Comma 8 4 3 4 5" xfId="54286" xr:uid="{5661DDB9-A673-4558-8808-97CBBADBE093}"/>
    <cellStyle name="Comma 8 4 3 4 6" xfId="24084" xr:uid="{6F03CD2E-B563-4FE8-B246-BCBE841E125C}"/>
    <cellStyle name="Comma 8 4 3 4 7" xfId="14477" xr:uid="{95019B9F-FFCD-4307-8409-65D084474D56}"/>
    <cellStyle name="Comma 8 4 3 5" xfId="7550" xr:uid="{04DDACC4-AA0D-4A65-98E7-A48961F39DBD}"/>
    <cellStyle name="Comma 8 4 3 5 2" xfId="10042" xr:uid="{9501CF20-0E9A-4CB5-9E12-3700824688E9}"/>
    <cellStyle name="Comma 8 4 3 5 2 2" xfId="13348" xr:uid="{28C785EC-6105-49EA-A12C-01D70B818246}"/>
    <cellStyle name="Comma 8 4 3 5 2 2 2" xfId="51341" xr:uid="{745969CF-821A-4850-9B70-DAB806097137}"/>
    <cellStyle name="Comma 8 4 3 5 2 3" xfId="54287" xr:uid="{FF5CE69A-E81D-4D76-8C7C-256F7F678D2A}"/>
    <cellStyle name="Comma 8 4 3 5 2 4" xfId="48555" xr:uid="{6E8FA525-1ADA-4499-8924-65E7A1A2449B}"/>
    <cellStyle name="Comma 8 4 3 5 3" xfId="12063" xr:uid="{00119930-F0A9-47BF-BC32-918E8DF96E1F}"/>
    <cellStyle name="Comma 8 4 3 5 3 2" xfId="46994" xr:uid="{D1591D3E-A37E-465A-9B64-4429CC45BDBD}"/>
    <cellStyle name="Comma 8 4 3 5 4" xfId="50013" xr:uid="{42BA0CB3-75DC-4078-9F3C-6AB4D46AD2CC}"/>
    <cellStyle name="Comma 8 4 3 5 5" xfId="54288" xr:uid="{3E906E85-C1AF-4544-BE9C-6D4288265A8A}"/>
    <cellStyle name="Comma 8 4 3 5 6" xfId="38581" xr:uid="{4D67A1B2-1076-4F9E-A623-61AE723DC509}"/>
    <cellStyle name="Comma 8 4 3 5 7" xfId="14930" xr:uid="{39C5D4D4-2D16-4811-9E0A-09F9A9CF2282}"/>
    <cellStyle name="Comma 8 4 3 6" xfId="8216" xr:uid="{10D004B6-BBD0-4D0D-ABD0-DEBEBC76874F}"/>
    <cellStyle name="Comma 8 4 3 6 2" xfId="12672" xr:uid="{EA4614F6-AC76-42A6-B3DB-F71086741FCB}"/>
    <cellStyle name="Comma 8 4 3 6 2 2" xfId="51597" xr:uid="{95A25A91-7952-499A-9FDA-118D5633ABD4}"/>
    <cellStyle name="Comma 8 4 3 6 2 3" xfId="54289" xr:uid="{AE8E2A00-3C67-4DF3-BAB4-438004656BB4}"/>
    <cellStyle name="Comma 8 4 3 6 2 4" xfId="48862" xr:uid="{CE47A1F5-1BE1-4671-BFED-069ECE19A582}"/>
    <cellStyle name="Comma 8 4 3 6 3" xfId="47291" xr:uid="{16445A47-F88F-4553-BAF5-9C8A4DCA1BA6}"/>
    <cellStyle name="Comma 8 4 3 6 4" xfId="50269" xr:uid="{6CF54888-41F5-4901-BA8E-770B39145FA6}"/>
    <cellStyle name="Comma 8 4 3 6 5" xfId="54290" xr:uid="{65CAD566-AE2F-4780-A1AC-44E27791B19E}"/>
    <cellStyle name="Comma 8 4 3 6 6" xfId="39116" xr:uid="{B6C1A10A-D6F9-4557-8835-6B2E7725F7FD}"/>
    <cellStyle name="Comma 8 4 3 7" xfId="8003" xr:uid="{216D5572-D588-411E-B12D-4B8E17EBF9CB}"/>
    <cellStyle name="Comma 8 4 3 7 2" xfId="12516" xr:uid="{69574424-25C7-4986-8092-E15F33282349}"/>
    <cellStyle name="Comma 8 4 3 7 2 2" xfId="47718" xr:uid="{742CB72A-D2BD-480D-BC5C-5AFBA045AC36}"/>
    <cellStyle name="Comma 8 4 3 7 3" xfId="50626" xr:uid="{BB70D016-F784-4FB6-BE26-8EAC4E2DD6BF}"/>
    <cellStyle name="Comma 8 4 3 7 4" xfId="54291" xr:uid="{80D33479-E321-4FA8-8FEB-2EC8CEE47867}"/>
    <cellStyle name="Comma 8 4 3 7 5" xfId="40404" xr:uid="{EDB1C76C-F868-45A5-A6A6-C4C424E26419}"/>
    <cellStyle name="Comma 8 4 3 8" xfId="5900" xr:uid="{A24671DA-FFCA-42B2-9BE9-E725AE6FB22F}"/>
    <cellStyle name="Comma 8 4 3 8 2" xfId="41046" xr:uid="{4F91608C-74E0-4220-8384-CCE8AFE7767D}"/>
    <cellStyle name="Comma 8 4 3 9" xfId="11388" xr:uid="{1D342316-A2CA-48BB-9DE6-FAEFCEA48E27}"/>
    <cellStyle name="Comma 8 4 3 9 2" xfId="42258" xr:uid="{296C110E-F11A-411F-936F-200E0F70A0DE}"/>
    <cellStyle name="Comma 8 4 4" xfId="1830" xr:uid="{7762CEFD-938A-43E4-819B-E0381388EF52}"/>
    <cellStyle name="Comma 8 4 4 10" xfId="42866" xr:uid="{EAA38462-E123-45AC-B8C2-B9332E7AC15A}"/>
    <cellStyle name="Comma 8 4 4 11" xfId="43603" xr:uid="{1AFD1F6B-68AD-471D-ADAD-9BC1DEB6ACDF}"/>
    <cellStyle name="Comma 8 4 4 12" xfId="44466" xr:uid="{32101C8F-44E4-41FD-89AE-0052CFF7B729}"/>
    <cellStyle name="Comma 8 4 4 13" xfId="45757" xr:uid="{D71771F6-8B7C-4C60-9889-7F02232EA8B0}"/>
    <cellStyle name="Comma 8 4 4 14" xfId="49385" xr:uid="{70EAE669-4EED-4EDA-9450-3433A3A93D3E}"/>
    <cellStyle name="Comma 8 4 4 15" xfId="54292" xr:uid="{CD65036E-3E28-4EA8-BFC0-5A52389B7048}"/>
    <cellStyle name="Comma 8 4 4 16" xfId="19772" xr:uid="{24251103-51DC-47CF-AC8B-2B59F57160E3}"/>
    <cellStyle name="Comma 8 4 4 17" xfId="13986" xr:uid="{DBB7B1ED-5BD5-470C-9ADA-F798656CDF85}"/>
    <cellStyle name="Comma 8 4 4 2" xfId="4506" xr:uid="{4A0B019F-4EE2-47D3-804F-EFD51DCABB3D}"/>
    <cellStyle name="Comma 8 4 4 2 10" xfId="23389" xr:uid="{1BCEBFEE-130F-4581-828E-AA936A5177A1}"/>
    <cellStyle name="Comma 8 4 4 2 11" xfId="14300" xr:uid="{6A07A5D9-3093-44B2-A314-B2BF25506C00}"/>
    <cellStyle name="Comma 8 4 4 2 2" xfId="5763" xr:uid="{0298E673-BF60-495D-A197-B9BCB2211CF0}"/>
    <cellStyle name="Comma 8 4 4 2 2 2" xfId="10357" xr:uid="{23BA563B-DC43-4C29-9B33-EA61F7405B26}"/>
    <cellStyle name="Comma 8 4 4 2 2 2 2" xfId="13663" xr:uid="{BDAB5B08-FAE0-40F3-8566-77D21FBA9B3C}"/>
    <cellStyle name="Comma 8 4 4 2 2 2 2 2" xfId="51459" xr:uid="{B5AB2854-9B23-4D7A-8C38-09C27AB93320}"/>
    <cellStyle name="Comma 8 4 4 2 2 2 3" xfId="54293" xr:uid="{D96ACD68-B6BB-42C7-8514-22FF0356BCE2}"/>
    <cellStyle name="Comma 8 4 4 2 2 2 4" xfId="48704" xr:uid="{1EBD9FF8-948B-4BE1-BFC5-A425E43507FB}"/>
    <cellStyle name="Comma 8 4 4 2 2 3" xfId="7865" xr:uid="{513DE024-06E5-46FF-8C37-0CE3D9131C76}"/>
    <cellStyle name="Comma 8 4 4 2 2 3 2" xfId="47141" xr:uid="{6B5C3A24-FE0F-40D3-9B4B-FFC1136F0204}"/>
    <cellStyle name="Comma 8 4 4 2 2 4" xfId="12378" xr:uid="{C16E5BAC-9967-4417-A7B8-BC813A8DD019}"/>
    <cellStyle name="Comma 8 4 4 2 2 4 2" xfId="50131" xr:uid="{97DED1A8-19F9-4EE2-88A1-CFA8DAB3DB8B}"/>
    <cellStyle name="Comma 8 4 4 2 2 5" xfId="54294" xr:uid="{58DCDFD7-F6B2-4F16-A411-598301EFB77D}"/>
    <cellStyle name="Comma 8 4 4 2 2 6" xfId="39780" xr:uid="{890E9251-269C-4D22-B295-6F705D19D0AD}"/>
    <cellStyle name="Comma 8 4 4 2 2 7" xfId="14792" xr:uid="{8D648460-8471-4B5C-8730-A05CC7FCD912}"/>
    <cellStyle name="Comma 8 4 4 2 3" xfId="9863" xr:uid="{1E4038F6-81E7-45B5-A3D4-F3FD59D3BA65}"/>
    <cellStyle name="Comma 8 4 4 2 3 2" xfId="13169" xr:uid="{597E1A16-FF35-43A3-9716-5DB06C014D32}"/>
    <cellStyle name="Comma 8 4 4 2 3 2 2" xfId="51853" xr:uid="{F272A941-8E41-436D-8A44-4507B69AD993}"/>
    <cellStyle name="Comma 8 4 4 2 3 2 3" xfId="54295" xr:uid="{118BA2DE-E002-490B-A490-F3D8DB144F5A}"/>
    <cellStyle name="Comma 8 4 4 2 3 2 4" xfId="49173" xr:uid="{4932D827-EC12-4692-9A68-BA655E3CB621}"/>
    <cellStyle name="Comma 8 4 4 2 3 3" xfId="47590" xr:uid="{4D033C64-795E-4162-BD22-AEE300CDDAC3}"/>
    <cellStyle name="Comma 8 4 4 2 3 4" xfId="50525" xr:uid="{7A71BBB6-8485-4E88-B69D-8377EF400720}"/>
    <cellStyle name="Comma 8 4 4 2 3 5" xfId="54296" xr:uid="{8B3BDC6B-C6B7-4F9D-A19D-9AE30212302D}"/>
    <cellStyle name="Comma 8 4 4 2 3 6" xfId="41633" xr:uid="{3B975C46-CC41-45EC-8338-EFDC36C4095E}"/>
    <cellStyle name="Comma 8 4 4 2 3 7" xfId="15107" xr:uid="{ED1DE594-7593-4EE7-A669-7D641FFB7D6E}"/>
    <cellStyle name="Comma 8 4 4 2 4" xfId="7361" xr:uid="{8CF489E1-E259-4883-B0C1-C1BB4C4807FF}"/>
    <cellStyle name="Comma 8 4 4 2 4 2" xfId="48317" xr:uid="{B9A4E732-E5A7-4048-B4C6-210A3F27CA82}"/>
    <cellStyle name="Comma 8 4 4 2 4 3" xfId="51135" xr:uid="{AFB45EA6-C771-45EF-B771-284F91A611C7}"/>
    <cellStyle name="Comma 8 4 4 2 4 4" xfId="54297" xr:uid="{11551DAB-0AEE-4B91-8F08-0E5C04E4369E}"/>
    <cellStyle name="Comma 8 4 4 2 4 5" xfId="43457" xr:uid="{7DDEB877-6DD2-42E4-9441-F8B36C13401E}"/>
    <cellStyle name="Comma 8 4 4 2 5" xfId="11884" xr:uid="{C8756A4B-9C6B-432F-8900-18CA3DA51D9C}"/>
    <cellStyle name="Comma 8 4 4 2 5 2" xfId="44307" xr:uid="{50984A58-18DB-497E-AE96-B626DE98F03E}"/>
    <cellStyle name="Comma 8 4 4 2 6" xfId="44607" xr:uid="{45C5AE86-A114-4D68-BEF4-1DEF0BFA8FE8}"/>
    <cellStyle name="Comma 8 4 4 2 7" xfId="46775" xr:uid="{4243533A-4093-47FF-927D-6BB5129B8519}"/>
    <cellStyle name="Comma 8 4 4 2 8" xfId="49807" xr:uid="{93292298-5CDF-41F9-B336-C5EC40722D50}"/>
    <cellStyle name="Comma 8 4 4 2 9" xfId="54298" xr:uid="{890CEB6C-CDB8-41EE-ACAB-74FB6990F5C4}"/>
    <cellStyle name="Comma 8 4 4 3" xfId="5587" xr:uid="{59F29EAE-A13F-4B0D-B4E9-831D3F7C7761}"/>
    <cellStyle name="Comma 8 4 4 3 2" xfId="7689" xr:uid="{40B196A1-8795-4A7C-B4F7-057EFCC6ED8F}"/>
    <cellStyle name="Comma 8 4 4 3 2 2" xfId="10181" xr:uid="{554EDC0C-F0FB-41A9-9014-040B5897602C}"/>
    <cellStyle name="Comma 8 4 4 3 2 2 2" xfId="13487" xr:uid="{70AF9309-07ED-4A0F-8FAA-ACD8BB269201}"/>
    <cellStyle name="Comma 8 4 4 3 2 2 2 2" xfId="51713" xr:uid="{7CB90C4D-AE65-42BB-BA49-866F1A6EA0C9}"/>
    <cellStyle name="Comma 8 4 4 3 2 2 3" xfId="54299" xr:uid="{5A3F0F5E-180B-42CC-88CA-DF8C600881DB}"/>
    <cellStyle name="Comma 8 4 4 3 2 2 4" xfId="49001" xr:uid="{96A87D4D-67F9-4A10-BCB2-D537FC0AC5AD}"/>
    <cellStyle name="Comma 8 4 4 3 2 3" xfId="12202" xr:uid="{87E19ADE-163C-4F78-8672-DB73C72F3BF9}"/>
    <cellStyle name="Comma 8 4 4 3 2 3 2" xfId="47425" xr:uid="{E734B744-EA5F-4545-8A3C-707A4C8929AB}"/>
    <cellStyle name="Comma 8 4 4 3 2 4" xfId="50385" xr:uid="{F969FABF-F535-4207-87CF-C763C8C0F2A7}"/>
    <cellStyle name="Comma 8 4 4 3 2 5" xfId="54300" xr:uid="{09F5A716-D16D-4496-B0DC-9A0EED577A4B}"/>
    <cellStyle name="Comma 8 4 4 3 2 6" xfId="43876" xr:uid="{EC2C3E5C-64D2-4EF1-A52A-9F08C54F165C}"/>
    <cellStyle name="Comma 8 4 4 3 2 7" xfId="14616" xr:uid="{A05CA7F0-B2F1-4EBC-822B-BB0BE464D0B1}"/>
    <cellStyle name="Comma 8 4 4 3 3" xfId="9687" xr:uid="{1FC2186A-1340-4E21-A053-7A199E2377F3}"/>
    <cellStyle name="Comma 8 4 4 3 3 2" xfId="12993" xr:uid="{A2A38D8A-9296-4A27-A650-28DB5CD9A4D8}"/>
    <cellStyle name="Comma 8 4 4 3 3 2 2" xfId="50995" xr:uid="{9DB59669-BE65-4FEC-85AF-4B60D3ADEAAD}"/>
    <cellStyle name="Comma 8 4 4 3 3 3" xfId="54301" xr:uid="{0B3ED554-7226-47FF-933F-502DAF113BA5}"/>
    <cellStyle name="Comma 8 4 4 3 3 4" xfId="48146" xr:uid="{B70D890C-165E-4448-B6F1-DDF8CCB98B54}"/>
    <cellStyle name="Comma 8 4 4 3 4" xfId="7183" xr:uid="{DE9AB35B-3FB7-4714-A609-4F8F2389A043}"/>
    <cellStyle name="Comma 8 4 4 3 4 2" xfId="46634" xr:uid="{2F721404-2113-49A1-8644-30A4C36026AA}"/>
    <cellStyle name="Comma 8 4 4 3 5" xfId="11708" xr:uid="{F0722301-B2B4-4C14-90AB-6FF09155167E}"/>
    <cellStyle name="Comma 8 4 4 3 5 2" xfId="49667" xr:uid="{92F6B663-810D-495A-813B-2A2BF1D6B0A2}"/>
    <cellStyle name="Comma 8 4 4 3 6" xfId="54302" xr:uid="{E9C7742F-99C9-4DDC-9062-9DA7B0F828D6}"/>
    <cellStyle name="Comma 8 4 4 3 7" xfId="20433" xr:uid="{583C9AB5-92F8-4CF4-9463-2B60E8B9ABDD}"/>
    <cellStyle name="Comma 8 4 4 3 8" xfId="14124" xr:uid="{BFF75823-93AF-4497-9BE8-53F9F3423C8F}"/>
    <cellStyle name="Comma 8 4 4 4" xfId="6577" xr:uid="{D8CC7EAC-FD80-4088-9888-30617C479F3E}"/>
    <cellStyle name="Comma 8 4 4 4 2" xfId="9549" xr:uid="{E3DD1C7B-300E-4F15-BF8C-88DAD8AADBD8}"/>
    <cellStyle name="Comma 8 4 4 4 2 2" xfId="12855" xr:uid="{635AD4C8-E407-4388-BF12-E146DB9A6240}"/>
    <cellStyle name="Comma 8 4 4 4 2 2 2" xfId="50880" xr:uid="{530BF425-6C85-4CBC-A441-C50AA84357CF}"/>
    <cellStyle name="Comma 8 4 4 4 2 3" xfId="54303" xr:uid="{7D862DE7-90A7-4105-99E6-85C77A439912}"/>
    <cellStyle name="Comma 8 4 4 4 2 4" xfId="48011" xr:uid="{656D395F-E219-469E-81A3-5F2E29271154}"/>
    <cellStyle name="Comma 8 4 4 4 3" xfId="11570" xr:uid="{7A0DAED1-37CF-4B57-A061-462AB209D8B8}"/>
    <cellStyle name="Comma 8 4 4 4 3 2" xfId="46216" xr:uid="{783A727C-8698-4343-AAD7-462EA2E8217C}"/>
    <cellStyle name="Comma 8 4 4 4 4" xfId="49552" xr:uid="{D8FBC8E8-1239-4DF9-958A-10B8F4FB3AB0}"/>
    <cellStyle name="Comma 8 4 4 4 5" xfId="54304" xr:uid="{15AC2FF2-02AD-4C18-83E0-3261D4619CE0}"/>
    <cellStyle name="Comma 8 4 4 4 6" xfId="24085" xr:uid="{95F61FE0-914F-48C9-9D0B-E9573725D655}"/>
    <cellStyle name="Comma 8 4 4 4 7" xfId="14478" xr:uid="{0AE00DE4-A6D2-45BA-AC4F-2B65C4F0F657}"/>
    <cellStyle name="Comma 8 4 4 5" xfId="7551" xr:uid="{7476FA3A-7F3D-4350-AA3C-486EB920F8E7}"/>
    <cellStyle name="Comma 8 4 4 5 2" xfId="10043" xr:uid="{58A485A4-4D8E-4277-B0C1-9473D5E9F5F9}"/>
    <cellStyle name="Comma 8 4 4 5 2 2" xfId="13349" xr:uid="{A049E411-88C1-4285-80DB-AF4711B3795C}"/>
    <cellStyle name="Comma 8 4 4 5 2 2 2" xfId="51342" xr:uid="{9504D8EC-DAD3-42F9-AB76-A55670AAEA45}"/>
    <cellStyle name="Comma 8 4 4 5 2 3" xfId="54305" xr:uid="{2A40163D-F5FD-49BC-9ACF-14651FE4EE2B}"/>
    <cellStyle name="Comma 8 4 4 5 2 4" xfId="48556" xr:uid="{6D4FF43A-4208-4BA7-AE27-71424F7553A5}"/>
    <cellStyle name="Comma 8 4 4 5 3" xfId="12064" xr:uid="{4637CABB-0207-4D18-A9B4-881B15B323DF}"/>
    <cellStyle name="Comma 8 4 4 5 3 2" xfId="46995" xr:uid="{868F7727-091C-43F7-AABA-4739C1B8E0CB}"/>
    <cellStyle name="Comma 8 4 4 5 4" xfId="50014" xr:uid="{C8752218-467F-40F9-BDCF-B8C30C45F835}"/>
    <cellStyle name="Comma 8 4 4 5 5" xfId="54306" xr:uid="{7128C9B3-B5D4-4F33-81DC-719803D19A59}"/>
    <cellStyle name="Comma 8 4 4 5 6" xfId="38582" xr:uid="{0520CD15-EB60-4514-8BCF-3CDDD3341771}"/>
    <cellStyle name="Comma 8 4 4 5 7" xfId="14931" xr:uid="{E0549CDE-0D2A-4B73-87FA-2C4A9FD1BD85}"/>
    <cellStyle name="Comma 8 4 4 6" xfId="8217" xr:uid="{783BCFAE-FD64-4FCF-B2FE-8C5120B930B8}"/>
    <cellStyle name="Comma 8 4 4 6 2" xfId="12673" xr:uid="{CD3C2E50-E74E-430F-BCC1-E78F9EE31EEA}"/>
    <cellStyle name="Comma 8 4 4 6 2 2" xfId="51598" xr:uid="{66A67F62-FC34-4884-827E-045636E94718}"/>
    <cellStyle name="Comma 8 4 4 6 2 3" xfId="54307" xr:uid="{B2A4A6F9-E06A-4082-9A31-05284E592E75}"/>
    <cellStyle name="Comma 8 4 4 6 2 4" xfId="48863" xr:uid="{7517F156-58F7-43BF-A4B3-85489C2BABAC}"/>
    <cellStyle name="Comma 8 4 4 6 3" xfId="47292" xr:uid="{4E365CB1-7A88-409F-A7C6-BD1E47033071}"/>
    <cellStyle name="Comma 8 4 4 6 4" xfId="50270" xr:uid="{FC5B996A-B699-4D25-A603-45F1D21C6EAA}"/>
    <cellStyle name="Comma 8 4 4 6 5" xfId="54308" xr:uid="{FAEAF41D-2584-40CA-B898-7CE7E75248D4}"/>
    <cellStyle name="Comma 8 4 4 6 6" xfId="39189" xr:uid="{9144F054-5BC6-4E37-B5C7-6CBAC9B929AF}"/>
    <cellStyle name="Comma 8 4 4 7" xfId="8004" xr:uid="{35910AAD-E58A-4458-AF11-CB1D5D0B952B}"/>
    <cellStyle name="Comma 8 4 4 7 2" xfId="12517" xr:uid="{D15560EA-8282-4972-9456-0E160608D60F}"/>
    <cellStyle name="Comma 8 4 4 7 2 2" xfId="47825" xr:uid="{D65449C6-E761-4246-B858-FDFA6EC0C857}"/>
    <cellStyle name="Comma 8 4 4 7 3" xfId="50713" xr:uid="{CD55A3C5-8B9D-459B-B731-1E462507EEAC}"/>
    <cellStyle name="Comma 8 4 4 7 4" xfId="54309" xr:uid="{58A27A21-23DD-4548-99A9-A25606B79B0D}"/>
    <cellStyle name="Comma 8 4 4 7 5" xfId="40405" xr:uid="{386FFCC7-1AE1-4C90-959E-0E1B45E1B5A2}"/>
    <cellStyle name="Comma 8 4 4 8" xfId="5901" xr:uid="{FEC92EE3-D0DA-4B13-8CF1-B6A2A1A5B865}"/>
    <cellStyle name="Comma 8 4 4 8 2" xfId="41047" xr:uid="{F58C64E2-6EB2-4F93-8E0D-1A8E4F0688C1}"/>
    <cellStyle name="Comma 8 4 4 9" xfId="11389" xr:uid="{81F52A82-DED6-4777-B6EE-FFF39F1223E7}"/>
    <cellStyle name="Comma 8 4 4 9 2" xfId="42259" xr:uid="{0BF18A52-3482-485C-869C-BACFEEC233F6}"/>
    <cellStyle name="Comma 8 4 5" xfId="4502" xr:uid="{F4CF8996-B796-4167-9DDA-59417155AF67}"/>
    <cellStyle name="Comma 8 4 5 10" xfId="44603" xr:uid="{C2D57E1D-FF0B-4E17-B1D3-2E2B555F63C7}"/>
    <cellStyle name="Comma 8 4 5 11" xfId="45743" xr:uid="{1045F236-CCFA-4BE1-B535-3C8A62C0B253}"/>
    <cellStyle name="Comma 8 4 5 12" xfId="49371" xr:uid="{F277AF62-96F6-48EB-B37E-577B6FF3923E}"/>
    <cellStyle name="Comma 8 4 5 13" xfId="54310" xr:uid="{A4318EBB-FD77-4426-8E61-2B3B935484C1}"/>
    <cellStyle name="Comma 8 4 5 14" xfId="20762" xr:uid="{566C3F5C-3518-441A-B20E-B4DB8E5E7BC6}"/>
    <cellStyle name="Comma 8 4 5 15" xfId="13982" xr:uid="{E4B3E4F1-B20B-4006-A636-EBEA8CE6530B}"/>
    <cellStyle name="Comma 8 4 5 2" xfId="5759" xr:uid="{D233B9F8-E133-40E4-919D-63E1899A34EA}"/>
    <cellStyle name="Comma 8 4 5 2 2" xfId="7861" xr:uid="{CAE16AB4-DCBD-4494-A0BF-7005BC5BC971}"/>
    <cellStyle name="Comma 8 4 5 2 2 2" xfId="10353" xr:uid="{19390784-F963-4D6F-AD52-C3A566C10F00}"/>
    <cellStyle name="Comma 8 4 5 2 2 2 2" xfId="13659" xr:uid="{1181AAE2-4BA1-4DFC-AD11-711C39133EC3}"/>
    <cellStyle name="Comma 8 4 5 2 2 2 2 2" xfId="51849" xr:uid="{F8450637-605D-42EE-AB96-788132B27FF9}"/>
    <cellStyle name="Comma 8 4 5 2 2 2 3" xfId="54311" xr:uid="{10057B7D-5ECE-435A-AB1F-22570726AFEB}"/>
    <cellStyle name="Comma 8 4 5 2 2 2 4" xfId="49169" xr:uid="{34912BB0-BFBB-4259-99DA-CA639C5B0356}"/>
    <cellStyle name="Comma 8 4 5 2 2 3" xfId="12374" xr:uid="{D5403F94-5D5A-424E-8327-909289968A59}"/>
    <cellStyle name="Comma 8 4 5 2 2 3 2" xfId="47586" xr:uid="{0AC847BB-AE35-4797-8020-578A32C6AFEE}"/>
    <cellStyle name="Comma 8 4 5 2 2 4" xfId="50521" xr:uid="{31FA6796-BDF2-4155-B39A-7F6DE23B3175}"/>
    <cellStyle name="Comma 8 4 5 2 2 5" xfId="54312" xr:uid="{F4DC2779-5BE3-4DA1-BA7C-051AC6BFAABD}"/>
    <cellStyle name="Comma 8 4 5 2 2 6" xfId="44303" xr:uid="{D5AC24D7-E1CB-4DD7-A8FB-56BF14ED673E}"/>
    <cellStyle name="Comma 8 4 5 2 2 7" xfId="14788" xr:uid="{8328CDE7-EC4A-4D18-BB16-4968A162C795}"/>
    <cellStyle name="Comma 8 4 5 2 3" xfId="9859" xr:uid="{B6A79F67-AF3F-4621-B040-B39D7AF8CBEF}"/>
    <cellStyle name="Comma 8 4 5 2 3 2" xfId="13165" xr:uid="{45506AC3-6A97-46A8-9251-5F9B0BA06596}"/>
    <cellStyle name="Comma 8 4 5 2 3 2 2" xfId="51131" xr:uid="{647D9FF9-BBDC-4C87-9FA8-E771027165DA}"/>
    <cellStyle name="Comma 8 4 5 2 3 3" xfId="54313" xr:uid="{DE21A2BB-17EC-44E9-98F5-D2A38B58C1AA}"/>
    <cellStyle name="Comma 8 4 5 2 3 4" xfId="48313" xr:uid="{7A198854-C092-4085-83C7-69418A643DD5}"/>
    <cellStyle name="Comma 8 4 5 2 4" xfId="7357" xr:uid="{256BC32C-7D08-4E65-A1A4-DBB9FDF908C6}"/>
    <cellStyle name="Comma 8 4 5 2 4 2" xfId="46771" xr:uid="{5B9B5E1F-4E95-4992-B660-DA9D7C35D4D3}"/>
    <cellStyle name="Comma 8 4 5 2 5" xfId="11880" xr:uid="{77844A81-9713-4A1F-BA08-D309729B0237}"/>
    <cellStyle name="Comma 8 4 5 2 5 2" xfId="49803" xr:uid="{4C316C50-066C-49A1-A865-013C731D1318}"/>
    <cellStyle name="Comma 8 4 5 2 6" xfId="54314" xr:uid="{682EC28F-CD83-4D57-BD70-CD9A0977ACAE}"/>
    <cellStyle name="Comma 8 4 5 2 7" xfId="24086" xr:uid="{90FFD5F4-747D-42E4-9231-51A60A4D8719}"/>
    <cellStyle name="Comma 8 4 5 2 8" xfId="14296" xr:uid="{A5AB7EF2-3308-46FE-AC71-6173652EA3BD}"/>
    <cellStyle name="Comma 8 4 5 3" xfId="7547" xr:uid="{771B8135-428B-4743-AC56-502117132F30}"/>
    <cellStyle name="Comma 8 4 5 3 2" xfId="10039" xr:uid="{F7230AD0-2C1C-4B20-98CC-3FD09DE12C39}"/>
    <cellStyle name="Comma 8 4 5 3 2 2" xfId="13345" xr:uid="{101B67D7-7247-4D0F-9D0B-D794712C1085}"/>
    <cellStyle name="Comma 8 4 5 3 2 2 2" xfId="50876" xr:uid="{296DD3D0-5758-458E-BA6D-00B01D29B081}"/>
    <cellStyle name="Comma 8 4 5 3 2 3" xfId="54315" xr:uid="{EDCEF279-363C-46C7-860C-A6422B2DC519}"/>
    <cellStyle name="Comma 8 4 5 3 2 4" xfId="48007" xr:uid="{5C525867-D66E-4D33-9C2D-68B88E27F6EB}"/>
    <cellStyle name="Comma 8 4 5 3 3" xfId="12060" xr:uid="{800FACF8-98BF-415F-A183-03C3F79E3927}"/>
    <cellStyle name="Comma 8 4 5 3 3 2" xfId="46212" xr:uid="{C7533CA2-9287-47B2-80FD-DBBB8D933D13}"/>
    <cellStyle name="Comma 8 4 5 3 4" xfId="49548" xr:uid="{4EF44853-3E6A-43B3-BDAC-BA710D5BFF6F}"/>
    <cellStyle name="Comma 8 4 5 3 5" xfId="54316" xr:uid="{6B8E46C3-D724-436B-87C3-2280F5F4E484}"/>
    <cellStyle name="Comma 8 4 5 3 6" xfId="38583" xr:uid="{8E512D28-7123-4F33-A8B1-8930853153BA}"/>
    <cellStyle name="Comma 8 4 5 3 7" xfId="14474" xr:uid="{498BB661-1969-46F3-8514-585CD6456681}"/>
    <cellStyle name="Comma 8 4 5 4" xfId="11171" xr:uid="{C174567E-BF18-440D-97E7-F661CAAF6076}"/>
    <cellStyle name="Comma 8 4 5 4 2" xfId="13766" xr:uid="{F3565872-365E-4293-A2BC-8E4174952E91}"/>
    <cellStyle name="Comma 8 4 5 4 2 2" xfId="51338" xr:uid="{4C144B87-8939-4E2C-85B5-04F2DDA1AB19}"/>
    <cellStyle name="Comma 8 4 5 4 2 3" xfId="54317" xr:uid="{39E25D2E-CCD8-4685-8763-CCF78529416D}"/>
    <cellStyle name="Comma 8 4 5 4 2 4" xfId="48552" xr:uid="{21430A24-B507-4B67-8F62-A9938FE5B9BE}"/>
    <cellStyle name="Comma 8 4 5 4 3" xfId="46991" xr:uid="{A7F58991-4924-49E1-82E9-6703EFB6F561}"/>
    <cellStyle name="Comma 8 4 5 4 4" xfId="50010" xr:uid="{4CFAC67D-20C3-4D64-980C-06E12020DD71}"/>
    <cellStyle name="Comma 8 4 5 4 5" xfId="54318" xr:uid="{577CEDEE-2431-4AB6-925F-F290D97A6E47}"/>
    <cellStyle name="Comma 8 4 5 4 6" xfId="39388" xr:uid="{353EF0B9-CD54-484C-B082-11FCBE66E649}"/>
    <cellStyle name="Comma 8 4 5 4 7" xfId="15103" xr:uid="{A892984B-9157-4111-AED5-2CB485587A1E}"/>
    <cellStyle name="Comma 8 4 5 5" xfId="9545" xr:uid="{A608B6C3-594F-4979-841D-0C73A845310B}"/>
    <cellStyle name="Comma 8 4 5 5 2" xfId="12851" xr:uid="{8DB0A80E-1D1E-4BE8-A206-56D1A27EC0FC}"/>
    <cellStyle name="Comma 8 4 5 5 2 2" xfId="51594" xr:uid="{379E119A-39B2-409D-80A9-EA76CD140E0B}"/>
    <cellStyle name="Comma 8 4 5 5 2 3" xfId="54319" xr:uid="{2B4868FF-6771-4E8C-967D-FA519957B272}"/>
    <cellStyle name="Comma 8 4 5 5 2 4" xfId="48859" xr:uid="{A62E9838-B254-4507-8269-459142B4780B}"/>
    <cellStyle name="Comma 8 4 5 5 3" xfId="47288" xr:uid="{6501FF6A-069A-406B-AF88-E3970F71208D}"/>
    <cellStyle name="Comma 8 4 5 5 4" xfId="50266" xr:uid="{EFE109B3-29EF-4D5E-9743-B61EFCE72150}"/>
    <cellStyle name="Comma 8 4 5 5 5" xfId="54320" xr:uid="{A3E17EA6-ED14-4050-8081-B4732A49190A}"/>
    <cellStyle name="Comma 8 4 5 5 6" xfId="40406" xr:uid="{F90BCE24-203C-4BE6-9CFD-64366E14C8CB}"/>
    <cellStyle name="Comma 8 4 5 6" xfId="6573" xr:uid="{30B47991-914A-48FE-8763-7C21181981CA}"/>
    <cellStyle name="Comma 8 4 5 6 2" xfId="47800" xr:uid="{472DBBD2-D5DE-4A7D-8DB7-F0752C836AB5}"/>
    <cellStyle name="Comma 8 4 5 6 3" xfId="50699" xr:uid="{62FF7264-ACAE-459B-8FA1-17CCEB9064BB}"/>
    <cellStyle name="Comma 8 4 5 6 4" xfId="54321" xr:uid="{B611D37F-0EE5-48B1-ACD4-67B99F7AFCF2}"/>
    <cellStyle name="Comma 8 4 5 6 5" xfId="41048" xr:uid="{26DF8353-8F5D-425C-BA52-AADB4EC01D0E}"/>
    <cellStyle name="Comma 8 4 5 7" xfId="11566" xr:uid="{6ED05B43-B3FB-416F-AC9F-F0626D200265}"/>
    <cellStyle name="Comma 8 4 5 7 2" xfId="42260" xr:uid="{DB4E1DA7-5A0D-43F2-9C1E-F730D5E838C7}"/>
    <cellStyle name="Comma 8 4 5 8" xfId="43065" xr:uid="{564AD84E-9E11-4F87-A466-51F3AF7B9CB9}"/>
    <cellStyle name="Comma 8 4 5 9" xfId="43599" xr:uid="{2A47FC1E-1782-4E60-A5DC-B3C331FCDBAF}"/>
    <cellStyle name="Comma 8 4 6" xfId="3901" xr:uid="{34FF7311-54C7-4D61-94CC-92939615653F}"/>
    <cellStyle name="Comma 8 4 6 2" xfId="5643" xr:uid="{DE714AE8-FD5A-435C-B40B-27929888A46F}"/>
    <cellStyle name="Comma 8 4 6 2 2" xfId="10237" xr:uid="{B7F377A4-5824-43C6-95D5-0A2866FC5121}"/>
    <cellStyle name="Comma 8 4 6 2 2 2" xfId="13543" xr:uid="{FC7D6960-E553-4F7D-9E46-5DF641923B8B}"/>
    <cellStyle name="Comma 8 4 6 2 2 2 2" xfId="51234" xr:uid="{00A2C574-7BE4-4B5F-9F29-F0114A7DC109}"/>
    <cellStyle name="Comma 8 4 6 2 2 3" xfId="54322" xr:uid="{469BC3B9-7830-4B90-A78E-8AF78F32D45F}"/>
    <cellStyle name="Comma 8 4 6 2 2 4" xfId="48440" xr:uid="{FDA732EE-6592-4E73-A1E4-06237A88B340}"/>
    <cellStyle name="Comma 8 4 6 2 3" xfId="7745" xr:uid="{F6A31DE6-252A-46C8-90C5-E8B5497491B1}"/>
    <cellStyle name="Comma 8 4 6 2 3 2" xfId="46884" xr:uid="{C9AF10E7-2E7E-457B-BE63-FFE266B4F879}"/>
    <cellStyle name="Comma 8 4 6 2 4" xfId="12258" xr:uid="{C5ED223A-9B2C-41AC-9C58-A7958A2C03B0}"/>
    <cellStyle name="Comma 8 4 6 2 4 2" xfId="49906" xr:uid="{C8B78263-8D80-4A92-931A-F13C49F15D99}"/>
    <cellStyle name="Comma 8 4 6 2 5" xfId="54323" xr:uid="{CB3E4B26-4D24-44ED-909E-470F758FA37F}"/>
    <cellStyle name="Comma 8 4 6 2 6" xfId="43912" xr:uid="{C25B068E-5F51-4F3B-A4B2-57E05A357C5E}"/>
    <cellStyle name="Comma 8 4 6 2 7" xfId="14672" xr:uid="{09C99B7F-1F0A-4628-8FBE-3EB60473A22F}"/>
    <cellStyle name="Comma 8 4 6 3" xfId="9743" xr:uid="{4188AFC1-7D50-4948-9936-067F24D11BB0}"/>
    <cellStyle name="Comma 8 4 6 3 2" xfId="13049" xr:uid="{FDD99CBB-2120-45B6-90CE-2B5F213A9AB1}"/>
    <cellStyle name="Comma 8 4 6 3 2 2" xfId="51745" xr:uid="{A12A0EEC-977D-4979-ACF0-F4DBEC7B9EE7}"/>
    <cellStyle name="Comma 8 4 6 3 2 3" xfId="54324" xr:uid="{DA79FC24-E8A2-4AB1-9659-E676FF54426C}"/>
    <cellStyle name="Comma 8 4 6 3 2 4" xfId="49055" xr:uid="{A37A8EE3-4399-4351-BFE9-F15213CBA82F}"/>
    <cellStyle name="Comma 8 4 6 3 3" xfId="47474" xr:uid="{E04A249A-56CD-4FE0-976E-9F33B02DED40}"/>
    <cellStyle name="Comma 8 4 6 3 4" xfId="50417" xr:uid="{78CE3CBA-1FE2-4F5D-BC3B-081A671A197F}"/>
    <cellStyle name="Comma 8 4 6 3 5" xfId="54325" xr:uid="{09A9A887-16D8-495E-9C72-0DB73E43817D}"/>
    <cellStyle name="Comma 8 4 6 3 6" xfId="44499" xr:uid="{8ADF241E-339B-4294-B35C-E1815E65A0A9}"/>
    <cellStyle name="Comma 8 4 6 3 7" xfId="14987" xr:uid="{8CB38580-2241-4DEB-BDDF-F8BFAF2A6EDE}"/>
    <cellStyle name="Comma 8 4 6 4" xfId="7239" xr:uid="{970EEF86-91BB-485F-940D-C8F973BD36AE}"/>
    <cellStyle name="Comma 8 4 6 4 2" xfId="51027" xr:uid="{FBBE61A3-4AA3-4028-9B8E-4F24DD3D6EA2}"/>
    <cellStyle name="Comma 8 4 6 4 3" xfId="54326" xr:uid="{258F744C-5D5B-46D5-A3E1-6D441309777C}"/>
    <cellStyle name="Comma 8 4 6 4 4" xfId="48200" xr:uid="{4857423B-4777-4081-A466-0BEB259E241F}"/>
    <cellStyle name="Comma 8 4 6 5" xfId="11764" xr:uid="{51896F39-6352-4459-A98C-ED50498EB670}"/>
    <cellStyle name="Comma 8 4 6 5 2" xfId="46666" xr:uid="{F90392E1-65A4-4353-93E4-03920C0917F6}"/>
    <cellStyle name="Comma 8 4 6 6" xfId="49699" xr:uid="{F99622DF-8C72-4CEF-A772-260FD7852202}"/>
    <cellStyle name="Comma 8 4 6 7" xfId="54327" xr:uid="{F9E99AC4-6866-4074-8BFF-34FB15020B82}"/>
    <cellStyle name="Comma 8 4 6 8" xfId="20041" xr:uid="{81DC0557-312F-4ED0-A4A6-30AD362B108D}"/>
    <cellStyle name="Comma 8 4 6 9" xfId="14180" xr:uid="{5660D11D-6951-4865-B571-99B0797B70BB}"/>
    <cellStyle name="Comma 8 4 7" xfId="5583" xr:uid="{B07CF808-A516-4542-B660-D2D341E5F6C2}"/>
    <cellStyle name="Comma 8 4 7 2" xfId="7685" xr:uid="{9875CB62-4EF2-473C-84AB-F2E5746D66FF}"/>
    <cellStyle name="Comma 8 4 7 2 2" xfId="10177" xr:uid="{452B5A51-7ED4-405D-AE5F-7D163F376CF0}"/>
    <cellStyle name="Comma 8 4 7 2 2 2" xfId="13483" xr:uid="{A4CA796B-69CD-4A7B-9CDE-9EE8E180A8C9}"/>
    <cellStyle name="Comma 8 4 7 2 2 2 2" xfId="51414" xr:uid="{FDF0B97C-F55D-429E-8DC4-740365498DA1}"/>
    <cellStyle name="Comma 8 4 7 2 2 3" xfId="54328" xr:uid="{5845F254-80F1-4280-925F-87F6B0BD955C}"/>
    <cellStyle name="Comma 8 4 7 2 2 4" xfId="48651" xr:uid="{27475440-1D62-4A29-8439-D8514924E1C0}"/>
    <cellStyle name="Comma 8 4 7 2 3" xfId="12198" xr:uid="{F75A477F-EED7-4358-BCCC-5DDF1D2DDBAE}"/>
    <cellStyle name="Comma 8 4 7 2 3 2" xfId="47085" xr:uid="{3062BFC9-270D-4A08-8545-3CAC59848EE8}"/>
    <cellStyle name="Comma 8 4 7 2 4" xfId="50086" xr:uid="{B2D893E1-F8E1-46B0-8DF3-409424EDEF67}"/>
    <cellStyle name="Comma 8 4 7 2 5" xfId="54329" xr:uid="{0D7FD7CA-0E29-4893-95E1-6FF20635AF42}"/>
    <cellStyle name="Comma 8 4 7 2 6" xfId="43872" xr:uid="{1CECD091-E1FA-4A19-A099-B8D35AAA6379}"/>
    <cellStyle name="Comma 8 4 7 2 7" xfId="14612" xr:uid="{A7652957-1035-4CD4-B826-9C5D69D58A9E}"/>
    <cellStyle name="Comma 8 4 7 3" xfId="9683" xr:uid="{93B3BEF1-E285-4ECB-B3DD-AA3832CA42BD}"/>
    <cellStyle name="Comma 8 4 7 3 2" xfId="12989" xr:uid="{391DAE33-7F61-417A-ACAE-9302D9DE8A9F}"/>
    <cellStyle name="Comma 8 4 7 3 2 2" xfId="51709" xr:uid="{B77FD411-2374-47E4-8BE3-85FFE91FFAC1}"/>
    <cellStyle name="Comma 8 4 7 3 2 3" xfId="54330" xr:uid="{C2E55BE6-0FA3-49DF-8899-83BC82D17B19}"/>
    <cellStyle name="Comma 8 4 7 3 2 4" xfId="48997" xr:uid="{EE6E69B3-4F18-4E0B-97AB-10B90667D87F}"/>
    <cellStyle name="Comma 8 4 7 3 3" xfId="50381" xr:uid="{2534F62F-0C1D-4AEB-BB1A-CA93B6DD8B24}"/>
    <cellStyle name="Comma 8 4 7 3 4" xfId="54331" xr:uid="{E4A8FDF4-AE98-4923-B0DC-4E3C014B94F2}"/>
    <cellStyle name="Comma 8 4 7 3 5" xfId="47421" xr:uid="{CA2570FF-9462-4A59-A7CB-6FE595493919}"/>
    <cellStyle name="Comma 8 4 7 4" xfId="7179" xr:uid="{88E5A227-4B3E-4737-905E-E12EAE9376BF}"/>
    <cellStyle name="Comma 8 4 7 4 2" xfId="50991" xr:uid="{84C419E1-55E5-4F75-B55A-1216902AA090}"/>
    <cellStyle name="Comma 8 4 7 4 3" xfId="54332" xr:uid="{305E9DF1-E6AE-4AC5-8BDE-F78012ED8B28}"/>
    <cellStyle name="Comma 8 4 7 4 4" xfId="48142" xr:uid="{B8B074F2-6B70-48FA-89E2-1BD25BCAA090}"/>
    <cellStyle name="Comma 8 4 7 5" xfId="11704" xr:uid="{394F079D-6EC0-4D64-83BB-9D8036B7FC57}"/>
    <cellStyle name="Comma 8 4 7 5 2" xfId="46630" xr:uid="{D72FAB33-5C97-45C5-889E-56D9F04E33BE}"/>
    <cellStyle name="Comma 8 4 7 6" xfId="49663" xr:uid="{40008AF2-091A-4198-ACA4-63D11FC15A81}"/>
    <cellStyle name="Comma 8 4 7 7" xfId="54333" xr:uid="{EE098F08-CCCF-44E6-ABDD-84B0CC9E9BB2}"/>
    <cellStyle name="Comma 8 4 7 8" xfId="24077" xr:uid="{60AB9B8B-9A08-436E-99C4-D7C768827D26}"/>
    <cellStyle name="Comma 8 4 7 9" xfId="14120" xr:uid="{C164D0B0-AEE8-4FDD-8FA8-C75E6A44E822}"/>
    <cellStyle name="Comma 8 4 8" xfId="5968" xr:uid="{D09E05F1-87D8-4756-A444-6CCE97F84F9D}"/>
    <cellStyle name="Comma 8 4 8 2" xfId="9426" xr:uid="{8270781E-543A-42D9-BACF-EA53FF85EFB5}"/>
    <cellStyle name="Comma 8 4 8 2 2" xfId="12732" xr:uid="{D14F3EFE-5BD7-4A0A-BEEF-ECBF546C1852}"/>
    <cellStyle name="Comma 8 4 8 2 2 2" xfId="50772" xr:uid="{BE9903D6-CA8E-4A46-A64C-A9590DDE559E}"/>
    <cellStyle name="Comma 8 4 8 2 3" xfId="54334" xr:uid="{B376AEB4-95AF-41CB-84EF-216590E20800}"/>
    <cellStyle name="Comma 8 4 8 2 4" xfId="47895" xr:uid="{52EF3973-1158-4707-AE36-9AE9EF8DDAE0}"/>
    <cellStyle name="Comma 8 4 8 3" xfId="11447" xr:uid="{CF147566-9AF6-4A74-AB1B-317E6510A1CB}"/>
    <cellStyle name="Comma 8 4 8 3 2" xfId="45822" xr:uid="{A32A6017-932A-4643-AFE6-621BE804D86E}"/>
    <cellStyle name="Comma 8 4 8 4" xfId="49444" xr:uid="{EC9368CC-17C9-46A0-901C-27E82DC2410B}"/>
    <cellStyle name="Comma 8 4 8 5" xfId="54335" xr:uid="{1A08DFB7-DEB5-4D0B-B4A0-3DAF24975A2C}"/>
    <cellStyle name="Comma 8 4 8 6" xfId="38574" xr:uid="{E5C62974-C53E-49FF-BEF3-0F71FADEB3CC}"/>
    <cellStyle name="Comma 8 4 8 7" xfId="14358" xr:uid="{383C6298-3ADA-4DB5-9E71-2DE95AF196A1}"/>
    <cellStyle name="Comma 8 4 9" xfId="7431" xr:uid="{B3445F47-D7AD-4904-A410-0B6CEF3B8B24}"/>
    <cellStyle name="Comma 8 4 9 2" xfId="9923" xr:uid="{E955EB5E-CFC3-4C7C-8632-7DDDF5027CB6}"/>
    <cellStyle name="Comma 8 4 9 2 2" xfId="13229" xr:uid="{FDFDE109-6AFC-4BF8-968F-D7A4C8B6BBBA}"/>
    <cellStyle name="Comma 8 4 9 2 2 2" xfId="51208" xr:uid="{7E5D8956-91D4-4B10-8D9A-2864472262F3}"/>
    <cellStyle name="Comma 8 4 9 2 3" xfId="54336" xr:uid="{F871EE7B-74AE-4836-85BC-F91BD1944037}"/>
    <cellStyle name="Comma 8 4 9 2 4" xfId="48407" xr:uid="{5845B580-B9B6-40F3-A347-A008F764F102}"/>
    <cellStyle name="Comma 8 4 9 3" xfId="11944" xr:uid="{675723A3-CCCD-4424-8FBB-A11A2B125B3E}"/>
    <cellStyle name="Comma 8 4 9 3 2" xfId="46856" xr:uid="{27FC9B17-CE92-441A-B2E9-FD137B84B84D}"/>
    <cellStyle name="Comma 8 4 9 4" xfId="49880" xr:uid="{12E9FB29-1055-4AB2-9911-C8D003B5E998}"/>
    <cellStyle name="Comma 8 4 9 5" xfId="54337" xr:uid="{1BBA95EB-D45F-4A8D-91B9-32F8A517A6AC}"/>
    <cellStyle name="Comma 8 4 9 6" xfId="38797" xr:uid="{FF645063-666B-43B0-9A28-C5033F364D79}"/>
    <cellStyle name="Comma 8 4 9 7" xfId="14927" xr:uid="{7CDB78A3-403B-439C-81A9-1A11E45B31C5}"/>
    <cellStyle name="Comma 8 5" xfId="1831" xr:uid="{6B9893C9-D7A4-40ED-885A-AFC72120BBE4}"/>
    <cellStyle name="Comma 8 5 10" xfId="5902" xr:uid="{4A734CA3-98EF-4B83-878B-2B2BD02D49FB}"/>
    <cellStyle name="Comma 8 5 10 2" xfId="40407" xr:uid="{9E90CD83-DE9D-4224-A964-9758304E6BEB}"/>
    <cellStyle name="Comma 8 5 11" xfId="11390" xr:uid="{19E26501-FCC2-4EB3-B3D2-BAE674D2C0C9}"/>
    <cellStyle name="Comma 8 5 11 2" xfId="41049" xr:uid="{6F8EF05E-DC75-48DE-90AC-6D4541ABCDED}"/>
    <cellStyle name="Comma 8 5 12" xfId="42261" xr:uid="{83AC2ACB-5D43-4DB7-B57A-85DAF884104C}"/>
    <cellStyle name="Comma 8 5 13" xfId="42419" xr:uid="{5A8D4FD1-8F59-4D9C-BCE9-CCE743B35AEF}"/>
    <cellStyle name="Comma 8 5 14" xfId="43494" xr:uid="{0EF38398-A5A4-4325-9340-62D1695F105D}"/>
    <cellStyle name="Comma 8 5 15" xfId="44467" xr:uid="{2427C63F-3897-4B62-88B8-A7C84D187401}"/>
    <cellStyle name="Comma 8 5 16" xfId="45671" xr:uid="{389C9926-81DD-4668-8DFF-E845F997E114}"/>
    <cellStyle name="Comma 8 5 17" xfId="49300" xr:uid="{7484FCC4-00E0-43E2-9DF2-4B2789B66E23}"/>
    <cellStyle name="Comma 8 5 18" xfId="54338" xr:uid="{6C9517A1-EFCA-4A05-8BC8-E6EF4333B81C}"/>
    <cellStyle name="Comma 8 5 19" xfId="16394" xr:uid="{A8A9F682-C1A6-4BB9-A21B-0FE101B05EF1}"/>
    <cellStyle name="Comma 8 5 2" xfId="1832" xr:uid="{71F68078-430B-405D-A5B0-6A5290461D64}"/>
    <cellStyle name="Comma 8 5 2 10" xfId="42262" xr:uid="{0F7BD98A-1B38-474F-8090-44BCA18CB5A1}"/>
    <cellStyle name="Comma 8 5 2 11" xfId="42423" xr:uid="{32F601E8-8CD9-4722-BF4A-C3CF1F81228B}"/>
    <cellStyle name="Comma 8 5 2 12" xfId="43605" xr:uid="{4A4F0BF5-A518-4719-A0A0-A9589E808024}"/>
    <cellStyle name="Comma 8 5 2 13" xfId="44468" xr:uid="{9DED567D-5DD4-4B37-B202-C3078FB6912B}"/>
    <cellStyle name="Comma 8 5 2 14" xfId="45788" xr:uid="{915CE529-0C43-4460-A4E8-3680FA3FD9B6}"/>
    <cellStyle name="Comma 8 5 2 15" xfId="49416" xr:uid="{17F602C9-5526-4EF7-B1D9-22F07BF2CF6B}"/>
    <cellStyle name="Comma 8 5 2 16" xfId="54339" xr:uid="{AC4D07F2-42C2-4F75-9267-E1B95D6C5AA3}"/>
    <cellStyle name="Comma 8 5 2 17" xfId="16451" xr:uid="{3D2603F8-1948-4200-9483-D5B91FCDA6C2}"/>
    <cellStyle name="Comma 8 5 2 18" xfId="13988" xr:uid="{2479807C-A7C5-4D85-A61A-3D69C1EB3203}"/>
    <cellStyle name="Comma 8 5 2 2" xfId="4508" xr:uid="{07D29F5F-2B67-4242-86D6-2A2E8E72E5B1}"/>
    <cellStyle name="Comma 8 5 2 2 10" xfId="42796" xr:uid="{4F7A2CF4-0BE8-4748-AEB3-675CE2B65388}"/>
    <cellStyle name="Comma 8 5 2 2 11" xfId="44309" xr:uid="{C122D333-6F82-4331-86D7-1881526CB51A}"/>
    <cellStyle name="Comma 8 5 2 2 12" xfId="44609" xr:uid="{DBEA79F0-CB2F-4CCD-A1A9-0DF938784F2C}"/>
    <cellStyle name="Comma 8 5 2 2 13" xfId="46777" xr:uid="{B3047C4A-7C6B-4365-B970-FA9112A667F0}"/>
    <cellStyle name="Comma 8 5 2 2 14" xfId="49809" xr:uid="{769695A1-2256-4720-93C9-6D423D7FA396}"/>
    <cellStyle name="Comma 8 5 2 2 15" xfId="54340" xr:uid="{E7E4C183-1DA5-4F6F-AD67-BBDE199C3EE4}"/>
    <cellStyle name="Comma 8 5 2 2 16" xfId="17149" xr:uid="{533BFFEE-48D1-415D-B947-0EFC18F4E535}"/>
    <cellStyle name="Comma 8 5 2 2 17" xfId="14302" xr:uid="{613F0C82-B1B7-46C9-8A33-1B02239DA69B}"/>
    <cellStyle name="Comma 8 5 2 2 2" xfId="5765" xr:uid="{5463F674-E9A7-4FC2-BFFF-EC8E3AB7032C}"/>
    <cellStyle name="Comma 8 5 2 2 2 10" xfId="14794" xr:uid="{5A8155B8-401F-41D4-B805-4BD46180D464}"/>
    <cellStyle name="Comma 8 5 2 2 2 2" xfId="10359" xr:uid="{4CFF549E-95AC-4A3B-951F-2268983052CF}"/>
    <cellStyle name="Comma 8 5 2 2 2 2 2" xfId="13665" xr:uid="{81EAAD11-D50E-46DA-BC78-B4565BB3DD12}"/>
    <cellStyle name="Comma 8 5 2 2 2 2 2 2" xfId="48705" xr:uid="{1D1852F5-1E38-4779-B667-8AF89DE40BEB}"/>
    <cellStyle name="Comma 8 5 2 2 2 2 3" xfId="51460" xr:uid="{EE317CB4-C7BC-42D9-8DDF-ECF05E1946D1}"/>
    <cellStyle name="Comma 8 5 2 2 2 2 4" xfId="54341" xr:uid="{8FD2C7B6-C374-478C-B4AE-F4D8E6CE4B9F}"/>
    <cellStyle name="Comma 8 5 2 2 2 2 5" xfId="39710" xr:uid="{1E506DEF-0A28-43F4-8FBD-E9B7430C7B5F}"/>
    <cellStyle name="Comma 8 5 2 2 2 3" xfId="7867" xr:uid="{C687CDBE-7F97-4610-A987-C8B70F00FBFC}"/>
    <cellStyle name="Comma 8 5 2 2 2 3 2" xfId="41563" xr:uid="{46BC913F-9200-45CB-8658-852538681480}"/>
    <cellStyle name="Comma 8 5 2 2 2 4" xfId="12380" xr:uid="{F17E1A19-F86E-480D-8EE3-C77DFA21FA24}"/>
    <cellStyle name="Comma 8 5 2 2 2 4 2" xfId="43387" xr:uid="{CD2B7604-654F-45BE-82E8-BE4C045A2106}"/>
    <cellStyle name="Comma 8 5 2 2 2 5" xfId="45467" xr:uid="{55FC0946-ACDE-42BC-B100-8072FE67C0A0}"/>
    <cellStyle name="Comma 8 5 2 2 2 6" xfId="47142" xr:uid="{4A9C7A43-25DC-41AF-B161-49713175FF5B}"/>
    <cellStyle name="Comma 8 5 2 2 2 7" xfId="50132" xr:uid="{95B2378E-BEA5-45F9-985A-A0AB4D1806EF}"/>
    <cellStyle name="Comma 8 5 2 2 2 8" xfId="54342" xr:uid="{FACF0BFA-6EA3-46B2-A7ED-CAE386329470}"/>
    <cellStyle name="Comma 8 5 2 2 2 9" xfId="21144" xr:uid="{1D32F4F2-B986-44B4-8F48-01969FA694EC}"/>
    <cellStyle name="Comma 8 5 2 2 3" xfId="9865" xr:uid="{6E80284A-EE7C-44B7-A90C-33737E6460DF}"/>
    <cellStyle name="Comma 8 5 2 2 3 2" xfId="13171" xr:uid="{256571C9-D8C2-4040-AB02-2D62DEB03EAF}"/>
    <cellStyle name="Comma 8 5 2 2 3 2 2" xfId="51855" xr:uid="{2564CFE4-C6E1-48AE-843F-16DD52B7B317}"/>
    <cellStyle name="Comma 8 5 2 2 3 2 3" xfId="54343" xr:uid="{7778146E-998E-4CAE-9043-394FA2D19D81}"/>
    <cellStyle name="Comma 8 5 2 2 3 2 4" xfId="49175" xr:uid="{7022B801-E524-409C-A080-6448DD7E2C77}"/>
    <cellStyle name="Comma 8 5 2 2 3 3" xfId="47592" xr:uid="{800230CA-B23D-4EBC-884C-E20A66A15762}"/>
    <cellStyle name="Comma 8 5 2 2 3 4" xfId="50527" xr:uid="{578CFC14-9CD3-4CDD-B1A8-2626016A2586}"/>
    <cellStyle name="Comma 8 5 2 2 3 5" xfId="54344" xr:uid="{F4173D5B-CF90-4126-A99C-9F43E28FD257}"/>
    <cellStyle name="Comma 8 5 2 2 3 6" xfId="20363" xr:uid="{2EDCC546-7AC9-42D9-AE77-E5E9E623E605}"/>
    <cellStyle name="Comma 8 5 2 2 3 7" xfId="15109" xr:uid="{08C34250-D219-4D78-865A-640CDF70501F}"/>
    <cellStyle name="Comma 8 5 2 2 4" xfId="7363" xr:uid="{649FF152-A4D0-4E84-9CD2-C86026F8846C}"/>
    <cellStyle name="Comma 8 5 2 2 4 2" xfId="48319" xr:uid="{2050BEA3-CE7B-4699-AA45-40D183CFEAC6}"/>
    <cellStyle name="Comma 8 5 2 2 4 3" xfId="51137" xr:uid="{E1DDFDB3-9285-40FB-8565-E815C3B47EEF}"/>
    <cellStyle name="Comma 8 5 2 2 4 4" xfId="54345" xr:uid="{C0746666-A4AC-4176-8B47-ABFFAB62CAE2}"/>
    <cellStyle name="Comma 8 5 2 2 4 5" xfId="24089" xr:uid="{801ADBA3-E574-418E-AB55-B1F8D6F427E6}"/>
    <cellStyle name="Comma 8 5 2 2 5" xfId="11886" xr:uid="{2465D428-A6FB-4033-8E1B-0AC4D2C273BF}"/>
    <cellStyle name="Comma 8 5 2 2 5 2" xfId="38586" xr:uid="{26BCE234-37F9-44B2-A9C3-948B0B822A8D}"/>
    <cellStyle name="Comma 8 5 2 2 6" xfId="39119" xr:uid="{B9D7C055-E74C-46A7-947B-ABC8B2E36568}"/>
    <cellStyle name="Comma 8 5 2 2 7" xfId="40409" xr:uid="{6C26EB01-9715-40BA-82BE-4E3CC32BA5EF}"/>
    <cellStyle name="Comma 8 5 2 2 8" xfId="41051" xr:uid="{70B7D02B-3BFC-4DC3-B22E-1029989ADDA8}"/>
    <cellStyle name="Comma 8 5 2 2 9" xfId="42263" xr:uid="{E29713E4-6036-425D-BB59-B1D2527EF832}"/>
    <cellStyle name="Comma 8 5 2 3" xfId="5589" xr:uid="{2B0DF6FE-A9FE-4D66-8889-A0BB84E8ECBE}"/>
    <cellStyle name="Comma 8 5 2 3 10" xfId="20646" xr:uid="{72A9F06B-B055-4BBD-8F2B-DFC5C5F9DC25}"/>
    <cellStyle name="Comma 8 5 2 3 11" xfId="14126" xr:uid="{ECD6CB58-21CE-4FCF-BA6E-2F5B4C6AC775}"/>
    <cellStyle name="Comma 8 5 2 3 2" xfId="7691" xr:uid="{D1B5E202-367D-486C-8481-2586D76FD002}"/>
    <cellStyle name="Comma 8 5 2 3 2 2" xfId="10183" xr:uid="{6E0B3C4A-AE66-4EF0-9B86-0596797D9C81}"/>
    <cellStyle name="Comma 8 5 2 3 2 2 2" xfId="13489" xr:uid="{3E9311F9-F4BC-40DD-93E7-F4AC714CE88E}"/>
    <cellStyle name="Comma 8 5 2 3 2 2 2 2" xfId="51715" xr:uid="{42B05A73-7EC8-4DC0-92D1-2091B2577654}"/>
    <cellStyle name="Comma 8 5 2 3 2 2 3" xfId="54346" xr:uid="{98A65459-9FDE-4956-8165-628E9E8D3BFA}"/>
    <cellStyle name="Comma 8 5 2 3 2 2 4" xfId="49003" xr:uid="{5FAA3EA1-0DCD-4A8C-AD29-ECD14C804D79}"/>
    <cellStyle name="Comma 8 5 2 3 2 3" xfId="12204" xr:uid="{010A1331-4C4E-418A-A0B0-983BCF784906}"/>
    <cellStyle name="Comma 8 5 2 3 2 3 2" xfId="47427" xr:uid="{27EB04D3-17C8-4B66-83E8-8331BB37B76D}"/>
    <cellStyle name="Comma 8 5 2 3 2 4" xfId="50387" xr:uid="{22272417-A9D9-407C-A130-9F6FAEF1CD99}"/>
    <cellStyle name="Comma 8 5 2 3 2 5" xfId="54347" xr:uid="{123BAF03-6161-46BA-8CDE-9087346C2859}"/>
    <cellStyle name="Comma 8 5 2 3 2 6" xfId="39337" xr:uid="{1EAB82DE-B84D-4384-AE4D-5BE02C168B81}"/>
    <cellStyle name="Comma 8 5 2 3 2 7" xfId="14618" xr:uid="{C8DD15AD-9336-47B5-B90B-099F2890E50C}"/>
    <cellStyle name="Comma 8 5 2 3 3" xfId="9689" xr:uid="{FFE6B75B-DCA2-4807-A047-7B25FD032C0E}"/>
    <cellStyle name="Comma 8 5 2 3 3 2" xfId="12995" xr:uid="{4DC1B6B3-6BC9-4A92-9B4B-83D37E2396B5}"/>
    <cellStyle name="Comma 8 5 2 3 3 2 2" xfId="48148" xr:uid="{1A37FA82-A213-4FD5-ABC0-EE42491420AD}"/>
    <cellStyle name="Comma 8 5 2 3 3 3" xfId="50997" xr:uid="{AC4A3E85-FFAB-4C29-AAE5-43DB3883122B}"/>
    <cellStyle name="Comma 8 5 2 3 3 4" xfId="54348" xr:uid="{39CA9CB5-8870-4721-BE49-538CBE930D10}"/>
    <cellStyle name="Comma 8 5 2 3 3 5" xfId="41195" xr:uid="{C9F31BF4-BCBA-441F-ACD0-A7533575D615}"/>
    <cellStyle name="Comma 8 5 2 3 4" xfId="7185" xr:uid="{01358E02-6B2B-44FA-812A-EC869B44066C}"/>
    <cellStyle name="Comma 8 5 2 3 4 2" xfId="43014" xr:uid="{E7AF1F16-F6C5-4C00-AFB0-6272D0B0DA98}"/>
    <cellStyle name="Comma 8 5 2 3 5" xfId="11710" xr:uid="{3D0FFE9B-FAA4-4270-9F82-F103785CB6A1}"/>
    <cellStyle name="Comma 8 5 2 3 5 2" xfId="43878" xr:uid="{946952C7-74E2-421B-BFEF-855F736CA797}"/>
    <cellStyle name="Comma 8 5 2 3 6" xfId="45115" xr:uid="{CCF1ED12-F903-43F0-B8A4-CF0F354B441C}"/>
    <cellStyle name="Comma 8 5 2 3 7" xfId="46636" xr:uid="{61E31A48-0666-4F47-8126-68242888F51A}"/>
    <cellStyle name="Comma 8 5 2 3 8" xfId="49669" xr:uid="{D7D9FD25-B0C1-44EA-8B3F-0537F18B2ECD}"/>
    <cellStyle name="Comma 8 5 2 3 9" xfId="54349" xr:uid="{6D164D08-25DB-4C31-90B6-79117823F283}"/>
    <cellStyle name="Comma 8 5 2 4" xfId="6579" xr:uid="{62CDECE5-D9C8-41C2-BA46-CD2A74FF98D0}"/>
    <cellStyle name="Comma 8 5 2 4 2" xfId="9551" xr:uid="{C98A2113-3FB2-4B66-88EB-B78BBFB957C1}"/>
    <cellStyle name="Comma 8 5 2 4 2 2" xfId="12857" xr:uid="{EDE245F0-3C67-4B63-BEFF-3869409CC985}"/>
    <cellStyle name="Comma 8 5 2 4 2 2 2" xfId="50882" xr:uid="{6A516346-842E-444F-9309-48FA3060F6BD}"/>
    <cellStyle name="Comma 8 5 2 4 2 3" xfId="54350" xr:uid="{836E9721-AA7E-40C2-A471-35EED565C883}"/>
    <cellStyle name="Comma 8 5 2 4 2 4" xfId="48013" xr:uid="{7A541B19-AE17-476A-B4B4-03C0FF629463}"/>
    <cellStyle name="Comma 8 5 2 4 3" xfId="11572" xr:uid="{B114283C-9FF0-4019-A565-54895BCABF91}"/>
    <cellStyle name="Comma 8 5 2 4 3 2" xfId="46218" xr:uid="{D11AA0A2-7F56-4C15-8DA0-960C16323B31}"/>
    <cellStyle name="Comma 8 5 2 4 4" xfId="49554" xr:uid="{7235B1E0-D314-4380-8E82-958596E92D21}"/>
    <cellStyle name="Comma 8 5 2 4 5" xfId="54351" xr:uid="{30A01ED7-EDFF-4EC3-AA3C-08851FB4B728}"/>
    <cellStyle name="Comma 8 5 2 4 6" xfId="19990" xr:uid="{78231F6B-DDDB-4D40-9DFC-0859E98CDA6C}"/>
    <cellStyle name="Comma 8 5 2 4 7" xfId="14480" xr:uid="{5D6E7F1A-85DD-4842-927E-32501CFCB787}"/>
    <cellStyle name="Comma 8 5 2 5" xfId="7553" xr:uid="{32C8EDE9-A4E6-4599-99BD-0AB72B5AA19A}"/>
    <cellStyle name="Comma 8 5 2 5 2" xfId="10045" xr:uid="{01851E20-D55A-40BC-A552-6C2D37C8CE93}"/>
    <cellStyle name="Comma 8 5 2 5 2 2" xfId="13351" xr:uid="{B0565171-A243-427B-8C69-30DE6AF18427}"/>
    <cellStyle name="Comma 8 5 2 5 2 2 2" xfId="51344" xr:uid="{B0942D0F-1233-47D7-BAE4-26B304830B86}"/>
    <cellStyle name="Comma 8 5 2 5 2 3" xfId="54352" xr:uid="{08B86144-B35C-407B-848C-1E690DC78F44}"/>
    <cellStyle name="Comma 8 5 2 5 2 4" xfId="48558" xr:uid="{B9E02634-29CA-48AA-993C-E96EE1D3A071}"/>
    <cellStyle name="Comma 8 5 2 5 3" xfId="12066" xr:uid="{CB91DB20-C57A-4863-A671-030E257B62E1}"/>
    <cellStyle name="Comma 8 5 2 5 3 2" xfId="46997" xr:uid="{09650F90-FF11-40CE-BB0E-397AB43765FA}"/>
    <cellStyle name="Comma 8 5 2 5 4" xfId="50016" xr:uid="{3F72DECD-A340-4F87-96D2-F7A6B9B84657}"/>
    <cellStyle name="Comma 8 5 2 5 5" xfId="54353" xr:uid="{F7E6E7C6-32A9-4C16-91F3-A2AF5E6CEB94}"/>
    <cellStyle name="Comma 8 5 2 5 6" xfId="24088" xr:uid="{C1ADA7B7-1C8A-4763-B740-0687C63A3346}"/>
    <cellStyle name="Comma 8 5 2 5 7" xfId="14933" xr:uid="{90273536-B679-4848-8186-159604592908}"/>
    <cellStyle name="Comma 8 5 2 6" xfId="8219" xr:uid="{419D22B2-E3E7-4F18-9371-B0F062979615}"/>
    <cellStyle name="Comma 8 5 2 6 2" xfId="12675" xr:uid="{7EEA845D-1E65-4BFF-A018-8BA01F415136}"/>
    <cellStyle name="Comma 8 5 2 6 2 2" xfId="51600" xr:uid="{2C7F9D2C-520D-4F09-9152-52569D99F3E2}"/>
    <cellStyle name="Comma 8 5 2 6 2 3" xfId="54354" xr:uid="{B6B8C98E-4865-4BB2-AD5D-B177CA3A9C33}"/>
    <cellStyle name="Comma 8 5 2 6 2 4" xfId="48865" xr:uid="{63D91B62-4DDA-4FED-BD04-28190A3426CA}"/>
    <cellStyle name="Comma 8 5 2 6 3" xfId="47294" xr:uid="{8F8CAAD5-D853-4678-88BB-F59AA34207B0}"/>
    <cellStyle name="Comma 8 5 2 6 4" xfId="50272" xr:uid="{D7A47761-E0D6-43D8-960B-812B994D1C9B}"/>
    <cellStyle name="Comma 8 5 2 6 5" xfId="54355" xr:uid="{DAA0B9D7-55E3-4398-A0BA-E6771F238DD5}"/>
    <cellStyle name="Comma 8 5 2 6 6" xfId="38585" xr:uid="{D316B397-10EA-4024-8EB8-BD8833616506}"/>
    <cellStyle name="Comma 8 5 2 7" xfId="8006" xr:uid="{476C1A2D-53A0-45F1-BA60-2D12E0B1ABFD}"/>
    <cellStyle name="Comma 8 5 2 7 2" xfId="12519" xr:uid="{CA5E27AF-2AFE-4F99-96D7-FE426043C431}"/>
    <cellStyle name="Comma 8 5 2 7 2 2" xfId="47856" xr:uid="{BF69FB16-EF91-47C0-AE52-A0479A5308A0}"/>
    <cellStyle name="Comma 8 5 2 7 3" xfId="50744" xr:uid="{AC72C3F0-0BA1-409D-9453-20A288E78811}"/>
    <cellStyle name="Comma 8 5 2 7 4" xfId="54356" xr:uid="{C4F51582-A366-4430-91BC-8E212BC89C8F}"/>
    <cellStyle name="Comma 8 5 2 7 5" xfId="38746" xr:uid="{AE0804E7-5402-4BA0-A4E0-FF628A3121A5}"/>
    <cellStyle name="Comma 8 5 2 8" xfId="5903" xr:uid="{1563F681-E32A-46E3-8E11-1E59B0EFB95F}"/>
    <cellStyle name="Comma 8 5 2 8 2" xfId="40408" xr:uid="{FF09F7EF-9C77-40BF-BFDC-E2C105B04A7B}"/>
    <cellStyle name="Comma 8 5 2 9" xfId="11391" xr:uid="{7A54BC4E-500A-41D2-AB95-85A3DD9CF2FF}"/>
    <cellStyle name="Comma 8 5 2 9 2" xfId="41050" xr:uid="{4BB4B277-439E-436E-A643-B04FF0F98B5B}"/>
    <cellStyle name="Comma 8 5 20" xfId="13866" xr:uid="{5FAF5FEC-AE54-417C-9908-62865EDB8E15}"/>
    <cellStyle name="Comma 8 5 3" xfId="4507" xr:uid="{9A010994-4332-4A41-B072-D1B37E7A4E61}"/>
    <cellStyle name="Comma 8 5 3 10" xfId="42795" xr:uid="{1E67B174-98B1-4ACA-BCA3-92E9F43EACA9}"/>
    <cellStyle name="Comma 8 5 3 11" xfId="43604" xr:uid="{CB4F2ABA-522B-41AC-95A9-0C90F17F9757}"/>
    <cellStyle name="Comma 8 5 3 12" xfId="44608" xr:uid="{E20C9B48-2CD7-4583-B9A6-E6F2428841E3}"/>
    <cellStyle name="Comma 8 5 3 13" xfId="45745" xr:uid="{28238597-9EB5-466C-BEB5-5EC6025EBA34}"/>
    <cellStyle name="Comma 8 5 3 14" xfId="49373" xr:uid="{D4E14497-0F1F-408F-B146-07EF512358D3}"/>
    <cellStyle name="Comma 8 5 3 15" xfId="54357" xr:uid="{96F95D1F-569C-462A-B04C-6B2E61512F66}"/>
    <cellStyle name="Comma 8 5 3 16" xfId="17148" xr:uid="{CC1CC1E9-474F-4CED-A4C8-C349CF51734D}"/>
    <cellStyle name="Comma 8 5 3 17" xfId="13987" xr:uid="{B680EA7A-6CD8-4210-9D99-5D93FAE2004C}"/>
    <cellStyle name="Comma 8 5 3 2" xfId="5764" xr:uid="{A3F5907F-00CB-40A1-B61D-A648552FC465}"/>
    <cellStyle name="Comma 8 5 3 2 10" xfId="44308" xr:uid="{5048AB0A-6371-4949-850C-3A3B5E4943A2}"/>
    <cellStyle name="Comma 8 5 3 2 11" xfId="45466" xr:uid="{7DA3B91B-C8ED-4E19-ACD3-91BBC0A22CC8}"/>
    <cellStyle name="Comma 8 5 3 2 12" xfId="46776" xr:uid="{FD195650-C8E7-4BA6-93FA-BF0C3A58DE96}"/>
    <cellStyle name="Comma 8 5 3 2 13" xfId="49808" xr:uid="{1505F63D-5094-4BC6-ACA2-954A17FFB698}"/>
    <cellStyle name="Comma 8 5 3 2 14" xfId="54358" xr:uid="{BC0BEC04-DD7A-4C6D-9B2B-DE760961F0D1}"/>
    <cellStyle name="Comma 8 5 3 2 15" xfId="21143" xr:uid="{97EA5093-B8E7-4575-B7B2-FB54B32F6D5F}"/>
    <cellStyle name="Comma 8 5 3 2 16" xfId="14301" xr:uid="{029056CB-7F13-4ECE-B474-93311A896731}"/>
    <cellStyle name="Comma 8 5 3 2 2" xfId="7866" xr:uid="{DDD87205-5EA3-4F72-9E52-33B9E354E443}"/>
    <cellStyle name="Comma 8 5 3 2 2 2" xfId="10358" xr:uid="{7A1A4495-450C-4835-8940-A2215CD9160E}"/>
    <cellStyle name="Comma 8 5 3 2 2 2 2" xfId="13664" xr:uid="{D6206F8B-1FA5-4599-A2E7-DB5DD728FAD9}"/>
    <cellStyle name="Comma 8 5 3 2 2 2 2 2" xfId="51854" xr:uid="{2C27FF4F-CF3B-4656-9D64-253A90F0845F}"/>
    <cellStyle name="Comma 8 5 3 2 2 2 3" xfId="54359" xr:uid="{B4E26E40-0F5E-48F8-8B12-96323D33F736}"/>
    <cellStyle name="Comma 8 5 3 2 2 2 4" xfId="49174" xr:uid="{947849E9-0758-4629-A258-BF5208F342FB}"/>
    <cellStyle name="Comma 8 5 3 2 2 3" xfId="12379" xr:uid="{CF7DF485-DB4A-4EBF-BDD8-CC8D6C6C898F}"/>
    <cellStyle name="Comma 8 5 3 2 2 3 2" xfId="47591" xr:uid="{101BB417-F3EC-4CC0-A089-E30CC12A292C}"/>
    <cellStyle name="Comma 8 5 3 2 2 4" xfId="50526" xr:uid="{67C425E1-9E99-4BF5-88B9-C175B92FE46D}"/>
    <cellStyle name="Comma 8 5 3 2 2 5" xfId="54360" xr:uid="{A04CD3DD-016B-4DF7-B795-6B28B2D50EAA}"/>
    <cellStyle name="Comma 8 5 3 2 2 6" xfId="24091" xr:uid="{F590CD19-0519-4158-8BC0-6FA8BC4D824D}"/>
    <cellStyle name="Comma 8 5 3 2 2 7" xfId="14793" xr:uid="{F35483EB-D316-45EA-A1FD-166F73A47A6B}"/>
    <cellStyle name="Comma 8 5 3 2 3" xfId="9864" xr:uid="{8D5E6BE6-1BBA-455E-9B75-8FD6D24F3812}"/>
    <cellStyle name="Comma 8 5 3 2 3 2" xfId="13170" xr:uid="{B1702712-FAA1-4C2D-A86A-636BE14F1672}"/>
    <cellStyle name="Comma 8 5 3 2 3 2 2" xfId="48318" xr:uid="{DB748FB9-876D-46AE-9790-0B4B553D652F}"/>
    <cellStyle name="Comma 8 5 3 2 3 3" xfId="51136" xr:uid="{B0BA93AE-3E5F-43C2-A0CC-5C57041381C5}"/>
    <cellStyle name="Comma 8 5 3 2 3 4" xfId="54361" xr:uid="{245AC5F9-6EDD-4AB9-AF69-4D3A17486C97}"/>
    <cellStyle name="Comma 8 5 3 2 3 5" xfId="38588" xr:uid="{24DA6323-7F49-4ADC-A2B1-52046CFFF9E7}"/>
    <cellStyle name="Comma 8 5 3 2 4" xfId="7362" xr:uid="{15DC2292-94DB-481E-ADA5-0A7923940DD9}"/>
    <cellStyle name="Comma 8 5 3 2 4 2" xfId="39709" xr:uid="{BED4F915-09A1-45B9-988E-AB7D05A1FC31}"/>
    <cellStyle name="Comma 8 5 3 2 5" xfId="11885" xr:uid="{DC25510B-5272-4DC5-A32F-FB0E45294F07}"/>
    <cellStyle name="Comma 8 5 3 2 5 2" xfId="40411" xr:uid="{F59007B7-2151-4E64-9ECC-190FBEE45E65}"/>
    <cellStyle name="Comma 8 5 3 2 6" xfId="41053" xr:uid="{C11BA648-ECC8-4036-9E54-8C22161CF089}"/>
    <cellStyle name="Comma 8 5 3 2 7" xfId="41562" xr:uid="{8CE9CAAB-BDBB-4BCE-8094-603929A8C837}"/>
    <cellStyle name="Comma 8 5 3 2 8" xfId="42265" xr:uid="{315E339A-8E3C-479C-9DAF-1A16513AED9C}"/>
    <cellStyle name="Comma 8 5 3 2 9" xfId="43386" xr:uid="{524B0BC5-E803-43C8-8F89-B52CC978F2D2}"/>
    <cellStyle name="Comma 8 5 3 3" xfId="7552" xr:uid="{E1186300-B3C9-432B-AC57-1E3B64EEE44F}"/>
    <cellStyle name="Comma 8 5 3 3 2" xfId="10044" xr:uid="{BA7D2FB8-C426-4C06-AD24-6D7F37E6C16E}"/>
    <cellStyle name="Comma 8 5 3 3 2 2" xfId="13350" xr:uid="{F7C27BDF-FD8B-4D29-92AC-5D0170306A3E}"/>
    <cellStyle name="Comma 8 5 3 3 2 2 2" xfId="50881" xr:uid="{2A89629E-C0BC-4070-A8B6-2F990FB5DE48}"/>
    <cellStyle name="Comma 8 5 3 3 2 3" xfId="54362" xr:uid="{D60AE5F1-FD73-4E4B-8027-98EAA73BF9C9}"/>
    <cellStyle name="Comma 8 5 3 3 2 4" xfId="48012" xr:uid="{1607914E-F378-4BAC-998A-F1970BCA4B03}"/>
    <cellStyle name="Comma 8 5 3 3 3" xfId="12065" xr:uid="{E25E41C4-2230-4BEC-AEA0-62DC0E634608}"/>
    <cellStyle name="Comma 8 5 3 3 3 2" xfId="46217" xr:uid="{223ACCB6-A02C-4CFB-9969-6F744A9F0979}"/>
    <cellStyle name="Comma 8 5 3 3 4" xfId="49553" xr:uid="{0C7BFB29-BCC5-4FF9-B4DF-68E37C4DFC3C}"/>
    <cellStyle name="Comma 8 5 3 3 5" xfId="54363" xr:uid="{AEC43957-DD8C-4D67-9893-8403B4214312}"/>
    <cellStyle name="Comma 8 5 3 3 6" xfId="20362" xr:uid="{650C71E9-EB96-474E-88B4-2F0D3A33E8E9}"/>
    <cellStyle name="Comma 8 5 3 3 7" xfId="14479" xr:uid="{5F5CC0AB-8216-44F9-ACE8-EDA8A214A257}"/>
    <cellStyle name="Comma 8 5 3 4" xfId="11173" xr:uid="{E9466B4E-7110-49F6-B736-4424214AAC5C}"/>
    <cellStyle name="Comma 8 5 3 4 2" xfId="13767" xr:uid="{C9845C58-8041-4526-9ABD-46931CF3101D}"/>
    <cellStyle name="Comma 8 5 3 4 2 2" xfId="51343" xr:uid="{7A72CD14-88DB-462C-8590-16B43B619FEF}"/>
    <cellStyle name="Comma 8 5 3 4 2 3" xfId="54364" xr:uid="{194B98C5-DA64-434D-83C0-A960F8BC7047}"/>
    <cellStyle name="Comma 8 5 3 4 2 4" xfId="48557" xr:uid="{F4232FCE-946B-407E-B748-C81E3713CC0E}"/>
    <cellStyle name="Comma 8 5 3 4 3" xfId="46996" xr:uid="{33DB0578-65D2-4E79-B2A1-392BD6D1B601}"/>
    <cellStyle name="Comma 8 5 3 4 4" xfId="50015" xr:uid="{E0B4A8F3-A1B5-41F7-A811-B2D0ED7FA813}"/>
    <cellStyle name="Comma 8 5 3 4 5" xfId="54365" xr:uid="{5A0861DB-B950-428A-A9E4-77C121623614}"/>
    <cellStyle name="Comma 8 5 3 4 6" xfId="24090" xr:uid="{BA86920C-A1D4-4866-B5FC-336D660BEE3E}"/>
    <cellStyle name="Comma 8 5 3 4 7" xfId="15108" xr:uid="{391FA5A5-EB64-41E6-8D8B-1B70094F06D9}"/>
    <cellStyle name="Comma 8 5 3 5" xfId="9550" xr:uid="{069809F1-0AC1-4DAC-8299-0F836DC30825}"/>
    <cellStyle name="Comma 8 5 3 5 2" xfId="12856" xr:uid="{CECF2759-B99D-4DF6-8B4E-38D3483399E9}"/>
    <cellStyle name="Comma 8 5 3 5 2 2" xfId="51599" xr:uid="{B586E186-D954-4929-A37B-4A39CEBE1337}"/>
    <cellStyle name="Comma 8 5 3 5 2 3" xfId="54366" xr:uid="{2E914D93-093A-49D4-A495-7D0B512BF6D9}"/>
    <cellStyle name="Comma 8 5 3 5 2 4" xfId="48864" xr:uid="{5C2FB824-E4DF-4CBC-8A51-901919E80298}"/>
    <cellStyle name="Comma 8 5 3 5 3" xfId="47293" xr:uid="{77702DB8-0A38-46A9-9CC2-98A624826B63}"/>
    <cellStyle name="Comma 8 5 3 5 4" xfId="50271" xr:uid="{F0B47323-2A85-42F4-9433-CDB4B950BE95}"/>
    <cellStyle name="Comma 8 5 3 5 5" xfId="54367" xr:uid="{30ED12EA-FA73-4394-9901-63055BE35666}"/>
    <cellStyle name="Comma 8 5 3 5 6" xfId="38587" xr:uid="{CBEFE3E7-C327-4829-92D0-507643D4B90A}"/>
    <cellStyle name="Comma 8 5 3 6" xfId="6578" xr:uid="{4A7AB8F5-592D-42E6-AAAC-E14D052EA3ED}"/>
    <cellStyle name="Comma 8 5 3 6 2" xfId="47802" xr:uid="{F5C8817E-3A67-4015-BEF6-F36B0CF4FA90}"/>
    <cellStyle name="Comma 8 5 3 6 3" xfId="50701" xr:uid="{2A7A8864-629F-49A4-BDC5-18617A1AB70C}"/>
    <cellStyle name="Comma 8 5 3 6 4" xfId="54368" xr:uid="{E2D549F0-44CB-4F42-A35C-6409841BDC4B}"/>
    <cellStyle name="Comma 8 5 3 6 5" xfId="39118" xr:uid="{F1559F52-5270-4E3B-9BA3-2803FE49F784}"/>
    <cellStyle name="Comma 8 5 3 7" xfId="11571" xr:uid="{25BBBD90-2C91-4C55-93AD-3B924EF4152F}"/>
    <cellStyle name="Comma 8 5 3 7 2" xfId="40410" xr:uid="{285DEB9A-00AA-4271-AC14-B1E8AB1E0B15}"/>
    <cellStyle name="Comma 8 5 3 8" xfId="41052" xr:uid="{8CEA276A-6EBC-4911-A9B8-333199E67CEA}"/>
    <cellStyle name="Comma 8 5 3 9" xfId="42264" xr:uid="{753ED8FF-1DAC-4C83-B38F-1F8FB8C99B5C}"/>
    <cellStyle name="Comma 8 5 4" xfId="3902" xr:uid="{3CD92045-653F-403D-AD7D-B96EF9733747}"/>
    <cellStyle name="Comma 8 5 4 10" xfId="42868" xr:uid="{100A39E3-F03B-496B-9CB5-E3782972B7F4}"/>
    <cellStyle name="Comma 8 5 4 11" xfId="43913" xr:uid="{CFA109DF-6768-4C1F-AEDD-4A5C1BDE2DEA}"/>
    <cellStyle name="Comma 8 5 4 12" xfId="44500" xr:uid="{44AF165A-9E63-423D-ACD9-548C4C82A38B}"/>
    <cellStyle name="Comma 8 5 4 13" xfId="46667" xr:uid="{386287EE-92DA-42B7-B978-9AF23F4D87D2}"/>
    <cellStyle name="Comma 8 5 4 14" xfId="49700" xr:uid="{90C65781-3AF6-4759-B527-E4012B6360A5}"/>
    <cellStyle name="Comma 8 5 4 15" xfId="54369" xr:uid="{B5D5D9B8-B015-472E-B810-8C9C6273B032}"/>
    <cellStyle name="Comma 8 5 4 16" xfId="19774" xr:uid="{10A49281-6638-47EA-BE3C-04326FED32B0}"/>
    <cellStyle name="Comma 8 5 4 17" xfId="14181" xr:uid="{9A03907E-2479-4EA7-8BBE-185B6BC87FD8}"/>
    <cellStyle name="Comma 8 5 4 2" xfId="5644" xr:uid="{CA145573-DDE6-4AFB-A5D5-330B8C5E2B3F}"/>
    <cellStyle name="Comma 8 5 4 2 10" xfId="14673" xr:uid="{0B0C91E0-EA7F-46C9-A441-743C7978C9B6}"/>
    <cellStyle name="Comma 8 5 4 2 2" xfId="10238" xr:uid="{7C70E1C1-4278-4489-87CF-583F96D6FCC2}"/>
    <cellStyle name="Comma 8 5 4 2 2 2" xfId="13544" xr:uid="{2ED32A02-DEE8-4A76-A5F5-266084CC82E8}"/>
    <cellStyle name="Comma 8 5 4 2 2 2 2" xfId="48441" xr:uid="{7D18C8EB-0EA1-4944-A241-BC93CD176748}"/>
    <cellStyle name="Comma 8 5 4 2 2 3" xfId="51235" xr:uid="{FC9423ED-D050-4AA1-AA22-5591CD056923}"/>
    <cellStyle name="Comma 8 5 4 2 2 4" xfId="54370" xr:uid="{5A5F4296-323E-487E-A1A8-7EBD7006016D}"/>
    <cellStyle name="Comma 8 5 4 2 2 5" xfId="39782" xr:uid="{CBEBDEEB-670F-48DC-BDC6-D43CB4A2923F}"/>
    <cellStyle name="Comma 8 5 4 2 3" xfId="7746" xr:uid="{DC1806E2-5F8E-4650-B0ED-B5E2313F4A29}"/>
    <cellStyle name="Comma 8 5 4 2 3 2" xfId="41635" xr:uid="{CB69D239-765F-414B-8ADB-8C73E9C53019}"/>
    <cellStyle name="Comma 8 5 4 2 4" xfId="12259" xr:uid="{5C14800A-7AA1-4911-B5E1-DCC702F7A29E}"/>
    <cellStyle name="Comma 8 5 4 2 4 2" xfId="43459" xr:uid="{03854D09-49B7-4442-A8DE-E8DFC427BF8A}"/>
    <cellStyle name="Comma 8 5 4 2 5" xfId="45533" xr:uid="{B2429536-F167-4F53-8D3D-700933CB2B83}"/>
    <cellStyle name="Comma 8 5 4 2 6" xfId="46885" xr:uid="{3E6F7A46-D625-4E19-B5A4-63527D7D479A}"/>
    <cellStyle name="Comma 8 5 4 2 7" xfId="49907" xr:uid="{C2A44D32-BE3B-432D-B2FA-6C027DAE990B}"/>
    <cellStyle name="Comma 8 5 4 2 8" xfId="54371" xr:uid="{C6255D2C-2965-4FB1-9C23-7CC3C2BAF63A}"/>
    <cellStyle name="Comma 8 5 4 2 9" xfId="23391" xr:uid="{2B888DC2-41D8-41BE-B61F-E5CAB5721B2B}"/>
    <cellStyle name="Comma 8 5 4 3" xfId="9744" xr:uid="{EF22438C-49BA-4152-BF88-137033AD524B}"/>
    <cellStyle name="Comma 8 5 4 3 2" xfId="13050" xr:uid="{80A2EB2A-37EA-44A3-9165-D83021CDC8BB}"/>
    <cellStyle name="Comma 8 5 4 3 2 2" xfId="51746" xr:uid="{F3CE476E-143E-400B-AA84-45D66EE14D72}"/>
    <cellStyle name="Comma 8 5 4 3 2 3" xfId="54372" xr:uid="{B42B7B4B-AF3D-4DE2-B18C-6ED08FFECD9A}"/>
    <cellStyle name="Comma 8 5 4 3 2 4" xfId="49056" xr:uid="{2689E607-B866-46FA-B3FA-82D7596CC0B5}"/>
    <cellStyle name="Comma 8 5 4 3 3" xfId="47475" xr:uid="{CD67F028-95B6-4629-995E-47241ABE9B3D}"/>
    <cellStyle name="Comma 8 5 4 3 4" xfId="50418" xr:uid="{E0DBC7B7-967F-4558-A576-4581C8740854}"/>
    <cellStyle name="Comma 8 5 4 3 5" xfId="54373" xr:uid="{B7961551-4EE8-4C29-9B04-75D415D80EB1}"/>
    <cellStyle name="Comma 8 5 4 3 6" xfId="20435" xr:uid="{3943181D-CCD2-4178-986C-558C6E77324D}"/>
    <cellStyle name="Comma 8 5 4 3 7" xfId="14988" xr:uid="{5833E1D4-0FD0-443D-A1EF-C695CAF47ED7}"/>
    <cellStyle name="Comma 8 5 4 4" xfId="7240" xr:uid="{B87B67DE-586C-4AC6-AFC2-FCCBFEDA6AF4}"/>
    <cellStyle name="Comma 8 5 4 4 2" xfId="48201" xr:uid="{4AFC7E2C-4C3A-497C-B61F-F508EE6AFE21}"/>
    <cellStyle name="Comma 8 5 4 4 3" xfId="51028" xr:uid="{132BCFE3-83CC-4880-B7E6-3D64AD92A9BE}"/>
    <cellStyle name="Comma 8 5 4 4 4" xfId="54374" xr:uid="{3B2F69B9-A350-4ADB-A598-3B016B6F7F20}"/>
    <cellStyle name="Comma 8 5 4 4 5" xfId="24092" xr:uid="{0739A95A-7D5B-45C8-989B-71B2CB341FFF}"/>
    <cellStyle name="Comma 8 5 4 5" xfId="11765" xr:uid="{74E18E3D-E097-4D58-AD25-AB247E51F1B8}"/>
    <cellStyle name="Comma 8 5 4 5 2" xfId="38589" xr:uid="{588AA233-FD87-4913-A275-09D09F76D971}"/>
    <cellStyle name="Comma 8 5 4 6" xfId="39191" xr:uid="{2C27978E-8A53-4D1E-8411-711CFB1E9A65}"/>
    <cellStyle name="Comma 8 5 4 7" xfId="40412" xr:uid="{EC375684-EFC6-4FB5-B9AF-89C5D6274779}"/>
    <cellStyle name="Comma 8 5 4 8" xfId="41054" xr:uid="{AA9AB3FD-72F3-4B3A-8130-66B975B0E9FF}"/>
    <cellStyle name="Comma 8 5 4 9" xfId="42266" xr:uid="{936E2EC2-7610-4633-908A-A196C936AF71}"/>
    <cellStyle name="Comma 8 5 5" xfId="5588" xr:uid="{5F1B4657-C27D-48BC-B2EB-E8F2527FB4B7}"/>
    <cellStyle name="Comma 8 5 5 10" xfId="43877" xr:uid="{B1E476AE-F97A-4118-91F5-502A80C7CC1E}"/>
    <cellStyle name="Comma 8 5 5 11" xfId="45113" xr:uid="{E244B0E7-224E-4A1B-A8D9-159D961570E5}"/>
    <cellStyle name="Comma 8 5 5 12" xfId="46635" xr:uid="{C17CA8D7-341A-4002-8C8B-20C90AB5FCD6}"/>
    <cellStyle name="Comma 8 5 5 13" xfId="49668" xr:uid="{73F9C3E5-6C97-4AB8-A921-C657C4AF591B}"/>
    <cellStyle name="Comma 8 5 5 14" xfId="54375" xr:uid="{B856CA3F-83BF-4802-B566-E1A3E8D02A64}"/>
    <cellStyle name="Comma 8 5 5 15" xfId="20639" xr:uid="{2DFDBB90-2D1E-4937-BC8D-938B6FFB9BE5}"/>
    <cellStyle name="Comma 8 5 5 16" xfId="14125" xr:uid="{EB1E9751-E19F-4007-9216-976D07EC9927}"/>
    <cellStyle name="Comma 8 5 5 2" xfId="7690" xr:uid="{7AF1893C-C76B-436E-B628-217A47B5AD40}"/>
    <cellStyle name="Comma 8 5 5 2 2" xfId="10182" xr:uid="{5F818639-7BF2-4F40-957F-B821CB20F5A5}"/>
    <cellStyle name="Comma 8 5 5 2 2 2" xfId="13488" xr:uid="{4E7902E0-B25A-4CDC-A8DF-DBE06888C99A}"/>
    <cellStyle name="Comma 8 5 5 2 2 2 2" xfId="51415" xr:uid="{E2C26CC7-C764-4DD8-A4E8-FDB942216186}"/>
    <cellStyle name="Comma 8 5 5 2 2 3" xfId="54376" xr:uid="{84CEA0FD-D74D-4815-99C7-0CC9D3E671C1}"/>
    <cellStyle name="Comma 8 5 5 2 2 4" xfId="48652" xr:uid="{BC03454E-86DD-47F5-8046-73294BB42B53}"/>
    <cellStyle name="Comma 8 5 5 2 3" xfId="12203" xr:uid="{8CF47022-16C7-4B29-96D4-85E6A5116834}"/>
    <cellStyle name="Comma 8 5 5 2 3 2" xfId="47086" xr:uid="{B3F0737B-1557-41BF-BC70-E35A63BF485B}"/>
    <cellStyle name="Comma 8 5 5 2 4" xfId="50087" xr:uid="{B0AD5930-FBA3-4871-B81A-E54E9B31A485}"/>
    <cellStyle name="Comma 8 5 5 2 5" xfId="54377" xr:uid="{F7951E15-BB60-4D4A-AB22-5E1571A086CA}"/>
    <cellStyle name="Comma 8 5 5 2 6" xfId="24093" xr:uid="{4FD735AE-3AD7-4A1A-BA8C-437919EEA289}"/>
    <cellStyle name="Comma 8 5 5 2 7" xfId="14617" xr:uid="{DFAAA630-4E54-4E64-8CEC-34A772141C93}"/>
    <cellStyle name="Comma 8 5 5 3" xfId="9688" xr:uid="{BE99F168-5DB5-46FA-B2A2-F3921CB04742}"/>
    <cellStyle name="Comma 8 5 5 3 2" xfId="12994" xr:uid="{A693C79F-660D-470A-A7B5-85FD1C725918}"/>
    <cellStyle name="Comma 8 5 5 3 2 2" xfId="51714" xr:uid="{3147C3F8-DD36-4B38-A173-7DE6162D9ED1}"/>
    <cellStyle name="Comma 8 5 5 3 2 3" xfId="54378" xr:uid="{46D05C97-2D54-4885-9D28-75D832BE7CF4}"/>
    <cellStyle name="Comma 8 5 5 3 2 4" xfId="49002" xr:uid="{4D3B1F4E-AB74-40CA-949F-D5242648D8B7}"/>
    <cellStyle name="Comma 8 5 5 3 3" xfId="47426" xr:uid="{10EC58B8-3730-4FFC-8CEB-E68CCAD8C17C}"/>
    <cellStyle name="Comma 8 5 5 3 4" xfId="50386" xr:uid="{6C523F87-79E6-48F1-88EA-0F9B9615F1AD}"/>
    <cellStyle name="Comma 8 5 5 3 5" xfId="54379" xr:uid="{A91851C3-E17F-49E5-9278-7A81B1DE3E7A}"/>
    <cellStyle name="Comma 8 5 5 3 6" xfId="38590" xr:uid="{EC9C0DFF-7199-4FBB-8823-BC2417A59181}"/>
    <cellStyle name="Comma 8 5 5 4" xfId="7184" xr:uid="{7473CF68-6CCC-494C-88C6-5E69A229A191}"/>
    <cellStyle name="Comma 8 5 5 4 2" xfId="48147" xr:uid="{ACBDA864-C5D7-46E7-BA3A-29CC610AD037}"/>
    <cellStyle name="Comma 8 5 5 4 3" xfId="50996" xr:uid="{303FD884-EF38-4435-842F-58C634557DD2}"/>
    <cellStyle name="Comma 8 5 5 4 4" xfId="54380" xr:uid="{9F7D1761-5865-4A59-8180-1E43E071F231}"/>
    <cellStyle name="Comma 8 5 5 4 5" xfId="39333" xr:uid="{7413A4D4-9785-4DC3-B76A-F72D5350400E}"/>
    <cellStyle name="Comma 8 5 5 5" xfId="11709" xr:uid="{6FC4B1E3-A467-4D2E-B30F-117C749E6CB3}"/>
    <cellStyle name="Comma 8 5 5 5 2" xfId="40413" xr:uid="{9902353F-22D6-4011-A50E-0C5081F443A3}"/>
    <cellStyle name="Comma 8 5 5 6" xfId="41055" xr:uid="{413449E4-ADEF-4C25-8FCD-3AED189D5EFD}"/>
    <cellStyle name="Comma 8 5 5 7" xfId="41193" xr:uid="{F971F655-AC0F-4A29-86A2-B75906C0449A}"/>
    <cellStyle name="Comma 8 5 5 8" xfId="42267" xr:uid="{E1947734-B37F-4C21-BAE2-4EF048D6DAF9}"/>
    <cellStyle name="Comma 8 5 5 9" xfId="43010" xr:uid="{93CBA3B5-1AE3-4BE0-BFEA-16CCDC6F0802}"/>
    <cellStyle name="Comma 8 5 6" xfId="5969" xr:uid="{22755D20-C579-4D81-80D8-3851F76B1A61}"/>
    <cellStyle name="Comma 8 5 6 10" xfId="19986" xr:uid="{192AAE33-1F15-4C16-977A-FAC2C13EB34B}"/>
    <cellStyle name="Comma 8 5 6 11" xfId="14359" xr:uid="{34EEC49D-91C8-4B32-B502-C491009A923D}"/>
    <cellStyle name="Comma 8 5 6 2" xfId="9427" xr:uid="{B8C0737A-8B70-4764-879A-4162759DEE22}"/>
    <cellStyle name="Comma 8 5 6 2 2" xfId="12733" xr:uid="{BCDDBBB5-B5A1-45D9-A3D2-F3CB43F830F7}"/>
    <cellStyle name="Comma 8 5 6 2 2 2" xfId="47896" xr:uid="{FC0BDC07-D060-4169-B25D-3891571E3361}"/>
    <cellStyle name="Comma 8 5 6 2 3" xfId="50773" xr:uid="{06C89DC9-7E4F-4442-9088-BC3EA76B1E4D}"/>
    <cellStyle name="Comma 8 5 6 2 4" xfId="54381" xr:uid="{FE29BB21-2370-4879-BDF3-04C26AA0BAE1}"/>
    <cellStyle name="Comma 8 5 6 2 5" xfId="24094" xr:uid="{2E93759C-B322-4862-9E51-83CE2AAE86C0}"/>
    <cellStyle name="Comma 8 5 6 3" xfId="11448" xr:uid="{FC42FFDE-BB7E-40B8-8F8D-EB3768F71FF0}"/>
    <cellStyle name="Comma 8 5 6 3 2" xfId="38591" xr:uid="{A0AD01C0-EFB9-42A5-A285-8991819662AF}"/>
    <cellStyle name="Comma 8 5 6 4" xfId="40414" xr:uid="{C107042F-769B-4F77-B78E-0169BC1F035D}"/>
    <cellStyle name="Comma 8 5 6 5" xfId="41056" xr:uid="{A8F28DA9-676C-46A1-8310-FF51B497D4BF}"/>
    <cellStyle name="Comma 8 5 6 6" xfId="42268" xr:uid="{E6759178-4BA9-483C-9184-7AD522E8EF3E}"/>
    <cellStyle name="Comma 8 5 6 7" xfId="45823" xr:uid="{131A4468-F513-45EF-9CFF-570758582509}"/>
    <cellStyle name="Comma 8 5 6 8" xfId="49445" xr:uid="{7E06E1C2-8A35-4A0D-B8C4-E036130110A0}"/>
    <cellStyle name="Comma 8 5 6 9" xfId="54382" xr:uid="{67F9DD39-45DD-4A94-B448-B39D38E6C06C}"/>
    <cellStyle name="Comma 8 5 7" xfId="7432" xr:uid="{BF2CB1FB-66F8-42CE-8B77-DD4A7776994D}"/>
    <cellStyle name="Comma 8 5 7 2" xfId="9924" xr:uid="{914AD3BD-1CAB-4411-861A-EEB1F9591300}"/>
    <cellStyle name="Comma 8 5 7 2 2" xfId="13230" xr:uid="{7582530B-9412-4A92-AA62-A9C742C7DDC6}"/>
    <cellStyle name="Comma 8 5 7 2 2 2" xfId="51209" xr:uid="{9B78DF74-9CBE-4121-9064-B0319EF3E244}"/>
    <cellStyle name="Comma 8 5 7 2 3" xfId="54383" xr:uid="{B9F448FC-12F7-4776-8DC0-6B07200EC620}"/>
    <cellStyle name="Comma 8 5 7 2 4" xfId="48408" xr:uid="{EB979CF6-9489-4063-9E27-862E317248CD}"/>
    <cellStyle name="Comma 8 5 7 3" xfId="11945" xr:uid="{3DDAB05B-2D5E-4F47-A97F-A4BB6EA0D8E0}"/>
    <cellStyle name="Comma 8 5 7 3 2" xfId="46857" xr:uid="{12858453-C9E6-47A1-B805-0B0429399005}"/>
    <cellStyle name="Comma 8 5 7 4" xfId="49881" xr:uid="{531C0F5F-1294-4FC5-8E38-6212A2245B96}"/>
    <cellStyle name="Comma 8 5 7 5" xfId="54384" xr:uid="{8B548C3B-307D-4C25-8AAD-2D4AB814E7B6}"/>
    <cellStyle name="Comma 8 5 7 6" xfId="24087" xr:uid="{58C810C7-3BE0-4E35-BA57-10D81619E279}"/>
    <cellStyle name="Comma 8 5 7 7" xfId="14932" xr:uid="{591F33C7-094D-46F4-897B-2BDAC6A6D3F3}"/>
    <cellStyle name="Comma 8 5 8" xfId="8218" xr:uid="{152596A6-CC7F-41D6-9A8B-ED8A162FCF45}"/>
    <cellStyle name="Comma 8 5 8 2" xfId="12674" xr:uid="{D229B158-13E6-4689-8629-31E2CB08800C}"/>
    <cellStyle name="Comma 8 5 8 2 2" xfId="51491" xr:uid="{E1269C03-EA3A-45D6-B598-6828A88D8245}"/>
    <cellStyle name="Comma 8 5 8 2 3" xfId="54385" xr:uid="{34DA80BB-712F-458C-AB47-4E1A31B52A78}"/>
    <cellStyle name="Comma 8 5 8 2 4" xfId="48747" xr:uid="{A7878326-A80B-4B48-A860-265FA42C4DE1}"/>
    <cellStyle name="Comma 8 5 8 3" xfId="47182" xr:uid="{251BFE35-2D98-4E0A-9E17-FE0B90DAD3A5}"/>
    <cellStyle name="Comma 8 5 8 4" xfId="50163" xr:uid="{CB7A3A2A-C993-40E3-94DA-FF403875CDD2}"/>
    <cellStyle name="Comma 8 5 8 5" xfId="54386" xr:uid="{C23999AF-56E8-4BCF-BC6F-349C1F844BD3}"/>
    <cellStyle name="Comma 8 5 8 6" xfId="38584" xr:uid="{E64522EE-63DA-4F26-86C1-76BF0667C8AE}"/>
    <cellStyle name="Comma 8 5 9" xfId="8005" xr:uid="{EBAF5925-2152-4930-9744-B791BE945360}"/>
    <cellStyle name="Comma 8 5 9 2" xfId="12518" xr:uid="{CC1F3272-9A8A-4121-9A99-47E8DC5908C2}"/>
    <cellStyle name="Comma 8 5 9 2 2" xfId="47720" xr:uid="{3062F4A7-F63A-4B04-9875-2EB6756B1719}"/>
    <cellStyle name="Comma 8 5 9 3" xfId="50628" xr:uid="{87F864E7-F82E-41DE-AF65-6CFB02717D78}"/>
    <cellStyle name="Comma 8 5 9 4" xfId="54387" xr:uid="{08EA4335-FE23-4155-9435-B86FC2E64DBA}"/>
    <cellStyle name="Comma 8 5 9 5" xfId="38742" xr:uid="{A7BC6B71-6D66-4A9D-9B45-7DFE4DADA8B0}"/>
    <cellStyle name="Comma 8 6" xfId="1833" xr:uid="{A8BE2D61-A10D-4E9B-94F1-C3AC04164A24}"/>
    <cellStyle name="Comma 8 6 10" xfId="11392" xr:uid="{E78319CE-9A5E-4FBD-A5A5-28C6E8238330}"/>
    <cellStyle name="Comma 8 6 10 2" xfId="42269" xr:uid="{5B5161C0-BF26-44A0-8940-A445A600C955}"/>
    <cellStyle name="Comma 8 6 11" xfId="42797" xr:uid="{4D4C3AED-8DED-404B-AFC2-6BBD45433944}"/>
    <cellStyle name="Comma 8 6 12" xfId="43606" xr:uid="{4E0E63C5-52D7-4757-9067-E6A62B1AC2CC}"/>
    <cellStyle name="Comma 8 6 13" xfId="44469" xr:uid="{516A8C14-3909-4C2B-B7DA-1B1256822857}"/>
    <cellStyle name="Comma 8 6 14" xfId="45672" xr:uid="{48D6BE9E-C784-4F8B-84B4-A3C730740741}"/>
    <cellStyle name="Comma 8 6 15" xfId="49301" xr:uid="{73209DE1-D87B-4191-B95D-CCCCBA117C48}"/>
    <cellStyle name="Comma 8 6 16" xfId="54388" xr:uid="{D41E1D3F-B1E8-46B9-B1FD-EFEB68CE2C5E}"/>
    <cellStyle name="Comma 8 6 17" xfId="17150" xr:uid="{60E0D2BB-1E14-4EF6-ACC2-9E439132FB01}"/>
    <cellStyle name="Comma 8 6 18" xfId="13989" xr:uid="{9E93A9C4-4CF7-4638-933A-9D40CED3A638}"/>
    <cellStyle name="Comma 8 6 2" xfId="1834" xr:uid="{6EC76510-3CE9-433F-A6B5-8EAA14C9F809}"/>
    <cellStyle name="Comma 8 6 2 10" xfId="42869" xr:uid="{07691A46-D786-4D92-8AC1-B1FD1C9EE3E1}"/>
    <cellStyle name="Comma 8 6 2 11" xfId="43607" xr:uid="{2B2BFF32-D61A-4E3F-AD66-D3F25E305DC3}"/>
    <cellStyle name="Comma 8 6 2 12" xfId="44470" xr:uid="{88D362C7-8839-4125-9B58-03539A5A1ECA}"/>
    <cellStyle name="Comma 8 6 2 13" xfId="45789" xr:uid="{EBF8CD9A-B93A-44D2-8C5D-736EFAB8B1AF}"/>
    <cellStyle name="Comma 8 6 2 14" xfId="49417" xr:uid="{FC0E0916-0818-45B2-BFE4-1066141D4A0B}"/>
    <cellStyle name="Comma 8 6 2 15" xfId="54389" xr:uid="{A812D9FF-19DE-4668-A247-B58BA8EBD166}"/>
    <cellStyle name="Comma 8 6 2 16" xfId="19775" xr:uid="{57151348-CFF9-44DB-82BA-4E93A6B5D1DE}"/>
    <cellStyle name="Comma 8 6 2 17" xfId="13990" xr:uid="{7FB0716E-23F5-41F6-A29F-BEABC52B9ECF}"/>
    <cellStyle name="Comma 8 6 2 2" xfId="4510" xr:uid="{CC545A1B-98D0-444F-81BB-196CCB90E241}"/>
    <cellStyle name="Comma 8 6 2 2 10" xfId="44311" xr:uid="{57BE12E2-436B-4168-90B6-592D457D0940}"/>
    <cellStyle name="Comma 8 6 2 2 11" xfId="44611" xr:uid="{4FB6A50C-2C9A-4DCE-8989-D63899710CE6}"/>
    <cellStyle name="Comma 8 6 2 2 12" xfId="46779" xr:uid="{3E32D089-8739-4CC4-A933-AF2C95CCF022}"/>
    <cellStyle name="Comma 8 6 2 2 13" xfId="49811" xr:uid="{930FDA13-233B-4B47-86DC-787A8A11E71A}"/>
    <cellStyle name="Comma 8 6 2 2 14" xfId="54390" xr:uid="{E7CE3FAC-DDDF-44E1-A2AC-B756E6FF0EDD}"/>
    <cellStyle name="Comma 8 6 2 2 15" xfId="23392" xr:uid="{23531F67-21FD-426B-B894-196067A5A9DE}"/>
    <cellStyle name="Comma 8 6 2 2 16" xfId="14304" xr:uid="{789929E4-A550-45C5-A49A-BA17C2F17BCE}"/>
    <cellStyle name="Comma 8 6 2 2 2" xfId="5767" xr:uid="{9BA542AC-5366-4ED8-8A44-1475FC208AE5}"/>
    <cellStyle name="Comma 8 6 2 2 2 2" xfId="10361" xr:uid="{6D8FF33E-AA3E-46D2-9307-664BDE719DCB}"/>
    <cellStyle name="Comma 8 6 2 2 2 2 2" xfId="13667" xr:uid="{71350214-93FC-4EEE-AC8F-84B60DFDFA83}"/>
    <cellStyle name="Comma 8 6 2 2 2 2 2 2" xfId="51462" xr:uid="{6E88DE1B-F5C5-4E95-A8E1-FE849A55C1FD}"/>
    <cellStyle name="Comma 8 6 2 2 2 2 3" xfId="54391" xr:uid="{70433F79-B2D2-4A0B-B0A8-4EE187F04734}"/>
    <cellStyle name="Comma 8 6 2 2 2 2 4" xfId="48707" xr:uid="{722C12FE-2442-4A23-90C7-4D46AEB35864}"/>
    <cellStyle name="Comma 8 6 2 2 2 3" xfId="7869" xr:uid="{64CFBFDC-D57D-4A43-A56B-968DB14A89E8}"/>
    <cellStyle name="Comma 8 6 2 2 2 3 2" xfId="47144" xr:uid="{24DBBEEC-A31A-4ABA-8732-4E5BAF114DA0}"/>
    <cellStyle name="Comma 8 6 2 2 2 4" xfId="12382" xr:uid="{9FFAE003-88D5-4A18-9EDD-B5B8F429354A}"/>
    <cellStyle name="Comma 8 6 2 2 2 4 2" xfId="50134" xr:uid="{6084BA75-0349-4232-88A4-FDFC60163EE6}"/>
    <cellStyle name="Comma 8 6 2 2 2 5" xfId="54392" xr:uid="{55F6A088-302C-4606-BADD-BA08E9BB37C7}"/>
    <cellStyle name="Comma 8 6 2 2 2 6" xfId="24097" xr:uid="{76A8405E-8E84-49A2-8A89-37E59BA25D34}"/>
    <cellStyle name="Comma 8 6 2 2 2 7" xfId="14796" xr:uid="{75A0B2A0-9134-427E-B0C3-55B17614697A}"/>
    <cellStyle name="Comma 8 6 2 2 3" xfId="9867" xr:uid="{FD341CFA-6CDB-4AE0-84DA-746CEFE5EFB4}"/>
    <cellStyle name="Comma 8 6 2 2 3 2" xfId="13173" xr:uid="{CEAA9D53-F68A-4511-A72B-6815767C33C3}"/>
    <cellStyle name="Comma 8 6 2 2 3 2 2" xfId="51857" xr:uid="{D384547D-2954-40EC-8873-DA7E08B60C2D}"/>
    <cellStyle name="Comma 8 6 2 2 3 2 3" xfId="54393" xr:uid="{5CA779DA-BADB-45AB-AEAB-8636771926BC}"/>
    <cellStyle name="Comma 8 6 2 2 3 2 4" xfId="49177" xr:uid="{4D9C72B6-4A4B-4118-B4DD-86CC0D56B863}"/>
    <cellStyle name="Comma 8 6 2 2 3 3" xfId="47594" xr:uid="{A0C4DE95-56CA-45FF-9F17-3A3D4DF89DA7}"/>
    <cellStyle name="Comma 8 6 2 2 3 4" xfId="50529" xr:uid="{A51DE70B-D004-47A3-A8AB-61A8A8044DB0}"/>
    <cellStyle name="Comma 8 6 2 2 3 5" xfId="54394" xr:uid="{F598517A-1D83-48D5-BBDA-9C51ACBA1710}"/>
    <cellStyle name="Comma 8 6 2 2 3 6" xfId="38594" xr:uid="{7E0E4260-5842-4D0B-9869-3623498CFB71}"/>
    <cellStyle name="Comma 8 6 2 2 3 7" xfId="15111" xr:uid="{63E8AF5F-EBE6-41B3-B58D-0CCA4BEE3BC5}"/>
    <cellStyle name="Comma 8 6 2 2 4" xfId="7365" xr:uid="{5353A835-FEEF-4AA5-9C9B-A40B0A804776}"/>
    <cellStyle name="Comma 8 6 2 2 4 2" xfId="48321" xr:uid="{F971AB61-47B7-474E-8170-EF25033C76CF}"/>
    <cellStyle name="Comma 8 6 2 2 4 3" xfId="51139" xr:uid="{EACFEC3D-5D72-4113-BFAB-54B418C99F56}"/>
    <cellStyle name="Comma 8 6 2 2 4 4" xfId="54395" xr:uid="{A37D5CA8-364D-47E9-838A-486519B2C96C}"/>
    <cellStyle name="Comma 8 6 2 2 4 5" xfId="39783" xr:uid="{FD9D6041-6E7C-4AE0-A529-47D836C04F00}"/>
    <cellStyle name="Comma 8 6 2 2 5" xfId="11888" xr:uid="{7C02A8D5-BFCA-4E4C-A5F5-9113AC2470A1}"/>
    <cellStyle name="Comma 8 6 2 2 5 2" xfId="40417" xr:uid="{9B7E37C6-B445-4D87-9EE2-09FFD594D16A}"/>
    <cellStyle name="Comma 8 6 2 2 6" xfId="41059" xr:uid="{5F798E00-90F5-4BA0-AF8A-B85AE55CD8AE}"/>
    <cellStyle name="Comma 8 6 2 2 7" xfId="41636" xr:uid="{A6F22341-D84F-4346-9923-CB527EE648D0}"/>
    <cellStyle name="Comma 8 6 2 2 8" xfId="42271" xr:uid="{0E2FC6B4-A9F4-4744-9FA0-3B58BC9AC199}"/>
    <cellStyle name="Comma 8 6 2 2 9" xfId="43460" xr:uid="{F2A0280E-8B9E-478B-AF95-A778A832D64B}"/>
    <cellStyle name="Comma 8 6 2 3" xfId="5591" xr:uid="{6E7C3C89-A296-4572-BD5E-A6F7E41EF0FB}"/>
    <cellStyle name="Comma 8 6 2 3 2" xfId="7693" xr:uid="{C28E2D55-A29E-466B-953F-4F3E73492AA8}"/>
    <cellStyle name="Comma 8 6 2 3 2 2" xfId="10185" xr:uid="{521C3CF2-44FC-47E9-BBD4-3C1C7A7E1CCA}"/>
    <cellStyle name="Comma 8 6 2 3 2 2 2" xfId="13491" xr:uid="{A318DD7A-A5B5-4FF0-B627-46AE41781C13}"/>
    <cellStyle name="Comma 8 6 2 3 2 2 2 2" xfId="51717" xr:uid="{33494260-8FC1-4BB1-A8D8-6F4D50D303F4}"/>
    <cellStyle name="Comma 8 6 2 3 2 2 3" xfId="54396" xr:uid="{6A4FF772-4A73-4E4D-8A0D-E63330B938BE}"/>
    <cellStyle name="Comma 8 6 2 3 2 2 4" xfId="49005" xr:uid="{0AC5FBA6-E98A-4D07-9A82-6342D6A7BAAB}"/>
    <cellStyle name="Comma 8 6 2 3 2 3" xfId="12206" xr:uid="{045E9686-AB6B-4210-A434-E36F7631FC7D}"/>
    <cellStyle name="Comma 8 6 2 3 2 3 2" xfId="47429" xr:uid="{DB0C91AB-2716-475A-9830-87F70853C0C7}"/>
    <cellStyle name="Comma 8 6 2 3 2 4" xfId="50389" xr:uid="{D487F8C3-DA75-4791-B31E-4BEF5314E4E4}"/>
    <cellStyle name="Comma 8 6 2 3 2 5" xfId="54397" xr:uid="{DC34DD99-0BD6-4C74-9139-133C5650657D}"/>
    <cellStyle name="Comma 8 6 2 3 2 6" xfId="43880" xr:uid="{E7E3C3D5-B646-41EC-ADDC-78896B91F0BD}"/>
    <cellStyle name="Comma 8 6 2 3 2 7" xfId="14620" xr:uid="{CB522083-A98B-4C37-8731-DEAF9ECBC75F}"/>
    <cellStyle name="Comma 8 6 2 3 3" xfId="9691" xr:uid="{C7E321C9-98C6-4DD8-9BD6-A49F78F96AC0}"/>
    <cellStyle name="Comma 8 6 2 3 3 2" xfId="12997" xr:uid="{55AFE6C6-84C0-44A0-A70B-E27CE1D21A91}"/>
    <cellStyle name="Comma 8 6 2 3 3 2 2" xfId="50999" xr:uid="{FC737527-08BC-4ADE-BA21-7143A5FB788C}"/>
    <cellStyle name="Comma 8 6 2 3 3 3" xfId="54398" xr:uid="{1663A879-6190-411B-B2F9-BACC6FB2D07D}"/>
    <cellStyle name="Comma 8 6 2 3 3 4" xfId="48150" xr:uid="{BD78491A-484D-4516-97D2-E08278AA9E25}"/>
    <cellStyle name="Comma 8 6 2 3 4" xfId="7187" xr:uid="{FFFBF380-118A-46EB-B8FB-FD8B1329FCDE}"/>
    <cellStyle name="Comma 8 6 2 3 4 2" xfId="46638" xr:uid="{C136766C-D5E2-4BBA-8E3D-02E0B432268C}"/>
    <cellStyle name="Comma 8 6 2 3 5" xfId="11712" xr:uid="{80CA9F75-61A1-457D-9D94-441E1ECD99B7}"/>
    <cellStyle name="Comma 8 6 2 3 5 2" xfId="49671" xr:uid="{CD22EC01-84F2-4FF8-8847-66CC634F7752}"/>
    <cellStyle name="Comma 8 6 2 3 6" xfId="54399" xr:uid="{2E20A46C-4FA1-448F-B7DD-340BA51CF745}"/>
    <cellStyle name="Comma 8 6 2 3 7" xfId="20436" xr:uid="{3D2ADEE5-1342-4C96-81C8-A5931C534FE4}"/>
    <cellStyle name="Comma 8 6 2 3 8" xfId="14128" xr:uid="{BB9B3CDA-91EE-45FE-8C86-D448EDEC0ED0}"/>
    <cellStyle name="Comma 8 6 2 4" xfId="6581" xr:uid="{ABE6A34D-10D0-4324-8FA3-8CF865312C32}"/>
    <cellStyle name="Comma 8 6 2 4 2" xfId="9553" xr:uid="{A601B867-95E7-4A17-8B3F-8D9801C400E1}"/>
    <cellStyle name="Comma 8 6 2 4 2 2" xfId="12859" xr:uid="{D0C307EC-7E58-4235-AE2F-1A25E3E88AC8}"/>
    <cellStyle name="Comma 8 6 2 4 2 2 2" xfId="50884" xr:uid="{E5289069-689A-47D9-97FF-61A59C17911C}"/>
    <cellStyle name="Comma 8 6 2 4 2 3" xfId="54400" xr:uid="{15250EBA-C55C-48F6-A056-651B16172216}"/>
    <cellStyle name="Comma 8 6 2 4 2 4" xfId="48015" xr:uid="{D8C64DFD-BBDC-4168-BCC1-ACC659DD8548}"/>
    <cellStyle name="Comma 8 6 2 4 3" xfId="11574" xr:uid="{8DE6AADB-5C66-4E44-AC2C-22583DA35186}"/>
    <cellStyle name="Comma 8 6 2 4 3 2" xfId="46220" xr:uid="{5459793F-CEC3-4199-A7BD-DD0CE75087B5}"/>
    <cellStyle name="Comma 8 6 2 4 4" xfId="49556" xr:uid="{77F46A22-1370-4124-B0C0-D8B7E7192ADF}"/>
    <cellStyle name="Comma 8 6 2 4 5" xfId="54401" xr:uid="{95FCA16A-9901-4706-B68B-5B61CFBD73DF}"/>
    <cellStyle name="Comma 8 6 2 4 6" xfId="24096" xr:uid="{F4B0319E-4F68-4B7B-82C7-C73ADEBD0EA9}"/>
    <cellStyle name="Comma 8 6 2 4 7" xfId="14482" xr:uid="{8994698A-847C-4ACE-8933-C6EE3CCD41D9}"/>
    <cellStyle name="Comma 8 6 2 5" xfId="7555" xr:uid="{7FD601EA-CC38-41AF-AE7C-2C630E4FBD12}"/>
    <cellStyle name="Comma 8 6 2 5 2" xfId="10047" xr:uid="{50241DB1-71C7-4AA4-94E1-B59B1D051DBE}"/>
    <cellStyle name="Comma 8 6 2 5 2 2" xfId="13353" xr:uid="{8F336757-3C0B-4EC1-AAED-3EFBC89C0999}"/>
    <cellStyle name="Comma 8 6 2 5 2 2 2" xfId="51346" xr:uid="{842B2EF4-4DE7-476A-AE70-CCA2A0DF2237}"/>
    <cellStyle name="Comma 8 6 2 5 2 3" xfId="54402" xr:uid="{AD7A012D-7A6C-46C7-95CA-042382D29F3A}"/>
    <cellStyle name="Comma 8 6 2 5 2 4" xfId="48560" xr:uid="{DDDDEA28-AFDA-4EBE-9C97-11F4B652B4D7}"/>
    <cellStyle name="Comma 8 6 2 5 3" xfId="12068" xr:uid="{D30E458C-9672-4EEF-A8DE-C66675A1F1C7}"/>
    <cellStyle name="Comma 8 6 2 5 3 2" xfId="46999" xr:uid="{F99C8E99-E22A-4592-A739-4CDFED669061}"/>
    <cellStyle name="Comma 8 6 2 5 4" xfId="50018" xr:uid="{92D51694-4FBD-4265-81FC-5415C02D5239}"/>
    <cellStyle name="Comma 8 6 2 5 5" xfId="54403" xr:uid="{0CEB5512-EDFB-4A42-B1B5-CF7A1FA55260}"/>
    <cellStyle name="Comma 8 6 2 5 6" xfId="38593" xr:uid="{BCFEEBE7-0411-4AD4-88B8-D33078F56975}"/>
    <cellStyle name="Comma 8 6 2 5 7" xfId="14935" xr:uid="{F4D93F1E-EFA4-4A86-BD55-11B4D9413EB1}"/>
    <cellStyle name="Comma 8 6 2 6" xfId="8221" xr:uid="{6BE6B3D5-F5E7-4091-A643-A97AEF91BF5C}"/>
    <cellStyle name="Comma 8 6 2 6 2" xfId="12677" xr:uid="{97980299-CF2B-4623-B6F4-C0445D05512A}"/>
    <cellStyle name="Comma 8 6 2 6 2 2" xfId="51602" xr:uid="{CC2B2843-6C6D-49F4-B0E9-107BB4A9B705}"/>
    <cellStyle name="Comma 8 6 2 6 2 3" xfId="54404" xr:uid="{31767AB4-0E46-4111-AB62-88F45900AB19}"/>
    <cellStyle name="Comma 8 6 2 6 2 4" xfId="48867" xr:uid="{2234CAB7-ED53-477D-B80A-430D5882CD34}"/>
    <cellStyle name="Comma 8 6 2 6 3" xfId="47296" xr:uid="{81155CDF-8F46-4696-A8DA-6D2CF7B03CA1}"/>
    <cellStyle name="Comma 8 6 2 6 4" xfId="50274" xr:uid="{B9B1E3C9-D6F9-4BEA-BB65-3E894EB5C02B}"/>
    <cellStyle name="Comma 8 6 2 6 5" xfId="54405" xr:uid="{1CE0CE42-BAE8-4B9F-9453-ABF48E008ED3}"/>
    <cellStyle name="Comma 8 6 2 6 6" xfId="39192" xr:uid="{F2C914D4-C402-401B-A5EF-31785FD98302}"/>
    <cellStyle name="Comma 8 6 2 7" xfId="8008" xr:uid="{9C0874B6-E71D-403D-9076-F2FC52B020FA}"/>
    <cellStyle name="Comma 8 6 2 7 2" xfId="12521" xr:uid="{B5A9B5D3-7ABF-4901-94B1-63616CDD7FEF}"/>
    <cellStyle name="Comma 8 6 2 7 2 2" xfId="47857" xr:uid="{F3F191EB-D493-4E72-B0EC-6415CD3BADB6}"/>
    <cellStyle name="Comma 8 6 2 7 3" xfId="50745" xr:uid="{2B19E7B7-E472-49B4-BF54-A9E5E5B87A84}"/>
    <cellStyle name="Comma 8 6 2 7 4" xfId="54406" xr:uid="{68823618-791E-4DBA-A9A9-BF984E61DCAC}"/>
    <cellStyle name="Comma 8 6 2 7 5" xfId="40416" xr:uid="{2D9920A3-EA6D-4610-A134-115192AAD7D0}"/>
    <cellStyle name="Comma 8 6 2 8" xfId="5905" xr:uid="{EA7A79D9-422F-4E2E-8054-550ADF9EACE7}"/>
    <cellStyle name="Comma 8 6 2 8 2" xfId="41058" xr:uid="{C0E6B8DE-8DF1-4F06-ADFF-D0882D7CF9D9}"/>
    <cellStyle name="Comma 8 6 2 9" xfId="11393" xr:uid="{A3813922-DE46-4039-BD98-D310AE3BEA95}"/>
    <cellStyle name="Comma 8 6 2 9 2" xfId="42270" xr:uid="{379515CD-7EDA-4E98-8712-4A547F7E09EC}"/>
    <cellStyle name="Comma 8 6 3" xfId="4509" xr:uid="{9C463922-9305-4415-98A5-718F964B35E8}"/>
    <cellStyle name="Comma 8 6 3 10" xfId="21145" xr:uid="{A6A699EA-8AAE-4C08-A5D4-A4E1F6FAD586}"/>
    <cellStyle name="Comma 8 6 3 11" xfId="14303" xr:uid="{AE3C4971-3641-4A73-BE0E-D2D133FA4486}"/>
    <cellStyle name="Comma 8 6 3 2" xfId="5766" xr:uid="{35FABDD5-88B0-40FD-94E8-B6ECCDCD0E61}"/>
    <cellStyle name="Comma 8 6 3 2 2" xfId="10360" xr:uid="{98FBFD34-D6E0-41C5-A959-8DE354516BF3}"/>
    <cellStyle name="Comma 8 6 3 2 2 2" xfId="13666" xr:uid="{78CEAA71-C5EF-44EB-95F8-926F2977C469}"/>
    <cellStyle name="Comma 8 6 3 2 2 2 2" xfId="51138" xr:uid="{7CFAE2CD-24C2-491C-92AD-2B13CBACB5A8}"/>
    <cellStyle name="Comma 8 6 3 2 2 3" xfId="54407" xr:uid="{1256613D-F3C0-4538-97D5-3C3812DFCA2A}"/>
    <cellStyle name="Comma 8 6 3 2 2 4" xfId="48320" xr:uid="{FBBCA773-3A97-4D1F-8933-A56904BB59E9}"/>
    <cellStyle name="Comma 8 6 3 2 3" xfId="7868" xr:uid="{9C4AE444-75B6-4194-ADA8-2504D099EDA0}"/>
    <cellStyle name="Comma 8 6 3 2 3 2" xfId="46778" xr:uid="{D0664FE5-5B1B-4280-9B93-1A7E0C6F7892}"/>
    <cellStyle name="Comma 8 6 3 2 4" xfId="12381" xr:uid="{4F40B5BA-404D-4F61-8BC1-E4A3ABB7A99B}"/>
    <cellStyle name="Comma 8 6 3 2 4 2" xfId="49810" xr:uid="{F5D39B33-3299-4B98-86B2-E86D3734578B}"/>
    <cellStyle name="Comma 8 6 3 2 5" xfId="54408" xr:uid="{D2553ADD-1415-446A-AE4F-433E5C7462D6}"/>
    <cellStyle name="Comma 8 6 3 2 6" xfId="39711" xr:uid="{D0AD392C-7934-49A8-8618-C6EAF0A5FFD5}"/>
    <cellStyle name="Comma 8 6 3 2 7" xfId="14795" xr:uid="{C31C4832-62C9-47D5-AA21-81B581DFBE39}"/>
    <cellStyle name="Comma 8 6 3 3" xfId="11250" xr:uid="{53818A16-ED06-4E6B-9EB8-367B3E7E3BB7}"/>
    <cellStyle name="Comma 8 6 3 3 2" xfId="13811" xr:uid="{84487854-11D0-43D0-A9CC-2CF64B2DFB7F}"/>
    <cellStyle name="Comma 8 6 3 3 2 2" xfId="51461" xr:uid="{71B7E523-4530-4939-A290-DA16C04CE0AB}"/>
    <cellStyle name="Comma 8 6 3 3 2 3" xfId="54409" xr:uid="{DC3961E5-088E-4E91-8BFA-1721D291BCAB}"/>
    <cellStyle name="Comma 8 6 3 3 2 4" xfId="48706" xr:uid="{6362C51A-CE44-498A-AD67-A8DFA9FDFC3F}"/>
    <cellStyle name="Comma 8 6 3 3 3" xfId="47143" xr:uid="{89651F75-9CD0-4CD9-AAAB-1BF903BFAF70}"/>
    <cellStyle name="Comma 8 6 3 3 4" xfId="50133" xr:uid="{E997E50D-6F7F-4CA5-894F-8C9B69A221B1}"/>
    <cellStyle name="Comma 8 6 3 3 5" xfId="54410" xr:uid="{B8A0BD4B-13E0-416A-A2D4-73A8D53B4723}"/>
    <cellStyle name="Comma 8 6 3 3 6" xfId="41564" xr:uid="{44D37598-F5E8-4D96-BE3F-08E740E4B37A}"/>
    <cellStyle name="Comma 8 6 3 3 7" xfId="15110" xr:uid="{B4610610-B8A1-40B0-90B5-8375E21F5E47}"/>
    <cellStyle name="Comma 8 6 3 4" xfId="9866" xr:uid="{23B09334-15ED-45C1-B0DF-78296B1B0813}"/>
    <cellStyle name="Comma 8 6 3 4 2" xfId="13172" xr:uid="{478ABA21-F16B-4DE5-AA56-77DF83D97213}"/>
    <cellStyle name="Comma 8 6 3 4 2 2" xfId="51856" xr:uid="{4A32FA5F-D47C-43A9-B6A6-B55BCF16C857}"/>
    <cellStyle name="Comma 8 6 3 4 2 3" xfId="54411" xr:uid="{ABEB37CD-0A78-41A0-8BCF-F24C5DE577F6}"/>
    <cellStyle name="Comma 8 6 3 4 2 4" xfId="49176" xr:uid="{02936E85-24E5-44FF-A052-0402FA0B055D}"/>
    <cellStyle name="Comma 8 6 3 4 3" xfId="47593" xr:uid="{CD67637A-20B2-4703-B46A-7E4D46A412DB}"/>
    <cellStyle name="Comma 8 6 3 4 4" xfId="50528" xr:uid="{ACCC2976-6E38-48CF-8C8B-5129D1633C3C}"/>
    <cellStyle name="Comma 8 6 3 4 5" xfId="54412" xr:uid="{DE67B679-3A5B-4C7E-84B3-F9BD1795C1CE}"/>
    <cellStyle name="Comma 8 6 3 4 6" xfId="43388" xr:uid="{7EF9F56C-8DD6-4CED-BA0B-FBB4D4FE9B11}"/>
    <cellStyle name="Comma 8 6 3 5" xfId="7364" xr:uid="{C95C456B-25D8-485A-AEDF-EA76A0794063}"/>
    <cellStyle name="Comma 8 6 3 5 2" xfId="47803" xr:uid="{6A9FBCEC-DAB4-4CA2-B22A-8FF5489801C2}"/>
    <cellStyle name="Comma 8 6 3 5 3" xfId="50702" xr:uid="{878B5E36-AB89-4589-8431-53A7BC183E8C}"/>
    <cellStyle name="Comma 8 6 3 5 4" xfId="54413" xr:uid="{7B3C7000-52E4-4976-B236-D43B9303C333}"/>
    <cellStyle name="Comma 8 6 3 5 5" xfId="44310" xr:uid="{988EFCC4-2330-4932-A0F6-946435672301}"/>
    <cellStyle name="Comma 8 6 3 6" xfId="11887" xr:uid="{1185E5B8-5AC6-49C2-80E6-7A898900FBB9}"/>
    <cellStyle name="Comma 8 6 3 6 2" xfId="44610" xr:uid="{18EFE88D-D1AC-4380-9E30-617DDF582ABC}"/>
    <cellStyle name="Comma 8 6 3 7" xfId="45746" xr:uid="{A3D258ED-B40E-4182-8EC4-DC462D13DDBC}"/>
    <cellStyle name="Comma 8 6 3 8" xfId="49374" xr:uid="{BF08235F-E983-48AE-A66C-D45771C3CA4F}"/>
    <cellStyle name="Comma 8 6 3 9" xfId="54414" xr:uid="{1162891D-BAE0-47E2-B90E-326B078837E4}"/>
    <cellStyle name="Comma 8 6 4" xfId="5590" xr:uid="{311C3833-008F-402D-9C9C-ACB28760C84B}"/>
    <cellStyle name="Comma 8 6 4 2" xfId="7692" xr:uid="{58367901-71A6-48EE-97BC-93DE4173AAD7}"/>
    <cellStyle name="Comma 8 6 4 2 2" xfId="10184" xr:uid="{6615C8F8-32F7-48C6-BA20-0DEE8D19DC8D}"/>
    <cellStyle name="Comma 8 6 4 2 2 2" xfId="13490" xr:uid="{E4E2FBB7-A837-4748-993C-7C01F99C5097}"/>
    <cellStyle name="Comma 8 6 4 2 2 2 2" xfId="51716" xr:uid="{B2EC3476-63F0-4C93-BB3A-30D28E3C6015}"/>
    <cellStyle name="Comma 8 6 4 2 2 3" xfId="54415" xr:uid="{84C6AD88-0107-4740-8810-35C1B05AEACC}"/>
    <cellStyle name="Comma 8 6 4 2 2 4" xfId="49004" xr:uid="{82B968FB-9458-45FD-8429-56C2F2BC2BBA}"/>
    <cellStyle name="Comma 8 6 4 2 3" xfId="12205" xr:uid="{17874A5B-5E83-4BF8-AEEC-E5919630703E}"/>
    <cellStyle name="Comma 8 6 4 2 3 2" xfId="47428" xr:uid="{70BAC1DB-28D8-452C-8BF9-C01679F2066C}"/>
    <cellStyle name="Comma 8 6 4 2 4" xfId="50388" xr:uid="{E55E697C-CDAC-408B-A244-4851E7764B5E}"/>
    <cellStyle name="Comma 8 6 4 2 5" xfId="54416" xr:uid="{FD569305-6640-4AB7-9B56-D63C6C534D08}"/>
    <cellStyle name="Comma 8 6 4 2 6" xfId="43879" xr:uid="{8DD7560F-3D2A-4380-96D2-4E1C331DA0DD}"/>
    <cellStyle name="Comma 8 6 4 2 7" xfId="14619" xr:uid="{1B347CA2-6E54-4166-8D08-CC8BFD0C0EB9}"/>
    <cellStyle name="Comma 8 6 4 3" xfId="9690" xr:uid="{7E8140F2-282E-446B-BF63-D84E3621CDD5}"/>
    <cellStyle name="Comma 8 6 4 3 2" xfId="12996" xr:uid="{05BD2D34-FD43-4142-AC67-EC47FD31DF7D}"/>
    <cellStyle name="Comma 8 6 4 3 2 2" xfId="50998" xr:uid="{131F6557-E459-4EFD-A7A4-DEB005CEFD11}"/>
    <cellStyle name="Comma 8 6 4 3 3" xfId="54417" xr:uid="{6D8477F8-91C8-45A0-A048-C0977A3EEEC5}"/>
    <cellStyle name="Comma 8 6 4 3 4" xfId="48149" xr:uid="{7013615C-A4AB-451B-8467-0EB233B1FDD1}"/>
    <cellStyle name="Comma 8 6 4 4" xfId="7186" xr:uid="{B5A7DE8B-6F42-4378-AB60-2EC309C37745}"/>
    <cellStyle name="Comma 8 6 4 4 2" xfId="46637" xr:uid="{22963262-3ACE-4879-804F-BC667062EB4F}"/>
    <cellStyle name="Comma 8 6 4 5" xfId="11711" xr:uid="{06CAE7CD-7206-4630-A3A3-A90341F2C07B}"/>
    <cellStyle name="Comma 8 6 4 5 2" xfId="49670" xr:uid="{71E97D62-5B4E-4895-8CA5-4661F3713929}"/>
    <cellStyle name="Comma 8 6 4 6" xfId="54418" xr:uid="{941E5EC6-F6B7-4A99-B7E4-3D02411CCB82}"/>
    <cellStyle name="Comma 8 6 4 7" xfId="20364" xr:uid="{FAC3BB0D-00C7-46DA-A8E7-06425C2734E0}"/>
    <cellStyle name="Comma 8 6 4 8" xfId="14127" xr:uid="{3E2A9B26-567F-4546-8CED-653D36E17E0A}"/>
    <cellStyle name="Comma 8 6 5" xfId="6580" xr:uid="{D60E66C1-6E67-4409-8227-F8BD913D5EE9}"/>
    <cellStyle name="Comma 8 6 5 2" xfId="9552" xr:uid="{A92A3369-F358-4055-90B6-1BF898D8A3C8}"/>
    <cellStyle name="Comma 8 6 5 2 2" xfId="12858" xr:uid="{AA887BCE-54EE-4147-960B-73D83906774B}"/>
    <cellStyle name="Comma 8 6 5 2 2 2" xfId="50883" xr:uid="{7C1F1938-587C-495E-AC36-7D39CCC4D4E2}"/>
    <cellStyle name="Comma 8 6 5 2 3" xfId="54419" xr:uid="{5BC63145-53B1-40A1-98E6-3D05DBF3AC6B}"/>
    <cellStyle name="Comma 8 6 5 2 4" xfId="48014" xr:uid="{B160E186-802D-4FA4-A6E2-FF45DE40B338}"/>
    <cellStyle name="Comma 8 6 5 3" xfId="11573" xr:uid="{4856AF14-2A38-4E6D-A804-FA896C434868}"/>
    <cellStyle name="Comma 8 6 5 3 2" xfId="46219" xr:uid="{A888B835-97BF-42EF-BAE0-2ECED43697D2}"/>
    <cellStyle name="Comma 8 6 5 4" xfId="49555" xr:uid="{4E44502C-F4BF-4732-8853-F48F2C65981B}"/>
    <cellStyle name="Comma 8 6 5 5" xfId="54420" xr:uid="{EFFE8ED0-9156-49B8-91D9-F1715D9A17CC}"/>
    <cellStyle name="Comma 8 6 5 6" xfId="24095" xr:uid="{ECD7D0B6-80F1-4FF3-B63D-C1F65C17940F}"/>
    <cellStyle name="Comma 8 6 5 7" xfId="14481" xr:uid="{22FF1644-C9EC-443F-8BA6-56EFD59279F2}"/>
    <cellStyle name="Comma 8 6 6" xfId="7554" xr:uid="{5DC4E90D-BA17-4C09-99AB-658B413EEEAA}"/>
    <cellStyle name="Comma 8 6 6 2" xfId="10046" xr:uid="{00EF7C3C-DB63-4D23-B0C4-E8D625BFF2F6}"/>
    <cellStyle name="Comma 8 6 6 2 2" xfId="13352" xr:uid="{E6FD4B5E-0432-416E-A8E6-0AE00CF7EE3A}"/>
    <cellStyle name="Comma 8 6 6 2 2 2" xfId="51345" xr:uid="{7A2F7AB2-D9A0-42DF-A93E-3255A58D564D}"/>
    <cellStyle name="Comma 8 6 6 2 3" xfId="54421" xr:uid="{B3D5023C-B201-4AC6-B3EE-19A0495A609A}"/>
    <cellStyle name="Comma 8 6 6 2 4" xfId="48559" xr:uid="{F685CCCD-BF0F-4D48-9044-0FAF27440E6A}"/>
    <cellStyle name="Comma 8 6 6 3" xfId="12067" xr:uid="{723F360D-C9B5-446F-8356-DDE39A3501CC}"/>
    <cellStyle name="Comma 8 6 6 3 2" xfId="46998" xr:uid="{0746AAEF-14AD-4FFC-BEE0-0541E32D2458}"/>
    <cellStyle name="Comma 8 6 6 4" xfId="50017" xr:uid="{FAB79F3B-5DC7-48C0-AE2D-7DB1D568EDD9}"/>
    <cellStyle name="Comma 8 6 6 5" xfId="54422" xr:uid="{8FBBCEA4-D88A-4BC8-8066-938EFDC88B72}"/>
    <cellStyle name="Comma 8 6 6 6" xfId="38592" xr:uid="{048497BB-53FE-4254-B623-647AD6EB46C3}"/>
    <cellStyle name="Comma 8 6 6 7" xfId="14934" xr:uid="{AEAF2B30-765E-4F86-A0BC-32C432CA606D}"/>
    <cellStyle name="Comma 8 6 7" xfId="8220" xr:uid="{7E2C3B4E-AEF0-426F-BC36-708CE027E8DC}"/>
    <cellStyle name="Comma 8 6 7 2" xfId="12676" xr:uid="{C73D0ECD-D85F-4E61-A881-0B5FE1E71469}"/>
    <cellStyle name="Comma 8 6 7 2 2" xfId="51601" xr:uid="{B7F61380-69E0-4064-8DAB-FFE28CE9968F}"/>
    <cellStyle name="Comma 8 6 7 2 3" xfId="54423" xr:uid="{B9B757FB-3A42-4CDA-BBDB-6E77948D2D13}"/>
    <cellStyle name="Comma 8 6 7 2 4" xfId="48866" xr:uid="{1B47605E-2FA6-4D71-B79A-07D93FC0DA0A}"/>
    <cellStyle name="Comma 8 6 7 3" xfId="47295" xr:uid="{D9FBFE30-740F-4407-8F5A-A77257D56F85}"/>
    <cellStyle name="Comma 8 6 7 4" xfId="50273" xr:uid="{1AFDE1EC-C825-42AC-A561-A930BD2D5878}"/>
    <cellStyle name="Comma 8 6 7 5" xfId="54424" xr:uid="{7DCAFA8B-DCC6-408D-B40C-FD487E8DFB22}"/>
    <cellStyle name="Comma 8 6 7 6" xfId="39120" xr:uid="{104FEC2A-8B8B-4283-8051-1DC54B76D8AB}"/>
    <cellStyle name="Comma 8 6 8" xfId="8007" xr:uid="{B29371D2-08B3-42FF-B398-CC166C835899}"/>
    <cellStyle name="Comma 8 6 8 2" xfId="12520" xr:uid="{B47B182C-9A4F-4520-ADA2-5160476FDD88}"/>
    <cellStyle name="Comma 8 6 8 2 2" xfId="47721" xr:uid="{AD45A593-A30B-4304-A322-8FF986439AEE}"/>
    <cellStyle name="Comma 8 6 8 3" xfId="50629" xr:uid="{B82BD48C-6F55-4DD1-867E-786B4A4BF05F}"/>
    <cellStyle name="Comma 8 6 8 4" xfId="54425" xr:uid="{5858F445-B394-4C6E-B9B1-9EE3B2D82965}"/>
    <cellStyle name="Comma 8 6 8 5" xfId="40415" xr:uid="{BD39BCB2-B3EF-4B7C-9FDC-E1CD0CF84949}"/>
    <cellStyle name="Comma 8 6 9" xfId="5904" xr:uid="{FABD9171-E568-48CC-899F-CB34D253E398}"/>
    <cellStyle name="Comma 8 6 9 2" xfId="41057" xr:uid="{846E97E4-16AC-42E6-832D-6CBBE9A906AD}"/>
    <cellStyle name="Comma 8 7" xfId="1835" xr:uid="{CE74AF21-B824-4902-800A-2440A2C8906F}"/>
    <cellStyle name="Comma 8 7 10" xfId="42784" xr:uid="{8A7DFEBB-0451-4452-B11A-D90124592407}"/>
    <cellStyle name="Comma 8 7 11" xfId="43608" xr:uid="{3FED780F-7E3E-4383-A45B-C69F2692B6A2}"/>
    <cellStyle name="Comma 8 7 12" xfId="44471" xr:uid="{2D5382C7-0C1C-4B37-AC2E-9F0BD719C350}"/>
    <cellStyle name="Comma 8 7 13" xfId="45662" xr:uid="{32E28D23-3D63-4ED2-BA9A-BD2EBE364FD6}"/>
    <cellStyle name="Comma 8 7 14" xfId="49291" xr:uid="{0480F329-24D3-4B8E-8AE6-5443083FE5AB}"/>
    <cellStyle name="Comma 8 7 15" xfId="54426" xr:uid="{CC0347F6-E61D-4299-854B-4F730DB141F3}"/>
    <cellStyle name="Comma 8 7 16" xfId="17137" xr:uid="{488EC012-0090-4DAD-9027-B087880B4625}"/>
    <cellStyle name="Comma 8 7 17" xfId="13991" xr:uid="{28822170-0523-434B-BFC8-C7FDDBB24B6F}"/>
    <cellStyle name="Comma 8 7 2" xfId="4511" xr:uid="{39740443-7FCC-440D-8ED9-7F4EE06C340F}"/>
    <cellStyle name="Comma 8 7 2 10" xfId="21132" xr:uid="{45BEAC11-1B01-4384-9D9F-A6A504F9D944}"/>
    <cellStyle name="Comma 8 7 2 11" xfId="14305" xr:uid="{4E05105B-05EC-4313-908D-C49B820FC8F8}"/>
    <cellStyle name="Comma 8 7 2 2" xfId="5768" xr:uid="{372EAE29-D2D1-4530-9EC5-B030E9D2D828}"/>
    <cellStyle name="Comma 8 7 2 2 2" xfId="10362" xr:uid="{922B41BE-747C-40C8-B265-D44615CFB6EF}"/>
    <cellStyle name="Comma 8 7 2 2 2 2" xfId="13668" xr:uid="{73F3CCDF-52DD-4A9C-A215-D4483A326E38}"/>
    <cellStyle name="Comma 8 7 2 2 2 2 2" xfId="51140" xr:uid="{41828D8C-32A3-426E-BE04-4549A14CEEFA}"/>
    <cellStyle name="Comma 8 7 2 2 2 3" xfId="54427" xr:uid="{37EB75EB-25BB-4975-9C93-9F9D0FA5879C}"/>
    <cellStyle name="Comma 8 7 2 2 2 4" xfId="48322" xr:uid="{0C4EEB5C-5479-46F0-B16B-DC912ADFF10A}"/>
    <cellStyle name="Comma 8 7 2 2 3" xfId="7870" xr:uid="{EB52E909-D0C4-42F5-824E-CEB87FA80A0D}"/>
    <cellStyle name="Comma 8 7 2 2 3 2" xfId="46780" xr:uid="{64DB3912-9A22-41A6-B721-FA4591A9DDCF}"/>
    <cellStyle name="Comma 8 7 2 2 4" xfId="12383" xr:uid="{76881989-F806-4F03-9ADB-EF8571600B71}"/>
    <cellStyle name="Comma 8 7 2 2 4 2" xfId="49812" xr:uid="{1C2744E4-CE2F-4F6A-B386-73A8F763F8F5}"/>
    <cellStyle name="Comma 8 7 2 2 5" xfId="54428" xr:uid="{80D68DCA-1122-483D-A8CF-EBB9CAD53307}"/>
    <cellStyle name="Comma 8 7 2 2 6" xfId="39698" xr:uid="{F19352A3-3A1D-4BDF-A773-A133FDB2FEF3}"/>
    <cellStyle name="Comma 8 7 2 2 7" xfId="14797" xr:uid="{ADB35801-D97C-4A5C-A76B-57B26B34AB74}"/>
    <cellStyle name="Comma 8 7 2 3" xfId="11252" xr:uid="{FCE31CAA-DE72-437E-A9C3-B1825EB1BB82}"/>
    <cellStyle name="Comma 8 7 2 3 2" xfId="13812" xr:uid="{BAD03868-9194-43E0-9C45-6F04D0388480}"/>
    <cellStyle name="Comma 8 7 2 3 2 2" xfId="51463" xr:uid="{DA06DEB4-CFA0-453C-8167-37DB031AD4CD}"/>
    <cellStyle name="Comma 8 7 2 3 2 3" xfId="54429" xr:uid="{68780F2B-EA57-4936-AE02-527C6C259E2C}"/>
    <cellStyle name="Comma 8 7 2 3 2 4" xfId="48708" xr:uid="{3DE72FEF-1B8B-4EF5-822F-55E7A35D6C59}"/>
    <cellStyle name="Comma 8 7 2 3 3" xfId="47145" xr:uid="{E861E15C-61E1-4282-9784-3099133B0C80}"/>
    <cellStyle name="Comma 8 7 2 3 4" xfId="50135" xr:uid="{9916F146-9606-4AC2-B511-E4FBA09E6EAE}"/>
    <cellStyle name="Comma 8 7 2 3 5" xfId="54430" xr:uid="{38F9296C-8F9F-4723-8E45-DCD1A5222772}"/>
    <cellStyle name="Comma 8 7 2 3 6" xfId="41551" xr:uid="{4C6D9FB1-B6A0-4F24-B25F-BDFF03B792E6}"/>
    <cellStyle name="Comma 8 7 2 3 7" xfId="15112" xr:uid="{F46A6C11-5F50-4F34-B0F0-D7913F839D95}"/>
    <cellStyle name="Comma 8 7 2 4" xfId="9868" xr:uid="{212462AC-9976-4117-8D37-6825BE9A37DD}"/>
    <cellStyle name="Comma 8 7 2 4 2" xfId="13174" xr:uid="{0A7871D7-3AA6-4E60-BCEC-C500CF80ECEF}"/>
    <cellStyle name="Comma 8 7 2 4 2 2" xfId="51858" xr:uid="{BBF3BB20-55B3-4057-BDCE-6636523C6B53}"/>
    <cellStyle name="Comma 8 7 2 4 2 3" xfId="54431" xr:uid="{9841AD18-A380-4CBA-B8FA-6FB931AEE355}"/>
    <cellStyle name="Comma 8 7 2 4 2 4" xfId="49178" xr:uid="{4A88B23B-F7B0-4B15-96C8-D119CECEF3E8}"/>
    <cellStyle name="Comma 8 7 2 4 3" xfId="47595" xr:uid="{101C197E-D6BA-4801-9D23-4F80185B1AB7}"/>
    <cellStyle name="Comma 8 7 2 4 4" xfId="50530" xr:uid="{EDA5A5E3-34C8-4B09-9B88-7F02598505D3}"/>
    <cellStyle name="Comma 8 7 2 4 5" xfId="54432" xr:uid="{FE837E6A-51E8-4E5C-AE50-7E6FF693CA63}"/>
    <cellStyle name="Comma 8 7 2 4 6" xfId="43375" xr:uid="{55F97BA9-89DA-4221-B337-59D18D4C6B75}"/>
    <cellStyle name="Comma 8 7 2 5" xfId="7366" xr:uid="{ED972868-4E0A-4645-BF6E-B86485E498CF}"/>
    <cellStyle name="Comma 8 7 2 5 2" xfId="47848" xr:uid="{E81A5E45-C21D-4149-A883-EF11ACC952D8}"/>
    <cellStyle name="Comma 8 7 2 5 3" xfId="50736" xr:uid="{6AD64BDA-7514-4CBB-A9F1-3C9B080FCE42}"/>
    <cellStyle name="Comma 8 7 2 5 4" xfId="54433" xr:uid="{C0148CB0-AE1E-4A1D-9ACE-7630A1291B74}"/>
    <cellStyle name="Comma 8 7 2 5 5" xfId="44312" xr:uid="{A60C2679-C2FB-4BCE-8374-50D71BBF9EC9}"/>
    <cellStyle name="Comma 8 7 2 6" xfId="11889" xr:uid="{34EF4521-3CB9-440A-8566-87E85386F328}"/>
    <cellStyle name="Comma 8 7 2 6 2" xfId="44612" xr:uid="{AD1F0D80-6D02-43B9-A07C-5F8153FE9F8C}"/>
    <cellStyle name="Comma 8 7 2 7" xfId="45780" xr:uid="{C3AD71F1-0A06-4DB7-A245-354AFF8AEA81}"/>
    <cellStyle name="Comma 8 7 2 8" xfId="49408" xr:uid="{42D9BC1A-C85E-491C-8ECB-77B81DA8CF41}"/>
    <cellStyle name="Comma 8 7 2 9" xfId="54434" xr:uid="{483F9465-4A22-4627-A8B5-5B48ECF79CDF}"/>
    <cellStyle name="Comma 8 7 3" xfId="5592" xr:uid="{5397411B-0115-4393-AB9B-13613FB2C340}"/>
    <cellStyle name="Comma 8 7 3 2" xfId="7694" xr:uid="{6FBF0967-AA02-429E-9867-02FEF106BF08}"/>
    <cellStyle name="Comma 8 7 3 2 2" xfId="10186" xr:uid="{55627272-1D85-4566-9A00-48CD59045F57}"/>
    <cellStyle name="Comma 8 7 3 2 2 2" xfId="13492" xr:uid="{49168A2A-8060-4CB0-B372-4A2B67F4351D}"/>
    <cellStyle name="Comma 8 7 3 2 2 2 2" xfId="51718" xr:uid="{DAB07B8D-365E-49FE-9D28-5C298630DCB4}"/>
    <cellStyle name="Comma 8 7 3 2 2 3" xfId="54435" xr:uid="{7182B816-BFAC-4FF6-A4EA-B8D754082719}"/>
    <cellStyle name="Comma 8 7 3 2 2 4" xfId="49006" xr:uid="{49524E15-4823-45B1-B353-7464448A2437}"/>
    <cellStyle name="Comma 8 7 3 2 3" xfId="12207" xr:uid="{ECE5D01E-5894-4927-8785-8250BA7167E2}"/>
    <cellStyle name="Comma 8 7 3 2 3 2" xfId="47430" xr:uid="{A922A438-08BE-486A-A3B9-9AC3DB5F335A}"/>
    <cellStyle name="Comma 8 7 3 2 4" xfId="50390" xr:uid="{3A7D2DB4-D7E3-46D6-92DE-6E5FFACB04DB}"/>
    <cellStyle name="Comma 8 7 3 2 5" xfId="54436" xr:uid="{8264C254-D411-4C18-8B39-E83FB9CBC2B9}"/>
    <cellStyle name="Comma 8 7 3 2 6" xfId="43881" xr:uid="{17BAF7B9-6137-4DC3-ABAD-98378B294BDE}"/>
    <cellStyle name="Comma 8 7 3 2 7" xfId="14621" xr:uid="{33BDD4C8-3703-46DD-AB08-89EE6F565DFB}"/>
    <cellStyle name="Comma 8 7 3 3" xfId="9692" xr:uid="{98FB6C95-8C72-4AF7-86B4-35FD3A618EE8}"/>
    <cellStyle name="Comma 8 7 3 3 2" xfId="12998" xr:uid="{CC6EE31C-D6C9-4CC5-9916-D825FA5FEA10}"/>
    <cellStyle name="Comma 8 7 3 3 2 2" xfId="51000" xr:uid="{80980927-4EEA-4B4D-BDCB-29D17CAF9981}"/>
    <cellStyle name="Comma 8 7 3 3 3" xfId="54437" xr:uid="{AAF8F6CE-3988-4F2D-9370-147BC437B040}"/>
    <cellStyle name="Comma 8 7 3 3 4" xfId="48151" xr:uid="{32630C5D-FC18-4A2D-A335-76FB852A44DB}"/>
    <cellStyle name="Comma 8 7 3 4" xfId="7188" xr:uid="{DEAC7B5C-1B6F-45E0-A0ED-C6522A40D429}"/>
    <cellStyle name="Comma 8 7 3 4 2" xfId="46639" xr:uid="{462C0D1D-B8D7-4630-9FE0-23E80EFB9B40}"/>
    <cellStyle name="Comma 8 7 3 5" xfId="11713" xr:uid="{04EA9F18-0027-4EBE-90BA-D2B6773A4BCA}"/>
    <cellStyle name="Comma 8 7 3 5 2" xfId="49672" xr:uid="{2C1A3F11-2738-4826-A9A3-4258A1FF6DC2}"/>
    <cellStyle name="Comma 8 7 3 6" xfId="54438" xr:uid="{35DBB4B8-51A2-422F-9748-1D72A4B9EEE6}"/>
    <cellStyle name="Comma 8 7 3 7" xfId="20351" xr:uid="{40CFFA87-AC9B-4C12-9E7D-DE633DB7F70C}"/>
    <cellStyle name="Comma 8 7 3 8" xfId="14129" xr:uid="{824F23C2-8C8D-4CB7-994E-A65F3BE2193C}"/>
    <cellStyle name="Comma 8 7 4" xfId="6582" xr:uid="{E4386517-6E4A-4C78-AC17-512037DED195}"/>
    <cellStyle name="Comma 8 7 4 2" xfId="9554" xr:uid="{F984FCA0-9E2B-4360-A475-F6471B5B1679}"/>
    <cellStyle name="Comma 8 7 4 2 2" xfId="12860" xr:uid="{B122CAAB-8A7B-4F9F-A21B-771A88863109}"/>
    <cellStyle name="Comma 8 7 4 2 2 2" xfId="50885" xr:uid="{E009C9D1-92E7-4A30-AB88-E6F7A5F3E2C8}"/>
    <cellStyle name="Comma 8 7 4 2 3" xfId="54439" xr:uid="{B27E85BD-3554-4A14-9453-3D514B35DC1A}"/>
    <cellStyle name="Comma 8 7 4 2 4" xfId="48016" xr:uid="{10F01AE2-84E3-4954-A23F-4EE87A09F259}"/>
    <cellStyle name="Comma 8 7 4 3" xfId="11575" xr:uid="{C4937118-4F60-4DED-B1E1-A7834FE7F00C}"/>
    <cellStyle name="Comma 8 7 4 3 2" xfId="46221" xr:uid="{87207D11-3345-4CB9-8CF5-AEEE28723CF6}"/>
    <cellStyle name="Comma 8 7 4 4" xfId="49557" xr:uid="{3045B7BF-ADC4-4C95-86CA-754CBB70E01D}"/>
    <cellStyle name="Comma 8 7 4 5" xfId="54440" xr:uid="{D187EAD1-4B45-4C86-87A5-21ABF8508985}"/>
    <cellStyle name="Comma 8 7 4 6" xfId="24098" xr:uid="{B6084A1F-CFF7-4810-9B3E-75DF63E4F9D4}"/>
    <cellStyle name="Comma 8 7 4 7" xfId="14483" xr:uid="{A097B551-BD9D-4E95-85E4-21C5BDB12821}"/>
    <cellStyle name="Comma 8 7 5" xfId="7556" xr:uid="{F68AFEE5-031E-4A0B-8CBB-BBEC3ED0BEE5}"/>
    <cellStyle name="Comma 8 7 5 2" xfId="10048" xr:uid="{E969069A-E470-4A81-9A6B-59DCEBAC7366}"/>
    <cellStyle name="Comma 8 7 5 2 2" xfId="13354" xr:uid="{C395B0F9-962C-4CEB-9C10-E03A8DF5D3A4}"/>
    <cellStyle name="Comma 8 7 5 2 2 2" xfId="51347" xr:uid="{D180C79F-9AA9-4DB9-9DCD-059B6B9ECAF5}"/>
    <cellStyle name="Comma 8 7 5 2 3" xfId="54441" xr:uid="{F0C8B671-AFD6-4867-9DFF-7ACC4DE8F04B}"/>
    <cellStyle name="Comma 8 7 5 2 4" xfId="48561" xr:uid="{92DC6F2E-3F00-4B11-8EC1-BD72BCC75071}"/>
    <cellStyle name="Comma 8 7 5 3" xfId="12069" xr:uid="{5CED4A23-0A9D-4BF7-B8EE-ED4A55F45CF3}"/>
    <cellStyle name="Comma 8 7 5 3 2" xfId="47000" xr:uid="{CAD2BBE2-79D4-43F8-94FC-558FE527935E}"/>
    <cellStyle name="Comma 8 7 5 4" xfId="50019" xr:uid="{CC65B716-4F3B-4A46-B919-9BFD5C924F62}"/>
    <cellStyle name="Comma 8 7 5 5" xfId="54442" xr:uid="{AD32FF4A-E232-4E69-9BAA-9E3481ADA6A7}"/>
    <cellStyle name="Comma 8 7 5 6" xfId="38595" xr:uid="{6A3CF7FA-A10E-4119-B39E-16A3290D4D5E}"/>
    <cellStyle name="Comma 8 7 5 7" xfId="14936" xr:uid="{C76BC66C-9FC2-4107-B63D-6D5CB63F7D2B}"/>
    <cellStyle name="Comma 8 7 6" xfId="8222" xr:uid="{D7E040F3-1D2A-4249-9937-B272CA5B6723}"/>
    <cellStyle name="Comma 8 7 6 2" xfId="12678" xr:uid="{B57E49B0-1AEB-4101-AD77-D611E913F924}"/>
    <cellStyle name="Comma 8 7 6 2 2" xfId="51603" xr:uid="{28BDC4EC-49F5-4DB6-9E7B-7B66195CFA63}"/>
    <cellStyle name="Comma 8 7 6 2 3" xfId="54443" xr:uid="{4CA588BC-3975-4B97-A3FA-68BDD02F083F}"/>
    <cellStyle name="Comma 8 7 6 2 4" xfId="48868" xr:uid="{F8AECA12-19EA-4BC0-8284-EE5A58D9DE23}"/>
    <cellStyle name="Comma 8 7 6 3" xfId="47297" xr:uid="{74F0E266-2501-4983-AAF5-A5EEE9F7CF89}"/>
    <cellStyle name="Comma 8 7 6 4" xfId="50275" xr:uid="{5E887529-AE6E-4847-9742-CEC0E8F30DBD}"/>
    <cellStyle name="Comma 8 7 6 5" xfId="54444" xr:uid="{80D94D92-3593-4179-A2A5-D35BD5740428}"/>
    <cellStyle name="Comma 8 7 6 6" xfId="39107" xr:uid="{E045A674-397C-4033-A76E-EF8FD0D2F70A}"/>
    <cellStyle name="Comma 8 7 7" xfId="8009" xr:uid="{99B3A7D6-C76A-4DA4-B244-3C0CC1E3F3E4}"/>
    <cellStyle name="Comma 8 7 7 2" xfId="12522" xr:uid="{0E2D5BF8-46EA-4D04-BF59-11AB8EE34332}"/>
    <cellStyle name="Comma 8 7 7 2 2" xfId="47711" xr:uid="{F053A39D-4305-4817-8BDD-9CB6A6C5568A}"/>
    <cellStyle name="Comma 8 7 7 3" xfId="50619" xr:uid="{F4CE4B2F-F22B-43A1-B97B-2D90D1D1FF6E}"/>
    <cellStyle name="Comma 8 7 7 4" xfId="54445" xr:uid="{A4FA73A5-DC59-4B3A-B94D-822BE36E13C5}"/>
    <cellStyle name="Comma 8 7 7 5" xfId="40418" xr:uid="{AC543186-91B1-49F2-9E6A-61D89775A3BA}"/>
    <cellStyle name="Comma 8 7 8" xfId="5906" xr:uid="{23227D96-F4D1-4FCB-87E2-B391612152B9}"/>
    <cellStyle name="Comma 8 7 8 2" xfId="41060" xr:uid="{848F6541-6015-4852-9A8E-62DEF61E80DC}"/>
    <cellStyle name="Comma 8 7 9" xfId="11394" xr:uid="{1165BB84-F608-4E10-AB38-2CA773D40017}"/>
    <cellStyle name="Comma 8 7 9 2" xfId="42272" xr:uid="{31EC8157-6B99-47F8-ADDD-9BCA5587D437}"/>
    <cellStyle name="Comma 8 8" xfId="4487" xr:uid="{2C1E1842-395A-42C4-9B39-4C30581C3036}"/>
    <cellStyle name="Comma 8 8 10" xfId="42859" xr:uid="{60257D4C-40EA-424C-9DED-8E4D3C2F57BE}"/>
    <cellStyle name="Comma 8 8 11" xfId="44288" xr:uid="{6025DFFD-B297-44BD-AA66-D4FFBEC8E970}"/>
    <cellStyle name="Comma 8 8 12" xfId="44588" xr:uid="{125C6E5D-B989-4668-BA70-15FE8321E018}"/>
    <cellStyle name="Comma 8 8 13" xfId="45736" xr:uid="{295966CD-F952-416B-8859-CF0D2892B03F}"/>
    <cellStyle name="Comma 8 8 14" xfId="49364" xr:uid="{23DD190A-9D06-4C18-9A22-51CD775DB498}"/>
    <cellStyle name="Comma 8 8 15" xfId="54446" xr:uid="{87EE5793-DE82-4F88-BEEB-533A2680BD1C}"/>
    <cellStyle name="Comma 8 8 16" xfId="19765" xr:uid="{96783820-AFBF-43C0-8AF5-989593BD1544}"/>
    <cellStyle name="Comma 8 8 17" xfId="14281" xr:uid="{55CB82E2-D5F3-42B5-A26D-43A91045FC7F}"/>
    <cellStyle name="Comma 8 8 2" xfId="5744" xr:uid="{EA08574B-C6C0-4D1F-A24A-B1ED791C56E5}"/>
    <cellStyle name="Comma 8 8 2 10" xfId="45526" xr:uid="{5F2E4739-7CFB-4860-B775-2A1707306956}"/>
    <cellStyle name="Comma 8 8 2 11" xfId="46756" xr:uid="{308F7C1D-3EC5-483B-8777-A4752C680888}"/>
    <cellStyle name="Comma 8 8 2 12" xfId="49788" xr:uid="{543FF448-AA3D-4310-9875-08AA9FEF1131}"/>
    <cellStyle name="Comma 8 8 2 13" xfId="54447" xr:uid="{BFAD8189-4FFC-42E3-835F-F90D7C453935}"/>
    <cellStyle name="Comma 8 8 2 14" xfId="23382" xr:uid="{E17FA1B2-FA72-46B2-BF1E-09C9B078FC67}"/>
    <cellStyle name="Comma 8 8 2 15" xfId="14773" xr:uid="{962306F4-8E92-44D9-AA32-817A598BD12C}"/>
    <cellStyle name="Comma 8 8 2 2" xfId="10338" xr:uid="{8493EAE9-749D-46DC-B4C4-D98E840EFAD6}"/>
    <cellStyle name="Comma 8 8 2 2 2" xfId="13644" xr:uid="{7D53486A-EACB-4D1F-A46C-22B09B6A953E}"/>
    <cellStyle name="Comma 8 8 2 2 2 2" xfId="48298" xr:uid="{1E0D3504-CB6D-4CD0-9EC8-F87DF39767CE}"/>
    <cellStyle name="Comma 8 8 2 2 3" xfId="51116" xr:uid="{C4C7F1C2-B4A0-45BF-9B0F-04509563A477}"/>
    <cellStyle name="Comma 8 8 2 2 4" xfId="54448" xr:uid="{F79F94D1-8CB9-4FD2-95F3-103A2145C33F}"/>
    <cellStyle name="Comma 8 8 2 2 5" xfId="24100" xr:uid="{0A75CFE2-5B6A-480D-93E5-0DAC8CC65916}"/>
    <cellStyle name="Comma 8 8 2 3" xfId="7846" xr:uid="{A7FC8009-ABE0-459D-94F1-F8222735BE1A}"/>
    <cellStyle name="Comma 8 8 2 3 2" xfId="38597" xr:uid="{80728A4C-5F25-4DAE-AD7E-266627D3227D}"/>
    <cellStyle name="Comma 8 8 2 4" xfId="12359" xr:uid="{00FB3B3D-4C23-4146-BEF4-A91E16F99CC7}"/>
    <cellStyle name="Comma 8 8 2 4 2" xfId="39773" xr:uid="{E61F9B92-99E2-4BA8-B902-D121F8626B33}"/>
    <cellStyle name="Comma 8 8 2 5" xfId="40420" xr:uid="{747B1830-B4FB-4962-A928-9F33D218E6CF}"/>
    <cellStyle name="Comma 8 8 2 6" xfId="41062" xr:uid="{D0FC7508-C5E8-445B-99B0-6BE22AD22766}"/>
    <cellStyle name="Comma 8 8 2 7" xfId="41626" xr:uid="{4B22CCF7-FEEA-4017-98B9-85F0293CE9E0}"/>
    <cellStyle name="Comma 8 8 2 8" xfId="42274" xr:uid="{1BF7D47F-6E10-40D9-B357-3D9898DC6B08}"/>
    <cellStyle name="Comma 8 8 2 9" xfId="43450" xr:uid="{CA3E8FD2-18F4-4BC4-9355-20AF0F89CF73}"/>
    <cellStyle name="Comma 8 8 3" xfId="11165" xr:uid="{940DF6B7-0F11-469C-925A-4130B52C8E88}"/>
    <cellStyle name="Comma 8 8 3 2" xfId="13760" xr:uid="{A63B5DDB-DB4F-40D8-B569-4CA8305526F6}"/>
    <cellStyle name="Comma 8 8 3 2 2" xfId="51323" xr:uid="{3FA09520-BF94-40B3-B2B6-646F5A133E30}"/>
    <cellStyle name="Comma 8 8 3 2 3" xfId="54449" xr:uid="{9BAD3873-174E-484B-A080-7F8336D6E48B}"/>
    <cellStyle name="Comma 8 8 3 2 4" xfId="48537" xr:uid="{2AB1BBED-D66D-4E70-ACB1-C7D6C644DE00}"/>
    <cellStyle name="Comma 8 8 3 3" xfId="46976" xr:uid="{F70828C9-8BDC-4AB0-9310-4AE7D41CAFAA}"/>
    <cellStyle name="Comma 8 8 3 4" xfId="49995" xr:uid="{2280954A-A485-427F-82EF-2CA3AC74E514}"/>
    <cellStyle name="Comma 8 8 3 5" xfId="54450" xr:uid="{1A050B38-623F-4E15-A48B-45DDB1C56023}"/>
    <cellStyle name="Comma 8 8 3 6" xfId="20426" xr:uid="{F4DEE469-5C8A-4A7A-B336-C9F5420D5C34}"/>
    <cellStyle name="Comma 8 8 3 7" xfId="15088" xr:uid="{6DE88972-309F-4331-B219-4FBEFFBF75EA}"/>
    <cellStyle name="Comma 8 8 4" xfId="9844" xr:uid="{129EF3EB-05C1-4ADF-989B-70FB954B4E4D}"/>
    <cellStyle name="Comma 8 8 4 2" xfId="13150" xr:uid="{3D538C93-D404-4FAF-AFD9-BB4F1BC60FD8}"/>
    <cellStyle name="Comma 8 8 4 2 2" xfId="51834" xr:uid="{C6547360-8855-45DD-A459-BC79B0D00CD4}"/>
    <cellStyle name="Comma 8 8 4 2 3" xfId="54451" xr:uid="{9792C3E9-8561-4470-AD9F-913627E0A16F}"/>
    <cellStyle name="Comma 8 8 4 2 4" xfId="49154" xr:uid="{C7917B8D-AC5F-4414-A307-4CABEB22F404}"/>
    <cellStyle name="Comma 8 8 4 3" xfId="47571" xr:uid="{CBA19942-AB3B-44D8-A6AC-A1DF83065A05}"/>
    <cellStyle name="Comma 8 8 4 4" xfId="50506" xr:uid="{57F00D5F-077C-4B32-B5A9-B6C18B22F734}"/>
    <cellStyle name="Comma 8 8 4 5" xfId="54452" xr:uid="{49719A0A-ADDC-4D7B-8ED4-4A4DC35546DE}"/>
    <cellStyle name="Comma 8 8 4 6" xfId="24099" xr:uid="{40DD2B1C-BBC0-4328-B000-E5B5359DE49E}"/>
    <cellStyle name="Comma 8 8 5" xfId="7342" xr:uid="{E9FEE747-FC70-4062-9C0B-5D9621B77495}"/>
    <cellStyle name="Comma 8 8 5 2" xfId="47793" xr:uid="{DD191DDF-0EC0-4158-94BD-69FC3EB84638}"/>
    <cellStyle name="Comma 8 8 5 3" xfId="50692" xr:uid="{48033562-166F-4C12-A4BC-600269BC4E26}"/>
    <cellStyle name="Comma 8 8 5 4" xfId="54453" xr:uid="{DD087811-BA40-4624-A617-0C1946776DB8}"/>
    <cellStyle name="Comma 8 8 5 5" xfId="38596" xr:uid="{938818B3-B93A-4271-9EAF-BE1647FE0977}"/>
    <cellStyle name="Comma 8 8 6" xfId="11865" xr:uid="{A95AEAEE-408E-4021-8CAE-22AE1E915185}"/>
    <cellStyle name="Comma 8 8 6 2" xfId="39182" xr:uid="{6003D7C5-D8C9-4E0C-8CB3-F38DE3F978D9}"/>
    <cellStyle name="Comma 8 8 7" xfId="40419" xr:uid="{7118BE05-9870-4350-A4CD-1C9DB8F91F7E}"/>
    <cellStyle name="Comma 8 8 8" xfId="41061" xr:uid="{FCE7D50A-FA72-4CA3-9A22-2F939A2B2B6B}"/>
    <cellStyle name="Comma 8 8 9" xfId="42273" xr:uid="{06070FF4-9416-471C-8455-49AEBACB0617}"/>
    <cellStyle name="Comma 8 9" xfId="5568" xr:uid="{4466DDA5-5509-4803-BB84-2A24678A9ECE}"/>
    <cellStyle name="Comma 8 9 10" xfId="20482" xr:uid="{B2B8EEBB-FD91-4810-B4A1-4463F5C064B9}"/>
    <cellStyle name="Comma 8 9 11" xfId="14105" xr:uid="{2CEA0664-BB97-40E8-9C65-D3A213E59F01}"/>
    <cellStyle name="Comma 8 9 2" xfId="7670" xr:uid="{67F6B171-0D77-41E7-834B-0F2FDDC96F5E}"/>
    <cellStyle name="Comma 8 9 2 2" xfId="10162" xr:uid="{E46AB61B-E3B0-4DE0-94DB-8B5431A04522}"/>
    <cellStyle name="Comma 8 9 2 2 2" xfId="13468" xr:uid="{B726A06D-115C-42AC-91E7-3A15B9D6CB34}"/>
    <cellStyle name="Comma 8 9 2 2 2 2" xfId="51408" xr:uid="{AAC3E055-3B70-4DF6-AA6B-A8164DB92907}"/>
    <cellStyle name="Comma 8 9 2 2 3" xfId="54454" xr:uid="{0DF3AC73-B616-4BBD-B0C5-DC0E80C74898}"/>
    <cellStyle name="Comma 8 9 2 2 4" xfId="48645" xr:uid="{C3D4D866-FD19-49EB-979A-1DD56878F53A}"/>
    <cellStyle name="Comma 8 9 2 3" xfId="12183" xr:uid="{1789633D-0C6D-4D19-9A53-706D518BB40E}"/>
    <cellStyle name="Comma 8 9 2 3 2" xfId="47079" xr:uid="{EE6C6BDC-3DEA-4BA2-930D-C76F2912B1CC}"/>
    <cellStyle name="Comma 8 9 2 4" xfId="50080" xr:uid="{EA4A62F1-EBE9-4896-907E-CCFA2A43629E}"/>
    <cellStyle name="Comma 8 9 2 5" xfId="54455" xr:uid="{A3862592-5C2A-4DEF-B6D1-B978490CB19D}"/>
    <cellStyle name="Comma 8 9 2 6" xfId="39237" xr:uid="{A22039E2-1966-415D-BF5A-B9C9738CFFCA}"/>
    <cellStyle name="Comma 8 9 2 7" xfId="14597" xr:uid="{4A14C76A-8E47-479C-8522-4D2AD0A26C2B}"/>
    <cellStyle name="Comma 8 9 3" xfId="9668" xr:uid="{6EBD6050-57D4-4A8B-81BA-35E08671A464}"/>
    <cellStyle name="Comma 8 9 3 2" xfId="12974" xr:uid="{B3D6DF73-01A6-47B1-869E-7B5C23665EF8}"/>
    <cellStyle name="Comma 8 9 3 2 2" xfId="51694" xr:uid="{000FC37F-7430-43F8-86D5-80B9375E306E}"/>
    <cellStyle name="Comma 8 9 3 2 3" xfId="54456" xr:uid="{12CE7DE3-A616-4BC7-B2F4-05F55F750D68}"/>
    <cellStyle name="Comma 8 9 3 2 4" xfId="48982" xr:uid="{5681853E-FC18-43E9-9F95-40D19C535C55}"/>
    <cellStyle name="Comma 8 9 3 3" xfId="47406" xr:uid="{476068A7-7732-422C-8AF8-3E40FF4BBB1F}"/>
    <cellStyle name="Comma 8 9 3 4" xfId="50366" xr:uid="{C0E42496-63A6-4031-8A18-135ECC003004}"/>
    <cellStyle name="Comma 8 9 3 5" xfId="54457" xr:uid="{5DE39479-3D51-49E5-827B-55B7C48E7D67}"/>
    <cellStyle name="Comma 8 9 3 6" xfId="41106" xr:uid="{75548632-EC27-45C1-9EC6-CCC14589A24A}"/>
    <cellStyle name="Comma 8 9 4" xfId="7164" xr:uid="{C3FE7245-6187-4248-857B-E70C85732EC7}"/>
    <cellStyle name="Comma 8 9 4 2" xfId="48127" xr:uid="{AD1C3460-A45B-459F-A113-E60855271931}"/>
    <cellStyle name="Comma 8 9 4 3" xfId="50976" xr:uid="{9AC8EC3C-C4CA-4FE5-80EC-6344FAD5796D}"/>
    <cellStyle name="Comma 8 9 4 4" xfId="54458" xr:uid="{365AEB31-FDA3-43E9-B9D3-EB2F1A910FFD}"/>
    <cellStyle name="Comma 8 9 4 5" xfId="42914" xr:uid="{275F825A-A404-4003-9CB7-CDEE91E95E3D}"/>
    <cellStyle name="Comma 8 9 5" xfId="11689" xr:uid="{E62D562C-7A7A-4D1E-B8D5-6A52A6B11EB9}"/>
    <cellStyle name="Comma 8 9 5 2" xfId="43857" xr:uid="{42891896-2A19-41C4-890E-2DD68DD47DB5}"/>
    <cellStyle name="Comma 8 9 6" xfId="45021" xr:uid="{E2AFA27F-4C2F-47C9-AC40-7EC7839FEF58}"/>
    <cellStyle name="Comma 8 9 7" xfId="46615" xr:uid="{F56D9C2D-C6B9-46B4-B665-E083CB7D74BA}"/>
    <cellStyle name="Comma 8 9 8" xfId="49648" xr:uid="{C31BEC37-0BE2-43FD-89E8-435C27E465C3}"/>
    <cellStyle name="Comma 8 9 9" xfId="54459" xr:uid="{69EBF25B-4750-4790-9E27-582CB65EFD84}"/>
    <cellStyle name="Comma 9" xfId="1836" xr:uid="{C92F663E-A9D1-49AD-907C-4936ABBA4B38}"/>
    <cellStyle name="Comma 9 10" xfId="5907" xr:uid="{EA3D7BFB-DC14-4BB7-9DA9-73D42D83443E}"/>
    <cellStyle name="Comma 9 10 2" xfId="38647" xr:uid="{E02BE609-9454-456B-8C92-4CB1AD07257B}"/>
    <cellStyle name="Comma 9 11" xfId="11395" xr:uid="{08058B49-3D20-4A7A-B563-4544AEC4E73E}"/>
    <cellStyle name="Comma 9 11 2" xfId="40421" xr:uid="{5D2A2347-2343-4356-9F8D-0CED13974441}"/>
    <cellStyle name="Comma 9 12" xfId="41063" xr:uid="{29A2D693-428C-4F7D-B03C-E730D874EE5C}"/>
    <cellStyle name="Comma 9 13" xfId="42275" xr:uid="{C11A014C-1D2B-4CA8-8801-3243D7088D92}"/>
    <cellStyle name="Comma 9 14" xfId="42324" xr:uid="{59583946-1DB3-4EC0-9756-1543A86CE2AA}"/>
    <cellStyle name="Comma 9 15" xfId="43609" xr:uid="{AD22E44E-3C86-4649-B597-B02B934AEEAF}"/>
    <cellStyle name="Comma 9 16" xfId="44472" xr:uid="{123DB961-9D3E-427D-A8F3-55568D155CF3}"/>
    <cellStyle name="Comma 9 17" xfId="45673" xr:uid="{8ED5C8C9-5E3B-4E1A-9A55-82FF4392C2E4}"/>
    <cellStyle name="Comma 9 18" xfId="49302" xr:uid="{FC4F333D-5422-4E7E-B0D2-B4CBEE32CA14}"/>
    <cellStyle name="Comma 9 19" xfId="54460" xr:uid="{FDB9C922-193C-4328-9876-EB17B896E020}"/>
    <cellStyle name="Comma 9 2" xfId="1837" xr:uid="{356B1322-FA18-446F-BA53-897A4B1BABDA}"/>
    <cellStyle name="Comma 9 2 10" xfId="40422" xr:uid="{3A91DD65-9636-4B1B-B79E-AE0206197951}"/>
    <cellStyle name="Comma 9 2 11" xfId="41064" xr:uid="{35B2FD29-4D6A-4B63-872E-16E7EEC81C98}"/>
    <cellStyle name="Comma 9 2 12" xfId="42276" xr:uid="{216A6AAE-45E9-4D2B-8DB8-0B07019519EA}"/>
    <cellStyle name="Comma 9 2 13" xfId="42362" xr:uid="{AA11758A-58C0-4B12-AD7A-DEE13D71C2B7}"/>
    <cellStyle name="Comma 9 2 14" xfId="43610" xr:uid="{ACBA6D6D-4876-416A-BD9A-2F1F5BC43892}"/>
    <cellStyle name="Comma 9 2 15" xfId="44473" xr:uid="{141597DA-B330-4816-9C41-73B06C08FCA4}"/>
    <cellStyle name="Comma 9 2 16" xfId="45674" xr:uid="{5E1132B8-9491-4DC0-86EC-1A195378EFDE}"/>
    <cellStyle name="Comma 9 2 17" xfId="49303" xr:uid="{902EE304-D80C-4C5C-A08C-B89AAE843F97}"/>
    <cellStyle name="Comma 9 2 18" xfId="54461" xr:uid="{1D768BED-E4C5-4751-B0B5-C8D50A6B4F71}"/>
    <cellStyle name="Comma 9 2 19" xfId="15328" xr:uid="{8804325A-62D0-4A5B-A363-3A68CB422559}"/>
    <cellStyle name="Comma 9 2 2" xfId="4513" xr:uid="{6FE641B4-97F0-473C-AA56-D643F24AB074}"/>
    <cellStyle name="Comma 9 2 2 10" xfId="42277" xr:uid="{B3B8FFE3-715F-4179-9077-7ABE0047A3CB}"/>
    <cellStyle name="Comma 9 2 2 11" xfId="42514" xr:uid="{F7BA2526-8D47-4ADE-8CAA-384CCF24B94A}"/>
    <cellStyle name="Comma 9 2 2 12" xfId="44314" xr:uid="{C2B46ECF-F031-4F6F-9610-2DFD2B0474CD}"/>
    <cellStyle name="Comma 9 2 2 13" xfId="44614" xr:uid="{549B3BAE-4D31-4006-9923-F3A3AFD5DEA4}"/>
    <cellStyle name="Comma 9 2 2 14" xfId="45748" xr:uid="{739A9CB1-E2AE-4A78-8ED5-886C52B7660D}"/>
    <cellStyle name="Comma 9 2 2 15" xfId="49376" xr:uid="{224826B4-70B7-43DF-9CC9-AB7ACD6E7FB1}"/>
    <cellStyle name="Comma 9 2 2 16" xfId="54462" xr:uid="{7FD3DA74-DAA5-4DB8-9EED-51705DCD96E8}"/>
    <cellStyle name="Comma 9 2 2 17" xfId="16777" xr:uid="{48F1A9A7-CA3E-44CA-AD8A-D07987A3B25A}"/>
    <cellStyle name="Comma 9 2 2 18" xfId="14307" xr:uid="{91744F98-6695-4A87-AD9B-D87917B8CE4B}"/>
    <cellStyle name="Comma 9 2 2 2" xfId="5770" xr:uid="{9894C2A5-C51C-464B-BFA5-68355ECA7730}"/>
    <cellStyle name="Comma 9 2 2 2 10" xfId="42800" xr:uid="{A126290A-5063-4B88-99E2-A89EE9D855D4}"/>
    <cellStyle name="Comma 9 2 2 2 11" xfId="44928" xr:uid="{E2FDE756-4F19-421B-B0E7-5F2E4CBA43DB}"/>
    <cellStyle name="Comma 9 2 2 2 12" xfId="46782" xr:uid="{A2F91FAD-BFF3-4D6A-9E77-42582A2B65CC}"/>
    <cellStyle name="Comma 9 2 2 2 13" xfId="49814" xr:uid="{69C4C469-183C-439A-84CA-183191B6202C}"/>
    <cellStyle name="Comma 9 2 2 2 14" xfId="54463" xr:uid="{120E624A-F2DB-4466-B956-939A596694A9}"/>
    <cellStyle name="Comma 9 2 2 2 15" xfId="17153" xr:uid="{265B88D8-125D-43F7-8348-94EB6D80F61A}"/>
    <cellStyle name="Comma 9 2 2 2 16" xfId="14799" xr:uid="{5EF58B1D-E42B-4160-8D96-C93FEE1B7BCC}"/>
    <cellStyle name="Comma 9 2 2 2 2" xfId="10364" xr:uid="{2C538465-2DC6-4A57-9057-8E3EBA1DB833}"/>
    <cellStyle name="Comma 9 2 2 2 2 2" xfId="13670" xr:uid="{CA177E02-B6B9-4290-8593-7C7D2928FB87}"/>
    <cellStyle name="Comma 9 2 2 2 2 2 2" xfId="39714" xr:uid="{67C1621D-5868-4C09-8A0A-9E4DE910C3BB}"/>
    <cellStyle name="Comma 9 2 2 2 2 3" xfId="41567" xr:uid="{7D1D645E-C4CE-4E06-B865-5A3B0E85503D}"/>
    <cellStyle name="Comma 9 2 2 2 2 4" xfId="43391" xr:uid="{5E3E3EE1-D7EC-402B-A099-04D8029E3B45}"/>
    <cellStyle name="Comma 9 2 2 2 2 5" xfId="45470" xr:uid="{06AD9549-5B76-4B3E-999A-75A8D196F455}"/>
    <cellStyle name="Comma 9 2 2 2 2 6" xfId="48324" xr:uid="{F2EE774C-1C05-438C-8393-28416441693B}"/>
    <cellStyle name="Comma 9 2 2 2 2 7" xfId="51142" xr:uid="{3C8CD94B-6530-4813-8865-A6E50B222336}"/>
    <cellStyle name="Comma 9 2 2 2 2 8" xfId="54464" xr:uid="{7567BF3E-B81D-4853-A7C6-18D242CD350C}"/>
    <cellStyle name="Comma 9 2 2 2 2 9" xfId="21148" xr:uid="{16995E2E-9FF1-40AB-97B2-C047C721F2C3}"/>
    <cellStyle name="Comma 9 2 2 2 3" xfId="7872" xr:uid="{AA9EDA1D-4BAD-4643-93A3-66AE770D8F36}"/>
    <cellStyle name="Comma 9 2 2 2 3 2" xfId="20367" xr:uid="{B034A6F4-9F86-4B5C-9616-F49A46EE0CAA}"/>
    <cellStyle name="Comma 9 2 2 2 4" xfId="12385" xr:uid="{6CADCE34-71F5-4A2E-8E8D-F30C5CD17454}"/>
    <cellStyle name="Comma 9 2 2 2 4 2" xfId="24104" xr:uid="{A83AD71C-6150-4F63-AA15-14CC2B09FF24}"/>
    <cellStyle name="Comma 9 2 2 2 5" xfId="38601" xr:uid="{A2E8E795-FA31-42A6-89FA-D7697689CF3A}"/>
    <cellStyle name="Comma 9 2 2 2 6" xfId="39123" xr:uid="{7F504E4F-FCE9-4827-8A78-741FF786A39A}"/>
    <cellStyle name="Comma 9 2 2 2 7" xfId="40424" xr:uid="{4C5C87E9-B9F5-4030-8203-1B18B14E18CF}"/>
    <cellStyle name="Comma 9 2 2 2 8" xfId="41066" xr:uid="{C141688E-AAD3-4E02-BE70-2FA09B0C51B2}"/>
    <cellStyle name="Comma 9 2 2 2 9" xfId="42278" xr:uid="{03D8E6A6-4746-48F3-AD02-4A8462F8DF90}"/>
    <cellStyle name="Comma 9 2 2 3" xfId="11253" xr:uid="{4F3F4945-3C27-451E-A77A-9D8441D8BDD6}"/>
    <cellStyle name="Comma 9 2 2 3 10" xfId="15114" xr:uid="{07A878ED-3431-433A-9780-7D2449139DD7}"/>
    <cellStyle name="Comma 9 2 2 3 2" xfId="13813" xr:uid="{3A0CC090-FF3F-4D23-BA95-1BD531F554B9}"/>
    <cellStyle name="Comma 9 2 2 3 2 2" xfId="48709" xr:uid="{65AF1A88-0CAE-44BF-9192-D8794EE6D062}"/>
    <cellStyle name="Comma 9 2 2 3 2 3" xfId="51464" xr:uid="{66C53801-263F-4149-A6E0-5A6DC5B61F12}"/>
    <cellStyle name="Comma 9 2 2 3 2 4" xfId="54465" xr:uid="{12DC2549-2E16-4FE9-A636-EF9B16572EAC}"/>
    <cellStyle name="Comma 9 2 2 3 2 5" xfId="39428" xr:uid="{FA24705D-4937-4190-89AC-F1C4A42A9F57}"/>
    <cellStyle name="Comma 9 2 2 3 3" xfId="41282" xr:uid="{4F70A5A5-D9E6-4E89-B872-2CA6DD737FFD}"/>
    <cellStyle name="Comma 9 2 2 3 4" xfId="43105" xr:uid="{457CA008-608B-4A34-976C-51C961F600F5}"/>
    <cellStyle name="Comma 9 2 2 3 5" xfId="45202" xr:uid="{EED454A1-C9D1-4BD1-8242-2E4C64B80AF9}"/>
    <cellStyle name="Comma 9 2 2 3 6" xfId="47146" xr:uid="{03EAA0E0-BF33-40B8-9D16-7BFB021467D3}"/>
    <cellStyle name="Comma 9 2 2 3 7" xfId="50136" xr:uid="{F72001EE-4EE9-43BE-A137-9FB9A2D16DCF}"/>
    <cellStyle name="Comma 9 2 2 3 8" xfId="54466" xr:uid="{5D426962-56F4-49BA-8A40-B53FFAE68668}"/>
    <cellStyle name="Comma 9 2 2 3 9" xfId="20803" xr:uid="{9515E173-A04C-4AEE-ADE0-2C72797D5A2E}"/>
    <cellStyle name="Comma 9 2 2 4" xfId="9870" xr:uid="{B49086BE-5FC8-4ADD-8ADB-B7B17B7C8EDB}"/>
    <cellStyle name="Comma 9 2 2 4 2" xfId="13176" xr:uid="{5735B088-1AD9-4C5C-880A-6A9A3B39703E}"/>
    <cellStyle name="Comma 9 2 2 4 2 2" xfId="51860" xr:uid="{129BF342-C776-45E3-9D54-3F28A98CC1E6}"/>
    <cellStyle name="Comma 9 2 2 4 2 3" xfId="54467" xr:uid="{28FC090C-CDE9-49BD-A55D-8DB9F5427288}"/>
    <cellStyle name="Comma 9 2 2 4 2 4" xfId="49180" xr:uid="{6368EBBC-0A34-46F5-B31D-F5DC4B508117}"/>
    <cellStyle name="Comma 9 2 2 4 3" xfId="47597" xr:uid="{24B3BBD2-94F5-4E38-9DCA-E2F6B9E99D9C}"/>
    <cellStyle name="Comma 9 2 2 4 4" xfId="50532" xr:uid="{922F0ADF-5DD8-4131-9D03-36BE32F01F00}"/>
    <cellStyle name="Comma 9 2 2 4 5" xfId="54468" xr:uid="{42F3ACD7-D661-4FE1-92ED-9A5239719A57}"/>
    <cellStyle name="Comma 9 2 2 4 6" xfId="20081" xr:uid="{E4C70DAE-F8E6-4F5E-8C8F-F6ABB023BA3F}"/>
    <cellStyle name="Comma 9 2 2 5" xfId="7368" xr:uid="{02B3FBFD-C6FB-4272-8D2A-40F48D655D71}"/>
    <cellStyle name="Comma 9 2 2 5 2" xfId="47805" xr:uid="{A1DA0C96-9284-48ED-A0EC-3F8C3224739B}"/>
    <cellStyle name="Comma 9 2 2 5 3" xfId="50704" xr:uid="{ABEA9A3F-7833-4B22-BC18-8C2100D7965B}"/>
    <cellStyle name="Comma 9 2 2 5 4" xfId="54469" xr:uid="{C892E3C8-00AC-4D6F-AB59-ACC545D98A2A}"/>
    <cellStyle name="Comma 9 2 2 5 5" xfId="24103" xr:uid="{7CEA4A9F-F584-465F-8B59-1877E7B98BE0}"/>
    <cellStyle name="Comma 9 2 2 6" xfId="11891" xr:uid="{70A90944-0592-46B6-B2C0-45D51D31BF98}"/>
    <cellStyle name="Comma 9 2 2 6 2" xfId="38600" xr:uid="{05BFBA46-1FDC-45DA-B2E4-CAA172858062}"/>
    <cellStyle name="Comma 9 2 2 7" xfId="38837" xr:uid="{85F1EB1E-13DF-4330-95CF-44E5E572B46E}"/>
    <cellStyle name="Comma 9 2 2 8" xfId="40423" xr:uid="{FBD22D5C-9BEE-4FA4-A87C-FEFB8BA6683F}"/>
    <cellStyle name="Comma 9 2 2 9" xfId="41065" xr:uid="{5FFC92BB-BE33-4677-B5C8-8361EC8164F0}"/>
    <cellStyle name="Comma 9 2 20" xfId="13993" xr:uid="{C4EAD095-5B22-4163-93D3-C2D9F55B3198}"/>
    <cellStyle name="Comma 9 2 3" xfId="5594" xr:uid="{49D573C0-2D38-46FD-ACE1-9D74DCAE674E}"/>
    <cellStyle name="Comma 9 2 3 10" xfId="42799" xr:uid="{B9CF6C01-198F-4F41-98E5-8D5DD338907B}"/>
    <cellStyle name="Comma 9 2 3 11" xfId="43883" xr:uid="{C60D06B5-8FBB-4580-9044-73DFA3E9B427}"/>
    <cellStyle name="Comma 9 2 3 12" xfId="44927" xr:uid="{21C774DB-9A93-480A-AB3C-3861A86FB0C3}"/>
    <cellStyle name="Comma 9 2 3 13" xfId="46641" xr:uid="{F88153FE-AB6E-4A87-AD94-F408834CE4D6}"/>
    <cellStyle name="Comma 9 2 3 14" xfId="49674" xr:uid="{AB6F839D-3797-4230-973D-05DF3541385E}"/>
    <cellStyle name="Comma 9 2 3 15" xfId="54470" xr:uid="{26927370-3D88-4DEF-AF4B-EE257F11A8C8}"/>
    <cellStyle name="Comma 9 2 3 16" xfId="17152" xr:uid="{4D6B503B-3966-4040-B3D9-CF7F1B501E45}"/>
    <cellStyle name="Comma 9 2 3 17" xfId="14131" xr:uid="{B81BA91C-FCC4-4A71-97B6-A015CDC03D1C}"/>
    <cellStyle name="Comma 9 2 3 2" xfId="7696" xr:uid="{3D2C291C-7486-4453-97FD-7E3C1B15E70B}"/>
    <cellStyle name="Comma 9 2 3 2 10" xfId="14623" xr:uid="{A5794D0B-4F31-429D-A8AF-75EAE2350A4D}"/>
    <cellStyle name="Comma 9 2 3 2 2" xfId="10188" xr:uid="{7697B8E9-5DDC-4F75-AE98-73B99981447B}"/>
    <cellStyle name="Comma 9 2 3 2 2 2" xfId="13494" xr:uid="{A945599F-924A-4924-881F-E83ECF24FAAF}"/>
    <cellStyle name="Comma 9 2 3 2 2 2 2" xfId="49008" xr:uid="{423B8407-FDF8-4CD0-89F0-B18DA81C2AFA}"/>
    <cellStyle name="Comma 9 2 3 2 2 3" xfId="51720" xr:uid="{21FEB494-4675-45A9-A2E4-0427A1283361}"/>
    <cellStyle name="Comma 9 2 3 2 2 4" xfId="54471" xr:uid="{48200CCB-878F-4B4D-94F6-8825FAE7C203}"/>
    <cellStyle name="Comma 9 2 3 2 2 5" xfId="39713" xr:uid="{73E12B8F-AC94-4082-B4EA-701A4B37AF35}"/>
    <cellStyle name="Comma 9 2 3 2 3" xfId="12209" xr:uid="{913D8A99-E215-4921-B1E3-1E1E40424978}"/>
    <cellStyle name="Comma 9 2 3 2 3 2" xfId="41566" xr:uid="{7BD6A7B1-2B60-4B2C-80BC-7E723D807750}"/>
    <cellStyle name="Comma 9 2 3 2 4" xfId="43390" xr:uid="{83DD24A2-23B0-4239-8A65-D35CBB22CE4F}"/>
    <cellStyle name="Comma 9 2 3 2 5" xfId="45469" xr:uid="{FB8D05A5-DED9-4C01-84F3-9C0E9E9836AF}"/>
    <cellStyle name="Comma 9 2 3 2 6" xfId="47432" xr:uid="{6CB2598E-88C9-4145-ADF5-CBB014B77A15}"/>
    <cellStyle name="Comma 9 2 3 2 7" xfId="50392" xr:uid="{E74195EF-7281-4DAE-91D8-365112294910}"/>
    <cellStyle name="Comma 9 2 3 2 8" xfId="54472" xr:uid="{D3719E88-D6A4-41AC-B53C-97D6EDBC6C66}"/>
    <cellStyle name="Comma 9 2 3 2 9" xfId="21147" xr:uid="{DCF82C06-D0E5-4CA3-BD8F-0FD3CC30B0E9}"/>
    <cellStyle name="Comma 9 2 3 3" xfId="9694" xr:uid="{7E49FA64-DB19-442C-A13F-ACB8C02A5604}"/>
    <cellStyle name="Comma 9 2 3 3 2" xfId="13000" xr:uid="{F3BD94F8-383E-48B3-8695-B6704CF9CAA2}"/>
    <cellStyle name="Comma 9 2 3 3 2 2" xfId="48153" xr:uid="{1ADBCF67-9529-4D57-8EB8-EB25870E99A2}"/>
    <cellStyle name="Comma 9 2 3 3 3" xfId="51002" xr:uid="{A00E1D24-8AB1-46EC-A299-85DF5E2A7AEC}"/>
    <cellStyle name="Comma 9 2 3 3 4" xfId="54473" xr:uid="{51549689-1FE7-4A8A-9E31-71CD1908FCE8}"/>
    <cellStyle name="Comma 9 2 3 3 5" xfId="20366" xr:uid="{0E1269F7-0466-4A6C-93B6-0EDF044591EF}"/>
    <cellStyle name="Comma 9 2 3 4" xfId="7190" xr:uid="{06F87E88-83AC-4E9A-9B97-49552D879418}"/>
    <cellStyle name="Comma 9 2 3 4 2" xfId="24105" xr:uid="{16C33835-F792-4DC6-A249-1603AE7EDFF1}"/>
    <cellStyle name="Comma 9 2 3 5" xfId="11715" xr:uid="{178C65EA-E05E-49E1-BBD0-F46FB2E02DFC}"/>
    <cellStyle name="Comma 9 2 3 5 2" xfId="38602" xr:uid="{82BAAFC2-1D45-4B4E-9AF0-5FB035549231}"/>
    <cellStyle name="Comma 9 2 3 6" xfId="39122" xr:uid="{8A51560B-0623-4823-9DF8-0301D0FE9E5F}"/>
    <cellStyle name="Comma 9 2 3 7" xfId="40425" xr:uid="{FC27B294-5152-4326-B29C-CEDDE36ACF71}"/>
    <cellStyle name="Comma 9 2 3 8" xfId="41067" xr:uid="{C916A0DC-D4E3-40AE-8A18-B09A5804CB4A}"/>
    <cellStyle name="Comma 9 2 3 9" xfId="42279" xr:uid="{1ED48ECD-56B0-4D76-B802-067AD0B9666B}"/>
    <cellStyle name="Comma 9 2 4" xfId="6584" xr:uid="{71D1E74A-5565-4683-BC9C-9635D300C17D}"/>
    <cellStyle name="Comma 9 2 4 10" xfId="42871" xr:uid="{59E7DD67-2B58-4DB9-B41A-EA7805743BA0}"/>
    <cellStyle name="Comma 9 2 4 11" xfId="44978" xr:uid="{95DD5EDE-1CA3-4930-BB2E-930D47977187}"/>
    <cellStyle name="Comma 9 2 4 12" xfId="46223" xr:uid="{18C0F67E-74D6-424C-BC95-F6793106DDE2}"/>
    <cellStyle name="Comma 9 2 4 13" xfId="49559" xr:uid="{B5571587-759D-46E2-9D28-7F573ED26974}"/>
    <cellStyle name="Comma 9 2 4 14" xfId="54474" xr:uid="{B039263F-878A-4951-8576-035E89A8BCD9}"/>
    <cellStyle name="Comma 9 2 4 15" xfId="19777" xr:uid="{1288B5C2-D2D1-4CA1-8B8D-DE6A8DF15C64}"/>
    <cellStyle name="Comma 9 2 4 16" xfId="14485" xr:uid="{1AE59215-F913-4933-9FFB-06FD5929D7E5}"/>
    <cellStyle name="Comma 9 2 4 2" xfId="9556" xr:uid="{F1A5104A-8D34-488D-BA15-ABC3DC854BA8}"/>
    <cellStyle name="Comma 9 2 4 2 2" xfId="12862" xr:uid="{F05AA459-B59D-4F02-9B9F-3656C59209A8}"/>
    <cellStyle name="Comma 9 2 4 2 2 2" xfId="39785" xr:uid="{2859ABAE-7A9C-4840-A22B-B03E9482A9C3}"/>
    <cellStyle name="Comma 9 2 4 2 3" xfId="41638" xr:uid="{0C5CC39F-A95B-4AD3-906F-22497CCC223E}"/>
    <cellStyle name="Comma 9 2 4 2 4" xfId="43462" xr:uid="{3A3AEC67-CB35-426D-A6EF-EEE473DCBDCB}"/>
    <cellStyle name="Comma 9 2 4 2 5" xfId="45535" xr:uid="{BFEBCDE6-1B1D-49B7-9ECA-B12093FD77C2}"/>
    <cellStyle name="Comma 9 2 4 2 6" xfId="48018" xr:uid="{21D648B3-AFBD-49F4-8DBF-68CD0591F0AD}"/>
    <cellStyle name="Comma 9 2 4 2 7" xfId="50887" xr:uid="{98D3EBE0-ECC2-437B-9E0F-19A81B9E933B}"/>
    <cellStyle name="Comma 9 2 4 2 8" xfId="54475" xr:uid="{A9FCE356-4C44-42AE-8CCC-C1E0E62C5B54}"/>
    <cellStyle name="Comma 9 2 4 2 9" xfId="23394" xr:uid="{40509DA7-8D5C-4697-A4A5-3F3813C38913}"/>
    <cellStyle name="Comma 9 2 4 3" xfId="11577" xr:uid="{9C70C880-48A2-434C-859B-C2361FEFF4B6}"/>
    <cellStyle name="Comma 9 2 4 3 2" xfId="20438" xr:uid="{FC796C9A-8329-4FC9-80DF-3284D21297D2}"/>
    <cellStyle name="Comma 9 2 4 4" xfId="24106" xr:uid="{D4D7FBC9-2537-4B88-8980-6E830E4417F7}"/>
    <cellStyle name="Comma 9 2 4 5" xfId="38603" xr:uid="{34E616F9-4E5B-46DE-BC1E-5F1108549643}"/>
    <cellStyle name="Comma 9 2 4 6" xfId="39194" xr:uid="{2DCCA91D-8B17-4FEF-8C0F-F9545B6D250C}"/>
    <cellStyle name="Comma 9 2 4 7" xfId="40426" xr:uid="{02115CAC-28D5-4297-A2BF-B4EAC9C86DEC}"/>
    <cellStyle name="Comma 9 2 4 8" xfId="41068" xr:uid="{5BA7816B-57D7-4FF5-B5F8-2086AB822688}"/>
    <cellStyle name="Comma 9 2 4 9" xfId="42280" xr:uid="{1FC896F7-3E8C-4073-B09F-EE705A155DAF}"/>
    <cellStyle name="Comma 9 2 5" xfId="7558" xr:uid="{AAB1651E-AAE7-41E6-9A99-041BB37A9FB8}"/>
    <cellStyle name="Comma 9 2 5 10" xfId="14938" xr:uid="{8EE6842D-4881-4CD2-800D-56DE9FA85F06}"/>
    <cellStyle name="Comma 9 2 5 2" xfId="10050" xr:uid="{8CED8F0A-55C5-4840-90EA-B01741344048}"/>
    <cellStyle name="Comma 9 2 5 2 2" xfId="13356" xr:uid="{EED93360-09D5-4B3E-B23D-7E9FA30E431F}"/>
    <cellStyle name="Comma 9 2 5 2 2 2" xfId="48563" xr:uid="{050E28EA-9F29-4E0C-9D1E-11DD5B72925C}"/>
    <cellStyle name="Comma 9 2 5 2 3" xfId="51349" xr:uid="{CFC3082B-4DEB-41DD-9F7C-5061E32DBD02}"/>
    <cellStyle name="Comma 9 2 5 2 4" xfId="54476" xr:uid="{E94242BC-2A1F-47BB-B33A-210D98C4335C}"/>
    <cellStyle name="Comma 9 2 5 2 5" xfId="39276" xr:uid="{05B0DF35-883F-440F-B3A6-FB4137D44BC8}"/>
    <cellStyle name="Comma 9 2 5 3" xfId="12071" xr:uid="{88ED756E-8E0E-4983-B2F3-DA3A46694CA9}"/>
    <cellStyle name="Comma 9 2 5 3 2" xfId="41138" xr:uid="{71D8CE47-27DC-49CD-AE7C-BA0FB17ECD38}"/>
    <cellStyle name="Comma 9 2 5 4" xfId="42953" xr:uid="{F07B3731-28CB-4629-8E38-2BEEAD1A6F6F}"/>
    <cellStyle name="Comma 9 2 5 5" xfId="45058" xr:uid="{A76F95E2-2310-4D73-AD18-40C7DE484D35}"/>
    <cellStyle name="Comma 9 2 5 6" xfId="47002" xr:uid="{8A60B9CA-8DEA-4629-8300-A8546CE5A03A}"/>
    <cellStyle name="Comma 9 2 5 7" xfId="50021" xr:uid="{0FFCC392-02AB-4170-87B6-8F4C142543B7}"/>
    <cellStyle name="Comma 9 2 5 8" xfId="54477" xr:uid="{F9551651-1F83-4870-8149-7FFD002ACBBD}"/>
    <cellStyle name="Comma 9 2 5 9" xfId="20521" xr:uid="{41A68B3C-CFA1-43A4-8578-73CFA7908E4C}"/>
    <cellStyle name="Comma 9 2 6" xfId="8224" xr:uid="{C5323E4E-6A2C-4F8B-BCED-76537E66D83B}"/>
    <cellStyle name="Comma 9 2 6 2" xfId="12680" xr:uid="{38DBD7A0-8B74-4682-9C79-66F47940BA36}"/>
    <cellStyle name="Comma 9 2 6 2 2" xfId="51605" xr:uid="{33980961-B7E3-4ADF-AFCB-5513867B4869}"/>
    <cellStyle name="Comma 9 2 6 2 3" xfId="54478" xr:uid="{447848CC-AD6A-402C-AC02-36DF7C0E6B0D}"/>
    <cellStyle name="Comma 9 2 6 2 4" xfId="48870" xr:uid="{BD45DDB6-572B-4DC8-9FC3-570544CB1486}"/>
    <cellStyle name="Comma 9 2 6 3" xfId="47299" xr:uid="{4AD5B167-73C8-4341-9850-C322253DC9B9}"/>
    <cellStyle name="Comma 9 2 6 4" xfId="50277" xr:uid="{06C47EE1-C9D2-45FC-8345-1419AD500D40}"/>
    <cellStyle name="Comma 9 2 6 5" xfId="54479" xr:uid="{9DE9725B-0070-46C0-9183-F89335D1C0FA}"/>
    <cellStyle name="Comma 9 2 6 6" xfId="19928" xr:uid="{1662C58D-D889-44DC-9828-ECA4A5672DFA}"/>
    <cellStyle name="Comma 9 2 7" xfId="8011" xr:uid="{CDB69BC4-2437-4C59-9C6F-182813EBA07E}"/>
    <cellStyle name="Comma 9 2 7 2" xfId="12524" xr:uid="{415990E6-6738-4FA9-93D8-DEFFE5E2998D}"/>
    <cellStyle name="Comma 9 2 7 2 2" xfId="47723" xr:uid="{C1C4FC50-8DC2-42A6-A5B4-B8CE58B2F992}"/>
    <cellStyle name="Comma 9 2 7 3" xfId="50631" xr:uid="{4B55C121-2AA8-4827-8678-4A3CCA637414}"/>
    <cellStyle name="Comma 9 2 7 4" xfId="54480" xr:uid="{E73CB03B-CD1D-4E8D-A291-69D7570BE2B1}"/>
    <cellStyle name="Comma 9 2 7 5" xfId="24102" xr:uid="{D2302DDE-FF44-47C6-A0EC-E6E114218B80}"/>
    <cellStyle name="Comma 9 2 8" xfId="5908" xr:uid="{9A1E0AD6-3F9D-4B63-8081-7A71165D9EDF}"/>
    <cellStyle name="Comma 9 2 8 2" xfId="38599" xr:uid="{C884AD3B-FA55-40E0-AF69-0B9763B36DBC}"/>
    <cellStyle name="Comma 9 2 9" xfId="11396" xr:uid="{AB4298CF-E691-497C-B01D-5897B865FA8F}"/>
    <cellStyle name="Comma 9 2 9 2" xfId="38685" xr:uid="{52A967A6-0503-4984-9F97-DBCC977CCB14}"/>
    <cellStyle name="Comma 9 20" xfId="15226" xr:uid="{4D38C109-0DC2-483B-A956-DBEBB5E4DBB6}"/>
    <cellStyle name="Comma 9 21" xfId="13992" xr:uid="{1705DB78-7323-4E62-80D1-D6EB91B1534C}"/>
    <cellStyle name="Comma 9 3" xfId="1838" xr:uid="{75928E2D-51C6-4F53-9E25-109799CC00ED}"/>
    <cellStyle name="Comma 9 3 10" xfId="42281" xr:uid="{43F74FEE-2588-4FF8-81F7-87D01AD2FCA0}"/>
    <cellStyle name="Comma 9 3 11" xfId="42475" xr:uid="{4CD3FD1D-FA87-4949-B19C-42ED6243EFE1}"/>
    <cellStyle name="Comma 9 3 12" xfId="43611" xr:uid="{245B8ADF-26BA-4EF7-87D7-B7B60DFFE4F0}"/>
    <cellStyle name="Comma 9 3 13" xfId="44474" xr:uid="{1B816CEE-7432-4942-9C83-1312841812B1}"/>
    <cellStyle name="Comma 9 3 14" xfId="45790" xr:uid="{361D876A-97F6-4846-9E31-E3F5E42A1EBD}"/>
    <cellStyle name="Comma 9 3 15" xfId="49418" xr:uid="{7796C4CB-40F5-45C3-BDCB-8E2295B13A08}"/>
    <cellStyle name="Comma 9 3 16" xfId="54481" xr:uid="{E29DB242-D3EF-413C-B61D-8B66D6FAC834}"/>
    <cellStyle name="Comma 9 3 17" xfId="16669" xr:uid="{E3201545-27CE-4148-A8D2-DE148086886A}"/>
    <cellStyle name="Comma 9 3 18" xfId="13994" xr:uid="{8D79EAFF-7CBF-478E-819D-F1DE5D31E6C1}"/>
    <cellStyle name="Comma 9 3 2" xfId="4514" xr:uid="{9ECA41D5-381F-4790-B0D9-4E9BD76FB2EA}"/>
    <cellStyle name="Comma 9 3 2 10" xfId="42801" xr:uid="{C94913D5-6ECF-465A-B814-3E3C8D7B6F6E}"/>
    <cellStyle name="Comma 9 3 2 11" xfId="44315" xr:uid="{776B0F2B-D298-4060-9A74-801B37D4DE8C}"/>
    <cellStyle name="Comma 9 3 2 12" xfId="44615" xr:uid="{D6373DC0-56FC-4650-8878-00113B954F4F}"/>
    <cellStyle name="Comma 9 3 2 13" xfId="46783" xr:uid="{C1D70B21-75B4-43F2-A595-26A4D700DDC0}"/>
    <cellStyle name="Comma 9 3 2 14" xfId="49815" xr:uid="{298A94F3-D4CA-4291-9558-155FC1FD34E7}"/>
    <cellStyle name="Comma 9 3 2 15" xfId="54482" xr:uid="{CB15F76E-2B16-4042-B00E-773883096095}"/>
    <cellStyle name="Comma 9 3 2 16" xfId="17154" xr:uid="{8B93D8DB-5DBF-4FC7-BDA8-6B5D54FA9B6A}"/>
    <cellStyle name="Comma 9 3 2 17" xfId="14308" xr:uid="{7CC02229-B1E7-4837-A379-84DF34793431}"/>
    <cellStyle name="Comma 9 3 2 2" xfId="5771" xr:uid="{0E5CEAD0-5E4F-4251-BFE9-D491E462F5EA}"/>
    <cellStyle name="Comma 9 3 2 2 10" xfId="14800" xr:uid="{98E3C222-625A-4AB1-A5CB-D64C163E44B9}"/>
    <cellStyle name="Comma 9 3 2 2 2" xfId="10365" xr:uid="{4141C320-73BE-4776-8135-2A6C8509C922}"/>
    <cellStyle name="Comma 9 3 2 2 2 2" xfId="13671" xr:uid="{353E9CF5-4160-40F1-97D7-F5E2A413ECE7}"/>
    <cellStyle name="Comma 9 3 2 2 2 2 2" xfId="48710" xr:uid="{53110DEC-9491-42BC-9B7B-53ACC2C8286F}"/>
    <cellStyle name="Comma 9 3 2 2 2 3" xfId="51465" xr:uid="{1A67E039-9C42-407C-B780-9AD3F083EE0D}"/>
    <cellStyle name="Comma 9 3 2 2 2 4" xfId="54483" xr:uid="{BE88512E-027F-47AC-A9BD-C4E61B5DDA1A}"/>
    <cellStyle name="Comma 9 3 2 2 2 5" xfId="39715" xr:uid="{8DD75E8A-F66F-4C60-8932-B9B198B48E0E}"/>
    <cellStyle name="Comma 9 3 2 2 3" xfId="7873" xr:uid="{F68C0990-B622-4549-A752-D4F02639D4C6}"/>
    <cellStyle name="Comma 9 3 2 2 3 2" xfId="41568" xr:uid="{66DF73A2-1087-45C9-AFB4-757E9C5C847C}"/>
    <cellStyle name="Comma 9 3 2 2 4" xfId="12386" xr:uid="{8BA718B8-2C5C-489C-A40A-99E181804D2B}"/>
    <cellStyle name="Comma 9 3 2 2 4 2" xfId="43392" xr:uid="{B3DCC098-6024-4166-B3F2-132BDCE008CA}"/>
    <cellStyle name="Comma 9 3 2 2 5" xfId="45471" xr:uid="{12B1DCB8-8777-44D6-A89D-270FBCA61918}"/>
    <cellStyle name="Comma 9 3 2 2 6" xfId="47147" xr:uid="{70CE9113-2E90-4446-AD68-BE17ADD54D86}"/>
    <cellStyle name="Comma 9 3 2 2 7" xfId="50137" xr:uid="{E8F21745-2A07-4B58-82AC-ABA781CE38E4}"/>
    <cellStyle name="Comma 9 3 2 2 8" xfId="54484" xr:uid="{343085BB-9B9F-4DE0-BFA5-B56823756462}"/>
    <cellStyle name="Comma 9 3 2 2 9" xfId="21149" xr:uid="{B18D7936-7AFC-43AA-9D2C-AF49E0B4A2BD}"/>
    <cellStyle name="Comma 9 3 2 3" xfId="9871" xr:uid="{91B7B4A0-2C2C-4ED4-8A2A-48C0B24E326C}"/>
    <cellStyle name="Comma 9 3 2 3 2" xfId="13177" xr:uid="{81891928-1690-481F-B24B-69556F9CDA9C}"/>
    <cellStyle name="Comma 9 3 2 3 2 2" xfId="51861" xr:uid="{B06C75FB-9892-4C35-914E-5E8C9C0EF079}"/>
    <cellStyle name="Comma 9 3 2 3 2 3" xfId="54485" xr:uid="{59BC9893-1A8D-4D10-80E6-4B3788747AF3}"/>
    <cellStyle name="Comma 9 3 2 3 2 4" xfId="49181" xr:uid="{DD7FA48C-793D-4E18-B5E9-1D5C01376870}"/>
    <cellStyle name="Comma 9 3 2 3 3" xfId="47598" xr:uid="{CBFCEC81-1197-474B-8A8A-5E4B55EDC2D2}"/>
    <cellStyle name="Comma 9 3 2 3 4" xfId="50533" xr:uid="{B329C26E-E884-480A-AB99-BF5146EF5949}"/>
    <cellStyle name="Comma 9 3 2 3 5" xfId="54486" xr:uid="{FFD23737-D815-4697-9E7F-8D97361AF55C}"/>
    <cellStyle name="Comma 9 3 2 3 6" xfId="20368" xr:uid="{3466703F-E7FF-4BDC-A3B0-E84A084D94F5}"/>
    <cellStyle name="Comma 9 3 2 3 7" xfId="15115" xr:uid="{C280E424-6C22-447F-8997-C955A492B296}"/>
    <cellStyle name="Comma 9 3 2 4" xfId="7369" xr:uid="{BBB2DA8D-CEAA-46E3-8201-6D11D3CDAFA6}"/>
    <cellStyle name="Comma 9 3 2 4 2" xfId="48325" xr:uid="{8764CC34-9EA7-49E1-B5E4-1EE56BA52135}"/>
    <cellStyle name="Comma 9 3 2 4 3" xfId="51143" xr:uid="{CCBC4E6C-9600-40B6-9AA6-A907569E0939}"/>
    <cellStyle name="Comma 9 3 2 4 4" xfId="54487" xr:uid="{D11D576E-9724-41A1-9FD0-04D82A58BB2F}"/>
    <cellStyle name="Comma 9 3 2 4 5" xfId="24108" xr:uid="{2ED1B0D3-BB28-4227-B3F7-3CF3D8F98443}"/>
    <cellStyle name="Comma 9 3 2 5" xfId="11892" xr:uid="{808FBF9B-F668-494C-AFA9-A17F3F7C602B}"/>
    <cellStyle name="Comma 9 3 2 5 2" xfId="38605" xr:uid="{DC2DCCC8-90FB-4F5E-B5F3-3A946A7BADAA}"/>
    <cellStyle name="Comma 9 3 2 6" xfId="39124" xr:uid="{1D542D37-6EA0-4B14-8E50-877391D519C1}"/>
    <cellStyle name="Comma 9 3 2 7" xfId="40428" xr:uid="{2E99FC6E-D9DA-41D6-B0A4-78713CA5FA14}"/>
    <cellStyle name="Comma 9 3 2 8" xfId="41070" xr:uid="{9580A8B9-5788-4B7F-A8FF-A8812D095A53}"/>
    <cellStyle name="Comma 9 3 2 9" xfId="42282" xr:uid="{522E9489-04C9-482E-9BF1-7320D8B7A5EC}"/>
    <cellStyle name="Comma 9 3 3" xfId="5595" xr:uid="{CCF25B25-B9FB-47FA-A34F-628421BC5E59}"/>
    <cellStyle name="Comma 9 3 3 10" xfId="20763" xr:uid="{6607772D-7322-4762-9783-1F787FDBF6AF}"/>
    <cellStyle name="Comma 9 3 3 11" xfId="14132" xr:uid="{986DE436-2B9B-4004-B90C-1B9DE02BB331}"/>
    <cellStyle name="Comma 9 3 3 2" xfId="7697" xr:uid="{9D193090-B7FC-4C4E-9F99-75388681365B}"/>
    <cellStyle name="Comma 9 3 3 2 2" xfId="10189" xr:uid="{EB7DA784-89D1-4E05-9771-F76C311D3FC0}"/>
    <cellStyle name="Comma 9 3 3 2 2 2" xfId="13495" xr:uid="{0F78B84C-C66A-449E-9A3F-A3600CF25809}"/>
    <cellStyle name="Comma 9 3 3 2 2 2 2" xfId="51721" xr:uid="{31C1A3AA-3EC8-4EA7-83C3-8D2005304B35}"/>
    <cellStyle name="Comma 9 3 3 2 2 3" xfId="54488" xr:uid="{F77E7708-D409-4568-8DC1-BF17D956CC60}"/>
    <cellStyle name="Comma 9 3 3 2 2 4" xfId="49009" xr:uid="{98BDAEDA-A928-46F4-8E0C-C51C214DF0F9}"/>
    <cellStyle name="Comma 9 3 3 2 3" xfId="12210" xr:uid="{83D67F02-F9D9-4D50-8194-54371FBD41A9}"/>
    <cellStyle name="Comma 9 3 3 2 3 2" xfId="47433" xr:uid="{50A81974-A696-4B0C-9BDF-647DC7F4CEE2}"/>
    <cellStyle name="Comma 9 3 3 2 4" xfId="50393" xr:uid="{8F2644F8-CA4D-4A60-A276-B31BA1286347}"/>
    <cellStyle name="Comma 9 3 3 2 5" xfId="54489" xr:uid="{0858925B-C52B-469C-BA7D-C4D7EF6C8D27}"/>
    <cellStyle name="Comma 9 3 3 2 6" xfId="39389" xr:uid="{C2132F76-F0C8-47F7-8E8C-E6FB00A4ABB3}"/>
    <cellStyle name="Comma 9 3 3 2 7" xfId="14624" xr:uid="{43E75791-240A-432A-A96D-B5D6E7331D4B}"/>
    <cellStyle name="Comma 9 3 3 3" xfId="9695" xr:uid="{C7DDBDE4-973B-4B29-81EE-0709F81B6B11}"/>
    <cellStyle name="Comma 9 3 3 3 2" xfId="13001" xr:uid="{1EA082ED-9AA2-44AE-8237-37E8A21BE50D}"/>
    <cellStyle name="Comma 9 3 3 3 2 2" xfId="48154" xr:uid="{6F1FCC08-03F3-40CE-8D94-CFA177837A4D}"/>
    <cellStyle name="Comma 9 3 3 3 3" xfId="51003" xr:uid="{93C6A49A-1088-4D9B-ACF0-3B04C6C31C1A}"/>
    <cellStyle name="Comma 9 3 3 3 4" xfId="54490" xr:uid="{7ED49638-B4CD-4E42-8AE4-E932C3323BDF}"/>
    <cellStyle name="Comma 9 3 3 3 5" xfId="41245" xr:uid="{065C0851-24E5-44A4-A88F-39E9E5324A00}"/>
    <cellStyle name="Comma 9 3 3 4" xfId="7191" xr:uid="{0D42CB94-AF1F-4C1E-8606-7E9D9D292426}"/>
    <cellStyle name="Comma 9 3 3 4 2" xfId="43066" xr:uid="{F76D594C-95E8-4DC7-8BF1-66FCFA224B51}"/>
    <cellStyle name="Comma 9 3 3 5" xfId="11716" xr:uid="{CED63AC6-B8BE-4A4C-BB20-1E5BB60AB9E2}"/>
    <cellStyle name="Comma 9 3 3 5 2" xfId="43884" xr:uid="{05029E38-8DC4-49A6-9880-C2AA96AE2A0D}"/>
    <cellStyle name="Comma 9 3 3 6" xfId="45165" xr:uid="{2C432814-C391-4570-93D9-C1A4973F7E5E}"/>
    <cellStyle name="Comma 9 3 3 7" xfId="46642" xr:uid="{C422B1C9-7662-4668-9803-587EC3B9CD44}"/>
    <cellStyle name="Comma 9 3 3 8" xfId="49675" xr:uid="{1CC3E444-F775-4E7D-8975-F2CE761479FA}"/>
    <cellStyle name="Comma 9 3 3 9" xfId="54491" xr:uid="{82BDC213-F678-4048-83EE-138BBB8D8BA5}"/>
    <cellStyle name="Comma 9 3 4" xfId="6585" xr:uid="{CEC86941-14F9-47F4-A188-DE76EDD1DA7E}"/>
    <cellStyle name="Comma 9 3 4 2" xfId="9557" xr:uid="{A7AF490E-B47B-413A-A9EB-AC583C6EDDA7}"/>
    <cellStyle name="Comma 9 3 4 2 2" xfId="12863" xr:uid="{E1D2B828-5BA4-400E-A155-68A35A917F5C}"/>
    <cellStyle name="Comma 9 3 4 2 2 2" xfId="50888" xr:uid="{6D94641E-D89B-42F0-B1B2-46C9A14EA9A4}"/>
    <cellStyle name="Comma 9 3 4 2 3" xfId="54492" xr:uid="{BA2EC7F7-F372-4E8C-AE7C-2E0BCB0E3BF2}"/>
    <cellStyle name="Comma 9 3 4 2 4" xfId="48019" xr:uid="{0D5C3B8B-5815-461F-98A1-61F129B409A0}"/>
    <cellStyle name="Comma 9 3 4 3" xfId="11578" xr:uid="{96501713-EBBD-4406-B181-41424149D336}"/>
    <cellStyle name="Comma 9 3 4 3 2" xfId="46224" xr:uid="{F3AA09C4-B2A9-43A3-9408-9E80126FF445}"/>
    <cellStyle name="Comma 9 3 4 4" xfId="49560" xr:uid="{33121723-9861-4A3A-8852-FBF2AC28FEC6}"/>
    <cellStyle name="Comma 9 3 4 5" xfId="54493" xr:uid="{C7CB6C28-1A69-4088-A351-6CC32D7E5803}"/>
    <cellStyle name="Comma 9 3 4 6" xfId="20042" xr:uid="{B93D4D0B-3E5E-418F-AD1A-33292387E8E7}"/>
    <cellStyle name="Comma 9 3 4 7" xfId="14486" xr:uid="{44C5401A-EBCB-498B-A6FD-0BC7056DA40E}"/>
    <cellStyle name="Comma 9 3 5" xfId="7559" xr:uid="{8174FE55-1D4F-4161-BEE7-9CE65E8EB709}"/>
    <cellStyle name="Comma 9 3 5 2" xfId="10051" xr:uid="{7DA820B9-7760-48DD-9F64-83B531103F6C}"/>
    <cellStyle name="Comma 9 3 5 2 2" xfId="13357" xr:uid="{117AADE3-04D2-43B1-B355-CA5C2CE2E5AC}"/>
    <cellStyle name="Comma 9 3 5 2 2 2" xfId="51350" xr:uid="{5446C9B6-8190-44B6-8272-5A81B09C55A2}"/>
    <cellStyle name="Comma 9 3 5 2 3" xfId="54494" xr:uid="{F629C558-2B99-4098-8241-0E167364C497}"/>
    <cellStyle name="Comma 9 3 5 2 4" xfId="48564" xr:uid="{D37F01CB-7345-4C19-9691-50BA28738107}"/>
    <cellStyle name="Comma 9 3 5 3" xfId="12072" xr:uid="{2A12D8F5-5A72-495C-894D-31FBF88EF0CB}"/>
    <cellStyle name="Comma 9 3 5 3 2" xfId="47003" xr:uid="{AB2BEF0E-15DC-4ADF-B51E-346A2FC07F64}"/>
    <cellStyle name="Comma 9 3 5 4" xfId="50022" xr:uid="{B0766464-2F2C-4613-9066-1B05782DB12B}"/>
    <cellStyle name="Comma 9 3 5 5" xfId="54495" xr:uid="{1C118CA0-C680-4D46-90D0-2B7DA57250A9}"/>
    <cellStyle name="Comma 9 3 5 6" xfId="24107" xr:uid="{110674C9-481F-403C-AAC7-D13DF15F31C1}"/>
    <cellStyle name="Comma 9 3 5 7" xfId="14939" xr:uid="{71B2BEBE-46B2-4B5A-B18A-6A6E4FD6EAB0}"/>
    <cellStyle name="Comma 9 3 6" xfId="8225" xr:uid="{9EA000F5-265F-4D2C-8A07-6581DC67B864}"/>
    <cellStyle name="Comma 9 3 6 2" xfId="12681" xr:uid="{BA41DEE2-1E13-4101-A0BD-D506570B72CC}"/>
    <cellStyle name="Comma 9 3 6 2 2" xfId="51606" xr:uid="{328C6472-B1B6-4D2E-AE4F-00DDF4814C65}"/>
    <cellStyle name="Comma 9 3 6 2 3" xfId="54496" xr:uid="{0AA847C9-DEA8-472C-9BA9-965EE946B4CD}"/>
    <cellStyle name="Comma 9 3 6 2 4" xfId="48871" xr:uid="{6C537201-C2CF-4CF8-B7D9-0119309D69DF}"/>
    <cellStyle name="Comma 9 3 6 3" xfId="47300" xr:uid="{4894D111-B014-4E81-8FF1-255FD65AF1DD}"/>
    <cellStyle name="Comma 9 3 6 4" xfId="50278" xr:uid="{F8DAAFAD-E326-4D42-9714-E5E42D39770B}"/>
    <cellStyle name="Comma 9 3 6 5" xfId="54497" xr:uid="{62D8F4CC-67F3-436E-BE65-BAB76027C554}"/>
    <cellStyle name="Comma 9 3 6 6" xfId="38604" xr:uid="{1CE99A19-0F72-40EA-987B-8D78FD026B11}"/>
    <cellStyle name="Comma 9 3 7" xfId="8012" xr:uid="{788A8C70-5B8B-449B-A7C9-DDFEEC3587B1}"/>
    <cellStyle name="Comma 9 3 7 2" xfId="12525" xr:uid="{1012884B-11AD-4F04-BD6C-BE4903D0F80B}"/>
    <cellStyle name="Comma 9 3 7 2 2" xfId="47858" xr:uid="{03869CF4-BB3E-4817-B3F0-5356A2BA4B14}"/>
    <cellStyle name="Comma 9 3 7 3" xfId="50746" xr:uid="{1B9A43E5-5653-49BE-8F8F-BDD99110F525}"/>
    <cellStyle name="Comma 9 3 7 4" xfId="54498" xr:uid="{5523FE56-7D2D-48B4-87F5-5C44B6B402E1}"/>
    <cellStyle name="Comma 9 3 7 5" xfId="38798" xr:uid="{60C01843-1B42-4201-A9D9-C3D25EA6BDEB}"/>
    <cellStyle name="Comma 9 3 8" xfId="5909" xr:uid="{7FDBCBD8-B6FB-43B6-959E-80B35D5F2F09}"/>
    <cellStyle name="Comma 9 3 8 2" xfId="40427" xr:uid="{0C11D4D2-94C9-4E25-83D7-8B43CFB8B36A}"/>
    <cellStyle name="Comma 9 3 9" xfId="11397" xr:uid="{B2EE2C32-E218-45A1-9133-94EE5B693F25}"/>
    <cellStyle name="Comma 9 3 9 2" xfId="41069" xr:uid="{0F82DB0E-D893-49CE-B9DF-9EEB49796333}"/>
    <cellStyle name="Comma 9 4" xfId="4512" xr:uid="{70DDD496-B9FD-450E-A34F-808E9A8C633C}"/>
    <cellStyle name="Comma 9 4 10" xfId="42798" xr:uid="{FC402198-63EE-4F27-BD8C-B4C9F5006E28}"/>
    <cellStyle name="Comma 9 4 11" xfId="44313" xr:uid="{95B0BC08-1BFF-4174-B016-961EC3F67C07}"/>
    <cellStyle name="Comma 9 4 12" xfId="44613" xr:uid="{AE2D1D6A-AA6E-408E-9355-C505E4139215}"/>
    <cellStyle name="Comma 9 4 13" xfId="45747" xr:uid="{620E4378-A456-4287-9ECC-3DDA4E7B2E20}"/>
    <cellStyle name="Comma 9 4 14" xfId="49375" xr:uid="{FA9EDB0E-9C51-44A2-86F3-7CC60790A658}"/>
    <cellStyle name="Comma 9 4 15" xfId="54499" xr:uid="{19B91BA1-0F8C-433B-B8D0-D56DE3176871}"/>
    <cellStyle name="Comma 9 4 16" xfId="17151" xr:uid="{E8B1DEC7-2A9E-4881-BECD-F905B08AD152}"/>
    <cellStyle name="Comma 9 4 17" xfId="14306" xr:uid="{01BAEFF9-33BD-40FF-9612-8BB988AA9EF4}"/>
    <cellStyle name="Comma 9 4 2" xfId="5769" xr:uid="{44E6D0AF-8AFA-4DEB-AC25-7806EB979543}"/>
    <cellStyle name="Comma 9 4 2 10" xfId="14798" xr:uid="{939653C6-E6DE-4B69-B464-B7A7329AB445}"/>
    <cellStyle name="Comma 9 4 2 2" xfId="10363" xr:uid="{6E7B959F-A9D4-431B-A734-AF2816ECB98E}"/>
    <cellStyle name="Comma 9 4 2 2 2" xfId="13669" xr:uid="{84D0606A-38E9-477F-B544-DC639CCE2FF7}"/>
    <cellStyle name="Comma 9 4 2 2 2 2" xfId="48323" xr:uid="{19A6048B-1058-4C38-A73E-7E5CC6D9EFA8}"/>
    <cellStyle name="Comma 9 4 2 2 3" xfId="51141" xr:uid="{19450EE4-B18F-4FFD-8FDE-476CD0431EE5}"/>
    <cellStyle name="Comma 9 4 2 2 4" xfId="54500" xr:uid="{48470033-0FB4-4ECA-8196-F1899AE1F373}"/>
    <cellStyle name="Comma 9 4 2 2 5" xfId="39712" xr:uid="{784F1221-94D0-4A9B-8B38-E5355DCE0ED4}"/>
    <cellStyle name="Comma 9 4 2 3" xfId="7871" xr:uid="{1BFC8EAB-104C-410B-A5FE-89DBF146C105}"/>
    <cellStyle name="Comma 9 4 2 3 2" xfId="41565" xr:uid="{E477D5E4-D29B-4397-BC0F-59BD89B40FF5}"/>
    <cellStyle name="Comma 9 4 2 4" xfId="12384" xr:uid="{17C94296-D040-4256-AC5E-0EBFFE5A1AE1}"/>
    <cellStyle name="Comma 9 4 2 4 2" xfId="43389" xr:uid="{6CF97798-6402-4FBC-9F3F-83FED04814BA}"/>
    <cellStyle name="Comma 9 4 2 5" xfId="45468" xr:uid="{3ED06894-DE89-4F2B-BC25-F6317E1B7947}"/>
    <cellStyle name="Comma 9 4 2 6" xfId="46781" xr:uid="{AC6214C0-19A4-425F-B0F3-81E453C7355D}"/>
    <cellStyle name="Comma 9 4 2 7" xfId="49813" xr:uid="{EF397D17-218D-4073-9DF1-B485B3B1032D}"/>
    <cellStyle name="Comma 9 4 2 8" xfId="54501" xr:uid="{9D370762-CC87-4B9A-9FB0-80C1C7C38524}"/>
    <cellStyle name="Comma 9 4 2 9" xfId="21146" xr:uid="{B7C36B00-D57C-41A5-997D-33541A10A43E}"/>
    <cellStyle name="Comma 9 4 3" xfId="11177" xr:uid="{CAEC6A23-159B-47C9-9B08-478566152FD9}"/>
    <cellStyle name="Comma 9 4 3 2" xfId="13768" xr:uid="{B198D98F-5560-424C-9988-F236149035F5}"/>
    <cellStyle name="Comma 9 4 3 2 2" xfId="51348" xr:uid="{1C5A1C40-08B8-4C77-A3FA-D36C6BC11555}"/>
    <cellStyle name="Comma 9 4 3 2 3" xfId="54502" xr:uid="{C0EA3A1A-4D79-4CB9-A192-1D168EB1515E}"/>
    <cellStyle name="Comma 9 4 3 2 4" xfId="48562" xr:uid="{20F01ABB-09D4-45C1-8A4D-EE86BCBE7A66}"/>
    <cellStyle name="Comma 9 4 3 3" xfId="47001" xr:uid="{3B32A639-EC79-4607-B112-25199A1E6403}"/>
    <cellStyle name="Comma 9 4 3 4" xfId="50020" xr:uid="{53A2F0BC-22D2-4720-B918-935CBCE88E89}"/>
    <cellStyle name="Comma 9 4 3 5" xfId="54503" xr:uid="{83663C55-8971-45FB-BC9F-C47085DAECD0}"/>
    <cellStyle name="Comma 9 4 3 6" xfId="20365" xr:uid="{88AE6074-448B-4DFD-9361-E013091CD7DE}"/>
    <cellStyle name="Comma 9 4 3 7" xfId="15113" xr:uid="{63577EBE-01E5-4AE7-ADC8-BEF95180A434}"/>
    <cellStyle name="Comma 9 4 4" xfId="9869" xr:uid="{BB373843-0AB4-478A-AABE-5E746D6CAC73}"/>
    <cellStyle name="Comma 9 4 4 2" xfId="13175" xr:uid="{0D016A4E-F057-4BB7-8BD9-686089A4BEBA}"/>
    <cellStyle name="Comma 9 4 4 2 2" xfId="51859" xr:uid="{9BB86965-D6D1-4BE9-9B78-C3A364148393}"/>
    <cellStyle name="Comma 9 4 4 2 3" xfId="54504" xr:uid="{A4F64E25-B1C2-4813-8939-D9F1AED93DEB}"/>
    <cellStyle name="Comma 9 4 4 2 4" xfId="49179" xr:uid="{6C8238EB-9A45-4AB6-8402-DF0DFCC99729}"/>
    <cellStyle name="Comma 9 4 4 3" xfId="47596" xr:uid="{4B4DAB42-154D-454A-AC0A-CDBEDF48C5E0}"/>
    <cellStyle name="Comma 9 4 4 4" xfId="50531" xr:uid="{50508FB5-4F9E-4EA8-AD46-0E87057EC188}"/>
    <cellStyle name="Comma 9 4 4 5" xfId="54505" xr:uid="{12DD52FE-C951-4E0A-83AD-13A851DBCD3C}"/>
    <cellStyle name="Comma 9 4 4 6" xfId="24109" xr:uid="{3CF1B80B-DCA4-4FFC-AEAD-12865B53DF49}"/>
    <cellStyle name="Comma 9 4 5" xfId="7367" xr:uid="{15B44F71-1A92-4281-BD77-2772F97CF83F}"/>
    <cellStyle name="Comma 9 4 5 2" xfId="47804" xr:uid="{75CC3820-8ABD-49A2-9E72-798A78CC96A7}"/>
    <cellStyle name="Comma 9 4 5 3" xfId="50703" xr:uid="{52AA1FE6-2D25-4DA8-99B5-818CB1D3C38C}"/>
    <cellStyle name="Comma 9 4 5 4" xfId="54506" xr:uid="{998C4CCC-158A-4C08-9E93-62FC72FCCFF2}"/>
    <cellStyle name="Comma 9 4 5 5" xfId="38606" xr:uid="{EE9226DA-890E-4ACF-9D85-6693A477D677}"/>
    <cellStyle name="Comma 9 4 6" xfId="11890" xr:uid="{EE6B11A6-ECC3-4B04-87DD-2653DA4728A3}"/>
    <cellStyle name="Comma 9 4 6 2" xfId="39121" xr:uid="{BAA3A073-3D7E-45B5-80A3-77F6FB639CA9}"/>
    <cellStyle name="Comma 9 4 7" xfId="40429" xr:uid="{96C10871-F094-4DE9-9885-A7EAEA2BB070}"/>
    <cellStyle name="Comma 9 4 8" xfId="41071" xr:uid="{FC0046D2-8614-43E0-A3A8-5BC0922688EF}"/>
    <cellStyle name="Comma 9 4 9" xfId="42283" xr:uid="{DD199DC3-50D6-4547-8B04-AAFD663BD7BE}"/>
    <cellStyle name="Comma 9 5" xfId="5593" xr:uid="{B95DA044-9209-48F7-8F8A-116F76165DAA}"/>
    <cellStyle name="Comma 9 5 10" xfId="42870" xr:uid="{B12C2E7A-6752-4C54-887B-62ED6BBCDC9A}"/>
    <cellStyle name="Comma 9 5 11" xfId="43882" xr:uid="{517EDA22-E0F4-4AD5-A088-F2426859E88C}"/>
    <cellStyle name="Comma 9 5 12" xfId="44977" xr:uid="{6F8D22D8-B194-456B-8EA6-C640BBD5653A}"/>
    <cellStyle name="Comma 9 5 13" xfId="46640" xr:uid="{05140C56-23BF-44BF-A99D-D6B30F109D0C}"/>
    <cellStyle name="Comma 9 5 14" xfId="49673" xr:uid="{D7EA1A43-4479-4A08-9B5F-085BD0CAF2BD}"/>
    <cellStyle name="Comma 9 5 15" xfId="54507" xr:uid="{19111B29-6527-4010-8A1C-84BFBB71C27D}"/>
    <cellStyle name="Comma 9 5 16" xfId="19776" xr:uid="{893003AA-B29C-447C-A398-0569584CC6A6}"/>
    <cellStyle name="Comma 9 5 17" xfId="14130" xr:uid="{9749B9E4-1857-4856-8BC4-0D8B20F351D9}"/>
    <cellStyle name="Comma 9 5 2" xfId="7695" xr:uid="{BE4FF72F-FD53-4497-B536-CFD8E46EAEFA}"/>
    <cellStyle name="Comma 9 5 2 10" xfId="45534" xr:uid="{3DDB3956-F0F1-4884-9DF3-2C3DB356BDA6}"/>
    <cellStyle name="Comma 9 5 2 11" xfId="47087" xr:uid="{20533036-C03A-4F6D-8A03-A5D5BED11765}"/>
    <cellStyle name="Comma 9 5 2 12" xfId="50088" xr:uid="{8E965FEC-E8DF-4818-AF0F-12A11FB69747}"/>
    <cellStyle name="Comma 9 5 2 13" xfId="54508" xr:uid="{E84FC7B9-94BD-47B6-A5EA-14CE38240F43}"/>
    <cellStyle name="Comma 9 5 2 14" xfId="23393" xr:uid="{51B37879-F61A-40A5-BBA0-80C1782E20D9}"/>
    <cellStyle name="Comma 9 5 2 15" xfId="14622" xr:uid="{59E0EE68-FEAB-445A-ADEB-614A6195D003}"/>
    <cellStyle name="Comma 9 5 2 2" xfId="10187" xr:uid="{0D09AB9D-CAD0-46AE-B933-CD22F9206EE8}"/>
    <cellStyle name="Comma 9 5 2 2 2" xfId="13493" xr:uid="{7064D164-4FBF-41B0-AE4F-2A388D80C5FA}"/>
    <cellStyle name="Comma 9 5 2 2 2 2" xfId="48653" xr:uid="{5FEDA42F-9DAD-40BC-93DC-45121D1460A1}"/>
    <cellStyle name="Comma 9 5 2 2 3" xfId="51416" xr:uid="{CD1B611F-AA97-423B-AB18-673375CFB742}"/>
    <cellStyle name="Comma 9 5 2 2 4" xfId="54509" xr:uid="{01CA05EB-F67B-4B2F-8375-FBCBCFD6D84E}"/>
    <cellStyle name="Comma 9 5 2 2 5" xfId="24111" xr:uid="{8DF3430C-C56E-49B9-BC99-567E8DB083EC}"/>
    <cellStyle name="Comma 9 5 2 3" xfId="12208" xr:uid="{4D64FA9D-A347-47ED-B8D1-34B7CD02384A}"/>
    <cellStyle name="Comma 9 5 2 3 2" xfId="38608" xr:uid="{CA8FE6B7-627F-4BD1-BEF7-D8A818F7A1F9}"/>
    <cellStyle name="Comma 9 5 2 4" xfId="39784" xr:uid="{197C78E9-63F3-4968-A4FA-EA05F1E67B8F}"/>
    <cellStyle name="Comma 9 5 2 5" xfId="40431" xr:uid="{C99EE2DC-12FF-4F14-8C5D-3D1DD0920F58}"/>
    <cellStyle name="Comma 9 5 2 6" xfId="41073" xr:uid="{03732A01-0A10-4D25-8201-370BA9B09C78}"/>
    <cellStyle name="Comma 9 5 2 7" xfId="41637" xr:uid="{A8A0062F-3AEF-4E6B-9866-55B385A8D443}"/>
    <cellStyle name="Comma 9 5 2 8" xfId="42285" xr:uid="{0B4F543D-2601-47A8-A9C3-4EEE3DA0991B}"/>
    <cellStyle name="Comma 9 5 2 9" xfId="43461" xr:uid="{4D3DEAF6-AA88-4F8A-BE55-5B71ABDE8663}"/>
    <cellStyle name="Comma 9 5 3" xfId="9693" xr:uid="{E8CCE2FD-E8CC-455B-892B-4EA92644D344}"/>
    <cellStyle name="Comma 9 5 3 2" xfId="12999" xr:uid="{E74525B8-FA93-4FCA-BBEB-8FAE5E41375A}"/>
    <cellStyle name="Comma 9 5 3 2 2" xfId="51719" xr:uid="{B4E74559-326E-4C25-B388-D3441DA07414}"/>
    <cellStyle name="Comma 9 5 3 2 3" xfId="54510" xr:uid="{17BA5599-97DC-4EB4-B81A-99DB297A163C}"/>
    <cellStyle name="Comma 9 5 3 2 4" xfId="49007" xr:uid="{3548B819-22D5-427B-BBE2-5A6796300247}"/>
    <cellStyle name="Comma 9 5 3 3" xfId="47431" xr:uid="{36BC1560-8B79-416F-A441-410B6679FCDC}"/>
    <cellStyle name="Comma 9 5 3 4" xfId="50391" xr:uid="{7A6EDF04-C840-4C8B-8527-528B9AD3379C}"/>
    <cellStyle name="Comma 9 5 3 5" xfId="54511" xr:uid="{DD43F4F3-8728-4D21-944B-EC219D42AC8E}"/>
    <cellStyle name="Comma 9 5 3 6" xfId="20437" xr:uid="{1FBEB82C-6298-4691-9C94-90844FBCC9A8}"/>
    <cellStyle name="Comma 9 5 4" xfId="7189" xr:uid="{142D09D0-BE7B-403D-B456-18B209965625}"/>
    <cellStyle name="Comma 9 5 4 2" xfId="48152" xr:uid="{D3C5F758-DEFC-4769-A330-C0C659005AC6}"/>
    <cellStyle name="Comma 9 5 4 3" xfId="51001" xr:uid="{4788B061-E273-4FAE-A7FC-A7A4A596EEE9}"/>
    <cellStyle name="Comma 9 5 4 4" xfId="54512" xr:uid="{5B217B76-C3DB-48AE-8F5F-1E8F60EAA3EC}"/>
    <cellStyle name="Comma 9 5 4 5" xfId="24110" xr:uid="{F55295D8-1150-4FEA-95A1-FD12C8E7A7B2}"/>
    <cellStyle name="Comma 9 5 5" xfId="11714" xr:uid="{0E24DA67-B7FE-4365-8752-33A5F68BD066}"/>
    <cellStyle name="Comma 9 5 5 2" xfId="38607" xr:uid="{160200DC-20A4-4998-8564-A216301D4CFF}"/>
    <cellStyle name="Comma 9 5 6" xfId="39193" xr:uid="{D63526A9-3271-40B0-8479-F1A1E92E3A09}"/>
    <cellStyle name="Comma 9 5 7" xfId="40430" xr:uid="{FEE29DDF-F4E2-412C-97DC-F007A978A866}"/>
    <cellStyle name="Comma 9 5 8" xfId="41072" xr:uid="{82541A4B-AA13-461D-AAD8-12D99AA52189}"/>
    <cellStyle name="Comma 9 5 9" xfId="42284" xr:uid="{62282450-3A1B-4B52-917F-2FA26600532F}"/>
    <cellStyle name="Comma 9 6" xfId="6583" xr:uid="{1CAC17D3-C226-4C2C-AE1A-DA566918AC8E}"/>
    <cellStyle name="Comma 9 6 10" xfId="14484" xr:uid="{D966D3E0-BA9D-4B84-8C28-7CC8A2C6937C}"/>
    <cellStyle name="Comma 9 6 2" xfId="9555" xr:uid="{C8E94443-C67E-4DF9-BC06-170D201664E4}"/>
    <cellStyle name="Comma 9 6 2 2" xfId="12861" xr:uid="{896081B3-E76B-406C-9B28-3A7AA5248558}"/>
    <cellStyle name="Comma 9 6 2 2 2" xfId="48017" xr:uid="{2C5C7446-2757-4258-9544-762B834B5718}"/>
    <cellStyle name="Comma 9 6 2 3" xfId="50886" xr:uid="{38925CB7-4419-4FDE-A9CF-5BD21FBDA0CB}"/>
    <cellStyle name="Comma 9 6 2 4" xfId="54513" xr:uid="{CBEE1652-4470-42FC-B140-FD00A853EB69}"/>
    <cellStyle name="Comma 9 6 2 5" xfId="39238" xr:uid="{1DE91959-C8D1-4437-9E2D-7FEFBBB79887}"/>
    <cellStyle name="Comma 9 6 3" xfId="11576" xr:uid="{2B5E449F-21AB-441E-9E65-873C40D21344}"/>
    <cellStyle name="Comma 9 6 3 2" xfId="41107" xr:uid="{18D286DA-C358-4168-8497-8FE37D99E933}"/>
    <cellStyle name="Comma 9 6 4" xfId="42915" xr:uid="{7843B0A1-BAA7-495B-8596-C77A589ADEE3}"/>
    <cellStyle name="Comma 9 6 5" xfId="45022" xr:uid="{ED341A18-F6A4-4CB1-AB99-9751E089838A}"/>
    <cellStyle name="Comma 9 6 6" xfId="46222" xr:uid="{CC53C444-C725-41F5-898E-D0AA5D562DBF}"/>
    <cellStyle name="Comma 9 6 7" xfId="49558" xr:uid="{37DD336E-CBD8-4A89-A72A-75E1BB7B2461}"/>
    <cellStyle name="Comma 9 6 8" xfId="54514" xr:uid="{DD5395B6-91FD-4659-9876-15D84CBE7048}"/>
    <cellStyle name="Comma 9 6 9" xfId="20483" xr:uid="{9C87360C-397D-4EC7-8E12-17BD49304712}"/>
    <cellStyle name="Comma 9 7" xfId="7557" xr:uid="{AACF3B7D-1EA4-4739-988B-6DA46644D471}"/>
    <cellStyle name="Comma 9 7 2" xfId="10049" xr:uid="{6C56FFB8-F211-4926-A4CD-97B2696CDAA4}"/>
    <cellStyle name="Comma 9 7 2 2" xfId="13355" xr:uid="{678C023A-40FE-4319-883B-3959027D44C8}"/>
    <cellStyle name="Comma 9 7 2 2 2" xfId="51210" xr:uid="{AE52DB68-2F64-4D0A-82C6-0AC82CC1ECF3}"/>
    <cellStyle name="Comma 9 7 2 3" xfId="54515" xr:uid="{3605F254-8E3D-42A1-B935-32D79A9554AB}"/>
    <cellStyle name="Comma 9 7 2 4" xfId="48409" xr:uid="{903B7423-1A97-40A7-90D3-829A10583D17}"/>
    <cellStyle name="Comma 9 7 3" xfId="12070" xr:uid="{5FBBADE4-6E56-40F4-BC0A-9F924A950335}"/>
    <cellStyle name="Comma 9 7 3 2" xfId="46858" xr:uid="{68092C3B-FA33-401C-8418-9A77E3C8507C}"/>
    <cellStyle name="Comma 9 7 4" xfId="49882" xr:uid="{FADC75AB-B4BD-43D1-99A5-B20B47E82727}"/>
    <cellStyle name="Comma 9 7 5" xfId="54516" xr:uid="{87D08C59-C04B-442A-9BEB-F35F4D5D09C8}"/>
    <cellStyle name="Comma 9 7 6" xfId="19889" xr:uid="{24D3B604-8C2B-4331-96FA-81A241AD4202}"/>
    <cellStyle name="Comma 9 7 7" xfId="14937" xr:uid="{EF20B2E6-63A6-46B8-BC3A-0933DFE47C16}"/>
    <cellStyle name="Comma 9 8" xfId="8223" xr:uid="{2CD3138D-5F59-4268-AB5B-C6E309E1E749}"/>
    <cellStyle name="Comma 9 8 2" xfId="12679" xr:uid="{36960690-BAA6-4E4B-A24C-560F2F6EB75E}"/>
    <cellStyle name="Comma 9 8 2 2" xfId="51604" xr:uid="{812DD119-75F2-488E-968D-469C8E1559E1}"/>
    <cellStyle name="Comma 9 8 2 3" xfId="54517" xr:uid="{0786D683-E621-478C-AA2C-CE1C581FE318}"/>
    <cellStyle name="Comma 9 8 2 4" xfId="48869" xr:uid="{60D188BC-64FD-451E-A7B8-EA30F743C7E6}"/>
    <cellStyle name="Comma 9 8 3" xfId="47298" xr:uid="{6A8956F1-A3B0-4B49-A285-50D273FFB9B9}"/>
    <cellStyle name="Comma 9 8 4" xfId="50276" xr:uid="{C23EDE00-92A6-47F3-A8DF-A2547BDFEADF}"/>
    <cellStyle name="Comma 9 8 5" xfId="54518" xr:uid="{6542D49A-34DA-4A2E-B860-C6F4E7D5C12F}"/>
    <cellStyle name="Comma 9 8 6" xfId="24101" xr:uid="{4FF8FE53-CE82-4204-896D-A3C6C78FD5E1}"/>
    <cellStyle name="Comma 9 9" xfId="8010" xr:uid="{F23DABF6-B345-4466-A9FB-4A912CA4F535}"/>
    <cellStyle name="Comma 9 9 2" xfId="12523" xr:uid="{784A0BBC-98BF-4FC4-9FAE-319C7BFB9809}"/>
    <cellStyle name="Comma 9 9 2 2" xfId="47722" xr:uid="{7EB3281B-5B92-40D9-B539-0A1683F47115}"/>
    <cellStyle name="Comma 9 9 3" xfId="50630" xr:uid="{FE8E3185-A83D-49B1-B662-39450EA5EEB1}"/>
    <cellStyle name="Comma 9 9 4" xfId="54519" xr:uid="{982AE6CD-A972-4C47-A68E-78DD5EB8D00C}"/>
    <cellStyle name="Comma 9 9 5" xfId="38598" xr:uid="{57DD3CB4-3CF9-46FE-AD94-7F52366D4FE9}"/>
    <cellStyle name="Cor1" xfId="1839" xr:uid="{06E67818-76F3-46C5-B452-7B583DD8184D}"/>
    <cellStyle name="Cor2" xfId="1840" xr:uid="{0DE8EA95-8C69-46E1-BF1D-0416D5FE9FD3}"/>
    <cellStyle name="Cor3" xfId="1841" xr:uid="{7EF79EA2-F6A6-44CB-A52D-228085CEE23A}"/>
    <cellStyle name="Cor4" xfId="1842" xr:uid="{745D36F4-BB6C-4AAD-8DBD-18F31119457E}"/>
    <cellStyle name="Cor5" xfId="1843" xr:uid="{749D477A-3179-4D8C-9386-1B1CFCE9EE39}"/>
    <cellStyle name="Cor6" xfId="1844" xr:uid="{59B8E18E-CA48-4BDF-85D9-739CC17A6551}"/>
    <cellStyle name="Correcto" xfId="1845" xr:uid="{CFFB5C8B-66C0-44DA-934B-CCF6FA3F9DFC}"/>
    <cellStyle name="CustomizationCells" xfId="1846" xr:uid="{5681EB7D-868C-4C17-B6F0-565F7BBB5779}"/>
    <cellStyle name="CustomizationGreenCells" xfId="1847" xr:uid="{457E45E8-94C1-42D8-BBA7-7C7DCF006555}"/>
    <cellStyle name="DADOS" xfId="1848" xr:uid="{4417A8A6-4508-427D-81ED-B830CEE8ED73}"/>
    <cellStyle name="Empty_L_border" xfId="1849" xr:uid="{272B4ACF-1D2D-4922-BDB5-1E1A0295CA35}"/>
    <cellStyle name="Entrada" xfId="1850" xr:uid="{1386A761-0160-4383-B24B-3F2047B9D090}"/>
    <cellStyle name="Entrada 2" xfId="1851" xr:uid="{C442FBB1-4F96-48AF-9AC9-CB5E5B808DC7}"/>
    <cellStyle name="Euro" xfId="1852" xr:uid="{BB75816C-1569-43CC-9070-36A02EC1DF23}"/>
    <cellStyle name="Euro 10" xfId="1853" xr:uid="{D41173AF-CDD3-4EE4-9CD0-AA67E3998AD0}"/>
    <cellStyle name="Euro 10 2" xfId="1854" xr:uid="{FF72C688-ECA9-4B09-B840-94727ACB006F}"/>
    <cellStyle name="Euro 10 2 2" xfId="4516" xr:uid="{557F486C-64FF-4784-B05C-5D1507674EEB}"/>
    <cellStyle name="Euro 10 2 3" xfId="3904" xr:uid="{8A0EF5A9-D847-408A-909E-B24D07751080}"/>
    <cellStyle name="Euro 10 2 4" xfId="5971" xr:uid="{415660F6-36CB-49F7-BEC7-10EB5551C309}"/>
    <cellStyle name="Euro 10 2 5" xfId="8231" xr:uid="{31168C03-A5E9-4FE0-8A21-E560EB342689}"/>
    <cellStyle name="Euro 10 3" xfId="1855" xr:uid="{6E49FD87-D222-4FF8-96EF-9F3CC9F2A13A}"/>
    <cellStyle name="Euro 10 3 2" xfId="4517" xr:uid="{EBD4C19F-90F5-4609-97C8-BF6798889A5B}"/>
    <cellStyle name="Euro 10 3 3" xfId="3905" xr:uid="{8B8E8137-A640-4E16-9662-CE5164DF60FA}"/>
    <cellStyle name="Euro 10 3 4" xfId="5972" xr:uid="{990740AD-424B-4492-8B38-91AEC2F4259A}"/>
    <cellStyle name="Euro 10 3 5" xfId="8232" xr:uid="{C5E034CD-C3E0-457A-AF40-76405797B963}"/>
    <cellStyle name="Euro 10 4" xfId="1856" xr:uid="{7A8096DB-96E0-4520-8F63-958CA5305E94}"/>
    <cellStyle name="Euro 10 4 2" xfId="4518" xr:uid="{FC202950-8B8B-4DFA-9524-E3674CBC499C}"/>
    <cellStyle name="Euro 10 4 3" xfId="3906" xr:uid="{A4D3F25E-EE0C-48C8-A44A-035A094E6902}"/>
    <cellStyle name="Euro 10 4 4" xfId="5973" xr:uid="{48B29FDC-B35D-4F5E-AFD6-9BDA2CF72708}"/>
    <cellStyle name="Euro 10 4 5" xfId="8233" xr:uid="{9412C0D8-86C7-44F1-98EF-4B12E0371E1E}"/>
    <cellStyle name="Euro 10 5" xfId="4515" xr:uid="{50F5AA8B-FB4F-47D5-9CEF-AA561506EBD2}"/>
    <cellStyle name="Euro 10 6" xfId="3903" xr:uid="{C4F6ABF4-2786-4109-A51D-A9E3B60A088F}"/>
    <cellStyle name="Euro 10 7" xfId="5970" xr:uid="{FEA9F692-E113-4805-8074-F9E02531B50E}"/>
    <cellStyle name="Euro 10 8" xfId="8230" xr:uid="{E9DF5D6C-0281-4B84-B646-8D9F92BABE09}"/>
    <cellStyle name="Euro 11" xfId="1857" xr:uid="{BA663A4B-DFB5-45C0-A8CA-4E39126D1E7B}"/>
    <cellStyle name="Euro 11 2" xfId="1858" xr:uid="{154D7085-2C55-4792-B294-D1A2B997E203}"/>
    <cellStyle name="Euro 11 2 2" xfId="4520" xr:uid="{D37D4179-C764-446E-BE59-97BC464CC5BB}"/>
    <cellStyle name="Euro 11 2 3" xfId="3908" xr:uid="{EE4F1816-7007-4ED8-9515-C2D356B577FE}"/>
    <cellStyle name="Euro 11 2 4" xfId="5975" xr:uid="{3A51B006-8D05-4019-B66D-04377843C35D}"/>
    <cellStyle name="Euro 11 2 5" xfId="8235" xr:uid="{3797E9A4-2A3F-4DA0-BA5B-D75D07A4F1B5}"/>
    <cellStyle name="Euro 11 3" xfId="1859" xr:uid="{FA5B3E1B-D675-4075-A75C-4ADF161568A5}"/>
    <cellStyle name="Euro 11 3 2" xfId="4521" xr:uid="{9FA2B7C5-4D6C-4AA7-A882-9E1680F3882B}"/>
    <cellStyle name="Euro 11 3 3" xfId="3909" xr:uid="{EBF71AE7-00EB-4873-8BF5-83DE5B25C820}"/>
    <cellStyle name="Euro 11 3 4" xfId="5976" xr:uid="{650B5253-B5C1-4CE8-A571-ECE46273362D}"/>
    <cellStyle name="Euro 11 3 5" xfId="8236" xr:uid="{43638134-052A-4993-9650-3DD630F0E0CA}"/>
    <cellStyle name="Euro 11 4" xfId="1860" xr:uid="{604D6EF8-1444-41A9-A515-8691B9426AEA}"/>
    <cellStyle name="Euro 11 4 2" xfId="4522" xr:uid="{7E5CFD4B-F8AE-4831-9A27-08D1BE899F3A}"/>
    <cellStyle name="Euro 11 4 3" xfId="3910" xr:uid="{785985B8-7D7A-44E2-BAA8-3590C113BEAE}"/>
    <cellStyle name="Euro 11 4 4" xfId="5977" xr:uid="{692E6F8A-2884-4D62-80DD-F8447CE28082}"/>
    <cellStyle name="Euro 11 4 5" xfId="8237" xr:uid="{C35A1180-838E-4DEF-8F3F-DE7E2DBE0EF3}"/>
    <cellStyle name="Euro 11 5" xfId="4519" xr:uid="{92584B7B-B290-451B-851B-236452274EF7}"/>
    <cellStyle name="Euro 11 6" xfId="3907" xr:uid="{452747F3-E448-4709-BC17-4B34090B4C4F}"/>
    <cellStyle name="Euro 11 7" xfId="5974" xr:uid="{C29BBB91-9EA8-49A9-9C6A-83AA543D0052}"/>
    <cellStyle name="Euro 11 8" xfId="8234" xr:uid="{C1B7FDB6-1095-46B8-8B65-73652C384C6E}"/>
    <cellStyle name="Euro 12" xfId="1861" xr:uid="{11ABB41A-A614-4B16-B25D-69D8F1E2324E}"/>
    <cellStyle name="Euro 12 2" xfId="1862" xr:uid="{2D4CCC05-72ED-4A8A-A5AB-F6BCC0E601D9}"/>
    <cellStyle name="Euro 12 2 2" xfId="4524" xr:uid="{8C5EFB2E-7F9C-45EE-A7F2-7DA00905CCAF}"/>
    <cellStyle name="Euro 12 2 3" xfId="3912" xr:uid="{CA384F92-214D-43A4-947F-73A1D8814289}"/>
    <cellStyle name="Euro 12 2 4" xfId="5979" xr:uid="{CAFA2F50-BDB6-4366-83E1-CBAE54E6C045}"/>
    <cellStyle name="Euro 12 2 5" xfId="8239" xr:uid="{1A98C14D-481B-4AE0-B795-08378AD4ECCC}"/>
    <cellStyle name="Euro 12 3" xfId="1863" xr:uid="{1FE671F0-4BA2-47D2-A895-BD29AC7FD5B2}"/>
    <cellStyle name="Euro 12 3 2" xfId="4525" xr:uid="{5B0864E1-47B6-4B90-BB2B-2668D5B03115}"/>
    <cellStyle name="Euro 12 3 3" xfId="3913" xr:uid="{CEC55DD3-5D47-4EA4-86E5-3AFD10ADC200}"/>
    <cellStyle name="Euro 12 3 4" xfId="5980" xr:uid="{4076F5DD-FE81-42D0-976F-1E764600203B}"/>
    <cellStyle name="Euro 12 3 5" xfId="8240" xr:uid="{C5FEDF7B-F26C-4D60-A2E7-0B953CF237EF}"/>
    <cellStyle name="Euro 12 4" xfId="1864" xr:uid="{FF968655-C933-4FAF-9FBF-B84899F9D803}"/>
    <cellStyle name="Euro 12 4 2" xfId="4526" xr:uid="{A4FA26CF-818F-4020-A42E-3BBF10CAC0F9}"/>
    <cellStyle name="Euro 12 4 3" xfId="3914" xr:uid="{2D830825-6FD0-4D18-98E6-816E4242EA33}"/>
    <cellStyle name="Euro 12 4 4" xfId="5981" xr:uid="{7B39A8C2-95DA-4CA7-BEA2-57894BD698BF}"/>
    <cellStyle name="Euro 12 4 5" xfId="8241" xr:uid="{601FBEB9-7796-4CFF-A87D-E86325AC1182}"/>
    <cellStyle name="Euro 12 5" xfId="4523" xr:uid="{39248717-0BF9-470F-B328-57640C426FAC}"/>
    <cellStyle name="Euro 12 6" xfId="3911" xr:uid="{5028BEA4-A1B6-484F-B7D0-07A5EEB8C7EF}"/>
    <cellStyle name="Euro 12 7" xfId="5978" xr:uid="{DAFC512A-39B3-4C82-91A7-3CD33320539B}"/>
    <cellStyle name="Euro 12 8" xfId="8238" xr:uid="{92A21550-6FD2-4210-88C5-653D0FA63B7F}"/>
    <cellStyle name="Euro 13" xfId="1865" xr:uid="{ACDCB31F-A845-420C-B9CE-624A9D839680}"/>
    <cellStyle name="Euro 13 2" xfId="1866" xr:uid="{F707AE14-1047-46B5-B8E4-1DAF95561A19}"/>
    <cellStyle name="Euro 13 2 2" xfId="4528" xr:uid="{2F457B99-14E2-417F-BB16-2098CACE0335}"/>
    <cellStyle name="Euro 13 2 3" xfId="3916" xr:uid="{614B82DA-A7BB-4821-A969-FF0A650698A7}"/>
    <cellStyle name="Euro 13 2 4" xfId="5983" xr:uid="{65528391-D2F0-4EF2-B38F-DFF3F9A18742}"/>
    <cellStyle name="Euro 13 2 5" xfId="8243" xr:uid="{6A9D2D92-E4F6-4607-BF5A-F9FF8B67D5C1}"/>
    <cellStyle name="Euro 13 3" xfId="1867" xr:uid="{4C74D986-AF12-4D78-9719-55EF14F23BB3}"/>
    <cellStyle name="Euro 13 3 2" xfId="4529" xr:uid="{94118962-43D4-4F15-B611-3C0A7AFB557F}"/>
    <cellStyle name="Euro 13 3 3" xfId="3917" xr:uid="{173677B3-20AA-4D83-9A6E-1D0EC3BD2A2A}"/>
    <cellStyle name="Euro 13 3 4" xfId="5984" xr:uid="{2502A6A8-A2E8-4636-B9CD-B1943C88D50C}"/>
    <cellStyle name="Euro 13 3 5" xfId="8244" xr:uid="{422C0855-DB2E-43E2-B1D4-F7081746DCD3}"/>
    <cellStyle name="Euro 13 4" xfId="1868" xr:uid="{14AD0CF1-7E5C-45E9-8509-70FE8ACAAD76}"/>
    <cellStyle name="Euro 13 4 2" xfId="4530" xr:uid="{640FA5B8-FC8C-4882-BAD1-39B6791490C2}"/>
    <cellStyle name="Euro 13 4 3" xfId="3918" xr:uid="{25C7F7DA-C576-42E5-AC38-FDBC84372C8E}"/>
    <cellStyle name="Euro 13 4 4" xfId="5985" xr:uid="{1E461FC6-9287-4FE0-A7B5-97EA9FEF6D7A}"/>
    <cellStyle name="Euro 13 4 5" xfId="8245" xr:uid="{42C05B0A-9524-4F6F-B29A-21098C30F024}"/>
    <cellStyle name="Euro 13 5" xfId="4527" xr:uid="{ABD1FB94-C980-45B1-B19E-494D64B0C50D}"/>
    <cellStyle name="Euro 13 6" xfId="3915" xr:uid="{8BE37C59-2345-4534-BC3F-E1D3392EBE81}"/>
    <cellStyle name="Euro 13 7" xfId="5982" xr:uid="{7B3AC857-B4AD-42AE-A050-4E6123F2B87C}"/>
    <cellStyle name="Euro 13 8" xfId="8242" xr:uid="{573DB9F9-B728-428E-B496-ED7CB599E7F8}"/>
    <cellStyle name="Euro 14" xfId="1869" xr:uid="{5C9AF182-74AF-45BE-8E02-ED5D04CCA9BC}"/>
    <cellStyle name="Euro 14 2" xfId="1870" xr:uid="{95EE45CE-440A-4DE4-9F7C-5E2272C90D41}"/>
    <cellStyle name="Euro 14 2 2" xfId="4532" xr:uid="{5B86B698-4EFF-4599-A23D-7FEF53D2C1E0}"/>
    <cellStyle name="Euro 14 2 3" xfId="3920" xr:uid="{BD28933A-EE1F-4AE8-B91B-CC22D5E312DD}"/>
    <cellStyle name="Euro 14 2 4" xfId="5987" xr:uid="{6193C83C-8C40-46D5-B55C-571A93E4DE5D}"/>
    <cellStyle name="Euro 14 2 5" xfId="8247" xr:uid="{C40146CA-B614-4649-B370-A1D01290FF71}"/>
    <cellStyle name="Euro 14 3" xfId="1871" xr:uid="{FFD24EAA-41B2-4371-B5FB-66B7FD33B12F}"/>
    <cellStyle name="Euro 14 3 2" xfId="4533" xr:uid="{32B16EC7-0BE3-46F9-BAD6-21567094C1A3}"/>
    <cellStyle name="Euro 14 3 3" xfId="3921" xr:uid="{A0457CD9-D466-4813-B17E-3DF2308C22E8}"/>
    <cellStyle name="Euro 14 3 4" xfId="5988" xr:uid="{EFC15358-3E5A-4D3B-95C9-DD922435CEB5}"/>
    <cellStyle name="Euro 14 3 5" xfId="8248" xr:uid="{3ACA599A-C752-4990-ACAA-A10D5F862417}"/>
    <cellStyle name="Euro 14 4" xfId="1872" xr:uid="{9C77F426-09A9-461B-B5C6-C211EA50818C}"/>
    <cellStyle name="Euro 14 4 2" xfId="4534" xr:uid="{A761CE9E-DE9C-4D74-BCE8-B173332F4108}"/>
    <cellStyle name="Euro 14 4 3" xfId="3922" xr:uid="{ECEF6378-FB7D-4F2B-84E7-761DBE433C47}"/>
    <cellStyle name="Euro 14 4 4" xfId="5989" xr:uid="{A9457587-2B97-49D9-9EE9-9463E0C3F6FB}"/>
    <cellStyle name="Euro 14 4 5" xfId="8249" xr:uid="{0592EC31-0EB2-4377-A416-30196BC4B4F4}"/>
    <cellStyle name="Euro 14 5" xfId="4531" xr:uid="{40AF9978-BE1C-4146-AE3B-F883108FF6C9}"/>
    <cellStyle name="Euro 14 6" xfId="3919" xr:uid="{707FDD60-D33E-4C96-9B02-DABE0F3F5362}"/>
    <cellStyle name="Euro 14 7" xfId="5986" xr:uid="{17E3AA82-BCB6-4637-9A3C-73E2F612F0FD}"/>
    <cellStyle name="Euro 14 8" xfId="8246" xr:uid="{96567CE7-968C-4066-8E5C-BD6B5A213F5F}"/>
    <cellStyle name="Euro 15" xfId="1873" xr:uid="{2765D966-41B3-4851-BF48-D7BAFC16E265}"/>
    <cellStyle name="Euro 15 2" xfId="1874" xr:uid="{C23C925A-35FE-4D50-BDA2-F06E7A5C2421}"/>
    <cellStyle name="Euro 15 2 2" xfId="4536" xr:uid="{F9C3FE5D-909F-4549-A71A-8BC236E9EEF1}"/>
    <cellStyle name="Euro 15 2 3" xfId="3924" xr:uid="{D0BD08BA-8859-4382-AD8D-72D671FDE9EE}"/>
    <cellStyle name="Euro 15 2 4" xfId="5991" xr:uid="{1BCCC0E4-C55D-4479-9FBA-32C3DBAA9B17}"/>
    <cellStyle name="Euro 15 2 5" xfId="8251" xr:uid="{9994F449-69D5-469A-BCD2-AC06812DC7AA}"/>
    <cellStyle name="Euro 15 3" xfId="1875" xr:uid="{35A9EA76-DBCC-489A-AFDA-45ACC1A13B65}"/>
    <cellStyle name="Euro 15 3 2" xfId="4537" xr:uid="{5E77A5FF-6F04-4A70-878E-FBDEFFCE250E}"/>
    <cellStyle name="Euro 15 3 3" xfId="3925" xr:uid="{2B37B035-9D78-4C91-9635-AA3571E43E87}"/>
    <cellStyle name="Euro 15 3 4" xfId="5992" xr:uid="{59E2261A-7CF0-4814-A899-8D87EF0CDE34}"/>
    <cellStyle name="Euro 15 3 5" xfId="8252" xr:uid="{313D7FB0-5133-4236-AF0B-407FB06514F7}"/>
    <cellStyle name="Euro 15 4" xfId="1876" xr:uid="{05EE70B3-6A99-478E-9E0F-6C13E17AAD5B}"/>
    <cellStyle name="Euro 15 4 2" xfId="4538" xr:uid="{06C0ACC3-4732-477F-AE48-95D7645188A1}"/>
    <cellStyle name="Euro 15 4 3" xfId="3926" xr:uid="{C361441F-7839-47C4-8850-19F4FDC11D7F}"/>
    <cellStyle name="Euro 15 4 4" xfId="5993" xr:uid="{2AB52F68-B10C-461F-8D41-027136F05D7F}"/>
    <cellStyle name="Euro 15 4 5" xfId="8253" xr:uid="{F9DA2F5F-98C7-46D5-B239-5BDC28C4859D}"/>
    <cellStyle name="Euro 15 5" xfId="4535" xr:uid="{53411BBB-C451-4FF2-A4B0-3162E3CDB293}"/>
    <cellStyle name="Euro 15 6" xfId="3923" xr:uid="{FFA1720B-7495-457A-B785-738EFF941B56}"/>
    <cellStyle name="Euro 15 7" xfId="5990" xr:uid="{4DD03C1E-50E2-4DD2-9D06-5ABDD3A3CC95}"/>
    <cellStyle name="Euro 15 8" xfId="8250" xr:uid="{3E06078F-AB9A-4945-8718-C5B6C0ED5ED7}"/>
    <cellStyle name="Euro 16" xfId="1877" xr:uid="{E7F36134-2C39-400B-BE0F-E3803DC975A7}"/>
    <cellStyle name="Euro 16 2" xfId="1878" xr:uid="{BE8175BE-C1D0-481B-9A36-4D7510D201B5}"/>
    <cellStyle name="Euro 16 2 2" xfId="4540" xr:uid="{1B85485D-C36F-4EE1-B432-6ADD0DC7EBC2}"/>
    <cellStyle name="Euro 16 2 3" xfId="3928" xr:uid="{27BA8F93-10C1-414C-84AA-4CBC841BA8AA}"/>
    <cellStyle name="Euro 16 2 4" xfId="5995" xr:uid="{2A07C822-E84F-476F-B2AC-999FEC2445B7}"/>
    <cellStyle name="Euro 16 2 5" xfId="8255" xr:uid="{ACF0BE31-49AE-4081-B721-62B35AD4E04D}"/>
    <cellStyle name="Euro 16 3" xfId="1879" xr:uid="{C88BBA28-DC62-4F58-B631-309732797D6C}"/>
    <cellStyle name="Euro 16 3 2" xfId="4541" xr:uid="{CD3F9FEA-BADD-422D-AD1C-12DE264315B0}"/>
    <cellStyle name="Euro 16 3 3" xfId="3929" xr:uid="{F3AA4E06-F304-4928-9F26-568B45CBAB38}"/>
    <cellStyle name="Euro 16 3 4" xfId="5996" xr:uid="{9721D82B-1783-4AF0-8279-61487B033E65}"/>
    <cellStyle name="Euro 16 3 5" xfId="8256" xr:uid="{4194E641-5F94-4E6B-994C-CFFFFA6743A1}"/>
    <cellStyle name="Euro 16 4" xfId="1880" xr:uid="{621D0BC2-8209-42DF-9043-B30CCC01027E}"/>
    <cellStyle name="Euro 16 4 2" xfId="4542" xr:uid="{6BF127BC-1899-42BF-AC0F-D1E34DBD9FCA}"/>
    <cellStyle name="Euro 16 4 3" xfId="3930" xr:uid="{36FB225D-7CA1-4631-95C2-549F6CAE2A73}"/>
    <cellStyle name="Euro 16 4 4" xfId="5997" xr:uid="{9B97DA4C-2098-4BB1-A5D1-8878D57001C9}"/>
    <cellStyle name="Euro 16 4 5" xfId="8257" xr:uid="{B5628C47-3B8E-4FFC-973C-13058F8BA982}"/>
    <cellStyle name="Euro 16 5" xfId="4539" xr:uid="{FC7FDA1B-F20F-4427-A82C-8E8D542AFA26}"/>
    <cellStyle name="Euro 16 6" xfId="3927" xr:uid="{2799BB0B-19E9-492D-A131-85C3EB45ABDA}"/>
    <cellStyle name="Euro 16 7" xfId="5994" xr:uid="{F0A1087E-220F-43B5-A553-FC9F7357B483}"/>
    <cellStyle name="Euro 16 8" xfId="8254" xr:uid="{D22045A6-1064-420B-A021-4CAC013AAB6C}"/>
    <cellStyle name="Euro 17" xfId="1881" xr:uid="{96A65710-FF7D-46BD-B48B-EE9599BC3B45}"/>
    <cellStyle name="Euro 17 2" xfId="1882" xr:uid="{3751D118-B561-4712-8626-42CB44C24C03}"/>
    <cellStyle name="Euro 17 2 2" xfId="4544" xr:uid="{0CFC7665-EAB6-4BC1-90E9-7972393B3CC8}"/>
    <cellStyle name="Euro 17 2 3" xfId="3932" xr:uid="{FC7BBAC7-1190-41B7-AF5A-C66992767715}"/>
    <cellStyle name="Euro 17 2 4" xfId="5999" xr:uid="{7ADC9537-C21A-4624-95BC-BE625387C518}"/>
    <cellStyle name="Euro 17 2 5" xfId="8259" xr:uid="{4FADB9F3-4823-457C-9CD7-F10C5F0CB631}"/>
    <cellStyle name="Euro 17 3" xfId="1883" xr:uid="{8E5C4256-500F-40D5-9E0E-E4E38FC0D659}"/>
    <cellStyle name="Euro 17 3 2" xfId="4545" xr:uid="{CB2279C0-14CD-42EC-B26F-0F90247A9E97}"/>
    <cellStyle name="Euro 17 3 3" xfId="3933" xr:uid="{37669369-FF2D-4438-AF0E-496C37CAAC98}"/>
    <cellStyle name="Euro 17 3 4" xfId="6000" xr:uid="{207456CF-E6D1-4402-B43E-98079AE22557}"/>
    <cellStyle name="Euro 17 3 5" xfId="8260" xr:uid="{AA0889E6-E61D-4272-8467-7AAE307FC5DF}"/>
    <cellStyle name="Euro 17 4" xfId="1884" xr:uid="{BE6C81C9-3E1F-4EC9-A942-2CAE4D01C765}"/>
    <cellStyle name="Euro 17 4 2" xfId="4546" xr:uid="{10F25FE6-3F09-4F4C-9FBD-F6E517E6D50D}"/>
    <cellStyle name="Euro 17 4 3" xfId="3934" xr:uid="{AA169395-707A-468C-9A06-305DB9EC63CB}"/>
    <cellStyle name="Euro 17 4 4" xfId="6001" xr:uid="{87748598-08F3-4773-85D5-C213EB0DE4D8}"/>
    <cellStyle name="Euro 17 4 5" xfId="8261" xr:uid="{5EF64FA9-0C21-4B48-B965-9785B234F3C6}"/>
    <cellStyle name="Euro 17 5" xfId="4543" xr:uid="{E4E82B3C-2AB3-48B8-8F61-201E0019A38E}"/>
    <cellStyle name="Euro 17 6" xfId="3931" xr:uid="{47C01AD7-B426-4F27-8545-E3B8A0A142DC}"/>
    <cellStyle name="Euro 17 7" xfId="5998" xr:uid="{79784E84-8805-49C9-B186-932DDB597FF4}"/>
    <cellStyle name="Euro 17 8" xfId="8258" xr:uid="{D1535189-06C4-4E5E-A49D-D24D88488860}"/>
    <cellStyle name="Euro 18" xfId="1885" xr:uid="{BC20A0A2-71A5-407F-8530-76DCF6248343}"/>
    <cellStyle name="Euro 18 10" xfId="3935" xr:uid="{6377039D-A79D-4EC3-ACA3-E7FBD4C574A2}"/>
    <cellStyle name="Euro 18 11" xfId="6002" xr:uid="{9CBE3A83-7BC3-44A1-B2D1-AFDAF8663F37}"/>
    <cellStyle name="Euro 18 12" xfId="8262" xr:uid="{07ED874A-0FDD-4A3D-9BAB-7854970F5AFD}"/>
    <cellStyle name="Euro 18 2" xfId="1886" xr:uid="{6AAF73EF-04A7-4D96-9252-2750ADDDDBFC}"/>
    <cellStyle name="Euro 18 2 2" xfId="1887" xr:uid="{DA354E86-73A6-440D-8131-DBD4BC5C8996}"/>
    <cellStyle name="Euro 18 2 2 2" xfId="4549" xr:uid="{A303F214-E05E-4075-9A6C-F622A57CBDE9}"/>
    <cellStyle name="Euro 18 2 2 3" xfId="6586" xr:uid="{E3808B6A-0AAE-4F70-8925-241E6895DFF2}"/>
    <cellStyle name="Euro 18 2 2 4" xfId="8264" xr:uid="{C18CE189-E104-4428-B0B7-A7FBA8488580}"/>
    <cellStyle name="Euro 18 2 3" xfId="1888" xr:uid="{9AB78D42-2E84-45D4-8570-4B7E123A77AF}"/>
    <cellStyle name="Euro 18 2 3 2" xfId="4550" xr:uid="{A76B7F7C-E95B-4A77-B1E7-3FF805438564}"/>
    <cellStyle name="Euro 18 2 3 3" xfId="6587" xr:uid="{D2C6F8A7-4A6F-412C-ADD3-55DEEB2E18F3}"/>
    <cellStyle name="Euro 18 2 3 4" xfId="8265" xr:uid="{7568342A-ED0E-40D3-8C89-C34F5CD44AD1}"/>
    <cellStyle name="Euro 18 2 4" xfId="4548" xr:uid="{0D4F98EC-FDDA-4F17-9360-9546463E4C30}"/>
    <cellStyle name="Euro 18 2 5" xfId="3936" xr:uid="{A3FAE047-8BC1-4FF7-89EF-0C62BDA6CD20}"/>
    <cellStyle name="Euro 18 2 6" xfId="6003" xr:uid="{A8F057FA-3D54-4BD6-96DC-D419F232F49A}"/>
    <cellStyle name="Euro 18 2 7" xfId="8263" xr:uid="{5A15AE67-E493-4665-B53D-9774F9810D72}"/>
    <cellStyle name="Euro 18 3" xfId="1889" xr:uid="{43BCA348-9D2E-46CC-B7E5-79D349F88615}"/>
    <cellStyle name="Euro 18 3 2" xfId="1890" xr:uid="{8298110A-6E99-41A7-8C9D-EB71F46C266B}"/>
    <cellStyle name="Euro 18 3 2 2" xfId="4552" xr:uid="{B5AA1720-C40B-4C06-85EC-AF73A121CED3}"/>
    <cellStyle name="Euro 18 3 2 3" xfId="6588" xr:uid="{C465641B-BBFF-47F1-A0E8-72990D66F128}"/>
    <cellStyle name="Euro 18 3 2 4" xfId="8267" xr:uid="{7307F6C9-E016-4CE6-AAF5-C7C0B223A6DA}"/>
    <cellStyle name="Euro 18 3 3" xfId="1891" xr:uid="{2F282BFB-5EA8-4045-9659-BC4FA49598AB}"/>
    <cellStyle name="Euro 18 3 3 2" xfId="4553" xr:uid="{38D03B60-5838-4F99-89EF-D57D21702F2D}"/>
    <cellStyle name="Euro 18 3 3 3" xfId="6589" xr:uid="{EF2397D7-E286-47A5-A870-00497FF5772A}"/>
    <cellStyle name="Euro 18 3 3 4" xfId="8268" xr:uid="{9ACF3F6E-B89F-436D-8FEB-5F6EED8C066A}"/>
    <cellStyle name="Euro 18 3 4" xfId="4551" xr:uid="{CE39DF42-518E-486B-9F5B-B15C9D667E65}"/>
    <cellStyle name="Euro 18 3 5" xfId="3937" xr:uid="{9D9FE072-7658-4D30-BE66-A40A0CB94634}"/>
    <cellStyle name="Euro 18 3 6" xfId="6004" xr:uid="{39D3B5A7-A938-498F-98DD-6CF44EFC7A58}"/>
    <cellStyle name="Euro 18 3 7" xfId="8266" xr:uid="{BE160A47-B35E-459F-A4F6-D081E2A97304}"/>
    <cellStyle name="Euro 18 4" xfId="1892" xr:uid="{EA11C187-4030-4D94-BA68-2BC3FF3B90CB}"/>
    <cellStyle name="Euro 18 4 2" xfId="4554" xr:uid="{99047659-BE0E-4170-8010-A05FC1D2273F}"/>
    <cellStyle name="Euro 18 4 3" xfId="3938" xr:uid="{9B1027C3-0E8E-48DD-88C0-995F3F24FDE5}"/>
    <cellStyle name="Euro 18 4 4" xfId="6005" xr:uid="{B5E7346B-7679-4365-B13A-9E811E94ED76}"/>
    <cellStyle name="Euro 18 4 5" xfId="8269" xr:uid="{3AC9C1F3-9EE0-40C7-A122-2C2030D38C93}"/>
    <cellStyle name="Euro 18 5" xfId="1893" xr:uid="{47D4BA7A-CC15-4310-9B6F-0EEA87A94523}"/>
    <cellStyle name="Euro 18 5 2" xfId="4555" xr:uid="{121F0B8C-9E8A-4740-A076-D17283FEE646}"/>
    <cellStyle name="Euro 18 5 3" xfId="6590" xr:uid="{C786C129-D4E5-4444-8D13-739AE3726E7F}"/>
    <cellStyle name="Euro 18 5 4" xfId="8270" xr:uid="{18E59664-576C-4DA8-8D88-F26EBB7B8E3F}"/>
    <cellStyle name="Euro 18 6" xfId="1894" xr:uid="{F7E99A5C-3AE6-4AB6-A51B-2A91B2ECE2CE}"/>
    <cellStyle name="Euro 18 6 2" xfId="4556" xr:uid="{7BE63FC8-4BC4-4778-97FA-57230D05AE34}"/>
    <cellStyle name="Euro 18 6 3" xfId="6591" xr:uid="{37CD3627-0784-4BCB-A5AB-AB7EB590FCC7}"/>
    <cellStyle name="Euro 18 6 4" xfId="8271" xr:uid="{9CD089A3-CD53-4E39-8455-09789050D748}"/>
    <cellStyle name="Euro 18 7" xfId="1895" xr:uid="{B4BE65EB-3957-4519-BE7C-1D4FEF5CE36A}"/>
    <cellStyle name="Euro 18 7 2" xfId="4557" xr:uid="{AAB9239B-C865-49F7-A9DA-E5F3202C611E}"/>
    <cellStyle name="Euro 18 7 3" xfId="6592" xr:uid="{9E9A1954-EBD5-4D81-B6BD-F3BEBA160BA8}"/>
    <cellStyle name="Euro 18 7 4" xfId="8272" xr:uid="{9CF7AFF4-D723-470F-869C-998E9EA89A75}"/>
    <cellStyle name="Euro 18 8" xfId="1896" xr:uid="{6A758AF8-1798-4015-AE5B-ECE74AC2C22F}"/>
    <cellStyle name="Euro 18 8 2" xfId="4558" xr:uid="{B9372A89-B655-48F4-91B5-95D14C64ACEE}"/>
    <cellStyle name="Euro 18 8 3" xfId="6593" xr:uid="{15629970-1126-4FEA-A03B-6F5E9944F081}"/>
    <cellStyle name="Euro 18 8 4" xfId="8273" xr:uid="{93AD99FA-B45C-4139-958F-BFF27ACACED2}"/>
    <cellStyle name="Euro 18 9" xfId="4547" xr:uid="{EB770E92-C56E-4320-A0CA-65583D4E58C6}"/>
    <cellStyle name="Euro 19" xfId="1897" xr:uid="{449E526A-5848-41C9-A91A-51D45A9D5105}"/>
    <cellStyle name="Euro 19 10" xfId="3939" xr:uid="{140912D6-C6BC-4A3A-B4C5-CF010E05136B}"/>
    <cellStyle name="Euro 19 11" xfId="6006" xr:uid="{2FA01ADE-AD54-44E1-8292-913C0F07A3BB}"/>
    <cellStyle name="Euro 19 12" xfId="8274" xr:uid="{12EA6F0D-E73A-4255-A53E-6F13AF9E8656}"/>
    <cellStyle name="Euro 19 2" xfId="1898" xr:uid="{41F0D68A-02EB-450D-B689-C174712C0A80}"/>
    <cellStyle name="Euro 19 2 2" xfId="1899" xr:uid="{54DC135A-24C7-4EC9-B57C-2098CE9576DF}"/>
    <cellStyle name="Euro 19 2 2 2" xfId="4561" xr:uid="{584A44A9-4CF6-4CC6-9874-78724B5B60EA}"/>
    <cellStyle name="Euro 19 2 2 3" xfId="6594" xr:uid="{62602162-B722-4A2D-B75A-7D8E5C7B4F2A}"/>
    <cellStyle name="Euro 19 2 2 4" xfId="8276" xr:uid="{6AA57D4B-1343-4FBA-9729-71699A0F4EB2}"/>
    <cellStyle name="Euro 19 2 3" xfId="1900" xr:uid="{5BB10444-C1F4-4AA2-8FCD-DB5D27741050}"/>
    <cellStyle name="Euro 19 2 3 2" xfId="4562" xr:uid="{02DA63B1-7650-4C22-8642-3331F6CB0D9B}"/>
    <cellStyle name="Euro 19 2 3 3" xfId="6595" xr:uid="{520CE5A0-BE74-4063-9800-F058AAFDC005}"/>
    <cellStyle name="Euro 19 2 3 4" xfId="8277" xr:uid="{EA95B910-A38B-44B4-9732-6AEC0F58ED10}"/>
    <cellStyle name="Euro 19 2 4" xfId="4560" xr:uid="{E1477F09-BDCE-4513-841A-5912E036E84F}"/>
    <cellStyle name="Euro 19 2 5" xfId="3940" xr:uid="{F35D01CD-DBF8-4E25-B382-592F6868C48F}"/>
    <cellStyle name="Euro 19 2 6" xfId="6007" xr:uid="{BC3DC205-3F1E-4C7A-AF36-767BB30B4C5A}"/>
    <cellStyle name="Euro 19 2 7" xfId="8275" xr:uid="{57165055-BA07-4797-B554-A52E788CABA1}"/>
    <cellStyle name="Euro 19 3" xfId="1901" xr:uid="{0B71B22D-99BB-47C7-BD71-C87779E54A7F}"/>
    <cellStyle name="Euro 19 3 2" xfId="1902" xr:uid="{21D83EA4-C3FB-4C15-8D64-EBD5709D95ED}"/>
    <cellStyle name="Euro 19 3 2 2" xfId="4564" xr:uid="{3D98BF9E-B790-4A12-B579-5F35A48FA0B9}"/>
    <cellStyle name="Euro 19 3 2 3" xfId="6596" xr:uid="{2A2C4C39-7F0D-4567-9FFD-6D1F3D45D245}"/>
    <cellStyle name="Euro 19 3 2 4" xfId="8279" xr:uid="{A640CF71-E3EE-4E1B-90BA-076408AAE9CF}"/>
    <cellStyle name="Euro 19 3 3" xfId="1903" xr:uid="{590FDFC2-D569-4313-9534-5C280287C622}"/>
    <cellStyle name="Euro 19 3 3 2" xfId="4565" xr:uid="{EC1FBC49-F6D8-45F6-B31B-F9E601642BCF}"/>
    <cellStyle name="Euro 19 3 3 3" xfId="6597" xr:uid="{3518352F-5EB5-438D-971C-781A8B2BC542}"/>
    <cellStyle name="Euro 19 3 3 4" xfId="8280" xr:uid="{22DDC7C2-761F-4D83-AF2A-38B7FFB8AFD1}"/>
    <cellStyle name="Euro 19 3 4" xfId="4563" xr:uid="{AA8BB457-712D-47BD-AD18-E3017B6FC90D}"/>
    <cellStyle name="Euro 19 3 5" xfId="3941" xr:uid="{43A736B6-E783-422C-9AD0-0B80632A4B6B}"/>
    <cellStyle name="Euro 19 3 6" xfId="6008" xr:uid="{D64DB608-C6E5-4C24-A39B-73F9278F78BD}"/>
    <cellStyle name="Euro 19 3 7" xfId="8278" xr:uid="{843EB583-D1ED-4226-9AAE-483305CCFAD2}"/>
    <cellStyle name="Euro 19 4" xfId="1904" xr:uid="{FF591A50-9021-475F-8EB5-EF86D6AFA9D4}"/>
    <cellStyle name="Euro 19 4 2" xfId="4566" xr:uid="{05BA25ED-C53B-4744-AF5D-2BC3D461EB95}"/>
    <cellStyle name="Euro 19 4 3" xfId="3942" xr:uid="{912279FB-71DE-4430-8C4D-44F587C2455B}"/>
    <cellStyle name="Euro 19 4 4" xfId="6009" xr:uid="{80980EAC-7088-436D-8EDE-8055CD5E02C1}"/>
    <cellStyle name="Euro 19 4 5" xfId="8281" xr:uid="{E76B1CD7-3E4F-4646-A543-E0B0301C8413}"/>
    <cellStyle name="Euro 19 5" xfId="1905" xr:uid="{DAF8F335-AF95-4788-B12E-1749C32F3D50}"/>
    <cellStyle name="Euro 19 5 2" xfId="4567" xr:uid="{CA2764DC-CA4D-4E41-B384-28357FCEA331}"/>
    <cellStyle name="Euro 19 5 3" xfId="6598" xr:uid="{8E50A35B-F968-4EAF-9981-B95509B77264}"/>
    <cellStyle name="Euro 19 5 4" xfId="8282" xr:uid="{666ECF97-F36F-437E-A5BC-B9AF79EFD1A3}"/>
    <cellStyle name="Euro 19 6" xfId="1906" xr:uid="{0EF8DD65-1318-436D-B966-EA35C391633A}"/>
    <cellStyle name="Euro 19 6 2" xfId="4568" xr:uid="{6C7B4970-9044-4352-B300-F85B4BDCBB96}"/>
    <cellStyle name="Euro 19 6 3" xfId="6599" xr:uid="{B27DA6FD-D827-4A12-A657-CDABAB045D82}"/>
    <cellStyle name="Euro 19 6 4" xfId="8283" xr:uid="{26CACBAD-6742-4D22-9055-818C73D6C252}"/>
    <cellStyle name="Euro 19 7" xfId="1907" xr:uid="{8932EC2C-A7CB-48C7-AE25-7A1E92AAF1BD}"/>
    <cellStyle name="Euro 19 7 2" xfId="4569" xr:uid="{3C1F3C0D-64C5-4BD1-A408-8CF8F8153A46}"/>
    <cellStyle name="Euro 19 7 3" xfId="6600" xr:uid="{B164C733-60D8-4726-96F1-CC85E7AAB584}"/>
    <cellStyle name="Euro 19 7 4" xfId="8284" xr:uid="{2ADB2084-AEF6-4EB6-87F6-2661FBEA3F39}"/>
    <cellStyle name="Euro 19 8" xfId="1908" xr:uid="{3C5B7A95-E547-4FED-A78A-FD2C29F460DD}"/>
    <cellStyle name="Euro 19 8 2" xfId="4570" xr:uid="{50602E83-3F4B-451F-B67A-C7C6A1EFB728}"/>
    <cellStyle name="Euro 19 8 3" xfId="6601" xr:uid="{031AD588-9434-4193-B295-CF4DDE1A3292}"/>
    <cellStyle name="Euro 19 8 4" xfId="8285" xr:uid="{D5B3DAB0-DBA3-49B0-918C-2C243076DD9A}"/>
    <cellStyle name="Euro 19 9" xfId="4559" xr:uid="{FEC230E7-5960-4386-A989-1F8ADA2AD05F}"/>
    <cellStyle name="Euro 2" xfId="1909" xr:uid="{B8A40764-3664-445D-9D55-F6CA89268314}"/>
    <cellStyle name="Euro 2 10" xfId="1910" xr:uid="{DB91C7BD-4595-4D51-ADB5-721029B86609}"/>
    <cellStyle name="Euro 2 10 2" xfId="4572" xr:uid="{3E8B3BA1-220F-41C6-B632-6F6D90958EBF}"/>
    <cellStyle name="Euro 2 10 3" xfId="3944" xr:uid="{984374E3-6B9F-463E-8118-775332B86856}"/>
    <cellStyle name="Euro 2 10 4" xfId="6011" xr:uid="{05BAE203-8C77-4F9D-BEDC-58C62AFEA841}"/>
    <cellStyle name="Euro 2 10 5" xfId="8287" xr:uid="{B9BD30CA-6BE3-4339-8F8A-41CAC9F0EE3C}"/>
    <cellStyle name="Euro 2 11" xfId="1911" xr:uid="{E132AF97-B679-4CBD-AD36-7503EDE3C5B7}"/>
    <cellStyle name="Euro 2 11 2" xfId="4573" xr:uid="{34AD254C-FF2C-44B1-BD24-768424C86AF5}"/>
    <cellStyle name="Euro 2 11 3" xfId="3945" xr:uid="{48701047-815D-4CB2-A97B-76423E74421C}"/>
    <cellStyle name="Euro 2 11 4" xfId="6012" xr:uid="{B538273C-4732-4CEE-AAD9-17AC751EBDE7}"/>
    <cellStyle name="Euro 2 11 5" xfId="8288" xr:uid="{BA59DE35-62EE-4CC2-BE62-FA6933CDF3E5}"/>
    <cellStyle name="Euro 2 12" xfId="1912" xr:uid="{B0283AC1-C9B6-4CE4-B235-7879AC98523C}"/>
    <cellStyle name="Euro 2 12 2" xfId="4574" xr:uid="{C6AB8973-0FD9-4460-8C5A-B191BA0C2046}"/>
    <cellStyle name="Euro 2 12 3" xfId="3946" xr:uid="{42DFA20E-4369-4872-A81F-FD72B8A7E225}"/>
    <cellStyle name="Euro 2 12 4" xfId="6013" xr:uid="{1344735A-4F14-4463-824E-AA99B719C7D9}"/>
    <cellStyle name="Euro 2 12 5" xfId="8289" xr:uid="{9E5EC764-887B-4C84-BFCB-8BF077AB2E4E}"/>
    <cellStyle name="Euro 2 13" xfId="1913" xr:uid="{9894CB8D-9E58-4E53-8A62-943E10A7F08D}"/>
    <cellStyle name="Euro 2 13 2" xfId="4575" xr:uid="{388A351F-5C44-429D-8589-B5618CB1E681}"/>
    <cellStyle name="Euro 2 13 3" xfId="3947" xr:uid="{CFA788CF-E9A1-4A1B-80A3-2643956C73AB}"/>
    <cellStyle name="Euro 2 13 4" xfId="6014" xr:uid="{0BF5378D-DF9D-4899-826F-6B530EDEF075}"/>
    <cellStyle name="Euro 2 13 5" xfId="8290" xr:uid="{C377C890-F8CD-4A3C-AAC2-62B1ABC4B835}"/>
    <cellStyle name="Euro 2 14" xfId="1914" xr:uid="{A6308849-6676-4BE0-8EDD-548F8E95206E}"/>
    <cellStyle name="Euro 2 14 2" xfId="4576" xr:uid="{1E72139A-426F-4884-8026-D190C18AF389}"/>
    <cellStyle name="Euro 2 14 3" xfId="3948" xr:uid="{C1CAC2AE-1933-4B99-89D8-B52192DF6A18}"/>
    <cellStyle name="Euro 2 14 4" xfId="6015" xr:uid="{C8928C11-70D3-47D5-9D1B-20D22DE9C287}"/>
    <cellStyle name="Euro 2 14 5" xfId="8291" xr:uid="{1DBC415A-37AF-43B1-972D-C42CBD2F585B}"/>
    <cellStyle name="Euro 2 15" xfId="1915" xr:uid="{3E72FEE1-9FF4-4C37-BBCB-5C6684CC41C5}"/>
    <cellStyle name="Euro 2 15 2" xfId="4577" xr:uid="{83E1E6E6-279E-42F9-A09B-E70696DFCC4A}"/>
    <cellStyle name="Euro 2 15 3" xfId="3949" xr:uid="{80A940CD-FAB4-4CDA-B15A-120C6E18DC84}"/>
    <cellStyle name="Euro 2 15 4" xfId="6016" xr:uid="{212D3F14-0575-4278-A71D-BD2FB770C3F2}"/>
    <cellStyle name="Euro 2 15 5" xfId="8292" xr:uid="{A72C6A34-8D2F-4C3C-9F0D-FE4450F65001}"/>
    <cellStyle name="Euro 2 16" xfId="1916" xr:uid="{51C7C9AB-FF69-478D-ACE2-20FEB37EB961}"/>
    <cellStyle name="Euro 2 16 2" xfId="4578" xr:uid="{90CD25BF-991F-46D3-8BC2-D9CA02997020}"/>
    <cellStyle name="Euro 2 16 3" xfId="3950" xr:uid="{136291E5-9C98-4251-92FE-725AA8E93796}"/>
    <cellStyle name="Euro 2 16 4" xfId="6017" xr:uid="{0AEDD145-A072-4CCD-B57B-58B0DEB86FAE}"/>
    <cellStyle name="Euro 2 16 5" xfId="8293" xr:uid="{32E8BBBA-542C-430E-BD86-1B6848D448A9}"/>
    <cellStyle name="Euro 2 17" xfId="1917" xr:uid="{6A3DEC23-FE36-4D4C-8799-9BDE0D66EABF}"/>
    <cellStyle name="Euro 2 17 2" xfId="4579" xr:uid="{A246E42D-1948-486A-B0F2-2DBD84E776A0}"/>
    <cellStyle name="Euro 2 17 3" xfId="3951" xr:uid="{BC7F5743-F9A1-4249-A55B-3B64E9286C59}"/>
    <cellStyle name="Euro 2 17 4" xfId="6018" xr:uid="{48FC24D1-0FDE-4F62-95BC-BDA2253A7560}"/>
    <cellStyle name="Euro 2 17 5" xfId="8294" xr:uid="{AD56EB91-1499-491C-8FBB-C75325B00BE8}"/>
    <cellStyle name="Euro 2 18" xfId="1918" xr:uid="{3D3AD9F4-3E0F-4885-8ACD-662F590CA38C}"/>
    <cellStyle name="Euro 2 18 2" xfId="4580" xr:uid="{470BCC6D-B146-4194-B888-D45C26B405C8}"/>
    <cellStyle name="Euro 2 18 3" xfId="3952" xr:uid="{78BC8696-F75D-417C-B40D-A34CB732A088}"/>
    <cellStyle name="Euro 2 18 4" xfId="6019" xr:uid="{3E325A5C-E527-427E-B471-7115E3D7B077}"/>
    <cellStyle name="Euro 2 18 5" xfId="8295" xr:uid="{1D92B8B6-AFD0-401C-9E68-D9DCF50F748F}"/>
    <cellStyle name="Euro 2 19" xfId="1919" xr:uid="{1B0D7070-CD3A-4410-A861-4ABB91119164}"/>
    <cellStyle name="Euro 2 19 2" xfId="4581" xr:uid="{28BB5DEE-A1E0-4B81-93DF-605440EA34CA}"/>
    <cellStyle name="Euro 2 19 3" xfId="3953" xr:uid="{E686FF2E-881B-48C1-AAAE-D26527EE5605}"/>
    <cellStyle name="Euro 2 19 4" xfId="6020" xr:uid="{27826089-9CF9-4411-9B1B-D2D7A650552C}"/>
    <cellStyle name="Euro 2 19 5" xfId="8296" xr:uid="{3D76CF82-C133-4420-AE9B-0C3F1496C5CF}"/>
    <cellStyle name="Euro 2 2" xfId="1920" xr:uid="{5EAE4200-B87D-43D3-8CC6-5F3EA52E0085}"/>
    <cellStyle name="Euro 2 2 10" xfId="3954" xr:uid="{A598C1F5-71DA-4150-AB84-C4AAD31AD455}"/>
    <cellStyle name="Euro 2 2 11" xfId="6021" xr:uid="{A0CB1DA8-7830-4A72-8FA3-9BCFC05E91C6}"/>
    <cellStyle name="Euro 2 2 12" xfId="5935" xr:uid="{41190195-2ACF-455C-ACE1-786301EAD793}"/>
    <cellStyle name="Euro 2 2 13" xfId="8297" xr:uid="{8C090ADF-28D2-4B05-8F6C-07568932D037}"/>
    <cellStyle name="Euro 2 2 2" xfId="1921" xr:uid="{DC139E89-8E8F-44DD-B07B-6EDA75074C08}"/>
    <cellStyle name="Euro 2 2 2 2" xfId="4583" xr:uid="{3347941C-0895-4AFF-ADBC-A2C60465BF01}"/>
    <cellStyle name="Euro 2 2 2 3" xfId="3955" xr:uid="{DBECB2ED-7B79-4E14-A1A9-A216A4040810}"/>
    <cellStyle name="Euro 2 2 2 4" xfId="6022" xr:uid="{061C6708-A6D6-4106-91F4-948B250435B6}"/>
    <cellStyle name="Euro 2 2 2 5" xfId="8298" xr:uid="{DD59FF31-222E-4290-A673-FD6F30D57712}"/>
    <cellStyle name="Euro 2 2 3" xfId="1922" xr:uid="{DC070FB4-66D3-406B-AA88-CCD5568150DA}"/>
    <cellStyle name="Euro 2 2 3 2" xfId="4584" xr:uid="{12DB8F4C-6E37-4377-A95D-DEC661309CCF}"/>
    <cellStyle name="Euro 2 2 3 3" xfId="3956" xr:uid="{D0ED3CA8-8659-4209-A527-EF1C5707AA3C}"/>
    <cellStyle name="Euro 2 2 3 4" xfId="6023" xr:uid="{40BA170E-D658-467A-98B4-04468F4716B5}"/>
    <cellStyle name="Euro 2 2 3 5" xfId="8299" xr:uid="{05300579-47EB-4124-B562-CD70DEBB4A66}"/>
    <cellStyle name="Euro 2 2 4" xfId="1923" xr:uid="{97646C78-52B5-46CB-8015-E88EEBD1DC36}"/>
    <cellStyle name="Euro 2 2 4 2" xfId="4585" xr:uid="{7D06F7EE-25C1-4C83-906D-96ECD41204E5}"/>
    <cellStyle name="Euro 2 2 4 3" xfId="3957" xr:uid="{6CE31B69-B61A-48C1-B1AB-E3B8800327D4}"/>
    <cellStyle name="Euro 2 2 4 4" xfId="6024" xr:uid="{9822E35D-E8A6-4C30-B44C-E26C7BF23103}"/>
    <cellStyle name="Euro 2 2 4 5" xfId="8300" xr:uid="{D58785D6-EF9E-415A-A7F8-7C59B25D013A}"/>
    <cellStyle name="Euro 2 2 5" xfId="1924" xr:uid="{DF7DB726-C02C-4438-838F-B0100C4421C9}"/>
    <cellStyle name="Euro 2 2 5 2" xfId="4586" xr:uid="{F6DE6127-747C-4EE2-937C-DBC874FB567A}"/>
    <cellStyle name="Euro 2 2 5 3" xfId="6602" xr:uid="{3E5EB529-BF93-40BE-AB2B-80A02F7A1828}"/>
    <cellStyle name="Euro 2 2 5 4" xfId="8301" xr:uid="{69A7A5B0-EA16-43C4-9F12-4B733E316356}"/>
    <cellStyle name="Euro 2 2 6" xfId="1925" xr:uid="{4A45146D-05AC-4EB8-A746-0D3B2115F488}"/>
    <cellStyle name="Euro 2 2 6 2" xfId="4587" xr:uid="{213E7234-C949-4436-823A-FAD581EF1988}"/>
    <cellStyle name="Euro 2 2 6 3" xfId="6603" xr:uid="{D15F45A1-EBC3-4525-998F-C9A9727AEC3A}"/>
    <cellStyle name="Euro 2 2 6 4" xfId="8302" xr:uid="{0D7C062A-AF75-43D2-8970-BE083E51C7B2}"/>
    <cellStyle name="Euro 2 2 7" xfId="1926" xr:uid="{45E2FA01-A310-4EC4-BACC-DACA4C8566AD}"/>
    <cellStyle name="Euro 2 2 7 2" xfId="4588" xr:uid="{FEBF1F02-2946-442A-9124-CD139EBC0EF8}"/>
    <cellStyle name="Euro 2 2 7 3" xfId="6604" xr:uid="{E0EE66D5-E083-4E90-B578-62B1AC39DA74}"/>
    <cellStyle name="Euro 2 2 7 4" xfId="8303" xr:uid="{146A83B1-A3D8-4DE7-BC6D-C93384031F6D}"/>
    <cellStyle name="Euro 2 2 8" xfId="1927" xr:uid="{23F64119-57BA-4354-B437-53ED29726074}"/>
    <cellStyle name="Euro 2 2 8 2" xfId="4589" xr:uid="{7C88C5C0-2722-4369-83EB-A3A92BAA710D}"/>
    <cellStyle name="Euro 2 2 8 3" xfId="6605" xr:uid="{58A3F692-81E8-4E88-9B30-F1D73527B85E}"/>
    <cellStyle name="Euro 2 2 8 4" xfId="8304" xr:uid="{60956F90-DE62-4981-8770-BA5D56E5465A}"/>
    <cellStyle name="Euro 2 2 9" xfId="4582" xr:uid="{0A0027A8-B807-49CA-8B22-633DF3C8F1DC}"/>
    <cellStyle name="Euro 2 20" xfId="1928" xr:uid="{F04AD688-25EA-4CEC-82A2-7EED69356FF5}"/>
    <cellStyle name="Euro 2 20 2" xfId="4590" xr:uid="{A401CB5B-896C-4B4F-91A7-DDE8D8F2CD09}"/>
    <cellStyle name="Euro 2 20 3" xfId="3958" xr:uid="{23B54021-6FC1-4663-866E-F40D12CB51B5}"/>
    <cellStyle name="Euro 2 20 4" xfId="6025" xr:uid="{C6F55D8F-DFBB-4BA7-9984-7BD02C52FA59}"/>
    <cellStyle name="Euro 2 20 5" xfId="8305" xr:uid="{2F0EB1C1-A903-4C3E-8B5F-7F4EC8E6EF21}"/>
    <cellStyle name="Euro 2 21" xfId="1929" xr:uid="{FDAC2840-3FE5-46A2-AE20-145F27C0B1A8}"/>
    <cellStyle name="Euro 2 21 2" xfId="1930" xr:uid="{3542BEC9-E4F0-40A1-9797-86F337F0859E}"/>
    <cellStyle name="Euro 2 21 2 2" xfId="4592" xr:uid="{41C9B0CE-DC24-422B-A210-2DFE1943313A}"/>
    <cellStyle name="Euro 2 21 2 3" xfId="3960" xr:uid="{F696AB4D-51FB-4D72-9B04-EC913DAAD5D4}"/>
    <cellStyle name="Euro 2 21 2 4" xfId="6027" xr:uid="{6F73487E-87BE-436D-972D-2F1C9E5F6E8D}"/>
    <cellStyle name="Euro 2 21 2 5" xfId="8307" xr:uid="{29392E5D-4EF5-4443-AD5B-27F5E4EB606E}"/>
    <cellStyle name="Euro 2 21 3" xfId="4591" xr:uid="{0993E019-E6D7-454E-9D4F-08AF5349D433}"/>
    <cellStyle name="Euro 2 21 4" xfId="3959" xr:uid="{186A8198-2AB0-4B31-914A-D5B13818ED93}"/>
    <cellStyle name="Euro 2 21 5" xfId="6026" xr:uid="{621207E2-4794-4A7B-9FB9-AEF0B78FB943}"/>
    <cellStyle name="Euro 2 21 6" xfId="8306" xr:uid="{1D167373-6EE5-49CF-919D-492E40FA6880}"/>
    <cellStyle name="Euro 2 22" xfId="1931" xr:uid="{36B50D02-14FD-434C-9D8E-E6FE8055A0D3}"/>
    <cellStyle name="Euro 2 22 2" xfId="4593" xr:uid="{13CFF3EC-5721-4F36-8E98-B0819D7BAD6C}"/>
    <cellStyle name="Euro 2 22 3" xfId="3961" xr:uid="{BF529A7C-1132-4F4D-BA34-E8F8D6CE3072}"/>
    <cellStyle name="Euro 2 22 4" xfId="6028" xr:uid="{B1608683-E041-4B18-9DBE-01B8FAF88546}"/>
    <cellStyle name="Euro 2 22 5" xfId="8308" xr:uid="{3315B082-7A3B-49D3-9B9C-D459DC4FC0E8}"/>
    <cellStyle name="Euro 2 23" xfId="1932" xr:uid="{19A2D3AC-855D-49FF-9376-F306084B1B65}"/>
    <cellStyle name="Euro 2 23 2" xfId="4594" xr:uid="{8D846113-1AC4-4C55-A66C-089DBEE36590}"/>
    <cellStyle name="Euro 2 23 3" xfId="6606" xr:uid="{FDF2BA60-4F82-4B8C-904A-BE2E74701D4E}"/>
    <cellStyle name="Euro 2 23 4" xfId="8309" xr:uid="{CDA345AB-5A27-4498-AB3D-830C35EFE479}"/>
    <cellStyle name="Euro 2 24" xfId="4571" xr:uid="{1F315A91-04BF-481F-AF00-E7C033CFC545}"/>
    <cellStyle name="Euro 2 25" xfId="3943" xr:uid="{5B448C4A-8AC6-4D6E-8779-7D7CD0A4177D}"/>
    <cellStyle name="Euro 2 26" xfId="6010" xr:uid="{92E9DEC1-0E55-457B-B943-D17D95A752C2}"/>
    <cellStyle name="Euro 2 27" xfId="5934" xr:uid="{38F8D186-5CC3-4A17-B973-A879BE458496}"/>
    <cellStyle name="Euro 2 28" xfId="8286" xr:uid="{D89878CB-F02A-4AD0-BE88-961D9BE89FBC}"/>
    <cellStyle name="Euro 2 3" xfId="1933" xr:uid="{19B89DEE-8D50-486E-9C01-90A4DC0D76F8}"/>
    <cellStyle name="Euro 2 3 2" xfId="4595" xr:uid="{B64E86BD-935C-491A-8BD4-DE44B7F58BB2}"/>
    <cellStyle name="Euro 2 3 3" xfId="3962" xr:uid="{F2638EB4-D45F-474F-B299-CF64591FFC23}"/>
    <cellStyle name="Euro 2 3 4" xfId="6029" xr:uid="{224EF4FA-ADC7-40B3-B1E5-E42C4C6B958F}"/>
    <cellStyle name="Euro 2 3 5" xfId="5936" xr:uid="{085EB654-4673-4A0F-8E9B-3A69803FC51C}"/>
    <cellStyle name="Euro 2 3 6" xfId="8310" xr:uid="{CB3B4E67-C631-4339-B2A1-8B0363FBD006}"/>
    <cellStyle name="Euro 2 4" xfId="1934" xr:uid="{F108A949-CFE3-456C-91F1-E27066781253}"/>
    <cellStyle name="Euro 2 4 2" xfId="4596" xr:uid="{849CDC58-CD08-464F-854C-5F56EE1346A2}"/>
    <cellStyle name="Euro 2 4 3" xfId="3963" xr:uid="{0665E7A7-FC2D-4014-9081-51CFDABFA4BF}"/>
    <cellStyle name="Euro 2 4 4" xfId="6030" xr:uid="{E8586195-3542-4A41-88C8-153D63FDCBA2}"/>
    <cellStyle name="Euro 2 4 5" xfId="8311" xr:uid="{118B758B-44E2-43FC-8A46-22ABD0FB4253}"/>
    <cellStyle name="Euro 2 5" xfId="1935" xr:uid="{DAC62CEF-221C-4E2F-8145-E9E7C316B2EA}"/>
    <cellStyle name="Euro 2 5 2" xfId="4597" xr:uid="{0224085F-707D-4C4C-9E99-1F1CDE8D91F2}"/>
    <cellStyle name="Euro 2 5 3" xfId="3964" xr:uid="{4D89FC86-ABB0-4DF9-A75B-7BF259495C26}"/>
    <cellStyle name="Euro 2 5 4" xfId="6031" xr:uid="{51CF52B6-F857-425F-9552-8E06C49513AB}"/>
    <cellStyle name="Euro 2 5 5" xfId="8312" xr:uid="{25C52ABB-6EB2-471D-8C7E-6ABE3FB403D6}"/>
    <cellStyle name="Euro 2 6" xfId="1936" xr:uid="{011B9645-FAE0-4EA9-B2A0-3929E2591C81}"/>
    <cellStyle name="Euro 2 6 2" xfId="4598" xr:uid="{5515B266-1F2A-4573-B967-4959169365FF}"/>
    <cellStyle name="Euro 2 6 3" xfId="3965" xr:uid="{94FE933A-244D-4B9E-98A9-759735515E54}"/>
    <cellStyle name="Euro 2 6 4" xfId="6032" xr:uid="{D2CCE553-AC2C-4BB3-AE06-B6766B793263}"/>
    <cellStyle name="Euro 2 6 5" xfId="8313" xr:uid="{935F70FA-2D15-4321-B415-AD9F6B99C539}"/>
    <cellStyle name="Euro 2 7" xfId="1937" xr:uid="{467159CE-4827-4DFE-8B6F-EF608B4B6FEE}"/>
    <cellStyle name="Euro 2 7 2" xfId="4599" xr:uid="{1463A53C-6EBC-4E32-96BB-DA3769D0DC0C}"/>
    <cellStyle name="Euro 2 7 3" xfId="3966" xr:uid="{C166B003-EBBC-4A0F-832F-1C683DD6C2FE}"/>
    <cellStyle name="Euro 2 7 4" xfId="6033" xr:uid="{14DE5686-4BE2-4A25-AE20-66C2ADC3EC73}"/>
    <cellStyle name="Euro 2 7 5" xfId="8314" xr:uid="{455A766B-44C9-4A6A-B2AF-9FA9D761FFC5}"/>
    <cellStyle name="Euro 2 8" xfId="1938" xr:uid="{4CD8A01B-FAAF-4230-963B-B7C6A181E972}"/>
    <cellStyle name="Euro 2 8 2" xfId="4600" xr:uid="{51D0CFBB-AA95-4A75-8F56-C7948179AF11}"/>
    <cellStyle name="Euro 2 8 3" xfId="3967" xr:uid="{9A8DC08D-7A1D-45E5-8000-8B612AC28269}"/>
    <cellStyle name="Euro 2 8 4" xfId="6034" xr:uid="{E6D1AFE4-88E6-4CE0-8A5F-9B631C8376FB}"/>
    <cellStyle name="Euro 2 8 5" xfId="8315" xr:uid="{DD9945C4-D74B-4F88-97C9-829E2C8B49D7}"/>
    <cellStyle name="Euro 2 9" xfId="1939" xr:uid="{2E2193F4-5D6C-4016-8AD9-33661AD3AE58}"/>
    <cellStyle name="Euro 2 9 2" xfId="4601" xr:uid="{CB29B844-E929-480A-A39B-F83CCD1A3A07}"/>
    <cellStyle name="Euro 2 9 3" xfId="3968" xr:uid="{C254FDFF-B213-4DBB-B5E8-16BE4A752F76}"/>
    <cellStyle name="Euro 2 9 4" xfId="6035" xr:uid="{5AD58865-C175-49FD-9155-AA44DBF5B0EC}"/>
    <cellStyle name="Euro 2 9 5" xfId="8316" xr:uid="{3595FD70-5286-4F67-ADA1-57C86B6E33A4}"/>
    <cellStyle name="Euro 20" xfId="1940" xr:uid="{B57FB467-0E0B-44B3-AA83-CC3BC1781E50}"/>
    <cellStyle name="Euro 20 10" xfId="3969" xr:uid="{A9418ADC-7069-4714-B76B-54574E774E44}"/>
    <cellStyle name="Euro 20 11" xfId="6036" xr:uid="{BDCD03AB-3F3F-4638-B274-63F1954D412D}"/>
    <cellStyle name="Euro 20 12" xfId="8317" xr:uid="{9EF95ACD-5F9F-4C36-89DA-04AE1E4FF535}"/>
    <cellStyle name="Euro 20 2" xfId="1941" xr:uid="{52BA8310-5E58-497C-A693-CE81C8763670}"/>
    <cellStyle name="Euro 20 2 2" xfId="1942" xr:uid="{B9F55CE2-C638-4106-AE3C-3B63F98C7019}"/>
    <cellStyle name="Euro 20 2 2 2" xfId="4604" xr:uid="{7FF7A6F9-D178-443A-9FBD-23D4852A5B70}"/>
    <cellStyle name="Euro 20 2 2 3" xfId="6607" xr:uid="{8D774ED2-435B-44EF-8E22-5015F961923C}"/>
    <cellStyle name="Euro 20 2 2 4" xfId="8319" xr:uid="{C1C01376-2AB1-46CC-B51E-ECF5A867BBA4}"/>
    <cellStyle name="Euro 20 2 3" xfId="1943" xr:uid="{D3D111D4-3C3F-45BA-8A03-494E18E81DF2}"/>
    <cellStyle name="Euro 20 2 3 2" xfId="4605" xr:uid="{5F3C7DD5-D0F2-419B-8029-EF8DDA6A98DC}"/>
    <cellStyle name="Euro 20 2 3 3" xfId="6608" xr:uid="{4B373037-D0AD-4F0F-B153-9767430CB0BD}"/>
    <cellStyle name="Euro 20 2 3 4" xfId="8320" xr:uid="{ED1C4818-E200-436A-8A78-DA4095936DAA}"/>
    <cellStyle name="Euro 20 2 4" xfId="4603" xr:uid="{DA161680-F83B-41EC-9D62-916A46C3010F}"/>
    <cellStyle name="Euro 20 2 5" xfId="3970" xr:uid="{2E45F19F-1586-4CF3-944E-6ECD355AA418}"/>
    <cellStyle name="Euro 20 2 6" xfId="6037" xr:uid="{704E7602-10ED-44F7-9127-4152526AC673}"/>
    <cellStyle name="Euro 20 2 7" xfId="8318" xr:uid="{F4BED66D-A851-4D19-8AF4-BF481AC5ED65}"/>
    <cellStyle name="Euro 20 3" xfId="1944" xr:uid="{CC389133-20BC-406B-857F-B3CBCF5BB81C}"/>
    <cellStyle name="Euro 20 3 2" xfId="1945" xr:uid="{CFB89267-C145-4FFB-A1DA-EDFD3FD945CE}"/>
    <cellStyle name="Euro 20 3 2 2" xfId="4607" xr:uid="{09DEDB65-60DC-4BD1-B83A-81BA9B5F6172}"/>
    <cellStyle name="Euro 20 3 2 3" xfId="6609" xr:uid="{645F4B7C-5A41-401C-B4F4-33AF2F59022F}"/>
    <cellStyle name="Euro 20 3 2 4" xfId="8322" xr:uid="{A59987CC-A204-4D11-97AD-3A3823472DEE}"/>
    <cellStyle name="Euro 20 3 3" xfId="1946" xr:uid="{2D3EA3DE-FD7A-4B87-B410-F071F24F18F8}"/>
    <cellStyle name="Euro 20 3 3 2" xfId="4608" xr:uid="{6CA8BAF7-F60A-434F-BF73-CA1A286E2E03}"/>
    <cellStyle name="Euro 20 3 3 3" xfId="6610" xr:uid="{CD39AEC3-A9E2-4DBF-A224-F6B7E36E6BB6}"/>
    <cellStyle name="Euro 20 3 3 4" xfId="8323" xr:uid="{F0CA6874-7900-4564-B90C-9743C08BDF98}"/>
    <cellStyle name="Euro 20 3 4" xfId="4606" xr:uid="{5C431450-823D-418D-B57C-F2BF7353D19B}"/>
    <cellStyle name="Euro 20 3 5" xfId="3971" xr:uid="{8AD6E621-6289-4525-9DA2-A095E477C82C}"/>
    <cellStyle name="Euro 20 3 6" xfId="6038" xr:uid="{A0D3154F-5F48-46D3-934C-E2787A6E33F0}"/>
    <cellStyle name="Euro 20 3 7" xfId="8321" xr:uid="{A4659F0B-D14A-4B03-AB16-18F30ACB99AA}"/>
    <cellStyle name="Euro 20 4" xfId="1947" xr:uid="{F1EB9EAE-9EDA-43EA-AF3E-0A9F9F8CA643}"/>
    <cellStyle name="Euro 20 4 2" xfId="4609" xr:uid="{0BF66A14-2E0E-43A9-A4AD-D9F8E9976D6B}"/>
    <cellStyle name="Euro 20 4 3" xfId="3972" xr:uid="{410705F1-B763-460A-B485-57BED85A1C0C}"/>
    <cellStyle name="Euro 20 4 4" xfId="6039" xr:uid="{A72894E8-AF8A-4ED8-80CF-531FB93F17D1}"/>
    <cellStyle name="Euro 20 4 5" xfId="8324" xr:uid="{5F3DC86B-64EC-43C6-99FE-4ABC126CF8A4}"/>
    <cellStyle name="Euro 20 5" xfId="1948" xr:uid="{AE3E0EEE-A7BC-4DA3-BADF-8C257CEADE70}"/>
    <cellStyle name="Euro 20 5 2" xfId="4610" xr:uid="{ACF661AE-8EF6-445E-ADD3-82C18CCC13B8}"/>
    <cellStyle name="Euro 20 5 3" xfId="6611" xr:uid="{720855F7-E541-4721-BBF2-EB417F5C5E9C}"/>
    <cellStyle name="Euro 20 5 4" xfId="8325" xr:uid="{FDAA70B6-CE75-4135-9E68-1CAB027DD62D}"/>
    <cellStyle name="Euro 20 6" xfId="1949" xr:uid="{F9FC205C-069B-4075-ADDE-A0CD2E310039}"/>
    <cellStyle name="Euro 20 6 2" xfId="4611" xr:uid="{2ED9A584-387A-4E16-BDCA-B372B91F9AF7}"/>
    <cellStyle name="Euro 20 6 3" xfId="6612" xr:uid="{2AD6DAB1-F0DD-4EBB-9EE8-765E0D0D739A}"/>
    <cellStyle name="Euro 20 6 4" xfId="8326" xr:uid="{0DF79632-5183-4100-8815-1A7CEA3AA40A}"/>
    <cellStyle name="Euro 20 7" xfId="1950" xr:uid="{141D2769-A39E-41D6-B726-FEDF15441227}"/>
    <cellStyle name="Euro 20 7 2" xfId="4612" xr:uid="{2016CB24-7B3F-46CF-B1C9-00C47B447DE9}"/>
    <cellStyle name="Euro 20 7 3" xfId="6613" xr:uid="{212527C6-0A4F-47BF-A121-3A4FC4EB5C39}"/>
    <cellStyle name="Euro 20 7 4" xfId="8327" xr:uid="{68F6F208-1B81-4D6D-B8B0-2CE7C7DE46F0}"/>
    <cellStyle name="Euro 20 8" xfId="1951" xr:uid="{0D235568-A635-4F5F-A6CB-9D60D10A4CC5}"/>
    <cellStyle name="Euro 20 8 2" xfId="4613" xr:uid="{DDA3BEAB-F81E-4F05-ACC7-DDBEB16420E6}"/>
    <cellStyle name="Euro 20 8 3" xfId="6614" xr:uid="{48A122FE-E618-4F36-9D47-6F6FBCA065BC}"/>
    <cellStyle name="Euro 20 8 4" xfId="8328" xr:uid="{6ACFDCD9-F961-4317-961E-81FED8B9CA12}"/>
    <cellStyle name="Euro 20 9" xfId="4602" xr:uid="{AD3F9852-8763-430D-97F0-51F4451166BF}"/>
    <cellStyle name="Euro 21" xfId="1952" xr:uid="{028A20CB-B2ED-434E-A971-33F4C592941B}"/>
    <cellStyle name="Euro 21 10" xfId="3973" xr:uid="{2FC7C619-169A-4884-AD64-E9667AEC9D1C}"/>
    <cellStyle name="Euro 21 11" xfId="6040" xr:uid="{43513353-58AC-4236-9D2B-DE179791811E}"/>
    <cellStyle name="Euro 21 12" xfId="8329" xr:uid="{C26389F2-5023-494A-A77C-C51CA903A85D}"/>
    <cellStyle name="Euro 21 2" xfId="1953" xr:uid="{8F2B1835-520A-4B41-849F-C2A09123E309}"/>
    <cellStyle name="Euro 21 2 2" xfId="4615" xr:uid="{EFA80015-5133-4F81-862D-EB5425AE19AF}"/>
    <cellStyle name="Euro 21 2 3" xfId="3974" xr:uid="{B2DCA3C6-D7F3-4F90-BFC9-B9EA20FEBA74}"/>
    <cellStyle name="Euro 21 2 4" xfId="6041" xr:uid="{44A69576-1261-4925-9F70-3C28F7238C6C}"/>
    <cellStyle name="Euro 21 2 5" xfId="8330" xr:uid="{1E5C397B-10E9-46F5-A772-2D389595EC29}"/>
    <cellStyle name="Euro 21 3" xfId="1954" xr:uid="{752178E8-8D96-478F-93AB-613C664049F3}"/>
    <cellStyle name="Euro 21 3 2" xfId="4616" xr:uid="{975C20F7-D2FE-48C6-8565-33579B405FB0}"/>
    <cellStyle name="Euro 21 3 3" xfId="6615" xr:uid="{A6713A6E-CFBE-4A71-91A5-9BF3DE814A1D}"/>
    <cellStyle name="Euro 21 3 4" xfId="8331" xr:uid="{C47BCDBB-10F3-4CA2-8BF3-E54AA0A9F653}"/>
    <cellStyle name="Euro 21 4" xfId="1955" xr:uid="{AC95A3B7-F7CF-4B9E-B1BA-F6213E128D24}"/>
    <cellStyle name="Euro 21 4 2" xfId="4617" xr:uid="{9120CAF1-4372-4064-810C-F6B54DC5E204}"/>
    <cellStyle name="Euro 21 4 3" xfId="6616" xr:uid="{1D6FF524-B2A2-41F9-9F1C-088732E2975B}"/>
    <cellStyle name="Euro 21 4 4" xfId="8332" xr:uid="{247B3798-0CAC-4B11-BCC4-98746166DB0E}"/>
    <cellStyle name="Euro 21 5" xfId="1956" xr:uid="{87A179C3-264A-43ED-99F1-62B96D511049}"/>
    <cellStyle name="Euro 21 5 2" xfId="4618" xr:uid="{77AFBEA1-2877-456A-8311-2A26D9BD3883}"/>
    <cellStyle name="Euro 21 5 3" xfId="6617" xr:uid="{246455E5-4646-4563-9FBB-B6B02C8132D3}"/>
    <cellStyle name="Euro 21 5 4" xfId="8333" xr:uid="{87231FD4-4415-499C-A347-8F03A8EFDACC}"/>
    <cellStyle name="Euro 21 6" xfId="1957" xr:uid="{D1349581-3F9A-4975-9D9E-74B08A703F00}"/>
    <cellStyle name="Euro 21 6 2" xfId="4619" xr:uid="{BC222B67-465A-4124-810B-4EAFDA523825}"/>
    <cellStyle name="Euro 21 6 3" xfId="6618" xr:uid="{55502D3B-F8B3-4BF4-BEC3-3699488ACAB3}"/>
    <cellStyle name="Euro 21 6 4" xfId="8334" xr:uid="{CA669BA5-9BCD-4841-B002-7CE4E883A426}"/>
    <cellStyle name="Euro 21 7" xfId="1958" xr:uid="{A64F8698-ED2F-4D7E-BB0F-39E299411CD0}"/>
    <cellStyle name="Euro 21 7 2" xfId="4620" xr:uid="{A49BE4C5-C303-411F-A9B1-9011BA25B45D}"/>
    <cellStyle name="Euro 21 7 3" xfId="6619" xr:uid="{15691AAD-0C96-4BF8-ADC5-631313FEC5F0}"/>
    <cellStyle name="Euro 21 7 4" xfId="8335" xr:uid="{7D7CC5DF-7211-4013-8BFD-777FA45B132F}"/>
    <cellStyle name="Euro 21 8" xfId="1959" xr:uid="{6FD6B1EC-57DD-434D-9A16-4D7347064ACC}"/>
    <cellStyle name="Euro 21 8 2" xfId="4621" xr:uid="{29489518-A39C-45CC-B74B-56EF8892BFEF}"/>
    <cellStyle name="Euro 21 8 3" xfId="6620" xr:uid="{101C8098-EFCB-4978-813D-8EEC99A6376E}"/>
    <cellStyle name="Euro 21 8 4" xfId="8336" xr:uid="{5F5EC49C-83D3-45E7-8AC8-29E909E8F4A2}"/>
    <cellStyle name="Euro 21 9" xfId="4614" xr:uid="{153E1282-4B75-4332-8B92-2E8A3AA26E6C}"/>
    <cellStyle name="Euro 22" xfId="1960" xr:uid="{0E26EA4A-9127-4EE8-8078-810D2BB1A16D}"/>
    <cellStyle name="Euro 22 10" xfId="3975" xr:uid="{81686825-0E78-4022-A58C-ABE2210F463A}"/>
    <cellStyle name="Euro 22 11" xfId="6042" xr:uid="{5166051A-0729-47D3-8839-838AEE859463}"/>
    <cellStyle name="Euro 22 12" xfId="8337" xr:uid="{974BEE7E-BD30-4B49-9985-59AFFB07877B}"/>
    <cellStyle name="Euro 22 2" xfId="1961" xr:uid="{A19DE636-62C7-48E8-ADB9-E61FB61A62B0}"/>
    <cellStyle name="Euro 22 2 2" xfId="4623" xr:uid="{156462AF-641F-4604-A07D-8C861A636DF5}"/>
    <cellStyle name="Euro 22 2 3" xfId="3976" xr:uid="{835BDFCD-FEF0-4128-8AEF-99DE49DAC8EB}"/>
    <cellStyle name="Euro 22 2 4" xfId="6043" xr:uid="{40A58DC8-7009-4680-ACEF-EF579676025A}"/>
    <cellStyle name="Euro 22 2 5" xfId="8338" xr:uid="{AF1B5081-2829-4D8B-9236-CE38CA01D718}"/>
    <cellStyle name="Euro 22 3" xfId="1962" xr:uid="{334320E9-3BE4-453E-BE80-BB8FC3BB65E9}"/>
    <cellStyle name="Euro 22 3 2" xfId="4624" xr:uid="{0B9A6DB2-E8E6-4E22-9200-7D19ABB9AAA0}"/>
    <cellStyle name="Euro 22 3 3" xfId="6621" xr:uid="{4F87546F-1BA8-4B9F-BCEE-076FA948D323}"/>
    <cellStyle name="Euro 22 3 4" xfId="8339" xr:uid="{AE00581C-FBED-4D04-845B-E0E720F4B69E}"/>
    <cellStyle name="Euro 22 4" xfId="1963" xr:uid="{ADBAF915-B450-4BBB-9A9E-B129F517FEB6}"/>
    <cellStyle name="Euro 22 4 2" xfId="4625" xr:uid="{B48659E1-8690-49C2-9D5F-6EA1275A2CD2}"/>
    <cellStyle name="Euro 22 4 3" xfId="6622" xr:uid="{F64F98CA-C1E0-4833-B689-85AC9D2C5E33}"/>
    <cellStyle name="Euro 22 4 4" xfId="8340" xr:uid="{D9A51B8A-6BE1-4BF0-8C27-E22C9FCFB7ED}"/>
    <cellStyle name="Euro 22 5" xfId="1964" xr:uid="{03800CE6-77A0-4D86-A6BF-6C6DE5A848F6}"/>
    <cellStyle name="Euro 22 5 2" xfId="4626" xr:uid="{AEC18498-0AF3-45B3-A050-D4F9DDB91AB5}"/>
    <cellStyle name="Euro 22 5 3" xfId="6623" xr:uid="{B095CF05-1597-4617-8075-4CD93464855B}"/>
    <cellStyle name="Euro 22 5 4" xfId="8341" xr:uid="{ECFBAC6C-4C9A-4D62-801C-E28EFCDD3C28}"/>
    <cellStyle name="Euro 22 6" xfId="1965" xr:uid="{71B06687-165D-47A3-8222-1265793C9BCE}"/>
    <cellStyle name="Euro 22 6 2" xfId="4627" xr:uid="{49FBA347-489D-4938-866C-8776AD824BDE}"/>
    <cellStyle name="Euro 22 6 3" xfId="6624" xr:uid="{E921713A-DDE2-4090-8D1E-247A9147A404}"/>
    <cellStyle name="Euro 22 6 4" xfId="8342" xr:uid="{5F32C8D2-3CDF-47DE-AE03-5AC0DEC0E3DA}"/>
    <cellStyle name="Euro 22 7" xfId="1966" xr:uid="{5C64D480-E65D-49DD-9448-4A472DD956CC}"/>
    <cellStyle name="Euro 22 7 2" xfId="4628" xr:uid="{C74902AF-BB56-4687-94B4-78B07F0AB1D3}"/>
    <cellStyle name="Euro 22 7 3" xfId="6625" xr:uid="{C4A1BCE9-51E7-4F65-93DF-78645BD90252}"/>
    <cellStyle name="Euro 22 7 4" xfId="8343" xr:uid="{E80A50F6-B796-42A3-821B-FD49BC685CF2}"/>
    <cellStyle name="Euro 22 8" xfId="1967" xr:uid="{1A39668B-E0FA-4789-B9A7-A1B6D8F075EF}"/>
    <cellStyle name="Euro 22 8 2" xfId="4629" xr:uid="{3CA6CE36-A17B-43CB-B2E9-2F6D78B7F1A4}"/>
    <cellStyle name="Euro 22 8 3" xfId="6626" xr:uid="{31C60832-E46F-47AC-B29C-F2296CCD6CA9}"/>
    <cellStyle name="Euro 22 8 4" xfId="8344" xr:uid="{03AE5D4E-D607-4F03-9DF4-40DDB758304E}"/>
    <cellStyle name="Euro 22 9" xfId="4622" xr:uid="{DD3C8519-54BC-403A-89AD-2FF6F4AB365D}"/>
    <cellStyle name="Euro 23" xfId="1968" xr:uid="{81231D6E-CF9F-48E2-8D93-F05582F0C569}"/>
    <cellStyle name="Euro 23 10" xfId="3977" xr:uid="{8A443A26-AA51-4D8E-8436-6C8F3E5F6226}"/>
    <cellStyle name="Euro 23 11" xfId="6044" xr:uid="{2FC49771-82B2-4F8E-B782-C9862B687423}"/>
    <cellStyle name="Euro 23 12" xfId="8345" xr:uid="{E30D887B-910A-4436-840D-105EBADC607F}"/>
    <cellStyle name="Euro 23 2" xfId="1969" xr:uid="{EF7412A4-81DA-4D26-9E8F-138CDD8E2047}"/>
    <cellStyle name="Euro 23 2 2" xfId="4631" xr:uid="{08B2D6F6-9E24-425C-A00E-9C724B05F16F}"/>
    <cellStyle name="Euro 23 2 3" xfId="3978" xr:uid="{54A5BB83-9EEC-4B89-AFEE-A2322CB6AA3F}"/>
    <cellStyle name="Euro 23 2 4" xfId="6045" xr:uid="{0074EE0A-3EB6-4D46-9058-E6B54ED24C7F}"/>
    <cellStyle name="Euro 23 2 5" xfId="8346" xr:uid="{DF7DE895-D9FA-4ADD-B051-0F1DEB3AA40C}"/>
    <cellStyle name="Euro 23 3" xfId="1970" xr:uid="{BA7BDBD1-0DE6-4572-8991-99BD9A10260E}"/>
    <cellStyle name="Euro 23 3 2" xfId="4632" xr:uid="{352CCB41-8F27-474C-80A9-8233C6EF4E68}"/>
    <cellStyle name="Euro 23 3 3" xfId="6627" xr:uid="{78AABB4A-3594-4E8C-98DE-031D1F4ECEEB}"/>
    <cellStyle name="Euro 23 3 4" xfId="8347" xr:uid="{CECAE443-F83D-414F-A779-7C0D45B87F9E}"/>
    <cellStyle name="Euro 23 4" xfId="1971" xr:uid="{CB5E507B-A067-458E-A557-108C509E4532}"/>
    <cellStyle name="Euro 23 4 2" xfId="4633" xr:uid="{D0D77FF0-299E-4173-A19C-4291E3AA5C5A}"/>
    <cellStyle name="Euro 23 4 3" xfId="6628" xr:uid="{E2197EEF-10A2-458E-AFED-D07325FC0A37}"/>
    <cellStyle name="Euro 23 4 4" xfId="8348" xr:uid="{21AD2AB1-8F64-41FA-800B-6442E12B4BDC}"/>
    <cellStyle name="Euro 23 5" xfId="1972" xr:uid="{EBEA3C0B-9688-4DF7-8614-4CF04294D77B}"/>
    <cellStyle name="Euro 23 5 2" xfId="4634" xr:uid="{46BBC3FC-55D3-4593-8861-54DE9930D5BA}"/>
    <cellStyle name="Euro 23 5 3" xfId="6629" xr:uid="{2EC3D43E-005E-4618-865D-B55989DA377C}"/>
    <cellStyle name="Euro 23 5 4" xfId="8349" xr:uid="{4EEF1B24-BC58-47F2-90BA-C507BF14D1BE}"/>
    <cellStyle name="Euro 23 6" xfId="1973" xr:uid="{7174D9A7-64BB-4337-BAFB-D20859883F87}"/>
    <cellStyle name="Euro 23 6 2" xfId="4635" xr:uid="{37FB1E74-54EA-4455-BD9E-4DE906DB657E}"/>
    <cellStyle name="Euro 23 6 3" xfId="6630" xr:uid="{C76BB2E1-D8C3-483A-A069-B65402B523E8}"/>
    <cellStyle name="Euro 23 6 4" xfId="8350" xr:uid="{5236837F-59C9-4585-B673-4330DA3B83A2}"/>
    <cellStyle name="Euro 23 7" xfId="1974" xr:uid="{0EE89DFB-8A68-4310-93C6-95AC1D058E68}"/>
    <cellStyle name="Euro 23 7 2" xfId="4636" xr:uid="{C295568A-9D07-4310-88DC-3B485E32275E}"/>
    <cellStyle name="Euro 23 7 3" xfId="6631" xr:uid="{8525B68F-4FF3-420B-B2C3-58C477ABE6A8}"/>
    <cellStyle name="Euro 23 7 4" xfId="8351" xr:uid="{64AECB48-AD30-4921-9117-C57CC455557C}"/>
    <cellStyle name="Euro 23 8" xfId="1975" xr:uid="{96B3FE53-6189-41E3-AF47-D9747A4A014D}"/>
    <cellStyle name="Euro 23 8 2" xfId="4637" xr:uid="{0F393D51-0EA4-43B6-B79D-363FE53F83BE}"/>
    <cellStyle name="Euro 23 8 3" xfId="6632" xr:uid="{7FFA58E9-9034-4B20-ADBE-0542A76D1B69}"/>
    <cellStyle name="Euro 23 8 4" xfId="8352" xr:uid="{C1893E30-C9E4-45CD-92A7-836F993457CF}"/>
    <cellStyle name="Euro 23 9" xfId="4630" xr:uid="{05828803-333E-42E3-ABCE-B3863C56B0D6}"/>
    <cellStyle name="Euro 24" xfId="1976" xr:uid="{1D2E1EB7-3469-464C-8CFF-3476DB2EC42D}"/>
    <cellStyle name="Euro 24 10" xfId="3979" xr:uid="{811E7026-20A0-468D-BA50-811469D3C6D7}"/>
    <cellStyle name="Euro 24 11" xfId="6046" xr:uid="{ACFEF676-9296-4570-9131-0F7E871E4CC4}"/>
    <cellStyle name="Euro 24 12" xfId="8353" xr:uid="{649AE6ED-2BB4-4861-A59F-29F42811BF96}"/>
    <cellStyle name="Euro 24 2" xfId="1977" xr:uid="{9B9589B0-7576-4FE7-819D-91B68A791259}"/>
    <cellStyle name="Euro 24 2 2" xfId="4639" xr:uid="{BC7EFEAA-C3DD-45A2-ADDD-8770836C4401}"/>
    <cellStyle name="Euro 24 2 3" xfId="3980" xr:uid="{CDC57E79-9960-47D5-825C-9A4BAD4F3F13}"/>
    <cellStyle name="Euro 24 2 4" xfId="6047" xr:uid="{C5D5BC88-567C-490F-85E9-6A64067C5932}"/>
    <cellStyle name="Euro 24 2 5" xfId="8354" xr:uid="{15572B8F-014F-4390-9ACC-7E2D6425AEB5}"/>
    <cellStyle name="Euro 24 3" xfId="1978" xr:uid="{0540F27B-0DE1-490C-B0F4-EBEE5AFA34AA}"/>
    <cellStyle name="Euro 24 3 2" xfId="4640" xr:uid="{71BECF0F-30B4-49B3-8AF9-991974061130}"/>
    <cellStyle name="Euro 24 3 3" xfId="3981" xr:uid="{44907455-7222-4618-A0C1-EA8213F7B157}"/>
    <cellStyle name="Euro 24 3 4" xfId="6048" xr:uid="{4973DCD8-F7E9-4ADD-8493-4F3BAE6C88A7}"/>
    <cellStyle name="Euro 24 3 5" xfId="8355" xr:uid="{D02CEC03-1422-4F7E-A149-734062D11675}"/>
    <cellStyle name="Euro 24 4" xfId="1979" xr:uid="{54EE582D-D97E-4A0B-8F32-EFA3E7BC0419}"/>
    <cellStyle name="Euro 24 4 2" xfId="4641" xr:uid="{493F9A17-E20E-4E06-9C2D-6C1E0A35F9FB}"/>
    <cellStyle name="Euro 24 4 3" xfId="6633" xr:uid="{4DE8B5BF-FD06-471C-B10E-62D0922CE7F3}"/>
    <cellStyle name="Euro 24 4 4" xfId="8356" xr:uid="{146CCB65-AC4D-4725-B9AC-7A0D52349F0B}"/>
    <cellStyle name="Euro 24 5" xfId="1980" xr:uid="{11B4DB7E-DC3D-4032-9B80-992685121CC4}"/>
    <cellStyle name="Euro 24 5 2" xfId="4642" xr:uid="{6342B4AC-EDC9-4B3D-A50D-2FF044816B15}"/>
    <cellStyle name="Euro 24 5 3" xfId="6634" xr:uid="{11ADA3E0-B59F-4381-AD48-E5D74E5D076B}"/>
    <cellStyle name="Euro 24 5 4" xfId="8357" xr:uid="{A21BDFC7-09DD-479C-BC69-99DC5B8C2F27}"/>
    <cellStyle name="Euro 24 6" xfId="1981" xr:uid="{9C5788C3-BD90-4547-ACD8-D170F0495317}"/>
    <cellStyle name="Euro 24 6 2" xfId="4643" xr:uid="{A73EB049-BC9A-4BE3-9CD1-DAFCF44237B2}"/>
    <cellStyle name="Euro 24 6 3" xfId="6635" xr:uid="{BA2C01A6-FD51-445E-83C0-8E5E29E22C04}"/>
    <cellStyle name="Euro 24 6 4" xfId="8358" xr:uid="{0F1F319A-CC8B-48A3-A6D0-3F2EA18C59C6}"/>
    <cellStyle name="Euro 24 7" xfId="1982" xr:uid="{48B8C9B5-5900-45AD-8774-C67D2EEB5B95}"/>
    <cellStyle name="Euro 24 7 2" xfId="4644" xr:uid="{4CE36DA6-9B32-44D2-B799-E43BD966958A}"/>
    <cellStyle name="Euro 24 7 3" xfId="6636" xr:uid="{4C29914C-4B2C-4AB4-8851-2AC098CA54B3}"/>
    <cellStyle name="Euro 24 7 4" xfId="8359" xr:uid="{28C8E4C3-28FE-474F-9A9B-B6445F757BBB}"/>
    <cellStyle name="Euro 24 8" xfId="1983" xr:uid="{12E69AA4-7CCF-4704-84B2-914BF82EC0B1}"/>
    <cellStyle name="Euro 24 8 2" xfId="4645" xr:uid="{98C81BBC-811B-4211-8369-32B75DD2B4C1}"/>
    <cellStyle name="Euro 24 8 3" xfId="6637" xr:uid="{C7242904-269A-42E7-BDF4-BE1A7D7F73C9}"/>
    <cellStyle name="Euro 24 8 4" xfId="8360" xr:uid="{8A4D1207-ED97-4602-9994-C0C81F8E4656}"/>
    <cellStyle name="Euro 24 9" xfId="4638" xr:uid="{FF88D0F1-B2F7-4DD8-9F39-6F7F80045EAA}"/>
    <cellStyle name="Euro 25" xfId="1984" xr:uid="{58F38223-7452-4726-A8F5-FCDA06D4ACE6}"/>
    <cellStyle name="Euro 25 10" xfId="3982" xr:uid="{6779B909-B530-4D66-AE95-5A335DD461D1}"/>
    <cellStyle name="Euro 25 11" xfId="6049" xr:uid="{46DAD616-513C-480A-AF27-BD9E657E2862}"/>
    <cellStyle name="Euro 25 12" xfId="8361" xr:uid="{C2A8838B-BB32-4176-9FDC-DBC8AF7C7428}"/>
    <cellStyle name="Euro 25 2" xfId="1985" xr:uid="{01B56F88-F728-4D15-AC7D-EC696A283967}"/>
    <cellStyle name="Euro 25 2 2" xfId="4647" xr:uid="{8E77078C-8D61-448F-A48D-B201C87A58E0}"/>
    <cellStyle name="Euro 25 2 3" xfId="3983" xr:uid="{3061911B-FFA8-4072-BF79-434B6B6368C7}"/>
    <cellStyle name="Euro 25 2 4" xfId="6050" xr:uid="{AF5F33CF-AAEA-46CE-ADC6-5C5C63E3438F}"/>
    <cellStyle name="Euro 25 2 5" xfId="8362" xr:uid="{0E981169-8BEB-4E84-BE1A-7EAFF9C4D85A}"/>
    <cellStyle name="Euro 25 3" xfId="1986" xr:uid="{C6C5AB13-FF0F-4EC8-BE0E-BF618014F0A6}"/>
    <cellStyle name="Euro 25 3 2" xfId="4648" xr:uid="{08F9A437-79FC-4C2B-8B88-7F2802090F8A}"/>
    <cellStyle name="Euro 25 3 3" xfId="3984" xr:uid="{78B45D26-D34B-4861-83D8-BC97F78AF156}"/>
    <cellStyle name="Euro 25 3 4" xfId="6051" xr:uid="{E0D0E36E-1463-414D-B325-257322C8E285}"/>
    <cellStyle name="Euro 25 3 5" xfId="8363" xr:uid="{FB40F5F6-2566-4F51-BDBA-20708381164D}"/>
    <cellStyle name="Euro 25 4" xfId="1987" xr:uid="{BBF39BD2-A065-4065-98FE-CEFEC84971C8}"/>
    <cellStyle name="Euro 25 4 2" xfId="4649" xr:uid="{40654E62-221F-41AF-9280-E38EF8CAD8E4}"/>
    <cellStyle name="Euro 25 4 3" xfId="6638" xr:uid="{3E818660-AEDA-4B9B-970A-C62B00F4CEF4}"/>
    <cellStyle name="Euro 25 4 4" xfId="8364" xr:uid="{F80D569F-95C8-41F4-8672-ABC486D5C667}"/>
    <cellStyle name="Euro 25 5" xfId="1988" xr:uid="{5E7CD9C6-55FF-4260-AE06-F9740B93A2CD}"/>
    <cellStyle name="Euro 25 5 2" xfId="4650" xr:uid="{81B75204-0521-45AB-A8C7-41628F2DCC62}"/>
    <cellStyle name="Euro 25 5 3" xfId="6639" xr:uid="{90B7BC2D-ACB7-449A-BAF0-DA3FAFAF90A3}"/>
    <cellStyle name="Euro 25 5 4" xfId="8365" xr:uid="{1FFB30F2-1099-41A3-9149-4335AA6EBFB5}"/>
    <cellStyle name="Euro 25 6" xfId="1989" xr:uid="{F42B1E1C-C0E3-445A-BD70-8ED9F87DDE48}"/>
    <cellStyle name="Euro 25 6 2" xfId="4651" xr:uid="{4BE9FB1E-0603-40CF-B934-D27F953747BD}"/>
    <cellStyle name="Euro 25 6 3" xfId="6640" xr:uid="{551FDE6B-B33F-447A-BFB2-4506CE06A711}"/>
    <cellStyle name="Euro 25 6 4" xfId="8366" xr:uid="{5D4A8BED-3625-4199-BF20-3586CE984CE3}"/>
    <cellStyle name="Euro 25 7" xfId="1990" xr:uid="{3F7D08FD-ADA4-4AB0-9F2B-B761F065C39D}"/>
    <cellStyle name="Euro 25 7 2" xfId="4652" xr:uid="{97AD3928-C30E-4615-A7A6-F6CE9042DCCE}"/>
    <cellStyle name="Euro 25 7 3" xfId="6641" xr:uid="{FCB0DE00-C7C8-45A9-BF21-3BD5930FF161}"/>
    <cellStyle name="Euro 25 7 4" xfId="8367" xr:uid="{1455CFB0-5974-4979-8224-B6F35174FAB5}"/>
    <cellStyle name="Euro 25 8" xfId="1991" xr:uid="{13FB82C6-1A2A-4FEF-9D0F-6791E3052BDC}"/>
    <cellStyle name="Euro 25 8 2" xfId="4653" xr:uid="{81EA1E3A-8E6E-49D6-9BBE-F40DADF0EEFD}"/>
    <cellStyle name="Euro 25 8 3" xfId="6642" xr:uid="{3C773795-FE6F-4D67-8E37-119FF650617F}"/>
    <cellStyle name="Euro 25 8 4" xfId="8368" xr:uid="{C5DFF5B8-12A7-40F5-860F-9077824C19F9}"/>
    <cellStyle name="Euro 25 9" xfId="4646" xr:uid="{F81B192D-87E0-4AC3-845B-B0A3C0EF58D5}"/>
    <cellStyle name="Euro 26" xfId="1992" xr:uid="{28D3488B-9D15-4C6B-97EB-23FFB675B193}"/>
    <cellStyle name="Euro 26 10" xfId="3985" xr:uid="{55693EA9-728B-4142-8BE3-C56D6EFDB8C6}"/>
    <cellStyle name="Euro 26 11" xfId="6052" xr:uid="{4F88D353-2102-4B4F-A71B-094D6D423F86}"/>
    <cellStyle name="Euro 26 12" xfId="8369" xr:uid="{635844EE-0AC9-4E4C-838A-9C7192F1B5FB}"/>
    <cellStyle name="Euro 26 2" xfId="1993" xr:uid="{5872E54C-A2BE-4BAF-BF72-6BB9FFF0CB35}"/>
    <cellStyle name="Euro 26 2 2" xfId="4655" xr:uid="{39BDA550-F739-46AF-8D12-BDFCB5A2EB1E}"/>
    <cellStyle name="Euro 26 2 3" xfId="3986" xr:uid="{481F59AC-0D1C-4035-9C5A-BE78D4A026B5}"/>
    <cellStyle name="Euro 26 2 4" xfId="6053" xr:uid="{697B710F-ECF7-420B-B247-4FC9694CDEF0}"/>
    <cellStyle name="Euro 26 2 5" xfId="8370" xr:uid="{DA587024-F7EE-46C0-8ABF-DEAAA8264E48}"/>
    <cellStyle name="Euro 26 3" xfId="1994" xr:uid="{A32FEB45-3960-425E-B31C-35FC5CA5108B}"/>
    <cellStyle name="Euro 26 3 2" xfId="4656" xr:uid="{D420B779-75B2-48F7-95F7-59C69D41890F}"/>
    <cellStyle name="Euro 26 3 3" xfId="3987" xr:uid="{9D67655E-B96F-4C7D-B1BA-D1B3E36FF032}"/>
    <cellStyle name="Euro 26 3 4" xfId="6054" xr:uid="{1F6BA3DA-CD04-403E-BADD-0751E72138CE}"/>
    <cellStyle name="Euro 26 3 5" xfId="8371" xr:uid="{11691043-E15F-4E41-8749-1CA851249010}"/>
    <cellStyle name="Euro 26 4" xfId="1995" xr:uid="{A43E16BB-8735-437A-81FF-1DE9652329DE}"/>
    <cellStyle name="Euro 26 4 2" xfId="4657" xr:uid="{425C3167-9D9A-46F7-8919-4FBBD731AA94}"/>
    <cellStyle name="Euro 26 4 3" xfId="6643" xr:uid="{1AC5108B-2269-420A-B18D-D54C41CE22A1}"/>
    <cellStyle name="Euro 26 4 4" xfId="8372" xr:uid="{3E7FCF78-CFB0-4BC1-B4E7-8897FBDD9915}"/>
    <cellStyle name="Euro 26 5" xfId="1996" xr:uid="{23678950-6F82-41D5-8194-586A9886C27B}"/>
    <cellStyle name="Euro 26 5 2" xfId="4658" xr:uid="{769D3FDD-ECC2-4685-B699-43708EADDE72}"/>
    <cellStyle name="Euro 26 5 3" xfId="6644" xr:uid="{ADBB8E65-18D4-49E7-8F13-78927E56B41C}"/>
    <cellStyle name="Euro 26 5 4" xfId="8373" xr:uid="{D2270B2B-1474-4AA9-B78A-697B1425ACBF}"/>
    <cellStyle name="Euro 26 6" xfId="1997" xr:uid="{5496C597-846B-44B1-B5AF-BBC95FE5AFA7}"/>
    <cellStyle name="Euro 26 6 2" xfId="4659" xr:uid="{1BC0B5FC-FCEE-4635-8D5C-62316C8CC0A0}"/>
    <cellStyle name="Euro 26 6 3" xfId="6645" xr:uid="{04A4903C-7F3C-46BC-97D9-465C7D54E03D}"/>
    <cellStyle name="Euro 26 6 4" xfId="8374" xr:uid="{45A70474-D201-4216-B0CD-E5C787F29D85}"/>
    <cellStyle name="Euro 26 7" xfId="1998" xr:uid="{C10AC182-A9E7-4B2B-9A5E-4093506CD8D3}"/>
    <cellStyle name="Euro 26 7 2" xfId="4660" xr:uid="{E196C9CE-E186-4805-8EDB-4D0926DAC98B}"/>
    <cellStyle name="Euro 26 7 3" xfId="6646" xr:uid="{02BB010A-4EEF-4679-8CBA-174DBC072AB1}"/>
    <cellStyle name="Euro 26 7 4" xfId="8375" xr:uid="{7CBDEE54-72C2-4DA5-8533-6297A82075B0}"/>
    <cellStyle name="Euro 26 8" xfId="1999" xr:uid="{AFB98423-99AC-4ACB-AB7C-E616F09D58F7}"/>
    <cellStyle name="Euro 26 8 2" xfId="4661" xr:uid="{57F743F9-70DF-4215-8E8C-16FCF795CAB2}"/>
    <cellStyle name="Euro 26 8 3" xfId="6647" xr:uid="{FCA76446-D8CF-454B-A53D-F7129043B870}"/>
    <cellStyle name="Euro 26 8 4" xfId="8376" xr:uid="{654E8742-0321-4E56-B779-AADADC9B3052}"/>
    <cellStyle name="Euro 26 9" xfId="4654" xr:uid="{04FDBBC9-0FB8-45C5-B4BB-16F04B6BFF06}"/>
    <cellStyle name="Euro 27" xfId="2000" xr:uid="{90FA3BDE-463E-4598-B943-89A06B71A7FB}"/>
    <cellStyle name="Euro 27 10" xfId="8377" xr:uid="{6A8F3F5D-79A4-46E7-9F20-D1C07F2010F6}"/>
    <cellStyle name="Euro 27 2" xfId="2001" xr:uid="{46B3B240-DCA6-4E59-B472-A6BF194C9B4B}"/>
    <cellStyle name="Euro 27 2 2" xfId="4663" xr:uid="{A2594F2B-8ED4-483E-9049-84A07768DC98}"/>
    <cellStyle name="Euro 27 2 3" xfId="3989" xr:uid="{18EAFFE0-B642-4840-B309-413644171656}"/>
    <cellStyle name="Euro 27 2 4" xfId="6056" xr:uid="{CD498239-73EC-4123-B007-693AD312FCE7}"/>
    <cellStyle name="Euro 27 2 5" xfId="8378" xr:uid="{A8243022-C47D-4866-BE21-7DE9EC3055FB}"/>
    <cellStyle name="Euro 27 3" xfId="2002" xr:uid="{B147A497-DD16-48AF-9B40-9A31254A3B5C}"/>
    <cellStyle name="Euro 27 3 2" xfId="4664" xr:uid="{6DB9329E-3269-49CC-93EB-222017454904}"/>
    <cellStyle name="Euro 27 3 3" xfId="3990" xr:uid="{0F543A34-ECC0-435A-ABDE-0F1E9DD450B4}"/>
    <cellStyle name="Euro 27 3 4" xfId="6057" xr:uid="{AC6045A7-42A5-41BE-A1DD-DA725857AD37}"/>
    <cellStyle name="Euro 27 3 5" xfId="8379" xr:uid="{3F4D75E3-628A-4DE8-A573-CD764972ABAA}"/>
    <cellStyle name="Euro 27 4" xfId="2003" xr:uid="{3026E86B-773D-4583-BAAD-DFB4552DAF8B}"/>
    <cellStyle name="Euro 27 4 2" xfId="4665" xr:uid="{C28681D2-CAC9-4202-9575-EEF3D13E4800}"/>
    <cellStyle name="Euro 27 4 3" xfId="6648" xr:uid="{E7ED5B7B-77BB-4B72-B28C-20BD1C9F8AFC}"/>
    <cellStyle name="Euro 27 4 4" xfId="8380" xr:uid="{4CD4689F-6161-437C-9665-0D911CD01C5C}"/>
    <cellStyle name="Euro 27 5" xfId="2004" xr:uid="{193464B8-8128-4002-8C72-72748A276DC7}"/>
    <cellStyle name="Euro 27 5 2" xfId="4666" xr:uid="{7C7434E8-FCA5-4018-A0D3-5091F5584E58}"/>
    <cellStyle name="Euro 27 5 3" xfId="6649" xr:uid="{5ED20ED8-AA86-4E23-925D-40DC5E8B7CF5}"/>
    <cellStyle name="Euro 27 5 4" xfId="8381" xr:uid="{EFC15C74-8DF6-42A2-B0B9-9FCCA5CC928A}"/>
    <cellStyle name="Euro 27 6" xfId="2005" xr:uid="{F2627780-D5C9-46AB-9E0D-430E8DE5C065}"/>
    <cellStyle name="Euro 27 6 2" xfId="4667" xr:uid="{78AF9820-417F-4DA4-A5BC-D7CD756792F4}"/>
    <cellStyle name="Euro 27 6 3" xfId="6650" xr:uid="{E7C17D70-C7D1-42DC-8B71-4EA49E8E2BA2}"/>
    <cellStyle name="Euro 27 6 4" xfId="8382" xr:uid="{CABC3DC6-BBA4-46EB-BDDB-B71C1C786E61}"/>
    <cellStyle name="Euro 27 7" xfId="4662" xr:uid="{F465EDCE-7EFC-4A0C-8A00-9B42CD2F40B2}"/>
    <cellStyle name="Euro 27 8" xfId="3988" xr:uid="{51B746FD-1C87-49AC-8C5B-981FBF6A4C30}"/>
    <cellStyle name="Euro 27 9" xfId="6055" xr:uid="{5763A334-A5EA-4ABD-9DC2-F4438F3F1308}"/>
    <cellStyle name="Euro 28" xfId="2006" xr:uid="{63B7D49C-A316-471B-974B-3C33A77A4E2E}"/>
    <cellStyle name="Euro 28 10" xfId="8383" xr:uid="{27EC8C24-3722-4DF0-A41D-C15BA62AA43E}"/>
    <cellStyle name="Euro 28 2" xfId="2007" xr:uid="{F91D17A1-E771-484F-A2FD-AC9FB62FF282}"/>
    <cellStyle name="Euro 28 2 2" xfId="4669" xr:uid="{82BE9D11-F290-46E6-973B-C78790CA1780}"/>
    <cellStyle name="Euro 28 2 3" xfId="3992" xr:uid="{0716E2C8-D230-4316-81E8-261C2C5A2DE5}"/>
    <cellStyle name="Euro 28 2 4" xfId="6059" xr:uid="{7629ADD7-75AA-4102-B833-0997CB46464E}"/>
    <cellStyle name="Euro 28 2 5" xfId="8384" xr:uid="{F5C096C5-23B9-4E9E-B34C-896383FD3E1D}"/>
    <cellStyle name="Euro 28 3" xfId="2008" xr:uid="{4B073250-E6CB-4144-B457-444ACDAEA422}"/>
    <cellStyle name="Euro 28 3 2" xfId="4670" xr:uid="{CAA1FB8A-23F1-415B-AD3C-9BB0DDA627DC}"/>
    <cellStyle name="Euro 28 3 3" xfId="3993" xr:uid="{024AA719-6B2F-4B9F-903D-290C96F3FED9}"/>
    <cellStyle name="Euro 28 3 4" xfId="6060" xr:uid="{351B14F0-E47D-4FAA-8700-3F6F771E0F94}"/>
    <cellStyle name="Euro 28 3 5" xfId="8385" xr:uid="{8732E8A2-956E-4180-9A70-D49A0AEE3C07}"/>
    <cellStyle name="Euro 28 4" xfId="2009" xr:uid="{FF15C186-9386-46F4-926A-0FA4FFCA7B57}"/>
    <cellStyle name="Euro 28 4 2" xfId="4671" xr:uid="{DFCCB9A2-3B6F-4404-929D-D44EF61C4128}"/>
    <cellStyle name="Euro 28 4 3" xfId="6651" xr:uid="{B67CEFCA-5EDD-4CF5-BA30-8B0C5AAF6DD0}"/>
    <cellStyle name="Euro 28 4 4" xfId="8386" xr:uid="{3D55A688-A1CA-4C8D-A17E-9481F9FC79B4}"/>
    <cellStyle name="Euro 28 5" xfId="2010" xr:uid="{7DE07C03-C94D-4B36-9EE4-22943BDB9014}"/>
    <cellStyle name="Euro 28 5 2" xfId="4672" xr:uid="{FA8CF6E1-70F8-4436-9E48-E9BCD5069E53}"/>
    <cellStyle name="Euro 28 5 3" xfId="6652" xr:uid="{0CEF1E9F-2B08-46FC-85EE-8451E21F1E44}"/>
    <cellStyle name="Euro 28 5 4" xfId="8387" xr:uid="{61B90786-8A6A-482B-A585-C620BA422E60}"/>
    <cellStyle name="Euro 28 6" xfId="2011" xr:uid="{3E6E39CB-0B02-4046-948E-36DE5902B888}"/>
    <cellStyle name="Euro 28 6 2" xfId="4673" xr:uid="{2D9204F3-C1A4-49CF-A496-A5D790646915}"/>
    <cellStyle name="Euro 28 6 3" xfId="6653" xr:uid="{E2732333-E8A6-4D6D-A63F-4E5B07560ABC}"/>
    <cellStyle name="Euro 28 6 4" xfId="8388" xr:uid="{B264FC78-3BEE-4E20-8560-655CDA9EE493}"/>
    <cellStyle name="Euro 28 7" xfId="4668" xr:uid="{0B516757-3218-452D-95B0-F2F8CC0FBFA7}"/>
    <cellStyle name="Euro 28 8" xfId="3991" xr:uid="{BEC895CB-1C8C-4004-95F8-A78E3FB55CE1}"/>
    <cellStyle name="Euro 28 9" xfId="6058" xr:uid="{0049F24F-3482-4431-AEB3-8B3D6C888E3B}"/>
    <cellStyle name="Euro 29" xfId="2012" xr:uid="{7F8D68CC-AC31-4970-9C32-4D6A3B339E85}"/>
    <cellStyle name="Euro 29 10" xfId="8389" xr:uid="{FEE8797B-FF75-4E61-B263-95190A4E1964}"/>
    <cellStyle name="Euro 29 2" xfId="2013" xr:uid="{BFCB1BB2-B399-48A0-A6FA-79A4035061CC}"/>
    <cellStyle name="Euro 29 2 2" xfId="4675" xr:uid="{4AF8DD9A-7063-471A-B696-C0B45F21D5BC}"/>
    <cellStyle name="Euro 29 2 3" xfId="3995" xr:uid="{FC6D7079-263B-437A-AC92-72E8C2F39B91}"/>
    <cellStyle name="Euro 29 2 4" xfId="6062" xr:uid="{58DB1D10-66BE-4A6E-BA49-F11F38EEFFB8}"/>
    <cellStyle name="Euro 29 2 5" xfId="8390" xr:uid="{3C6CAD08-318E-4A7C-84B0-B19A406C5CD2}"/>
    <cellStyle name="Euro 29 3" xfId="2014" xr:uid="{CAB2B78C-2EA6-491F-A545-8FB92A70D667}"/>
    <cellStyle name="Euro 29 3 2" xfId="4676" xr:uid="{52299BF6-9ECA-418E-81C4-8A0FD8385031}"/>
    <cellStyle name="Euro 29 3 3" xfId="3996" xr:uid="{CB5B9793-25DD-4FDC-AFF1-7C221EA459E8}"/>
    <cellStyle name="Euro 29 3 4" xfId="6063" xr:uid="{324970AE-0494-44D4-A918-7494F697A118}"/>
    <cellStyle name="Euro 29 3 5" xfId="8391" xr:uid="{192D7973-8FEC-4BC6-8D06-66A9C6BD4078}"/>
    <cellStyle name="Euro 29 4" xfId="2015" xr:uid="{46FADEE5-A1BD-4076-8CD3-CDCE102CAAA8}"/>
    <cellStyle name="Euro 29 4 2" xfId="4677" xr:uid="{9ECCAF9A-B675-4D8F-A67D-F7C45EF436BC}"/>
    <cellStyle name="Euro 29 4 3" xfId="6654" xr:uid="{3B7A0702-51EE-42D8-9F0E-D4E721E701D8}"/>
    <cellStyle name="Euro 29 4 4" xfId="8392" xr:uid="{4FD531B4-6E08-4933-9811-BD8A93BE8CE6}"/>
    <cellStyle name="Euro 29 5" xfId="2016" xr:uid="{46785862-1C32-4944-B046-50E4FBE9B87E}"/>
    <cellStyle name="Euro 29 5 2" xfId="4678" xr:uid="{8CEEA366-22FB-475E-9A31-849AFF5F18B9}"/>
    <cellStyle name="Euro 29 5 3" xfId="6655" xr:uid="{6D7AFFD4-35F5-40A4-83B1-8A3F384980C5}"/>
    <cellStyle name="Euro 29 5 4" xfId="8393" xr:uid="{8464186A-F140-435C-86D4-2E946D90780C}"/>
    <cellStyle name="Euro 29 6" xfId="2017" xr:uid="{819442B0-D6A9-4DB5-948F-F60FBBD9B485}"/>
    <cellStyle name="Euro 29 6 2" xfId="4679" xr:uid="{5DC399DB-846F-4727-B96A-FDA3FFF24082}"/>
    <cellStyle name="Euro 29 6 3" xfId="6656" xr:uid="{637A3D3E-F856-40CD-AAC1-CF2C4EF86AFE}"/>
    <cellStyle name="Euro 29 6 4" xfId="8394" xr:uid="{33B15750-AA06-4E38-A989-3B051BAEC0D0}"/>
    <cellStyle name="Euro 29 7" xfId="4674" xr:uid="{44116FFE-1DED-4D23-B69E-60ADD0F234EB}"/>
    <cellStyle name="Euro 29 8" xfId="3994" xr:uid="{365BB593-0FAD-459B-9F4A-63C646DD7561}"/>
    <cellStyle name="Euro 29 9" xfId="6061" xr:uid="{F21FB53B-F98D-4022-9A27-6FD44E1186D3}"/>
    <cellStyle name="Euro 3" xfId="2018" xr:uid="{080E2465-9F04-4FB0-B118-9B2BD2525D8F}"/>
    <cellStyle name="Euro 3 10" xfId="2019" xr:uid="{B0851EC6-1D7F-4350-81A1-D8E27047CAA4}"/>
    <cellStyle name="Euro 3 10 2" xfId="4681" xr:uid="{4B2BE3D8-5103-4B96-A2A4-11AF7129DC7E}"/>
    <cellStyle name="Euro 3 10 3" xfId="6657" xr:uid="{22DA9B84-BD7B-4D2F-8267-FB10BBE0559B}"/>
    <cellStyle name="Euro 3 10 4" xfId="8395" xr:uid="{DD85ECBE-C348-49A7-AF59-5DFDD4714413}"/>
    <cellStyle name="Euro 3 11" xfId="2020" xr:uid="{EBDBAD5E-8664-4D1F-8BDC-B5340168A738}"/>
    <cellStyle name="Euro 3 11 2" xfId="4682" xr:uid="{76598652-1181-44B1-B2B7-1651336BDEF6}"/>
    <cellStyle name="Euro 3 11 3" xfId="6658" xr:uid="{3B9CF5B0-6F66-4C2C-8E68-C9C09516784A}"/>
    <cellStyle name="Euro 3 11 3 2" xfId="46225" xr:uid="{1814990A-4120-4A8B-9102-7044019646DE}"/>
    <cellStyle name="Euro 3 11 3 3" xfId="16399" xr:uid="{A3A436BD-9652-4039-9BA6-E72AFE121C9B}"/>
    <cellStyle name="Euro 3 11 4" xfId="8396" xr:uid="{FB9ECEF2-6BF8-418B-84B9-4E114B752308}"/>
    <cellStyle name="Euro 3 12" xfId="2021" xr:uid="{955E5B1D-9976-4ECD-B30C-765A9C013CCD}"/>
    <cellStyle name="Euro 3 12 2" xfId="4683" xr:uid="{0BB69D01-5672-4E32-BB3E-CC716D11C297}"/>
    <cellStyle name="Euro 3 12 3" xfId="6659" xr:uid="{F5CEF1E5-E7E2-4619-847A-93386E5A2970}"/>
    <cellStyle name="Euro 3 12 3 2" xfId="20643" xr:uid="{FFDEE40B-EF23-449F-BE62-E8079511048D}"/>
    <cellStyle name="Euro 3 12 3 2 2" xfId="24112" xr:uid="{FAAC5812-6C59-4FB2-A3A2-A913C8F04390}"/>
    <cellStyle name="Euro 3 12 4" xfId="8397" xr:uid="{EAC5AE16-6B32-48BD-9874-739D1FBD16E1}"/>
    <cellStyle name="Euro 3 13" xfId="2022" xr:uid="{93FD5FF7-5C47-48F5-B9FC-681689A62DEA}"/>
    <cellStyle name="Euro 3 13 2" xfId="4684" xr:uid="{1D0138C6-8CA6-45CF-9C09-10C8E7DE22B9}"/>
    <cellStyle name="Euro 3 13 3" xfId="6660" xr:uid="{550BFDB3-15A2-4756-AFFB-BD482316E8A2}"/>
    <cellStyle name="Euro 3 13 4" xfId="8398" xr:uid="{5744D7B2-D715-4427-9367-005AF53E24F8}"/>
    <cellStyle name="Euro 3 14" xfId="4680" xr:uid="{5C0F2736-26AD-4821-BBCD-AAA2C3FA8E17}"/>
    <cellStyle name="Euro 3 15" xfId="6064" xr:uid="{D3724FEF-7F5F-4E6D-9D99-E4BFA5A5F1C0}"/>
    <cellStyle name="Euro 3 2" xfId="2023" xr:uid="{081FF102-FAB4-4A21-AB79-4ACD48BF1B00}"/>
    <cellStyle name="Euro 3 2 2" xfId="2024" xr:uid="{335B5E14-05CC-4E99-BA6B-7314E5C0E6D6}"/>
    <cellStyle name="Euro 3 2 2 2" xfId="4686" xr:uid="{AB019129-37F6-4F1F-B15B-09AB01097B28}"/>
    <cellStyle name="Euro 3 2 2 3" xfId="6661" xr:uid="{74D3A118-6D65-48F5-AB10-C49A7DD1FBF5}"/>
    <cellStyle name="Euro 3 2 2 4" xfId="8400" xr:uid="{42D9C6C6-14F0-4AB7-A694-A36BB5D21458}"/>
    <cellStyle name="Euro 3 2 3" xfId="4685" xr:uid="{B3D49ABF-6004-4ACC-9D0F-3E823A867C2B}"/>
    <cellStyle name="Euro 3 2 4" xfId="3997" xr:uid="{981E9F8E-8D24-479E-8E0A-B3EA92A030F1}"/>
    <cellStyle name="Euro 3 2 5" xfId="6065" xr:uid="{4A2FD364-617B-421B-BC3A-3D68EBF4236D}"/>
    <cellStyle name="Euro 3 2 6" xfId="8399" xr:uid="{B682A144-76CF-485D-AB64-0972F844F075}"/>
    <cellStyle name="Euro 3 3" xfId="2025" xr:uid="{6A0CB234-1158-4D33-85AC-19C5408A4663}"/>
    <cellStyle name="Euro 3 3 2" xfId="4687" xr:uid="{92F190C9-4EA5-47AA-BD0B-9868833F6322}"/>
    <cellStyle name="Euro 3 3 3" xfId="3998" xr:uid="{0215AB42-5375-4255-81A9-D70FD40B547B}"/>
    <cellStyle name="Euro 3 3 4" xfId="6066" xr:uid="{AE226DBA-3864-42A6-BE1D-D930CF187D61}"/>
    <cellStyle name="Euro 3 3 5" xfId="8401" xr:uid="{EDAF9DC1-3ED3-46D0-8EE6-ADE3D76243A9}"/>
    <cellStyle name="Euro 3 4" xfId="2026" xr:uid="{16FDDD6B-17B9-4DA0-8D5A-10CDF8202B0C}"/>
    <cellStyle name="Euro 3 4 2" xfId="2027" xr:uid="{9F825E0B-D757-42A8-AF48-2AC338AF5120}"/>
    <cellStyle name="Euro 3 4 2 2" xfId="2028" xr:uid="{95BAE0BC-4CF8-4852-A1C2-ECDFA26B2174}"/>
    <cellStyle name="Euro 3 4 2 2 2" xfId="4690" xr:uid="{6E07800E-2619-430C-833C-44E73B2E23F2}"/>
    <cellStyle name="Euro 3 4 2 2 3" xfId="4001" xr:uid="{27401CDC-6473-4F2E-A9AF-FF7DF7D394F8}"/>
    <cellStyle name="Euro 3 4 2 2 4" xfId="6069" xr:uid="{3E6CC030-9990-4C21-BA8A-F2095DB99838}"/>
    <cellStyle name="Euro 3 4 2 2 5" xfId="8404" xr:uid="{E631EB83-BB74-4384-B198-561EFF017875}"/>
    <cellStyle name="Euro 3 4 2 3" xfId="4689" xr:uid="{A30C075E-9D89-44EC-90CB-13E812EA1A9C}"/>
    <cellStyle name="Euro 3 4 2 4" xfId="4000" xr:uid="{3234E015-48CF-4A71-837B-18E49EF9CBAD}"/>
    <cellStyle name="Euro 3 4 2 5" xfId="6068" xr:uid="{4D53D9F5-B746-47B3-A3B7-CB1837A7D622}"/>
    <cellStyle name="Euro 3 4 2 6" xfId="8403" xr:uid="{51A98C35-F852-4B4C-82D1-ABF75E0BEB45}"/>
    <cellStyle name="Euro 3 4 3" xfId="2029" xr:uid="{41FA2F18-1099-4A11-A5DB-922FDAA22ABC}"/>
    <cellStyle name="Euro 3 4 3 2" xfId="4691" xr:uid="{B9DBBD09-B0DB-4FBF-82BF-E16F5382159F}"/>
    <cellStyle name="Euro 3 4 3 3" xfId="4002" xr:uid="{73C586D7-1158-4CA5-8383-3DB566164D51}"/>
    <cellStyle name="Euro 3 4 3 4" xfId="6070" xr:uid="{2396B83E-A1AE-4734-B976-C1A8672B56E2}"/>
    <cellStyle name="Euro 3 4 3 5" xfId="8405" xr:uid="{392B503D-B0E5-45DB-A22E-799F6EE7AFF8}"/>
    <cellStyle name="Euro 3 4 4" xfId="2030" xr:uid="{5F55F913-A54D-4BD1-B9A2-2A74555A0FE3}"/>
    <cellStyle name="Euro 3 4 4 2" xfId="4692" xr:uid="{6D9FF50A-3162-4F33-A5C6-490902AB061F}"/>
    <cellStyle name="Euro 3 4 4 3" xfId="6662" xr:uid="{9E008C3F-0F59-4E5C-A0D5-63DC5FD34237}"/>
    <cellStyle name="Euro 3 4 4 3 2" xfId="46226" xr:uid="{A9BEB12D-4BB4-4347-A26C-301DADFAC8AC}"/>
    <cellStyle name="Euro 3 4 4 4" xfId="8406" xr:uid="{4500B9E7-A7C8-4698-A490-017C972984C9}"/>
    <cellStyle name="Euro 3 4 5" xfId="2031" xr:uid="{A6214076-8365-4742-AEE6-5EB165DE2A5D}"/>
    <cellStyle name="Euro 3 4 5 2" xfId="4693" xr:uid="{A25A3331-9E25-4463-A94C-CA1BEF0E51B0}"/>
    <cellStyle name="Euro 3 4 5 2 2" xfId="23395" xr:uid="{2A992628-D3CD-4400-9024-2792804FB681}"/>
    <cellStyle name="Euro 3 4 5 2 2 2" xfId="24113" xr:uid="{29DB04EA-83F4-403E-854D-E9BCDBE3676C}"/>
    <cellStyle name="Euro 3 4 5 3" xfId="6663" xr:uid="{3FBDFBD5-C840-426A-BE3A-90636B93E782}"/>
    <cellStyle name="Euro 3 4 5 4" xfId="8407" xr:uid="{5FE83E7C-9657-4976-99A3-FAB3915C66C5}"/>
    <cellStyle name="Euro 3 4 6" xfId="4688" xr:uid="{8A51A4C8-B695-4D82-AF83-74079EB39C9B}"/>
    <cellStyle name="Euro 3 4 7" xfId="3999" xr:uid="{DBBE53F5-514E-4B0C-8B3F-F233CA0A09CD}"/>
    <cellStyle name="Euro 3 4 8" xfId="6067" xr:uid="{DC1A3C64-1F15-4E16-BE3F-E00ED2247442}"/>
    <cellStyle name="Euro 3 4 9" xfId="8402" xr:uid="{4708285F-455E-4468-AB95-E2EE8F29700F}"/>
    <cellStyle name="Euro 3 5" xfId="2032" xr:uid="{D1ABD82D-C38A-4B32-A6A4-FD5722E682F7}"/>
    <cellStyle name="Euro 3 5 2" xfId="4694" xr:uid="{0D99CFD2-131C-4B6B-8219-15250A01B776}"/>
    <cellStyle name="Euro 3 5 3" xfId="4003" xr:uid="{06652607-8C5C-4FA6-9E9B-A8925709193B}"/>
    <cellStyle name="Euro 3 5 4" xfId="6071" xr:uid="{132579EE-5FEB-4479-9ACA-09EE7D8A9524}"/>
    <cellStyle name="Euro 3 5 5" xfId="8408" xr:uid="{551DB4BA-4627-4E1D-AEFF-7695366397B8}"/>
    <cellStyle name="Euro 3 6" xfId="2033" xr:uid="{2EA2AB21-BB5C-4FD5-A3F9-0B573AAFC348}"/>
    <cellStyle name="Euro 3 6 2" xfId="2034" xr:uid="{0CED5B5B-0DB4-4E64-8FBD-F60B9297810F}"/>
    <cellStyle name="Euro 3 6 2 2" xfId="4696" xr:uid="{1941FD6D-B2FF-4C68-9121-56CD9A5EADAB}"/>
    <cellStyle name="Euro 3 6 2 3" xfId="4005" xr:uid="{26FF5D35-F6D5-419A-BA01-7B5D87DA5BA0}"/>
    <cellStyle name="Euro 3 6 2 4" xfId="6073" xr:uid="{9A1A6BAD-FECC-4A88-A9AA-09B35F4F59E6}"/>
    <cellStyle name="Euro 3 6 2 5" xfId="8410" xr:uid="{6185B8C0-E08B-4892-B801-D197A5B67A54}"/>
    <cellStyle name="Euro 3 6 3" xfId="4695" xr:uid="{A0582735-59A5-424E-ACBE-D52466A7F483}"/>
    <cellStyle name="Euro 3 6 4" xfId="4004" xr:uid="{BF67785F-277A-42AF-9D94-9B38A49B4D41}"/>
    <cellStyle name="Euro 3 6 5" xfId="6072" xr:uid="{D8352426-582F-4845-B4F3-B5E16B4D9535}"/>
    <cellStyle name="Euro 3 6 6" xfId="8409" xr:uid="{2A0BBF8E-3479-4423-A2A1-8DEF533F92BD}"/>
    <cellStyle name="Euro 3 7" xfId="2035" xr:uid="{5F9D757A-2276-4498-9A55-4BEDD266AA0F}"/>
    <cellStyle name="Euro 3 7 2" xfId="2036" xr:uid="{CFF9FD15-D3E5-43DD-B421-77B75CB5AF3E}"/>
    <cellStyle name="Euro 3 7 2 2" xfId="4698" xr:uid="{5D11924E-5DB9-47E5-B023-D82CA1D80058}"/>
    <cellStyle name="Euro 3 7 2 3" xfId="6664" xr:uid="{64EC5216-83CB-4AF7-A297-B30BC905B7A4}"/>
    <cellStyle name="Euro 3 7 2 3 2" xfId="46227" xr:uid="{7D849307-5A2A-47B8-8EC9-6D6DA83E323F}"/>
    <cellStyle name="Euro 3 7 2 3 3" xfId="16400" xr:uid="{42DB24D3-B0B6-49C1-AD59-C524DB57CE5A}"/>
    <cellStyle name="Euro 3 7 2 4" xfId="8412" xr:uid="{35462FCB-D3EC-45FB-8663-0DB861068092}"/>
    <cellStyle name="Euro 3 7 3" xfId="2037" xr:uid="{D24950BB-53EB-40AF-BA7D-A08DC698F02B}"/>
    <cellStyle name="Euro 3 7 3 2" xfId="4699" xr:uid="{343324A3-A8E5-45DF-866D-62588842B59E}"/>
    <cellStyle name="Euro 3 7 3 3" xfId="6665" xr:uid="{00331755-6F9E-41C7-82CA-2E7D27FB97AD}"/>
    <cellStyle name="Euro 3 7 3 4" xfId="8413" xr:uid="{A69288BE-08C8-45A2-B7C6-4725BF2E5334}"/>
    <cellStyle name="Euro 3 7 4" xfId="2038" xr:uid="{F03EB031-219D-4F59-972F-51E60307FE5B}"/>
    <cellStyle name="Euro 3 7 4 2" xfId="4700" xr:uid="{F4E14528-BB2D-4C86-949F-301154089527}"/>
    <cellStyle name="Euro 3 7 4 3" xfId="6666" xr:uid="{1555D284-F153-40E7-854B-4933FE9EFB2E}"/>
    <cellStyle name="Euro 3 7 4 4" xfId="8414" xr:uid="{DA971DC5-77C3-4903-9165-E91562A9E778}"/>
    <cellStyle name="Euro 3 7 5" xfId="4697" xr:uid="{FCA36987-B380-443B-B6B6-633022BDD872}"/>
    <cellStyle name="Euro 3 7 6" xfId="4006" xr:uid="{5C34F5DA-F32B-4972-8928-77CE060E2EB7}"/>
    <cellStyle name="Euro 3 7 7" xfId="6074" xr:uid="{F4A0E983-B24D-49E2-8BC8-201526F9018A}"/>
    <cellStyle name="Euro 3 7 8" xfId="8411" xr:uid="{5948538F-6F27-4CFF-AF85-5CB6EA5B01E9}"/>
    <cellStyle name="Euro 3 8" xfId="2039" xr:uid="{B0283BF5-6DDC-495C-A9E6-000D85B7B98A}"/>
    <cellStyle name="Euro 3 8 2" xfId="2040" xr:uid="{CCDD2402-C9BE-4201-8608-8A6A2EA10F17}"/>
    <cellStyle name="Euro 3 8 2 2" xfId="4702" xr:uid="{DFDBFF5F-9BE6-454C-9530-A54BE0EE1D75}"/>
    <cellStyle name="Euro 3 8 2 3" xfId="6668" xr:uid="{DA3C5FF4-7EF4-4BA1-96A4-6F7431D8BF83}"/>
    <cellStyle name="Euro 3 8 2 4" xfId="8416" xr:uid="{973A99D3-B323-4ABF-9ED0-C4634BD5572F}"/>
    <cellStyle name="Euro 3 8 3" xfId="2041" xr:uid="{FDC95042-BE52-41F7-BCD2-7BA12761E787}"/>
    <cellStyle name="Euro 3 8 3 2" xfId="4703" xr:uid="{B619B28F-D492-4E6D-923B-9A378A858F62}"/>
    <cellStyle name="Euro 3 8 3 3" xfId="6669" xr:uid="{74D10CE6-0E45-413C-A07C-9CE0B0E2811B}"/>
    <cellStyle name="Euro 3 8 3 4" xfId="8417" xr:uid="{A384C05C-3D2E-4024-8BD4-7613FCD3EFBF}"/>
    <cellStyle name="Euro 3 8 4" xfId="4701" xr:uid="{0F263E07-A26C-4919-978B-DAD5E6FA7EE6}"/>
    <cellStyle name="Euro 3 8 4 2" xfId="23396" xr:uid="{5D3AB983-A9E5-4B40-BA23-21200933BFB9}"/>
    <cellStyle name="Euro 3 8 4 2 2" xfId="24114" xr:uid="{56FA14F8-3409-405D-B511-E87ECDD2E597}"/>
    <cellStyle name="Euro 3 8 5" xfId="6667" xr:uid="{9FFBFFC4-187B-4A48-B12D-910C9DFA1067}"/>
    <cellStyle name="Euro 3 8 6" xfId="8415" xr:uid="{193FC74B-68BA-4782-8BBF-90A831B826AB}"/>
    <cellStyle name="Euro 3 9" xfId="2042" xr:uid="{8AD9EA1E-7C76-4BFF-AB74-D011A5805A12}"/>
    <cellStyle name="Euro 3 9 2" xfId="4704" xr:uid="{A322A385-DCDE-4218-828D-21206A428460}"/>
    <cellStyle name="Euro 3 9 3" xfId="6670" xr:uid="{E2C81E7F-1B87-42D4-9CB0-8E296CCB7808}"/>
    <cellStyle name="Euro 3 9 4" xfId="8418" xr:uid="{F913772A-E128-4DD6-A3B2-A0B58301D226}"/>
    <cellStyle name="Euro 30" xfId="2043" xr:uid="{A5804017-C4E1-41B4-901A-D156170541C0}"/>
    <cellStyle name="Euro 30 10" xfId="8419" xr:uid="{834E6E55-3547-48D1-A31A-7760FE7AB161}"/>
    <cellStyle name="Euro 30 2" xfId="2044" xr:uid="{8C5D2E6B-BD77-47F1-BBBC-1866EBF5564C}"/>
    <cellStyle name="Euro 30 2 2" xfId="4706" xr:uid="{29CE84A9-007E-4B4A-A8D6-A271E7DD3347}"/>
    <cellStyle name="Euro 30 2 3" xfId="4008" xr:uid="{9F220638-E661-4735-BF51-0B98589C9CA8}"/>
    <cellStyle name="Euro 30 2 4" xfId="6076" xr:uid="{094AD761-F690-4278-86F0-DC0076B6646B}"/>
    <cellStyle name="Euro 30 2 5" xfId="8420" xr:uid="{D8759247-D0E7-44A3-A049-B4DD3C6B0631}"/>
    <cellStyle name="Euro 30 3" xfId="2045" xr:uid="{B34D052C-9A73-4AEE-9CEC-7B4E283A5007}"/>
    <cellStyle name="Euro 30 3 2" xfId="4707" xr:uid="{BCE207E3-90F7-4FD5-BFD3-8E387E6FC400}"/>
    <cellStyle name="Euro 30 3 3" xfId="4009" xr:uid="{6A1ECDA5-1917-44F3-8BF3-C87F4657655B}"/>
    <cellStyle name="Euro 30 3 4" xfId="6077" xr:uid="{9BEB7062-8E72-40AC-B1D8-191BCB68CBD4}"/>
    <cellStyle name="Euro 30 3 5" xfId="8421" xr:uid="{02FBD220-BFF2-402E-BAE2-97DADCE7B365}"/>
    <cellStyle name="Euro 30 4" xfId="2046" xr:uid="{7F1F6519-18BB-4E67-BCD9-D3DCDC10F908}"/>
    <cellStyle name="Euro 30 4 2" xfId="4708" xr:uid="{4B1130D2-59BF-4E86-8504-CCE33F5A67B0}"/>
    <cellStyle name="Euro 30 4 3" xfId="6671" xr:uid="{9F006EB4-E772-4560-9533-EB918B9A3915}"/>
    <cellStyle name="Euro 30 4 4" xfId="8422" xr:uid="{9EE93D98-0CC9-4D0B-A16E-BC678F62EA83}"/>
    <cellStyle name="Euro 30 5" xfId="2047" xr:uid="{1A5452ED-8D4C-41A6-B39B-3CD84CC4C560}"/>
    <cellStyle name="Euro 30 5 2" xfId="4709" xr:uid="{A1F76396-47F5-4B0B-AF7E-74F6B919F80A}"/>
    <cellStyle name="Euro 30 5 3" xfId="6672" xr:uid="{BADCC1BA-ED8B-49DB-B698-FB5842D721F6}"/>
    <cellStyle name="Euro 30 5 4" xfId="8423" xr:uid="{4F4A9F86-B8D9-4A0E-B6A3-54F0586DC146}"/>
    <cellStyle name="Euro 30 6" xfId="2048" xr:uid="{71780891-96F6-48E4-B272-961AA7407D6B}"/>
    <cellStyle name="Euro 30 6 2" xfId="4710" xr:uid="{181064D7-6BFD-4AA3-B45B-87BBB8FCEEA9}"/>
    <cellStyle name="Euro 30 6 3" xfId="6673" xr:uid="{E163BDAD-9535-49F2-8D5D-51EB26D5DE14}"/>
    <cellStyle name="Euro 30 6 4" xfId="8424" xr:uid="{E83A5381-5F42-4FCA-9CE3-A01D3DEBB92D}"/>
    <cellStyle name="Euro 30 7" xfId="4705" xr:uid="{965CD7B7-015B-4811-9BBF-0C56F8B5F35C}"/>
    <cellStyle name="Euro 30 8" xfId="4007" xr:uid="{B39F597F-BEB8-4B52-AA3E-39968B2E9D42}"/>
    <cellStyle name="Euro 30 9" xfId="6075" xr:uid="{C6456155-B264-4F84-AA84-3C396D04E0B0}"/>
    <cellStyle name="Euro 31" xfId="2049" xr:uid="{8C11307F-F0CA-4365-90B4-A534986F95FF}"/>
    <cellStyle name="Euro 31 10" xfId="8425" xr:uid="{B2379478-3B5E-4CCD-A22E-C4934F206E44}"/>
    <cellStyle name="Euro 31 2" xfId="2050" xr:uid="{51A9D6E6-AAC0-4C0A-8D6D-77553A1A45F5}"/>
    <cellStyle name="Euro 31 2 2" xfId="4712" xr:uid="{50319119-619C-476A-82E5-2AA424DFD1A6}"/>
    <cellStyle name="Euro 31 2 3" xfId="4011" xr:uid="{48611C2D-2299-45A8-8FF8-3D0D4EFD181B}"/>
    <cellStyle name="Euro 31 2 4" xfId="6079" xr:uid="{CF2ACB0C-7484-44FA-8318-D11701E142A6}"/>
    <cellStyle name="Euro 31 2 5" xfId="8426" xr:uid="{89515B55-AC9E-4B43-82F4-CE2BBC3B2847}"/>
    <cellStyle name="Euro 31 3" xfId="2051" xr:uid="{302A60C9-BA8C-41B8-AF5F-54E94395C2CE}"/>
    <cellStyle name="Euro 31 3 2" xfId="4713" xr:uid="{B79CF7C9-7826-462C-9EA0-F33720386747}"/>
    <cellStyle name="Euro 31 3 3" xfId="4012" xr:uid="{1DE499BA-DFED-49FE-AD86-6C6B2818D30D}"/>
    <cellStyle name="Euro 31 3 4" xfId="6080" xr:uid="{499E9FAA-5089-4FF2-9FF4-EE28A3812AFE}"/>
    <cellStyle name="Euro 31 3 5" xfId="8427" xr:uid="{86C66ED8-E3A6-4E91-A9AF-C05D7E936D8B}"/>
    <cellStyle name="Euro 31 4" xfId="2052" xr:uid="{8C3F574B-A0B2-433D-8FE3-CE3F9AB57FB3}"/>
    <cellStyle name="Euro 31 4 2" xfId="4714" xr:uid="{97D6F472-8354-4DD8-9CB6-EEB941D5F1F7}"/>
    <cellStyle name="Euro 31 4 3" xfId="6674" xr:uid="{238BDDC4-B647-4921-AD3E-9641A06F7148}"/>
    <cellStyle name="Euro 31 4 4" xfId="8428" xr:uid="{CE08B17A-D678-4945-8AB1-D2F4919399B7}"/>
    <cellStyle name="Euro 31 5" xfId="2053" xr:uid="{D3711960-BD66-4FE9-9E37-F963C9E4C649}"/>
    <cellStyle name="Euro 31 5 2" xfId="4715" xr:uid="{047F6BA5-8C80-47F6-9C13-29ACD918479C}"/>
    <cellStyle name="Euro 31 5 3" xfId="6675" xr:uid="{053651ED-C0D5-47FD-ACC3-688159171B87}"/>
    <cellStyle name="Euro 31 5 4" xfId="8429" xr:uid="{405CD629-6E08-4B91-BFBC-B628DFDE3E92}"/>
    <cellStyle name="Euro 31 6" xfId="2054" xr:uid="{338F9B17-F9A7-4315-A938-551B749E2619}"/>
    <cellStyle name="Euro 31 6 2" xfId="4716" xr:uid="{12E32C6E-2503-4825-B9A5-387400536593}"/>
    <cellStyle name="Euro 31 6 3" xfId="6676" xr:uid="{BF72E968-5BDC-49B7-AF83-BC6C1653F15F}"/>
    <cellStyle name="Euro 31 6 4" xfId="8430" xr:uid="{D1C3B3E4-A802-4ECD-A957-7733E0A2CC3A}"/>
    <cellStyle name="Euro 31 7" xfId="4711" xr:uid="{AA2B5040-7F4E-42FE-8D7A-2CC9AF3C05B2}"/>
    <cellStyle name="Euro 31 8" xfId="4010" xr:uid="{F621E03D-E69F-4191-8E76-BF21BB59EC37}"/>
    <cellStyle name="Euro 31 9" xfId="6078" xr:uid="{74DE3B33-0F9E-4BC3-89F2-89B40D8FAC8F}"/>
    <cellStyle name="Euro 32" xfId="2055" xr:uid="{84A44294-6B72-4CE6-AF35-16B755A32A8A}"/>
    <cellStyle name="Euro 32 10" xfId="15808" xr:uid="{32FC7253-5E70-4BC4-891F-420A183828C3}"/>
    <cellStyle name="Euro 32 11" xfId="15809" xr:uid="{942805C5-BC60-4B9F-8BF9-D092813D3844}"/>
    <cellStyle name="Euro 32 12" xfId="15810" xr:uid="{243F5DCC-3174-4477-AA14-C7EB9118D031}"/>
    <cellStyle name="Euro 32 2" xfId="2056" xr:uid="{DA2EF102-4476-47CC-B701-10C0C47435D4}"/>
    <cellStyle name="Euro 32 2 2" xfId="4718" xr:uid="{F9C0C913-BBC3-441B-B539-7EEDFA5CFC4B}"/>
    <cellStyle name="Euro 32 2 3" xfId="6677" xr:uid="{7D14E61D-E955-454C-BE19-26B2EF7C3036}"/>
    <cellStyle name="Euro 32 2 4" xfId="8432" xr:uid="{8B18A96B-2B4A-4722-AFEA-361698B39723}"/>
    <cellStyle name="Euro 32 3" xfId="4717" xr:uid="{CF4FF053-6D3E-4020-AE6F-B2A837A8E57B}"/>
    <cellStyle name="Euro 32 4" xfId="4013" xr:uid="{EECFEBBE-D8A5-4BB6-AFF0-AA090254D4B4}"/>
    <cellStyle name="Euro 32 5" xfId="6081" xr:uid="{E8D4DE5E-E70C-46BC-9801-B8409FFC2AB7}"/>
    <cellStyle name="Euro 32 6" xfId="8431" xr:uid="{53D35A06-F40D-45DF-B895-02511D30D8C9}"/>
    <cellStyle name="Euro 32 7" xfId="15811" xr:uid="{463882DA-6E22-4E90-B34C-2D812C53E718}"/>
    <cellStyle name="Euro 32 8" xfId="15812" xr:uid="{F3F4354D-B5D1-4C2A-827B-175910486894}"/>
    <cellStyle name="Euro 32 9" xfId="15813" xr:uid="{4C24DE78-63CE-445F-B0AE-7BEF202F2253}"/>
    <cellStyle name="Euro 33" xfId="2057" xr:uid="{7DC26F99-2579-4606-BF99-F10DAF97F548}"/>
    <cellStyle name="Euro 33 10" xfId="15814" xr:uid="{FC95CB55-6551-4D92-BA2A-550AEC36172C}"/>
    <cellStyle name="Euro 33 11" xfId="15815" xr:uid="{0AB682D8-499C-415F-933B-E073FCE00695}"/>
    <cellStyle name="Euro 33 12" xfId="15816" xr:uid="{5C202F49-5CC3-4001-88CB-1936D65915F2}"/>
    <cellStyle name="Euro 33 2" xfId="2058" xr:uid="{DA5201B6-A207-4D0C-BD41-A7B58C4D45F2}"/>
    <cellStyle name="Euro 33 2 2" xfId="4720" xr:uid="{C470E574-771E-43BB-86BE-B4DFD80C2655}"/>
    <cellStyle name="Euro 33 2 3" xfId="6678" xr:uid="{E477ABF1-E0CB-43DD-9915-74E3693B3074}"/>
    <cellStyle name="Euro 33 2 4" xfId="8434" xr:uid="{793D5BAC-AF16-4C32-BD9D-1F6B6860B392}"/>
    <cellStyle name="Euro 33 3" xfId="4719" xr:uid="{66B3504B-0275-4249-8CE0-8723496A4424}"/>
    <cellStyle name="Euro 33 4" xfId="4014" xr:uid="{2B0897E1-ECA2-49C1-AEEE-5C36C6571D04}"/>
    <cellStyle name="Euro 33 5" xfId="6082" xr:uid="{0371D8A2-7635-4F67-BEBE-67D47874D82C}"/>
    <cellStyle name="Euro 33 6" xfId="8433" xr:uid="{EAE12506-3229-4952-9D37-77792B6FE35C}"/>
    <cellStyle name="Euro 33 7" xfId="15817" xr:uid="{A1A8F3E4-A746-4C83-8219-31FE2D56A4BC}"/>
    <cellStyle name="Euro 33 8" xfId="15818" xr:uid="{F0A85C86-428A-4275-8669-BB08D59AB330}"/>
    <cellStyle name="Euro 33 9" xfId="15819" xr:uid="{007B4829-2636-4915-B1AE-2A3498EB3ADA}"/>
    <cellStyle name="Euro 34" xfId="2059" xr:uid="{2EF8A4E6-B9E8-452E-954A-21756857C90F}"/>
    <cellStyle name="Euro 34 2" xfId="2060" xr:uid="{A45E4CC5-3867-4D92-BB92-400582B0F278}"/>
    <cellStyle name="Euro 34 2 2" xfId="4722" xr:uid="{945B095E-6EC7-4DBF-BC2A-4449C8F40578}"/>
    <cellStyle name="Euro 34 2 3" xfId="6679" xr:uid="{3CDB9345-3CBC-4A32-AC85-35E60629E0FB}"/>
    <cellStyle name="Euro 34 2 4" xfId="8436" xr:uid="{32431357-B1B7-495D-96D4-9110528862A3}"/>
    <cellStyle name="Euro 34 3" xfId="4721" xr:uid="{E1930843-B8B2-4B66-8339-6998B9C509C3}"/>
    <cellStyle name="Euro 34 4" xfId="4015" xr:uid="{EA549900-FD03-4B66-AB35-AA5B73C0F360}"/>
    <cellStyle name="Euro 34 5" xfId="6083" xr:uid="{603D5FDE-F911-4E63-9F3B-8C5AC90C1D1A}"/>
    <cellStyle name="Euro 34 6" xfId="8435" xr:uid="{4EEAACF4-60C1-4597-A233-8B318ED9EDA2}"/>
    <cellStyle name="Euro 35" xfId="2061" xr:uid="{0DF88D78-6B8B-4702-B6F4-3354B6340DD6}"/>
    <cellStyle name="Euro 35 2" xfId="2062" xr:uid="{40DF577E-CC8D-45F2-A6D4-CEF44898215A}"/>
    <cellStyle name="Euro 35 2 2" xfId="4724" xr:uid="{D4BC8592-B490-4D97-9E96-11966FFD851B}"/>
    <cellStyle name="Euro 35 2 3" xfId="6680" xr:uid="{24C6392D-891C-4EAB-BEB8-88F02F755738}"/>
    <cellStyle name="Euro 35 2 4" xfId="8438" xr:uid="{A9049376-682A-4737-B39F-4F64B50F727F}"/>
    <cellStyle name="Euro 35 3" xfId="4723" xr:uid="{B5DBA14F-BCC3-48E7-A35B-3CE9F60E58C1}"/>
    <cellStyle name="Euro 35 4" xfId="4016" xr:uid="{555650AA-2D8A-452E-91E6-D9458319479A}"/>
    <cellStyle name="Euro 35 5" xfId="6084" xr:uid="{7D11CCCA-20B3-4F74-9765-953C43408796}"/>
    <cellStyle name="Euro 35 6" xfId="8437" xr:uid="{C2F44974-741E-45AB-AF42-3043372C6EF6}"/>
    <cellStyle name="Euro 36" xfId="2063" xr:uid="{AEBC2731-87C2-4448-8720-296FA5E7CAB4}"/>
    <cellStyle name="Euro 36 2" xfId="2064" xr:uid="{1344126B-3635-47DF-AFC2-CB13CBDD655B}"/>
    <cellStyle name="Euro 36 2 2" xfId="4726" xr:uid="{B7D4C485-728F-4FC5-961F-CA947F91EC5B}"/>
    <cellStyle name="Euro 36 2 3" xfId="6681" xr:uid="{C12D7E43-0F98-4E8F-AA6D-B66BB5C52399}"/>
    <cellStyle name="Euro 36 2 4" xfId="8440" xr:uid="{460EF3BA-94D4-42A5-8FB1-E3AB4ACFE99A}"/>
    <cellStyle name="Euro 36 3" xfId="4725" xr:uid="{7A104052-C0B9-4188-AD54-57B63D6A87F6}"/>
    <cellStyle name="Euro 36 4" xfId="4017" xr:uid="{76AA703E-EC6E-48A0-9FC1-40369DE3837B}"/>
    <cellStyle name="Euro 36 5" xfId="6085" xr:uid="{790763AF-9891-469A-8C14-E9C157360F7A}"/>
    <cellStyle name="Euro 36 6" xfId="8439" xr:uid="{0F58861F-C3E6-4B06-A5E4-758B4734F19E}"/>
    <cellStyle name="Euro 37" xfId="2065" xr:uid="{207D45A7-02E9-49FD-A913-D5DE28BCC362}"/>
    <cellStyle name="Euro 37 2" xfId="2066" xr:uid="{8AB2686D-97C0-4BF4-B30D-B31046ADB3EB}"/>
    <cellStyle name="Euro 37 2 2" xfId="4728" xr:uid="{64315F54-780E-488A-9AA0-6D2F1C11A3AA}"/>
    <cellStyle name="Euro 37 2 3" xfId="6682" xr:uid="{E02DE526-FA5C-40DA-8FC3-E069D51A6675}"/>
    <cellStyle name="Euro 37 2 4" xfId="8442" xr:uid="{E3FCD67B-A65C-4928-BF26-B399BBFC61C6}"/>
    <cellStyle name="Euro 37 3" xfId="4727" xr:uid="{9490CD06-9C5A-4863-84AF-BF185B255599}"/>
    <cellStyle name="Euro 37 4" xfId="4018" xr:uid="{EF18C6A1-A8FE-4CC4-9044-8217FE31C9BD}"/>
    <cellStyle name="Euro 37 5" xfId="6086" xr:uid="{AD3054E4-6580-442A-A755-EA08F1A26824}"/>
    <cellStyle name="Euro 37 6" xfId="8441" xr:uid="{AA7CEE5D-2D56-4902-96B7-7D9198247840}"/>
    <cellStyle name="Euro 38" xfId="2067" xr:uid="{A28F0192-CC81-42D6-9F91-22E4FD783BF4}"/>
    <cellStyle name="Euro 38 2" xfId="2068" xr:uid="{96ED199B-5D60-42FF-B50F-6D9C0D98033A}"/>
    <cellStyle name="Euro 38 2 2" xfId="4730" xr:uid="{1BE3F1AD-B1EF-4FA1-A683-F62C0CC90B7B}"/>
    <cellStyle name="Euro 38 2 3" xfId="6683" xr:uid="{24D443DB-3C0C-463F-B9E7-9EDE2185717F}"/>
    <cellStyle name="Euro 38 2 4" xfId="8444" xr:uid="{207D2C76-1F38-4C32-89AC-F9FDF2FCB582}"/>
    <cellStyle name="Euro 38 3" xfId="4729" xr:uid="{43E889C1-AFF9-48B9-AC1E-1B374656845B}"/>
    <cellStyle name="Euro 38 4" xfId="4019" xr:uid="{8CA8D4CC-1A18-4539-AC84-288275161694}"/>
    <cellStyle name="Euro 38 5" xfId="6087" xr:uid="{41154C6D-D381-429D-9838-CF8E1B3ABB1A}"/>
    <cellStyle name="Euro 38 6" xfId="8443" xr:uid="{778DFB0E-598E-4B77-A72A-E6BB5181BFBE}"/>
    <cellStyle name="Euro 39" xfId="2069" xr:uid="{D8ABD3D8-DF0C-48E6-AC57-34D9A209EA69}"/>
    <cellStyle name="Euro 39 2" xfId="2070" xr:uid="{95A9587C-B1F4-4774-B017-46AFC333A2AC}"/>
    <cellStyle name="Euro 39 2 2" xfId="4732" xr:uid="{BF00AE89-DA10-4573-9A59-553EE0FAC6D6}"/>
    <cellStyle name="Euro 39 2 3" xfId="4021" xr:uid="{62CD0A33-C3C2-4C8C-8BCB-235831110D20}"/>
    <cellStyle name="Euro 39 2 4" xfId="6089" xr:uid="{43354F0D-CF4A-4F98-A5E1-9DAB47C8AD6A}"/>
    <cellStyle name="Euro 39 2 5" xfId="8446" xr:uid="{6734A62E-82DB-4160-8923-D5511E8B7A2A}"/>
    <cellStyle name="Euro 39 3" xfId="2071" xr:uid="{157136E9-90E8-452E-A1CA-AB4F82F7C1B7}"/>
    <cellStyle name="Euro 39 3 2" xfId="4733" xr:uid="{3CB73DC7-0C63-46E1-BF4A-A4550B316AC8}"/>
    <cellStyle name="Euro 39 3 3" xfId="4022" xr:uid="{50DD58F5-EAEF-42B7-8CA4-B77D640EB59E}"/>
    <cellStyle name="Euro 39 3 4" xfId="6090" xr:uid="{1EFE3568-80CA-4549-BF67-0B571EDA17AE}"/>
    <cellStyle name="Euro 39 3 5" xfId="8447" xr:uid="{9998A2B6-637F-498F-9D06-FE825ED1A0C2}"/>
    <cellStyle name="Euro 39 4" xfId="4731" xr:uid="{C6E8CB7E-1462-4BFB-A1E2-BA4557D16EE2}"/>
    <cellStyle name="Euro 39 5" xfId="4020" xr:uid="{0CC70BCB-FD2C-4422-9455-7BAFC0B90BE3}"/>
    <cellStyle name="Euro 39 6" xfId="6088" xr:uid="{CDC832E3-0D55-4AD2-A418-0DB22EF1A09F}"/>
    <cellStyle name="Euro 39 7" xfId="8445" xr:uid="{74C29614-DDD0-410A-9B80-FE049B79A83F}"/>
    <cellStyle name="Euro 4" xfId="2072" xr:uid="{97648DF6-BB33-4C8D-8389-9C9B5D8AEA2E}"/>
    <cellStyle name="Euro 4 2" xfId="2073" xr:uid="{2CCA3817-2747-4BB8-8702-533EC1BC5292}"/>
    <cellStyle name="Euro 4 2 10" xfId="8449" xr:uid="{02F87DAB-3626-4F5D-B924-F0F27CDF3244}"/>
    <cellStyle name="Euro 4 2 2" xfId="2074" xr:uid="{318624AB-2434-4582-8264-A9F9F3B8C2A3}"/>
    <cellStyle name="Euro 4 2 2 2" xfId="2075" xr:uid="{B5C2D74B-7AFA-4A38-9154-C4A96C1956F2}"/>
    <cellStyle name="Euro 4 2 2 2 2" xfId="4737" xr:uid="{FD5C4430-1BE6-4A68-882C-F4DA5428F73F}"/>
    <cellStyle name="Euro 4 2 2 2 3" xfId="4025" xr:uid="{96ABD236-19E3-4BE6-82BB-824C4AC849F3}"/>
    <cellStyle name="Euro 4 2 2 2 4" xfId="6094" xr:uid="{455AE26E-4A46-4CB4-A0FA-F8F7688B39CA}"/>
    <cellStyle name="Euro 4 2 2 2 5" xfId="8451" xr:uid="{D57F30AF-D196-4A02-85A6-1208212B1A9D}"/>
    <cellStyle name="Euro 4 2 2 3" xfId="4736" xr:uid="{3EB015ED-D46D-47EC-B748-D94F5BE68B8B}"/>
    <cellStyle name="Euro 4 2 2 3 2" xfId="43612" xr:uid="{9B7DBA11-D62F-449B-B886-D88E2DE9BACB}"/>
    <cellStyle name="Euro 4 2 2 3 3" xfId="16401" xr:uid="{DA5EEC30-D93A-4E21-95D1-6DB90CFA430E}"/>
    <cellStyle name="Euro 4 2 2 4" xfId="4024" xr:uid="{EC1362D7-D990-46FA-B05E-E235DC7652E1}"/>
    <cellStyle name="Euro 4 2 2 5" xfId="6093" xr:uid="{EC7DD9B4-89EB-4466-A377-EFAD5E26ABFE}"/>
    <cellStyle name="Euro 4 2 2 6" xfId="8450" xr:uid="{DBC01040-B715-49EB-BFFE-B3EC0CDADDE3}"/>
    <cellStyle name="Euro 4 2 3" xfId="2076" xr:uid="{36A794C8-666D-450A-B37E-130616B17B06}"/>
    <cellStyle name="Euro 4 2 3 2" xfId="4738" xr:uid="{21B288BA-D000-4A7F-9164-35094A42E596}"/>
    <cellStyle name="Euro 4 2 3 3" xfId="4026" xr:uid="{95F981F4-6E23-4065-BBE2-8F8DBA0B42CE}"/>
    <cellStyle name="Euro 4 2 3 4" xfId="6095" xr:uid="{60F4E8CD-F512-4DD2-BFB5-4FC58EB32B76}"/>
    <cellStyle name="Euro 4 2 3 5" xfId="8452" xr:uid="{E515DF04-1F8F-4500-A708-4B552D5741AE}"/>
    <cellStyle name="Euro 4 2 4" xfId="2077" xr:uid="{EAB590EE-7C84-4A48-AD12-C4A377C66995}"/>
    <cellStyle name="Euro 4 2 4 2" xfId="4739" xr:uid="{9F813BD8-955C-470D-888B-EFE7C7A9C043}"/>
    <cellStyle name="Euro 4 2 4 3" xfId="6684" xr:uid="{D054493C-B843-47AD-8AC1-FBF818527F89}"/>
    <cellStyle name="Euro 4 2 4 3 2" xfId="20644" xr:uid="{97DBD1D1-4DB2-4CFD-9A26-1C7B7AAF42BE}"/>
    <cellStyle name="Euro 4 2 4 3 2 2" xfId="24115" xr:uid="{9AB33333-AD70-4950-BC81-028A6E1320E2}"/>
    <cellStyle name="Euro 4 2 4 3 3" xfId="46228" xr:uid="{D2FFC33A-0CE5-452F-AEBF-590AB64C67E6}"/>
    <cellStyle name="Euro 4 2 4 3 4" xfId="16402" xr:uid="{F30692F4-1A52-4A4F-A62C-4394189DBE65}"/>
    <cellStyle name="Euro 4 2 4 4" xfId="8453" xr:uid="{5599F428-8C8D-4700-A511-7598517F6D83}"/>
    <cellStyle name="Euro 4 2 5" xfId="2078" xr:uid="{9BD4B96F-40A1-4C3B-BA0B-C8D9EAAE66BE}"/>
    <cellStyle name="Euro 4 2 5 2" xfId="4740" xr:uid="{F6EDC979-FD71-4EC7-941E-5A139990B8FE}"/>
    <cellStyle name="Euro 4 2 5 3" xfId="6685" xr:uid="{21E92ECB-967A-4C53-B4AE-A14C28C2F854}"/>
    <cellStyle name="Euro 4 2 5 4" xfId="8454" xr:uid="{085B9019-CB7C-49BF-BB5A-0E4698B1836C}"/>
    <cellStyle name="Euro 4 2 6" xfId="2079" xr:uid="{3471952F-111B-4524-8660-9F933F8BA68E}"/>
    <cellStyle name="Euro 4 2 6 2" xfId="4741" xr:uid="{2E08BD0E-2F1F-4759-A016-CBD5635BF3D5}"/>
    <cellStyle name="Euro 4 2 6 2 2" xfId="23397" xr:uid="{EF8ECF8A-8E02-4BBF-9D4F-0AF54D44598A}"/>
    <cellStyle name="Euro 4 2 6 2 2 2" xfId="24116" xr:uid="{355CA40B-438C-40A4-81F2-F8E963BBB45A}"/>
    <cellStyle name="Euro 4 2 6 3" xfId="6686" xr:uid="{A2C9F2CD-FCBE-424A-A227-7B8EA631FCBA}"/>
    <cellStyle name="Euro 4 2 6 3 2" xfId="17155" xr:uid="{6481542C-07EA-4CE7-9814-50436F64BD01}"/>
    <cellStyle name="Euro 4 2 6 4" xfId="8455" xr:uid="{894E7FC0-9D69-400D-8685-F2AF94484A76}"/>
    <cellStyle name="Euro 4 2 7" xfId="4735" xr:uid="{67C31428-40E1-4522-8E76-6B58DC02B92A}"/>
    <cellStyle name="Euro 4 2 8" xfId="4023" xr:uid="{DAE5EE39-AE9A-48C2-B5E3-7BE573CA6A27}"/>
    <cellStyle name="Euro 4 2 9" xfId="6092" xr:uid="{16F4341F-5031-4B43-BE0D-236B406D80D4}"/>
    <cellStyle name="Euro 4 3" xfId="2080" xr:uid="{FF100695-F8C2-4147-9859-5F83F62F9B26}"/>
    <cellStyle name="Euro 4 3 2" xfId="4742" xr:uid="{B2DDF1B8-C3FD-4945-9D11-21015133A6F9}"/>
    <cellStyle name="Euro 4 3 3" xfId="4027" xr:uid="{B33EE28E-0D7B-4634-B752-06CF62AEB7F1}"/>
    <cellStyle name="Euro 4 3 4" xfId="6096" xr:uid="{375BAC07-766E-4F90-B1EF-ED4CF6F2C0B0}"/>
    <cellStyle name="Euro 4 3 5" xfId="8456" xr:uid="{1A7ADACF-1A90-4D7D-98D6-7A66EE84776C}"/>
    <cellStyle name="Euro 4 4" xfId="2081" xr:uid="{A10F3E30-CCE0-4177-8A4A-94B80646C7E8}"/>
    <cellStyle name="Euro 4 4 2" xfId="4743" xr:uid="{7C5BA453-90AB-469C-A77B-27188FF8542D}"/>
    <cellStyle name="Euro 4 4 3" xfId="4028" xr:uid="{4BBCEA71-DB07-46E6-AD23-EFABC255B71B}"/>
    <cellStyle name="Euro 4 4 4" xfId="6097" xr:uid="{EF81C047-E08B-4A73-920C-7BF4E4A2604D}"/>
    <cellStyle name="Euro 4 4 5" xfId="8457" xr:uid="{DD62AB8C-3C65-45F1-BC51-DB3B34402ED7}"/>
    <cellStyle name="Euro 4 5" xfId="2082" xr:uid="{EA72E55F-61E6-4CA7-A2E4-6B5B17F066CF}"/>
    <cellStyle name="Euro 4 5 2" xfId="2083" xr:uid="{7254D7C1-5EA4-4D7B-81D1-92DB2F03B450}"/>
    <cellStyle name="Euro 4 5 2 2" xfId="2084" xr:uid="{EAE85FC1-5F77-49DD-A599-D62B71C9FF1C}"/>
    <cellStyle name="Euro 4 5 2 2 2" xfId="4746" xr:uid="{74DAEE88-8872-4886-BDBE-5C3BDF29CE36}"/>
    <cellStyle name="Euro 4 5 2 2 3" xfId="6687" xr:uid="{F3161AE1-6511-4A05-A213-96E294BC7EE4}"/>
    <cellStyle name="Euro 4 5 2 2 4" xfId="8460" xr:uid="{224AA50E-0A28-46D0-AFA4-276C0628DD47}"/>
    <cellStyle name="Euro 4 5 2 3" xfId="4745" xr:uid="{2894D6B8-792F-489B-8AA4-DAF452605C2F}"/>
    <cellStyle name="Euro 4 5 2 4" xfId="4030" xr:uid="{257D3019-EE0D-4098-9BC1-0B860A781B96}"/>
    <cellStyle name="Euro 4 5 2 5" xfId="6099" xr:uid="{60A984DB-2227-4409-9601-F4F191DAB963}"/>
    <cellStyle name="Euro 4 5 2 5 2" xfId="11210" xr:uid="{90ED9191-F23E-483C-9973-6A5F9FE7F328}"/>
    <cellStyle name="Euro 4 5 2 6" xfId="8459" xr:uid="{7CE0AE5B-5CD4-48D2-8A49-E358197CA63F}"/>
    <cellStyle name="Euro 4 5 3" xfId="2085" xr:uid="{DD999E74-4917-4037-8350-AAE04A3DF11C}"/>
    <cellStyle name="Euro 4 5 3 2" xfId="4747" xr:uid="{A88A3DE4-71C6-4177-AC42-1B890B332BBC}"/>
    <cellStyle name="Euro 4 5 3 3" xfId="6688" xr:uid="{1DE1FB5B-9BDF-415C-A3C5-B35AA92A5501}"/>
    <cellStyle name="Euro 4 5 3 4" xfId="8461" xr:uid="{3B0F9C2C-11E9-4486-AEAF-41C683A0EE32}"/>
    <cellStyle name="Euro 4 5 4" xfId="4744" xr:uid="{D2BE60D0-3B20-4CB4-897A-F541A9870448}"/>
    <cellStyle name="Euro 4 5 5" xfId="4029" xr:uid="{7715B323-3142-403E-BA6A-F669F2A29784}"/>
    <cellStyle name="Euro 4 5 6" xfId="6098" xr:uid="{0C96D886-013C-44DE-A676-DEB2ED6FC540}"/>
    <cellStyle name="Euro 4 5 7" xfId="8458" xr:uid="{A34E834F-B831-4758-AAD3-4477AB8B82D8}"/>
    <cellStyle name="Euro 4 6" xfId="2086" xr:uid="{C4201A85-FA9D-43F7-ACC2-04537F21111A}"/>
    <cellStyle name="Euro 4 6 2" xfId="4748" xr:uid="{AFC52A34-FE18-4467-A16A-9C38302D75AE}"/>
    <cellStyle name="Euro 4 6 3" xfId="4031" xr:uid="{7A4339AB-CDD3-4041-8B77-AD74FD224A81}"/>
    <cellStyle name="Euro 4 6 3 2" xfId="20645" xr:uid="{ADD9F234-6DB8-47A1-94DA-A743B6C70D61}"/>
    <cellStyle name="Euro 4 6 3 2 2" xfId="24117" xr:uid="{104134EF-7B57-45A0-8A2F-58ABC0575733}"/>
    <cellStyle name="Euro 4 6 4" xfId="6100" xr:uid="{ABABF11B-4368-4BA3-AF80-A40D5B73C895}"/>
    <cellStyle name="Euro 4 6 5" xfId="8462" xr:uid="{6529D942-1500-4D71-BFE0-16AFDD3E9A50}"/>
    <cellStyle name="Euro 4 7" xfId="2087" xr:uid="{54A1735C-55BE-4158-B59E-D6E7422AEA74}"/>
    <cellStyle name="Euro 4 7 2" xfId="4749" xr:uid="{9054A2EB-76D3-48C7-B9A7-D472985D4A87}"/>
    <cellStyle name="Euro 4 7 3" xfId="6689" xr:uid="{BF738A14-BF42-4E6B-98BC-55CD7F927150}"/>
    <cellStyle name="Euro 4 7 4" xfId="8463" xr:uid="{08B545F5-22EB-458B-B9F8-7D270CE32FF1}"/>
    <cellStyle name="Euro 4 8" xfId="4734" xr:uid="{834C55F8-91DA-46AF-A591-F7E6C03CBA06}"/>
    <cellStyle name="Euro 4 9" xfId="6091" xr:uid="{A382F08C-84F9-45FD-9B3F-918503588259}"/>
    <cellStyle name="Euro 40" xfId="2088" xr:uid="{6053F2BE-6D70-4F3F-BA80-CA88F4500436}"/>
    <cellStyle name="Euro 40 2" xfId="2089" xr:uid="{381CCE60-D33F-4FAE-9050-475645BC71B9}"/>
    <cellStyle name="Euro 40 2 2" xfId="4751" xr:uid="{08130F97-0832-4327-A411-48D652C2A150}"/>
    <cellStyle name="Euro 40 2 3" xfId="4033" xr:uid="{082C337F-A227-4E91-A536-F92A01B30B1F}"/>
    <cellStyle name="Euro 40 2 4" xfId="6102" xr:uid="{1A87F231-545D-4E76-9F9E-B7B148665211}"/>
    <cellStyle name="Euro 40 2 5" xfId="8465" xr:uid="{E072E5B3-880B-4B68-9CCA-099ABCEF1130}"/>
    <cellStyle name="Euro 40 3" xfId="2090" xr:uid="{0AF61AB0-16BC-4AA6-9B91-FEF87D3A4D6E}"/>
    <cellStyle name="Euro 40 3 2" xfId="4752" xr:uid="{5FBCC46C-AB8C-4078-B917-45AD4C021811}"/>
    <cellStyle name="Euro 40 3 3" xfId="4034" xr:uid="{4EC7DB3D-ED5E-4811-B198-74245B7E93DA}"/>
    <cellStyle name="Euro 40 3 4" xfId="6103" xr:uid="{F9AEBB8D-E6C4-42B1-82DF-8D0E9C1011CB}"/>
    <cellStyle name="Euro 40 3 5" xfId="8466" xr:uid="{A4C9E41F-C652-4AEA-A283-3ED1B8960BD7}"/>
    <cellStyle name="Euro 40 4" xfId="4750" xr:uid="{69E611B0-EA79-44E4-BA8A-EE76F53FD378}"/>
    <cellStyle name="Euro 40 5" xfId="4032" xr:uid="{F80C2733-962D-47D7-A61E-3F15DF8CB4A6}"/>
    <cellStyle name="Euro 40 6" xfId="6101" xr:uid="{16EE48D6-9C40-426D-B519-E7544B55C56F}"/>
    <cellStyle name="Euro 40 7" xfId="8464" xr:uid="{983FCB6B-8102-47AC-8986-800E2913DB71}"/>
    <cellStyle name="Euro 41" xfId="2091" xr:uid="{C10127D7-7320-4A82-8467-81B076EC153A}"/>
    <cellStyle name="Euro 41 2" xfId="2092" xr:uid="{2181A7DE-BF56-4685-9DF4-2586ACA322FF}"/>
    <cellStyle name="Euro 41 2 2" xfId="4754" xr:uid="{843D47A5-2B0F-4484-9CAB-51E99CB7D5ED}"/>
    <cellStyle name="Euro 41 2 3" xfId="4036" xr:uid="{D8877836-5A07-4B51-8680-04063C57762E}"/>
    <cellStyle name="Euro 41 2 4" xfId="6105" xr:uid="{41AA45CB-6140-41BB-8D3B-9B4746ECAA25}"/>
    <cellStyle name="Euro 41 2 5" xfId="8468" xr:uid="{F45D3AAB-94AA-48AC-8097-6E0FF38ECD33}"/>
    <cellStyle name="Euro 41 3" xfId="2093" xr:uid="{E4FD94FF-E124-4BCB-90E2-DB95CE7A06F6}"/>
    <cellStyle name="Euro 41 3 2" xfId="4755" xr:uid="{3D88314F-051A-4689-8498-D2E6E693352F}"/>
    <cellStyle name="Euro 41 3 3" xfId="4037" xr:uid="{C6E36BC8-815B-4B70-A812-DEE79C392EAA}"/>
    <cellStyle name="Euro 41 3 4" xfId="6106" xr:uid="{9D3CEA8B-05B2-42D8-955A-F87E1CE21315}"/>
    <cellStyle name="Euro 41 3 5" xfId="8469" xr:uid="{A7F8EE9F-E2B1-4BD9-97A7-B58F15E5AA30}"/>
    <cellStyle name="Euro 41 4" xfId="4753" xr:uid="{7767ED57-68DF-4DDD-B602-AE1587FD0BCD}"/>
    <cellStyle name="Euro 41 5" xfId="4035" xr:uid="{FCF833BE-9F83-4ED9-BF23-DD7130205983}"/>
    <cellStyle name="Euro 41 6" xfId="6104" xr:uid="{122A92D4-87FE-4CFB-97AB-7C73C9DB3132}"/>
    <cellStyle name="Euro 41 7" xfId="8467" xr:uid="{4AB66D14-C508-497C-9A3B-7DB83689E2AF}"/>
    <cellStyle name="Euro 42" xfId="2094" xr:uid="{0CECF85E-FF18-40C1-95D4-EDE04F13DB03}"/>
    <cellStyle name="Euro 42 2" xfId="2095" xr:uid="{FEE1C590-B366-409D-9FE9-86B5204AA277}"/>
    <cellStyle name="Euro 42 2 2" xfId="4757" xr:uid="{A2F951C6-EC45-4618-BDE6-7433360BFBD0}"/>
    <cellStyle name="Euro 42 2 3" xfId="4039" xr:uid="{821922E5-A826-46B6-831F-E11AC70B06C0}"/>
    <cellStyle name="Euro 42 2 4" xfId="6108" xr:uid="{DDA2A995-79A5-4D3E-970B-FAE339EC983D}"/>
    <cellStyle name="Euro 42 2 5" xfId="8471" xr:uid="{D7395683-F12B-40BB-BC28-241C39AAD415}"/>
    <cellStyle name="Euro 42 3" xfId="2096" xr:uid="{C27B6C43-82FA-4A8C-9403-7127F031D1FC}"/>
    <cellStyle name="Euro 42 3 2" xfId="4758" xr:uid="{0B2DA02D-A398-45D2-BCBD-7B7A62D9C383}"/>
    <cellStyle name="Euro 42 3 3" xfId="4040" xr:uid="{E5FC4285-18C0-43BF-8779-3C0E861F980E}"/>
    <cellStyle name="Euro 42 3 4" xfId="6109" xr:uid="{88600C48-8B1B-43E7-9438-C0B5D83A8876}"/>
    <cellStyle name="Euro 42 3 5" xfId="8472" xr:uid="{EAEC436A-2539-4BEC-BA04-7A245FF14B59}"/>
    <cellStyle name="Euro 42 4" xfId="4756" xr:uid="{B92DCCF8-ED16-462C-AC1F-DFEA32BD953E}"/>
    <cellStyle name="Euro 42 5" xfId="4038" xr:uid="{B731DEAE-7E80-4B72-BA2F-83B500B95156}"/>
    <cellStyle name="Euro 42 6" xfId="6107" xr:uid="{4C69D9A8-843E-494B-86E7-ACF690E3D409}"/>
    <cellStyle name="Euro 42 7" xfId="8470" xr:uid="{95F07052-E5A7-40B7-8A32-60140F4785C1}"/>
    <cellStyle name="Euro 43" xfId="2097" xr:uid="{2890568C-5959-4F04-824C-72EAC063F0A7}"/>
    <cellStyle name="Euro 43 2" xfId="2098" xr:uid="{609A6DA9-26DD-46E1-A5B7-1FA8444151C3}"/>
    <cellStyle name="Euro 43 2 2" xfId="4760" xr:uid="{EB77BFBE-070B-46E4-BF56-8F9A1B7D29B4}"/>
    <cellStyle name="Euro 43 2 3" xfId="4042" xr:uid="{08E54D61-78AE-4ADD-9CDB-3183590D60DC}"/>
    <cellStyle name="Euro 43 2 4" xfId="6111" xr:uid="{A7C322D6-2605-4F20-B459-64ECE5C6E4A0}"/>
    <cellStyle name="Euro 43 2 5" xfId="8474" xr:uid="{9C4CE60E-F847-45B5-B391-E573DF982367}"/>
    <cellStyle name="Euro 43 3" xfId="2099" xr:uid="{18630121-9427-4706-A6FB-910E9F850DEF}"/>
    <cellStyle name="Euro 43 3 2" xfId="4761" xr:uid="{1E77B886-9689-4951-B64C-3097D8A790A0}"/>
    <cellStyle name="Euro 43 3 3" xfId="4043" xr:uid="{786C6B48-AA2A-41F4-B16B-07990F85C9D4}"/>
    <cellStyle name="Euro 43 3 4" xfId="6112" xr:uid="{F08578B4-ABF2-4719-9EEB-2D6CFB09522E}"/>
    <cellStyle name="Euro 43 3 5" xfId="8475" xr:uid="{D3AED51F-5C77-46B8-BC54-86CDCAF3CF2E}"/>
    <cellStyle name="Euro 43 4" xfId="4759" xr:uid="{6202F44A-7618-4430-A879-5E2CD1388EBA}"/>
    <cellStyle name="Euro 43 5" xfId="4041" xr:uid="{FB428A90-329C-48D9-B54C-CD8C7212CE95}"/>
    <cellStyle name="Euro 43 6" xfId="6110" xr:uid="{A1048B1C-C285-42BD-968D-0747FE089C0A}"/>
    <cellStyle name="Euro 43 7" xfId="8473" xr:uid="{48EA3060-ED6B-4C1B-83D8-666BA18A5A04}"/>
    <cellStyle name="Euro 44" xfId="2100" xr:uid="{246A2B88-06E8-415A-9129-05B44D7F80C9}"/>
    <cellStyle name="Euro 44 2" xfId="2101" xr:uid="{E928B05B-DAAB-4152-8A9F-30C5C623ECBB}"/>
    <cellStyle name="Euro 44 2 2" xfId="4763" xr:uid="{3F069872-3C24-430D-8CD2-2776EF676893}"/>
    <cellStyle name="Euro 44 2 3" xfId="4045" xr:uid="{A9E8DE4B-A341-4CE7-97FB-14EBABAE89D2}"/>
    <cellStyle name="Euro 44 2 4" xfId="6114" xr:uid="{75300E0F-16C9-4B9C-AA10-54B5FC69D010}"/>
    <cellStyle name="Euro 44 2 5" xfId="8477" xr:uid="{BF71F3E2-95DC-4519-A573-99CCA7C4C7BD}"/>
    <cellStyle name="Euro 44 3" xfId="2102" xr:uid="{C8F4C453-FF8C-431B-84A6-8747C1C3114D}"/>
    <cellStyle name="Euro 44 3 2" xfId="4764" xr:uid="{843EBDC4-D791-4F63-A3E0-AE52A06AD8DE}"/>
    <cellStyle name="Euro 44 3 3" xfId="4046" xr:uid="{7AE7BABA-7FB5-4C53-9D66-03599FE10D45}"/>
    <cellStyle name="Euro 44 3 4" xfId="6115" xr:uid="{E8B05B82-1674-4EAD-BDDE-0313F6CC5319}"/>
    <cellStyle name="Euro 44 3 5" xfId="8478" xr:uid="{C8C0B38F-A43E-41A1-8E68-DC4995823215}"/>
    <cellStyle name="Euro 44 4" xfId="4762" xr:uid="{9317C3B1-CFFC-4957-94EC-3E1A4959673B}"/>
    <cellStyle name="Euro 44 5" xfId="4044" xr:uid="{2ABFD84D-B4B9-4533-B4C8-059ACA535533}"/>
    <cellStyle name="Euro 44 6" xfId="6113" xr:uid="{10F9CB14-D764-4193-B001-AE8B83CEB001}"/>
    <cellStyle name="Euro 44 7" xfId="8476" xr:uid="{061A881C-246A-4AFE-AEE8-4CD1A95D1187}"/>
    <cellStyle name="Euro 45" xfId="2103" xr:uid="{8AEFB018-84B2-4807-AFE7-85E76FEAACD7}"/>
    <cellStyle name="Euro 45 2" xfId="4765" xr:uid="{A8950780-A270-4938-AAFC-C20698C4A68D}"/>
    <cellStyle name="Euro 45 3" xfId="4047" xr:uid="{F6B23ED9-5C84-4F1C-8EC1-021F156A5412}"/>
    <cellStyle name="Euro 45 4" xfId="6116" xr:uid="{990CD986-2774-4535-9594-281FD20A443A}"/>
    <cellStyle name="Euro 45 5" xfId="8479" xr:uid="{FA3CB211-0A46-4612-AD5C-8A0D59C97FE5}"/>
    <cellStyle name="Euro 46" xfId="2104" xr:uid="{FB7006CF-DC6B-43B2-B299-42B7C95C8D17}"/>
    <cellStyle name="Euro 46 2" xfId="4766" xr:uid="{8C5886D9-6EA4-4D65-80A9-A0239720B035}"/>
    <cellStyle name="Euro 46 3" xfId="4048" xr:uid="{BEA5C566-4841-4307-BD36-708679FE9DB4}"/>
    <cellStyle name="Euro 46 4" xfId="6117" xr:uid="{C6258061-9527-4F0D-8FA3-63A0CF9864FE}"/>
    <cellStyle name="Euro 46 5" xfId="8480" xr:uid="{355CE5E0-B2F1-4CE4-9DE5-D5600BD1A001}"/>
    <cellStyle name="Euro 47" xfId="2105" xr:uid="{518EA217-33B9-422C-966D-092D1A975AA9}"/>
    <cellStyle name="Euro 47 10" xfId="8481" xr:uid="{309529AF-D6F2-4185-9772-19A35F790BA9}"/>
    <cellStyle name="Euro 47 2" xfId="2106" xr:uid="{6DC4DE2C-3B02-4A81-A7F8-1ADD62E21350}"/>
    <cellStyle name="Euro 47 2 2" xfId="4768" xr:uid="{5C6EE447-7957-4055-AAD5-0810398D35BF}"/>
    <cellStyle name="Euro 47 2 3" xfId="6690" xr:uid="{5059DCDA-74C8-451D-9704-6B469CBDF168}"/>
    <cellStyle name="Euro 47 2 4" xfId="8482" xr:uid="{3D10EF25-E543-4BDF-AE67-6E79C2F8D7F2}"/>
    <cellStyle name="Euro 47 3" xfId="2107" xr:uid="{D04BF2AD-A17C-4309-9BE3-01112FDC16E6}"/>
    <cellStyle name="Euro 47 3 2" xfId="4769" xr:uid="{5B784D6B-DD48-4118-A218-3477EB96B194}"/>
    <cellStyle name="Euro 47 3 3" xfId="6691" xr:uid="{7C61D023-A35A-4B82-9274-F24739488787}"/>
    <cellStyle name="Euro 47 3 4" xfId="8483" xr:uid="{57A1206E-EFE4-4F86-BC55-65E51D4FB6DB}"/>
    <cellStyle name="Euro 47 4" xfId="2108" xr:uid="{CFF56BBC-78BD-4797-B790-85469C725464}"/>
    <cellStyle name="Euro 47 4 2" xfId="4770" xr:uid="{97A858F1-1015-48D5-B060-2E94654FF8F7}"/>
    <cellStyle name="Euro 47 4 3" xfId="6692" xr:uid="{2707EB18-9A9A-4C19-BBC0-DC7510BF7510}"/>
    <cellStyle name="Euro 47 4 4" xfId="8484" xr:uid="{15C75DC1-5D4F-4E85-94B1-83BDCFB77406}"/>
    <cellStyle name="Euro 47 5" xfId="2109" xr:uid="{0967BFC0-2B79-473C-8B03-8E0E55BAA868}"/>
    <cellStyle name="Euro 47 5 2" xfId="4771" xr:uid="{67F28DB5-4F87-4247-A47C-24E129F9FBB9}"/>
    <cellStyle name="Euro 47 5 3" xfId="6693" xr:uid="{BA888471-CBCF-4EDB-9E03-29E872418943}"/>
    <cellStyle name="Euro 47 5 4" xfId="8485" xr:uid="{62157C7F-4986-4203-AF12-2F1FC24730F3}"/>
    <cellStyle name="Euro 47 6" xfId="2110" xr:uid="{DED46A75-B643-472C-B52B-CF850506F047}"/>
    <cellStyle name="Euro 47 6 2" xfId="4772" xr:uid="{A51C1C93-B405-4237-9EEE-9F93FD9451BA}"/>
    <cellStyle name="Euro 47 6 3" xfId="6694" xr:uid="{4659A499-B8E6-49F0-BD4F-19BFD833E9A0}"/>
    <cellStyle name="Euro 47 6 4" xfId="8486" xr:uid="{407CD6B4-E856-4210-AC12-9A2B5797DE65}"/>
    <cellStyle name="Euro 47 7" xfId="4767" xr:uid="{C6633C21-468B-4433-8F89-55F61BD6AF31}"/>
    <cellStyle name="Euro 47 8" xfId="4049" xr:uid="{8F3EBF2E-BB03-488E-AD0D-77E8B99D95E6}"/>
    <cellStyle name="Euro 47 9" xfId="6118" xr:uid="{97D8433A-AED6-433E-A29F-4A211FBFC5A5}"/>
    <cellStyle name="Euro 48" xfId="2111" xr:uid="{6D3AD2EA-446F-403B-A496-273D252EB5BE}"/>
    <cellStyle name="Euro 48 10" xfId="8487" xr:uid="{015B5770-F5CF-40F1-B14B-E488F04B519C}"/>
    <cellStyle name="Euro 48 2" xfId="2112" xr:uid="{C29280C1-FAA1-4E16-AA8B-7F44EA088FF1}"/>
    <cellStyle name="Euro 48 2 2" xfId="4774" xr:uid="{0DCDAD8A-3870-4CF2-A5FD-7EEC438663C4}"/>
    <cellStyle name="Euro 48 2 3" xfId="6695" xr:uid="{A705B46A-B5F6-4D95-B07D-6618CD6D8EBF}"/>
    <cellStyle name="Euro 48 2 4" xfId="8488" xr:uid="{F30D91B3-EAA3-42F3-9B3F-3D4555C0BB5A}"/>
    <cellStyle name="Euro 48 3" xfId="2113" xr:uid="{758A564C-DC81-4408-9152-272924F967B6}"/>
    <cellStyle name="Euro 48 3 2" xfId="4775" xr:uid="{D3E740B5-9030-4E74-A183-B8CA9B7CFB52}"/>
    <cellStyle name="Euro 48 3 3" xfId="6696" xr:uid="{22EB0FF7-C966-42D5-897D-16A13E3C6850}"/>
    <cellStyle name="Euro 48 3 4" xfId="8489" xr:uid="{412C54C9-69A5-4CAF-BE52-E3C2AC99E0E6}"/>
    <cellStyle name="Euro 48 4" xfId="2114" xr:uid="{EFA28164-F209-4750-A436-C68140B3E88A}"/>
    <cellStyle name="Euro 48 4 2" xfId="4776" xr:uid="{190F8BA6-65A1-4645-B44C-5C47C0333723}"/>
    <cellStyle name="Euro 48 4 3" xfId="6697" xr:uid="{F3B55DC1-A585-40F6-BAE9-8596457FB01B}"/>
    <cellStyle name="Euro 48 4 4" xfId="8490" xr:uid="{43BABFEF-4806-4801-86F6-AFDD2D1B7B29}"/>
    <cellStyle name="Euro 48 5" xfId="2115" xr:uid="{3D8A8410-91B8-41D0-B892-DF5AF7F47CA2}"/>
    <cellStyle name="Euro 48 5 2" xfId="4777" xr:uid="{7DF104D0-9BC1-49CC-92D2-E56B0D08150A}"/>
    <cellStyle name="Euro 48 5 3" xfId="6698" xr:uid="{963DF8A0-F680-45E9-B5D5-FF92D9DCCE6B}"/>
    <cellStyle name="Euro 48 5 4" xfId="8491" xr:uid="{CE269AA4-2334-442C-A8DD-830455B0C5CA}"/>
    <cellStyle name="Euro 48 6" xfId="2116" xr:uid="{1F5AAB4C-A139-4925-8F29-690F64254323}"/>
    <cellStyle name="Euro 48 6 2" xfId="4778" xr:uid="{2C2E8F20-57B5-43A9-9D7C-B82EB7B7E240}"/>
    <cellStyle name="Euro 48 6 3" xfId="6699" xr:uid="{66C3BB40-DA81-4896-A74C-F779E205C304}"/>
    <cellStyle name="Euro 48 6 4" xfId="8492" xr:uid="{5AEAFA9C-19E4-4A79-ACA4-A65D5A314343}"/>
    <cellStyle name="Euro 48 7" xfId="4773" xr:uid="{0D79BC70-153F-41FA-904B-A444FA289C0C}"/>
    <cellStyle name="Euro 48 8" xfId="4050" xr:uid="{08BF5242-30ED-41BA-AE91-7FADA455F8A9}"/>
    <cellStyle name="Euro 48 9" xfId="6119" xr:uid="{755EEBBC-20D4-4F63-95C4-C119A74D647E}"/>
    <cellStyle name="Euro 49" xfId="2117" xr:uid="{DDE86DFE-3F51-4A08-BF84-6965ED4B9410}"/>
    <cellStyle name="Euro 49 2" xfId="4779" xr:uid="{9815BACC-8FB8-4293-8E71-490197B1426B}"/>
    <cellStyle name="Euro 49 3" xfId="4051" xr:uid="{A6D61C8F-3A8A-4144-A5D0-32076A0AD03F}"/>
    <cellStyle name="Euro 49 4" xfId="6120" xr:uid="{635A1DE7-BB47-42C1-A946-2908DFF2BF4B}"/>
    <cellStyle name="Euro 49 5" xfId="8493" xr:uid="{A2137A32-A421-4315-9B5B-F970FDCF5DF7}"/>
    <cellStyle name="Euro 5" xfId="2118" xr:uid="{3304180E-A255-447E-9FF6-653EA1DD53FD}"/>
    <cellStyle name="Euro 5 2" xfId="2119" xr:uid="{8C37D4FA-9F17-45D9-8A36-BF1CC9323ADD}"/>
    <cellStyle name="Euro 5 2 2" xfId="2120" xr:uid="{1D237258-BED1-4E48-AD19-F8D799DF363F}"/>
    <cellStyle name="Euro 5 2 2 2" xfId="4782" xr:uid="{1C9AA7C2-B1AD-41A3-BA75-C354C88443AC}"/>
    <cellStyle name="Euro 5 2 2 3" xfId="6700" xr:uid="{3F0EE4BD-D5C0-4F9E-B05D-232029EA277F}"/>
    <cellStyle name="Euro 5 2 2 3 2" xfId="46229" xr:uid="{A69FD58A-9635-4478-B0CB-F6F348719B30}"/>
    <cellStyle name="Euro 5 2 2 3 3" xfId="16403" xr:uid="{66107075-DF29-4B29-9258-B17CE01130AE}"/>
    <cellStyle name="Euro 5 2 2 4" xfId="8496" xr:uid="{E3F89D2C-7850-4CAB-BCB0-09B02D5505DF}"/>
    <cellStyle name="Euro 5 2 3" xfId="2121" xr:uid="{34CB50E6-5EF2-41DB-A896-2D17FF0C8B44}"/>
    <cellStyle name="Euro 5 2 3 2" xfId="4783" xr:uid="{43EBCC52-B588-4DF8-B53E-11EF47ADCD2B}"/>
    <cellStyle name="Euro 5 2 3 3" xfId="6701" xr:uid="{91703F41-2992-48BD-8ADD-9ED722659B55}"/>
    <cellStyle name="Euro 5 2 3 4" xfId="8497" xr:uid="{EA6C9CEE-244A-4AF1-94C4-9092ACFDB49D}"/>
    <cellStyle name="Euro 5 2 4" xfId="2122" xr:uid="{AB313F6C-1C2A-4F6C-84C1-DB88E67B80BA}"/>
    <cellStyle name="Euro 5 2 4 2" xfId="4784" xr:uid="{9CDB406C-6EEC-4E71-ACCB-15B4AEAC4F51}"/>
    <cellStyle name="Euro 5 2 4 3" xfId="6702" xr:uid="{E43FD4D2-40EC-4B53-B8ED-E21DEED4998C}"/>
    <cellStyle name="Euro 5 2 4 4" xfId="8498" xr:uid="{CF7F862F-463A-485F-A1AF-5C33D90AE581}"/>
    <cellStyle name="Euro 5 2 5" xfId="4781" xr:uid="{64A6236E-EEC5-4884-944A-3847726DDC29}"/>
    <cellStyle name="Euro 5 2 6" xfId="4053" xr:uid="{4F2C6A38-F659-46EF-8F81-9353ACA0943A}"/>
    <cellStyle name="Euro 5 2 7" xfId="6122" xr:uid="{7A2D00DD-6A3A-44D0-984F-CC3753088467}"/>
    <cellStyle name="Euro 5 2 8" xfId="8495" xr:uid="{D19BD6CB-F457-4F8F-A2C4-9F640DD4CF89}"/>
    <cellStyle name="Euro 5 3" xfId="2123" xr:uid="{66F1E3C6-F945-4F69-8542-405B0201120D}"/>
    <cellStyle name="Euro 5 3 2" xfId="4785" xr:uid="{B47EA6C8-0D8F-4C22-8E81-9F9F35478F5B}"/>
    <cellStyle name="Euro 5 3 3" xfId="4054" xr:uid="{AFF6258C-897A-4D96-B20E-A2166659146B}"/>
    <cellStyle name="Euro 5 3 4" xfId="6123" xr:uid="{2CD7A138-56C0-45FB-8519-12EDE7C8C721}"/>
    <cellStyle name="Euro 5 3 5" xfId="8499" xr:uid="{1E121AFA-43B0-436C-81B6-6B53620F65D3}"/>
    <cellStyle name="Euro 5 4" xfId="2124" xr:uid="{A72F0B55-FD4F-46C0-A654-E42FDABE9F59}"/>
    <cellStyle name="Euro 5 4 2" xfId="4786" xr:uid="{BBA0C421-C460-4F7C-B280-675243E55D1E}"/>
    <cellStyle name="Euro 5 4 3" xfId="4055" xr:uid="{48EE3EB3-6725-4D4B-A9F1-563C09333188}"/>
    <cellStyle name="Euro 5 4 4" xfId="6124" xr:uid="{0F6F0F9B-1F36-44AA-8A0E-4148A5906E09}"/>
    <cellStyle name="Euro 5 4 5" xfId="8500" xr:uid="{14CBC2CE-3E0D-4586-979E-8757A5D0EA3B}"/>
    <cellStyle name="Euro 5 5" xfId="2125" xr:uid="{68FD44DC-6A62-469D-ACB7-4F9A5E8D4FB2}"/>
    <cellStyle name="Euro 5 5 2" xfId="4787" xr:uid="{ECFE47AA-DC64-4B1E-A352-6CEB99A0D495}"/>
    <cellStyle name="Euro 5 5 2 2" xfId="10506" xr:uid="{94743BE9-B406-469E-BA24-69EAAEB8341F}"/>
    <cellStyle name="Euro 5 5 3" xfId="6703" xr:uid="{998D10A0-FB2F-41A3-B40A-62C48A7B7A86}"/>
    <cellStyle name="Euro 5 5 3 2" xfId="46230" xr:uid="{8638C524-D640-4B7B-9543-8E52647676F6}"/>
    <cellStyle name="Euro 5 5 3 3" xfId="16404" xr:uid="{CB8C3D8F-BAD8-401E-ACC0-3174D2244923}"/>
    <cellStyle name="Euro 5 5 4" xfId="8501" xr:uid="{DD66CD4E-1404-4421-9425-D0F3F15FDD54}"/>
    <cellStyle name="Euro 5 5 5" xfId="8098" xr:uid="{E1169D1A-0245-45A9-AC3C-77DB9D1EF671}"/>
    <cellStyle name="Euro 5 6" xfId="4780" xr:uid="{AADC1EB4-E1B1-46B7-B7FC-0CFFFEF99167}"/>
    <cellStyle name="Euro 5 7" xfId="4052" xr:uid="{9F97514C-2C2E-4018-B749-E6B6F35187C3}"/>
    <cellStyle name="Euro 5 8" xfId="6121" xr:uid="{C59092FE-D1EF-4067-8936-32EDED0D43DB}"/>
    <cellStyle name="Euro 5 9" xfId="8494" xr:uid="{B9BBA5FF-EADE-4B4E-BCA0-6A8B7C97BA41}"/>
    <cellStyle name="Euro 50" xfId="2126" xr:uid="{F5D7231E-56E7-4D64-97E6-BA0A3C9166D1}"/>
    <cellStyle name="Euro 50 10" xfId="8502" xr:uid="{581B7E51-6840-4F8C-902F-6ED77776E900}"/>
    <cellStyle name="Euro 50 2" xfId="2127" xr:uid="{32B799B9-8E6E-4F03-8E5A-FCA195993650}"/>
    <cellStyle name="Euro 50 2 2" xfId="4789" xr:uid="{C292E9F2-B792-4E42-B444-ADF92E2E600E}"/>
    <cellStyle name="Euro 50 2 3" xfId="6704" xr:uid="{7104E215-8297-4437-8534-15FB742C3727}"/>
    <cellStyle name="Euro 50 2 4" xfId="8503" xr:uid="{6138E6AD-3C7C-4164-A707-17A9234221C2}"/>
    <cellStyle name="Euro 50 3" xfId="2128" xr:uid="{35B250BE-1A61-46B7-A962-7A0FEA97F291}"/>
    <cellStyle name="Euro 50 3 2" xfId="4790" xr:uid="{BC82E34B-B422-4C58-ADA6-5C011EB12E99}"/>
    <cellStyle name="Euro 50 3 3" xfId="6705" xr:uid="{CE80F37F-3259-4490-B349-80E704EA5425}"/>
    <cellStyle name="Euro 50 3 4" xfId="8504" xr:uid="{3F02C491-5009-4402-A8A0-EEE8ECD24D04}"/>
    <cellStyle name="Euro 50 4" xfId="2129" xr:uid="{BF0FD45D-D462-4406-8A18-63CBC91074F6}"/>
    <cellStyle name="Euro 50 4 2" xfId="4791" xr:uid="{826368F4-39CD-42D3-8A34-4EF211E4F173}"/>
    <cellStyle name="Euro 50 4 3" xfId="6706" xr:uid="{7D4202D6-9F67-4730-9393-A15FC83AB0E7}"/>
    <cellStyle name="Euro 50 4 4" xfId="8505" xr:uid="{85F92716-E514-4E68-AC4B-77C9709C931B}"/>
    <cellStyle name="Euro 50 5" xfId="2130" xr:uid="{4E45CBAA-74B3-4C11-B2FF-43103A393A2A}"/>
    <cellStyle name="Euro 50 5 2" xfId="4792" xr:uid="{7EC646C9-05C0-4BD4-983D-8135903A5313}"/>
    <cellStyle name="Euro 50 5 3" xfId="6707" xr:uid="{36252B9A-5DCD-47E5-B5BB-E6B7887E7F15}"/>
    <cellStyle name="Euro 50 5 4" xfId="8506" xr:uid="{35A698B2-0926-4CCB-B629-BAC51D44169A}"/>
    <cellStyle name="Euro 50 6" xfId="2131" xr:uid="{CB34AB10-54BB-46C2-90CD-2CF17FC93F35}"/>
    <cellStyle name="Euro 50 6 2" xfId="4793" xr:uid="{9271F5E1-401B-4ADE-A276-D372F89AA9D8}"/>
    <cellStyle name="Euro 50 6 3" xfId="6708" xr:uid="{F2C61652-1980-409F-BCD8-813AA513DAC7}"/>
    <cellStyle name="Euro 50 6 4" xfId="8507" xr:uid="{A0AB3DBE-5C1B-4A1C-8D67-D4615FF4A19E}"/>
    <cellStyle name="Euro 50 7" xfId="4788" xr:uid="{87142C27-622C-42AC-9299-3D375F2046FC}"/>
    <cellStyle name="Euro 50 8" xfId="4056" xr:uid="{01066A97-BD44-43EE-B7F8-73744CF072C5}"/>
    <cellStyle name="Euro 50 9" xfId="6125" xr:uid="{C6C8FA01-862B-4EFD-B34F-D8218F62C939}"/>
    <cellStyle name="Euro 51" xfId="2132" xr:uid="{111C4FD8-AC63-46BB-BD37-15AE5251CAE3}"/>
    <cellStyle name="Euro 51 10" xfId="8508" xr:uid="{75D53CC6-3B74-4A20-8E9F-7565CE9A3C2C}"/>
    <cellStyle name="Euro 51 2" xfId="2133" xr:uid="{800D0FE8-90EB-442D-8581-B5FD878B807C}"/>
    <cellStyle name="Euro 51 2 2" xfId="4795" xr:uid="{224B907C-4489-4205-9092-6A8122FEBD04}"/>
    <cellStyle name="Euro 51 2 3" xfId="6709" xr:uid="{5622C487-8CD0-4B9C-ACFB-7C3AE3CDAC44}"/>
    <cellStyle name="Euro 51 2 4" xfId="8509" xr:uid="{181CAA98-3BDC-4468-91F5-74EFDBE82C35}"/>
    <cellStyle name="Euro 51 3" xfId="2134" xr:uid="{698AFD8C-2A1C-410A-8026-5D0C06A1304C}"/>
    <cellStyle name="Euro 51 3 2" xfId="4796" xr:uid="{8DC41D7A-9A47-4222-80D2-86B7AECAE2F3}"/>
    <cellStyle name="Euro 51 3 3" xfId="6710" xr:uid="{56499F1F-59A1-456C-B453-6B1F24A6F64C}"/>
    <cellStyle name="Euro 51 3 4" xfId="8510" xr:uid="{2E9829FA-3F8D-4480-A6CB-12D569B238DA}"/>
    <cellStyle name="Euro 51 4" xfId="2135" xr:uid="{2247234A-780C-4CC6-A472-37CC48136946}"/>
    <cellStyle name="Euro 51 4 2" xfId="4797" xr:uid="{F00469F3-CF76-47FD-8041-292F512B5C1B}"/>
    <cellStyle name="Euro 51 4 3" xfId="6711" xr:uid="{2C21B26A-C600-4ABA-9EE7-2C9B71E70355}"/>
    <cellStyle name="Euro 51 4 4" xfId="8511" xr:uid="{D5F7A837-26B7-41DF-B21A-B659DA273201}"/>
    <cellStyle name="Euro 51 5" xfId="2136" xr:uid="{C2B0F357-704B-442B-83A9-885DFB0F4BA3}"/>
    <cellStyle name="Euro 51 5 2" xfId="4798" xr:uid="{5378668D-C8DE-4126-939C-26904E98A8E8}"/>
    <cellStyle name="Euro 51 5 3" xfId="6712" xr:uid="{E9211258-BCD3-43DC-87F6-6DDEDA12C92A}"/>
    <cellStyle name="Euro 51 5 4" xfId="8512" xr:uid="{88CAD522-DB31-4A03-BDA2-B8A3ABE8CFD8}"/>
    <cellStyle name="Euro 51 6" xfId="2137" xr:uid="{32CC3523-CE60-4720-A8E7-DCD717266D16}"/>
    <cellStyle name="Euro 51 6 2" xfId="4799" xr:uid="{7F9E5CB6-7B4F-4588-8D29-0B77FB5707E7}"/>
    <cellStyle name="Euro 51 6 3" xfId="6713" xr:uid="{8CA5B867-B742-494E-A52C-E312ABD7014D}"/>
    <cellStyle name="Euro 51 6 4" xfId="8513" xr:uid="{845D757B-E3B3-4313-8335-469E88C753C3}"/>
    <cellStyle name="Euro 51 7" xfId="4794" xr:uid="{A716C2BA-FA93-478D-B87B-AF747D17EA16}"/>
    <cellStyle name="Euro 51 8" xfId="4057" xr:uid="{D76DF1A6-8B0F-4E59-B0A8-F3DB679A19CC}"/>
    <cellStyle name="Euro 51 9" xfId="6126" xr:uid="{7AEE4D2F-0A7B-437E-A58D-D093C19F7DDA}"/>
    <cellStyle name="Euro 52" xfId="2138" xr:uid="{B8ED4E70-8B7B-4E3C-AC6D-94C906A7E734}"/>
    <cellStyle name="Euro 52 10" xfId="8514" xr:uid="{32071936-7F53-46CC-ADE1-8AA2A70E35AA}"/>
    <cellStyle name="Euro 52 2" xfId="2139" xr:uid="{D8EB5C60-E507-4F62-B23A-DF685A19BF37}"/>
    <cellStyle name="Euro 52 2 2" xfId="4801" xr:uid="{F125ECE9-D24D-4FF2-9A4D-6CF92B32ABE1}"/>
    <cellStyle name="Euro 52 2 3" xfId="6714" xr:uid="{DF3931D5-E664-48EB-A5D7-CD5554E24DD0}"/>
    <cellStyle name="Euro 52 2 4" xfId="8515" xr:uid="{592AE12D-DDEA-4E30-A3AF-042A0C2E4F26}"/>
    <cellStyle name="Euro 52 3" xfId="2140" xr:uid="{5E9CDAC5-95A3-4951-9651-F847B8BB1B64}"/>
    <cellStyle name="Euro 52 3 2" xfId="4802" xr:uid="{54EF0DB3-F3AB-4291-9944-5D7FCD32196B}"/>
    <cellStyle name="Euro 52 3 3" xfId="6715" xr:uid="{BA273AF0-CEB1-4DDD-A575-D61B66F54CB6}"/>
    <cellStyle name="Euro 52 3 4" xfId="8516" xr:uid="{3CF5D736-10B7-4D80-B66E-7C62B7949F85}"/>
    <cellStyle name="Euro 52 4" xfId="2141" xr:uid="{ABD9BEED-7CA2-482B-9994-79988C7DA56A}"/>
    <cellStyle name="Euro 52 4 2" xfId="4803" xr:uid="{99D10189-26AF-4836-853A-34E473C02072}"/>
    <cellStyle name="Euro 52 4 3" xfId="6716" xr:uid="{F5431F38-E2EF-40FC-88DD-9A000483CA8B}"/>
    <cellStyle name="Euro 52 4 4" xfId="8517" xr:uid="{385BAEF3-0AE4-4CF8-BE0F-96473BB955EB}"/>
    <cellStyle name="Euro 52 5" xfId="2142" xr:uid="{0D082795-62C7-4D1D-A7CE-AE0506FC34C9}"/>
    <cellStyle name="Euro 52 5 2" xfId="4804" xr:uid="{F786153E-9BA7-45FE-8B98-8356035F4173}"/>
    <cellStyle name="Euro 52 5 3" xfId="6717" xr:uid="{A5B4EC63-EDEB-4C3C-A0D0-E5C513232462}"/>
    <cellStyle name="Euro 52 5 4" xfId="8518" xr:uid="{64600BA5-A8D9-432C-BE39-87A5262291DD}"/>
    <cellStyle name="Euro 52 6" xfId="2143" xr:uid="{452BCFBF-F0DE-428C-B913-6B1F2B24CF73}"/>
    <cellStyle name="Euro 52 6 2" xfId="4805" xr:uid="{8D6010DD-ABA1-4C23-B3FB-7962535E890D}"/>
    <cellStyle name="Euro 52 6 3" xfId="6718" xr:uid="{BC8E77E4-9071-44A3-A7BA-55DC0D9783F9}"/>
    <cellStyle name="Euro 52 6 4" xfId="8519" xr:uid="{838CC2CB-E4E2-403D-9A55-D6B5A673EE19}"/>
    <cellStyle name="Euro 52 7" xfId="4800" xr:uid="{E9D6A9FE-20A8-41DC-8B9C-514DC33E0DB2}"/>
    <cellStyle name="Euro 52 8" xfId="4058" xr:uid="{306E5F07-924F-4CEC-98F5-62B7E826E5B3}"/>
    <cellStyle name="Euro 52 9" xfId="6127" xr:uid="{54A738F2-3298-4BED-A04C-AD80101B83C8}"/>
    <cellStyle name="Euro 53" xfId="2144" xr:uid="{7661BAE3-8D8A-44BE-9E06-B9C00F549B51}"/>
    <cellStyle name="Euro 53 10" xfId="8520" xr:uid="{C453B834-ED1E-4C40-BEB6-DAFE2EB48C10}"/>
    <cellStyle name="Euro 53 2" xfId="2145" xr:uid="{A517BD84-6570-4FE1-ACCB-DFEADA023ADB}"/>
    <cellStyle name="Euro 53 2 2" xfId="4807" xr:uid="{15CD24DA-D6B5-46DF-994A-37BFBCE21602}"/>
    <cellStyle name="Euro 53 2 3" xfId="6719" xr:uid="{E2D7EDE2-E249-4427-AE43-BCFAEF84F078}"/>
    <cellStyle name="Euro 53 2 4" xfId="8521" xr:uid="{F26234E2-1184-4A48-A2BC-332EB3A852CA}"/>
    <cellStyle name="Euro 53 3" xfId="2146" xr:uid="{768EA71E-6BF2-426A-8CD9-7D46DAF09B40}"/>
    <cellStyle name="Euro 53 3 2" xfId="4808" xr:uid="{2E1FC267-B7E4-4871-8416-C417FD503A28}"/>
    <cellStyle name="Euro 53 3 3" xfId="6720" xr:uid="{D0D4D982-751D-4BF0-A143-FF22FB52D13E}"/>
    <cellStyle name="Euro 53 3 4" xfId="8522" xr:uid="{82876EC2-7940-4C8A-B6D6-8D21468F6AE0}"/>
    <cellStyle name="Euro 53 4" xfId="2147" xr:uid="{AADFC7A3-FC0E-4FDE-8FD2-BCDCD2B81493}"/>
    <cellStyle name="Euro 53 4 2" xfId="4809" xr:uid="{65B48359-BE15-463C-BC81-872539DAC68C}"/>
    <cellStyle name="Euro 53 4 3" xfId="6721" xr:uid="{960075CF-98DD-46BC-95A3-0498F77D94D2}"/>
    <cellStyle name="Euro 53 4 4" xfId="8523" xr:uid="{79433D7C-29DA-4D7D-BD66-25FD1805CB43}"/>
    <cellStyle name="Euro 53 5" xfId="2148" xr:uid="{D381B874-9C82-4277-8B51-2B0279428279}"/>
    <cellStyle name="Euro 53 5 2" xfId="4810" xr:uid="{B42365DE-F9F5-491A-B38B-0E0FA3C6EDB7}"/>
    <cellStyle name="Euro 53 5 3" xfId="6722" xr:uid="{54EDA6E2-3C79-4405-810B-D154ACCBD1C2}"/>
    <cellStyle name="Euro 53 5 4" xfId="8524" xr:uid="{146F220F-4463-4D21-ADD4-7D7C0B0BDB16}"/>
    <cellStyle name="Euro 53 6" xfId="2149" xr:uid="{183C69E0-68C5-44E9-88FB-46059F71FE58}"/>
    <cellStyle name="Euro 53 6 2" xfId="4811" xr:uid="{F7E5CB1B-1CFA-4891-9CD2-33E770968406}"/>
    <cellStyle name="Euro 53 6 3" xfId="6723" xr:uid="{A40B1533-6D2F-4D9A-B9CC-626C5294C45D}"/>
    <cellStyle name="Euro 53 6 4" xfId="8525" xr:uid="{28AC974C-08FF-4E7C-9F35-86D7C00F263F}"/>
    <cellStyle name="Euro 53 7" xfId="4806" xr:uid="{7699D801-5055-4F4A-A949-12B9B78199BF}"/>
    <cellStyle name="Euro 53 8" xfId="4059" xr:uid="{D5B48A43-2D18-47B0-BBE8-6979E72633D8}"/>
    <cellStyle name="Euro 53 9" xfId="6128" xr:uid="{F30979B1-4826-4812-A366-89A24013F40B}"/>
    <cellStyle name="Euro 54" xfId="2150" xr:uid="{055B4DC1-295F-472B-ACF3-7CFB69141F57}"/>
    <cellStyle name="Euro 54 10" xfId="8526" xr:uid="{D913BB91-B5A7-49A5-BF76-6A57C96D9FAC}"/>
    <cellStyle name="Euro 54 2" xfId="2151" xr:uid="{CF985CFD-2275-43FC-9066-88D427718F44}"/>
    <cellStyle name="Euro 54 2 2" xfId="4813" xr:uid="{CC0311F2-B538-47EA-B8CA-325BC107276C}"/>
    <cellStyle name="Euro 54 2 3" xfId="6724" xr:uid="{46DD1CCF-740A-4501-8830-18E9FAF093D2}"/>
    <cellStyle name="Euro 54 2 4" xfId="8527" xr:uid="{3218F333-CB98-4C6B-BFA0-A64570C12FBD}"/>
    <cellStyle name="Euro 54 3" xfId="2152" xr:uid="{7324A63B-330F-4EEC-9D9A-93C75DA9DE79}"/>
    <cellStyle name="Euro 54 3 2" xfId="4814" xr:uid="{E863D594-0AE1-4ABD-A94C-661F435D803C}"/>
    <cellStyle name="Euro 54 3 3" xfId="6725" xr:uid="{B7153C70-529C-4850-BC9F-01E27C9F4121}"/>
    <cellStyle name="Euro 54 3 4" xfId="8528" xr:uid="{167FFB83-E90F-4124-B387-7CDE1DE5B7F7}"/>
    <cellStyle name="Euro 54 4" xfId="2153" xr:uid="{7CF18970-16F3-43B8-B80E-4CFA04663FF1}"/>
    <cellStyle name="Euro 54 4 2" xfId="4815" xr:uid="{2455D1CA-F135-4A94-AB36-9EF7ED5386B0}"/>
    <cellStyle name="Euro 54 4 3" xfId="6726" xr:uid="{6BD53B50-76B1-4CE8-B356-7C75E0A910A6}"/>
    <cellStyle name="Euro 54 4 4" xfId="8529" xr:uid="{812A2D47-D8E1-4010-8448-C848A90877C9}"/>
    <cellStyle name="Euro 54 5" xfId="2154" xr:uid="{28061FB3-0697-405F-AF79-826EF7769388}"/>
    <cellStyle name="Euro 54 5 2" xfId="4816" xr:uid="{2175104C-D4F3-4875-B4FC-D993232CE393}"/>
    <cellStyle name="Euro 54 5 3" xfId="6727" xr:uid="{C78BF753-B559-42B6-9B5B-F2A4B238A222}"/>
    <cellStyle name="Euro 54 5 4" xfId="8530" xr:uid="{74A1DADB-7B15-4FB0-9E86-6BA7A3264F58}"/>
    <cellStyle name="Euro 54 6" xfId="2155" xr:uid="{40069C84-875F-459C-BA2F-476F43F3BFD6}"/>
    <cellStyle name="Euro 54 6 2" xfId="4817" xr:uid="{F3CED660-1847-4A18-89F6-4EBAA6A236E4}"/>
    <cellStyle name="Euro 54 6 3" xfId="6728" xr:uid="{742ABB66-F764-4744-8B40-A68416DB1555}"/>
    <cellStyle name="Euro 54 6 4" xfId="8531" xr:uid="{690BC788-EB64-4D04-98C9-C188E816406B}"/>
    <cellStyle name="Euro 54 7" xfId="4812" xr:uid="{3DEE5A04-C01F-429E-AA60-0F74E1483763}"/>
    <cellStyle name="Euro 54 8" xfId="4060" xr:uid="{1C62ED8F-CD25-4AE5-8581-C7B0E98B7454}"/>
    <cellStyle name="Euro 54 9" xfId="6129" xr:uid="{E004A16A-1301-40BB-BC1F-81824050EA5F}"/>
    <cellStyle name="Euro 55" xfId="2156" xr:uid="{9FEA1514-8271-4BCE-9E5E-9941D0E734C1}"/>
    <cellStyle name="Euro 55 10" xfId="8532" xr:uid="{E5318437-9192-4FBA-A533-7E272C866267}"/>
    <cellStyle name="Euro 55 2" xfId="2157" xr:uid="{BA287776-E946-4BA7-A07E-9017977E2331}"/>
    <cellStyle name="Euro 55 2 2" xfId="4819" xr:uid="{1300155F-08A2-4C1D-B20F-04C093EED40E}"/>
    <cellStyle name="Euro 55 2 3" xfId="6729" xr:uid="{3BBB4E2B-AD43-4F52-94BD-0A79B02933BC}"/>
    <cellStyle name="Euro 55 2 4" xfId="8533" xr:uid="{E4C2D7D5-512C-4290-AD2A-6AD9D71BB53F}"/>
    <cellStyle name="Euro 55 3" xfId="2158" xr:uid="{522DE23B-9601-4545-A13F-C682F4C117F4}"/>
    <cellStyle name="Euro 55 3 2" xfId="4820" xr:uid="{0B64E337-1FE8-4C78-B004-48D0083DC0FF}"/>
    <cellStyle name="Euro 55 3 3" xfId="6730" xr:uid="{8204539D-2DEA-412C-A21E-16A9B9A5AD38}"/>
    <cellStyle name="Euro 55 3 4" xfId="8534" xr:uid="{0B999BA3-6528-4D4B-9EB2-3E8BCD5E1A0D}"/>
    <cellStyle name="Euro 55 4" xfId="2159" xr:uid="{7A87DE65-3022-415A-BF5C-155CC07A9463}"/>
    <cellStyle name="Euro 55 4 2" xfId="4821" xr:uid="{2EE7DF23-0F8F-4E0D-AF2C-193268819DAF}"/>
    <cellStyle name="Euro 55 4 3" xfId="6731" xr:uid="{08C2690D-DE8C-44E2-87E4-54BE0F6AE445}"/>
    <cellStyle name="Euro 55 4 4" xfId="8535" xr:uid="{FECE233F-4569-4BAE-A9D0-8B02F4C066C9}"/>
    <cellStyle name="Euro 55 5" xfId="2160" xr:uid="{C1D40AEA-430F-43E3-ADB3-4FA785902533}"/>
    <cellStyle name="Euro 55 5 2" xfId="4822" xr:uid="{87FE18DC-F4C9-4CB3-9D7E-77B61F9208AA}"/>
    <cellStyle name="Euro 55 5 3" xfId="6732" xr:uid="{0A7B6BEF-4654-43BE-A354-6A1703A2A0CA}"/>
    <cellStyle name="Euro 55 5 4" xfId="8536" xr:uid="{F2D49FAF-B933-465D-A933-5636965520A7}"/>
    <cellStyle name="Euro 55 6" xfId="2161" xr:uid="{BF0921E1-E71F-4819-9EF1-D82412466CEA}"/>
    <cellStyle name="Euro 55 6 2" xfId="4823" xr:uid="{28997D30-FCD7-43EB-BAB2-D74F51FB4653}"/>
    <cellStyle name="Euro 55 6 3" xfId="6733" xr:uid="{AA4E3AE3-6E7A-4EC8-8713-1D6D324C4227}"/>
    <cellStyle name="Euro 55 6 4" xfId="8537" xr:uid="{6E7CC30E-0067-46DF-A51D-62D320C8FEB0}"/>
    <cellStyle name="Euro 55 7" xfId="4818" xr:uid="{FC942462-15B9-4967-949E-A552B3E0AC66}"/>
    <cellStyle name="Euro 55 8" xfId="4061" xr:uid="{77DD8EC5-1585-401E-A835-5A9B740427BB}"/>
    <cellStyle name="Euro 55 9" xfId="6130" xr:uid="{1A730B33-854A-4CB6-A8E3-A724DF17C6D1}"/>
    <cellStyle name="Euro 56" xfId="2162" xr:uid="{250FCD2B-8D89-41FD-9D71-F66152C7EDBA}"/>
    <cellStyle name="Euro 56 10" xfId="8538" xr:uid="{83D4D50B-C87E-47F3-8D30-7A7B8597EEB9}"/>
    <cellStyle name="Euro 56 2" xfId="2163" xr:uid="{8F123E35-D9D1-4026-A7B9-82554C82786D}"/>
    <cellStyle name="Euro 56 2 2" xfId="4825" xr:uid="{386AE084-45E3-486D-9216-BF1D29601F3C}"/>
    <cellStyle name="Euro 56 2 3" xfId="6734" xr:uid="{DEFB8E7D-9F74-4F71-9974-D9DE4E378AB5}"/>
    <cellStyle name="Euro 56 2 4" xfId="8539" xr:uid="{3AF7F5B0-B504-4679-A0D8-4284D936AD6A}"/>
    <cellStyle name="Euro 56 3" xfId="2164" xr:uid="{ECC72F61-3D09-400E-BEA5-65556D4A38E6}"/>
    <cellStyle name="Euro 56 3 2" xfId="4826" xr:uid="{7A7EC7CA-0217-42FA-AAAE-C47B730120E6}"/>
    <cellStyle name="Euro 56 3 3" xfId="6735" xr:uid="{D1ADD4E5-E42A-4223-8273-655621D279FD}"/>
    <cellStyle name="Euro 56 3 4" xfId="8540" xr:uid="{A1C2A159-A878-4391-883C-5337424BED3F}"/>
    <cellStyle name="Euro 56 4" xfId="2165" xr:uid="{7D5017A6-14BE-4A23-AD2A-475A39BFF552}"/>
    <cellStyle name="Euro 56 4 2" xfId="4827" xr:uid="{98BB4B1A-69B4-40AD-93EE-D53C40F50073}"/>
    <cellStyle name="Euro 56 4 3" xfId="6736" xr:uid="{BC167B8E-0C2E-4B54-8457-3F2349DAABCF}"/>
    <cellStyle name="Euro 56 4 4" xfId="8541" xr:uid="{1D18E81E-0A25-49F0-B190-BD72DA84572E}"/>
    <cellStyle name="Euro 56 5" xfId="2166" xr:uid="{DDB0E894-ADDD-4A96-A270-452054BA7581}"/>
    <cellStyle name="Euro 56 5 2" xfId="4828" xr:uid="{53944438-56A0-4993-820C-341A65B5BBC3}"/>
    <cellStyle name="Euro 56 5 3" xfId="6737" xr:uid="{BF31C121-15B0-4852-83CA-0894FF9081EB}"/>
    <cellStyle name="Euro 56 5 4" xfId="8542" xr:uid="{77253E0C-1EA4-4841-873D-E5BCB50F7986}"/>
    <cellStyle name="Euro 56 6" xfId="2167" xr:uid="{1E490300-6154-4FCE-BA68-F6D9868D3349}"/>
    <cellStyle name="Euro 56 6 2" xfId="4829" xr:uid="{D5504F0B-D235-4C20-80DF-091FA47DBCE1}"/>
    <cellStyle name="Euro 56 6 3" xfId="6738" xr:uid="{5E398078-834A-49AD-8662-49E53C01D06B}"/>
    <cellStyle name="Euro 56 6 4" xfId="8543" xr:uid="{4E740310-3601-403A-83B6-E2F19B85E0D3}"/>
    <cellStyle name="Euro 56 7" xfId="4824" xr:uid="{3FEE6DA5-972F-44EB-9411-44C692DA26ED}"/>
    <cellStyle name="Euro 56 8" xfId="4062" xr:uid="{49F85E96-A798-435D-B3A7-361459ACE7EB}"/>
    <cellStyle name="Euro 56 9" xfId="6131" xr:uid="{84A3972E-A7F3-4ED9-9262-CE18128C4B88}"/>
    <cellStyle name="Euro 57" xfId="2168" xr:uid="{D8E618E3-3085-48F6-9E97-0BFE5C712BCC}"/>
    <cellStyle name="Euro 57 10" xfId="8544" xr:uid="{1C2EF3FD-DCFF-4BFF-BCDA-03149596C236}"/>
    <cellStyle name="Euro 57 2" xfId="2169" xr:uid="{6749525F-14E9-4026-859F-16DA3A25D935}"/>
    <cellStyle name="Euro 57 2 2" xfId="4831" xr:uid="{E6B38437-A84A-4831-95F9-DF7C07391EC6}"/>
    <cellStyle name="Euro 57 2 3" xfId="6739" xr:uid="{B0A49370-34ED-40BC-83CE-FD31364549A6}"/>
    <cellStyle name="Euro 57 2 4" xfId="8545" xr:uid="{02C08ED1-D553-4B06-85FD-6B7E11031E44}"/>
    <cellStyle name="Euro 57 3" xfId="2170" xr:uid="{46C40C5E-06C1-434C-BB2A-8B9BEEC88318}"/>
    <cellStyle name="Euro 57 3 2" xfId="4832" xr:uid="{61E3713B-FC33-45BD-83CB-E24EBC88B5FE}"/>
    <cellStyle name="Euro 57 3 3" xfId="6740" xr:uid="{5D9F63F1-37AD-4749-A76F-55C2B5C0B218}"/>
    <cellStyle name="Euro 57 3 4" xfId="8546" xr:uid="{6D09E552-C341-4555-88A9-7E82B1404E2F}"/>
    <cellStyle name="Euro 57 4" xfId="2171" xr:uid="{E1587433-6255-4D2E-AD24-2548AA0210F8}"/>
    <cellStyle name="Euro 57 4 2" xfId="4833" xr:uid="{0207F373-91B4-4943-8F16-10CBF86A38A4}"/>
    <cellStyle name="Euro 57 4 3" xfId="6741" xr:uid="{3003F823-2880-4DB1-A294-E073E00D8F88}"/>
    <cellStyle name="Euro 57 4 4" xfId="8547" xr:uid="{7BB41E1A-7088-4EE7-8558-A132A99DEFBB}"/>
    <cellStyle name="Euro 57 5" xfId="2172" xr:uid="{73CB2DCF-5B26-44C4-B536-8A3885A58444}"/>
    <cellStyle name="Euro 57 5 2" xfId="4834" xr:uid="{EE1BF242-2722-4428-9687-0762A8F6D371}"/>
    <cellStyle name="Euro 57 5 3" xfId="6742" xr:uid="{F3C511BB-D3A3-465F-B78B-F2CC670DD3CA}"/>
    <cellStyle name="Euro 57 5 4" xfId="8548" xr:uid="{5C958C76-FACA-4EA6-8F48-BA697E89CC8D}"/>
    <cellStyle name="Euro 57 6" xfId="2173" xr:uid="{953CA800-F1CC-4222-947C-95148CB0CD35}"/>
    <cellStyle name="Euro 57 6 2" xfId="4835" xr:uid="{F24E0908-EC7E-4486-828C-D871AC1835BA}"/>
    <cellStyle name="Euro 57 6 3" xfId="6743" xr:uid="{931ACA38-A517-40B7-A586-9C1259379E50}"/>
    <cellStyle name="Euro 57 6 4" xfId="8549" xr:uid="{A49261F0-B21D-4E9A-8CDC-9373E7808D9E}"/>
    <cellStyle name="Euro 57 7" xfId="4830" xr:uid="{723BF013-AC32-4BA7-A474-B5BECBA9ED36}"/>
    <cellStyle name="Euro 57 8" xfId="4063" xr:uid="{E0E93EEB-27CE-4BFD-B2E5-6CFCA00F9DD2}"/>
    <cellStyle name="Euro 57 9" xfId="6132" xr:uid="{63184378-B172-42CA-A8F8-AB59FB34631D}"/>
    <cellStyle name="Euro 58" xfId="2174" xr:uid="{161E590F-08FC-49DF-ADCB-430AC7C4148D}"/>
    <cellStyle name="Euro 58 10" xfId="8550" xr:uid="{30BF6031-D6C0-4A62-A3C4-B2E7AE203781}"/>
    <cellStyle name="Euro 58 2" xfId="2175" xr:uid="{889A83A0-E575-45E6-9922-1A5DB8540CBB}"/>
    <cellStyle name="Euro 58 2 2" xfId="4837" xr:uid="{CAEAF488-5095-4151-B654-6AF01F0C3065}"/>
    <cellStyle name="Euro 58 2 3" xfId="6744" xr:uid="{45DD5937-1CF8-4182-AE73-052E4291C970}"/>
    <cellStyle name="Euro 58 2 4" xfId="8551" xr:uid="{69B47AB9-6B71-4921-9000-D58BCC040F04}"/>
    <cellStyle name="Euro 58 3" xfId="2176" xr:uid="{C1226A18-534B-4C31-B7F8-0F66774602BB}"/>
    <cellStyle name="Euro 58 3 2" xfId="4838" xr:uid="{D57C5E7A-6BAC-4DAC-89B6-CCB5D13A1F60}"/>
    <cellStyle name="Euro 58 3 3" xfId="6745" xr:uid="{1793E0DE-DE60-406F-8351-26D8C1F18E36}"/>
    <cellStyle name="Euro 58 3 4" xfId="8552" xr:uid="{B829CDA2-3CEB-434D-BC0D-AC7003EFB8A6}"/>
    <cellStyle name="Euro 58 4" xfId="2177" xr:uid="{1F5B29F2-7B1A-4BB2-8D8E-A214FC82090E}"/>
    <cellStyle name="Euro 58 4 2" xfId="4839" xr:uid="{2A9EDD1C-63E5-40EC-9C34-045AC04C304E}"/>
    <cellStyle name="Euro 58 4 3" xfId="6746" xr:uid="{80163E67-D963-48F0-95C2-16A7FD347229}"/>
    <cellStyle name="Euro 58 4 4" xfId="8553" xr:uid="{CCC0430D-558F-4839-A411-F93736E76F84}"/>
    <cellStyle name="Euro 58 5" xfId="2178" xr:uid="{206E8CF7-4C28-4FCE-8B26-39055E881AF0}"/>
    <cellStyle name="Euro 58 5 2" xfId="4840" xr:uid="{16935003-BFDB-47ED-AA52-DD9CCB9C6C3B}"/>
    <cellStyle name="Euro 58 5 3" xfId="6747" xr:uid="{D707ADB9-4EA9-49C2-9F4B-212F1E4342AA}"/>
    <cellStyle name="Euro 58 5 4" xfId="8554" xr:uid="{2B4F428B-9839-4DDA-9F25-080A50458DF0}"/>
    <cellStyle name="Euro 58 6" xfId="2179" xr:uid="{4336C40B-9E2C-4C25-9202-787A36DA5366}"/>
    <cellStyle name="Euro 58 6 2" xfId="4841" xr:uid="{D5712B53-97F9-4E86-AF8E-76972E94137F}"/>
    <cellStyle name="Euro 58 6 3" xfId="6748" xr:uid="{56D4E2A3-F109-4FB4-9AF3-2772A377B81D}"/>
    <cellStyle name="Euro 58 6 4" xfId="8555" xr:uid="{AFFE5F41-51E8-48F1-9546-E53B86E83970}"/>
    <cellStyle name="Euro 58 7" xfId="4836" xr:uid="{94AB3A5D-F853-4C5F-AC95-56A781175B2C}"/>
    <cellStyle name="Euro 58 8" xfId="4064" xr:uid="{754E0345-51C5-4FF5-92E1-B2F767579BF1}"/>
    <cellStyle name="Euro 58 9" xfId="6133" xr:uid="{D16FC225-A7BB-4CA9-A136-BB019FAB28B0}"/>
    <cellStyle name="Euro 59" xfId="2180" xr:uid="{FB68F096-8068-4BAC-B40C-B48C75416F0F}"/>
    <cellStyle name="Euro 59 10" xfId="8556" xr:uid="{CA4A9527-309F-461B-B954-74238527E7F6}"/>
    <cellStyle name="Euro 59 2" xfId="2181" xr:uid="{5068F10F-F50D-4D8C-964E-471A638158EE}"/>
    <cellStyle name="Euro 59 2 2" xfId="4843" xr:uid="{21E61535-3516-4065-9F74-48DA7DC9BBD8}"/>
    <cellStyle name="Euro 59 2 3" xfId="6749" xr:uid="{0FF07563-5DFD-4155-9DD9-F0A2A4DDD0ED}"/>
    <cellStyle name="Euro 59 2 4" xfId="8557" xr:uid="{F792EB5C-6A32-4624-BA04-83B31313A264}"/>
    <cellStyle name="Euro 59 3" xfId="2182" xr:uid="{EB67D9ED-F04F-4807-B417-99313649A9AC}"/>
    <cellStyle name="Euro 59 3 2" xfId="4844" xr:uid="{66D07B12-6609-4F42-84FB-B32C5530971D}"/>
    <cellStyle name="Euro 59 3 3" xfId="6750" xr:uid="{0B83C051-28F4-4398-9D73-0DF439648D6D}"/>
    <cellStyle name="Euro 59 3 4" xfId="8558" xr:uid="{57AFCDEF-04A5-42D2-B450-8805650E8F40}"/>
    <cellStyle name="Euro 59 4" xfId="2183" xr:uid="{DDBE6418-6BE5-4374-AB31-EB0D135BE33D}"/>
    <cellStyle name="Euro 59 4 2" xfId="4845" xr:uid="{861124BA-40C6-46D0-BBFD-AC931BFDEE38}"/>
    <cellStyle name="Euro 59 4 2 2" xfId="24119" xr:uid="{E8AA9548-8E65-4CE9-A6AF-2463DB4DD045}"/>
    <cellStyle name="Euro 59 4 3" xfId="6751" xr:uid="{081AE807-7A35-42D7-8FC9-80E1078AD0FC}"/>
    <cellStyle name="Euro 59 4 3 2" xfId="46231" xr:uid="{6F0B0A6A-9438-441C-95AC-AD6D69FF89F8}"/>
    <cellStyle name="Euro 59 4 3 3" xfId="24118" xr:uid="{21F6EB6E-15AC-4641-AFA7-86D2D3A07FD2}"/>
    <cellStyle name="Euro 59 4 4" xfId="8559" xr:uid="{0E8639E0-70CB-4C72-A0C9-04AD4AF6614B}"/>
    <cellStyle name="Euro 59 5" xfId="2184" xr:uid="{061CB930-B221-4101-800F-F2D7489BCD5C}"/>
    <cellStyle name="Euro 59 5 2" xfId="4846" xr:uid="{14F10A37-219B-46CA-BDDF-0D54DF892552}"/>
    <cellStyle name="Euro 59 5 2 2" xfId="24121" xr:uid="{0F81A74F-8496-4DE0-800C-A3A307424C23}"/>
    <cellStyle name="Euro 59 5 3" xfId="6752" xr:uid="{DC8B61CF-AB0C-47FF-BDBD-B336965840DC}"/>
    <cellStyle name="Euro 59 5 3 2" xfId="46232" xr:uid="{6ECC2B5C-DA57-4157-A834-8B00BD4D8756}"/>
    <cellStyle name="Euro 59 5 3 3" xfId="24120" xr:uid="{FF5E7D20-539C-4250-BE99-90A19D1177C3}"/>
    <cellStyle name="Euro 59 5 4" xfId="8560" xr:uid="{97684D79-00D1-4C9A-B33B-CF8ABBFA1D9B}"/>
    <cellStyle name="Euro 59 6" xfId="2185" xr:uid="{BE54D825-278D-4E8F-B992-0C05D5F728FD}"/>
    <cellStyle name="Euro 59 6 2" xfId="4847" xr:uid="{13D3D3D6-4644-47BA-BC60-D18EC8B65860}"/>
    <cellStyle name="Euro 59 6 2 2" xfId="24123" xr:uid="{6A8CEFA0-FB16-439C-B3D5-9DF6309429A9}"/>
    <cellStyle name="Euro 59 6 3" xfId="6753" xr:uid="{DB77F848-0BA8-4B8C-B5C8-412C3A4F8776}"/>
    <cellStyle name="Euro 59 6 3 2" xfId="46233" xr:uid="{A13C1D00-059D-4612-A93A-AF9689EE1AB1}"/>
    <cellStyle name="Euro 59 6 3 3" xfId="24122" xr:uid="{82BE91B3-8430-402B-A9AD-8B88BB189A62}"/>
    <cellStyle name="Euro 59 6 4" xfId="8561" xr:uid="{25215444-2AE2-4E9A-8735-D72BD242EC24}"/>
    <cellStyle name="Euro 59 7" xfId="4842" xr:uid="{4CECDECC-9677-4782-BBF1-F00AAEAD30B5}"/>
    <cellStyle name="Euro 59 7 2" xfId="24124" xr:uid="{C79D3B40-5453-4FFD-9B3B-C6BEE39AA652}"/>
    <cellStyle name="Euro 59 8" xfId="4065" xr:uid="{4AEDE4A9-EF14-428F-8132-D0FB61AEC208}"/>
    <cellStyle name="Euro 59 9" xfId="6134" xr:uid="{F77F08E7-8AFC-4F74-9982-AB0F70447BBC}"/>
    <cellStyle name="Euro 6" xfId="2186" xr:uid="{72C44901-8298-43B6-ABF3-24532F5A8D0F}"/>
    <cellStyle name="Euro 6 2" xfId="2187" xr:uid="{5B6F55C6-9CD3-4806-A55B-7CC8CD341E8D}"/>
    <cellStyle name="Euro 6 2 2" xfId="2188" xr:uid="{445AEC46-2106-4C8E-BDB4-9989728CCCD0}"/>
    <cellStyle name="Euro 6 2 2 2" xfId="4850" xr:uid="{9ED813E5-063A-4C1A-97EA-A4FFCCF969F8}"/>
    <cellStyle name="Euro 6 2 2 2 2" xfId="24128" xr:uid="{277CDA68-2D8C-4FE1-848A-1A2FEE9720E7}"/>
    <cellStyle name="Euro 6 2 2 3" xfId="6754" xr:uid="{94C9EB1C-3B58-4C61-A5D2-46A5E20C6074}"/>
    <cellStyle name="Euro 6 2 2 3 2" xfId="24129" xr:uid="{007F56B4-EC85-4029-BF71-520EFEC3E255}"/>
    <cellStyle name="Euro 6 2 2 3 3" xfId="46234" xr:uid="{DCAEBF5D-DABF-4BC4-8ADD-A9FD19778D44}"/>
    <cellStyle name="Euro 6 2 2 3 4" xfId="16405" xr:uid="{E0913672-6F8C-4FDF-932F-1C9642191A04}"/>
    <cellStyle name="Euro 6 2 2 4" xfId="8564" xr:uid="{4618BE54-C0EB-4CDD-AFC9-61C9988929ED}"/>
    <cellStyle name="Euro 6 2 2 4 2" xfId="24127" xr:uid="{99BFED34-A48C-477A-BD42-57B7A1F0805D}"/>
    <cellStyle name="Euro 6 2 3" xfId="2189" xr:uid="{E6409A25-A7FA-456E-AC77-40DF52F86483}"/>
    <cellStyle name="Euro 6 2 3 2" xfId="4851" xr:uid="{B3D2DC20-FBF5-4A71-BB91-30DBA1F52866}"/>
    <cellStyle name="Euro 6 2 3 2 2" xfId="24131" xr:uid="{F07574E5-3D9E-482A-98A8-4D7F70C5FEB1}"/>
    <cellStyle name="Euro 6 2 3 3" xfId="6755" xr:uid="{59284194-CC4F-4188-B69F-753096D2AE66}"/>
    <cellStyle name="Euro 6 2 3 3 2" xfId="46235" xr:uid="{3A0AA7C1-2E1C-43D5-B056-43452946CAF3}"/>
    <cellStyle name="Euro 6 2 3 3 3" xfId="24130" xr:uid="{7657478E-9017-4A1E-A330-FA403CEA2D29}"/>
    <cellStyle name="Euro 6 2 3 4" xfId="8565" xr:uid="{4DD9A772-89E9-4D01-BCC8-000C6247E888}"/>
    <cellStyle name="Euro 6 2 4" xfId="2190" xr:uid="{98F840C8-B2C5-43C0-AF3F-96837525711D}"/>
    <cellStyle name="Euro 6 2 4 2" xfId="4852" xr:uid="{DDB9C7A3-CBFE-4F75-82B4-D76D83C4548B}"/>
    <cellStyle name="Euro 6 2 4 2 2" xfId="44316" xr:uid="{5DB25086-2CB4-4F06-9A00-65F3BD9A5E77}"/>
    <cellStyle name="Euro 6 2 4 2 3" xfId="24132" xr:uid="{5A1FBBC5-15EF-4E4C-BD95-D37FD3562790}"/>
    <cellStyle name="Euro 6 2 4 3" xfId="6756" xr:uid="{29FB64B7-88C6-46B9-BB32-04F5AB13C65C}"/>
    <cellStyle name="Euro 6 2 4 4" xfId="8566" xr:uid="{F4567A37-C38F-4D03-AF0E-D4C243203132}"/>
    <cellStyle name="Euro 6 2 5" xfId="4849" xr:uid="{B8DBEE5B-B601-46A0-BE53-704940D9CF22}"/>
    <cellStyle name="Euro 6 2 5 2" xfId="43613" xr:uid="{0B82CF6B-0B15-4F59-A364-6A2084CAA755}"/>
    <cellStyle name="Euro 6 2 5 3" xfId="24126" xr:uid="{1EB6F33F-FB52-484A-B813-B0C1BCE0D1BB}"/>
    <cellStyle name="Euro 6 2 6" xfId="4067" xr:uid="{694FE057-2DB1-4E33-AEC4-5109888A5490}"/>
    <cellStyle name="Euro 6 2 7" xfId="6136" xr:uid="{838A7741-2D3E-4309-9322-93F881A23B91}"/>
    <cellStyle name="Euro 6 2 8" xfId="8563" xr:uid="{3C3A941F-C78C-46AA-83D7-98DD1FC52002}"/>
    <cellStyle name="Euro 6 3" xfId="2191" xr:uid="{0920578F-FE16-4269-86F2-10FEF25F40F5}"/>
    <cellStyle name="Euro 6 3 2" xfId="4853" xr:uid="{93085192-7A08-437A-B5C1-BEB75958883C}"/>
    <cellStyle name="Euro 6 3 2 2" xfId="24134" xr:uid="{DAAE16C6-3D02-44FA-997E-C369D54EB5EC}"/>
    <cellStyle name="Euro 6 3 3" xfId="4068" xr:uid="{105B1407-6675-4D4D-A059-6DDF797CF8F7}"/>
    <cellStyle name="Euro 6 3 3 2" xfId="43915" xr:uid="{61E0D564-BC05-406D-ABD1-92F2D9AC0343}"/>
    <cellStyle name="Euro 6 3 3 3" xfId="24133" xr:uid="{65CDAEB6-1BA6-4CA1-815B-5381AFE694DA}"/>
    <cellStyle name="Euro 6 3 4" xfId="6137" xr:uid="{3BB84F39-3B70-4801-A98C-6682E7D740C5}"/>
    <cellStyle name="Euro 6 3 5" xfId="8567" xr:uid="{008633D6-C871-4779-A36D-070A9A7C791C}"/>
    <cellStyle name="Euro 6 4" xfId="2192" xr:uid="{71C66B88-F616-4DE4-A9E9-DABC53F5AD20}"/>
    <cellStyle name="Euro 6 4 2" xfId="4854" xr:uid="{5AD3C219-6241-44C5-8CFD-F3C9BECEC5E9}"/>
    <cellStyle name="Euro 6 4 2 2" xfId="24136" xr:uid="{D5BD31C1-FD18-4C22-A026-8FE7DF0F4DC4}"/>
    <cellStyle name="Euro 6 4 3" xfId="4069" xr:uid="{CD77ABEB-9CBC-40DA-A56A-1F7C733DA077}"/>
    <cellStyle name="Euro 6 4 3 2" xfId="43916" xr:uid="{23BDE122-274B-4CFF-B5D9-AE686A32B282}"/>
    <cellStyle name="Euro 6 4 3 3" xfId="24135" xr:uid="{7FDF9A95-7A50-480F-BE22-655A7FD73227}"/>
    <cellStyle name="Euro 6 4 4" xfId="6138" xr:uid="{36DCAA8F-2778-4A06-A908-58066A7CD7E3}"/>
    <cellStyle name="Euro 6 4 5" xfId="8568" xr:uid="{29B31DFB-2594-4A52-A38E-EE7F13FB9041}"/>
    <cellStyle name="Euro 6 5" xfId="2193" xr:uid="{9B4973B6-AFCA-4570-BE01-687BCD4F16B5}"/>
    <cellStyle name="Euro 6 5 2" xfId="4855" xr:uid="{5D0DEA6A-C67D-4AB0-806F-1DB7F1115835}"/>
    <cellStyle name="Euro 6 5 2 2" xfId="11102" xr:uid="{07CC10E5-1145-4C72-AB2F-8FDBD7ECA035}"/>
    <cellStyle name="Euro 6 5 2 2 2" xfId="24138" xr:uid="{653F7560-608C-4FF5-A39B-7996307A80F9}"/>
    <cellStyle name="Euro 6 5 3" xfId="6757" xr:uid="{7480DF4C-C1EE-4416-8E91-225B1CB5AAB0}"/>
    <cellStyle name="Euro 6 5 3 2" xfId="24139" xr:uid="{08B7CC5C-94AF-414B-8F7C-6FA5C5C5346B}"/>
    <cellStyle name="Euro 6 5 3 3" xfId="46236" xr:uid="{B0127748-0158-4657-9E98-DAE116CC7431}"/>
    <cellStyle name="Euro 6 5 3 4" xfId="16406" xr:uid="{274F62C1-4B47-4F37-8BC1-74DC552C9B38}"/>
    <cellStyle name="Euro 6 5 4" xfId="8569" xr:uid="{B8E65D45-4B1B-488E-8082-1243074FE163}"/>
    <cellStyle name="Euro 6 5 4 2" xfId="24137" xr:uid="{4FE60CFB-1963-4E21-94C5-B48304D2E738}"/>
    <cellStyle name="Euro 6 5 5" xfId="8097" xr:uid="{E2785C3B-0007-49C8-B006-EAC6EFB6E60B}"/>
    <cellStyle name="Euro 6 6" xfId="4848" xr:uid="{0A54FAC4-57FF-4B2E-84E0-5FFBC4EDAF68}"/>
    <cellStyle name="Euro 6 6 2" xfId="24140" xr:uid="{97AF4B83-E54D-4DFA-B184-0204D2F2D895}"/>
    <cellStyle name="Euro 6 7" xfId="4066" xr:uid="{B73F0BA7-1C53-4559-9FAD-E90D6B813406}"/>
    <cellStyle name="Euro 6 7 2" xfId="43914" xr:uid="{AC34BF27-ED97-460D-9463-AAA3BA6E80FF}"/>
    <cellStyle name="Euro 6 7 3" xfId="24125" xr:uid="{7CB7BBEA-2005-4A29-A611-A24DA63A6B53}"/>
    <cellStyle name="Euro 6 8" xfId="6135" xr:uid="{4D0BEFB5-22D9-4DB6-8D50-41E7440A1F33}"/>
    <cellStyle name="Euro 6 9" xfId="8562" xr:uid="{27C8E9EE-D7A7-49E0-BA7A-7F8D17BD77FD}"/>
    <cellStyle name="Euro 60" xfId="2194" xr:uid="{E4EACFDF-5C64-44B3-8419-037FF7D338EB}"/>
    <cellStyle name="Euro 60 10" xfId="8570" xr:uid="{87375D4D-347E-467C-8876-4425A0AADD4B}"/>
    <cellStyle name="Euro 60 2" xfId="2195" xr:uid="{4BEAAC6D-3976-434C-BF5E-88F06C4D801D}"/>
    <cellStyle name="Euro 60 2 2" xfId="4857" xr:uid="{8A05084C-B0DA-464D-9F80-8C4699645488}"/>
    <cellStyle name="Euro 60 2 2 2" xfId="24143" xr:uid="{CFC3CFBD-1534-4789-8B57-47CDC964983B}"/>
    <cellStyle name="Euro 60 2 3" xfId="6758" xr:uid="{7881B599-852C-4A3D-83E0-79DBC0919164}"/>
    <cellStyle name="Euro 60 2 3 2" xfId="46237" xr:uid="{D060C028-4DFD-4AD8-8E92-27F58C10DF86}"/>
    <cellStyle name="Euro 60 2 3 3" xfId="24142" xr:uid="{02028610-4CCA-4260-B59B-ADC35A201BDA}"/>
    <cellStyle name="Euro 60 2 4" xfId="8571" xr:uid="{56F8D764-244C-4B6D-B0BD-BED3D81B6179}"/>
    <cellStyle name="Euro 60 3" xfId="2196" xr:uid="{6C819310-3242-4709-963F-C7A3A1689FF0}"/>
    <cellStyle name="Euro 60 3 2" xfId="4858" xr:uid="{FD6046EE-4CC1-4AD7-B27A-6C8A3649F1DD}"/>
    <cellStyle name="Euro 60 3 2 2" xfId="24145" xr:uid="{CE9847CA-910F-4354-96AA-C5B9A25AB6C6}"/>
    <cellStyle name="Euro 60 3 3" xfId="6759" xr:uid="{669C94FC-DEC7-45C2-9578-400315119C49}"/>
    <cellStyle name="Euro 60 3 3 2" xfId="46238" xr:uid="{3F9940C4-44C1-4EBD-9298-CE8066AB29F0}"/>
    <cellStyle name="Euro 60 3 3 3" xfId="24144" xr:uid="{B7DA4C87-4315-4607-BF58-E082882BC0B4}"/>
    <cellStyle name="Euro 60 3 4" xfId="8572" xr:uid="{42DAB834-7CC9-4B2B-8663-C5F22A9C9623}"/>
    <cellStyle name="Euro 60 4" xfId="2197" xr:uid="{B6820EB2-D7E9-4AAD-8F99-04850641EC49}"/>
    <cellStyle name="Euro 60 4 2" xfId="4859" xr:uid="{70B561B3-855F-4B94-868E-F7E026247816}"/>
    <cellStyle name="Euro 60 4 2 2" xfId="24147" xr:uid="{F132400C-E7D0-4E61-97D4-BADC9EAD7991}"/>
    <cellStyle name="Euro 60 4 3" xfId="6760" xr:uid="{17E46B72-B356-42F0-8DA9-579C956B79D1}"/>
    <cellStyle name="Euro 60 4 3 2" xfId="46239" xr:uid="{366292CA-8785-4779-824F-771C95BCB197}"/>
    <cellStyle name="Euro 60 4 3 3" xfId="24146" xr:uid="{30E4B4F1-FBF6-471C-9393-34C6B4FDF86A}"/>
    <cellStyle name="Euro 60 4 4" xfId="8573" xr:uid="{C6EBB5BC-F1A1-472B-9BAF-DDA3B20DE403}"/>
    <cellStyle name="Euro 60 5" xfId="2198" xr:uid="{8AEEDAB0-674D-4A67-AD70-6CCF47255C4F}"/>
    <cellStyle name="Euro 60 5 2" xfId="4860" xr:uid="{42F5A073-B4C7-452C-8EC8-69C93A00762B}"/>
    <cellStyle name="Euro 60 5 2 2" xfId="24149" xr:uid="{AD4E10A2-1087-4753-8E73-FF8E265EFC03}"/>
    <cellStyle name="Euro 60 5 3" xfId="6761" xr:uid="{6ED7F28B-3A5A-45B8-8E38-A4248E83A4DB}"/>
    <cellStyle name="Euro 60 5 3 2" xfId="46240" xr:uid="{ECAD0EED-79DE-45FC-80C8-F522D6C454B3}"/>
    <cellStyle name="Euro 60 5 3 3" xfId="24148" xr:uid="{E94BAFBC-194B-4D71-BEDE-8A881ABE8EE8}"/>
    <cellStyle name="Euro 60 5 4" xfId="8574" xr:uid="{36626D9F-6C88-4F79-AF2E-D92562950974}"/>
    <cellStyle name="Euro 60 6" xfId="2199" xr:uid="{A0BBA30A-99C9-4201-8FD1-E88322449B5F}"/>
    <cellStyle name="Euro 60 6 2" xfId="4861" xr:uid="{E9D182ED-9824-4D5E-A17D-5C1100F1B2DE}"/>
    <cellStyle name="Euro 60 6 2 2" xfId="24151" xr:uid="{E76B0337-FFB4-4260-9F1A-284E822E2A75}"/>
    <cellStyle name="Euro 60 6 3" xfId="6762" xr:uid="{E560618E-0204-4285-BA03-45C0F68E2E8D}"/>
    <cellStyle name="Euro 60 6 3 2" xfId="46241" xr:uid="{AA21A08B-89D7-48DC-938A-CBFE959BF865}"/>
    <cellStyle name="Euro 60 6 3 3" xfId="24150" xr:uid="{9B7A5AA9-EE22-4296-97C5-A745E7AFFE19}"/>
    <cellStyle name="Euro 60 6 4" xfId="8575" xr:uid="{B06C53BD-5362-4FA6-A973-23324FD45EAA}"/>
    <cellStyle name="Euro 60 7" xfId="4856" xr:uid="{B2B4DC9E-D9A7-4D41-A84E-E9FCD5ABF81B}"/>
    <cellStyle name="Euro 60 7 2" xfId="24152" xr:uid="{DEDEEDB8-CDF8-42EF-8E33-E51FCB222CD9}"/>
    <cellStyle name="Euro 60 8" xfId="4070" xr:uid="{2D95B0D5-5D18-4511-9CA2-B51C28E754C6}"/>
    <cellStyle name="Euro 60 8 2" xfId="43917" xr:uid="{6BC219D7-943A-4340-AF21-EE0B49FA575D}"/>
    <cellStyle name="Euro 60 8 3" xfId="24141" xr:uid="{89BFCC24-B0AD-45B8-9415-AC818B69CEBA}"/>
    <cellStyle name="Euro 60 9" xfId="6139" xr:uid="{B132C3C6-D889-4FE6-9389-F2C44E1F5F95}"/>
    <cellStyle name="Euro 61" xfId="2200" xr:uid="{D148F97C-1287-4DAB-A295-F05C659EAE72}"/>
    <cellStyle name="Euro 61 10" xfId="8576" xr:uid="{4AEC1F9B-245B-47B1-82D7-941C4CD7996C}"/>
    <cellStyle name="Euro 61 2" xfId="2201" xr:uid="{DDC29C31-3A8A-49C6-9BB1-1C47A72CD069}"/>
    <cellStyle name="Euro 61 2 2" xfId="4863" xr:uid="{F48F745F-D6E8-4A95-AA61-E8DEEF915A49}"/>
    <cellStyle name="Euro 61 2 2 2" xfId="24156" xr:uid="{DF627F62-8D37-47D4-B6E8-2FB6E084F9B5}"/>
    <cellStyle name="Euro 61 2 2 3" xfId="24157" xr:uid="{A3E85062-96AD-4C5A-A179-A498FEBD1FB6}"/>
    <cellStyle name="Euro 61 2 2 4" xfId="24155" xr:uid="{05FA64E6-55DD-4AF6-B498-41E54144574A}"/>
    <cellStyle name="Euro 61 2 3" xfId="6763" xr:uid="{33F0FC5D-2499-4CBC-A065-3F9FB5D569E1}"/>
    <cellStyle name="Euro 61 2 3 2" xfId="46242" xr:uid="{9190CAFF-8C68-46EF-9E24-D2C2ECDF46BC}"/>
    <cellStyle name="Euro 61 2 3 3" xfId="24154" xr:uid="{625AE7FB-C814-4668-8072-7998EC9C3AE1}"/>
    <cellStyle name="Euro 61 2 4" xfId="8577" xr:uid="{CF5F019E-9BB7-4E90-959A-A7A9EFA39D4A}"/>
    <cellStyle name="Euro 61 3" xfId="2202" xr:uid="{97B6A252-26CA-4F47-8A62-FC9760036C14}"/>
    <cellStyle name="Euro 61 3 2" xfId="4864" xr:uid="{5DFF2789-AB81-424A-B75E-5B8F65A8DC16}"/>
    <cellStyle name="Euro 61 3 2 2" xfId="24160" xr:uid="{D20C8580-CB10-466F-ABD3-DAF6D5C6247A}"/>
    <cellStyle name="Euro 61 3 2 3" xfId="24161" xr:uid="{E15DE799-C59F-4812-A989-282EA282BA1A}"/>
    <cellStyle name="Euro 61 3 2 4" xfId="24159" xr:uid="{50DC210E-6D79-48B7-BA52-874FB36F1503}"/>
    <cellStyle name="Euro 61 3 3" xfId="6764" xr:uid="{A86C91A0-E7EB-41AA-8684-6CAB00F2C4CE}"/>
    <cellStyle name="Euro 61 3 3 2" xfId="46243" xr:uid="{8E0051F5-848E-4D9A-B188-18F949BB85A9}"/>
    <cellStyle name="Euro 61 3 3 3" xfId="24162" xr:uid="{CDAD7481-18D5-48DD-99A0-6B5AA1021BDD}"/>
    <cellStyle name="Euro 61 3 4" xfId="8578" xr:uid="{5F40B077-CB46-4C97-91C1-2D198D99058B}"/>
    <cellStyle name="Euro 61 3 4 2" xfId="24163" xr:uid="{948D2097-2492-424C-B4C6-AFABAE1491DD}"/>
    <cellStyle name="Euro 61 3 5" xfId="24158" xr:uid="{4BA4ED37-F150-4131-80A4-73273762687D}"/>
    <cellStyle name="Euro 61 4" xfId="2203" xr:uid="{2C2F83DA-9808-4BE1-AFB4-B979922746D5}"/>
    <cellStyle name="Euro 61 4 2" xfId="4865" xr:uid="{F4FB5CE9-BB4E-4926-8916-B12CC3F45B13}"/>
    <cellStyle name="Euro 61 4 2 2" xfId="24166" xr:uid="{97145E31-6F36-4A4C-B0B2-7F866522FDA6}"/>
    <cellStyle name="Euro 61 4 2 3" xfId="24167" xr:uid="{46DE9C58-9FCF-4534-8423-413177380C7A}"/>
    <cellStyle name="Euro 61 4 2 4" xfId="24165" xr:uid="{0CD2546B-9A8D-4DFC-BB0E-2C2FE9ADE577}"/>
    <cellStyle name="Euro 61 4 3" xfId="6765" xr:uid="{F801A460-74B5-4011-ADB0-E075DD135644}"/>
    <cellStyle name="Euro 61 4 3 2" xfId="46244" xr:uid="{07C506B2-16BD-4A95-900D-C680416C247D}"/>
    <cellStyle name="Euro 61 4 3 3" xfId="24168" xr:uid="{D24C7336-4141-4EA1-93BF-014340F4A51B}"/>
    <cellStyle name="Euro 61 4 4" xfId="8579" xr:uid="{0D9E815E-4190-47C0-9DE7-508740C8FD68}"/>
    <cellStyle name="Euro 61 4 4 2" xfId="24169" xr:uid="{B64C1993-A377-4001-AE12-6451C7DCD043}"/>
    <cellStyle name="Euro 61 4 5" xfId="24164" xr:uid="{C86B215D-B3DB-4D4C-9A1A-54C62844F02D}"/>
    <cellStyle name="Euro 61 5" xfId="2204" xr:uid="{0F856A05-BF9C-4520-9B63-CA99E3B0D65F}"/>
    <cellStyle name="Euro 61 5 2" xfId="4866" xr:uid="{0B266BC7-DCB3-4482-99B3-F6A56777DA46}"/>
    <cellStyle name="Euro 61 5 2 2" xfId="24172" xr:uid="{2E24F5E4-371C-42A8-A94D-A9947F6000CC}"/>
    <cellStyle name="Euro 61 5 2 3" xfId="24173" xr:uid="{9A2971B9-5517-43E9-9629-0BFD24E35119}"/>
    <cellStyle name="Euro 61 5 2 4" xfId="24174" xr:uid="{59BB8ED5-1210-4946-863B-EEAD00D8B823}"/>
    <cellStyle name="Euro 61 5 2 5" xfId="24171" xr:uid="{38A38696-3E69-49F5-AAC4-58C791E82B29}"/>
    <cellStyle name="Euro 61 5 3" xfId="6766" xr:uid="{A75F5430-F5A2-4775-A716-85E0CB6163A6}"/>
    <cellStyle name="Euro 61 5 3 2" xfId="46245" xr:uid="{A345AC89-E968-42A1-9BD6-435F4066871C}"/>
    <cellStyle name="Euro 61 5 3 3" xfId="24175" xr:uid="{4EFC8E18-4157-4FD2-B238-B4FC66492241}"/>
    <cellStyle name="Euro 61 5 4" xfId="8580" xr:uid="{F33AB0B7-2427-4ADB-BA48-8D857DC4813D}"/>
    <cellStyle name="Euro 61 5 4 2" xfId="24176" xr:uid="{756A918E-03A2-4DAA-A4E1-88092BB6883C}"/>
    <cellStyle name="Euro 61 5 5" xfId="24177" xr:uid="{7E5C6C50-0B1E-44E3-B7D4-39D2BD8E7C68}"/>
    <cellStyle name="Euro 61 5 6" xfId="24170" xr:uid="{F66D60FA-3F8F-4D1B-B079-A21A16CD7382}"/>
    <cellStyle name="Euro 61 6" xfId="2205" xr:uid="{DEBD347F-2333-4890-A3C9-846A455369BF}"/>
    <cellStyle name="Euro 61 6 2" xfId="4867" xr:uid="{63D2C68E-5C86-4E1A-AF63-E9BF1CF81C3E}"/>
    <cellStyle name="Euro 61 6 2 2" xfId="24180" xr:uid="{0F93639D-022C-4A59-A80B-2FA88E4C20BE}"/>
    <cellStyle name="Euro 61 6 2 3" xfId="24181" xr:uid="{D9336DDB-7779-4E10-B2FF-C973064A2060}"/>
    <cellStyle name="Euro 61 6 2 4" xfId="24182" xr:uid="{F69F9EE5-72C8-4110-BC44-A2172D5656BE}"/>
    <cellStyle name="Euro 61 6 2 5" xfId="24179" xr:uid="{5AE81435-DE4E-47B3-A570-822DD3746178}"/>
    <cellStyle name="Euro 61 6 3" xfId="6767" xr:uid="{23666E9B-BA00-4B14-BD24-587B37BA95BB}"/>
    <cellStyle name="Euro 61 6 3 2" xfId="46246" xr:uid="{8D7A62C6-A08A-41C8-A436-B4DA91C46A42}"/>
    <cellStyle name="Euro 61 6 3 3" xfId="24183" xr:uid="{9A0B7279-362F-4943-9084-45A7A01E0C93}"/>
    <cellStyle name="Euro 61 6 4" xfId="8581" xr:uid="{22B4DFB3-2C26-4C9D-B9DA-B21812F6CA2D}"/>
    <cellStyle name="Euro 61 6 4 2" xfId="24184" xr:uid="{AB1E896F-785F-408B-942B-04CEEC33E7AA}"/>
    <cellStyle name="Euro 61 6 5" xfId="24185" xr:uid="{4F854F5F-FA66-4896-8410-57C9DC96FF74}"/>
    <cellStyle name="Euro 61 6 6" xfId="24178" xr:uid="{FB796653-5E4C-40F0-B9B9-D5A2E35CD139}"/>
    <cellStyle name="Euro 61 7" xfId="4862" xr:uid="{86ED9271-D587-4794-9803-86044A5B37E7}"/>
    <cellStyle name="Euro 61 7 2" xfId="24187" xr:uid="{73FB4321-C512-4FEB-A449-666ECF4A962E}"/>
    <cellStyle name="Euro 61 7 3" xfId="24188" xr:uid="{C97921C7-276D-498E-B0D0-B1E2A58B7117}"/>
    <cellStyle name="Euro 61 7 4" xfId="24189" xr:uid="{C43F264C-5DBE-4BA2-B4A7-69BA5E932AC0}"/>
    <cellStyle name="Euro 61 7 5" xfId="24186" xr:uid="{C8B624DF-1503-4933-A2F4-BB2472E02E2A}"/>
    <cellStyle name="Euro 61 8" xfId="4071" xr:uid="{479C3CCD-85B9-460C-AF38-7CD4EAFFE738}"/>
    <cellStyle name="Euro 61 8 2" xfId="43918" xr:uid="{D9F0DFB2-AF0E-478E-80F7-986305A770BE}"/>
    <cellStyle name="Euro 61 8 3" xfId="24153" xr:uid="{B241EB12-CA6D-4E46-8960-70C5BB248E93}"/>
    <cellStyle name="Euro 61 9" xfId="6140" xr:uid="{1D604C15-F0BD-4458-B3D1-36350AFCB4A1}"/>
    <cellStyle name="Euro 62" xfId="2206" xr:uid="{BAB5AE7B-0306-43EC-BC0D-A280ACDD6205}"/>
    <cellStyle name="Euro 62 10" xfId="8582" xr:uid="{15A716E4-046B-4727-AD65-57B940EB12B2}"/>
    <cellStyle name="Euro 62 10 2" xfId="24191" xr:uid="{E9576A76-5DE4-42F5-B4E7-250669D663CE}"/>
    <cellStyle name="Euro 62 11" xfId="24190" xr:uid="{93B8FA23-7B76-4CAE-A820-E8AF517758CE}"/>
    <cellStyle name="Euro 62 2" xfId="2207" xr:uid="{7C9E3B69-CFC7-4ABC-A332-960335009D05}"/>
    <cellStyle name="Euro 62 2 2" xfId="4869" xr:uid="{02E7159B-CD72-4309-AA8D-9FD85E434607}"/>
    <cellStyle name="Euro 62 2 2 2" xfId="24194" xr:uid="{17E8ED98-0A83-49BB-8B7B-D051163927C2}"/>
    <cellStyle name="Euro 62 2 2 3" xfId="24195" xr:uid="{297D2DCB-80D4-4B45-BFB1-9712D6A6B0C5}"/>
    <cellStyle name="Euro 62 2 2 4" xfId="24196" xr:uid="{B3C8E8DA-F187-4C03-9F1B-4A91E30B68E5}"/>
    <cellStyle name="Euro 62 2 2 5" xfId="24193" xr:uid="{294A9753-74DD-47E5-8478-FFEE646F9564}"/>
    <cellStyle name="Euro 62 2 3" xfId="6768" xr:uid="{30F06846-6F5B-4EB6-B454-F0732664028A}"/>
    <cellStyle name="Euro 62 2 3 2" xfId="46247" xr:uid="{6D8737D3-7340-4DCC-8D25-1378834174EC}"/>
    <cellStyle name="Euro 62 2 3 3" xfId="24197" xr:uid="{BA6BDADA-431C-4EC1-B8A7-E3F192C50A23}"/>
    <cellStyle name="Euro 62 2 4" xfId="8583" xr:uid="{BE6FFFAE-7D9B-4E99-B61A-FFC76022880B}"/>
    <cellStyle name="Euro 62 2 4 2" xfId="24198" xr:uid="{C79B344F-DFC1-4EF0-8C38-144A128DE54B}"/>
    <cellStyle name="Euro 62 2 5" xfId="24199" xr:uid="{BD69B213-5CA2-48C2-BF4F-181AD717FC6E}"/>
    <cellStyle name="Euro 62 2 6" xfId="24192" xr:uid="{89547A4D-9AB8-46EA-B723-0C645D6969B3}"/>
    <cellStyle name="Euro 62 3" xfId="2208" xr:uid="{86C438DC-3D44-4EE6-9420-124091067DDB}"/>
    <cellStyle name="Euro 62 3 2" xfId="4870" xr:uid="{FAF95D85-6B66-443A-8B3B-3E62C9544232}"/>
    <cellStyle name="Euro 62 3 2 2" xfId="24202" xr:uid="{0911EE3E-71B3-4876-9E05-5DB92A5B5561}"/>
    <cellStyle name="Euro 62 3 2 3" xfId="24203" xr:uid="{55388492-F8C9-47DD-A31D-F093461CD72B}"/>
    <cellStyle name="Euro 62 3 2 4" xfId="24204" xr:uid="{1508FBA8-F1F5-408E-9AB4-FD96F804D709}"/>
    <cellStyle name="Euro 62 3 2 5" xfId="24201" xr:uid="{5DF6A97F-DD59-4E2A-8970-21547A6FCEF9}"/>
    <cellStyle name="Euro 62 3 3" xfId="6769" xr:uid="{76EDCAB3-D07A-4E2B-8498-3FD93DA38012}"/>
    <cellStyle name="Euro 62 3 3 2" xfId="46248" xr:uid="{3A15723D-32DC-40A6-883C-D4A0DD345CD3}"/>
    <cellStyle name="Euro 62 3 3 3" xfId="24205" xr:uid="{FF91C02A-83E0-4344-AE96-4E84FEE8045F}"/>
    <cellStyle name="Euro 62 3 4" xfId="8584" xr:uid="{4441E96E-4EA0-47F0-AE16-15562CA1565C}"/>
    <cellStyle name="Euro 62 3 4 2" xfId="24206" xr:uid="{DA4F654D-E6A8-45C4-AD67-E4A88B1D7A41}"/>
    <cellStyle name="Euro 62 3 5" xfId="24207" xr:uid="{F276C10B-388E-4894-96B7-423728C883E5}"/>
    <cellStyle name="Euro 62 3 6" xfId="24200" xr:uid="{DA49F53F-0589-4577-B568-7ADBA0F9BB21}"/>
    <cellStyle name="Euro 62 4" xfId="2209" xr:uid="{A7527971-BDA3-4FD1-9223-D3F0033824DF}"/>
    <cellStyle name="Euro 62 4 2" xfId="4871" xr:uid="{1E2905D7-C4D3-4B5B-9187-575B42F40195}"/>
    <cellStyle name="Euro 62 4 2 2" xfId="24210" xr:uid="{87158462-2AEF-45D2-B953-0F9F15CE9D18}"/>
    <cellStyle name="Euro 62 4 2 3" xfId="24211" xr:uid="{6BCE1BC9-E30A-46DF-AFD7-364B5378CE3D}"/>
    <cellStyle name="Euro 62 4 2 4" xfId="24212" xr:uid="{FD372288-C71A-4DEF-B3F5-B30AF49F5ED4}"/>
    <cellStyle name="Euro 62 4 2 5" xfId="24209" xr:uid="{4715CA48-9327-48CA-AAE6-D85B15E29965}"/>
    <cellStyle name="Euro 62 4 3" xfId="6770" xr:uid="{9AB30D0D-8D7F-4DF0-8DC9-F50466571E2C}"/>
    <cellStyle name="Euro 62 4 3 2" xfId="46249" xr:uid="{40BB8E99-8DD7-4095-9CB8-1BF36FE115A5}"/>
    <cellStyle name="Euro 62 4 3 3" xfId="24213" xr:uid="{9175B69D-16DA-4EB6-A040-564FFF9CC75C}"/>
    <cellStyle name="Euro 62 4 4" xfId="8585" xr:uid="{B656BFBD-63ED-4154-85C2-086B2E2E0281}"/>
    <cellStyle name="Euro 62 4 4 2" xfId="24214" xr:uid="{EC5899EC-8D59-4131-AD11-59D36237E171}"/>
    <cellStyle name="Euro 62 4 5" xfId="24215" xr:uid="{311D701F-E0CC-4C8E-AB1A-552B53BF34AE}"/>
    <cellStyle name="Euro 62 4 6" xfId="24208" xr:uid="{B54251EB-9118-42B1-8DD5-6C00B42C98F4}"/>
    <cellStyle name="Euro 62 5" xfId="2210" xr:uid="{1065607A-89D2-4BDF-AFF6-B554B4D38092}"/>
    <cellStyle name="Euro 62 5 2" xfId="4872" xr:uid="{EFABC846-A138-4360-802B-D4BE72BDAC0C}"/>
    <cellStyle name="Euro 62 5 2 2" xfId="24218" xr:uid="{D05E8877-B465-4C22-B63E-5800C8DC2BEF}"/>
    <cellStyle name="Euro 62 5 2 3" xfId="24219" xr:uid="{BBDE9D6A-B6C9-4F6B-B68C-E32F8D7F25C3}"/>
    <cellStyle name="Euro 62 5 2 4" xfId="24220" xr:uid="{E8280B62-E26C-489F-B3E5-53F127529F68}"/>
    <cellStyle name="Euro 62 5 2 5" xfId="24217" xr:uid="{02C4737E-E82F-483C-9C59-9071D25B6F34}"/>
    <cellStyle name="Euro 62 5 3" xfId="6771" xr:uid="{897636E0-A808-45A0-85CB-020268899372}"/>
    <cellStyle name="Euro 62 5 3 2" xfId="46250" xr:uid="{84FFA8FE-CD16-4A3B-A84D-10603AA59810}"/>
    <cellStyle name="Euro 62 5 3 3" xfId="24221" xr:uid="{E8C998BF-B0F7-4F8B-8F6E-0DD002C0775F}"/>
    <cellStyle name="Euro 62 5 4" xfId="8586" xr:uid="{68216ED5-A162-421D-8114-3F7D47313576}"/>
    <cellStyle name="Euro 62 5 4 2" xfId="24222" xr:uid="{E7682B78-8F36-4720-BD10-C10135FA8117}"/>
    <cellStyle name="Euro 62 5 5" xfId="24223" xr:uid="{700E1FAF-CBA3-476B-92BE-C79C89FE1B1C}"/>
    <cellStyle name="Euro 62 5 6" xfId="24216" xr:uid="{DE024057-09E8-4932-9E63-885DB2B7F67F}"/>
    <cellStyle name="Euro 62 6" xfId="2211" xr:uid="{17574D1E-1F28-4783-82B3-2F48C81C89C8}"/>
    <cellStyle name="Euro 62 6 2" xfId="4873" xr:uid="{70BC5EB2-629B-488E-9372-B659FD87DDF2}"/>
    <cellStyle name="Euro 62 6 2 2" xfId="24226" xr:uid="{DAF08441-3016-4613-810B-A4BF422C4A94}"/>
    <cellStyle name="Euro 62 6 2 3" xfId="24227" xr:uid="{E1529C08-2381-4925-A00B-54B824633803}"/>
    <cellStyle name="Euro 62 6 2 4" xfId="24228" xr:uid="{AF174883-CE50-477E-A1BE-FD16D6A071A5}"/>
    <cellStyle name="Euro 62 6 2 5" xfId="24225" xr:uid="{25DF278E-C68F-4C4A-9F25-B200C40281A5}"/>
    <cellStyle name="Euro 62 6 3" xfId="6772" xr:uid="{4191E3F4-0A86-4F3E-8262-21EF4847182B}"/>
    <cellStyle name="Euro 62 6 3 2" xfId="46251" xr:uid="{B33C0149-968F-4EE8-A716-321EC35F1419}"/>
    <cellStyle name="Euro 62 6 3 3" xfId="24229" xr:uid="{076BFDB7-EEC2-4EE7-8F37-9D48061E4AA4}"/>
    <cellStyle name="Euro 62 6 4" xfId="8587" xr:uid="{9FD5CC40-2E3B-4A1B-BDDF-42A051D1E261}"/>
    <cellStyle name="Euro 62 6 4 2" xfId="24230" xr:uid="{77AD19FD-D317-42E2-B592-51FDDB4B52E7}"/>
    <cellStyle name="Euro 62 6 5" xfId="24231" xr:uid="{798CEF8C-F4C7-47ED-B515-FAE5C6D3F72C}"/>
    <cellStyle name="Euro 62 6 6" xfId="24224" xr:uid="{CC4E0670-C438-4FDC-98A8-F472FAF89021}"/>
    <cellStyle name="Euro 62 7" xfId="4868" xr:uid="{86084545-FD6E-4618-AF08-0116DAF4AD39}"/>
    <cellStyle name="Euro 62 7 2" xfId="24233" xr:uid="{BC1E3794-0BC4-4009-A64F-E75AFC3B23CD}"/>
    <cellStyle name="Euro 62 7 3" xfId="24234" xr:uid="{5A9CC8A2-BDFB-4D9E-8BF7-C42727EB80CF}"/>
    <cellStyle name="Euro 62 7 4" xfId="24235" xr:uid="{0B6FBFC1-2EEC-4FED-8F7C-459FD936873D}"/>
    <cellStyle name="Euro 62 7 5" xfId="24232" xr:uid="{4809FE48-9784-4DE5-8E1C-913033535F88}"/>
    <cellStyle name="Euro 62 8" xfId="4072" xr:uid="{3334C50D-F300-4FB1-AE3B-31BD3A668055}"/>
    <cellStyle name="Euro 62 8 2" xfId="43919" xr:uid="{C698A778-6F3D-4C6B-86E2-045DFCFE58D4}"/>
    <cellStyle name="Euro 62 8 3" xfId="24236" xr:uid="{4203E800-4214-4F1D-98DC-671E6324043F}"/>
    <cellStyle name="Euro 62 9" xfId="6141" xr:uid="{5821FFF1-892B-48E0-9716-39E98B2878D1}"/>
    <cellStyle name="Euro 62 9 2" xfId="45824" xr:uid="{B4AFED7A-93E4-49A9-AA58-0CD23EFD16B7}"/>
    <cellStyle name="Euro 62 9 3" xfId="24237" xr:uid="{ACCE4C46-F5B7-4025-A468-47D1283D4FD2}"/>
    <cellStyle name="Euro 63" xfId="2212" xr:uid="{2C9D0C95-7CE9-4445-A930-DF231129A843}"/>
    <cellStyle name="Euro 63 10" xfId="8588" xr:uid="{B56EF678-5BF8-42DF-A4C2-8E32C5DCE8F6}"/>
    <cellStyle name="Euro 63 10 2" xfId="24239" xr:uid="{D529623C-5448-4F81-98EB-AA28341606E8}"/>
    <cellStyle name="Euro 63 11" xfId="24238" xr:uid="{6471B5F1-DF24-4A8D-995A-6AD3C78E5660}"/>
    <cellStyle name="Euro 63 2" xfId="2213" xr:uid="{A3354BAB-C996-442D-B2A5-8258E3EA86F1}"/>
    <cellStyle name="Euro 63 2 2" xfId="4875" xr:uid="{E5629B3A-6AE5-4814-9045-1E9BB1F7AE5B}"/>
    <cellStyle name="Euro 63 2 2 2" xfId="24242" xr:uid="{6870B849-62C0-406A-8F58-8EDFC6FB9226}"/>
    <cellStyle name="Euro 63 2 2 3" xfId="24243" xr:uid="{8D60221A-B616-42C8-BBFF-C8D35B4B9E2D}"/>
    <cellStyle name="Euro 63 2 2 4" xfId="24244" xr:uid="{58D714D4-3843-40CC-AA5C-A8B0DBA0CA29}"/>
    <cellStyle name="Euro 63 2 2 5" xfId="24241" xr:uid="{50C0D76F-C3E9-40C1-8382-BF420BD4A168}"/>
    <cellStyle name="Euro 63 2 3" xfId="6773" xr:uid="{D6B5F6BF-1A20-4DC7-9EA5-8C9FBCD25622}"/>
    <cellStyle name="Euro 63 2 3 2" xfId="46252" xr:uid="{8AF7B103-7400-4124-9329-6B0CB031F168}"/>
    <cellStyle name="Euro 63 2 3 3" xfId="24245" xr:uid="{F46483C0-0FF8-46A1-BF73-6EC4BD4FEB95}"/>
    <cellStyle name="Euro 63 2 4" xfId="8589" xr:uid="{C625AEEE-ECBF-4A42-B278-3E1ECED03BA5}"/>
    <cellStyle name="Euro 63 2 4 2" xfId="24246" xr:uid="{2329DF6C-144B-4FF5-984D-21A1DEF7182A}"/>
    <cellStyle name="Euro 63 2 5" xfId="24247" xr:uid="{42AF4A1F-CE2E-40E3-9F2F-655E04D40AA1}"/>
    <cellStyle name="Euro 63 2 6" xfId="24240" xr:uid="{35908528-6B5F-4FE8-B4C7-3A15EB78FA33}"/>
    <cellStyle name="Euro 63 3" xfId="2214" xr:uid="{A57940AF-C7C5-4FF0-8291-BF10CD663181}"/>
    <cellStyle name="Euro 63 3 2" xfId="4876" xr:uid="{6B883917-CDA4-43FB-9F4C-2EDD2D2D66D6}"/>
    <cellStyle name="Euro 63 3 2 2" xfId="24250" xr:uid="{30BB22F8-D412-4677-B504-477B7C1C4A75}"/>
    <cellStyle name="Euro 63 3 2 3" xfId="24251" xr:uid="{AE52F423-5645-413E-A3F7-63D7C4A5CB5C}"/>
    <cellStyle name="Euro 63 3 2 4" xfId="24252" xr:uid="{037CA052-F453-42C3-B873-5A916EAB2319}"/>
    <cellStyle name="Euro 63 3 2 5" xfId="24249" xr:uid="{CEA98828-177E-4C0C-9650-F67F7FA6D9E2}"/>
    <cellStyle name="Euro 63 3 3" xfId="6774" xr:uid="{FFE4D0A6-74EB-45FB-B353-720280B99C08}"/>
    <cellStyle name="Euro 63 3 3 2" xfId="46253" xr:uid="{DB63BB03-4B82-478B-AF1B-4BC5591C9279}"/>
    <cellStyle name="Euro 63 3 3 3" xfId="24253" xr:uid="{3FA9C5F1-9EC5-45FD-A8FE-8F1DB844CCAA}"/>
    <cellStyle name="Euro 63 3 4" xfId="8590" xr:uid="{218DF0C7-0264-43E5-9668-80B2DFB4E5A9}"/>
    <cellStyle name="Euro 63 3 4 2" xfId="24254" xr:uid="{8DDE1764-6ECF-4D9C-8CFB-69B3EF18BE47}"/>
    <cellStyle name="Euro 63 3 5" xfId="24255" xr:uid="{93CF18DA-1EBE-41E8-BD89-FA312FFD1049}"/>
    <cellStyle name="Euro 63 3 6" xfId="24248" xr:uid="{1AFF9249-71FE-4F4A-AD7C-6F8309CEDC95}"/>
    <cellStyle name="Euro 63 4" xfId="2215" xr:uid="{E8205491-4116-4D63-946B-B28343A7E9ED}"/>
    <cellStyle name="Euro 63 4 2" xfId="4877" xr:uid="{5717737F-B9EC-4362-80DF-4213181DE41E}"/>
    <cellStyle name="Euro 63 4 2 2" xfId="24258" xr:uid="{0CE86ACF-F6DB-44D2-B639-22F56386EA9B}"/>
    <cellStyle name="Euro 63 4 2 3" xfId="24259" xr:uid="{2A8E0C70-4F93-42BB-8109-3ED474344F0B}"/>
    <cellStyle name="Euro 63 4 2 4" xfId="24260" xr:uid="{C29E1568-57FD-495A-9C10-274803E62D79}"/>
    <cellStyle name="Euro 63 4 2 5" xfId="24257" xr:uid="{C1B4BA71-97C9-474C-B051-5D2058024120}"/>
    <cellStyle name="Euro 63 4 3" xfId="6775" xr:uid="{06497342-F85D-4932-9964-18D55A120D94}"/>
    <cellStyle name="Euro 63 4 3 2" xfId="46254" xr:uid="{376361F6-9014-4A31-B80B-FFCD019E9255}"/>
    <cellStyle name="Euro 63 4 3 3" xfId="24261" xr:uid="{60CB3E0E-6974-44F4-BFD9-580B979A7695}"/>
    <cellStyle name="Euro 63 4 4" xfId="8591" xr:uid="{7AFC16AE-427E-4CB2-AEB8-211CF676890D}"/>
    <cellStyle name="Euro 63 4 4 2" xfId="24262" xr:uid="{F06D16BE-04EA-4C32-BBE7-AB63F6B34AB3}"/>
    <cellStyle name="Euro 63 4 5" xfId="24263" xr:uid="{D87B4CD4-7B11-4C1A-BF63-D6E45047F17B}"/>
    <cellStyle name="Euro 63 4 6" xfId="24256" xr:uid="{F8722E06-09E0-4E01-ABCF-6C56EFD8509D}"/>
    <cellStyle name="Euro 63 5" xfId="2216" xr:uid="{9D94F117-3C83-4247-B3F9-32C1F6A66F50}"/>
    <cellStyle name="Euro 63 5 2" xfId="4878" xr:uid="{968C2104-1CD0-4AFC-BD90-3042534559FF}"/>
    <cellStyle name="Euro 63 5 2 2" xfId="24266" xr:uid="{2A9F019D-885C-473A-BC88-EC991E0D5287}"/>
    <cellStyle name="Euro 63 5 2 3" xfId="24267" xr:uid="{B9C40D54-8241-4B2B-990B-9E44CD53D5B6}"/>
    <cellStyle name="Euro 63 5 2 4" xfId="24268" xr:uid="{D8F2C1B7-DBA8-4FF6-8ED1-CFC33EE5A223}"/>
    <cellStyle name="Euro 63 5 2 5" xfId="24269" xr:uid="{E9017613-DA84-412D-8218-0843CC8D6F8A}"/>
    <cellStyle name="Euro 63 5 2 6" xfId="24265" xr:uid="{8D40C4C7-9A4F-4545-B481-730845599E6A}"/>
    <cellStyle name="Euro 63 5 3" xfId="6776" xr:uid="{437E8AFA-1471-4619-A140-6C6F030F532C}"/>
    <cellStyle name="Euro 63 5 3 2" xfId="46255" xr:uid="{F3560234-C699-427C-BC73-FB4B710DA480}"/>
    <cellStyle name="Euro 63 5 3 3" xfId="24270" xr:uid="{DD4742DF-9F17-43EF-8777-3D52FC40F833}"/>
    <cellStyle name="Euro 63 5 4" xfId="8592" xr:uid="{7D7191C2-9E72-4214-9244-5572498D07B4}"/>
    <cellStyle name="Euro 63 5 4 2" xfId="24271" xr:uid="{B59B4774-34FC-40F4-A398-D9FB87BCA33A}"/>
    <cellStyle name="Euro 63 5 5" xfId="24272" xr:uid="{632E7F15-BB8D-40B1-88A4-A86CD67193BF}"/>
    <cellStyle name="Euro 63 5 6" xfId="24264" xr:uid="{3269F6F2-B986-47BF-BFF2-60DE86E1D2B7}"/>
    <cellStyle name="Euro 63 6" xfId="2217" xr:uid="{E3F32D8B-895B-42F2-BEA4-F0F386499BA4}"/>
    <cellStyle name="Euro 63 6 2" xfId="4879" xr:uid="{72382DCF-71EC-4E6D-9DF8-6D76D8EAE8BA}"/>
    <cellStyle name="Euro 63 6 2 2" xfId="24275" xr:uid="{842C1DAC-1DA9-4823-9225-02510EE236A2}"/>
    <cellStyle name="Euro 63 6 2 3" xfId="24276" xr:uid="{ED67A2E6-1A22-4647-9D4F-CE459581E5EF}"/>
    <cellStyle name="Euro 63 6 2 4" xfId="24277" xr:uid="{BDEA5100-A168-4051-B39F-309D560E2FA7}"/>
    <cellStyle name="Euro 63 6 2 5" xfId="24278" xr:uid="{5AC4D023-D256-471F-A5EE-3228443F45B9}"/>
    <cellStyle name="Euro 63 6 2 6" xfId="24274" xr:uid="{992BBB2E-BBCB-4B93-B887-E9F6E5A76EA7}"/>
    <cellStyle name="Euro 63 6 3" xfId="6777" xr:uid="{B0359EBE-D2C7-4921-9F5A-45EDC790BD0D}"/>
    <cellStyle name="Euro 63 6 3 2" xfId="46256" xr:uid="{2CCA1681-A0C2-41D2-B774-D2C49E1094C1}"/>
    <cellStyle name="Euro 63 6 3 3" xfId="24279" xr:uid="{49A6971A-C2D5-49E1-A650-D7E65151802B}"/>
    <cellStyle name="Euro 63 6 4" xfId="8593" xr:uid="{92F1B3B5-97DB-4C68-820A-108E43D43D3F}"/>
    <cellStyle name="Euro 63 6 4 2" xfId="24280" xr:uid="{ADA4EBD5-25DE-4524-8611-AFD45B320C1D}"/>
    <cellStyle name="Euro 63 6 5" xfId="24281" xr:uid="{EF40C0C4-CF2B-42F3-BE0D-E46E553927E8}"/>
    <cellStyle name="Euro 63 6 6" xfId="24282" xr:uid="{F46638AC-5CF9-4AD8-9CDE-0B502E7AA5C0}"/>
    <cellStyle name="Euro 63 6 7" xfId="24273" xr:uid="{B459AB92-DB42-4F22-A35B-7C788FFD7179}"/>
    <cellStyle name="Euro 63 7" xfId="4874" xr:uid="{5BB49564-DD2F-4ADE-85F9-F5AB2FE73434}"/>
    <cellStyle name="Euro 63 7 2" xfId="24284" xr:uid="{52734B6D-C2A2-4C66-AC1C-B53475DCE4FE}"/>
    <cellStyle name="Euro 63 7 3" xfId="24285" xr:uid="{BC884153-3317-4D64-B18F-6C81D6A2071F}"/>
    <cellStyle name="Euro 63 7 4" xfId="24286" xr:uid="{F4B359DC-F2F9-4B38-ADE5-A22E56976D66}"/>
    <cellStyle name="Euro 63 7 5" xfId="24287" xr:uid="{D2B0E6E1-C448-496D-AAC4-F9F06861F600}"/>
    <cellStyle name="Euro 63 7 6" xfId="24283" xr:uid="{57B94BE4-B10F-40DC-BDBC-918F5414D5EF}"/>
    <cellStyle name="Euro 63 8" xfId="4073" xr:uid="{300BF280-6764-4FC3-B2B1-7337C8437159}"/>
    <cellStyle name="Euro 63 8 2" xfId="43920" xr:uid="{0E1E55AB-9BD2-4E1D-8C83-D7AD02EAC319}"/>
    <cellStyle name="Euro 63 8 3" xfId="24288" xr:uid="{2FFB1645-4EA3-4887-93C4-1F70B3E365A5}"/>
    <cellStyle name="Euro 63 9" xfId="6142" xr:uid="{EBC92984-E3A3-4C12-99C5-8DD505884F99}"/>
    <cellStyle name="Euro 63 9 2" xfId="45825" xr:uid="{204D1429-9E81-4612-BB52-96B840B62D9A}"/>
    <cellStyle name="Euro 63 9 3" xfId="24289" xr:uid="{5BFF3D09-0A6C-4CB2-B5E2-A9B2EAAD0ACB}"/>
    <cellStyle name="Euro 64" xfId="2218" xr:uid="{2FCD97A2-6907-432F-BDA6-2697BF1D8E4A}"/>
    <cellStyle name="Euro 64 10" xfId="8594" xr:uid="{05D02FEC-F943-4823-8573-E2C3191048AE}"/>
    <cellStyle name="Euro 64 10 2" xfId="24291" xr:uid="{D5FA3FDC-93E0-4CA3-AC81-9884F33D69C7}"/>
    <cellStyle name="Euro 64 11" xfId="24292" xr:uid="{C9A2D592-5F38-4813-82BE-F94FE8881882}"/>
    <cellStyle name="Euro 64 12" xfId="24293" xr:uid="{84ACCEB4-8D46-4F4F-A0DD-AF6315197448}"/>
    <cellStyle name="Euro 64 13" xfId="24290" xr:uid="{7BFCBBE0-54BF-4044-B7A9-C85EDF106F72}"/>
    <cellStyle name="Euro 64 2" xfId="2219" xr:uid="{EC1C95DD-E3E7-4E10-9388-90E3609676F5}"/>
    <cellStyle name="Euro 64 2 2" xfId="4881" xr:uid="{E37A983A-957D-40C0-8400-7C64AF55EB83}"/>
    <cellStyle name="Euro 64 2 2 2" xfId="24296" xr:uid="{CA794649-CE1A-44A3-ABA9-6B97AE19A338}"/>
    <cellStyle name="Euro 64 2 2 3" xfId="24297" xr:uid="{59F70CB3-889E-4DDB-8D80-F202E59F6706}"/>
    <cellStyle name="Euro 64 2 2 4" xfId="24298" xr:uid="{E2C62D58-677C-4B7E-AE6A-243C458F60BF}"/>
    <cellStyle name="Euro 64 2 2 5" xfId="24299" xr:uid="{A45FAC08-7F5A-4DEC-A1DB-4987B8F78393}"/>
    <cellStyle name="Euro 64 2 2 6" xfId="24295" xr:uid="{16F123DE-2481-42ED-AB29-67400561A517}"/>
    <cellStyle name="Euro 64 2 3" xfId="6778" xr:uid="{2FCAA152-85EE-4F6B-953A-AD252EC2994B}"/>
    <cellStyle name="Euro 64 2 3 2" xfId="46257" xr:uid="{132B16E0-C6CC-4508-8C5D-48EF81623605}"/>
    <cellStyle name="Euro 64 2 3 3" xfId="24300" xr:uid="{FB63B398-92B4-4069-8F8E-6011F101EC7F}"/>
    <cellStyle name="Euro 64 2 4" xfId="8595" xr:uid="{EC1C4876-B5AA-40AB-B0EB-4689578F5923}"/>
    <cellStyle name="Euro 64 2 4 2" xfId="24301" xr:uid="{12DCD699-3744-4318-B5BA-685A663338C6}"/>
    <cellStyle name="Euro 64 2 5" xfId="24302" xr:uid="{D359BEBD-DE8E-43CA-945F-4B2A074BD8FC}"/>
    <cellStyle name="Euro 64 2 6" xfId="24303" xr:uid="{2FF3E444-3F7C-477A-828F-11F20FCF1A86}"/>
    <cellStyle name="Euro 64 2 7" xfId="24294" xr:uid="{EB2B4EE6-56EF-4D35-8511-80C6693737D9}"/>
    <cellStyle name="Euro 64 3" xfId="2220" xr:uid="{7C02A3D5-546F-4900-AB00-17AF5277EC6E}"/>
    <cellStyle name="Euro 64 3 2" xfId="4882" xr:uid="{C5F2FB59-6461-4791-AECE-2AF608CFE28C}"/>
    <cellStyle name="Euro 64 3 2 2" xfId="24306" xr:uid="{D72E1E41-54BF-40AE-9E69-D5D0FE73B5B1}"/>
    <cellStyle name="Euro 64 3 2 3" xfId="24307" xr:uid="{C0ACBC45-B0CB-4DA3-8FAF-F34DF3731B32}"/>
    <cellStyle name="Euro 64 3 2 4" xfId="24308" xr:uid="{40A4D6D6-8860-4C24-B9C4-F99F66FB35B9}"/>
    <cellStyle name="Euro 64 3 2 5" xfId="24309" xr:uid="{1353139D-4DC0-4B8D-B774-FE85CDCF5B16}"/>
    <cellStyle name="Euro 64 3 2 6" xfId="24305" xr:uid="{BEEACECC-7087-4517-AA46-781856F9B3B7}"/>
    <cellStyle name="Euro 64 3 3" xfId="6779" xr:uid="{7621D709-33DF-435B-929C-BF1219011625}"/>
    <cellStyle name="Euro 64 3 3 2" xfId="46258" xr:uid="{EBF8A31B-29AD-4B1A-903C-800F8F211988}"/>
    <cellStyle name="Euro 64 3 3 3" xfId="24310" xr:uid="{0E8AC73B-0515-4D1D-B306-B6897CBB70B6}"/>
    <cellStyle name="Euro 64 3 4" xfId="8596" xr:uid="{D2132C84-7AF2-4BED-99D3-020BC62F3A90}"/>
    <cellStyle name="Euro 64 3 4 2" xfId="24311" xr:uid="{5D790910-DE5E-4F36-B01E-3997FD910156}"/>
    <cellStyle name="Euro 64 3 5" xfId="24312" xr:uid="{21726F73-C8CC-48C9-98EA-5C3683EB029D}"/>
    <cellStyle name="Euro 64 3 6" xfId="24313" xr:uid="{7FF283E4-D7CE-47A6-BD42-791348774CE9}"/>
    <cellStyle name="Euro 64 3 7" xfId="24304" xr:uid="{A13C248A-50AE-49B0-B481-8DED4A770292}"/>
    <cellStyle name="Euro 64 4" xfId="2221" xr:uid="{D0F63244-A9A0-4AAF-A0A2-7D2E14D4E7A4}"/>
    <cellStyle name="Euro 64 4 2" xfId="4883" xr:uid="{AA7CFA2F-DC58-4BD8-AFA8-5C77F17FEE79}"/>
    <cellStyle name="Euro 64 4 2 2" xfId="24316" xr:uid="{A1C03753-DC89-4D68-90D4-F0A46DC913BC}"/>
    <cellStyle name="Euro 64 4 2 3" xfId="24317" xr:uid="{F572C23F-2E17-41CA-8434-2150CDE4FBC3}"/>
    <cellStyle name="Euro 64 4 2 4" xfId="24318" xr:uid="{FB1AF944-CC0A-4982-98D8-DA438E6DAD33}"/>
    <cellStyle name="Euro 64 4 2 5" xfId="24319" xr:uid="{FCE99829-3E8F-46FF-944D-8CE6A025C55C}"/>
    <cellStyle name="Euro 64 4 2 6" xfId="24315" xr:uid="{ADFD2C3D-C45A-432C-9E42-BEB1F8BD2DB5}"/>
    <cellStyle name="Euro 64 4 3" xfId="6780" xr:uid="{9D930EA7-6634-4E30-B967-B620590DA587}"/>
    <cellStyle name="Euro 64 4 3 2" xfId="46259" xr:uid="{2332CE66-2556-4B61-B9F0-E2EC591A8376}"/>
    <cellStyle name="Euro 64 4 3 3" xfId="24320" xr:uid="{0700413D-BE7F-4E43-ABC4-923CBB80A1C2}"/>
    <cellStyle name="Euro 64 4 4" xfId="8597" xr:uid="{1FE15C3D-77FA-47BA-BF75-AE1A55989F14}"/>
    <cellStyle name="Euro 64 4 4 2" xfId="24321" xr:uid="{AA4ECDB6-D746-4FD4-9322-28A919F57CEC}"/>
    <cellStyle name="Euro 64 4 5" xfId="24322" xr:uid="{24AFE6ED-1B2F-4836-8C02-D89E83787CFA}"/>
    <cellStyle name="Euro 64 4 6" xfId="24323" xr:uid="{1611BD7E-2D5C-41F7-BE96-BCD86ADC8894}"/>
    <cellStyle name="Euro 64 4 7" xfId="24314" xr:uid="{2676621B-E6D7-461B-82E7-B98ACA999243}"/>
    <cellStyle name="Euro 64 5" xfId="2222" xr:uid="{E8F7B82F-F7E6-4053-9EEA-285156722E8C}"/>
    <cellStyle name="Euro 64 5 2" xfId="4884" xr:uid="{6659B45B-59AB-4A9E-AD73-46C00554B837}"/>
    <cellStyle name="Euro 64 5 2 2" xfId="24326" xr:uid="{AD03D9E3-72E3-43E4-86E5-25B9A12A1D13}"/>
    <cellStyle name="Euro 64 5 2 3" xfId="24327" xr:uid="{BE73543E-A27B-4968-8B19-8A5430F69C16}"/>
    <cellStyle name="Euro 64 5 2 4" xfId="24328" xr:uid="{D40033D2-DAE8-4369-8428-DC6B7545EDAD}"/>
    <cellStyle name="Euro 64 5 2 5" xfId="24329" xr:uid="{339D0A48-3B73-41EB-9720-8742D667899F}"/>
    <cellStyle name="Euro 64 5 2 6" xfId="24325" xr:uid="{2F35735B-005D-4DC3-A349-88851A396AEC}"/>
    <cellStyle name="Euro 64 5 3" xfId="6781" xr:uid="{0C2B03C9-96AC-471D-9CBB-91EE070AA99F}"/>
    <cellStyle name="Euro 64 5 3 2" xfId="46260" xr:uid="{08EABD13-1230-4CCA-BDA5-C4F012AED927}"/>
    <cellStyle name="Euro 64 5 3 3" xfId="24330" xr:uid="{71DF1FBF-3AEF-400D-80B8-2A8FA0412E58}"/>
    <cellStyle name="Euro 64 5 4" xfId="8598" xr:uid="{10127B40-A464-43CE-8743-AAB8E74E0058}"/>
    <cellStyle name="Euro 64 5 4 2" xfId="24331" xr:uid="{2CC13C39-F704-4384-8909-243051BD59BE}"/>
    <cellStyle name="Euro 64 5 5" xfId="24332" xr:uid="{43A639D0-04CB-48AD-9833-6ED450F3720B}"/>
    <cellStyle name="Euro 64 5 6" xfId="24333" xr:uid="{89988159-ACA9-4F96-B616-238787A7FCA5}"/>
    <cellStyle name="Euro 64 5 7" xfId="24324" xr:uid="{46364A1C-AD14-48D4-98E3-8398D7FA5713}"/>
    <cellStyle name="Euro 64 6" xfId="2223" xr:uid="{C7FA6412-3185-44C7-B840-6170FD968E55}"/>
    <cellStyle name="Euro 64 6 2" xfId="4885" xr:uid="{FC2C054F-C7C3-45AC-894A-3D522AE7444A}"/>
    <cellStyle name="Euro 64 6 2 2" xfId="24336" xr:uid="{75316013-D8CB-4BD1-8DFB-F1213FC6AD07}"/>
    <cellStyle name="Euro 64 6 2 3" xfId="24337" xr:uid="{9C1E32F5-710F-4EB1-8570-06740FA88AE8}"/>
    <cellStyle name="Euro 64 6 2 4" xfId="24338" xr:uid="{C8A40A01-F8D6-4EE0-99E1-812ECE8F9C6A}"/>
    <cellStyle name="Euro 64 6 2 5" xfId="24339" xr:uid="{4AF7BC73-37E6-4D9A-A6F5-D75DCE72F411}"/>
    <cellStyle name="Euro 64 6 2 6" xfId="24335" xr:uid="{37289E13-5BD3-4513-ADAA-153C910184EF}"/>
    <cellStyle name="Euro 64 6 3" xfId="6782" xr:uid="{0F4D310D-159C-43BA-84A2-1638811A6195}"/>
    <cellStyle name="Euro 64 6 3 2" xfId="46261" xr:uid="{21FEF044-C855-4E74-B5AD-EE67604038AD}"/>
    <cellStyle name="Euro 64 6 3 3" xfId="24340" xr:uid="{6629CB63-C250-46F8-87C1-EE162172AEBE}"/>
    <cellStyle name="Euro 64 6 4" xfId="8599" xr:uid="{2D245853-F482-4656-97B0-80DD4A0701FC}"/>
    <cellStyle name="Euro 64 6 4 2" xfId="24341" xr:uid="{66D59D16-DB0E-4666-8710-C430151862E9}"/>
    <cellStyle name="Euro 64 6 5" xfId="24342" xr:uid="{0EB64891-14FF-4F62-9095-D93AA0F19758}"/>
    <cellStyle name="Euro 64 6 6" xfId="24343" xr:uid="{7F037118-EFD4-4081-8A19-E29913B24A42}"/>
    <cellStyle name="Euro 64 6 7" xfId="24334" xr:uid="{0DCCAB0B-D025-4DD4-A1C6-A247A14F4B07}"/>
    <cellStyle name="Euro 64 7" xfId="4880" xr:uid="{C8A5AAEE-3DE6-4C66-8DB2-9723AF46666D}"/>
    <cellStyle name="Euro 64 7 2" xfId="24345" xr:uid="{B4F18B9C-2CB2-4A03-9E8F-C79CE2DA0B4A}"/>
    <cellStyle name="Euro 64 7 3" xfId="24346" xr:uid="{5947B949-1E5E-4A1C-B2F8-B07BFD2664DB}"/>
    <cellStyle name="Euro 64 7 4" xfId="24347" xr:uid="{BFFB9C50-459A-4D20-A08D-1FBCE9449006}"/>
    <cellStyle name="Euro 64 7 5" xfId="24348" xr:uid="{51709D84-3A32-49F9-A95B-6543493039A0}"/>
    <cellStyle name="Euro 64 7 6" xfId="24344" xr:uid="{A170949B-0110-4B0F-914C-C6A692E65470}"/>
    <cellStyle name="Euro 64 8" xfId="4074" xr:uid="{E92253F7-3B11-468D-82A6-F3A53D2A0E23}"/>
    <cellStyle name="Euro 64 8 2" xfId="43921" xr:uid="{5CB9C1FC-9673-4A88-B1F4-DBDEC286251F}"/>
    <cellStyle name="Euro 64 8 3" xfId="24349" xr:uid="{59100982-95AE-4685-9E8F-5C8B0DC72A04}"/>
    <cellStyle name="Euro 64 9" xfId="6143" xr:uid="{999832C5-98A7-490E-A5D0-2D24F4E2CF6F}"/>
    <cellStyle name="Euro 64 9 2" xfId="45826" xr:uid="{C310899A-57B1-4F3F-BA75-FE540AADC2B8}"/>
    <cellStyle name="Euro 64 9 3" xfId="24350" xr:uid="{13E53B6B-9480-4876-ACA1-EE3CFC572E6C}"/>
    <cellStyle name="Euro 65" xfId="2224" xr:uid="{78FD73E7-49E9-48E2-BB47-7AA7D180D962}"/>
    <cellStyle name="Euro 65 2" xfId="4886" xr:uid="{B165F894-E77C-4EFC-89C5-4519751B2ACD}"/>
    <cellStyle name="Euro 65 2 2" xfId="24353" xr:uid="{3F503310-7715-4316-8272-591FC86B537B}"/>
    <cellStyle name="Euro 65 2 3" xfId="24354" xr:uid="{356CAEF0-B3AA-47AB-AE32-98CF2B464945}"/>
    <cellStyle name="Euro 65 2 4" xfId="24355" xr:uid="{79A90EF0-3587-4D4F-AAA3-D1A9B84E045F}"/>
    <cellStyle name="Euro 65 2 5" xfId="24356" xr:uid="{C7647F10-9E7E-4CAA-A9C5-4F573C41EEE7}"/>
    <cellStyle name="Euro 65 2 6" xfId="24352" xr:uid="{C1D59CB1-14FF-4D9F-9C4F-279EE4640FE2}"/>
    <cellStyle name="Euro 65 3" xfId="4075" xr:uid="{763AF583-DC9A-437C-A833-ECE2F2380661}"/>
    <cellStyle name="Euro 65 3 2" xfId="43922" xr:uid="{93F8DBE9-DA3C-421F-8002-A50258FCF736}"/>
    <cellStyle name="Euro 65 3 3" xfId="24357" xr:uid="{9BBF5715-A8B7-4578-9D22-F4C38E0570F2}"/>
    <cellStyle name="Euro 65 4" xfId="6144" xr:uid="{CB22A291-673A-4165-819D-44C1FD624351}"/>
    <cellStyle name="Euro 65 4 2" xfId="45827" xr:uid="{E7B026F7-51F4-4050-83DD-B41B785AD10D}"/>
    <cellStyle name="Euro 65 4 3" xfId="24358" xr:uid="{AACDC9B8-9B37-47D2-8A78-BEB5152E656B}"/>
    <cellStyle name="Euro 65 5" xfId="8600" xr:uid="{298A22E4-DDE2-4A48-B36F-4C5FB84AD635}"/>
    <cellStyle name="Euro 65 5 2" xfId="24359" xr:uid="{5A11CB24-DFF6-4AD3-9F83-48B373AFCB9B}"/>
    <cellStyle name="Euro 65 6" xfId="24360" xr:uid="{DF61CE2E-3C4C-41CD-961C-57FBB739C939}"/>
    <cellStyle name="Euro 65 7" xfId="24361" xr:uid="{A95B58D6-6B6C-43B1-A487-B791F7CB9C24}"/>
    <cellStyle name="Euro 65 8" xfId="24351" xr:uid="{5CB83D2F-9810-4AED-BE2E-7B7A892BE80D}"/>
    <cellStyle name="Euro 66" xfId="2225" xr:uid="{143CF21A-4617-454F-A151-5C72DEBC1B99}"/>
    <cellStyle name="Euro 66 2" xfId="4887" xr:uid="{BD2A4C33-35EF-49E0-8060-6AF351234D43}"/>
    <cellStyle name="Euro 66 2 2" xfId="24364" xr:uid="{CB651AC1-A354-4E35-8B1D-5E96C0120D38}"/>
    <cellStyle name="Euro 66 2 3" xfId="24365" xr:uid="{C587DF7F-4428-4565-A543-A592423DB90C}"/>
    <cellStyle name="Euro 66 2 4" xfId="24366" xr:uid="{5D72BB13-AB2E-4265-9984-4E891C49E0C9}"/>
    <cellStyle name="Euro 66 2 5" xfId="24367" xr:uid="{AAC9E0B4-88AC-4A43-90A8-308A21743A07}"/>
    <cellStyle name="Euro 66 2 6" xfId="24363" xr:uid="{6DD8ACB5-1323-48FD-9257-E63B9F9D9C10}"/>
    <cellStyle name="Euro 66 3" xfId="4076" xr:uid="{3AC4148A-C3A7-4F11-BF38-50FCD5D9D2C4}"/>
    <cellStyle name="Euro 66 3 2" xfId="43923" xr:uid="{BC104C57-1E9D-4B17-91F6-144CBE24FBA6}"/>
    <cellStyle name="Euro 66 3 3" xfId="24368" xr:uid="{BEC529EF-3EB3-45D9-B481-0E5F65C43DBD}"/>
    <cellStyle name="Euro 66 4" xfId="6145" xr:uid="{974E0ED4-EBFB-4F8E-85E9-742BFBAD4FC6}"/>
    <cellStyle name="Euro 66 4 2" xfId="45828" xr:uid="{0FA3404F-9BE9-450C-A851-EE2E3E6C6390}"/>
    <cellStyle name="Euro 66 4 3" xfId="24369" xr:uid="{914CCF98-D4DC-4BE6-A1C2-161E1B92D394}"/>
    <cellStyle name="Euro 66 5" xfId="8601" xr:uid="{20E15DEE-930F-4327-A12E-557B9C5F56B9}"/>
    <cellStyle name="Euro 66 5 2" xfId="24370" xr:uid="{107F93C7-3063-42B1-B880-1DA55A7366B1}"/>
    <cellStyle name="Euro 66 6" xfId="24371" xr:uid="{08878F9B-AB2B-4D82-8A3A-2B69339CAA78}"/>
    <cellStyle name="Euro 66 7" xfId="24372" xr:uid="{06B9C078-02B3-4D9C-89EA-DE560DD969B9}"/>
    <cellStyle name="Euro 66 8" xfId="24362" xr:uid="{4208BF0A-5792-40C2-833F-A3A9CE31F292}"/>
    <cellStyle name="Euro 67" xfId="2226" xr:uid="{9EF425AE-4150-4D71-A806-EE57817D5382}"/>
    <cellStyle name="Euro 67 2" xfId="4888" xr:uid="{E3C4D39A-A05F-458A-8EDF-880AF11F2858}"/>
    <cellStyle name="Euro 67 2 2" xfId="24375" xr:uid="{3B019F5A-7F16-4456-AB32-DC4C12AC2D84}"/>
    <cellStyle name="Euro 67 2 3" xfId="24376" xr:uid="{800BCCD3-BA79-423B-BA1D-D15EE4E8B15D}"/>
    <cellStyle name="Euro 67 2 4" xfId="24377" xr:uid="{104B57CE-90F2-4B7D-A3F1-150FF09BC690}"/>
    <cellStyle name="Euro 67 2 5" xfId="24378" xr:uid="{0D5504B1-FF15-44B8-8D0A-B043B5E1D425}"/>
    <cellStyle name="Euro 67 2 6" xfId="24374" xr:uid="{22C7060E-5E9B-4369-837E-6AD8D812B772}"/>
    <cellStyle name="Euro 67 3" xfId="4077" xr:uid="{7E1C7728-45C3-4EAB-9294-2DB761A83750}"/>
    <cellStyle name="Euro 67 3 2" xfId="43924" xr:uid="{52DE08D5-1815-445A-97A0-67A2F0A6866A}"/>
    <cellStyle name="Euro 67 3 3" xfId="24379" xr:uid="{03226C14-5FFB-4F7D-BF40-8C0E55AAACF4}"/>
    <cellStyle name="Euro 67 4" xfId="6146" xr:uid="{4D04627C-5750-43DD-8A40-A1A4B276DCBE}"/>
    <cellStyle name="Euro 67 4 2" xfId="45829" xr:uid="{9787B508-CB4F-4D50-B565-F4968BAC0338}"/>
    <cellStyle name="Euro 67 4 3" xfId="24380" xr:uid="{2F10E3B7-2FEF-49B4-8807-D0B301F108FD}"/>
    <cellStyle name="Euro 67 5" xfId="8602" xr:uid="{92A28F5F-3AED-4AAE-8B63-6E36C0109DF6}"/>
    <cellStyle name="Euro 67 5 2" xfId="24381" xr:uid="{EB481A17-BFA3-4A5E-AC3E-4AD2B62B2E29}"/>
    <cellStyle name="Euro 67 6" xfId="24382" xr:uid="{96DC37FC-68EB-470B-B574-E0FAA45CC5CC}"/>
    <cellStyle name="Euro 67 7" xfId="24383" xr:uid="{2C7AC61F-BA6C-4B1F-84C5-C5A6DCD147D1}"/>
    <cellStyle name="Euro 67 8" xfId="24373" xr:uid="{DB0D0EC6-32C0-4382-8054-EA354C37A23F}"/>
    <cellStyle name="Euro 68" xfId="2227" xr:uid="{26335B2F-F8A2-4B15-AAAC-37D632F8343F}"/>
    <cellStyle name="Euro 68 2" xfId="4889" xr:uid="{E2A8584C-17E2-456D-831C-4CA4F4EF4D3C}"/>
    <cellStyle name="Euro 68 2 2" xfId="24386" xr:uid="{B817FD27-E7DA-4364-A32B-0689AD8B3082}"/>
    <cellStyle name="Euro 68 2 3" xfId="24387" xr:uid="{74FED1EF-872B-407C-9CC0-A7C0C2160F7F}"/>
    <cellStyle name="Euro 68 2 4" xfId="24388" xr:uid="{F50A5A36-2EBC-4634-922B-65C8F5D69AE7}"/>
    <cellStyle name="Euro 68 2 5" xfId="24389" xr:uid="{6EB5DD7F-3E15-4BCF-A70E-A72D473A38DB}"/>
    <cellStyle name="Euro 68 2 6" xfId="24385" xr:uid="{21227451-9580-4E26-9C0D-9FC05FB2D3C1}"/>
    <cellStyle name="Euro 68 3" xfId="4078" xr:uid="{841DE644-E060-4D48-BBB2-4C7812D1E1DC}"/>
    <cellStyle name="Euro 68 3 2" xfId="43925" xr:uid="{06A9B462-F846-45AE-AE94-137C9EBAAB5B}"/>
    <cellStyle name="Euro 68 3 3" xfId="24390" xr:uid="{4004BDD0-7BC2-4D83-9E80-C7A52E334578}"/>
    <cellStyle name="Euro 68 4" xfId="6147" xr:uid="{103E2244-C8AB-4438-9F28-A47C634ECF7E}"/>
    <cellStyle name="Euro 68 4 2" xfId="45830" xr:uid="{9C5754F0-08C7-4977-A52E-DF0064A18DF7}"/>
    <cellStyle name="Euro 68 4 3" xfId="24391" xr:uid="{B388A7CF-307D-4215-8443-FB1CCF6FF55D}"/>
    <cellStyle name="Euro 68 5" xfId="8603" xr:uid="{B8D8EC83-7452-4AD5-914A-298CE5C84283}"/>
    <cellStyle name="Euro 68 5 2" xfId="24392" xr:uid="{9E878CE9-EC80-4A89-8C40-9D56F231809A}"/>
    <cellStyle name="Euro 68 6" xfId="24393" xr:uid="{6FABF7A2-CF55-4D3C-855C-93B1BA2AAC07}"/>
    <cellStyle name="Euro 68 7" xfId="24394" xr:uid="{0AA0FA8F-3BE6-4C91-A0B3-DFF2E2ADCDC1}"/>
    <cellStyle name="Euro 68 8" xfId="24384" xr:uid="{817C17F7-6C52-445F-B5AF-9E4D9D401BE5}"/>
    <cellStyle name="Euro 69" xfId="2228" xr:uid="{34EAF298-53E5-40D8-BBD0-1382DA241F79}"/>
    <cellStyle name="Euro 69 10" xfId="24395" xr:uid="{279044A0-A4A3-47C0-9657-DABCF3F7FF82}"/>
    <cellStyle name="Euro 69 2" xfId="2229" xr:uid="{BD94947A-728B-42C5-8340-C795E15E2C79}"/>
    <cellStyle name="Euro 69 2 2" xfId="4891" xr:uid="{1C54CD9E-49E2-4833-9012-B1CE7B198038}"/>
    <cellStyle name="Euro 69 2 2 2" xfId="43614" xr:uid="{911BF452-55E6-48EE-AACF-A0A731769C23}"/>
    <cellStyle name="Euro 69 2 2 3" xfId="24397" xr:uid="{4DE09A14-C7FB-4340-8EFB-310091AEF6D5}"/>
    <cellStyle name="Euro 69 2 3" xfId="4080" xr:uid="{EDB701CD-23B5-4983-ABCE-504EA36DCAC2}"/>
    <cellStyle name="Euro 69 2 3 2" xfId="43927" xr:uid="{F866BEC5-C052-486B-9A71-96F791A2CBBB}"/>
    <cellStyle name="Euro 69 2 3 3" xfId="24398" xr:uid="{64990E00-4710-4F82-9B77-3657960EF63D}"/>
    <cellStyle name="Euro 69 2 4" xfId="6149" xr:uid="{7E9CC050-2CCC-4970-B10F-2172259E7944}"/>
    <cellStyle name="Euro 69 2 4 2" xfId="45832" xr:uid="{32D42357-6448-4448-8F6E-FD4780BDCC22}"/>
    <cellStyle name="Euro 69 2 4 3" xfId="24399" xr:uid="{A566EA68-6B3B-49ED-8807-34470C037681}"/>
    <cellStyle name="Euro 69 2 5" xfId="8605" xr:uid="{E89D9296-3CA0-4477-89A0-B722C03E3859}"/>
    <cellStyle name="Euro 69 2 5 2" xfId="24400" xr:uid="{D6D1E59D-BA9A-4670-850F-D48A0EB886C4}"/>
    <cellStyle name="Euro 69 2 6" xfId="24401" xr:uid="{62A7FB14-F330-46AB-BE4C-EBCF814D51F4}"/>
    <cellStyle name="Euro 69 2 7" xfId="24396" xr:uid="{7DDC082B-ED68-46BD-A256-15AE8CC3635E}"/>
    <cellStyle name="Euro 69 3" xfId="2230" xr:uid="{23FB37A7-C4DF-422B-8614-482C6AF9F2FD}"/>
    <cellStyle name="Euro 69 3 10" xfId="24402" xr:uid="{A26D2006-B379-48A5-A3F5-7582D02318EE}"/>
    <cellStyle name="Euro 69 3 2" xfId="4892" xr:uid="{BF303411-B50A-4893-AEC1-57D0A5FD2DDB}"/>
    <cellStyle name="Euro 69 3 2 2" xfId="24404" xr:uid="{4453944E-DEBC-42F0-81F1-F3D559935EF8}"/>
    <cellStyle name="Euro 69 3 2 3" xfId="24405" xr:uid="{7859CF3E-E4DF-4F2E-8A5A-F46B8033D058}"/>
    <cellStyle name="Euro 69 3 2 4" xfId="24406" xr:uid="{D4067925-FEB7-4257-854B-566B6887AD6E}"/>
    <cellStyle name="Euro 69 3 2 5" xfId="24407" xr:uid="{9A0C0900-6079-4A62-9BC9-4528245B1CF9}"/>
    <cellStyle name="Euro 69 3 2 6" xfId="24403" xr:uid="{0F19A56B-6316-4BBF-AFE3-C645CB00F5CE}"/>
    <cellStyle name="Euro 69 3 3" xfId="4081" xr:uid="{6C5F5F96-99B9-434B-8988-D2C25645F879}"/>
    <cellStyle name="Euro 69 3 3 2" xfId="43928" xr:uid="{645BF7E9-E59E-4CC0-A1DB-6F18EFE99017}"/>
    <cellStyle name="Euro 69 3 3 3" xfId="24408" xr:uid="{3E072D76-882A-4F83-8A02-7A9780E78DA1}"/>
    <cellStyle name="Euro 69 3 4" xfId="6150" xr:uid="{DD3933B8-865A-4A5F-A6F7-10147AA4F7BD}"/>
    <cellStyle name="Euro 69 3 4 2" xfId="45833" xr:uid="{C57CB4F5-CE9E-4D8A-9579-93C66EA63710}"/>
    <cellStyle name="Euro 69 3 4 3" xfId="24409" xr:uid="{7B6AFDB0-3513-482A-AAC7-B5FA7D01FDEE}"/>
    <cellStyle name="Euro 69 3 5" xfId="8606" xr:uid="{2DB96D27-FC65-462E-B8A2-C2CB905E7AF9}"/>
    <cellStyle name="Euro 69 3 5 2" xfId="24410" xr:uid="{C2E55B49-1293-48AC-968A-D820A55E8D27}"/>
    <cellStyle name="Euro 69 3 6" xfId="24411" xr:uid="{E52570A4-379D-43D1-A3BB-6750FE224B0D}"/>
    <cellStyle name="Euro 69 3 7" xfId="24412" xr:uid="{D516FC77-E3CA-4B83-9ED7-F1661DE1283D}"/>
    <cellStyle name="Euro 69 3 8" xfId="24413" xr:uid="{3FBCBBFB-6107-4D44-9701-CB4C023BB5E0}"/>
    <cellStyle name="Euro 69 3 9" xfId="24414" xr:uid="{7CDAEFA2-90C2-458A-A7EE-E7C680E6E44A}"/>
    <cellStyle name="Euro 69 4" xfId="4890" xr:uid="{C067DDDF-C485-4FFD-B186-2AAD9AA34489}"/>
    <cellStyle name="Euro 69 4 2" xfId="24416" xr:uid="{F618DA6A-8C89-4F81-80B6-C9F395D310B5}"/>
    <cellStyle name="Euro 69 4 3" xfId="24417" xr:uid="{1DFAF74C-24D2-4C5D-A56C-BD580ECCD1ED}"/>
    <cellStyle name="Euro 69 4 4" xfId="24418" xr:uid="{91355CE5-FDF5-4FE6-B71B-3300306FCEB1}"/>
    <cellStyle name="Euro 69 4 5" xfId="24419" xr:uid="{83CA98C3-DD83-4D91-95DB-63E66E536F40}"/>
    <cellStyle name="Euro 69 4 6" xfId="24415" xr:uid="{34C4EF9E-A87A-4D64-BD15-849CBC56D9F1}"/>
    <cellStyle name="Euro 69 5" xfId="4079" xr:uid="{8E8D465B-0A17-410E-849A-9E2F53ACDA23}"/>
    <cellStyle name="Euro 69 5 2" xfId="43926" xr:uid="{CC38273D-69EB-4A4C-99D6-0DE1C31C2203}"/>
    <cellStyle name="Euro 69 5 3" xfId="24420" xr:uid="{C2B79DE7-5BAF-41C5-9E04-A276D171D134}"/>
    <cellStyle name="Euro 69 6" xfId="6148" xr:uid="{7DCEF34D-CC5F-49EA-A67E-9577581AD7B3}"/>
    <cellStyle name="Euro 69 6 2" xfId="45831" xr:uid="{34CA92DD-62A1-4B14-9C71-0F10B89E054E}"/>
    <cellStyle name="Euro 69 6 3" xfId="24421" xr:uid="{7AD6C74A-6238-4513-B0DC-DA9840D051B6}"/>
    <cellStyle name="Euro 69 7" xfId="8604" xr:uid="{FC6E5071-EB5C-4FC2-9039-73B581DA57A2}"/>
    <cellStyle name="Euro 69 7 2" xfId="24422" xr:uid="{EABB6D4F-500E-4BFD-8ADC-23B4F3145512}"/>
    <cellStyle name="Euro 69 8" xfId="24423" xr:uid="{0FB0F3BC-71DF-4C94-AC12-5287394EA5A8}"/>
    <cellStyle name="Euro 69 9" xfId="24424" xr:uid="{30AEE827-8682-4D30-B892-8CF037F0798D}"/>
    <cellStyle name="Euro 7" xfId="2231" xr:uid="{9E25B4A5-90B1-45B5-8B4D-A960484A4F17}"/>
    <cellStyle name="Euro 7 10" xfId="24426" xr:uid="{DB8FA178-ACDE-4712-AA52-CA3EE6CBB1B1}"/>
    <cellStyle name="Euro 7 11" xfId="24427" xr:uid="{804B4472-4489-4672-A0CA-BAE893CB70C3}"/>
    <cellStyle name="Euro 7 12" xfId="24425" xr:uid="{25B9D0A8-3C57-428F-B2D7-760514734966}"/>
    <cellStyle name="Euro 7 2" xfId="2232" xr:uid="{2E2AF6F3-2AB4-47A9-9D4A-85EAAD2E5939}"/>
    <cellStyle name="Euro 7 2 10" xfId="24428" xr:uid="{AE5BFE66-11BD-4A76-8B27-410EE2388EB6}"/>
    <cellStyle name="Euro 7 2 2" xfId="2233" xr:uid="{AC891D60-E03E-4283-81C4-68896D30DC98}"/>
    <cellStyle name="Euro 7 2 2 2" xfId="4895" xr:uid="{D7B9DB15-A508-498F-B06D-3304184E0DB3}"/>
    <cellStyle name="Euro 7 2 2 2 2" xfId="24431" xr:uid="{F4F4D6BD-F263-4D04-A17A-03D5669D46A1}"/>
    <cellStyle name="Euro 7 2 2 2 3" xfId="24432" xr:uid="{2A6392DD-2FBD-49CD-9C7C-67774D5BCCB7}"/>
    <cellStyle name="Euro 7 2 2 2 4" xfId="24433" xr:uid="{D4238DEC-0493-44EB-BDC1-B806CDADC50A}"/>
    <cellStyle name="Euro 7 2 2 2 5" xfId="24434" xr:uid="{6EE781C7-8E50-4FD3-8568-CDEA8D3BF4A0}"/>
    <cellStyle name="Euro 7 2 2 2 6" xfId="24430" xr:uid="{9AD31043-717C-4872-B41D-75FD2C115E57}"/>
    <cellStyle name="Euro 7 2 2 3" xfId="6783" xr:uid="{2945A049-0EEA-4E06-B66A-DC14941FF095}"/>
    <cellStyle name="Euro 7 2 2 3 2" xfId="24436" xr:uid="{0FCA9F8D-56A1-4FEF-A656-C8A09FE0E598}"/>
    <cellStyle name="Euro 7 2 2 3 3" xfId="24437" xr:uid="{C5A2FF0D-2EA3-4A4C-950E-440D7021BCA0}"/>
    <cellStyle name="Euro 7 2 2 3 4" xfId="24438" xr:uid="{BFE527FB-3388-4BE0-989D-4BA4AA52F613}"/>
    <cellStyle name="Euro 7 2 2 3 5" xfId="24439" xr:uid="{E44D401D-6DEE-4C18-B670-958AB0CB3A5E}"/>
    <cellStyle name="Euro 7 2 2 3 6" xfId="24435" xr:uid="{8394C9CD-1520-4A50-B516-3A5E95DAD539}"/>
    <cellStyle name="Euro 7 2 2 3 7" xfId="46262" xr:uid="{5ECF3DA3-7656-43E6-8BCE-4CD9F2E0B030}"/>
    <cellStyle name="Euro 7 2 2 3 8" xfId="16407" xr:uid="{C01037E4-F6BC-494B-98AF-7E73B3D4CFD1}"/>
    <cellStyle name="Euro 7 2 2 4" xfId="8609" xr:uid="{82B9F8A1-2BFB-4C0F-8270-84D60E10AE9D}"/>
    <cellStyle name="Euro 7 2 2 4 2" xfId="24440" xr:uid="{0E65CE62-3563-428E-9E8F-E93C6A7F0CAB}"/>
    <cellStyle name="Euro 7 2 2 5" xfId="24441" xr:uid="{EAEADAFC-A814-4ED5-BD16-BA8EE3A73299}"/>
    <cellStyle name="Euro 7 2 2 6" xfId="24442" xr:uid="{0FC3EB80-2C85-4835-8DC1-F8895D05BF45}"/>
    <cellStyle name="Euro 7 2 2 7" xfId="24443" xr:uid="{7F91FB1C-8DAE-4D36-9972-3F568F9A6BA0}"/>
    <cellStyle name="Euro 7 2 2 8" xfId="24429" xr:uid="{0FE856E9-70F1-4C09-9337-9A8D2E2F5770}"/>
    <cellStyle name="Euro 7 2 3" xfId="2234" xr:uid="{1ABBAE9B-A2AC-4BB8-98C4-391C37298F9E}"/>
    <cellStyle name="Euro 7 2 3 2" xfId="4896" xr:uid="{3D7B19D9-C75F-4ED8-B44B-FBDE14ED2A5E}"/>
    <cellStyle name="Euro 7 2 3 2 2" xfId="24446" xr:uid="{5FAADFAD-5F85-4AB7-9037-87020F1AE282}"/>
    <cellStyle name="Euro 7 2 3 2 3" xfId="24447" xr:uid="{42B74E25-4FE8-45E5-A2DC-6617D81C4576}"/>
    <cellStyle name="Euro 7 2 3 2 4" xfId="24448" xr:uid="{B80CA1AC-0288-460B-BC53-5053914602FF}"/>
    <cellStyle name="Euro 7 2 3 2 5" xfId="24449" xr:uid="{0F31AAFB-19BE-432B-A855-73E1B6B02FBD}"/>
    <cellStyle name="Euro 7 2 3 2 6" xfId="24445" xr:uid="{33B8CFB4-1D09-4C14-8459-3872D5B76412}"/>
    <cellStyle name="Euro 7 2 3 3" xfId="6784" xr:uid="{F5595650-AC44-46CA-A60F-7393BCFF0CA6}"/>
    <cellStyle name="Euro 7 2 3 3 2" xfId="46263" xr:uid="{6103E6A5-0D04-4ED9-B986-B2E6ECECBC71}"/>
    <cellStyle name="Euro 7 2 3 3 3" xfId="24450" xr:uid="{C7A428E1-CE0E-49D4-AD0D-DBB046951594}"/>
    <cellStyle name="Euro 7 2 3 4" xfId="8610" xr:uid="{EBE37E0F-DC10-47E7-985F-5C7DF6F70C91}"/>
    <cellStyle name="Euro 7 2 3 4 2" xfId="24451" xr:uid="{62C4A0B0-97F3-4B1E-B0F8-65D2194ACBF9}"/>
    <cellStyle name="Euro 7 2 3 5" xfId="24452" xr:uid="{9338F7B2-5EC6-4A61-B073-0B6007181D74}"/>
    <cellStyle name="Euro 7 2 3 6" xfId="24453" xr:uid="{F8B64413-20AD-4922-89B3-E7793A82C0DC}"/>
    <cellStyle name="Euro 7 2 3 7" xfId="24444" xr:uid="{B0E0D9F4-3525-4B9E-85CE-010651644FDF}"/>
    <cellStyle name="Euro 7 2 4" xfId="2235" xr:uid="{7788B976-B894-44BB-B6D2-6439CB32A734}"/>
    <cellStyle name="Euro 7 2 4 2" xfId="4897" xr:uid="{08600046-8EE0-4837-9EC4-55784EB4AE1A}"/>
    <cellStyle name="Euro 7 2 4 2 2" xfId="44317" xr:uid="{A86D71DD-8900-4B6B-A714-3CAC24530866}"/>
    <cellStyle name="Euro 7 2 4 2 3" xfId="24455" xr:uid="{1F2F8E37-9D8A-49AD-9E0A-2763E317184F}"/>
    <cellStyle name="Euro 7 2 4 3" xfId="6785" xr:uid="{799ED4E7-7017-487A-87CF-920B89C65356}"/>
    <cellStyle name="Euro 7 2 4 3 2" xfId="46264" xr:uid="{2B9079F4-CD3D-4545-A96B-70D30725795B}"/>
    <cellStyle name="Euro 7 2 4 3 3" xfId="24456" xr:uid="{23A38D65-CC77-4E0A-BD9B-2D0EECB46C87}"/>
    <cellStyle name="Euro 7 2 4 4" xfId="8611" xr:uid="{274E9902-936B-441F-B5E1-0744A03AFF2A}"/>
    <cellStyle name="Euro 7 2 4 4 2" xfId="24457" xr:uid="{ADEC7CD9-26C9-46A0-9AA9-DB18100363E3}"/>
    <cellStyle name="Euro 7 2 4 5" xfId="24458" xr:uid="{F3DD9374-E59D-4D3F-B4E4-747FF4565114}"/>
    <cellStyle name="Euro 7 2 4 6" xfId="24454" xr:uid="{1BE6B991-B03D-4707-9657-96A9E3ABB84D}"/>
    <cellStyle name="Euro 7 2 5" xfId="4894" xr:uid="{DB20BF99-0DE6-4AE2-8977-C2B73754B928}"/>
    <cellStyle name="Euro 7 2 5 2" xfId="43615" xr:uid="{E4E9257A-14F1-4D29-B169-1C5C3579B073}"/>
    <cellStyle name="Euro 7 2 5 3" xfId="24459" xr:uid="{A7E75CD0-A4E3-4F5A-A4E2-6866F7CA16B1}"/>
    <cellStyle name="Euro 7 2 6" xfId="4083" xr:uid="{D07A3EC0-882C-47CA-83EF-00D84A6AA187}"/>
    <cellStyle name="Euro 7 2 6 2" xfId="43930" xr:uid="{0EFB0B2D-720A-474F-9F6F-806EC510FD33}"/>
    <cellStyle name="Euro 7 2 6 3" xfId="24460" xr:uid="{E55CFB5B-4D11-4766-95BA-62F02D54D592}"/>
    <cellStyle name="Euro 7 2 7" xfId="6152" xr:uid="{3465E804-7871-43C2-BFDE-B1C854FC6A7F}"/>
    <cellStyle name="Euro 7 2 7 2" xfId="45835" xr:uid="{BF6A9F8A-0E7D-4FAE-AB9D-4F63791C2081}"/>
    <cellStyle name="Euro 7 2 7 3" xfId="24461" xr:uid="{D7F3A012-4D41-4B9F-A94F-8BBD9593660F}"/>
    <cellStyle name="Euro 7 2 8" xfId="8608" xr:uid="{AC5F6905-0A8B-4520-8A5A-03549AF29023}"/>
    <cellStyle name="Euro 7 2 8 2" xfId="24462" xr:uid="{18F466A4-85FA-43B9-AD33-DBA3B00E9D51}"/>
    <cellStyle name="Euro 7 2 9" xfId="24463" xr:uid="{7C0A3D7D-F405-4CAF-AF9F-66CE7376F6F2}"/>
    <cellStyle name="Euro 7 3" xfId="2236" xr:uid="{D8D099D4-1AD0-4BB7-88B7-EE0357AB83E1}"/>
    <cellStyle name="Euro 7 3 2" xfId="4898" xr:uid="{95F10A68-D563-4A7E-8B8E-89292C21B227}"/>
    <cellStyle name="Euro 7 3 2 2" xfId="24466" xr:uid="{F89823F1-487B-4DFF-B423-8DD3019119FF}"/>
    <cellStyle name="Euro 7 3 2 3" xfId="24467" xr:uid="{AEABF3A6-603D-4763-AACA-1D23C874CFC3}"/>
    <cellStyle name="Euro 7 3 2 4" xfId="24468" xr:uid="{2E2122F9-04C7-400B-9FB5-8F6B9E45964A}"/>
    <cellStyle name="Euro 7 3 2 5" xfId="24469" xr:uid="{27AAC82E-6C47-40B6-BE2E-B07182E832EA}"/>
    <cellStyle name="Euro 7 3 2 6" xfId="24465" xr:uid="{470271A2-7B04-45AF-92C7-ADA002A2A76E}"/>
    <cellStyle name="Euro 7 3 3" xfId="4084" xr:uid="{38960EEF-83FC-4810-B928-0547FB0B9BAD}"/>
    <cellStyle name="Euro 7 3 3 2" xfId="43931" xr:uid="{F53EF41A-BE12-45BC-B520-E51AA2732D55}"/>
    <cellStyle name="Euro 7 3 3 3" xfId="24470" xr:uid="{9D866BA4-F426-4882-8287-DF570E2452A1}"/>
    <cellStyle name="Euro 7 3 4" xfId="6153" xr:uid="{9759D480-12A1-4731-AD7F-E61C03A773DC}"/>
    <cellStyle name="Euro 7 3 4 2" xfId="45836" xr:uid="{EC26CF2C-D23F-4E6C-87A1-6CC31F99BFD0}"/>
    <cellStyle name="Euro 7 3 4 3" xfId="24471" xr:uid="{A858DCB4-7731-456C-84ED-B874172E5E40}"/>
    <cellStyle name="Euro 7 3 5" xfId="8612" xr:uid="{38319C3C-A6C3-4DA0-A99B-2742B212380B}"/>
    <cellStyle name="Euro 7 3 5 2" xfId="24472" xr:uid="{F5A98695-D6A4-49DF-9AEA-2CEC095B94F7}"/>
    <cellStyle name="Euro 7 3 6" xfId="24473" xr:uid="{21D357B6-763D-4FC0-89E7-0FFF36F1AAC3}"/>
    <cellStyle name="Euro 7 3 7" xfId="24474" xr:uid="{46BBDDE5-A341-4236-8AF8-AF4F5ED584C7}"/>
    <cellStyle name="Euro 7 3 8" xfId="24464" xr:uid="{D4F9FAB5-6BD0-45A8-A98C-C5B11ABD3A82}"/>
    <cellStyle name="Euro 7 4" xfId="2237" xr:uid="{47E2270D-0796-4BCF-8511-F2E2AFC50246}"/>
    <cellStyle name="Euro 7 4 2" xfId="4899" xr:uid="{910BBFE7-21A4-47EA-9475-B037E635E7F2}"/>
    <cellStyle name="Euro 7 4 2 2" xfId="24477" xr:uid="{552BA125-450E-430B-AF57-B446B043E704}"/>
    <cellStyle name="Euro 7 4 2 3" xfId="24478" xr:uid="{DF02657C-45DC-4A20-8092-8BEFC0DB8321}"/>
    <cellStyle name="Euro 7 4 2 4" xfId="24479" xr:uid="{64072C67-312F-4490-B7A5-1C9CB0684B30}"/>
    <cellStyle name="Euro 7 4 2 5" xfId="24480" xr:uid="{B5751C05-2948-4A9C-B40D-7EDAD6992994}"/>
    <cellStyle name="Euro 7 4 2 6" xfId="24476" xr:uid="{765B10FB-7883-4A89-9C3E-6C068F57D240}"/>
    <cellStyle name="Euro 7 4 3" xfId="4085" xr:uid="{F75B29DA-23F4-4258-AED5-3BDA1B7937D7}"/>
    <cellStyle name="Euro 7 4 3 2" xfId="43932" xr:uid="{DA300643-665A-4CEB-828D-97CBBFABBAEB}"/>
    <cellStyle name="Euro 7 4 3 3" xfId="24481" xr:uid="{59F4AD1A-5EA8-47AF-8162-CC661C2F7B75}"/>
    <cellStyle name="Euro 7 4 4" xfId="6154" xr:uid="{D8997249-78E6-479F-B77C-2194513A8525}"/>
    <cellStyle name="Euro 7 4 4 2" xfId="45837" xr:uid="{163E682C-CC02-4723-9797-A17EE0A9AA47}"/>
    <cellStyle name="Euro 7 4 4 3" xfId="24482" xr:uid="{E44450A9-7775-4C90-B412-2675961E80CE}"/>
    <cellStyle name="Euro 7 4 5" xfId="8613" xr:uid="{C37A7253-993A-4A7E-9BDE-A856987B7973}"/>
    <cellStyle name="Euro 7 4 5 2" xfId="24483" xr:uid="{89FDC775-6AF0-4887-B505-A0C1B330A962}"/>
    <cellStyle name="Euro 7 4 6" xfId="24484" xr:uid="{17E6786E-E4A6-4340-A98F-2C3D2FFC8740}"/>
    <cellStyle name="Euro 7 4 7" xfId="24485" xr:uid="{DFDAC045-BB21-4840-9E53-9A56A4688527}"/>
    <cellStyle name="Euro 7 4 8" xfId="24475" xr:uid="{4AC205ED-591F-4D6F-8D54-DBF56922465D}"/>
    <cellStyle name="Euro 7 5" xfId="2238" xr:uid="{7ADA8517-A675-497D-86CA-643C3F28F704}"/>
    <cellStyle name="Euro 7 5 2" xfId="4900" xr:uid="{D8D0601A-2223-4B84-BF41-3381C23B91B9}"/>
    <cellStyle name="Euro 7 5 2 2" xfId="10850" xr:uid="{F78BFB9C-0820-4409-9081-1C4E35FBB997}"/>
    <cellStyle name="Euro 7 5 2 2 2" xfId="24488" xr:uid="{EA36B6E0-CF49-4DCB-856B-40CB65852C77}"/>
    <cellStyle name="Euro 7 5 2 3" xfId="24489" xr:uid="{EAC89804-CA62-4D49-A78D-50428C724973}"/>
    <cellStyle name="Euro 7 5 2 4" xfId="24490" xr:uid="{ECC46CE2-3318-4CA7-9852-F7B18B5708E1}"/>
    <cellStyle name="Euro 7 5 2 5" xfId="24491" xr:uid="{F5DE0DDE-0328-4E93-A9B0-DC80FD2E3761}"/>
    <cellStyle name="Euro 7 5 2 6" xfId="24487" xr:uid="{8225EC76-366A-4FC2-A094-F082E40AA25F}"/>
    <cellStyle name="Euro 7 5 3" xfId="6786" xr:uid="{6ED679B9-4A28-4251-B857-0ED9158CFBD5}"/>
    <cellStyle name="Euro 7 5 3 2" xfId="24493" xr:uid="{977ADC32-3FBA-4325-BF14-B277746047B6}"/>
    <cellStyle name="Euro 7 5 3 3" xfId="24494" xr:uid="{E9F740C0-8ED6-4AE5-938F-720886765A36}"/>
    <cellStyle name="Euro 7 5 3 4" xfId="24495" xr:uid="{45559FE8-6DC3-48F0-96AE-6D225462BA6F}"/>
    <cellStyle name="Euro 7 5 3 5" xfId="24496" xr:uid="{AB8D79DE-27A4-4659-82DC-19D8CD2A1F3F}"/>
    <cellStyle name="Euro 7 5 3 6" xfId="24492" xr:uid="{C14D24DE-B0CB-466B-8A36-1B3032C4D109}"/>
    <cellStyle name="Euro 7 5 3 7" xfId="46265" xr:uid="{CB927724-9FA7-4036-AACA-A600F918B94A}"/>
    <cellStyle name="Euro 7 5 3 8" xfId="16408" xr:uid="{21EC03C2-2086-4D85-B397-108788160419}"/>
    <cellStyle name="Euro 7 5 4" xfId="8614" xr:uid="{7C910789-DBC6-4B08-8048-AA2D26FB63BA}"/>
    <cellStyle name="Euro 7 5 4 2" xfId="24497" xr:uid="{77CA6020-7853-4306-9A42-EE8204C6D501}"/>
    <cellStyle name="Euro 7 5 5" xfId="8096" xr:uid="{CE401E08-493D-4A8B-B7CA-BD31DD11DA48}"/>
    <cellStyle name="Euro 7 5 5 2" xfId="24498" xr:uid="{8C4A8089-8C15-4A64-ADDA-65E1A7612F17}"/>
    <cellStyle name="Euro 7 5 6" xfId="24499" xr:uid="{12F7301D-2AD0-4A23-905B-117E3DB755AE}"/>
    <cellStyle name="Euro 7 5 7" xfId="24500" xr:uid="{2C3B7DE8-F360-4547-87C4-8652C9BDD7AA}"/>
    <cellStyle name="Euro 7 5 8" xfId="24486" xr:uid="{FE1BBB4D-7259-45C2-B628-7A21C4454E39}"/>
    <cellStyle name="Euro 7 6" xfId="4893" xr:uid="{A7488A62-7365-47BD-9A50-B271A8377107}"/>
    <cellStyle name="Euro 7 6 2" xfId="24502" xr:uid="{EA10AFAD-98AB-4AAF-A391-64A73B0D7D35}"/>
    <cellStyle name="Euro 7 6 3" xfId="24503" xr:uid="{1225E64B-0433-4EF4-83D9-2128A5CC139A}"/>
    <cellStyle name="Euro 7 6 4" xfId="24504" xr:uid="{03B0B560-5C80-4F14-A9CD-74603710A664}"/>
    <cellStyle name="Euro 7 6 5" xfId="24505" xr:uid="{911CFE1B-DCCA-45AD-93C9-3A2C58219063}"/>
    <cellStyle name="Euro 7 6 6" xfId="24501" xr:uid="{543FA470-ACFD-49CB-8B93-6CB527A49E87}"/>
    <cellStyle name="Euro 7 7" xfId="4082" xr:uid="{CE9C16BF-5E9C-4B0A-8FC7-A23BD993299E}"/>
    <cellStyle name="Euro 7 7 2" xfId="43929" xr:uid="{35230609-096C-489C-B10F-30255DC91719}"/>
    <cellStyle name="Euro 7 7 3" xfId="24506" xr:uid="{BB7F7FB0-5BB8-400B-B3B9-BDF09ADBA8B1}"/>
    <cellStyle name="Euro 7 8" xfId="6151" xr:uid="{A27968B5-DEC1-49FA-AF70-4D724D7EF8FB}"/>
    <cellStyle name="Euro 7 8 2" xfId="45834" xr:uid="{2647FE29-7470-4C1F-8755-A4342D9B28DC}"/>
    <cellStyle name="Euro 7 8 3" xfId="24507" xr:uid="{5A9EC6E3-44F6-48E4-A658-28290070E453}"/>
    <cellStyle name="Euro 7 9" xfId="8607" xr:uid="{00465A86-894A-406E-A966-761A04B45F35}"/>
    <cellStyle name="Euro 7 9 2" xfId="24508" xr:uid="{1EAFCE9F-2D0B-4845-85CE-CE17A442660A}"/>
    <cellStyle name="Euro 70" xfId="2239" xr:uid="{6C82DC3E-3EBA-4A5C-A14C-2C2FC2C8F742}"/>
    <cellStyle name="Euro 70 10" xfId="24509" xr:uid="{EAEB6C20-75B5-4A62-B273-267580D58BA3}"/>
    <cellStyle name="Euro 70 2" xfId="4901" xr:uid="{6A378577-6C8A-4F3E-97B2-4D71CD7DD118}"/>
    <cellStyle name="Euro 70 2 2" xfId="16781" xr:uid="{075B5DA4-E72E-4F54-985F-7B87C2530CC9}"/>
    <cellStyle name="Euro 70 2 2 2" xfId="24512" xr:uid="{42404B02-FFD0-4520-8293-451CF8AEB090}"/>
    <cellStyle name="Euro 70 2 2 3" xfId="24513" xr:uid="{7982A170-4365-46F2-B62C-B876ABD40AE4}"/>
    <cellStyle name="Euro 70 2 2 4" xfId="24514" xr:uid="{FE0EFA20-CC60-44B6-B638-86FD9B070DA1}"/>
    <cellStyle name="Euro 70 2 2 5" xfId="24515" xr:uid="{8703E50E-38D7-42BD-A645-1DD6F83ADAB1}"/>
    <cellStyle name="Euro 70 2 2 6" xfId="24511" xr:uid="{D789875B-01AE-4589-9901-1D8F6338FD2E}"/>
    <cellStyle name="Euro 70 2 3" xfId="16606" xr:uid="{C30FF28F-3654-42AC-BA60-E6C0898DD4EF}"/>
    <cellStyle name="Euro 70 2 3 2" xfId="20715" xr:uid="{64E992A7-87B5-493D-8DDB-9CDB7BE3DE8C}"/>
    <cellStyle name="Euro 70 2 3 2 2" xfId="24517" xr:uid="{96E67068-0D7B-48C5-90F2-272F1BF01199}"/>
    <cellStyle name="Euro 70 2 3 3" xfId="24518" xr:uid="{4A72DCEF-5E60-45D8-AE17-4812824BDC1E}"/>
    <cellStyle name="Euro 70 2 3 4" xfId="24519" xr:uid="{E99017A1-669E-4153-B2C2-19308A1BED87}"/>
    <cellStyle name="Euro 70 2 3 5" xfId="24520" xr:uid="{368377C0-6CAB-42FE-8A8B-A93CB9DCB88F}"/>
    <cellStyle name="Euro 70 2 3 6" xfId="24521" xr:uid="{4B38E7BF-BAB4-43AE-8B92-B48522D51EDF}"/>
    <cellStyle name="Euro 70 2 3 7" xfId="24522" xr:uid="{1F60A98C-39A6-4ED6-832A-72584799A4E2}"/>
    <cellStyle name="Euro 70 2 3 8" xfId="24516" xr:uid="{94A5B786-5CAF-45FA-9BDC-12227382F65C}"/>
    <cellStyle name="Euro 70 2 4" xfId="24523" xr:uid="{88094E8B-49DD-4B22-946D-F92932AD480A}"/>
    <cellStyle name="Euro 70 2 5" xfId="24524" xr:uid="{00C1D61B-70D2-44C0-86DB-446480362E33}"/>
    <cellStyle name="Euro 70 2 6" xfId="24525" xr:uid="{BA12D63A-2487-4242-9BAB-E84C7FEA91A6}"/>
    <cellStyle name="Euro 70 2 7" xfId="24526" xr:uid="{C4BA9B0C-433D-453C-A9E9-3CE4A137E492}"/>
    <cellStyle name="Euro 70 2 8" xfId="24510" xr:uid="{D234FFD6-C06C-496F-9BB8-FE4646BF6648}"/>
    <cellStyle name="Euro 70 3" xfId="4086" xr:uid="{5B9BFB58-9A52-4180-B0AA-08A711D501CD}"/>
    <cellStyle name="Euro 70 3 2" xfId="24528" xr:uid="{473E6CBC-C5E0-45BC-990E-A9684BC404B8}"/>
    <cellStyle name="Euro 70 3 3" xfId="24529" xr:uid="{E0029F47-8D19-48D4-90B8-EE5F928064E9}"/>
    <cellStyle name="Euro 70 3 4" xfId="24530" xr:uid="{F363CC81-22E9-4AF8-B553-EB9C7020FF45}"/>
    <cellStyle name="Euro 70 3 5" xfId="24531" xr:uid="{2E5089A0-426D-449B-B88C-DDB3EB671DBC}"/>
    <cellStyle name="Euro 70 3 6" xfId="24527" xr:uid="{4ECC3282-4D04-4B92-8119-EF3B53C7D9C1}"/>
    <cellStyle name="Euro 70 4" xfId="6155" xr:uid="{FFED055A-8E59-45DF-BA2A-A87C41451F61}"/>
    <cellStyle name="Euro 70 4 2" xfId="45838" xr:uid="{17CCC981-2B21-42CC-A168-DC0F0314977C}"/>
    <cellStyle name="Euro 70 4 3" xfId="24532" xr:uid="{36C477C0-39DD-43AF-9A2F-0ADE09013620}"/>
    <cellStyle name="Euro 70 5" xfId="8615" xr:uid="{4A819E01-43D1-45E8-9172-9B8FEE525A33}"/>
    <cellStyle name="Euro 70 5 2" xfId="24533" xr:uid="{031BB97D-5453-4240-9A84-63E4273E4B10}"/>
    <cellStyle name="Euro 70 6" xfId="24534" xr:uid="{27D9E7CE-1EAA-4AF9-91DD-950F8BC3BF29}"/>
    <cellStyle name="Euro 70 7" xfId="24535" xr:uid="{0D099865-0162-4E49-AB5F-C8D66B1B2043}"/>
    <cellStyle name="Euro 70 8" xfId="24536" xr:uid="{1DBCA713-0EDC-47B0-8052-39BCA7420B18}"/>
    <cellStyle name="Euro 70 9" xfId="24537" xr:uid="{AE132D4A-767A-4DC5-B03C-A33451B3FB46}"/>
    <cellStyle name="Euro 71" xfId="2240" xr:uid="{25475A39-71C0-4F27-9728-CD3F05DF4C57}"/>
    <cellStyle name="Euro 71 10" xfId="24538" xr:uid="{58E1E430-3043-4049-9D15-457F3A7BE69C}"/>
    <cellStyle name="Euro 71 2" xfId="2241" xr:uid="{AE74F842-3BC5-45DA-BB6F-E9448897D6FC}"/>
    <cellStyle name="Euro 71 2 2" xfId="4903" xr:uid="{55DC686D-D635-475C-B633-EECFE9D274B5}"/>
    <cellStyle name="Euro 71 2 2 2" xfId="44318" xr:uid="{A5397789-20EF-44E9-8E7F-D41F47C49F2D}"/>
    <cellStyle name="Euro 71 2 2 3" xfId="24540" xr:uid="{06989E91-FF37-4C0E-AD81-69FAACC48C9A}"/>
    <cellStyle name="Euro 71 2 3" xfId="6787" xr:uid="{527C912E-9EA5-41D6-84EC-9C208B51CD90}"/>
    <cellStyle name="Euro 71 2 3 2" xfId="46266" xr:uid="{29D5B634-5468-4843-9F99-F6ED60311075}"/>
    <cellStyle name="Euro 71 2 3 3" xfId="24541" xr:uid="{8B34F627-DB49-40C5-93E5-088F9A04B3AC}"/>
    <cellStyle name="Euro 71 2 4" xfId="8617" xr:uid="{A313B5A2-7060-40CC-A904-1089B76C4903}"/>
    <cellStyle name="Euro 71 2 4 2" xfId="24542" xr:uid="{04616C53-5866-4CE1-B477-86FBF4D9C521}"/>
    <cellStyle name="Euro 71 2 5" xfId="24543" xr:uid="{F7BC0AA2-686B-4761-A90E-15D3E36892E1}"/>
    <cellStyle name="Euro 71 2 6" xfId="24539" xr:uid="{8E3056A7-FC63-4AFA-B619-F2CA6A073222}"/>
    <cellStyle name="Euro 71 3" xfId="2242" xr:uid="{274B64AA-5524-4A5B-A9FF-882F12108099}"/>
    <cellStyle name="Euro 71 3 2" xfId="4904" xr:uid="{3ADFA775-DE18-4C0A-B3D0-B423698361C3}"/>
    <cellStyle name="Euro 71 3 2 2" xfId="44319" xr:uid="{84BD7E72-E8DD-4834-AB7D-931175E33CF2}"/>
    <cellStyle name="Euro 71 3 2 3" xfId="24545" xr:uid="{AB043849-3E31-4F49-B2C5-6C8E67A48D47}"/>
    <cellStyle name="Euro 71 3 3" xfId="6788" xr:uid="{94292FBF-C1F7-4C8C-BED8-8D4CD134A1A3}"/>
    <cellStyle name="Euro 71 3 3 2" xfId="46267" xr:uid="{8D86A6B8-1622-4C11-9235-607F6479070E}"/>
    <cellStyle name="Euro 71 3 3 3" xfId="24546" xr:uid="{85376651-0D1A-49C8-B37A-9831DD1ADED5}"/>
    <cellStyle name="Euro 71 3 4" xfId="8618" xr:uid="{0222DBEC-98CE-4656-801F-168D475BFCB7}"/>
    <cellStyle name="Euro 71 3 4 2" xfId="24547" xr:uid="{DEDFB552-2419-487A-9AF3-150519E9F575}"/>
    <cellStyle name="Euro 71 3 5" xfId="24548" xr:uid="{9005603E-5CA2-4F46-AB60-1CF7CF09A1BB}"/>
    <cellStyle name="Euro 71 3 6" xfId="24544" xr:uid="{02EC54A6-2724-45C6-892C-9D6C0DEB3A47}"/>
    <cellStyle name="Euro 71 4" xfId="4902" xr:uid="{C0C99BCB-EE66-46B9-92FC-8D8594A0B088}"/>
    <cellStyle name="Euro 71 4 2" xfId="23398" xr:uid="{E17FEFA3-25C6-4376-9496-904DFFB4BADF}"/>
    <cellStyle name="Euro 71 4 2 2" xfId="24550" xr:uid="{EA02D484-3119-4D0B-B13D-622233AA0861}"/>
    <cellStyle name="Euro 71 4 3" xfId="24551" xr:uid="{3E9E4DDD-01E3-4375-A7F1-C3C6BEE6E1FE}"/>
    <cellStyle name="Euro 71 4 4" xfId="24552" xr:uid="{B57237B1-16DC-4D27-80C0-73DB41EEC0B6}"/>
    <cellStyle name="Euro 71 4 5" xfId="24553" xr:uid="{CE4BB183-3D78-480A-AF5D-E52BE93287CB}"/>
    <cellStyle name="Euro 71 4 6" xfId="24554" xr:uid="{D8686E59-035D-4934-BFAA-4882CE7BF84D}"/>
    <cellStyle name="Euro 71 4 7" xfId="24549" xr:uid="{B6FD7775-32EC-415B-9C99-A61FC73546BB}"/>
    <cellStyle name="Euro 71 5" xfId="4087" xr:uid="{7FEDA601-3961-4191-BC85-F8A14D7F6315}"/>
    <cellStyle name="Euro 71 5 2" xfId="43933" xr:uid="{C85AABC8-B789-4983-80D9-4F4BD18B9DD2}"/>
    <cellStyle name="Euro 71 5 3" xfId="24555" xr:uid="{61282BAF-EE1A-45E0-B16B-B9AC8786AB18}"/>
    <cellStyle name="Euro 71 6" xfId="6156" xr:uid="{753A76F6-7C99-4F19-BA02-E947E089E114}"/>
    <cellStyle name="Euro 71 6 2" xfId="47088" xr:uid="{AC394B56-6F20-431E-9A95-063C77949596}"/>
    <cellStyle name="Euro 71 6 3" xfId="24556" xr:uid="{7F235785-1D73-4A2E-9865-D208AE85FA9F}"/>
    <cellStyle name="Euro 71 7" xfId="8616" xr:uid="{5653CF2D-1A14-4FCB-9684-E9AA2BD87564}"/>
    <cellStyle name="Euro 71 7 2" xfId="24557" xr:uid="{8F49D428-05AF-4F33-9B46-90B2C38E05E8}"/>
    <cellStyle name="Euro 71 8" xfId="24558" xr:uid="{2651B827-BE3E-4306-AD6E-479188A45C74}"/>
    <cellStyle name="Euro 71 9" xfId="24559" xr:uid="{64F4E71F-FD84-4188-A692-0DD4C7429FC2}"/>
    <cellStyle name="Euro 72" xfId="2243" xr:uid="{7FCB045A-855D-4AD0-9358-CCEEA67F6241}"/>
    <cellStyle name="Euro 72 2" xfId="4905" xr:uid="{9FB6D943-CFB0-4E49-8B65-653F5030D98F}"/>
    <cellStyle name="Euro 72 2 2" xfId="24562" xr:uid="{B36B32A2-16D6-41EC-B0B0-C3E0C3E5A0D0}"/>
    <cellStyle name="Euro 72 2 3" xfId="24563" xr:uid="{F4C240BC-378F-4423-9C64-2FE80D215394}"/>
    <cellStyle name="Euro 72 2 4" xfId="24564" xr:uid="{33A2E668-9427-4570-9930-033C076F795E}"/>
    <cellStyle name="Euro 72 2 5" xfId="24565" xr:uid="{358D6524-FBEF-4B44-9B64-76AA58880A53}"/>
    <cellStyle name="Euro 72 2 6" xfId="24561" xr:uid="{CE958BED-C1CC-4CE7-AC92-6F33DF8CDC90}"/>
    <cellStyle name="Euro 72 3" xfId="6789" xr:uid="{0F73A45C-9695-49D4-AD7F-96451EDE74FF}"/>
    <cellStyle name="Euro 72 3 2" xfId="46268" xr:uid="{4856C5DE-85AB-4BEC-A51A-FA65ED141AAB}"/>
    <cellStyle name="Euro 72 3 3" xfId="24566" xr:uid="{F87762E0-31F9-4280-B509-DF285F8CA1EA}"/>
    <cellStyle name="Euro 72 4" xfId="8619" xr:uid="{57208864-3259-4D48-A8BA-BA5EC64F6567}"/>
    <cellStyle name="Euro 72 4 2" xfId="24567" xr:uid="{F4AC247E-7957-48BD-B0E6-923FE68A5739}"/>
    <cellStyle name="Euro 72 5" xfId="24568" xr:uid="{A06707CB-FE27-4862-8A71-0470AB770AD4}"/>
    <cellStyle name="Euro 72 6" xfId="24569" xr:uid="{8692CD3A-1F97-46E6-881D-61570554B318}"/>
    <cellStyle name="Euro 72 7" xfId="24560" xr:uid="{AB0B16CD-D019-4721-934B-756987AE8C09}"/>
    <cellStyle name="Euro 73" xfId="15820" xr:uid="{27499CC5-BA8E-4DC3-B7E8-C6C27CF28101}"/>
    <cellStyle name="Euro 73 2" xfId="24571" xr:uid="{F24EEC91-452D-4F1A-9BB6-CB8BE978DF1D}"/>
    <cellStyle name="Euro 73 3" xfId="24572" xr:uid="{59851230-3653-4EE3-8DDD-D66DA0B4F983}"/>
    <cellStyle name="Euro 73 4" xfId="24573" xr:uid="{B5A5ACA3-B61C-4498-849B-22BD96575E11}"/>
    <cellStyle name="Euro 73 5" xfId="24574" xr:uid="{759A85A1-A5A2-4877-AEA0-F162169637F8}"/>
    <cellStyle name="Euro 73 6" xfId="24570" xr:uid="{EE288C1B-ADCB-40EA-AB2A-59E6B2D86F68}"/>
    <cellStyle name="Euro 74" xfId="15821" xr:uid="{F2C2DA94-EB0D-4450-B1B5-B3F8785D6E67}"/>
    <cellStyle name="Euro 74 2" xfId="24576" xr:uid="{C1A52103-0299-452A-944C-B41D7844D58D}"/>
    <cellStyle name="Euro 74 3" xfId="24577" xr:uid="{48A07F06-C482-4E67-B962-D1C86831193F}"/>
    <cellStyle name="Euro 74 4" xfId="24578" xr:uid="{245BB77A-54A1-445C-91F0-89379A18F60B}"/>
    <cellStyle name="Euro 74 5" xfId="24579" xr:uid="{95712C65-9DBE-4DBD-950C-6EC740A7801E}"/>
    <cellStyle name="Euro 74 6" xfId="24575" xr:uid="{5F0405DC-6591-495A-868D-A6838C124492}"/>
    <cellStyle name="Euro 75" xfId="15822" xr:uid="{F3C9B592-2E5E-4926-8E86-6ACCBEC2B1C5}"/>
    <cellStyle name="Euro 75 2" xfId="24581" xr:uid="{C6667C89-5FD8-4E21-9118-D84E0BD0B23F}"/>
    <cellStyle name="Euro 75 3" xfId="24582" xr:uid="{B5AC797A-A6FD-4091-BFEC-C1E2FCEA4C4E}"/>
    <cellStyle name="Euro 75 4" xfId="24583" xr:uid="{93826A1F-0CE4-4A64-A815-DD7FA4FC039A}"/>
    <cellStyle name="Euro 75 5" xfId="24584" xr:uid="{D4018D7C-7B93-45CE-AC22-70E597DD9CB8}"/>
    <cellStyle name="Euro 75 6" xfId="24580" xr:uid="{36DE1239-6AF7-4E18-8953-781F074F42FE}"/>
    <cellStyle name="Euro 76" xfId="15823" xr:uid="{5B35EDF7-4E04-4BD2-89EB-DCC1D1EF896E}"/>
    <cellStyle name="Euro 76 2" xfId="24586" xr:uid="{B486D8A4-2A54-4534-95B9-516AA14AA5D2}"/>
    <cellStyle name="Euro 76 3" xfId="24587" xr:uid="{174380BD-8407-4548-AFE8-D8EDFCBCF4EA}"/>
    <cellStyle name="Euro 76 4" xfId="24588" xr:uid="{0EB96717-F69A-40B0-B58D-5495B87412B3}"/>
    <cellStyle name="Euro 76 5" xfId="24589" xr:uid="{08912027-EEC9-4878-8C54-6DDB7B3EF68E}"/>
    <cellStyle name="Euro 76 6" xfId="24585" xr:uid="{0DC7B1A7-40AF-401C-8826-FE143F753413}"/>
    <cellStyle name="Euro 77" xfId="15824" xr:uid="{6EAC1CEB-90BD-4FEE-9A04-C0AC9876A877}"/>
    <cellStyle name="Euro 77 2" xfId="24591" xr:uid="{F39A91EA-6C2D-4B54-98C6-5F65D40B70B9}"/>
    <cellStyle name="Euro 77 3" xfId="24592" xr:uid="{054C1A78-12F4-4109-942B-B80E27E6CED4}"/>
    <cellStyle name="Euro 77 4" xfId="24593" xr:uid="{8A2F8400-EB4E-4566-A14C-ADAB37820C51}"/>
    <cellStyle name="Euro 77 5" xfId="24594" xr:uid="{49919284-BCEE-4CE1-B119-AAB16D400ECD}"/>
    <cellStyle name="Euro 77 6" xfId="24590" xr:uid="{FAB6D080-6761-4908-983D-36D306127597}"/>
    <cellStyle name="Euro 8" xfId="2244" xr:uid="{F147D102-BC53-4136-A543-91760F4388CF}"/>
    <cellStyle name="Euro 8 10" xfId="24596" xr:uid="{4B605618-6EE6-4661-A555-6D44900D5354}"/>
    <cellStyle name="Euro 8 11" xfId="24597" xr:uid="{40F694F6-44F8-4FA6-BED8-E518E93B1D17}"/>
    <cellStyle name="Euro 8 12" xfId="24595" xr:uid="{ECA4D3B7-F1EF-44D3-B6B8-2B1CF9E2524A}"/>
    <cellStyle name="Euro 8 2" xfId="2245" xr:uid="{F3A0F03A-8911-4FC4-B013-ED683980E956}"/>
    <cellStyle name="Euro 8 2 10" xfId="24598" xr:uid="{71A7120E-F28F-4F2A-ACD7-4BD73895417C}"/>
    <cellStyle name="Euro 8 2 2" xfId="2246" xr:uid="{2CA55A9F-9F85-445F-A4B9-F15B604BDA66}"/>
    <cellStyle name="Euro 8 2 2 2" xfId="4908" xr:uid="{7AA85900-EAB5-4980-AAA2-E193A111C7DD}"/>
    <cellStyle name="Euro 8 2 2 2 2" xfId="24601" xr:uid="{B426A364-5E02-4474-B7E5-0F9EDC3F4365}"/>
    <cellStyle name="Euro 8 2 2 2 3" xfId="24602" xr:uid="{E42A702F-6F8E-4C8C-B526-679A7C1F641C}"/>
    <cellStyle name="Euro 8 2 2 2 4" xfId="24603" xr:uid="{6654609C-1E0E-4D24-8A88-5487725AE28C}"/>
    <cellStyle name="Euro 8 2 2 2 5" xfId="24604" xr:uid="{33DC5391-5D5B-49A1-93CA-74846E1F6289}"/>
    <cellStyle name="Euro 8 2 2 2 6" xfId="24600" xr:uid="{ECE4974E-508E-4F30-943A-797B6F869007}"/>
    <cellStyle name="Euro 8 2 2 3" xfId="6790" xr:uid="{4D67D5E6-2C83-44D6-9CE5-703D5C16817F}"/>
    <cellStyle name="Euro 8 2 2 3 2" xfId="24606" xr:uid="{EDD677B9-F76C-43AE-919E-AE750EB4269D}"/>
    <cellStyle name="Euro 8 2 2 3 3" xfId="24607" xr:uid="{55CA3D82-B369-4F40-A41D-3AF516461437}"/>
    <cellStyle name="Euro 8 2 2 3 4" xfId="24608" xr:uid="{A17F3D77-01B6-47FC-BD5C-A66D9F919031}"/>
    <cellStyle name="Euro 8 2 2 3 5" xfId="24609" xr:uid="{9AAC43F4-7375-4924-BAB5-D4152E128810}"/>
    <cellStyle name="Euro 8 2 2 3 6" xfId="24605" xr:uid="{9F236E56-6AE1-48D7-812F-BFE756A7ACF3}"/>
    <cellStyle name="Euro 8 2 2 3 7" xfId="46269" xr:uid="{BDB5DEAD-C07B-405E-AAB7-E8636F4F9FC9}"/>
    <cellStyle name="Euro 8 2 2 3 8" xfId="16409" xr:uid="{3E1D53B1-B7D2-44A5-BD27-1C7C56302B5D}"/>
    <cellStyle name="Euro 8 2 2 4" xfId="8622" xr:uid="{DD1346B4-8E1A-4F74-84E7-BE0A4A4423D3}"/>
    <cellStyle name="Euro 8 2 2 4 2" xfId="24610" xr:uid="{2AFCD7C1-0C74-4533-BADC-E0E91C76FACE}"/>
    <cellStyle name="Euro 8 2 2 5" xfId="24611" xr:uid="{F151D16E-7775-483F-8225-20EF356E2834}"/>
    <cellStyle name="Euro 8 2 2 6" xfId="24612" xr:uid="{A467F84C-CBEA-4C12-9EA0-431F3F2F2D13}"/>
    <cellStyle name="Euro 8 2 2 7" xfId="24613" xr:uid="{04E50DEA-78DF-4F26-9C2E-30CD69D8E470}"/>
    <cellStyle name="Euro 8 2 2 8" xfId="24599" xr:uid="{0E50A769-1FA8-47C7-B462-44A60FC3D24B}"/>
    <cellStyle name="Euro 8 2 3" xfId="2247" xr:uid="{CE4FBD94-9E71-4EC3-9369-2FFD32F810CD}"/>
    <cellStyle name="Euro 8 2 3 2" xfId="4909" xr:uid="{EEEB57CC-F4C7-40A2-B317-8C7F9655B053}"/>
    <cellStyle name="Euro 8 2 3 2 2" xfId="24616" xr:uid="{E0906B17-749A-41FE-9927-29AB8E39A94D}"/>
    <cellStyle name="Euro 8 2 3 2 3" xfId="24617" xr:uid="{DE6A9A18-8855-416B-B4C3-2D1BA5E92DE3}"/>
    <cellStyle name="Euro 8 2 3 2 4" xfId="24618" xr:uid="{E4B548B9-9203-4DA3-8871-BAA3DC6435D4}"/>
    <cellStyle name="Euro 8 2 3 2 5" xfId="24619" xr:uid="{965E059C-BC15-48FF-934F-2DC5C7023EE0}"/>
    <cellStyle name="Euro 8 2 3 2 6" xfId="24615" xr:uid="{95DD0E63-4857-43E3-9DFE-49840B328B58}"/>
    <cellStyle name="Euro 8 2 3 3" xfId="6791" xr:uid="{EEB76AB6-B4ED-4552-81C5-5893024DFC7B}"/>
    <cellStyle name="Euro 8 2 3 3 2" xfId="46270" xr:uid="{A855A7F1-3B0D-4B83-AD4B-FF04804E19FA}"/>
    <cellStyle name="Euro 8 2 3 3 3" xfId="24620" xr:uid="{447A99CA-F912-4AF6-AE22-440BE77AAF16}"/>
    <cellStyle name="Euro 8 2 3 4" xfId="8623" xr:uid="{921AA29A-9109-4F45-9734-F0B463CF6203}"/>
    <cellStyle name="Euro 8 2 3 4 2" xfId="24621" xr:uid="{9207EA41-34C6-4DD7-B5DC-61837FD5C008}"/>
    <cellStyle name="Euro 8 2 3 5" xfId="24622" xr:uid="{44E2B6C1-9244-47AF-A29D-F3E96D1189AA}"/>
    <cellStyle name="Euro 8 2 3 6" xfId="24623" xr:uid="{D902EB9F-468C-4F26-BB88-E8A17641B1FB}"/>
    <cellStyle name="Euro 8 2 3 7" xfId="24614" xr:uid="{7F014E1A-7504-4AF8-BED6-0BC24F36D118}"/>
    <cellStyle name="Euro 8 2 4" xfId="2248" xr:uid="{0527FC29-DFFA-4ECA-B790-D5F8E8FD836E}"/>
    <cellStyle name="Euro 8 2 4 2" xfId="4910" xr:uid="{4AA95CB5-F1EE-4A4D-9435-FAC8C9D774AE}"/>
    <cellStyle name="Euro 8 2 4 2 2" xfId="44320" xr:uid="{D04DC3AC-E0BA-4523-8221-82EC68DB1114}"/>
    <cellStyle name="Euro 8 2 4 2 3" xfId="24625" xr:uid="{F26D56A4-779C-4D87-B770-B19099935005}"/>
    <cellStyle name="Euro 8 2 4 3" xfId="6792" xr:uid="{CB386302-452E-4BF7-99B3-45EC4496A31E}"/>
    <cellStyle name="Euro 8 2 4 3 2" xfId="46271" xr:uid="{016F59BF-AFA4-4B59-83D4-A46608BDA78C}"/>
    <cellStyle name="Euro 8 2 4 3 3" xfId="24626" xr:uid="{1F62D23A-9BD5-487D-8D55-2884FB3573C4}"/>
    <cellStyle name="Euro 8 2 4 4" xfId="8624" xr:uid="{8038A973-CA00-4B9F-8F27-400F2F2C3B13}"/>
    <cellStyle name="Euro 8 2 4 4 2" xfId="24627" xr:uid="{C8CDB163-05C3-4413-A823-63FAC48FCE11}"/>
    <cellStyle name="Euro 8 2 4 5" xfId="24628" xr:uid="{372F540B-D934-4C26-868E-91C81839FE3E}"/>
    <cellStyle name="Euro 8 2 4 6" xfId="24624" xr:uid="{977E5061-A7AF-45F4-BCE2-80740E93A5F0}"/>
    <cellStyle name="Euro 8 2 5" xfId="4907" xr:uid="{19015124-3871-4342-8497-9A79BE8F7EAD}"/>
    <cellStyle name="Euro 8 2 5 2" xfId="43616" xr:uid="{33467F2D-1788-46DB-93FA-6B1B39B85F38}"/>
    <cellStyle name="Euro 8 2 5 3" xfId="24629" xr:uid="{E7707322-51F4-4F9E-A584-3C2C74923D4C}"/>
    <cellStyle name="Euro 8 2 6" xfId="4089" xr:uid="{3507CB0C-D6BC-4965-AA5E-CB1B7A34D444}"/>
    <cellStyle name="Euro 8 2 6 2" xfId="43935" xr:uid="{D48CA24C-664C-48DF-9BC9-EEF519B87D7A}"/>
    <cellStyle name="Euro 8 2 6 3" xfId="24630" xr:uid="{B2F8C9E0-E40B-49E1-A8FE-9C950AAD01D2}"/>
    <cellStyle name="Euro 8 2 7" xfId="6158" xr:uid="{16394627-A75A-4898-BB0F-4A623AA8AAAC}"/>
    <cellStyle name="Euro 8 2 7 2" xfId="45840" xr:uid="{189AF103-28BD-4676-AE7F-36270D127FDB}"/>
    <cellStyle name="Euro 8 2 7 3" xfId="24631" xr:uid="{13FD2F21-A05A-475E-996C-5BB19CE7B2A3}"/>
    <cellStyle name="Euro 8 2 8" xfId="8621" xr:uid="{1673D798-10F8-4C26-AD11-573798B6CF58}"/>
    <cellStyle name="Euro 8 2 8 2" xfId="24632" xr:uid="{79198203-506C-4270-B88C-F5A16676DDD7}"/>
    <cellStyle name="Euro 8 2 9" xfId="24633" xr:uid="{B73A11D8-EEBC-442F-B8C7-22B1006929A1}"/>
    <cellStyle name="Euro 8 3" xfId="2249" xr:uid="{0B04DE48-2100-4588-9937-28F801BA6FF4}"/>
    <cellStyle name="Euro 8 3 2" xfId="4911" xr:uid="{28CF8233-34E8-4641-942A-15CA6F559B71}"/>
    <cellStyle name="Euro 8 3 2 2" xfId="24636" xr:uid="{A7718604-D623-4025-BCA4-B121B434A7EF}"/>
    <cellStyle name="Euro 8 3 2 3" xfId="24637" xr:uid="{21870894-B8B3-4F16-AD8E-AD85DDA45193}"/>
    <cellStyle name="Euro 8 3 2 4" xfId="24638" xr:uid="{DB01BED8-A5C2-41AF-A07D-C832C9A73E9A}"/>
    <cellStyle name="Euro 8 3 2 5" xfId="24639" xr:uid="{8859331A-87E2-4276-8634-B5A1B7C22F5C}"/>
    <cellStyle name="Euro 8 3 2 6" xfId="24635" xr:uid="{F5FB68E0-C5EB-4193-9E04-BE5D950E66C4}"/>
    <cellStyle name="Euro 8 3 3" xfId="4090" xr:uid="{7C6C70C2-79DB-4EAA-916B-2231A2BFDC72}"/>
    <cellStyle name="Euro 8 3 3 2" xfId="43936" xr:uid="{09AF6C3A-D3B7-484E-A488-6472220DBC84}"/>
    <cellStyle name="Euro 8 3 3 3" xfId="24640" xr:uid="{90ED87B8-9319-4D8A-A492-F3D46B626399}"/>
    <cellStyle name="Euro 8 3 4" xfId="6159" xr:uid="{84EDE25A-FDF8-42A0-AC92-299E4A829423}"/>
    <cellStyle name="Euro 8 3 4 2" xfId="45841" xr:uid="{8B7387B2-2485-448B-90A4-42C44859A72E}"/>
    <cellStyle name="Euro 8 3 4 3" xfId="24641" xr:uid="{A6EAD5C6-2803-4AAA-ABFB-8DE1F9978425}"/>
    <cellStyle name="Euro 8 3 5" xfId="8625" xr:uid="{B9124934-C109-45F2-88E0-1E9E1C282564}"/>
    <cellStyle name="Euro 8 3 5 2" xfId="24642" xr:uid="{37ECE17A-0ADB-4D8D-82E0-DC46ADD9F487}"/>
    <cellStyle name="Euro 8 3 6" xfId="24643" xr:uid="{FDB591B7-BF3D-4028-9DF0-1DE89A7B4106}"/>
    <cellStyle name="Euro 8 3 7" xfId="24644" xr:uid="{BC17DFAD-84C2-4EB3-A4F1-F80D6DFEFB02}"/>
    <cellStyle name="Euro 8 3 8" xfId="24634" xr:uid="{D48880D9-8313-4EB2-8B17-9EB8702F5D74}"/>
    <cellStyle name="Euro 8 4" xfId="2250" xr:uid="{1ADB19B4-D98C-4427-A5E6-2AA123BC1988}"/>
    <cellStyle name="Euro 8 4 2" xfId="4912" xr:uid="{1F61B08E-E9CE-42DA-84D0-8F30ACBF023B}"/>
    <cellStyle name="Euro 8 4 2 2" xfId="24647" xr:uid="{0AF868BC-91B1-44C6-81B7-FA30BD22915D}"/>
    <cellStyle name="Euro 8 4 2 3" xfId="24648" xr:uid="{F740EB28-1860-4D55-ABC1-D9729F227B8B}"/>
    <cellStyle name="Euro 8 4 2 4" xfId="24649" xr:uid="{7CBB5FD9-CF1F-46F5-AF70-8E8228DD58BD}"/>
    <cellStyle name="Euro 8 4 2 5" xfId="24650" xr:uid="{E9AD948A-020C-4B23-8D37-8933BD0A5E8E}"/>
    <cellStyle name="Euro 8 4 2 6" xfId="24646" xr:uid="{425F8928-98FF-4E9F-BF10-D19D1E3FB4A0}"/>
    <cellStyle name="Euro 8 4 3" xfId="4091" xr:uid="{1ED3D8AF-BB17-4C2A-8100-29E957F454B9}"/>
    <cellStyle name="Euro 8 4 3 2" xfId="43937" xr:uid="{D55E15BD-BC4F-4EE3-8904-267088A37EFE}"/>
    <cellStyle name="Euro 8 4 3 3" xfId="24651" xr:uid="{8D968D15-D8AD-44FB-B3F0-D307ADCED98A}"/>
    <cellStyle name="Euro 8 4 4" xfId="6160" xr:uid="{B44F4A9F-D9AB-4A42-A4AB-D0A74FA3FBCC}"/>
    <cellStyle name="Euro 8 4 4 2" xfId="45842" xr:uid="{CB157D9E-D251-4949-8FB6-027852DF4330}"/>
    <cellStyle name="Euro 8 4 4 3" xfId="24652" xr:uid="{5B3288C0-6459-415E-9EAE-74F79E03C74A}"/>
    <cellStyle name="Euro 8 4 5" xfId="8626" xr:uid="{069BAD32-7F8D-4426-BEC2-94147F8380D2}"/>
    <cellStyle name="Euro 8 4 5 2" xfId="24653" xr:uid="{963D82BD-B382-4D58-89B5-A36ACCBAB515}"/>
    <cellStyle name="Euro 8 4 6" xfId="24654" xr:uid="{5216459E-34A3-44B4-AB99-F1983D1A2957}"/>
    <cellStyle name="Euro 8 4 7" xfId="24655" xr:uid="{C6C755FE-32FB-490E-A7ED-AE0698AFF449}"/>
    <cellStyle name="Euro 8 4 8" xfId="24645" xr:uid="{55A06B17-0FD0-452A-8C92-740C53FF05B2}"/>
    <cellStyle name="Euro 8 5" xfId="2251" xr:uid="{02BF5CE3-633E-45A8-B47E-115595DC84FD}"/>
    <cellStyle name="Euro 8 5 2" xfId="4913" xr:uid="{54843520-1756-41C1-8CE7-5B885CFE12AF}"/>
    <cellStyle name="Euro 8 5 2 2" xfId="10640" xr:uid="{5A68CD1E-DF58-4A3B-A009-E6620DC902DD}"/>
    <cellStyle name="Euro 8 5 2 2 2" xfId="24658" xr:uid="{A7DEFAC1-CBE0-49B8-9910-F928C8510B36}"/>
    <cellStyle name="Euro 8 5 2 3" xfId="24659" xr:uid="{8D92D6C0-E7F4-4044-92FF-D9408F56F379}"/>
    <cellStyle name="Euro 8 5 2 4" xfId="24660" xr:uid="{7DEB12D4-5395-4D6F-AAAC-63705592157F}"/>
    <cellStyle name="Euro 8 5 2 5" xfId="24661" xr:uid="{4FCA7458-7959-40FD-9FDA-3A8A06429AAA}"/>
    <cellStyle name="Euro 8 5 2 6" xfId="24657" xr:uid="{3738C05A-ACF0-40B4-8F46-C27919FE80D6}"/>
    <cellStyle name="Euro 8 5 3" xfId="6793" xr:uid="{4FB4B30C-1D7B-42C1-AAD7-77AE67AE1E1A}"/>
    <cellStyle name="Euro 8 5 3 2" xfId="24663" xr:uid="{5399D908-8019-4F48-8386-CC0C6845841F}"/>
    <cellStyle name="Euro 8 5 3 3" xfId="24664" xr:uid="{2EDA09FD-3769-4C37-946A-0FC8A4DB0709}"/>
    <cellStyle name="Euro 8 5 3 4" xfId="24665" xr:uid="{A37008B4-E02E-4945-AF21-C44B0191C1F8}"/>
    <cellStyle name="Euro 8 5 3 5" xfId="24666" xr:uid="{7F8A19F6-C8AD-43A1-97F6-4C8EA7A85AD2}"/>
    <cellStyle name="Euro 8 5 3 6" xfId="24662" xr:uid="{51872316-FF97-4D0E-96A1-63EA77964C3A}"/>
    <cellStyle name="Euro 8 5 3 7" xfId="46272" xr:uid="{B1D43CCB-AAC4-492B-AFD8-73539598F1AB}"/>
    <cellStyle name="Euro 8 5 3 8" xfId="16410" xr:uid="{CA2312C4-A089-4D85-AC80-3D824827D41D}"/>
    <cellStyle name="Euro 8 5 4" xfId="8627" xr:uid="{5F704A7E-38C1-43CA-8F7E-F00899CBB0DD}"/>
    <cellStyle name="Euro 8 5 4 2" xfId="24667" xr:uid="{7D5F9924-5A18-4071-8293-CEF5D350C6D7}"/>
    <cellStyle name="Euro 8 5 5" xfId="8095" xr:uid="{21C49749-624B-4DAB-8E29-778337403192}"/>
    <cellStyle name="Euro 8 5 5 2" xfId="24668" xr:uid="{C833E78A-1833-41EC-9CD0-A590D6CA3C31}"/>
    <cellStyle name="Euro 8 5 6" xfId="24669" xr:uid="{323F2325-FD26-49FC-98B3-3A6363151327}"/>
    <cellStyle name="Euro 8 5 7" xfId="24670" xr:uid="{263AA241-8F9A-4DE3-A34B-556B839B8BF4}"/>
    <cellStyle name="Euro 8 5 8" xfId="24656" xr:uid="{C075E408-E8C5-4D3E-990C-DF442B52CB26}"/>
    <cellStyle name="Euro 8 6" xfId="4906" xr:uid="{22A87053-4E95-4456-82FC-61774FC107E6}"/>
    <cellStyle name="Euro 8 6 2" xfId="24672" xr:uid="{F4FDBA4D-99E2-4A4A-811A-F5A181E0E37E}"/>
    <cellStyle name="Euro 8 6 3" xfId="24673" xr:uid="{B0915E11-7287-480C-81A8-28B30F1567D4}"/>
    <cellStyle name="Euro 8 6 4" xfId="24674" xr:uid="{05B7295A-9E5E-4B6F-BECA-88FA25D1E43F}"/>
    <cellStyle name="Euro 8 6 5" xfId="24675" xr:uid="{D518D49E-82FB-4E4E-A9E9-D28AFC86FAA9}"/>
    <cellStyle name="Euro 8 6 6" xfId="24671" xr:uid="{BBA767CB-B133-4109-8FBC-AD9E8AF0BC44}"/>
    <cellStyle name="Euro 8 7" xfId="4088" xr:uid="{F0FFF836-FE90-480B-B7A5-F6DCDCAC7355}"/>
    <cellStyle name="Euro 8 7 2" xfId="43934" xr:uid="{0E3F26D9-081E-4A91-BE2A-25696C875286}"/>
    <cellStyle name="Euro 8 7 3" xfId="24676" xr:uid="{005243A1-7F66-4F2E-B65D-4F8DED78BDE8}"/>
    <cellStyle name="Euro 8 8" xfId="6157" xr:uid="{DC6120BC-7DA1-4717-AC9E-41993BDEE5E3}"/>
    <cellStyle name="Euro 8 8 2" xfId="45839" xr:uid="{0C65A1CF-80B9-4DC0-8A82-407C6B3C0CCF}"/>
    <cellStyle name="Euro 8 8 3" xfId="24677" xr:uid="{79D0D24F-BBE0-4ED4-BC20-0ADA04B12F39}"/>
    <cellStyle name="Euro 8 9" xfId="8620" xr:uid="{3668A890-CA49-45F6-B9DB-AEC6A83A8935}"/>
    <cellStyle name="Euro 8 9 2" xfId="24678" xr:uid="{8392E537-D2B2-4B75-B01E-53B2A34643D9}"/>
    <cellStyle name="Euro 9" xfId="2252" xr:uid="{820ACA96-A98A-4A06-A569-35BB9090127E}"/>
    <cellStyle name="Euro 9 10" xfId="24679" xr:uid="{0F98D348-BAF0-4821-BD89-2D20B773902D}"/>
    <cellStyle name="Euro 9 2" xfId="2253" xr:uid="{8805814F-5B50-4D28-AF98-0403BAB89808}"/>
    <cellStyle name="Euro 9 2 2" xfId="4915" xr:uid="{A06E8400-9718-4FB2-BEBE-6E120D29F8AC}"/>
    <cellStyle name="Euro 9 2 2 2" xfId="43618" xr:uid="{BB88D068-3848-4FB5-A7C5-CAEDAF3B4E50}"/>
    <cellStyle name="Euro 9 2 2 3" xfId="24681" xr:uid="{7FC00A7A-E062-4474-8354-A6727D12C31D}"/>
    <cellStyle name="Euro 9 2 3" xfId="4093" xr:uid="{6C21EF3A-4A63-47E8-8EED-D80CFFB54AB8}"/>
    <cellStyle name="Euro 9 2 3 2" xfId="43939" xr:uid="{349746F6-992E-4565-A4C3-A074E69ACC66}"/>
    <cellStyle name="Euro 9 2 3 3" xfId="24682" xr:uid="{F6F91A46-D907-4805-BE35-1A1EA8B7DCB1}"/>
    <cellStyle name="Euro 9 2 4" xfId="6162" xr:uid="{7934ED6B-BFA0-458E-A2A2-E0B45468C8C9}"/>
    <cellStyle name="Euro 9 2 4 2" xfId="45844" xr:uid="{E5EF59F7-9AFE-4FA0-A7FD-4854A6E016E2}"/>
    <cellStyle name="Euro 9 2 4 3" xfId="24683" xr:uid="{991108A3-90EC-47F0-A357-6D204143798C}"/>
    <cellStyle name="Euro 9 2 5" xfId="8629" xr:uid="{6143131F-D523-476A-A78C-519043FE32C2}"/>
    <cellStyle name="Euro 9 2 5 2" xfId="24684" xr:uid="{14E0C11C-95D9-4009-A3C9-F8C6F7C08852}"/>
    <cellStyle name="Euro 9 2 6" xfId="24685" xr:uid="{33EC28C9-64C3-451C-BB75-7516195A4BEB}"/>
    <cellStyle name="Euro 9 2 7" xfId="24680" xr:uid="{EEA309F5-9D9D-415D-8F7A-2FD0DF39FE1C}"/>
    <cellStyle name="Euro 9 3" xfId="2254" xr:uid="{96864EDD-CAA1-49BE-80C5-A0B0773AF534}"/>
    <cellStyle name="Euro 9 3 2" xfId="4916" xr:uid="{B5919906-7AF1-484D-B040-E317F12B7C57}"/>
    <cellStyle name="Euro 9 3 2 2" xfId="43619" xr:uid="{0F848D43-D22F-44F4-8476-5DE994DFC058}"/>
    <cellStyle name="Euro 9 3 2 3" xfId="24687" xr:uid="{B7948393-F2CA-4C3F-BBB2-5078DD6AC7FD}"/>
    <cellStyle name="Euro 9 3 3" xfId="4094" xr:uid="{0D0DFF18-F0D8-46E3-806A-8219AC9F0DB1}"/>
    <cellStyle name="Euro 9 3 3 2" xfId="43940" xr:uid="{6EA55723-4448-47DF-9FDB-77135AEF424F}"/>
    <cellStyle name="Euro 9 3 3 3" xfId="24688" xr:uid="{B082B857-CB97-4E55-A7ED-026ED4C2266D}"/>
    <cellStyle name="Euro 9 3 4" xfId="6163" xr:uid="{9AD66B3A-2210-4132-9438-1807E2DB07BA}"/>
    <cellStyle name="Euro 9 3 4 2" xfId="45845" xr:uid="{87E77AEF-39BE-4DF4-8FAC-E637B19A32A1}"/>
    <cellStyle name="Euro 9 3 4 3" xfId="24689" xr:uid="{2729D5D7-F9FB-47E7-8E2D-B6EEA720DCD5}"/>
    <cellStyle name="Euro 9 3 5" xfId="8630" xr:uid="{E91E1698-27FE-465F-9586-8EC1D3BFBEFD}"/>
    <cellStyle name="Euro 9 3 5 2" xfId="24690" xr:uid="{94C48893-FC7D-44F4-9107-28C09C1C0CAD}"/>
    <cellStyle name="Euro 9 3 6" xfId="24691" xr:uid="{0B84F283-833F-4218-913E-E84214611BCE}"/>
    <cellStyle name="Euro 9 3 7" xfId="24686" xr:uid="{4CB47864-88AE-4FEE-8DA7-B43F9EF89679}"/>
    <cellStyle name="Euro 9 4" xfId="2255" xr:uid="{2D1DADC1-0FE6-4C4E-888F-2DDC3717984D}"/>
    <cellStyle name="Euro 9 4 2" xfId="4917" xr:uid="{C558A315-7AFF-479D-8D7F-201D9BF8947A}"/>
    <cellStyle name="Euro 9 4 2 2" xfId="43620" xr:uid="{1EBD7346-3877-4B5A-922F-B3DB99B8069B}"/>
    <cellStyle name="Euro 9 4 2 3" xfId="24693" xr:uid="{5C7C1232-CE8B-466E-B377-C20E8B3A27F3}"/>
    <cellStyle name="Euro 9 4 3" xfId="4095" xr:uid="{9C56FAA2-0083-44B0-88E1-25A5CD88979A}"/>
    <cellStyle name="Euro 9 4 3 2" xfId="43941" xr:uid="{0B04CF04-4497-427E-BAAE-0C0690D09B8D}"/>
    <cellStyle name="Euro 9 4 3 3" xfId="24694" xr:uid="{AB15D51E-60FC-4C7E-B2DA-8BB33E8B479B}"/>
    <cellStyle name="Euro 9 4 4" xfId="6164" xr:uid="{91E8723D-1FEE-4601-940A-E27C48C1BA31}"/>
    <cellStyle name="Euro 9 4 4 2" xfId="45846" xr:uid="{3780C5FB-D242-4A20-A0AF-8D144E0E5F5C}"/>
    <cellStyle name="Euro 9 4 4 3" xfId="24695" xr:uid="{31D644B6-A2BD-4A4E-B99E-535E0FE4FAD2}"/>
    <cellStyle name="Euro 9 4 5" xfId="8631" xr:uid="{75B49704-1F66-453D-A2BE-68E7B3B6818E}"/>
    <cellStyle name="Euro 9 4 5 2" xfId="24696" xr:uid="{A40D35B9-4865-407B-A219-5BEC4A93ABAD}"/>
    <cellStyle name="Euro 9 4 6" xfId="24697" xr:uid="{040823D8-4029-481B-A0B2-766E8C27DDB7}"/>
    <cellStyle name="Euro 9 4 7" xfId="24692" xr:uid="{B365AE33-5683-4BB7-8B72-A540C2B21ECC}"/>
    <cellStyle name="Euro 9 5" xfId="4914" xr:uid="{3EA29922-FD9E-47A6-8571-3837D0E5AECB}"/>
    <cellStyle name="Euro 9 5 2" xfId="43617" xr:uid="{7504E3EF-1294-4422-BE6A-F3B19C6E9C59}"/>
    <cellStyle name="Euro 9 5 3" xfId="24698" xr:uid="{63F19D87-4740-4E03-9C13-96412D7E7103}"/>
    <cellStyle name="Euro 9 6" xfId="4092" xr:uid="{B221B2B6-992C-48C4-8EFC-395092B5BE4D}"/>
    <cellStyle name="Euro 9 6 2" xfId="43938" xr:uid="{8778BA29-F63F-471A-8994-54F067407058}"/>
    <cellStyle name="Euro 9 6 3" xfId="24699" xr:uid="{59FBC049-A659-4A40-8152-7C191D8DB07B}"/>
    <cellStyle name="Euro 9 7" xfId="6161" xr:uid="{90D600E6-D49C-4047-AA98-EFCDEE62A362}"/>
    <cellStyle name="Euro 9 7 2" xfId="45843" xr:uid="{D95AEEF7-B448-49F4-A602-B16971CC386A}"/>
    <cellStyle name="Euro 9 7 3" xfId="24700" xr:uid="{332B767C-1C28-493C-A0EB-04C9C575D95F}"/>
    <cellStyle name="Euro 9 8" xfId="8628" xr:uid="{34620B0D-F782-43C3-8D6C-87E12D9C45A5}"/>
    <cellStyle name="Euro 9 8 2" xfId="24701" xr:uid="{F9945655-9695-498B-8856-8A438AB08219}"/>
    <cellStyle name="Euro 9 9" xfId="24702" xr:uid="{00425BC9-3CE7-43B0-94A0-4D67763CDCB4}"/>
    <cellStyle name="Explanatory Text 10" xfId="2256" xr:uid="{92DD1AEF-BBE7-40DD-ACF5-17E83AA09A20}"/>
    <cellStyle name="Explanatory Text 10 2" xfId="2257" xr:uid="{B5DC9873-A909-4BDB-8E47-9471B08BD36F}"/>
    <cellStyle name="Explanatory Text 10 2 2" xfId="24705" xr:uid="{44919DE5-7A47-4B28-9F2A-D9F75D309DBB}"/>
    <cellStyle name="Explanatory Text 10 2 3" xfId="24706" xr:uid="{22C2C2DD-7496-4A68-A684-DE02083B8251}"/>
    <cellStyle name="Explanatory Text 10 2 4" xfId="24707" xr:uid="{EB50D7A5-22AF-43C0-9EBC-D9C317BA0189}"/>
    <cellStyle name="Explanatory Text 10 2 5" xfId="24708" xr:uid="{E969BB71-B5BE-4DBC-B006-2F2068FE6D2E}"/>
    <cellStyle name="Explanatory Text 10 2 6" xfId="24704" xr:uid="{07977685-92A6-4148-84E5-A967CC58822E}"/>
    <cellStyle name="Explanatory Text 10 3" xfId="24709" xr:uid="{2D9A9D37-73AC-4D63-A772-7A5258BAD45E}"/>
    <cellStyle name="Explanatory Text 10 4" xfId="24710" xr:uid="{E416AB14-698C-4897-A97E-DEC86A0FB3D8}"/>
    <cellStyle name="Explanatory Text 10 5" xfId="24711" xr:uid="{A9C4B8F4-F59F-4E8D-99A9-F9F2FFC5715A}"/>
    <cellStyle name="Explanatory Text 10 6" xfId="24712" xr:uid="{827549B5-A03C-46A5-88C2-FD18EC87D948}"/>
    <cellStyle name="Explanatory Text 10 7" xfId="24713" xr:uid="{82C0F930-390D-458A-99C5-508F05CB9F10}"/>
    <cellStyle name="Explanatory Text 10 8" xfId="24703" xr:uid="{27DA4DFA-EB39-4968-8AB2-BF8B39AF61D9}"/>
    <cellStyle name="Explanatory Text 11" xfId="2258" xr:uid="{0B6CFA75-EE5C-4D73-BE75-FC7720CE5BB2}"/>
    <cellStyle name="Explanatory Text 11 2" xfId="10639" xr:uid="{E187EF93-7BA3-44E7-826C-674A632BB442}"/>
    <cellStyle name="Explanatory Text 11 2 2" xfId="24716" xr:uid="{DFD2083C-C4EB-4735-9950-6D30BBF9C880}"/>
    <cellStyle name="Explanatory Text 11 2 3" xfId="24717" xr:uid="{76369260-A19E-43B1-B3AF-E0B2EF0E01F7}"/>
    <cellStyle name="Explanatory Text 11 2 4" xfId="24718" xr:uid="{4140EFD4-6984-405A-8C22-0DDEBD8AFB30}"/>
    <cellStyle name="Explanatory Text 11 2 5" xfId="24719" xr:uid="{4294EA43-F42B-4E1D-98DC-BD35B1D0025C}"/>
    <cellStyle name="Explanatory Text 11 2 6" xfId="24715" xr:uid="{F795E4E3-BC0D-4821-97DE-F055E8D3E004}"/>
    <cellStyle name="Explanatory Text 11 3" xfId="24720" xr:uid="{34A7A939-6CFD-441A-B39D-1779CB73B008}"/>
    <cellStyle name="Explanatory Text 11 4" xfId="24721" xr:uid="{43876BF6-29A1-436C-92E4-5EE64B99E838}"/>
    <cellStyle name="Explanatory Text 11 5" xfId="24722" xr:uid="{A67EC539-02BD-49C7-AA7A-3E93D3EEBE9E}"/>
    <cellStyle name="Explanatory Text 11 6" xfId="24723" xr:uid="{0CB4CDC3-BE82-4CAE-96D6-AC9C61B6D7E0}"/>
    <cellStyle name="Explanatory Text 11 7" xfId="24724" xr:uid="{8337F9D3-A1BE-4D34-BF03-21081E0EE22B}"/>
    <cellStyle name="Explanatory Text 11 8" xfId="24714" xr:uid="{A8194404-3FFF-4C89-B6D6-0C436996567D}"/>
    <cellStyle name="Explanatory Text 12" xfId="2259" xr:uid="{665F4F48-C089-4366-A449-6D24CFF29F4C}"/>
    <cellStyle name="Explanatory Text 12 2" xfId="10840" xr:uid="{C5A71FC9-91F7-46E9-BEBB-1BCCEF15C79D}"/>
    <cellStyle name="Explanatory Text 12 2 2" xfId="24727" xr:uid="{97E9ADC9-545B-43A0-9DBC-CD7DF9A7DF30}"/>
    <cellStyle name="Explanatory Text 12 2 3" xfId="24728" xr:uid="{E5849D10-34CE-4E56-8187-99EEE8C05AAA}"/>
    <cellStyle name="Explanatory Text 12 2 4" xfId="24729" xr:uid="{27685AA4-A2A0-4C24-9765-C1055105A551}"/>
    <cellStyle name="Explanatory Text 12 2 5" xfId="24730" xr:uid="{D81CC159-3FBA-42EB-A3DC-4CF83BBF76A0}"/>
    <cellStyle name="Explanatory Text 12 2 6" xfId="24726" xr:uid="{7BCC5853-8D68-4F82-AAAC-7F9B36ABD2AB}"/>
    <cellStyle name="Explanatory Text 12 3" xfId="24731" xr:uid="{71A48528-FF59-40A0-8A17-43B405B473C8}"/>
    <cellStyle name="Explanatory Text 12 4" xfId="24732" xr:uid="{79FC6223-38F8-439D-B392-66A3AFB8959D}"/>
    <cellStyle name="Explanatory Text 12 5" xfId="24733" xr:uid="{21DB3126-9647-4900-A300-BAA52B16EBCA}"/>
    <cellStyle name="Explanatory Text 12 6" xfId="24734" xr:uid="{3A396317-D574-4D7E-BDBE-7D702319AC7B}"/>
    <cellStyle name="Explanatory Text 12 7" xfId="24735" xr:uid="{2F4FEC2F-5FAB-4892-A4E2-13655DEE0A69}"/>
    <cellStyle name="Explanatory Text 12 8" xfId="24725" xr:uid="{EE928FF8-28C1-4C6A-97EE-085A2111AA67}"/>
    <cellStyle name="Explanatory Text 13" xfId="2260" xr:uid="{87FF5230-5C77-4766-9971-32F6CD8A7692}"/>
    <cellStyle name="Explanatory Text 13 2" xfId="8094" xr:uid="{CA07B003-3F99-43AB-BB8A-1D20EDCF9AE6}"/>
    <cellStyle name="Explanatory Text 13 2 2" xfId="24738" xr:uid="{47710F8D-5F4D-42C1-A3C8-B60880C5F240}"/>
    <cellStyle name="Explanatory Text 13 2 3" xfId="24739" xr:uid="{60083960-A46B-41DC-9C32-1E501C145AFD}"/>
    <cellStyle name="Explanatory Text 13 2 4" xfId="24740" xr:uid="{AC708C16-5687-4031-8C51-2750D884A3AE}"/>
    <cellStyle name="Explanatory Text 13 2 5" xfId="24741" xr:uid="{B8450FEF-B0B7-4486-8C7F-A2E2283BC2CD}"/>
    <cellStyle name="Explanatory Text 13 2 6" xfId="24737" xr:uid="{82AFB1B3-177D-4B0A-B34E-5E1CEE2DB88D}"/>
    <cellStyle name="Explanatory Text 13 3" xfId="24742" xr:uid="{81F0E650-F748-4CD9-A6E4-6BC3E7772504}"/>
    <cellStyle name="Explanatory Text 13 4" xfId="24743" xr:uid="{346E2528-62D6-4265-BED3-8E9886934659}"/>
    <cellStyle name="Explanatory Text 13 5" xfId="24744" xr:uid="{EAABEC04-711F-411A-90ED-D91A1D156F01}"/>
    <cellStyle name="Explanatory Text 13 6" xfId="24745" xr:uid="{F478AFF2-C7A2-4328-B885-915D18BAC803}"/>
    <cellStyle name="Explanatory Text 13 7" xfId="24746" xr:uid="{76273505-38FD-4B6F-B75F-83D41D3655BE}"/>
    <cellStyle name="Explanatory Text 13 8" xfId="24736" xr:uid="{81C58B76-9A5E-4685-A818-214B0E914A16}"/>
    <cellStyle name="Explanatory Text 14" xfId="2261" xr:uid="{1057D35E-61C5-4E5A-A646-66D17901A9DA}"/>
    <cellStyle name="Explanatory Text 14 2" xfId="8093" xr:uid="{9139DACD-E580-493F-9770-07E62BCBB4F5}"/>
    <cellStyle name="Explanatory Text 14 2 2" xfId="24749" xr:uid="{09C67E63-98D3-4452-A675-8E34B9DB33A2}"/>
    <cellStyle name="Explanatory Text 14 2 3" xfId="24750" xr:uid="{9ED90B2F-EF2A-489D-8E9A-12F96848AA60}"/>
    <cellStyle name="Explanatory Text 14 2 4" xfId="24751" xr:uid="{8958EC54-B423-4276-B28C-9885AFD3EAF4}"/>
    <cellStyle name="Explanatory Text 14 2 5" xfId="24752" xr:uid="{49B6765F-A57A-4DE7-996E-95FE20DCE469}"/>
    <cellStyle name="Explanatory Text 14 2 6" xfId="24748" xr:uid="{411218B2-EC31-49A6-A1D7-3E4FA1160BDC}"/>
    <cellStyle name="Explanatory Text 14 3" xfId="24753" xr:uid="{EB909BBF-48DE-4B98-80E0-336E0E5F4F75}"/>
    <cellStyle name="Explanatory Text 14 4" xfId="24754" xr:uid="{4D133D0C-5FF0-4384-B136-6F1E9194D7F5}"/>
    <cellStyle name="Explanatory Text 14 5" xfId="24755" xr:uid="{93EA89B1-1E74-44CF-AD84-FDA9FF3FE69F}"/>
    <cellStyle name="Explanatory Text 14 6" xfId="24756" xr:uid="{A79F19AA-D577-405E-BA99-7D90B0D7D498}"/>
    <cellStyle name="Explanatory Text 14 7" xfId="24757" xr:uid="{717F7E4C-EFE1-42FF-9CA7-91A523077EE6}"/>
    <cellStyle name="Explanatory Text 14 8" xfId="24747" xr:uid="{6AB7575F-C24F-48D3-8B73-702691B06096}"/>
    <cellStyle name="Explanatory Text 15" xfId="2262" xr:uid="{AF344C33-B2E8-43FD-B7C5-2E9BD8D7CE1E}"/>
    <cellStyle name="Explanatory Text 15 2" xfId="16411" xr:uid="{EDC0CF5F-FFD3-427E-9446-4F44E3789067}"/>
    <cellStyle name="Explanatory Text 15 2 2" xfId="24760" xr:uid="{E2358180-02E7-4728-B0B9-CF6C04873DFD}"/>
    <cellStyle name="Explanatory Text 15 2 3" xfId="24761" xr:uid="{ED0B8813-78EF-4379-B5AA-3A322532075B}"/>
    <cellStyle name="Explanatory Text 15 2 4" xfId="24762" xr:uid="{41D09A54-702E-4175-B7F3-3F4EFC38744C}"/>
    <cellStyle name="Explanatory Text 15 2 5" xfId="24763" xr:uid="{0BEEC4C7-D492-486E-A210-AC9923855C9D}"/>
    <cellStyle name="Explanatory Text 15 2 6" xfId="24759" xr:uid="{81FE3D0F-A698-44FB-983A-19D384D9627E}"/>
    <cellStyle name="Explanatory Text 15 3" xfId="24764" xr:uid="{06095B3C-FACA-48AC-8E7B-A5B1A3257CC0}"/>
    <cellStyle name="Explanatory Text 15 4" xfId="24765" xr:uid="{8EB72679-C35C-4662-952C-C6123DA77C02}"/>
    <cellStyle name="Explanatory Text 15 5" xfId="24766" xr:uid="{D23D2D42-789E-4501-9343-A2A59659F6EB}"/>
    <cellStyle name="Explanatory Text 15 6" xfId="24767" xr:uid="{3AFC11A7-41DA-4ECE-8BC8-FD6920EB7B27}"/>
    <cellStyle name="Explanatory Text 15 7" xfId="24758" xr:uid="{AA900C6C-03CB-4441-8D3E-D89FB92F643C}"/>
    <cellStyle name="Explanatory Text 16" xfId="2263" xr:uid="{1383C0AD-FAFD-4594-BDB4-4A96275F34D5}"/>
    <cellStyle name="Explanatory Text 16 2" xfId="16412" xr:uid="{57CD6593-25DC-4E40-895E-3279CA032F4E}"/>
    <cellStyle name="Explanatory Text 16 2 2" xfId="24770" xr:uid="{E7B7D35A-4466-432A-B66A-9F063720C32E}"/>
    <cellStyle name="Explanatory Text 16 2 3" xfId="24771" xr:uid="{64F02909-B8AC-4F26-9AB8-D62A311C2CF8}"/>
    <cellStyle name="Explanatory Text 16 2 4" xfId="24772" xr:uid="{A2320654-9A00-46E8-B4E3-3475030EB19A}"/>
    <cellStyle name="Explanatory Text 16 2 5" xfId="24773" xr:uid="{7629B0D4-D898-4EFD-A5E1-81BD3732844F}"/>
    <cellStyle name="Explanatory Text 16 2 6" xfId="24769" xr:uid="{436E51D9-B4C7-4056-80E0-062DDD107C14}"/>
    <cellStyle name="Explanatory Text 16 3" xfId="24774" xr:uid="{456E23AE-35F7-44A7-A335-AB9E88E0F408}"/>
    <cellStyle name="Explanatory Text 16 4" xfId="24775" xr:uid="{D5C2DFEC-7A47-43BC-97B1-17B1ACE6B4C4}"/>
    <cellStyle name="Explanatory Text 16 5" xfId="24776" xr:uid="{DB723AD1-0A62-4D86-970F-9F0DF3E9D70A}"/>
    <cellStyle name="Explanatory Text 16 6" xfId="24777" xr:uid="{F54529DD-35D1-45A3-81D8-92E1A9C2FAD8}"/>
    <cellStyle name="Explanatory Text 16 7" xfId="24768" xr:uid="{8A5B2C80-26E4-47DF-AE61-A79BD0CF6916}"/>
    <cellStyle name="Explanatory Text 17" xfId="2264" xr:uid="{C1621958-76BC-44AB-9047-9540C964E969}"/>
    <cellStyle name="Explanatory Text 17 2" xfId="16413" xr:uid="{025D9C53-CDC1-44F5-A6FA-B2B68353E843}"/>
    <cellStyle name="Explanatory Text 17 2 2" xfId="24780" xr:uid="{3DE40015-C346-4529-8BEB-E708ED68CA67}"/>
    <cellStyle name="Explanatory Text 17 2 3" xfId="24781" xr:uid="{2560CCAC-2C54-4E6C-B2A6-12ECBF99B792}"/>
    <cellStyle name="Explanatory Text 17 2 4" xfId="24782" xr:uid="{DBA5D407-CC8F-4AC5-A358-CA897EE30C33}"/>
    <cellStyle name="Explanatory Text 17 2 5" xfId="24783" xr:uid="{D9B98A26-2404-44F3-B534-FA5D0907B9A9}"/>
    <cellStyle name="Explanatory Text 17 2 6" xfId="24779" xr:uid="{CC394CDA-6ACE-4C86-A368-40C9822E6549}"/>
    <cellStyle name="Explanatory Text 17 3" xfId="24784" xr:uid="{91F46D86-E67C-4A51-9C65-BECC0947179D}"/>
    <cellStyle name="Explanatory Text 17 4" xfId="24785" xr:uid="{369C140D-7857-4588-B668-5C7EB69EB021}"/>
    <cellStyle name="Explanatory Text 17 5" xfId="24786" xr:uid="{43CAD176-3943-441F-AC94-6FED694AE6A9}"/>
    <cellStyle name="Explanatory Text 17 6" xfId="24787" xr:uid="{2D8DF31D-CD33-4A07-A022-B21D3FDC433D}"/>
    <cellStyle name="Explanatory Text 17 7" xfId="24778" xr:uid="{F26873A6-32F7-4CB3-8163-F2358F605630}"/>
    <cellStyle name="Explanatory Text 18" xfId="2265" xr:uid="{6B511485-6651-48FC-9837-FF7E01E6FBE2}"/>
    <cellStyle name="Explanatory Text 18 2" xfId="16414" xr:uid="{D8B19B02-AA99-4155-9ADF-533704469559}"/>
    <cellStyle name="Explanatory Text 18 2 2" xfId="24790" xr:uid="{C7FA7B75-9BB8-4515-8BE0-03E2C641E475}"/>
    <cellStyle name="Explanatory Text 18 2 3" xfId="24791" xr:uid="{92FC3074-617D-46A8-85DC-50718A8CF18C}"/>
    <cellStyle name="Explanatory Text 18 2 4" xfId="24792" xr:uid="{AAA599B2-9873-4435-8980-34F8B9C19589}"/>
    <cellStyle name="Explanatory Text 18 2 5" xfId="24793" xr:uid="{95CE9DF5-6C2B-4CDA-8753-D8EB2252686B}"/>
    <cellStyle name="Explanatory Text 18 2 6" xfId="24789" xr:uid="{27BE691C-FF50-43AD-8C3E-BAF1DD544BFB}"/>
    <cellStyle name="Explanatory Text 18 3" xfId="24794" xr:uid="{1AB48174-7B7C-465A-B644-AE4B4493C80E}"/>
    <cellStyle name="Explanatory Text 18 4" xfId="24795" xr:uid="{753804E8-EAE9-459F-9095-4058E79180AA}"/>
    <cellStyle name="Explanatory Text 18 5" xfId="24796" xr:uid="{AC5676D7-E49C-4061-BFD9-CE305859F6FB}"/>
    <cellStyle name="Explanatory Text 18 6" xfId="24797" xr:uid="{6BB34708-0DBC-40F7-9CED-5035F25C8F2A}"/>
    <cellStyle name="Explanatory Text 18 7" xfId="24788" xr:uid="{78801B77-62EA-49AC-AA02-9AEC89F71D52}"/>
    <cellStyle name="Explanatory Text 19" xfId="2266" xr:uid="{585BE579-C267-420E-95CE-02F4142DE467}"/>
    <cellStyle name="Explanatory Text 19 2" xfId="16415" xr:uid="{14CB1468-DC2A-4AD5-803B-95692F518349}"/>
    <cellStyle name="Explanatory Text 19 2 2" xfId="24800" xr:uid="{35D6D161-3612-4C79-92DA-5BF16C6FFBAD}"/>
    <cellStyle name="Explanatory Text 19 2 3" xfId="24801" xr:uid="{70123A1B-9411-4710-BC29-EB33B3C61E03}"/>
    <cellStyle name="Explanatory Text 19 2 4" xfId="24802" xr:uid="{895F77A0-E7B8-4A6C-B4BD-B449A9C92A13}"/>
    <cellStyle name="Explanatory Text 19 2 5" xfId="24803" xr:uid="{D43FAA62-D9B2-4084-BF15-AAE2509E3E5E}"/>
    <cellStyle name="Explanatory Text 19 2 6" xfId="24799" xr:uid="{B963BBF4-7333-42BB-8A83-AA168F74FF43}"/>
    <cellStyle name="Explanatory Text 19 3" xfId="24804" xr:uid="{D546E7CB-D4A2-4D3E-A36C-055FC4626478}"/>
    <cellStyle name="Explanatory Text 19 4" xfId="24805" xr:uid="{6CD61789-80D5-44E1-B276-75EE1B044F12}"/>
    <cellStyle name="Explanatory Text 19 5" xfId="24806" xr:uid="{73C386DD-ED02-4F5E-89AC-5A33F9848642}"/>
    <cellStyle name="Explanatory Text 19 6" xfId="24807" xr:uid="{C2539173-D5FE-4885-8D14-CC5E19BC3B16}"/>
    <cellStyle name="Explanatory Text 19 7" xfId="24798" xr:uid="{578869FD-3231-40FF-BDA5-AEF047E4CBBB}"/>
    <cellStyle name="Explanatory Text 2" xfId="2267" xr:uid="{3C0881F8-4926-4CBE-9410-3CD1941C1BC5}"/>
    <cellStyle name="Explanatory Text 2 10" xfId="8092" xr:uid="{2009D807-C3DC-4930-A27E-87C9B6E38033}"/>
    <cellStyle name="Explanatory Text 2 10 2" xfId="24809" xr:uid="{C3B31FA8-2C32-4ABA-9938-ED475CFCC6C4}"/>
    <cellStyle name="Explanatory Text 2 11" xfId="24810" xr:uid="{CC8C2BEB-81B7-4423-9F93-DDD2BADF528A}"/>
    <cellStyle name="Explanatory Text 2 12" xfId="24811" xr:uid="{820E070E-FEE7-456A-A329-A3DCA51FFD8E}"/>
    <cellStyle name="Explanatory Text 2 13" xfId="24812" xr:uid="{1CD3C038-1C93-4CE5-957B-12BDAFA4986B}"/>
    <cellStyle name="Explanatory Text 2 14" xfId="24813" xr:uid="{2C19B2A2-BA6F-42F9-BF3B-FF53786C9412}"/>
    <cellStyle name="Explanatory Text 2 15" xfId="24814" xr:uid="{F0776F22-B1BE-4D3E-830A-23E04EB354BA}"/>
    <cellStyle name="Explanatory Text 2 16" xfId="24808" xr:uid="{7B740D18-5472-475E-93AE-C4F27C4E653D}"/>
    <cellStyle name="Explanatory Text 2 2" xfId="2268" xr:uid="{AD1CB5C6-B5CC-4BC7-B4BA-E99F4BFC0FC8}"/>
    <cellStyle name="Explanatory Text 2 2 2" xfId="24816" xr:uid="{AD261079-9381-42C7-8B31-A938BADAE458}"/>
    <cellStyle name="Explanatory Text 2 2 3" xfId="24817" xr:uid="{C3B71350-482E-433F-9834-6071230E1D47}"/>
    <cellStyle name="Explanatory Text 2 2 4" xfId="24818" xr:uid="{2EE1C595-3511-44F4-85B3-639795D6C45E}"/>
    <cellStyle name="Explanatory Text 2 2 5" xfId="24819" xr:uid="{B59038A1-C38E-46B1-830C-9F3BCC451DB7}"/>
    <cellStyle name="Explanatory Text 2 2 6" xfId="24820" xr:uid="{8DD8197C-D3C0-45A4-9894-DAAF1E694730}"/>
    <cellStyle name="Explanatory Text 2 2 7" xfId="24815" xr:uid="{56701EAC-D05B-4719-82F5-D4BA00C53B48}"/>
    <cellStyle name="Explanatory Text 2 3" xfId="2269" xr:uid="{56C96FF8-698F-469C-BFA9-4235794BE1A9}"/>
    <cellStyle name="Explanatory Text 2 3 2" xfId="24822" xr:uid="{D6724D6A-09F3-418D-A949-B30D79E5EC4D}"/>
    <cellStyle name="Explanatory Text 2 3 3" xfId="24823" xr:uid="{977A3229-89BC-4CC6-9F59-B597EA4ED028}"/>
    <cellStyle name="Explanatory Text 2 3 4" xfId="24824" xr:uid="{B807E21E-5E4C-4DBA-A3FE-BCBB55CC3845}"/>
    <cellStyle name="Explanatory Text 2 3 5" xfId="24825" xr:uid="{FC4306F5-B80B-4972-8670-1934794C081B}"/>
    <cellStyle name="Explanatory Text 2 3 6" xfId="24826" xr:uid="{5C334D73-C55A-4624-9620-2FC4BA25F822}"/>
    <cellStyle name="Explanatory Text 2 3 7" xfId="24821" xr:uid="{6D1CEC16-5331-4956-8D2B-39D8DF139162}"/>
    <cellStyle name="Explanatory Text 2 4" xfId="2270" xr:uid="{F90754C9-D1D6-4CF9-B1F7-C5D21F3E3615}"/>
    <cellStyle name="Explanatory Text 2 4 2" xfId="24828" xr:uid="{6937D97B-E6F5-40A2-91FD-05DF8D43334F}"/>
    <cellStyle name="Explanatory Text 2 4 3" xfId="24829" xr:uid="{DE50DDAE-3847-4441-BBE5-55DC7A3EC2CD}"/>
    <cellStyle name="Explanatory Text 2 4 4" xfId="24830" xr:uid="{2287D838-DA15-45CC-AAE4-39330A474388}"/>
    <cellStyle name="Explanatory Text 2 4 5" xfId="24831" xr:uid="{853427A9-60B1-46BE-AF57-E7DAE965A548}"/>
    <cellStyle name="Explanatory Text 2 4 6" xfId="24832" xr:uid="{2257C324-8CA5-4BF1-85A8-639F97DDEFA1}"/>
    <cellStyle name="Explanatory Text 2 4 7" xfId="24827" xr:uid="{D05BE6BE-473A-4816-B17B-3D2B1D638C95}"/>
    <cellStyle name="Explanatory Text 2 5" xfId="2271" xr:uid="{E2CFAF0F-516F-488A-A3ED-1F8AB9F7F018}"/>
    <cellStyle name="Explanatory Text 2 5 2" xfId="24834" xr:uid="{3D84C62A-7147-4B95-8F9B-460A934BE78C}"/>
    <cellStyle name="Explanatory Text 2 5 3" xfId="24835" xr:uid="{0319EC13-D05D-4225-915D-D9AF330F5084}"/>
    <cellStyle name="Explanatory Text 2 5 4" xfId="24836" xr:uid="{8FD20487-4C8F-4D93-B8E0-6BBCCEA7CDA6}"/>
    <cellStyle name="Explanatory Text 2 5 5" xfId="24837" xr:uid="{FF4E3249-063D-49A6-96E4-B86ECFA0AD8B}"/>
    <cellStyle name="Explanatory Text 2 5 6" xfId="24838" xr:uid="{64A9FA0B-B5FD-48DE-9FA9-3E77ECC58BDA}"/>
    <cellStyle name="Explanatory Text 2 5 7" xfId="24833" xr:uid="{775FB350-6967-43E0-9A1D-8A2E414E3D6A}"/>
    <cellStyle name="Explanatory Text 2 6" xfId="2272" xr:uid="{B6DC1326-DE9F-4459-9F41-992C23A304B5}"/>
    <cellStyle name="Explanatory Text 2 6 2" xfId="24840" xr:uid="{9FF00DAD-4207-49CA-AC32-3F36FAE70C07}"/>
    <cellStyle name="Explanatory Text 2 6 3" xfId="24841" xr:uid="{DA3A75CB-AA4F-40C3-82C5-246A3A16DA8B}"/>
    <cellStyle name="Explanatory Text 2 6 4" xfId="24842" xr:uid="{16492EA8-38F8-4451-AFD7-2A33128A97DE}"/>
    <cellStyle name="Explanatory Text 2 6 5" xfId="24843" xr:uid="{02969522-B2A8-409E-8D32-68F5F3444062}"/>
    <cellStyle name="Explanatory Text 2 6 6" xfId="24844" xr:uid="{FD67CD97-9707-4403-8729-01BE89DB5D82}"/>
    <cellStyle name="Explanatory Text 2 6 7" xfId="24839" xr:uid="{D0690A89-3561-424F-96A4-4373A6917633}"/>
    <cellStyle name="Explanatory Text 2 7" xfId="2273" xr:uid="{59CC02EB-1120-4DFA-B4CC-66AF8E86FB3C}"/>
    <cellStyle name="Explanatory Text 2 7 2" xfId="24846" xr:uid="{9FD4122D-BCB8-436E-8993-D4119CF1E4A5}"/>
    <cellStyle name="Explanatory Text 2 7 3" xfId="24847" xr:uid="{AAB79F7A-4B41-4CAA-A9F3-EB80BC6644EA}"/>
    <cellStyle name="Explanatory Text 2 7 4" xfId="24848" xr:uid="{7855B686-313D-41F4-B962-E23E3CC8E89F}"/>
    <cellStyle name="Explanatory Text 2 7 5" xfId="24849" xr:uid="{FA190EB9-60FB-4175-B580-BE577715A422}"/>
    <cellStyle name="Explanatory Text 2 7 6" xfId="24850" xr:uid="{4AC73EC7-ABCD-4368-8501-81F966F6DBAD}"/>
    <cellStyle name="Explanatory Text 2 7 7" xfId="24845" xr:uid="{A71033E9-58DB-466B-8D70-17CED2573D82}"/>
    <cellStyle name="Explanatory Text 2 8" xfId="2274" xr:uid="{C0F15ECC-00B6-4BF9-AA47-C01EEA6F7ACE}"/>
    <cellStyle name="Explanatory Text 2 8 2" xfId="24852" xr:uid="{48E70225-492A-4B47-8D60-45CC1AF1EBF4}"/>
    <cellStyle name="Explanatory Text 2 8 3" xfId="24853" xr:uid="{E2B2FB6A-9DF8-4A2B-9CC9-626C22031F78}"/>
    <cellStyle name="Explanatory Text 2 8 4" xfId="24854" xr:uid="{417F4997-1061-46C9-AE40-177F361F36C2}"/>
    <cellStyle name="Explanatory Text 2 8 5" xfId="24855" xr:uid="{450856C8-66C9-424B-BDC7-6BD2F8C1CED3}"/>
    <cellStyle name="Explanatory Text 2 8 6" xfId="24856" xr:uid="{4F2678F1-6AC7-4326-847A-F51C6ED71FF2}"/>
    <cellStyle name="Explanatory Text 2 8 7" xfId="24851" xr:uid="{059403D0-5370-4349-9E01-AB3A3997B5CA}"/>
    <cellStyle name="Explanatory Text 2 9" xfId="2275" xr:uid="{286E38C6-1D98-404F-BB4A-ECACEA648CA5}"/>
    <cellStyle name="Explanatory Text 2 9 2" xfId="24858" xr:uid="{E96B36BF-4945-4F08-B676-405A4789E190}"/>
    <cellStyle name="Explanatory Text 2 9 3" xfId="24859" xr:uid="{6C420619-DD48-43D4-A095-7922EB2CC48E}"/>
    <cellStyle name="Explanatory Text 2 9 4" xfId="24860" xr:uid="{E9F6DD8C-5135-4E46-8885-9E4212ED2458}"/>
    <cellStyle name="Explanatory Text 2 9 5" xfId="24861" xr:uid="{2C440288-B894-48BD-86E7-D8A642D65691}"/>
    <cellStyle name="Explanatory Text 2 9 6" xfId="24862" xr:uid="{E8A417F6-0DDA-49F2-8647-DDB47CD4752B}"/>
    <cellStyle name="Explanatory Text 2 9 7" xfId="24857" xr:uid="{6BAA934D-F251-44C9-B733-9A8C32CDF74A}"/>
    <cellStyle name="Explanatory Text 20" xfId="2276" xr:uid="{BE130A81-9D0B-4734-B083-E5EE164C4DCA}"/>
    <cellStyle name="Explanatory Text 20 2" xfId="16416" xr:uid="{05F9E602-2571-40AA-B808-AF49B5F09C04}"/>
    <cellStyle name="Explanatory Text 20 2 2" xfId="24865" xr:uid="{7595BA22-EFB7-4D17-9C2B-036FC8B3C31B}"/>
    <cellStyle name="Explanatory Text 20 2 3" xfId="24866" xr:uid="{F328A12A-BA2B-4DAF-94C2-DF4D93143F56}"/>
    <cellStyle name="Explanatory Text 20 2 4" xfId="24867" xr:uid="{2527049B-A053-44EE-8F51-37843D9F70F0}"/>
    <cellStyle name="Explanatory Text 20 2 5" xfId="24868" xr:uid="{527A9007-CED5-4361-AAB1-BE9F6A9A460E}"/>
    <cellStyle name="Explanatory Text 20 2 6" xfId="24864" xr:uid="{2C3770FD-C72B-497F-A871-3075A0343A5C}"/>
    <cellStyle name="Explanatory Text 20 3" xfId="24869" xr:uid="{C3FAF04E-902F-44E3-8C4F-6F9543B9F041}"/>
    <cellStyle name="Explanatory Text 20 4" xfId="24870" xr:uid="{DF32886C-CD86-42C5-A0B7-94E461A06D6A}"/>
    <cellStyle name="Explanatory Text 20 5" xfId="24871" xr:uid="{41358573-C74E-4E8A-9370-CFB1BABF7D11}"/>
    <cellStyle name="Explanatory Text 20 6" xfId="24872" xr:uid="{D6B9BE30-EB16-414E-870B-DF637D4F5C8A}"/>
    <cellStyle name="Explanatory Text 20 7" xfId="24863" xr:uid="{144FDF76-20B9-4A57-AE89-7C4E984D1ED4}"/>
    <cellStyle name="Explanatory Text 21" xfId="16417" xr:uid="{05A9299C-21D8-48ED-8BD4-ABA265F08864}"/>
    <cellStyle name="Explanatory Text 21 2" xfId="24874" xr:uid="{774879F2-1D93-483B-977D-72C41B51B7DE}"/>
    <cellStyle name="Explanatory Text 21 3" xfId="24875" xr:uid="{1A883B59-8292-4071-BDDA-3569580C2AD3}"/>
    <cellStyle name="Explanatory Text 21 4" xfId="24876" xr:uid="{90480767-0ECA-474A-8CA8-4CCBFA46DB96}"/>
    <cellStyle name="Explanatory Text 21 5" xfId="24877" xr:uid="{74D8900B-A6BF-4647-AB97-2BF836B42758}"/>
    <cellStyle name="Explanatory Text 21 6" xfId="24873" xr:uid="{18C08F9A-E725-4EF5-A7F6-199AE4C9CEC1}"/>
    <cellStyle name="Explanatory Text 22" xfId="15227" xr:uid="{483BF2A7-B06C-4464-9D2C-4279F0BC8E52}"/>
    <cellStyle name="Explanatory Text 22 2" xfId="24879" xr:uid="{E1A60102-D365-46C0-A90A-668A26ABEAD5}"/>
    <cellStyle name="Explanatory Text 22 3" xfId="24878" xr:uid="{B1E9C0C9-7151-4C83-AB95-04DDE909F310}"/>
    <cellStyle name="Explanatory Text 23" xfId="24880" xr:uid="{38BD17B5-5675-4013-921C-8F88FBA927D2}"/>
    <cellStyle name="Explanatory Text 24" xfId="24881" xr:uid="{E27CDBC8-9FDD-48F6-8A91-BA624BF8B3C6}"/>
    <cellStyle name="Explanatory Text 25" xfId="24882" xr:uid="{2DAAC630-15AF-48E6-8C01-FFD5E3354899}"/>
    <cellStyle name="Explanatory Text 3" xfId="2277" xr:uid="{5096A105-30F8-4D4A-8E95-582F6268D885}"/>
    <cellStyle name="Explanatory Text 3 10" xfId="2278" xr:uid="{101A8691-2031-4A13-A0D6-81C37C8FA453}"/>
    <cellStyle name="Explanatory Text 3 10 2" xfId="24885" xr:uid="{001077BA-6E5B-4420-811A-70EA598025D6}"/>
    <cellStyle name="Explanatory Text 3 10 3" xfId="24886" xr:uid="{5E025679-A781-4A05-915B-DB4E4951C5DA}"/>
    <cellStyle name="Explanatory Text 3 10 4" xfId="24887" xr:uid="{04A07C1D-9ABB-4C84-BE38-CF49A77B33D3}"/>
    <cellStyle name="Explanatory Text 3 10 5" xfId="24888" xr:uid="{9A06B81C-DE0B-47E3-8084-02476EBC2252}"/>
    <cellStyle name="Explanatory Text 3 10 6" xfId="24884" xr:uid="{B52F10BA-40A6-47BB-A9DC-605638573022}"/>
    <cellStyle name="Explanatory Text 3 11" xfId="2279" xr:uid="{A5866856-D316-4F55-B6D5-5B793D138A12}"/>
    <cellStyle name="Explanatory Text 3 11 2" xfId="24890" xr:uid="{2BC5D3FC-FF56-40C8-906E-22D5EFA86317}"/>
    <cellStyle name="Explanatory Text 3 11 3" xfId="24891" xr:uid="{D1BF0BEB-FCBE-4116-A626-8CAB6E094C63}"/>
    <cellStyle name="Explanatory Text 3 11 4" xfId="24892" xr:uid="{3FDEE246-1403-460E-82D4-7777E9BCB73E}"/>
    <cellStyle name="Explanatory Text 3 11 5" xfId="24893" xr:uid="{A9DCE849-00C2-4B81-A2AF-A5E920E19D2F}"/>
    <cellStyle name="Explanatory Text 3 11 6" xfId="24889" xr:uid="{7DD8EF97-EE27-4F9D-AA9A-DE13F7EB9ABB}"/>
    <cellStyle name="Explanatory Text 3 12" xfId="2280" xr:uid="{74405DA3-CDB0-4D0D-95BB-C739D6B18499}"/>
    <cellStyle name="Explanatory Text 3 12 2" xfId="24895" xr:uid="{51F7A69A-B2E8-4A6E-8B12-54B0E9BE66F8}"/>
    <cellStyle name="Explanatory Text 3 12 3" xfId="24896" xr:uid="{6D08AF1B-2C8B-4BFB-AADC-96DD7355E72D}"/>
    <cellStyle name="Explanatory Text 3 12 4" xfId="24897" xr:uid="{604C98BE-00F1-4093-B71F-DD17F406062C}"/>
    <cellStyle name="Explanatory Text 3 12 5" xfId="24898" xr:uid="{94959DE8-7B9A-4BC6-AFFC-ED986BBAB330}"/>
    <cellStyle name="Explanatory Text 3 12 6" xfId="24894" xr:uid="{15F4382E-DFD3-4BA5-8F2E-D302CD7D4D3B}"/>
    <cellStyle name="Explanatory Text 3 13" xfId="2281" xr:uid="{4A1E9610-6B5D-42BD-BFB6-09DD5A4997DC}"/>
    <cellStyle name="Explanatory Text 3 13 2" xfId="24900" xr:uid="{72B1E5FF-29C5-40EE-9AE7-06F222FE67C4}"/>
    <cellStyle name="Explanatory Text 3 13 3" xfId="24901" xr:uid="{C224A9B7-400E-483E-8722-E77D4384F73C}"/>
    <cellStyle name="Explanatory Text 3 13 4" xfId="24902" xr:uid="{96D8808F-80B0-4153-9B77-993F103C7190}"/>
    <cellStyle name="Explanatory Text 3 13 5" xfId="24903" xr:uid="{2B09E5E7-1AD1-45E9-8681-463274FA5F37}"/>
    <cellStyle name="Explanatory Text 3 13 6" xfId="24899" xr:uid="{000C4710-4E5D-41E0-AF98-29CC51B6A594}"/>
    <cellStyle name="Explanatory Text 3 14" xfId="2282" xr:uid="{27A78C2B-D764-4A18-A6A2-87F0BB5C5339}"/>
    <cellStyle name="Explanatory Text 3 14 2" xfId="24905" xr:uid="{4684D583-5DCC-46A0-A70D-743564686CCC}"/>
    <cellStyle name="Explanatory Text 3 14 3" xfId="24906" xr:uid="{7365E8F4-F3B3-4969-8A94-5DBE9D31DD01}"/>
    <cellStyle name="Explanatory Text 3 14 4" xfId="24907" xr:uid="{0E63A8E4-202D-45CB-8E97-9E73F20949BA}"/>
    <cellStyle name="Explanatory Text 3 14 5" xfId="24908" xr:uid="{FADF1594-10CB-4CCA-B94F-5174620B20F8}"/>
    <cellStyle name="Explanatory Text 3 14 6" xfId="24904" xr:uid="{68542750-1F1E-4363-ADA9-D60A06DF6AFB}"/>
    <cellStyle name="Explanatory Text 3 15" xfId="16418" xr:uid="{00A5F126-B524-461A-9797-59D767F5767E}"/>
    <cellStyle name="Explanatory Text 3 15 2" xfId="24910" xr:uid="{CFEE8C23-1F9E-452F-93EA-478E94BC90D3}"/>
    <cellStyle name="Explanatory Text 3 15 3" xfId="24911" xr:uid="{DAA36B62-2A75-4CA3-82AC-7A7DE3C583CB}"/>
    <cellStyle name="Explanatory Text 3 15 4" xfId="24912" xr:uid="{7EA50CC2-932F-4D1B-91C4-976C5F1FB7CB}"/>
    <cellStyle name="Explanatory Text 3 15 5" xfId="24913" xr:uid="{707FAC7A-3F90-45B1-B810-93841DE3139A}"/>
    <cellStyle name="Explanatory Text 3 15 6" xfId="24909" xr:uid="{0E75355C-1091-4F21-A945-42674687E2CB}"/>
    <cellStyle name="Explanatory Text 3 16" xfId="24914" xr:uid="{19FB2F63-6041-45DC-8128-C6BE6D439719}"/>
    <cellStyle name="Explanatory Text 3 17" xfId="24915" xr:uid="{4DC9488B-44A4-424F-A45C-E79AEB68FB7B}"/>
    <cellStyle name="Explanatory Text 3 18" xfId="24916" xr:uid="{0BBB8834-61DB-4BAE-9E7E-AD5E23DE8987}"/>
    <cellStyle name="Explanatory Text 3 19" xfId="24917" xr:uid="{0F57043F-D89D-4959-8BE0-57AD61E896B0}"/>
    <cellStyle name="Explanatory Text 3 2" xfId="2283" xr:uid="{8558EF3F-8A2E-4923-BEB0-775679EFE285}"/>
    <cellStyle name="Explanatory Text 3 2 2" xfId="24919" xr:uid="{D3E2C481-EC3A-438B-9A63-C14BEE6F7001}"/>
    <cellStyle name="Explanatory Text 3 2 3" xfId="24920" xr:uid="{18E6BE64-0181-4789-A130-AB1DE41082AC}"/>
    <cellStyle name="Explanatory Text 3 2 4" xfId="24921" xr:uid="{16B3D95B-63C4-41E6-9D35-AAED1ACE1B54}"/>
    <cellStyle name="Explanatory Text 3 2 5" xfId="24922" xr:uid="{2AE684B9-28E4-4A9F-B81E-90D24F59C3F5}"/>
    <cellStyle name="Explanatory Text 3 2 6" xfId="24923" xr:uid="{9CDAD2D2-BB9E-46D5-B7C4-6C5E364B3273}"/>
    <cellStyle name="Explanatory Text 3 2 7" xfId="24918" xr:uid="{261819BC-FBEF-4D51-8C7A-111D8771BFD0}"/>
    <cellStyle name="Explanatory Text 3 20" xfId="24924" xr:uid="{098E51AF-4EF3-4348-8B2C-9A66B1AA1A44}"/>
    <cellStyle name="Explanatory Text 3 21" xfId="24883" xr:uid="{35504514-C8BA-4C4C-82F6-DD0AB7D2157B}"/>
    <cellStyle name="Explanatory Text 3 3" xfId="2284" xr:uid="{2E748ACB-06F7-49A5-B7F0-AE6AB0FBA371}"/>
    <cellStyle name="Explanatory Text 3 3 2" xfId="24926" xr:uid="{1D9FFA97-8A3E-4980-A3E9-21EE8D056D45}"/>
    <cellStyle name="Explanatory Text 3 3 3" xfId="24927" xr:uid="{F9DB68A9-8A58-47B3-A7C3-2B991BE2B709}"/>
    <cellStyle name="Explanatory Text 3 3 4" xfId="24928" xr:uid="{E04BB7B9-7A29-498B-AD6C-32B6DA927E4F}"/>
    <cellStyle name="Explanatory Text 3 3 5" xfId="24929" xr:uid="{0E433DD8-D209-4D10-94E4-4AD0A2679A3B}"/>
    <cellStyle name="Explanatory Text 3 3 6" xfId="24925" xr:uid="{F6EB0E79-70A7-400E-A9A6-351F96141A3B}"/>
    <cellStyle name="Explanatory Text 3 4" xfId="2285" xr:uid="{2471690D-9B9E-4754-A4F1-884F692D132E}"/>
    <cellStyle name="Explanatory Text 3 4 2" xfId="24931" xr:uid="{6F8B6916-304A-4CDD-A51B-48EC6FF2371E}"/>
    <cellStyle name="Explanatory Text 3 4 3" xfId="24932" xr:uid="{47091304-FB92-4A22-8B8B-1570EEB68240}"/>
    <cellStyle name="Explanatory Text 3 4 4" xfId="24933" xr:uid="{02B1F143-72BA-4536-B2C9-0F744AB9EDC8}"/>
    <cellStyle name="Explanatory Text 3 4 5" xfId="24934" xr:uid="{23468CE2-9520-47CA-BF5F-9DE4E7543798}"/>
    <cellStyle name="Explanatory Text 3 4 6" xfId="24930" xr:uid="{91204EA6-9633-464D-BCAA-9DFBCF092183}"/>
    <cellStyle name="Explanatory Text 3 5" xfId="2286" xr:uid="{67C83148-1517-4F31-849F-BD0F11212401}"/>
    <cellStyle name="Explanatory Text 3 5 2" xfId="24936" xr:uid="{93791576-C940-4B75-8974-4B2E8A27B4A4}"/>
    <cellStyle name="Explanatory Text 3 5 3" xfId="24937" xr:uid="{169DC467-7CF8-4625-B8CD-2C12CEBBEA95}"/>
    <cellStyle name="Explanatory Text 3 5 4" xfId="24938" xr:uid="{6FAA5438-B7E3-4F97-9EDC-5A91E8CEA7E7}"/>
    <cellStyle name="Explanatory Text 3 5 5" xfId="24939" xr:uid="{92F7442D-9979-4E9B-8583-BC8803D905B4}"/>
    <cellStyle name="Explanatory Text 3 5 6" xfId="24935" xr:uid="{6D730C86-C804-4194-BE40-4F426DBF8E82}"/>
    <cellStyle name="Explanatory Text 3 6" xfId="2287" xr:uid="{00700708-44C0-49E9-AA3C-A38375C869C4}"/>
    <cellStyle name="Explanatory Text 3 6 2" xfId="24941" xr:uid="{07D7FA70-B4F3-4AC0-8415-CA248D3C43D8}"/>
    <cellStyle name="Explanatory Text 3 6 3" xfId="24942" xr:uid="{0CF0C8D5-7FEE-44E0-9E2C-3794BD743283}"/>
    <cellStyle name="Explanatory Text 3 6 4" xfId="24943" xr:uid="{568E4B63-9101-45A9-80BE-337A6CBFDE84}"/>
    <cellStyle name="Explanatory Text 3 6 5" xfId="24944" xr:uid="{369F5D69-DEAF-453F-83DC-8D6E47FE13CC}"/>
    <cellStyle name="Explanatory Text 3 6 6" xfId="24940" xr:uid="{9AEEF876-509D-4AA9-8DA2-582A0C73EC05}"/>
    <cellStyle name="Explanatory Text 3 7" xfId="2288" xr:uid="{F2227E20-18B8-4575-9794-7CBE4AF125BF}"/>
    <cellStyle name="Explanatory Text 3 7 2" xfId="24946" xr:uid="{5CCB6C8A-BC90-4D00-878D-89ECFB8456B1}"/>
    <cellStyle name="Explanatory Text 3 7 3" xfId="24947" xr:uid="{F7441DB8-EC6D-4E8B-B4EF-EDBD6345BFDF}"/>
    <cellStyle name="Explanatory Text 3 7 4" xfId="24948" xr:uid="{44A8E27A-0816-42D4-9298-E076331B5DC5}"/>
    <cellStyle name="Explanatory Text 3 7 5" xfId="24949" xr:uid="{8E05E498-DA7C-4207-A7CC-D793029D4964}"/>
    <cellStyle name="Explanatory Text 3 7 6" xfId="24945" xr:uid="{80509F85-FE4C-4BDC-B543-4C4A17BB3580}"/>
    <cellStyle name="Explanatory Text 3 8" xfId="2289" xr:uid="{42159485-C352-4439-915E-34676C7006C2}"/>
    <cellStyle name="Explanatory Text 3 8 2" xfId="24951" xr:uid="{108C1F3A-E48F-46B4-B019-051988F89F87}"/>
    <cellStyle name="Explanatory Text 3 8 3" xfId="24952" xr:uid="{E03A49C7-A82F-46D8-8D13-FA4811510A1A}"/>
    <cellStyle name="Explanatory Text 3 8 4" xfId="24953" xr:uid="{8061E846-8E2B-4913-9063-9C8584711116}"/>
    <cellStyle name="Explanatory Text 3 8 5" xfId="24954" xr:uid="{BFE6F328-FEF9-4AFF-B718-629430713141}"/>
    <cellStyle name="Explanatory Text 3 8 6" xfId="24950" xr:uid="{4484D78D-D96F-4F89-AA27-825A14BB283D}"/>
    <cellStyle name="Explanatory Text 3 9" xfId="2290" xr:uid="{6E6A75EF-72F2-49E5-97B4-72C4FFBFD11C}"/>
    <cellStyle name="Explanatory Text 3 9 2" xfId="24956" xr:uid="{0C82FB7C-5BEA-4EF4-81CB-6958C4E5C9FF}"/>
    <cellStyle name="Explanatory Text 3 9 3" xfId="24957" xr:uid="{D77E7128-9BD4-491E-80BC-54666C1C9743}"/>
    <cellStyle name="Explanatory Text 3 9 4" xfId="24958" xr:uid="{2879D460-357C-4476-8853-41CE3BA29EA2}"/>
    <cellStyle name="Explanatory Text 3 9 5" xfId="24959" xr:uid="{4AFDB30F-3198-48AA-BC73-259CFB5B0E42}"/>
    <cellStyle name="Explanatory Text 3 9 6" xfId="24955" xr:uid="{F6E9996C-74C3-4D57-91C2-6CB384DE874D}"/>
    <cellStyle name="Explanatory Text 4" xfId="2291" xr:uid="{D30A0489-247A-4470-973E-588FB13FAE17}"/>
    <cellStyle name="Explanatory Text 4 2" xfId="2292" xr:uid="{85EC0BD1-8FB7-494E-820C-637E67CCF294}"/>
    <cellStyle name="Explanatory Text 4 2 2" xfId="24962" xr:uid="{938B7E53-C7FE-4337-8AB8-FB059B16C716}"/>
    <cellStyle name="Explanatory Text 4 2 3" xfId="24963" xr:uid="{70EDE1A8-54DB-4DDD-971A-B70D040B880F}"/>
    <cellStyle name="Explanatory Text 4 2 4" xfId="24964" xr:uid="{56F9916D-4E38-4423-B471-B1B18CCFC64C}"/>
    <cellStyle name="Explanatory Text 4 2 5" xfId="24965" xr:uid="{43CD02BD-DB35-447A-BB61-D5CC51864AFA}"/>
    <cellStyle name="Explanatory Text 4 2 6" xfId="24966" xr:uid="{56C5DEA5-30FA-4B5E-AFDA-430C88640334}"/>
    <cellStyle name="Explanatory Text 4 2 7" xfId="24961" xr:uid="{028EEAFB-FD71-40E0-A7F5-45E5DC691C93}"/>
    <cellStyle name="Explanatory Text 4 3" xfId="24967" xr:uid="{5B75350D-729D-46A2-8C9A-2EEBE55C5E7F}"/>
    <cellStyle name="Explanatory Text 4 4" xfId="24968" xr:uid="{6742C7D7-431F-4C35-8002-068A5D824246}"/>
    <cellStyle name="Explanatory Text 4 5" xfId="24969" xr:uid="{F9A57A9C-6ABE-4934-8A6E-401D808D8D61}"/>
    <cellStyle name="Explanatory Text 4 6" xfId="24970" xr:uid="{2237575E-95B1-407A-8B97-365A9A01D917}"/>
    <cellStyle name="Explanatory Text 4 7" xfId="24971" xr:uid="{4B0DBA23-9380-4362-9366-6B95AE70075B}"/>
    <cellStyle name="Explanatory Text 4 8" xfId="24960" xr:uid="{1C95244A-566E-44CB-9D8C-634CFA29B0C6}"/>
    <cellStyle name="Explanatory Text 5" xfId="2293" xr:uid="{EC22053C-B123-40E6-AA54-6A76D59E9D48}"/>
    <cellStyle name="Explanatory Text 5 2" xfId="2294" xr:uid="{193F37EA-CF7A-411E-9990-9149BB7425E0}"/>
    <cellStyle name="Explanatory Text 5 2 2" xfId="24974" xr:uid="{116719E1-FFED-4DFD-875F-DE73D187883A}"/>
    <cellStyle name="Explanatory Text 5 2 3" xfId="24975" xr:uid="{9D133217-83FF-464B-A4C1-397DA31EFE81}"/>
    <cellStyle name="Explanatory Text 5 2 4" xfId="24976" xr:uid="{B60B3852-DD4C-416B-BEF3-2E2E10147670}"/>
    <cellStyle name="Explanatory Text 5 2 5" xfId="24977" xr:uid="{8679915D-5974-451F-9F41-AF25A592276A}"/>
    <cellStyle name="Explanatory Text 5 2 6" xfId="24978" xr:uid="{7D9D3E39-B7E0-4C36-8721-0B0492076951}"/>
    <cellStyle name="Explanatory Text 5 2 7" xfId="24973" xr:uid="{7E24DEB9-3E54-4818-9E62-2E5FF5DC2EC9}"/>
    <cellStyle name="Explanatory Text 5 3" xfId="24979" xr:uid="{1082CAFB-7B92-429D-8A21-96F686663FC4}"/>
    <cellStyle name="Explanatory Text 5 4" xfId="24980" xr:uid="{1B6CC97D-7674-42A9-9ACE-4B3B3B0679B8}"/>
    <cellStyle name="Explanatory Text 5 5" xfId="24981" xr:uid="{8DA1A7E3-A1FA-4ECE-BFF8-AB7D06EF7E6C}"/>
    <cellStyle name="Explanatory Text 5 6" xfId="24982" xr:uid="{B9AAED32-F806-4415-A6C4-7088211C4899}"/>
    <cellStyle name="Explanatory Text 5 7" xfId="24983" xr:uid="{2B032BA1-49EC-4684-809C-A993AF7DCDEE}"/>
    <cellStyle name="Explanatory Text 5 8" xfId="24972" xr:uid="{4B1918B3-50E8-434A-92D9-0B584CE8806D}"/>
    <cellStyle name="Explanatory Text 6" xfId="2295" xr:uid="{D0FBA626-4535-40FF-A17A-1B5246F1C960}"/>
    <cellStyle name="Explanatory Text 6 2" xfId="2296" xr:uid="{00B3950A-D919-4405-8D1E-3AB9E4403646}"/>
    <cellStyle name="Explanatory Text 6 2 2" xfId="24986" xr:uid="{2E02FCF8-84D3-4DBC-8777-6C58C1EB50C6}"/>
    <cellStyle name="Explanatory Text 6 2 3" xfId="24987" xr:uid="{E4FB5DEF-9FE9-4DD6-9D9B-A06AE76A6B1B}"/>
    <cellStyle name="Explanatory Text 6 2 4" xfId="24988" xr:uid="{1B313FCA-0F84-439E-808F-709F9C44B86A}"/>
    <cellStyle name="Explanatory Text 6 2 5" xfId="24989" xr:uid="{22CE6DA8-50A7-4359-B975-A2FDDE2D8C20}"/>
    <cellStyle name="Explanatory Text 6 2 6" xfId="24990" xr:uid="{7315238E-93B3-4F61-B095-26973776074E}"/>
    <cellStyle name="Explanatory Text 6 2 7" xfId="24985" xr:uid="{17A40918-202C-4EA2-8B2A-62AAD26782B5}"/>
    <cellStyle name="Explanatory Text 6 3" xfId="2297" xr:uid="{F501996A-16DD-4216-96C0-7DF412FA9EAD}"/>
    <cellStyle name="Explanatory Text 6 3 2" xfId="24992" xr:uid="{4D86CA7A-3F99-4C42-B4E4-850BBFD693FC}"/>
    <cellStyle name="Explanatory Text 6 3 3" xfId="24993" xr:uid="{AE37D358-DD7D-4E6C-9B0D-E7329A54794F}"/>
    <cellStyle name="Explanatory Text 6 3 4" xfId="24994" xr:uid="{DDA4A540-70C0-41A7-BC1C-B547DD49EBE8}"/>
    <cellStyle name="Explanatory Text 6 3 5" xfId="24995" xr:uid="{6DA0DA34-256C-48AE-9C14-FE436C55BE9E}"/>
    <cellStyle name="Explanatory Text 6 3 6" xfId="24991" xr:uid="{CEBCDB78-BDFA-4521-B4A9-33177AE0E246}"/>
    <cellStyle name="Explanatory Text 6 4" xfId="24996" xr:uid="{19D7A584-286A-41ED-83F0-8EA4E112DB48}"/>
    <cellStyle name="Explanatory Text 6 5" xfId="24997" xr:uid="{2DC82EAD-575E-4811-A666-7E8152F7A5F9}"/>
    <cellStyle name="Explanatory Text 6 6" xfId="24998" xr:uid="{CD00585C-C780-4695-A8DF-AFA32EB20E17}"/>
    <cellStyle name="Explanatory Text 6 7" xfId="24999" xr:uid="{10D7E027-9DEA-4368-8FBE-60850F39AA4C}"/>
    <cellStyle name="Explanatory Text 6 8" xfId="25000" xr:uid="{91EF0D6D-99FF-4C0E-83EB-52993E5B9973}"/>
    <cellStyle name="Explanatory Text 6 9" xfId="24984" xr:uid="{FB2281D0-1F8C-4150-A421-666C3044563B}"/>
    <cellStyle name="Explanatory Text 7" xfId="2298" xr:uid="{2C4679A7-0830-4C02-A3EB-C45F48DA270B}"/>
    <cellStyle name="Explanatory Text 7 2" xfId="2299" xr:uid="{E7F535E5-EF58-46EB-8B0D-558F52CC42B0}"/>
    <cellStyle name="Explanatory Text 7 2 2" xfId="25003" xr:uid="{1D341BE9-7B6A-416E-A324-D05722D4CD52}"/>
    <cellStyle name="Explanatory Text 7 2 3" xfId="25004" xr:uid="{5B9D541B-0965-4BDD-BD28-96CA4A77868C}"/>
    <cellStyle name="Explanatory Text 7 2 4" xfId="25005" xr:uid="{8A5EE63E-5F86-4EFD-BCB6-A19CE09090AF}"/>
    <cellStyle name="Explanatory Text 7 2 5" xfId="25006" xr:uid="{E89E5C81-5B57-4BB7-8B91-A470FC049EB5}"/>
    <cellStyle name="Explanatory Text 7 2 6" xfId="25007" xr:uid="{AFB0CDEF-4994-450F-9E35-636CB8A16016}"/>
    <cellStyle name="Explanatory Text 7 2 7" xfId="25002" xr:uid="{4572515C-A638-4942-8C8C-F66ED8C1CDB1}"/>
    <cellStyle name="Explanatory Text 7 3" xfId="2300" xr:uid="{5375BC17-3C38-4D52-A715-66FCC9CA0B8E}"/>
    <cellStyle name="Explanatory Text 7 3 2" xfId="25009" xr:uid="{D104D65F-F947-4AD4-A6FE-9A10DC941256}"/>
    <cellStyle name="Explanatory Text 7 3 3" xfId="25010" xr:uid="{F4B26B7E-A710-4D4A-A93E-32911B6F63BB}"/>
    <cellStyle name="Explanatory Text 7 3 4" xfId="25011" xr:uid="{AD7BDAD0-731D-4756-8915-EFA84158ED08}"/>
    <cellStyle name="Explanatory Text 7 3 5" xfId="25012" xr:uid="{F30BD00E-C6AF-4683-BC29-E610DF2E5110}"/>
    <cellStyle name="Explanatory Text 7 3 6" xfId="25008" xr:uid="{C9BAE9B2-48A5-4976-A296-93C80D68C231}"/>
    <cellStyle name="Explanatory Text 7 4" xfId="25013" xr:uid="{104ED9AB-290B-446F-AED1-3AEEDB132B23}"/>
    <cellStyle name="Explanatory Text 7 5" xfId="25014" xr:uid="{AAC4D435-F8AB-44AB-8AD9-76EC6604511B}"/>
    <cellStyle name="Explanatory Text 7 6" xfId="25015" xr:uid="{455DB93F-012D-4120-AD9C-9D87766D615A}"/>
    <cellStyle name="Explanatory Text 7 7" xfId="25016" xr:uid="{EBD9AA21-6860-4503-A965-749FC635D986}"/>
    <cellStyle name="Explanatory Text 7 8" xfId="25017" xr:uid="{711C02FE-0159-4B06-BA51-96ED72749B50}"/>
    <cellStyle name="Explanatory Text 7 9" xfId="25001" xr:uid="{3E1728A2-92F9-4698-8CD0-6361F87FA02F}"/>
    <cellStyle name="Explanatory Text 8" xfId="2301" xr:uid="{E5EF9606-6BE0-4927-A90A-946C01605B72}"/>
    <cellStyle name="Explanatory Text 8 2" xfId="2302" xr:uid="{9B8F62BE-B76B-4A5E-A899-EBE9CCD5A398}"/>
    <cellStyle name="Explanatory Text 8 2 2" xfId="25020" xr:uid="{0F752D8D-A0C0-4D78-8E6D-7A16C1AC6AD7}"/>
    <cellStyle name="Explanatory Text 8 2 3" xfId="25021" xr:uid="{A1DC6C16-FBFA-4F4E-80AD-6C686E6F6275}"/>
    <cellStyle name="Explanatory Text 8 2 4" xfId="25022" xr:uid="{09FE1757-2A76-437A-A522-5966BDC5840B}"/>
    <cellStyle name="Explanatory Text 8 2 5" xfId="25023" xr:uid="{50AA547B-297A-426A-A0B6-A75CCAFC0F5E}"/>
    <cellStyle name="Explanatory Text 8 2 6" xfId="25024" xr:uid="{C68785A9-58AA-4116-8C5B-F67701B50DE8}"/>
    <cellStyle name="Explanatory Text 8 2 7" xfId="25019" xr:uid="{0E5E1EB6-9F2C-49A3-AC3F-64AB6DBE2646}"/>
    <cellStyle name="Explanatory Text 8 3" xfId="2303" xr:uid="{E1D02F4C-1F25-4962-B727-569DA597B477}"/>
    <cellStyle name="Explanatory Text 8 3 2" xfId="25026" xr:uid="{642EB8C2-CFDA-470D-B696-2700FB3BD191}"/>
    <cellStyle name="Explanatory Text 8 3 3" xfId="25027" xr:uid="{D5AC0B9A-9938-4E46-97A8-A1E6A14DC276}"/>
    <cellStyle name="Explanatory Text 8 3 4" xfId="25028" xr:uid="{1D81787A-F1BA-4CFA-9285-680807080211}"/>
    <cellStyle name="Explanatory Text 8 3 5" xfId="25029" xr:uid="{74C30EF6-3404-41AB-B852-7752F8181139}"/>
    <cellStyle name="Explanatory Text 8 3 6" xfId="25025" xr:uid="{F68ABCC1-F3D5-42A2-BFFC-1C422D9B0F3A}"/>
    <cellStyle name="Explanatory Text 8 4" xfId="25030" xr:uid="{A4EDC3D6-A3A9-4C4D-AAC4-BAF4A7B43D3F}"/>
    <cellStyle name="Explanatory Text 8 5" xfId="25031" xr:uid="{FEBBDE61-5533-492C-B89D-AA28EDFD7A42}"/>
    <cellStyle name="Explanatory Text 8 6" xfId="25032" xr:uid="{E50786C3-9796-4B1F-868A-6B9BAA2CF063}"/>
    <cellStyle name="Explanatory Text 8 7" xfId="25033" xr:uid="{E815D283-6569-4D8F-AA31-725A42E97FE7}"/>
    <cellStyle name="Explanatory Text 8 8" xfId="25034" xr:uid="{BB5381F1-A1D1-45D9-AD1E-A2B755C8D9D1}"/>
    <cellStyle name="Explanatory Text 8 9" xfId="25018" xr:uid="{88AE2735-65BE-4BAE-81DD-976E7632690E}"/>
    <cellStyle name="Explanatory Text 9" xfId="2304" xr:uid="{A270DB91-16FD-4E03-87B9-7183F63E5D80}"/>
    <cellStyle name="Explanatory Text 9 2" xfId="2305" xr:uid="{3CFC4B9F-C142-45DE-9A35-A95FD53248D6}"/>
    <cellStyle name="Explanatory Text 9 2 2" xfId="25037" xr:uid="{4EC34AEE-89ED-4806-8436-FA144276AD37}"/>
    <cellStyle name="Explanatory Text 9 2 3" xfId="25038" xr:uid="{D26572E0-B4C7-4B5C-A332-139798E990E6}"/>
    <cellStyle name="Explanatory Text 9 2 4" xfId="25039" xr:uid="{06030FA6-2E14-4386-9FF1-A8FAE782405D}"/>
    <cellStyle name="Explanatory Text 9 2 5" xfId="25040" xr:uid="{0AF6C86E-DF37-4207-B3C5-543135DCADB5}"/>
    <cellStyle name="Explanatory Text 9 2 6" xfId="25036" xr:uid="{F997E779-9EFB-4BA7-A761-E774251EBD4C}"/>
    <cellStyle name="Explanatory Text 9 3" xfId="25041" xr:uid="{D239F0AF-B987-4AD3-951A-AF0ACDAEF573}"/>
    <cellStyle name="Explanatory Text 9 4" xfId="25042" xr:uid="{97721C93-01D5-4E1F-BA02-02F81EA96C6E}"/>
    <cellStyle name="Explanatory Text 9 5" xfId="25043" xr:uid="{8EBD0A4F-597F-4B56-823D-BB368FE5AA8F}"/>
    <cellStyle name="Explanatory Text 9 6" xfId="25044" xr:uid="{BB8E1BBA-F813-4458-964F-DD95168EE37D}"/>
    <cellStyle name="Explanatory Text 9 7" xfId="25045" xr:uid="{C29AE8E3-0C83-4FE5-9954-E9E37FA31D33}"/>
    <cellStyle name="Explanatory Text 9 8" xfId="25035" xr:uid="{C4922AD7-63AD-4AFC-A852-4B1546181B92}"/>
    <cellStyle name="Good 10" xfId="2306" xr:uid="{A38532B1-D580-4025-8429-09FC10E7FE8E}"/>
    <cellStyle name="Good 10 2" xfId="2307" xr:uid="{8E467AC9-5278-416B-A9F0-4E2CB6CE236E}"/>
    <cellStyle name="Good 10 2 2" xfId="25048" xr:uid="{68927FF1-BC49-44E8-9278-568781A8FFEA}"/>
    <cellStyle name="Good 10 2 3" xfId="25049" xr:uid="{C9E2DA08-3F92-4B32-858F-9E59E50EF223}"/>
    <cellStyle name="Good 10 2 4" xfId="25050" xr:uid="{DAF17972-17F7-4AD5-B042-9E2369D21745}"/>
    <cellStyle name="Good 10 2 5" xfId="25051" xr:uid="{B990E4DC-34D1-49F7-AE24-820F49A4DAB4}"/>
    <cellStyle name="Good 10 2 6" xfId="25047" xr:uid="{E4BC6571-2C5D-440C-B82B-2A4547A5071B}"/>
    <cellStyle name="Good 10 3" xfId="25052" xr:uid="{A3C307F3-9E2F-4CA9-90B5-B8289F5FA958}"/>
    <cellStyle name="Good 10 4" xfId="25053" xr:uid="{B1AE29E3-F8C7-4D40-8775-916C3B05F45B}"/>
    <cellStyle name="Good 10 5" xfId="25054" xr:uid="{85153A4C-7D82-4F50-B488-8455FD966413}"/>
    <cellStyle name="Good 10 6" xfId="25055" xr:uid="{A38B7F3D-57A3-43EA-BD33-B7A1786A58E0}"/>
    <cellStyle name="Good 10 7" xfId="25056" xr:uid="{03CC9B87-DE26-4257-831B-AC8D36F2F775}"/>
    <cellStyle name="Good 10 8" xfId="25046" xr:uid="{F57DC8A2-1F5C-424E-8C5D-0EF719E7E299}"/>
    <cellStyle name="Good 11" xfId="2308" xr:uid="{3F464063-D498-4546-B6CA-9FB8E60EE187}"/>
    <cellStyle name="Good 11 2" xfId="10399" xr:uid="{04925733-2604-4EF0-8630-52D009A54780}"/>
    <cellStyle name="Good 11 2 2" xfId="25059" xr:uid="{5764121D-CEE4-4A9A-8798-5FA31FBC571B}"/>
    <cellStyle name="Good 11 2 3" xfId="25060" xr:uid="{DCFEF688-2F67-43E3-9EB7-70A3E8A33E0D}"/>
    <cellStyle name="Good 11 2 4" xfId="25061" xr:uid="{0841F601-6E08-4F57-8971-2BF1CAD1761C}"/>
    <cellStyle name="Good 11 2 5" xfId="25062" xr:uid="{F50C8A9D-9724-45B1-A6B5-3BD9EFC8E661}"/>
    <cellStyle name="Good 11 2 6" xfId="25058" xr:uid="{C4C092F1-C029-43B6-A560-A721EB6830A4}"/>
    <cellStyle name="Good 11 3" xfId="25063" xr:uid="{B7F05C97-EA9E-41EC-A2A2-FCE148447383}"/>
    <cellStyle name="Good 11 4" xfId="25064" xr:uid="{277CAA12-AB62-44A4-BF28-5F57C9BB525F}"/>
    <cellStyle name="Good 11 5" xfId="25065" xr:uid="{FF7E4456-9E97-4879-A608-C71F439A1B4B}"/>
    <cellStyle name="Good 11 6" xfId="25066" xr:uid="{EF430CCD-5D30-4D38-8E38-8D0BE687D93C}"/>
    <cellStyle name="Good 11 7" xfId="25067" xr:uid="{87164A9D-D123-4B91-B50F-716254D9A4E6}"/>
    <cellStyle name="Good 11 8" xfId="25057" xr:uid="{65B01007-414D-4C32-91D9-D0F4ED576F36}"/>
    <cellStyle name="Good 12" xfId="2309" xr:uid="{7C9D0812-A17E-4059-847E-FF9516DA5CDF}"/>
    <cellStyle name="Good 12 2" xfId="8636" xr:uid="{4464C1E4-A788-48BF-AC73-E041E24A7673}"/>
    <cellStyle name="Good 12 2 2" xfId="25070" xr:uid="{0F8815B2-B664-476F-9361-01CE880BB862}"/>
    <cellStyle name="Good 12 2 3" xfId="25071" xr:uid="{1990FBF8-0AA9-44D1-B12F-5500DB3325C8}"/>
    <cellStyle name="Good 12 2 4" xfId="25072" xr:uid="{35164352-6092-414B-8492-ADA3C398A4B9}"/>
    <cellStyle name="Good 12 2 5" xfId="25073" xr:uid="{5916D0CB-13EC-4A7F-9D50-378072A3DB31}"/>
    <cellStyle name="Good 12 2 6" xfId="25069" xr:uid="{9C4D778A-4BF4-4AD1-AE61-79AECC34013E}"/>
    <cellStyle name="Good 12 3" xfId="25074" xr:uid="{1E9F24FF-D6C0-4233-9D58-DAF0686CA3B3}"/>
    <cellStyle name="Good 12 4" xfId="25075" xr:uid="{EBC35488-C8E8-42C6-AB92-EC04402A8D69}"/>
    <cellStyle name="Good 12 5" xfId="25076" xr:uid="{1A948656-FF60-4043-ADAD-53CFFF1614D6}"/>
    <cellStyle name="Good 12 6" xfId="25077" xr:uid="{AEAF3106-31AE-44AF-950F-B8F262BB0E45}"/>
    <cellStyle name="Good 12 7" xfId="25078" xr:uid="{9171C3AD-02E6-4D31-9B67-D6B5A6311EFD}"/>
    <cellStyle name="Good 12 8" xfId="25068" xr:uid="{D8364C56-5367-428A-B6C6-A491F8061E22}"/>
    <cellStyle name="Good 13" xfId="2310" xr:uid="{99BAB315-70B8-4552-9C97-DD6146B79669}"/>
    <cellStyle name="Good 13 2" xfId="8091" xr:uid="{10A9BFED-B142-4D0C-8B35-8BD5FCCA7434}"/>
    <cellStyle name="Good 13 2 2" xfId="25081" xr:uid="{3CA63575-2FE4-4C0E-9DBE-90DB491EF573}"/>
    <cellStyle name="Good 13 2 3" xfId="25082" xr:uid="{97738494-93B6-4A36-B393-BE5DD59FE60B}"/>
    <cellStyle name="Good 13 2 4" xfId="25083" xr:uid="{5855B7A8-0EB9-4D85-B8DE-D47F8A1C4BBF}"/>
    <cellStyle name="Good 13 2 5" xfId="25084" xr:uid="{DA2A34E7-F2C6-44B2-A575-3C95B67EF29A}"/>
    <cellStyle name="Good 13 2 6" xfId="25080" xr:uid="{24B28D58-8FEE-4A43-B7E6-3730DEC71DED}"/>
    <cellStyle name="Good 13 3" xfId="25085" xr:uid="{9CD7DB3C-66F6-4FC0-9B84-56B904E9F7C9}"/>
    <cellStyle name="Good 13 4" xfId="25086" xr:uid="{5BEB97BB-58C7-456F-87F3-F055E409984F}"/>
    <cellStyle name="Good 13 5" xfId="25087" xr:uid="{6DD66508-E7E6-4E6B-A186-82D2DF46524B}"/>
    <cellStyle name="Good 13 6" xfId="25088" xr:uid="{D9D2C229-CECC-432B-BA52-5C337322158A}"/>
    <cellStyle name="Good 13 7" xfId="25089" xr:uid="{994BDB49-8E11-44EE-9E41-5CA57E3B8508}"/>
    <cellStyle name="Good 13 8" xfId="25079" xr:uid="{1D882AF4-FE57-48BF-AF8C-5BA6BD635E49}"/>
    <cellStyle name="Good 14" xfId="2311" xr:uid="{063571F6-D72C-4474-AE63-4F010D2896FF}"/>
    <cellStyle name="Good 14 2" xfId="8090" xr:uid="{2DADA19C-9CC1-45F8-A87C-EAB64629C415}"/>
    <cellStyle name="Good 14 2 2" xfId="25092" xr:uid="{771C6FFF-D5DB-4D51-8AF3-89FCE2E81FCE}"/>
    <cellStyle name="Good 14 2 3" xfId="25093" xr:uid="{5C9C3C19-C513-4286-87E2-11C4FD96C746}"/>
    <cellStyle name="Good 14 2 4" xfId="25094" xr:uid="{A393A7FD-DC4C-497C-B29B-43C182FADAE4}"/>
    <cellStyle name="Good 14 2 5" xfId="25095" xr:uid="{45C975B5-A077-4922-89FE-95AF3EAE4F54}"/>
    <cellStyle name="Good 14 2 6" xfId="25091" xr:uid="{D790472C-CFF3-495A-ABA6-E0073CD81F09}"/>
    <cellStyle name="Good 14 3" xfId="25096" xr:uid="{3F253C2C-94FC-4414-A8E0-5ADEAD50B317}"/>
    <cellStyle name="Good 14 4" xfId="25097" xr:uid="{890F556A-7A3D-4D03-8592-B94F58419A08}"/>
    <cellStyle name="Good 14 5" xfId="25098" xr:uid="{284949D2-6D21-4405-8327-E9B9DE3850D1}"/>
    <cellStyle name="Good 14 6" xfId="25099" xr:uid="{C28DA8A3-2A28-4D10-A45C-24A67C04FF95}"/>
    <cellStyle name="Good 14 7" xfId="25100" xr:uid="{1960C22A-CD75-44CD-B09E-D8A8F587EB18}"/>
    <cellStyle name="Good 14 8" xfId="25090" xr:uid="{67E00FE0-41E4-476C-BE83-3423476F60ED}"/>
    <cellStyle name="Good 15" xfId="2312" xr:uid="{8B3EB18C-9C49-44D8-B1FF-D1E8F83E9EF8}"/>
    <cellStyle name="Good 15 2" xfId="16419" xr:uid="{DA92D413-C79D-44C8-BD36-C6DB15DD6F98}"/>
    <cellStyle name="Good 15 2 2" xfId="25103" xr:uid="{9E49FDAC-3243-421C-A400-FB726EB3EEEA}"/>
    <cellStyle name="Good 15 2 3" xfId="25104" xr:uid="{405A0E4D-2EC6-44A3-BE4A-CF8FF90E7B5A}"/>
    <cellStyle name="Good 15 2 4" xfId="25105" xr:uid="{49694B35-316B-4506-819A-3DD6B475CAE5}"/>
    <cellStyle name="Good 15 2 5" xfId="25106" xr:uid="{FFC686A2-8A6E-40C1-B262-AB2821937AB1}"/>
    <cellStyle name="Good 15 2 6" xfId="25102" xr:uid="{326CF1FA-5276-4897-AEBF-777A7E55A29A}"/>
    <cellStyle name="Good 15 3" xfId="25107" xr:uid="{31C9E310-4E1C-44EA-92F7-E64BE2594A63}"/>
    <cellStyle name="Good 15 4" xfId="25108" xr:uid="{B8F5AB9A-5999-426D-B424-9EB09CA4CDF5}"/>
    <cellStyle name="Good 15 5" xfId="25109" xr:uid="{951D852E-4A88-44E1-A9D9-62C9F615B5D0}"/>
    <cellStyle name="Good 15 6" xfId="25110" xr:uid="{5B7D6FC9-8583-48B8-8972-0AD057B038AD}"/>
    <cellStyle name="Good 15 7" xfId="25101" xr:uid="{074777E4-7953-45FB-9DE8-79CDA60CE9C0}"/>
    <cellStyle name="Good 16" xfId="2313" xr:uid="{392003BE-33A5-4107-B126-CC3A1FB0D014}"/>
    <cellStyle name="Good 16 2" xfId="16420" xr:uid="{4519E7E0-4654-47D2-ACF0-85DB74B7D04B}"/>
    <cellStyle name="Good 16 2 2" xfId="25113" xr:uid="{CBC6EE00-011E-4DE6-8879-75FCBA4B1FF3}"/>
    <cellStyle name="Good 16 2 3" xfId="25114" xr:uid="{09170D19-FA00-4374-9C94-06939EC23D13}"/>
    <cellStyle name="Good 16 2 4" xfId="25115" xr:uid="{ED3CF512-5ACA-44EC-8476-904586D68610}"/>
    <cellStyle name="Good 16 2 5" xfId="25116" xr:uid="{88C452CA-92EC-4F5D-BCC5-7E483FB96BEB}"/>
    <cellStyle name="Good 16 2 6" xfId="25112" xr:uid="{57B7AABB-4033-4BE5-A871-42763324CAC5}"/>
    <cellStyle name="Good 16 3" xfId="25117" xr:uid="{998441BD-5B2E-4850-ACEC-F32AF5EB3A27}"/>
    <cellStyle name="Good 16 4" xfId="25118" xr:uid="{DEE0E940-D562-41F0-BEF4-8EEC9578FD07}"/>
    <cellStyle name="Good 16 5" xfId="25119" xr:uid="{1EE429A8-9591-4F1E-8E09-A8A1A383A7BE}"/>
    <cellStyle name="Good 16 6" xfId="25120" xr:uid="{7FE92A2E-84AD-4C5E-B8C7-9B82FD5622BC}"/>
    <cellStyle name="Good 16 7" xfId="25111" xr:uid="{F1248480-1441-4887-98F0-5E5EFC5CCE7A}"/>
    <cellStyle name="Good 17" xfId="2314" xr:uid="{DFE3D08C-FA18-4941-80EA-95B9239A61C0}"/>
    <cellStyle name="Good 17 2" xfId="16421" xr:uid="{8F6866BF-33D9-4916-9BC9-67297879D05F}"/>
    <cellStyle name="Good 17 2 2" xfId="25123" xr:uid="{FF27908F-3EE1-42AC-92EE-D4796CAE5D90}"/>
    <cellStyle name="Good 17 2 3" xfId="25124" xr:uid="{2AFB40B8-D7A0-4E6D-A4E9-AEDA68A01478}"/>
    <cellStyle name="Good 17 2 4" xfId="25125" xr:uid="{56C13B69-52C5-4884-8523-63B93242EF7B}"/>
    <cellStyle name="Good 17 2 5" xfId="25126" xr:uid="{425F79BA-A5B8-4B5D-A537-CABDD0EB4E98}"/>
    <cellStyle name="Good 17 2 6" xfId="25122" xr:uid="{78CFE8FA-E60C-4503-A822-66B0F44727CC}"/>
    <cellStyle name="Good 17 3" xfId="25127" xr:uid="{08DC433C-501F-418C-B651-350AC0DE9894}"/>
    <cellStyle name="Good 17 4" xfId="25128" xr:uid="{72735DFA-0D85-484E-8560-8A9B1F5F00EE}"/>
    <cellStyle name="Good 17 5" xfId="25129" xr:uid="{30BC02D2-276B-49C1-A53F-DBEF8A13B977}"/>
    <cellStyle name="Good 17 6" xfId="25130" xr:uid="{84677250-904B-489D-912E-1EAAABBED1AD}"/>
    <cellStyle name="Good 17 7" xfId="25121" xr:uid="{2BEFA270-86CC-44C2-ACEB-4E6994198CD5}"/>
    <cellStyle name="Good 18" xfId="2315" xr:uid="{7A4728CA-56FE-4764-A16B-8C3E6A54AF5E}"/>
    <cellStyle name="Good 18 2" xfId="16422" xr:uid="{1B4EE22E-97FF-47A5-A7AD-9A0C60B0837E}"/>
    <cellStyle name="Good 18 2 2" xfId="25133" xr:uid="{1CBFC3E0-014B-4333-8914-6C73F38E2D6C}"/>
    <cellStyle name="Good 18 2 3" xfId="25134" xr:uid="{98595192-CB91-47EC-A118-255E049E7ADA}"/>
    <cellStyle name="Good 18 2 4" xfId="25135" xr:uid="{FFFC6EE0-F8F5-4BCF-BF9B-7583D94741EC}"/>
    <cellStyle name="Good 18 2 5" xfId="25136" xr:uid="{5B029A89-9A31-4D38-BD1B-359CED2949E6}"/>
    <cellStyle name="Good 18 2 6" xfId="25132" xr:uid="{EE9C6A38-CB76-44A8-A9AF-BD5AF93D54E3}"/>
    <cellStyle name="Good 18 3" xfId="25137" xr:uid="{FF066B9A-4BD2-40D3-923C-C11999AB24D0}"/>
    <cellStyle name="Good 18 4" xfId="25138" xr:uid="{582BA738-05A7-4FEE-B5CA-83808B39E153}"/>
    <cellStyle name="Good 18 5" xfId="25139" xr:uid="{5EBEC787-F2B3-4E4B-8143-75473571DCED}"/>
    <cellStyle name="Good 18 6" xfId="25140" xr:uid="{CF2C77BC-707E-4CF0-B668-A29F0C98A20E}"/>
    <cellStyle name="Good 18 7" xfId="25131" xr:uid="{4DBC176C-52A6-4733-BD3A-C274A14D34D4}"/>
    <cellStyle name="Good 19" xfId="2316" xr:uid="{B740DD77-7D91-413B-94DE-C47A638287EE}"/>
    <cellStyle name="Good 19 2" xfId="16423" xr:uid="{E789D6EF-678B-4AF7-9AD6-B23F94A7006B}"/>
    <cellStyle name="Good 19 2 2" xfId="25143" xr:uid="{AD35EBD6-02A4-4897-BE58-09901F629996}"/>
    <cellStyle name="Good 19 2 3" xfId="25144" xr:uid="{2957877C-073A-464F-8756-6E81CEDDF4A8}"/>
    <cellStyle name="Good 19 2 4" xfId="25145" xr:uid="{F7D165F2-72F4-4491-B2AE-48C4504C4151}"/>
    <cellStyle name="Good 19 2 5" xfId="25146" xr:uid="{B5DA6EC6-3D3A-48C8-9F0A-03A5AA070330}"/>
    <cellStyle name="Good 19 2 6" xfId="25142" xr:uid="{EC3CF035-4A51-4DB9-936A-7178A6EE5A8F}"/>
    <cellStyle name="Good 19 3" xfId="25147" xr:uid="{72BD0045-31C1-4840-8EB7-BB6FFE12D0E5}"/>
    <cellStyle name="Good 19 4" xfId="25148" xr:uid="{F0C86D92-05A6-4603-A901-FEA87F860280}"/>
    <cellStyle name="Good 19 5" xfId="25149" xr:uid="{BA412EBD-3911-45D1-8AD0-FFCCF9A07279}"/>
    <cellStyle name="Good 19 6" xfId="25150" xr:uid="{20AD9841-3BAF-4661-A6F5-CA5D5C49D151}"/>
    <cellStyle name="Good 19 7" xfId="25141" xr:uid="{214FFBE3-3C03-4A1C-B637-1EBFC3FE7119}"/>
    <cellStyle name="Good 2" xfId="2317" xr:uid="{0AC74969-0CFB-4600-B023-D627F5EB931B}"/>
    <cellStyle name="Good 2 10" xfId="8089" xr:uid="{037CAB43-B185-4BF6-9805-AAEFED5D46F8}"/>
    <cellStyle name="Good 2 10 2" xfId="25152" xr:uid="{CE67EC24-4287-44A3-A974-8C5726117B37}"/>
    <cellStyle name="Good 2 11" xfId="25153" xr:uid="{55050E43-DEAD-49E9-8806-43DF6C614C4E}"/>
    <cellStyle name="Good 2 12" xfId="25154" xr:uid="{C4DD3EE2-D154-4742-9868-58908EA421F8}"/>
    <cellStyle name="Good 2 13" xfId="25155" xr:uid="{C687D4DE-7E48-4097-B092-11CB4E075657}"/>
    <cellStyle name="Good 2 14" xfId="25156" xr:uid="{7ED196A2-D167-404B-A59E-6F94A230F4A0}"/>
    <cellStyle name="Good 2 15" xfId="25157" xr:uid="{05618EAB-FAFA-4B3A-9576-96BE20968A46}"/>
    <cellStyle name="Good 2 16" xfId="25151" xr:uid="{A490FBC1-C98A-46AC-8EDB-20D993458162}"/>
    <cellStyle name="Good 2 2" xfId="2318" xr:uid="{46C32B08-54F1-409B-8E04-F3BFBAA7AA59}"/>
    <cellStyle name="Good 2 2 2" xfId="25159" xr:uid="{9B4ED1B9-4AB5-48D8-8D2C-7B11024514FD}"/>
    <cellStyle name="Good 2 2 3" xfId="25160" xr:uid="{7749BEDB-2F0E-43FA-8326-4740AC0889AF}"/>
    <cellStyle name="Good 2 2 4" xfId="25161" xr:uid="{D545BAA9-2003-4F5A-88B7-2802791C4E42}"/>
    <cellStyle name="Good 2 2 5" xfId="25162" xr:uid="{CE65B5C0-1BFB-46C4-8C98-DFF0B8662879}"/>
    <cellStyle name="Good 2 2 6" xfId="25163" xr:uid="{61F5F985-4602-4649-9CFA-23CFEAC591E8}"/>
    <cellStyle name="Good 2 2 7" xfId="25158" xr:uid="{14993798-3370-4881-80A9-F119A6309049}"/>
    <cellStyle name="Good 2 3" xfId="2319" xr:uid="{AEA5C3D6-0A44-4ABA-89A9-07BBEAEDB68C}"/>
    <cellStyle name="Good 2 3 2" xfId="25165" xr:uid="{03279483-D68D-40EE-91C4-5313676F14D4}"/>
    <cellStyle name="Good 2 3 3" xfId="25166" xr:uid="{ECF4917C-FC70-4FDD-A12C-69E5C6B18E32}"/>
    <cellStyle name="Good 2 3 4" xfId="25167" xr:uid="{40347641-D9DD-4F32-BD96-49580F729E0E}"/>
    <cellStyle name="Good 2 3 5" xfId="25168" xr:uid="{0457A558-C03D-4379-8252-23B69B3D29D2}"/>
    <cellStyle name="Good 2 3 6" xfId="25169" xr:uid="{90D9557F-338B-4E81-AD5F-E3DAA2A61647}"/>
    <cellStyle name="Good 2 3 7" xfId="25164" xr:uid="{45B50771-A738-41B5-A262-5D3E1BC4C1B8}"/>
    <cellStyle name="Good 2 4" xfId="2320" xr:uid="{AE6D41EC-39CA-462D-9C0F-A0A2B2DCE512}"/>
    <cellStyle name="Good 2 4 2" xfId="25171" xr:uid="{F9B2AB2A-1977-4D9D-A197-E89BC9F95B44}"/>
    <cellStyle name="Good 2 4 3" xfId="25172" xr:uid="{F2CDBC90-D761-4A3F-8761-047B8363A5AE}"/>
    <cellStyle name="Good 2 4 4" xfId="25173" xr:uid="{A99398EB-4457-4D1A-8126-9F3AF352BE52}"/>
    <cellStyle name="Good 2 4 5" xfId="25174" xr:uid="{60BAC862-35D9-4C72-AB72-039A917E910D}"/>
    <cellStyle name="Good 2 4 6" xfId="25175" xr:uid="{C8E24CEA-D053-41BF-BCDB-48AB258A4D06}"/>
    <cellStyle name="Good 2 4 7" xfId="25170" xr:uid="{A5EA47BB-0410-4C8B-B17E-F58622031436}"/>
    <cellStyle name="Good 2 5" xfId="2321" xr:uid="{411F952B-19C9-4750-A303-4D15D863D997}"/>
    <cellStyle name="Good 2 5 2" xfId="25177" xr:uid="{984546FB-416D-4F9E-8E15-70A621777DCD}"/>
    <cellStyle name="Good 2 5 3" xfId="25178" xr:uid="{1862D7AE-98BD-4A5A-97D9-4A5848DDDE94}"/>
    <cellStyle name="Good 2 5 4" xfId="25179" xr:uid="{7B945CA9-73E2-4630-ABD6-17617B7EBE26}"/>
    <cellStyle name="Good 2 5 5" xfId="25180" xr:uid="{CB0A20C7-F684-4B8E-BB28-7577E8C7FF55}"/>
    <cellStyle name="Good 2 5 6" xfId="25181" xr:uid="{E42A7AF2-9D16-4E45-9C09-E6B938175EC0}"/>
    <cellStyle name="Good 2 5 7" xfId="25176" xr:uid="{735B4185-64A0-4AD3-8BC7-5AC9EDB2A6E2}"/>
    <cellStyle name="Good 2 6" xfId="2322" xr:uid="{4D7EC917-04F2-4A9A-A371-8FB1EA0B88F2}"/>
    <cellStyle name="Good 2 6 2" xfId="25183" xr:uid="{993DCF22-97D0-48D9-B26C-1D266DFD4DCC}"/>
    <cellStyle name="Good 2 6 3" xfId="25184" xr:uid="{2BCE8892-72AA-44E0-AF6B-19E5F4E6DB7A}"/>
    <cellStyle name="Good 2 6 4" xfId="25185" xr:uid="{C54E3A81-01C8-4CB1-9854-CA39F5F739B2}"/>
    <cellStyle name="Good 2 6 5" xfId="25186" xr:uid="{5EE7FC66-5FF7-47D1-BD14-A2DB826ECDA3}"/>
    <cellStyle name="Good 2 6 6" xfId="25187" xr:uid="{E975D902-D1EC-4EE5-9892-5E82753275EF}"/>
    <cellStyle name="Good 2 6 7" xfId="25182" xr:uid="{C6D9E6DF-2F23-403F-B3B4-A4968B1D33A5}"/>
    <cellStyle name="Good 2 7" xfId="2323" xr:uid="{33B74A81-7664-429A-87C4-F323FE0BED05}"/>
    <cellStyle name="Good 2 7 2" xfId="25189" xr:uid="{F64BC408-ED5A-4122-8B6C-63A373E43494}"/>
    <cellStyle name="Good 2 7 3" xfId="25190" xr:uid="{AC2C1BCF-0F3D-4ABE-9F04-4EA04F11C5EA}"/>
    <cellStyle name="Good 2 7 4" xfId="25191" xr:uid="{DF12111B-FCE9-4FFC-AB79-6E0B29CE62E4}"/>
    <cellStyle name="Good 2 7 5" xfId="25192" xr:uid="{D42B5A1A-3D36-4569-8975-7CDA3C77EE17}"/>
    <cellStyle name="Good 2 7 6" xfId="25193" xr:uid="{1D35792F-0EF3-4BD6-8ABD-B591AB7F02C5}"/>
    <cellStyle name="Good 2 7 7" xfId="25188" xr:uid="{0C12535E-9A54-4486-8282-113E46834AD9}"/>
    <cellStyle name="Good 2 8" xfId="2324" xr:uid="{5C9761FF-7376-4F3F-AE94-46A0F6F0B092}"/>
    <cellStyle name="Good 2 8 2" xfId="25195" xr:uid="{67EABF2E-3E38-4325-ABEA-A8FCE7306234}"/>
    <cellStyle name="Good 2 8 3" xfId="25196" xr:uid="{BD71380C-91E7-431D-9D55-085D3D479DEA}"/>
    <cellStyle name="Good 2 8 4" xfId="25197" xr:uid="{7ACD03FE-2AFB-415C-B522-3930E49CA878}"/>
    <cellStyle name="Good 2 8 5" xfId="25198" xr:uid="{F59BA717-8398-404D-88E1-51215C0D0253}"/>
    <cellStyle name="Good 2 8 6" xfId="25199" xr:uid="{0D44086F-B522-4E59-B449-4A22BCA8AF52}"/>
    <cellStyle name="Good 2 8 7" xfId="25194" xr:uid="{DE8D6465-DCA7-4D71-AAEB-D982E36BC6BE}"/>
    <cellStyle name="Good 2 9" xfId="2325" xr:uid="{58CAC5C7-9751-4F98-A9FE-EF6663500982}"/>
    <cellStyle name="Good 2 9 2" xfId="25201" xr:uid="{1AB4BB55-4930-44AE-8DA0-FA9F4768376C}"/>
    <cellStyle name="Good 2 9 3" xfId="25202" xr:uid="{AFD9A15E-C50A-46F9-8443-C793100BA104}"/>
    <cellStyle name="Good 2 9 4" xfId="25203" xr:uid="{039A1618-B8C2-4CB4-896A-1D3958F257AD}"/>
    <cellStyle name="Good 2 9 5" xfId="25204" xr:uid="{8F3989A9-F1CB-41A1-9BDF-DC741D10269F}"/>
    <cellStyle name="Good 2 9 6" xfId="25205" xr:uid="{A2E909B0-A032-4D77-9A1A-DF0DE6FDAE53}"/>
    <cellStyle name="Good 2 9 7" xfId="25200" xr:uid="{946756F2-9163-4576-9755-9B00AE945687}"/>
    <cellStyle name="Good 20" xfId="2326" xr:uid="{4F325890-E353-4BE9-948B-AB003AFB5DBB}"/>
    <cellStyle name="Good 20 2" xfId="16424" xr:uid="{F1FA3B41-0B5D-4A88-848F-8C166BF5F900}"/>
    <cellStyle name="Good 20 2 2" xfId="25208" xr:uid="{9F8BB813-9257-45CF-BB0E-C8128250E907}"/>
    <cellStyle name="Good 20 2 3" xfId="25209" xr:uid="{DBD81806-4CE2-4A68-B7B1-C7E27078E48C}"/>
    <cellStyle name="Good 20 2 4" xfId="25210" xr:uid="{54755903-AE7A-4407-BFC5-60B953808395}"/>
    <cellStyle name="Good 20 2 5" xfId="25211" xr:uid="{BAED7B17-B819-45E0-A784-D040094DA446}"/>
    <cellStyle name="Good 20 2 6" xfId="25207" xr:uid="{38509EFD-3BFA-4EC5-8F97-A4573F1034F3}"/>
    <cellStyle name="Good 20 3" xfId="25212" xr:uid="{464F85B6-9E3A-444F-A25F-89A2BFA020F4}"/>
    <cellStyle name="Good 20 4" xfId="25213" xr:uid="{EFCAF82F-774A-491E-96FB-C2B07AAC2D97}"/>
    <cellStyle name="Good 20 5" xfId="25214" xr:uid="{638BEBFA-6744-46DA-A8CD-4C92863A762B}"/>
    <cellStyle name="Good 20 6" xfId="25215" xr:uid="{97F99E53-4038-441D-8BFC-12347D332C27}"/>
    <cellStyle name="Good 20 7" xfId="25206" xr:uid="{21BFAE18-C822-439A-8F60-44001C591B8C}"/>
    <cellStyle name="Good 21" xfId="16425" xr:uid="{C4C74594-8307-4D6A-B29B-2CDA88D3BD7A}"/>
    <cellStyle name="Good 21 2" xfId="25217" xr:uid="{6B8A4AA3-3727-4375-A0D7-6F62FA348440}"/>
    <cellStyle name="Good 21 3" xfId="25218" xr:uid="{92947D78-4FE7-4890-AFC0-0CA06CF476DC}"/>
    <cellStyle name="Good 21 4" xfId="25219" xr:uid="{A9159751-5433-4A12-96E9-AEA27FBB0281}"/>
    <cellStyle name="Good 21 5" xfId="25220" xr:uid="{C9BC1C57-D030-4A16-9A4A-BE619C8E356B}"/>
    <cellStyle name="Good 21 6" xfId="25216" xr:uid="{F8EE36B4-120E-414F-A79F-B88B955BC799}"/>
    <cellStyle name="Good 22" xfId="15228" xr:uid="{7AB0BE9A-4F0A-421E-A5A4-2C2EB057511F}"/>
    <cellStyle name="Good 22 2" xfId="25222" xr:uid="{EB9C9D49-C8CA-4650-BD1F-3B835F5D60D1}"/>
    <cellStyle name="Good 22 3" xfId="25221" xr:uid="{5322EFDF-CB8F-4691-B202-22A0440AEBA4}"/>
    <cellStyle name="Good 23" xfId="25223" xr:uid="{D4C8BD20-8A4F-4581-9C38-DF4EEF4BDF35}"/>
    <cellStyle name="Good 24" xfId="25224" xr:uid="{D29DFBF6-8E13-4D6F-8785-5C570DB44B7E}"/>
    <cellStyle name="Good 25" xfId="25225" xr:uid="{E7314903-5FAE-4F88-92CB-9C0F4FF0EAA6}"/>
    <cellStyle name="Good 3" xfId="2327" xr:uid="{2CFA98AC-7024-4B5A-A961-9E5417C81965}"/>
    <cellStyle name="Good 3 10" xfId="2328" xr:uid="{F69FFC09-1E67-4DD8-AB1A-7E898C4FC5B2}"/>
    <cellStyle name="Good 3 10 2" xfId="25228" xr:uid="{33B2E0FD-91A6-4AAE-B137-3504DA253A7F}"/>
    <cellStyle name="Good 3 10 3" xfId="25229" xr:uid="{BBB36CDA-346B-4745-8892-2447747DD58F}"/>
    <cellStyle name="Good 3 10 4" xfId="25230" xr:uid="{34BE99A9-50CF-420B-B044-52280632E197}"/>
    <cellStyle name="Good 3 10 5" xfId="25231" xr:uid="{D1623D55-1906-4465-BD02-87BD81CA6479}"/>
    <cellStyle name="Good 3 10 6" xfId="25227" xr:uid="{5787377C-6B39-4E7F-AED5-EE6C89C432ED}"/>
    <cellStyle name="Good 3 11" xfId="2329" xr:uid="{FD3A461D-444C-44C2-A487-A4508607930E}"/>
    <cellStyle name="Good 3 11 2" xfId="25233" xr:uid="{4A43F39F-D823-4E3F-9717-E00DDD58703B}"/>
    <cellStyle name="Good 3 11 3" xfId="25234" xr:uid="{7B9EED05-0C59-41D3-BBAE-42D069142F93}"/>
    <cellStyle name="Good 3 11 4" xfId="25235" xr:uid="{EB8EDEFD-771A-4D7B-B3DB-DC570F8F364B}"/>
    <cellStyle name="Good 3 11 5" xfId="25236" xr:uid="{E545469A-E340-446A-AE84-69A1CB096BF2}"/>
    <cellStyle name="Good 3 11 6" xfId="25232" xr:uid="{988DEDEA-FB51-4386-96F7-3D36B4E4EA00}"/>
    <cellStyle name="Good 3 12" xfId="2330" xr:uid="{4B659A5D-F379-4E15-A040-4871079FB04F}"/>
    <cellStyle name="Good 3 12 2" xfId="25238" xr:uid="{7875BA7B-89E3-4373-8E24-5B388B98182A}"/>
    <cellStyle name="Good 3 12 3" xfId="25239" xr:uid="{7E3BA576-1542-422A-9A3D-830C71C02AFF}"/>
    <cellStyle name="Good 3 12 4" xfId="25240" xr:uid="{575713B7-90A5-479D-A5A7-59D2C4E92E62}"/>
    <cellStyle name="Good 3 12 5" xfId="25241" xr:uid="{B5A210D1-F97E-4E82-A065-8B1C5AB56A21}"/>
    <cellStyle name="Good 3 12 6" xfId="25237" xr:uid="{EF77C251-E1AB-4D02-B113-90B75D2E2254}"/>
    <cellStyle name="Good 3 13" xfId="2331" xr:uid="{883C880B-0834-45A6-B422-AC7056BA08CB}"/>
    <cellStyle name="Good 3 13 2" xfId="25243" xr:uid="{D0615724-3ABF-466B-8A54-589255254177}"/>
    <cellStyle name="Good 3 13 3" xfId="25244" xr:uid="{2E0DAEC4-59D0-4345-8D41-122BB6AEF084}"/>
    <cellStyle name="Good 3 13 4" xfId="25245" xr:uid="{50C61C3A-9A96-49F4-B6A4-ED86DBCAE4D8}"/>
    <cellStyle name="Good 3 13 5" xfId="25246" xr:uid="{412F0021-C5F8-4F22-A93E-0C938A57C193}"/>
    <cellStyle name="Good 3 13 6" xfId="25242" xr:uid="{5044D0B5-5BDD-4134-8EA5-7ECD0B2A76C6}"/>
    <cellStyle name="Good 3 14" xfId="2332" xr:uid="{3C6046AB-2C0A-46BD-B0C4-CE772B7CC6B1}"/>
    <cellStyle name="Good 3 14 2" xfId="25248" xr:uid="{059CAF2A-397A-4765-AF07-4D2F76FA9580}"/>
    <cellStyle name="Good 3 14 3" xfId="25249" xr:uid="{0646382D-7553-4EFB-AF9A-C59DC487EF50}"/>
    <cellStyle name="Good 3 14 4" xfId="25250" xr:uid="{0BEB53BC-7D03-41E7-AF30-68F6E9613C47}"/>
    <cellStyle name="Good 3 14 5" xfId="25251" xr:uid="{066F970A-C039-49A6-844E-779BB86C3281}"/>
    <cellStyle name="Good 3 14 6" xfId="25247" xr:uid="{7818EF6B-EB45-4DEE-9B2D-18BAD61EFD3C}"/>
    <cellStyle name="Good 3 15" xfId="16426" xr:uid="{BE810FB0-0D23-4B9A-903C-4DA0726E447B}"/>
    <cellStyle name="Good 3 15 2" xfId="25253" xr:uid="{7E453B54-D31F-47BF-883B-EF5A1F3E3846}"/>
    <cellStyle name="Good 3 15 3" xfId="25254" xr:uid="{0B692ACB-72FC-4F33-8BB4-E2E2D61743DE}"/>
    <cellStyle name="Good 3 15 4" xfId="25255" xr:uid="{79D3983B-EB57-4BC9-8EA4-C388D904F770}"/>
    <cellStyle name="Good 3 15 5" xfId="25256" xr:uid="{A1D7CFAE-3C12-4A49-98BB-876ECB0FDA07}"/>
    <cellStyle name="Good 3 15 6" xfId="25252" xr:uid="{CA6C4AEF-8712-4994-8A92-3FC7502D7B5A}"/>
    <cellStyle name="Good 3 16" xfId="25257" xr:uid="{71E7DB7E-FF5B-4431-BA1D-B9BD55DBEE69}"/>
    <cellStyle name="Good 3 17" xfId="25258" xr:uid="{C5BEBDFF-A7D1-4B92-A014-E741D6B8EF76}"/>
    <cellStyle name="Good 3 18" xfId="25259" xr:uid="{E11BE10F-7B90-47B6-83F1-DAC2C5B1B3E9}"/>
    <cellStyle name="Good 3 19" xfId="25260" xr:uid="{7F5CEB5A-4CB0-4143-9D91-B7B53DE505F0}"/>
    <cellStyle name="Good 3 2" xfId="2333" xr:uid="{FB3BBE77-EEFE-4852-A6CC-1BFE4DA4C850}"/>
    <cellStyle name="Good 3 2 2" xfId="25262" xr:uid="{73A8AADB-96E0-450B-AC7E-9E5ED947A1B8}"/>
    <cellStyle name="Good 3 2 3" xfId="25263" xr:uid="{A35E02B8-D0B4-44C2-A990-EF67B5D8AAC2}"/>
    <cellStyle name="Good 3 2 4" xfId="25264" xr:uid="{3EBF98D9-84AA-49CF-BAD3-C6BACE411FBB}"/>
    <cellStyle name="Good 3 2 5" xfId="25265" xr:uid="{EB7EF191-1D9B-4DA6-96F3-6776397154C4}"/>
    <cellStyle name="Good 3 2 6" xfId="25266" xr:uid="{FF46B0C3-B960-4BCC-A61A-BF57CEA3F39F}"/>
    <cellStyle name="Good 3 2 7" xfId="25261" xr:uid="{B4114437-EC45-40E1-A46C-AE1902CFF6BB}"/>
    <cellStyle name="Good 3 20" xfId="25267" xr:uid="{1EFD6DED-EE5B-4C98-AD83-8B3851214347}"/>
    <cellStyle name="Good 3 21" xfId="25226" xr:uid="{619C4707-E1BA-406F-BA16-7A22C7AC68A1}"/>
    <cellStyle name="Good 3 3" xfId="2334" xr:uid="{962A53FA-5298-46DB-9F2D-3B9CA8621260}"/>
    <cellStyle name="Good 3 3 2" xfId="25269" xr:uid="{D2CD1176-7BE6-4382-A2F7-93E859460BF9}"/>
    <cellStyle name="Good 3 3 3" xfId="25270" xr:uid="{264CB4FB-8FD1-4C3C-ACB7-DBE2A003936D}"/>
    <cellStyle name="Good 3 3 4" xfId="25271" xr:uid="{122E1E82-6E42-4A21-B23C-C1169EC04315}"/>
    <cellStyle name="Good 3 3 5" xfId="25272" xr:uid="{F1273B8C-E7FF-48B9-A8FD-EA142DDCFE95}"/>
    <cellStyle name="Good 3 3 6" xfId="25268" xr:uid="{08C7BE8D-5DA2-46C7-8442-1FD14B1D2053}"/>
    <cellStyle name="Good 3 4" xfId="2335" xr:uid="{AE8C08FB-FBB9-4096-93DC-E17901128A08}"/>
    <cellStyle name="Good 3 4 2" xfId="25274" xr:uid="{2FEAF771-24FC-4069-BD3F-3D57209D8FFB}"/>
    <cellStyle name="Good 3 4 3" xfId="25275" xr:uid="{9CE9CB27-BFC5-4BF5-AA1F-15BA6EE1A994}"/>
    <cellStyle name="Good 3 4 4" xfId="25276" xr:uid="{6B15BE79-8EA6-477C-9CE6-0AC6BAA529E7}"/>
    <cellStyle name="Good 3 4 5" xfId="25277" xr:uid="{5149F7B1-78D3-4ACB-AB7B-21096B56B7D5}"/>
    <cellStyle name="Good 3 4 6" xfId="25273" xr:uid="{87CEBBA7-6BAA-4848-92D4-90DE24998448}"/>
    <cellStyle name="Good 3 5" xfId="2336" xr:uid="{2130DD57-5A67-447D-B842-9A79962B696A}"/>
    <cellStyle name="Good 3 5 2" xfId="25279" xr:uid="{C1236742-39F4-4BAC-AD16-EED3ACC8BCDB}"/>
    <cellStyle name="Good 3 5 3" xfId="25280" xr:uid="{3962412E-096B-4873-ABDE-C82288676AE0}"/>
    <cellStyle name="Good 3 5 4" xfId="25281" xr:uid="{F803CBE5-7B33-4A25-9A94-C761E292464C}"/>
    <cellStyle name="Good 3 5 5" xfId="25282" xr:uid="{3DFB8D0E-E409-4F8E-AB1E-55ECDB854EB1}"/>
    <cellStyle name="Good 3 5 6" xfId="25278" xr:uid="{C56B1211-33CA-4509-92FD-8E19B792D3C1}"/>
    <cellStyle name="Good 3 6" xfId="2337" xr:uid="{E754AEE0-B0DE-423A-94DF-F8ADEC6F4708}"/>
    <cellStyle name="Good 3 6 2" xfId="25284" xr:uid="{26D1EA9C-722C-43E5-8251-B9741A9B836E}"/>
    <cellStyle name="Good 3 6 3" xfId="25285" xr:uid="{F469EDA4-C4C6-4007-ABFA-733B4BFE110E}"/>
    <cellStyle name="Good 3 6 4" xfId="25286" xr:uid="{C5B5958F-2825-45BA-B863-A303A347AB47}"/>
    <cellStyle name="Good 3 6 5" xfId="25287" xr:uid="{8B64D358-3CEE-4481-8681-C0627ACA64E5}"/>
    <cellStyle name="Good 3 6 6" xfId="25283" xr:uid="{A4FEA1B3-7FC9-45FE-9491-A64D481DB5D9}"/>
    <cellStyle name="Good 3 7" xfId="2338" xr:uid="{CE48F9A2-EDDF-4118-AD25-19CE09C3A04B}"/>
    <cellStyle name="Good 3 7 2" xfId="25289" xr:uid="{DBA92078-D4C3-45F7-BC1A-83598FC05AD9}"/>
    <cellStyle name="Good 3 7 3" xfId="25290" xr:uid="{9A1A76AF-8DAB-4FA9-926D-427471D43E11}"/>
    <cellStyle name="Good 3 7 4" xfId="25291" xr:uid="{6B0B2581-73DD-4464-B89C-5C964C59C39A}"/>
    <cellStyle name="Good 3 7 5" xfId="25292" xr:uid="{2B6DB565-D2DD-4952-8EC3-2A1AD0769882}"/>
    <cellStyle name="Good 3 7 6" xfId="25288" xr:uid="{1D74A10A-72D0-4022-A495-6F99AFEA4034}"/>
    <cellStyle name="Good 3 8" xfId="2339" xr:uid="{239F4297-6D80-4054-B952-8591DC456842}"/>
    <cellStyle name="Good 3 8 2" xfId="25294" xr:uid="{3703C440-9EEC-4655-959D-959EEECFAF1A}"/>
    <cellStyle name="Good 3 8 3" xfId="25295" xr:uid="{E02533A1-F621-40E7-AA92-B38257B92729}"/>
    <cellStyle name="Good 3 8 4" xfId="25296" xr:uid="{7830D300-4480-4D70-AE27-10ABBD301209}"/>
    <cellStyle name="Good 3 8 5" xfId="25297" xr:uid="{FC4739D5-4DD1-4640-A00B-1FD5873764B3}"/>
    <cellStyle name="Good 3 8 6" xfId="25293" xr:uid="{BD95DF1D-271F-410D-8D88-FCC9A32288FB}"/>
    <cellStyle name="Good 3 9" xfId="2340" xr:uid="{3D3B83F1-E8DB-4617-82BF-19EE3EAEE8B0}"/>
    <cellStyle name="Good 3 9 2" xfId="25299" xr:uid="{B627FFAD-75A9-45E7-86BD-3C29F1101DB5}"/>
    <cellStyle name="Good 3 9 3" xfId="25300" xr:uid="{B4DC81EF-FD9C-4C2E-84C3-375686D44F91}"/>
    <cellStyle name="Good 3 9 4" xfId="25301" xr:uid="{ABD29151-3F2C-453C-85FD-4157BA8C94B3}"/>
    <cellStyle name="Good 3 9 5" xfId="25302" xr:uid="{30EFC990-E0A5-43D4-8BD4-EFB666202C03}"/>
    <cellStyle name="Good 3 9 6" xfId="25298" xr:uid="{643D2C03-5115-4A4A-AC3C-E13B87A531C5}"/>
    <cellStyle name="Good 4" xfId="2341" xr:uid="{30E56993-ED58-466A-AD43-8FF6E55686AF}"/>
    <cellStyle name="Good 4 2" xfId="2342" xr:uid="{3BF1317A-59B8-4903-9D8B-62CBEAD99FA0}"/>
    <cellStyle name="Good 4 2 2" xfId="25305" xr:uid="{A8B24221-37BF-417C-88B4-48D9FAEBF7BB}"/>
    <cellStyle name="Good 4 2 3" xfId="25306" xr:uid="{6C810262-3425-473F-A931-2904A9605E61}"/>
    <cellStyle name="Good 4 2 4" xfId="25307" xr:uid="{D7D64C09-0CC0-4A20-8BAE-52466C307D8E}"/>
    <cellStyle name="Good 4 2 5" xfId="25308" xr:uid="{CA3604DA-42F7-4B9F-884A-59BAEF1943AF}"/>
    <cellStyle name="Good 4 2 6" xfId="25309" xr:uid="{63EBC2C7-2633-4A09-BC2F-2AB3DB6AD5ED}"/>
    <cellStyle name="Good 4 2 7" xfId="25304" xr:uid="{89C5B706-7684-4615-9FB0-2027BCF40C70}"/>
    <cellStyle name="Good 4 3" xfId="25310" xr:uid="{31D01778-0504-4991-9236-CEE70EDE5547}"/>
    <cellStyle name="Good 4 4" xfId="25311" xr:uid="{DABA24D6-2B02-48C1-8AD5-5D499F4F5129}"/>
    <cellStyle name="Good 4 5" xfId="25312" xr:uid="{A6BB600E-BF35-4354-9248-B57140954283}"/>
    <cellStyle name="Good 4 6" xfId="25313" xr:uid="{75B252B9-523D-4835-AE7B-07F0A45F27BD}"/>
    <cellStyle name="Good 4 7" xfId="25314" xr:uid="{14BE41E4-EE52-43C4-82EB-2522785FC714}"/>
    <cellStyle name="Good 4 8" xfId="25303" xr:uid="{1EB57677-F5CE-4AB8-8E3C-6D27B774F6F7}"/>
    <cellStyle name="Good 5" xfId="2343" xr:uid="{53173849-24B4-4E22-B917-1EE8941EBF0D}"/>
    <cellStyle name="Good 5 2" xfId="2344" xr:uid="{17D8132C-7D78-4258-9723-3E06EF9E2A19}"/>
    <cellStyle name="Good 5 2 2" xfId="25317" xr:uid="{064F7B6D-1E5B-42AE-A403-22EC21B2D9C6}"/>
    <cellStyle name="Good 5 2 3" xfId="25318" xr:uid="{F900004C-EE91-4CFB-9FA1-C09880DCC780}"/>
    <cellStyle name="Good 5 2 4" xfId="25319" xr:uid="{563340FF-83A0-4B70-B739-6E22BBA554AF}"/>
    <cellStyle name="Good 5 2 5" xfId="25320" xr:uid="{A610F6A8-3FB5-4A2A-97D4-7990EFF24279}"/>
    <cellStyle name="Good 5 2 6" xfId="25321" xr:uid="{CEC40574-29D3-4A2A-80E8-BAD5DE499050}"/>
    <cellStyle name="Good 5 2 7" xfId="25316" xr:uid="{A0F92E13-CCE1-4C55-AA14-E97903D98BA1}"/>
    <cellStyle name="Good 5 3" xfId="25322" xr:uid="{E652EF00-825F-48A4-AD2F-3132F3DE0181}"/>
    <cellStyle name="Good 5 4" xfId="25323" xr:uid="{56019BD3-729B-46B9-8FD1-9A78B0551F82}"/>
    <cellStyle name="Good 5 5" xfId="25324" xr:uid="{BA77364A-37FB-4415-B732-1CCA261595C0}"/>
    <cellStyle name="Good 5 6" xfId="25325" xr:uid="{E39D9959-1679-4565-9DA5-0FC5BD1CB96A}"/>
    <cellStyle name="Good 5 7" xfId="25326" xr:uid="{51750BBA-AA61-42E3-BDE2-10EBABCF7E0A}"/>
    <cellStyle name="Good 5 8" xfId="25315" xr:uid="{D0F26BF7-1147-4FD7-8EAE-F785D9451110}"/>
    <cellStyle name="Good 6" xfId="2345" xr:uid="{1AC24D66-FB59-4122-B0D7-42446AF8CAE1}"/>
    <cellStyle name="Good 6 2" xfId="2346" xr:uid="{BB6D61FE-8170-4AE6-9C4E-6538FACAD8AC}"/>
    <cellStyle name="Good 6 2 2" xfId="25329" xr:uid="{470E056D-97AF-4DB2-B146-52EC16D84DAC}"/>
    <cellStyle name="Good 6 2 3" xfId="25330" xr:uid="{C23E2E4C-6735-4B0B-87CA-72030E1B8B6E}"/>
    <cellStyle name="Good 6 2 4" xfId="25331" xr:uid="{84DE39ED-0590-4FD8-A7D9-C9EC103AE624}"/>
    <cellStyle name="Good 6 2 5" xfId="25332" xr:uid="{903361D6-1792-45FF-91B0-05366639B306}"/>
    <cellStyle name="Good 6 2 6" xfId="25333" xr:uid="{BD6D7B64-1BA4-452A-A088-B0680BC6D530}"/>
    <cellStyle name="Good 6 2 7" xfId="25328" xr:uid="{95687604-A4DB-4EC0-B060-558071DD46A6}"/>
    <cellStyle name="Good 6 3" xfId="2347" xr:uid="{AB8A9081-1193-4883-BA2B-8944173DC1BA}"/>
    <cellStyle name="Good 6 3 2" xfId="25335" xr:uid="{D3AA713E-87FD-4EE5-92A8-30D39E9093C5}"/>
    <cellStyle name="Good 6 3 3" xfId="25336" xr:uid="{E60C05D7-1EA1-4E20-B771-E0A9554CADE3}"/>
    <cellStyle name="Good 6 3 4" xfId="25337" xr:uid="{BBD87F82-CC0B-475D-8FFB-883D2B0EC9D7}"/>
    <cellStyle name="Good 6 3 5" xfId="25338" xr:uid="{DB319161-65A8-45F0-B0FF-DBDED1A3AEEB}"/>
    <cellStyle name="Good 6 3 6" xfId="25334" xr:uid="{33DE6C16-A8F8-43D2-BEE5-505E7FABB886}"/>
    <cellStyle name="Good 6 4" xfId="25339" xr:uid="{7291F39E-F807-4FF0-899F-2489E3CCF0AA}"/>
    <cellStyle name="Good 6 5" xfId="25340" xr:uid="{406C3739-5734-470F-B1CB-04CE3D598CD4}"/>
    <cellStyle name="Good 6 6" xfId="25341" xr:uid="{BAC34FB4-EC8D-46FC-9962-E47C46E657F4}"/>
    <cellStyle name="Good 6 7" xfId="25342" xr:uid="{F8B21FDB-D912-4633-925A-2E99819B5E86}"/>
    <cellStyle name="Good 6 8" xfId="25343" xr:uid="{E4DB9630-D81C-48A2-A851-014FB9F8E713}"/>
    <cellStyle name="Good 6 9" xfId="25327" xr:uid="{7621B726-659C-41E0-9FF1-A990BAD51EF1}"/>
    <cellStyle name="Good 7" xfId="2348" xr:uid="{D2D5180B-F625-45F7-977E-5F0258591BF2}"/>
    <cellStyle name="Good 7 2" xfId="2349" xr:uid="{BC695EC7-A630-4F9E-ABE0-993366D3C145}"/>
    <cellStyle name="Good 7 2 2" xfId="25346" xr:uid="{94911D14-08DF-4DCF-A4E6-A6FDE5A537AD}"/>
    <cellStyle name="Good 7 2 3" xfId="25347" xr:uid="{14A321B4-A4F0-4A7F-B636-EFC021DA5321}"/>
    <cellStyle name="Good 7 2 4" xfId="25348" xr:uid="{C1531887-E840-4CFD-AAF1-4D9EC06CB185}"/>
    <cellStyle name="Good 7 2 5" xfId="25349" xr:uid="{A0E8DD15-9A80-49BF-9C64-2AA6BDCD5875}"/>
    <cellStyle name="Good 7 2 6" xfId="25350" xr:uid="{B6637032-EA1A-4FC9-A499-5C3873619943}"/>
    <cellStyle name="Good 7 2 7" xfId="25345" xr:uid="{6D9E12DE-A810-414A-932E-8CAF1D8581EE}"/>
    <cellStyle name="Good 7 3" xfId="2350" xr:uid="{B0569EAD-CAA7-414F-90EE-60104F37FA7C}"/>
    <cellStyle name="Good 7 3 2" xfId="25352" xr:uid="{18E17287-9759-4A9A-9319-930BC2050F6F}"/>
    <cellStyle name="Good 7 3 3" xfId="25353" xr:uid="{346407A8-FB5F-4629-857C-77CA15681C06}"/>
    <cellStyle name="Good 7 3 4" xfId="25354" xr:uid="{025C5AAE-B5C2-41CB-AAC8-50BE47265D61}"/>
    <cellStyle name="Good 7 3 5" xfId="25355" xr:uid="{FB21C266-F436-40D2-8304-7BD1D22EC2BC}"/>
    <cellStyle name="Good 7 3 6" xfId="25351" xr:uid="{A5B78033-1116-482B-8776-479FF62C5E2C}"/>
    <cellStyle name="Good 7 4" xfId="25356" xr:uid="{A6297AB7-2B96-4373-BC53-742B0FA83586}"/>
    <cellStyle name="Good 7 5" xfId="25357" xr:uid="{F9AAD216-BCB1-44E1-A8EA-E0659A6960DA}"/>
    <cellStyle name="Good 7 6" xfId="25358" xr:uid="{D1150051-B4C1-405D-B4C6-885F834DE956}"/>
    <cellStyle name="Good 7 7" xfId="25359" xr:uid="{91140B41-ECD7-4CF2-A9DA-5162646805C3}"/>
    <cellStyle name="Good 7 8" xfId="25360" xr:uid="{87F0D44C-4E39-471C-BEB6-328FFB072BAC}"/>
    <cellStyle name="Good 7 9" xfId="25344" xr:uid="{427BF9D4-78EA-468F-BE63-A5534AB591CB}"/>
    <cellStyle name="Good 8" xfId="2351" xr:uid="{DED9F751-56D4-41B5-9770-9C42B6BB67D0}"/>
    <cellStyle name="Good 8 2" xfId="2352" xr:uid="{D4F9CB06-8AA5-4C69-A682-1B498AB42264}"/>
    <cellStyle name="Good 8 2 2" xfId="25363" xr:uid="{7AAD0969-993D-4B10-A5EE-8B8B5189F5EB}"/>
    <cellStyle name="Good 8 2 3" xfId="25364" xr:uid="{0F199B52-DE5B-4005-A0E4-32F26C42DC70}"/>
    <cellStyle name="Good 8 2 4" xfId="25365" xr:uid="{5FC24115-3065-4C3B-9313-954928435AAC}"/>
    <cellStyle name="Good 8 2 5" xfId="25366" xr:uid="{A7301705-9DDA-47CC-857C-76B6AA4A4037}"/>
    <cellStyle name="Good 8 2 6" xfId="25367" xr:uid="{595D36A5-4858-4B5B-A653-64F4B63ADDB8}"/>
    <cellStyle name="Good 8 2 7" xfId="25362" xr:uid="{F2C30618-6D93-422C-BABF-6DB2D0EB2D5F}"/>
    <cellStyle name="Good 8 3" xfId="2353" xr:uid="{01780468-3B61-4290-B633-28BC406F16FA}"/>
    <cellStyle name="Good 8 3 2" xfId="25369" xr:uid="{1C1CB6FE-CD3C-4BA7-9181-31438CB080C3}"/>
    <cellStyle name="Good 8 3 3" xfId="25370" xr:uid="{362B2249-DB4C-4DF3-9580-32940734B866}"/>
    <cellStyle name="Good 8 3 4" xfId="25371" xr:uid="{1C0F74AD-5D0D-42AA-B037-C3E72642996C}"/>
    <cellStyle name="Good 8 3 5" xfId="25372" xr:uid="{DF6F4AF0-9BE0-4F97-B550-6036FD11E529}"/>
    <cellStyle name="Good 8 3 6" xfId="25368" xr:uid="{B059069C-8E5B-40FC-B382-A50642D00045}"/>
    <cellStyle name="Good 8 4" xfId="25373" xr:uid="{DBB70456-F144-4726-89DE-4EB3755CB7AA}"/>
    <cellStyle name="Good 8 5" xfId="25374" xr:uid="{D957FA11-53DE-4275-95D9-8FEEDA0E2FB1}"/>
    <cellStyle name="Good 8 6" xfId="25375" xr:uid="{5D9CA314-ECEB-4201-8C21-2D5EF6929B7C}"/>
    <cellStyle name="Good 8 7" xfId="25376" xr:uid="{9B300095-2373-406B-80D7-CA6C4AE2B287}"/>
    <cellStyle name="Good 8 8" xfId="25377" xr:uid="{E2F2C03C-C6CD-49AE-ADC9-1EFB424E5F0E}"/>
    <cellStyle name="Good 8 9" xfId="25361" xr:uid="{DB225430-E94C-4BCD-8317-1EF6F85E95B8}"/>
    <cellStyle name="Good 9" xfId="2354" xr:uid="{0EE4696D-3AEC-46AB-8858-EB6392E3006C}"/>
    <cellStyle name="Good 9 2" xfId="2355" xr:uid="{E0C9545F-772B-4A18-A98A-5B040CAB9027}"/>
    <cellStyle name="Good 9 2 2" xfId="25380" xr:uid="{C7F815A8-3125-45F1-A010-0CF1D8D7E997}"/>
    <cellStyle name="Good 9 2 3" xfId="25381" xr:uid="{4225A113-E853-4DA2-8F23-A09BDB4833FF}"/>
    <cellStyle name="Good 9 2 4" xfId="25382" xr:uid="{884A520A-0576-4087-B453-7B48D2BE0D29}"/>
    <cellStyle name="Good 9 2 5" xfId="25383" xr:uid="{5693D79F-AAC9-4117-9C86-BFDD97324909}"/>
    <cellStyle name="Good 9 2 6" xfId="25379" xr:uid="{0FBA6881-7DC8-459F-B63E-7A89549B7249}"/>
    <cellStyle name="Good 9 3" xfId="25384" xr:uid="{F7E7588E-9980-4A2E-8957-AA906A83B8A4}"/>
    <cellStyle name="Good 9 4" xfId="25385" xr:uid="{BA80F4EF-B261-45FC-A6A0-9E789D357D07}"/>
    <cellStyle name="Good 9 5" xfId="25386" xr:uid="{1E00C278-F767-41E9-987F-0EC0B421B617}"/>
    <cellStyle name="Good 9 6" xfId="25387" xr:uid="{361100DC-C6C2-44DE-8443-132565A112B6}"/>
    <cellStyle name="Good 9 7" xfId="25388" xr:uid="{253C96EB-67D2-4AEC-9E75-3A1FE025B06B}"/>
    <cellStyle name="Good 9 8" xfId="25378" xr:uid="{46B40B54-14E9-4D91-8648-AAE66E37ADF0}"/>
    <cellStyle name="Heading 1 10" xfId="2356" xr:uid="{75BB10C0-944C-453C-9C14-691C2697A097}"/>
    <cellStyle name="Heading 1 10 2" xfId="2357" xr:uid="{B987F144-020A-4835-9609-637ED8464FDC}"/>
    <cellStyle name="Heading 1 10 2 2" xfId="25391" xr:uid="{ED34E03C-3FF5-43A6-BB48-6595231B61AB}"/>
    <cellStyle name="Heading 1 10 2 3" xfId="25392" xr:uid="{10D05B49-5D88-4F60-BC4A-716C1E9E0ABC}"/>
    <cellStyle name="Heading 1 10 2 4" xfId="25393" xr:uid="{D1A855A2-CEBE-4E10-BBB7-732B533AF3D6}"/>
    <cellStyle name="Heading 1 10 2 5" xfId="25394" xr:uid="{A5D30BA5-31AA-4D4E-A53D-18FCF61B7C79}"/>
    <cellStyle name="Heading 1 10 2 6" xfId="25390" xr:uid="{52D5F8CC-3ACC-48E0-8CF9-738219092A15}"/>
    <cellStyle name="Heading 1 10 3" xfId="25395" xr:uid="{1F2C82A8-E8B2-4206-B4B8-6D51BC5317CF}"/>
    <cellStyle name="Heading 1 10 4" xfId="25396" xr:uid="{916CB11E-7526-4AE1-9CC4-6937140BC011}"/>
    <cellStyle name="Heading 1 10 5" xfId="25397" xr:uid="{30DF34B1-6866-49BF-AAF0-11E0E0D2177C}"/>
    <cellStyle name="Heading 1 10 6" xfId="25398" xr:uid="{A5652030-478A-4E41-A896-54B799D1BAC7}"/>
    <cellStyle name="Heading 1 10 7" xfId="25399" xr:uid="{A3DDF284-D2BD-4A95-8216-AD908A90D614}"/>
    <cellStyle name="Heading 1 10 8" xfId="25389" xr:uid="{6F6687F2-ACDE-46E8-B918-0D86985CDB61}"/>
    <cellStyle name="Heading 1 11" xfId="2358" xr:uid="{C53C66D5-57F5-4E36-BDCF-1D3FCFA7DE34}"/>
    <cellStyle name="Heading 1 11 2" xfId="11204" xr:uid="{0BB570C5-FDD1-4F50-B51B-65F7993F8151}"/>
    <cellStyle name="Heading 1 11 2 2" xfId="25402" xr:uid="{DD92FB35-65FC-4183-8A5C-1916E308145D}"/>
    <cellStyle name="Heading 1 11 2 3" xfId="25403" xr:uid="{E5577CD6-170E-40A1-B30D-EE5EEAD6E2E4}"/>
    <cellStyle name="Heading 1 11 2 4" xfId="25404" xr:uid="{5609EB96-32D1-4078-A660-EBA55A0E65C1}"/>
    <cellStyle name="Heading 1 11 2 5" xfId="25405" xr:uid="{12106971-CA46-475F-81C5-78C1F9714E2E}"/>
    <cellStyle name="Heading 1 11 2 6" xfId="25401" xr:uid="{C6772EEA-4F7C-4B70-83F7-59EB925C1F25}"/>
    <cellStyle name="Heading 1 11 3" xfId="25406" xr:uid="{0819E38E-D361-4503-8CFE-16913D67D868}"/>
    <cellStyle name="Heading 1 11 4" xfId="25407" xr:uid="{2F23EAC8-73B4-4C50-A2ED-253093CDE8D8}"/>
    <cellStyle name="Heading 1 11 5" xfId="25408" xr:uid="{586E50A2-C731-447A-A318-A7788137776A}"/>
    <cellStyle name="Heading 1 11 6" xfId="25409" xr:uid="{48662995-7250-4BEF-B66E-D987AB87081F}"/>
    <cellStyle name="Heading 1 11 7" xfId="25410" xr:uid="{B039D3E7-FD3B-4076-8D63-62A2294998CB}"/>
    <cellStyle name="Heading 1 11 8" xfId="25400" xr:uid="{35336BF7-FD1F-4730-9C8E-ED190E4944A3}"/>
    <cellStyle name="Heading 1 12" xfId="2359" xr:uid="{ED29D481-367D-449B-A2C3-955147783944}"/>
    <cellStyle name="Heading 1 12 2" xfId="10838" xr:uid="{6899C927-75DE-4553-81E1-907712861006}"/>
    <cellStyle name="Heading 1 12 2 2" xfId="25413" xr:uid="{393FED88-E222-4CE7-83AF-9B8EA03F9484}"/>
    <cellStyle name="Heading 1 12 2 3" xfId="25414" xr:uid="{D3AB8EB9-C64F-4F71-8186-07B1614AA0A1}"/>
    <cellStyle name="Heading 1 12 2 4" xfId="25415" xr:uid="{579CAAE4-10B3-4C62-8925-B56C090327EC}"/>
    <cellStyle name="Heading 1 12 2 5" xfId="25416" xr:uid="{46EC33EA-118A-4ECD-A449-52350B1AD179}"/>
    <cellStyle name="Heading 1 12 2 6" xfId="25412" xr:uid="{A8B389FD-B432-465D-80C2-7E2838073633}"/>
    <cellStyle name="Heading 1 12 3" xfId="25417" xr:uid="{ADE951A7-C075-4445-A6F0-F435FEFF63B3}"/>
    <cellStyle name="Heading 1 12 4" xfId="25418" xr:uid="{1454DED1-925C-4002-B511-CA2FA9F8FBD1}"/>
    <cellStyle name="Heading 1 12 5" xfId="25419" xr:uid="{1C4F2FBC-72A0-4777-B2AA-663B5C72766D}"/>
    <cellStyle name="Heading 1 12 6" xfId="25420" xr:uid="{88B8F9F8-4EBC-47B0-8614-8EBF9EFB1C08}"/>
    <cellStyle name="Heading 1 12 7" xfId="25421" xr:uid="{998C8688-882F-4C79-B69D-0AD24EA9326E}"/>
    <cellStyle name="Heading 1 12 8" xfId="25411" xr:uid="{40FE4312-2F83-4178-A335-D0B19651F129}"/>
    <cellStyle name="Heading 1 13" xfId="2360" xr:uid="{1CBA35F1-67CD-4350-910D-6A788711FD79}"/>
    <cellStyle name="Heading 1 13 2" xfId="8088" xr:uid="{E2448AA9-36C1-4845-821C-0589DB92BA22}"/>
    <cellStyle name="Heading 1 13 2 2" xfId="25424" xr:uid="{E1BEEF45-9C2A-4903-B8E7-1E41A97CA2B7}"/>
    <cellStyle name="Heading 1 13 2 3" xfId="25425" xr:uid="{B2A1B9F3-4E5E-4674-82D7-7979D635BBB7}"/>
    <cellStyle name="Heading 1 13 2 4" xfId="25426" xr:uid="{F9AF53FB-3EAA-4724-8877-45C74402277A}"/>
    <cellStyle name="Heading 1 13 2 5" xfId="25427" xr:uid="{B37A4EAE-40E4-4526-9550-BE9B5A713C5A}"/>
    <cellStyle name="Heading 1 13 2 6" xfId="25423" xr:uid="{DB635F0D-7C03-4D74-BE51-EDF8BF1111DA}"/>
    <cellStyle name="Heading 1 13 3" xfId="25428" xr:uid="{CDFF99E4-2BF1-4CA5-9D67-2A56FE524314}"/>
    <cellStyle name="Heading 1 13 4" xfId="25429" xr:uid="{0C186B9F-CA17-4EAE-A905-54F9CC0F11AD}"/>
    <cellStyle name="Heading 1 13 5" xfId="25430" xr:uid="{830808A6-2E73-43D8-8028-837F90E43D06}"/>
    <cellStyle name="Heading 1 13 6" xfId="25431" xr:uid="{75D07431-58DA-4C5A-B232-C92C1F46B9C0}"/>
    <cellStyle name="Heading 1 13 7" xfId="25432" xr:uid="{3B30B90B-40A6-4161-8B1E-0D709303EC8A}"/>
    <cellStyle name="Heading 1 13 8" xfId="25422" xr:uid="{CE55CB61-666D-4AC7-AA59-3A8323A66879}"/>
    <cellStyle name="Heading 1 14" xfId="2361" xr:uid="{EA2D11C1-F59A-4D8A-83FB-E6ED45B6A434}"/>
    <cellStyle name="Heading 1 14 2" xfId="8087" xr:uid="{E585F7CA-2230-4F6E-8C6A-0F8AD7042DE9}"/>
    <cellStyle name="Heading 1 14 2 2" xfId="25435" xr:uid="{F63788F0-CF84-4B8B-B193-C7A6CE285910}"/>
    <cellStyle name="Heading 1 14 2 3" xfId="25436" xr:uid="{4A719548-DA4A-4ABA-8B95-1E5000FD1B62}"/>
    <cellStyle name="Heading 1 14 2 4" xfId="25437" xr:uid="{80C8D79F-9CE2-4352-B4F3-07DC555BA4E2}"/>
    <cellStyle name="Heading 1 14 2 5" xfId="25438" xr:uid="{13B6425C-696D-4CC0-B3EC-2A8449B65A7D}"/>
    <cellStyle name="Heading 1 14 2 6" xfId="25434" xr:uid="{71E985C6-9D4A-4BA8-A6A7-EB49D6F9D736}"/>
    <cellStyle name="Heading 1 14 3" xfId="25439" xr:uid="{62EE8BC6-9F48-42C4-8E68-0CC5D5577930}"/>
    <cellStyle name="Heading 1 14 4" xfId="25440" xr:uid="{E024920A-C408-45D0-9674-EED12C4AFF6A}"/>
    <cellStyle name="Heading 1 14 5" xfId="25441" xr:uid="{7A62BE5E-BF9F-466C-A474-162E9103831E}"/>
    <cellStyle name="Heading 1 14 6" xfId="25442" xr:uid="{A62CF16F-F318-45E2-A17F-CC4ADC79C417}"/>
    <cellStyle name="Heading 1 14 7" xfId="25443" xr:uid="{39CB7CE1-F001-4865-A1A6-3EB24214188A}"/>
    <cellStyle name="Heading 1 14 8" xfId="25433" xr:uid="{CA92D0B4-564D-4AE0-91F4-357B338B1827}"/>
    <cellStyle name="Heading 1 15" xfId="2362" xr:uid="{97AE41F1-B74A-41BA-9A7A-A13F50A39DF6}"/>
    <cellStyle name="Heading 1 15 2" xfId="16427" xr:uid="{F17A3FE3-A590-4A34-B75B-080C73911811}"/>
    <cellStyle name="Heading 1 15 2 2" xfId="25446" xr:uid="{2E200813-CB33-4D31-B720-7BEC7EFFDD25}"/>
    <cellStyle name="Heading 1 15 2 3" xfId="25447" xr:uid="{E649EDC1-72BA-4540-BE69-6A8B861F5563}"/>
    <cellStyle name="Heading 1 15 2 4" xfId="25448" xr:uid="{018390AD-0EB7-4EBD-8733-AB6206859BDA}"/>
    <cellStyle name="Heading 1 15 2 5" xfId="25449" xr:uid="{A474631E-487A-4C60-BA3B-CFE6FDAD0A02}"/>
    <cellStyle name="Heading 1 15 2 6" xfId="25445" xr:uid="{58FA6D31-031D-473C-982D-8BA89A5A3AE3}"/>
    <cellStyle name="Heading 1 15 3" xfId="25450" xr:uid="{71E9FDE3-B97E-41E5-8D83-EB4DE5AD12F1}"/>
    <cellStyle name="Heading 1 15 4" xfId="25451" xr:uid="{D975DD2A-7E5E-4870-A9AB-B02705FF43A0}"/>
    <cellStyle name="Heading 1 15 5" xfId="25452" xr:uid="{C222F0F8-68A3-4109-BB23-A86EB3E6B9C9}"/>
    <cellStyle name="Heading 1 15 6" xfId="25453" xr:uid="{2AC27AC0-BFD1-4517-8A86-0730611D466E}"/>
    <cellStyle name="Heading 1 15 7" xfId="25444" xr:uid="{32668ECF-ED8B-40E6-8766-A49D86DBA1DC}"/>
    <cellStyle name="Heading 1 16" xfId="2363" xr:uid="{2E980CCD-244B-4B75-AEA3-54E27F3ED673}"/>
    <cellStyle name="Heading 1 16 2" xfId="16428" xr:uid="{569C9BA7-1984-4486-887B-B3FBA84C94B8}"/>
    <cellStyle name="Heading 1 16 2 2" xfId="25456" xr:uid="{3686957C-079F-46B7-9F8E-4884A78D5401}"/>
    <cellStyle name="Heading 1 16 2 3" xfId="25457" xr:uid="{FB0DB3E3-5F31-4009-A0DC-6DE31FA2D5B2}"/>
    <cellStyle name="Heading 1 16 2 4" xfId="25458" xr:uid="{F9571D1B-9903-4062-8F63-F306010D7CD6}"/>
    <cellStyle name="Heading 1 16 2 5" xfId="25459" xr:uid="{DD718F82-A741-4FA6-88C3-D4BC220A5133}"/>
    <cellStyle name="Heading 1 16 2 6" xfId="25455" xr:uid="{43581C5D-24D6-415C-BA4E-29F041187223}"/>
    <cellStyle name="Heading 1 16 3" xfId="25460" xr:uid="{4F2C1887-1E9B-484B-AE71-D0204E5F8E71}"/>
    <cellStyle name="Heading 1 16 4" xfId="25461" xr:uid="{8D4656A0-F27A-48CF-B000-691D0F1ECBF0}"/>
    <cellStyle name="Heading 1 16 5" xfId="25462" xr:uid="{99248C3E-7CE0-4DAD-94C1-F95B1E64AF56}"/>
    <cellStyle name="Heading 1 16 6" xfId="25463" xr:uid="{EF75136F-7236-41A1-BE41-A8F8638570CE}"/>
    <cellStyle name="Heading 1 16 7" xfId="25454" xr:uid="{2CD4CAD5-225A-4E88-B632-0F309142AEE5}"/>
    <cellStyle name="Heading 1 17" xfId="2364" xr:uid="{188777FB-B90E-464B-B0E5-EDCC467AA06A}"/>
    <cellStyle name="Heading 1 17 2" xfId="16429" xr:uid="{96815C10-1D41-4045-903F-69A2193B88D0}"/>
    <cellStyle name="Heading 1 17 2 2" xfId="25466" xr:uid="{8D3D34F5-0B7A-4758-9D4B-E1846E0C49D6}"/>
    <cellStyle name="Heading 1 17 2 3" xfId="25467" xr:uid="{7981897B-1A8F-4DC0-B716-72DBAD031E9B}"/>
    <cellStyle name="Heading 1 17 2 4" xfId="25468" xr:uid="{312CF34C-511F-42FE-BBCB-5FC259FEF162}"/>
    <cellStyle name="Heading 1 17 2 5" xfId="25469" xr:uid="{029D4B4E-5FA1-404A-A2D1-13039BB657CF}"/>
    <cellStyle name="Heading 1 17 2 6" xfId="25465" xr:uid="{E594110D-D9BE-468A-9EEB-26AB9F19016A}"/>
    <cellStyle name="Heading 1 17 3" xfId="25470" xr:uid="{E46146E6-6619-42AE-A6AB-B9DBFDCC0A85}"/>
    <cellStyle name="Heading 1 17 4" xfId="25471" xr:uid="{554F62BA-39C7-41C0-A47E-8CAF4494FC63}"/>
    <cellStyle name="Heading 1 17 5" xfId="25472" xr:uid="{1C1006BD-956E-4944-859A-D1ABF3ECD44E}"/>
    <cellStyle name="Heading 1 17 6" xfId="25473" xr:uid="{BC967C86-EE76-4DF9-BF7B-2F893EDD98FF}"/>
    <cellStyle name="Heading 1 17 7" xfId="25464" xr:uid="{A88C9B25-166F-48D0-9A94-9A55DD8A0B78}"/>
    <cellStyle name="Heading 1 18" xfId="2365" xr:uid="{98F436C2-00B1-491D-8461-B657A4A01D95}"/>
    <cellStyle name="Heading 1 18 2" xfId="16430" xr:uid="{B02F5A18-3E2B-467C-8A3D-93AD96116E0C}"/>
    <cellStyle name="Heading 1 18 2 2" xfId="25476" xr:uid="{2AACC8EA-7609-4586-BE8B-6B82D590168A}"/>
    <cellStyle name="Heading 1 18 2 3" xfId="25477" xr:uid="{620BBA66-95DB-4982-9942-99CBB5779473}"/>
    <cellStyle name="Heading 1 18 2 4" xfId="25478" xr:uid="{81D3E20E-96EF-4879-9966-D4B9C69C0816}"/>
    <cellStyle name="Heading 1 18 2 5" xfId="25479" xr:uid="{B63BE91F-23CC-4A38-A61B-B350F0A0A298}"/>
    <cellStyle name="Heading 1 18 2 6" xfId="25475" xr:uid="{49BE00BD-E903-45BC-B369-71CAED99446B}"/>
    <cellStyle name="Heading 1 18 3" xfId="25480" xr:uid="{03E63BAD-001D-4875-8824-08E8699CF959}"/>
    <cellStyle name="Heading 1 18 4" xfId="25481" xr:uid="{F71B5617-74DA-4D13-A864-B2F9AAAD1657}"/>
    <cellStyle name="Heading 1 18 5" xfId="25482" xr:uid="{E92455B8-A9D5-4766-AECB-319945E94408}"/>
    <cellStyle name="Heading 1 18 6" xfId="25483" xr:uid="{92344158-884E-4014-B962-DA45A5C3DCCB}"/>
    <cellStyle name="Heading 1 18 7" xfId="25474" xr:uid="{1E8DF199-9850-407B-8C99-6D2FB092C51E}"/>
    <cellStyle name="Heading 1 19" xfId="2366" xr:uid="{30E5C58D-DB62-49DD-BECB-609A660DC67E}"/>
    <cellStyle name="Heading 1 19 2" xfId="16431" xr:uid="{782264A8-78C8-43DF-9165-68D41A63169F}"/>
    <cellStyle name="Heading 1 19 2 2" xfId="25486" xr:uid="{85369647-C1AA-45F8-B84D-E160250C7C70}"/>
    <cellStyle name="Heading 1 19 2 3" xfId="25487" xr:uid="{E95554B1-2D7F-4B54-9470-1742371C67FF}"/>
    <cellStyle name="Heading 1 19 2 4" xfId="25488" xr:uid="{C018BBD5-F8AA-446F-90EA-2E11DAB13348}"/>
    <cellStyle name="Heading 1 19 2 5" xfId="25489" xr:uid="{509C6BCD-491B-483E-857E-7EC624024324}"/>
    <cellStyle name="Heading 1 19 2 6" xfId="25485" xr:uid="{93A550B5-BE72-4B13-A3EE-B0E9C35AF790}"/>
    <cellStyle name="Heading 1 19 3" xfId="25490" xr:uid="{865A7070-0C63-4777-84C4-0D973C418D9F}"/>
    <cellStyle name="Heading 1 19 4" xfId="25491" xr:uid="{25B76CFB-928D-489F-ACEA-256ADE921143}"/>
    <cellStyle name="Heading 1 19 5" xfId="25492" xr:uid="{1E7E0674-7EFE-49DA-A5E4-4F7BD4D7E725}"/>
    <cellStyle name="Heading 1 19 6" xfId="25493" xr:uid="{E6C6D7AB-E953-40AE-9D6A-B0FE760BA960}"/>
    <cellStyle name="Heading 1 19 7" xfId="25484" xr:uid="{3DFAA163-95C4-4025-9E8F-20E76892D4D3}"/>
    <cellStyle name="Heading 1 2" xfId="2367" xr:uid="{43EB493A-CB6E-403C-A506-9A8CA00651F4}"/>
    <cellStyle name="Heading 1 2 10" xfId="8086" xr:uid="{015D9D29-49E6-4D58-94F4-40C40BCEE3BF}"/>
    <cellStyle name="Heading 1 2 10 2" xfId="25495" xr:uid="{DD574F49-3EE6-4A5A-9C0D-1F55EB7402FC}"/>
    <cellStyle name="Heading 1 2 11" xfId="25496" xr:uid="{2E806A4B-FEA7-4650-A6A9-3AF29A84363C}"/>
    <cellStyle name="Heading 1 2 12" xfId="25497" xr:uid="{476E1326-F1EA-4A79-BDCF-68F4593D0B32}"/>
    <cellStyle name="Heading 1 2 13" xfId="25498" xr:uid="{13937AB0-DCB1-475F-B8BA-3CAEEE4AFC9C}"/>
    <cellStyle name="Heading 1 2 14" xfId="25499" xr:uid="{7DDAD93D-A76E-41A7-9B91-943927ABA3B7}"/>
    <cellStyle name="Heading 1 2 15" xfId="25500" xr:uid="{1F1E1989-02B0-4B24-BB3C-2AF9E5BA08F6}"/>
    <cellStyle name="Heading 1 2 16" xfId="25494" xr:uid="{82818864-CB99-42D8-A4E6-489021CFEE03}"/>
    <cellStyle name="Heading 1 2 2" xfId="2368" xr:uid="{37C27249-B614-4D5A-80D3-754BB8E587D0}"/>
    <cellStyle name="Heading 1 2 2 2" xfId="25502" xr:uid="{DF34D38E-1851-4BD3-974E-858324EE671E}"/>
    <cellStyle name="Heading 1 2 2 3" xfId="25503" xr:uid="{44A9EA47-AEC1-49C0-BF6B-3B6EAEB2D27C}"/>
    <cellStyle name="Heading 1 2 2 4" xfId="25504" xr:uid="{909FD648-904E-458D-9DA9-00F2E713F078}"/>
    <cellStyle name="Heading 1 2 2 5" xfId="25505" xr:uid="{69387219-2DC8-4F22-9A5B-5D4281469B64}"/>
    <cellStyle name="Heading 1 2 2 6" xfId="25506" xr:uid="{0557F005-5683-4776-A679-1BBCA9BC4335}"/>
    <cellStyle name="Heading 1 2 2 7" xfId="25501" xr:uid="{A94B6AC8-DB83-44FB-92C2-72BE5F4B3334}"/>
    <cellStyle name="Heading 1 2 3" xfId="2369" xr:uid="{FC660092-073E-4185-82B4-8FD9004A353B}"/>
    <cellStyle name="Heading 1 2 3 2" xfId="25508" xr:uid="{A43EF96E-3A05-4F26-9601-452432A5A858}"/>
    <cellStyle name="Heading 1 2 3 3" xfId="25509" xr:uid="{9EE0F20B-AA23-43C6-A8C5-498463510329}"/>
    <cellStyle name="Heading 1 2 3 4" xfId="25510" xr:uid="{499860F2-B257-4AA5-BF6F-A6D4FD965731}"/>
    <cellStyle name="Heading 1 2 3 5" xfId="25511" xr:uid="{282B4CD7-9FE0-4E85-A228-D75755F40C67}"/>
    <cellStyle name="Heading 1 2 3 6" xfId="25512" xr:uid="{43B3D475-7AA2-4AEE-84B2-20803F654223}"/>
    <cellStyle name="Heading 1 2 3 7" xfId="25507" xr:uid="{43015FB3-0F5D-4E8E-B8E1-F130292A2594}"/>
    <cellStyle name="Heading 1 2 4" xfId="2370" xr:uid="{F8761709-C14E-445E-ACF8-F448F63E6463}"/>
    <cellStyle name="Heading 1 2 4 2" xfId="25514" xr:uid="{54E8EDF5-6AC4-4493-A2AB-0E39496B088D}"/>
    <cellStyle name="Heading 1 2 4 3" xfId="25515" xr:uid="{732C90F8-019E-43FD-8EC7-42AA72857283}"/>
    <cellStyle name="Heading 1 2 4 4" xfId="25516" xr:uid="{2B1CEFFF-A336-40FC-B433-76F29088348C}"/>
    <cellStyle name="Heading 1 2 4 5" xfId="25517" xr:uid="{C936E2FA-E0F8-4A20-88FC-F5607748FF66}"/>
    <cellStyle name="Heading 1 2 4 6" xfId="25518" xr:uid="{37365463-A7FA-46EA-BA1E-326355C55118}"/>
    <cellStyle name="Heading 1 2 4 7" xfId="25513" xr:uid="{D1CE7D9E-98AE-4B7A-9CB8-F9B8BC70793E}"/>
    <cellStyle name="Heading 1 2 5" xfId="2371" xr:uid="{093E9BDF-B3E4-417E-AEED-35026C2DED7F}"/>
    <cellStyle name="Heading 1 2 5 2" xfId="25520" xr:uid="{4209C249-67C3-45BD-BCCA-6B91F58953A5}"/>
    <cellStyle name="Heading 1 2 5 3" xfId="25521" xr:uid="{B3BF6758-DC24-4B60-9C40-CB84FD66F3D9}"/>
    <cellStyle name="Heading 1 2 5 4" xfId="25522" xr:uid="{918D23F6-D267-4A52-AB1D-B7AA27B9B201}"/>
    <cellStyle name="Heading 1 2 5 5" xfId="25523" xr:uid="{8C05B63E-AE77-4777-850F-D665DDF0D495}"/>
    <cellStyle name="Heading 1 2 5 6" xfId="25524" xr:uid="{F697888A-C0C6-464C-B99E-1903746D26D4}"/>
    <cellStyle name="Heading 1 2 5 7" xfId="25519" xr:uid="{AE2A5B2E-7655-4ABC-BBC8-8C8F686FDD95}"/>
    <cellStyle name="Heading 1 2 6" xfId="2372" xr:uid="{6E063499-CCDA-4B81-A11F-B2F737E174DB}"/>
    <cellStyle name="Heading 1 2 6 2" xfId="25526" xr:uid="{3885ED74-163B-422B-894D-B5DC6CD44635}"/>
    <cellStyle name="Heading 1 2 6 3" xfId="25527" xr:uid="{F4F5147C-9B85-4679-BD21-577683AC1084}"/>
    <cellStyle name="Heading 1 2 6 4" xfId="25528" xr:uid="{7F4F383E-3C7E-48A9-9C84-ACF0F1E360AF}"/>
    <cellStyle name="Heading 1 2 6 5" xfId="25529" xr:uid="{089E91AB-A2D3-4394-8C64-E93CF5911A9A}"/>
    <cellStyle name="Heading 1 2 6 6" xfId="25530" xr:uid="{E77F2922-5883-43B6-ABE0-CC3E83EDA8DB}"/>
    <cellStyle name="Heading 1 2 6 7" xfId="25525" xr:uid="{D52811B9-8A98-4019-96C0-802F8DD8905F}"/>
    <cellStyle name="Heading 1 2 7" xfId="2373" xr:uid="{85DA4ED8-5AF4-48B8-BCA6-FE99DE0C7029}"/>
    <cellStyle name="Heading 1 2 7 2" xfId="25532" xr:uid="{E9D00100-61DE-4030-86DF-596717BFF73A}"/>
    <cellStyle name="Heading 1 2 7 3" xfId="25533" xr:uid="{3600E93B-F705-4795-8C07-9CD2EA3E7E84}"/>
    <cellStyle name="Heading 1 2 7 4" xfId="25534" xr:uid="{0763502B-2A36-4342-9A0D-3730898079D5}"/>
    <cellStyle name="Heading 1 2 7 5" xfId="25535" xr:uid="{0DB4DC7E-3848-4DC0-82E3-524220302FCC}"/>
    <cellStyle name="Heading 1 2 7 6" xfId="25536" xr:uid="{2FA914C0-7359-4490-BF9E-1F0E8BB01FBC}"/>
    <cellStyle name="Heading 1 2 7 7" xfId="25531" xr:uid="{9803B761-1D88-4EB8-AD90-03E8F30AD73B}"/>
    <cellStyle name="Heading 1 2 8" xfId="2374" xr:uid="{B6FB14B1-906B-49AC-9C23-9338DB3CD89E}"/>
    <cellStyle name="Heading 1 2 8 2" xfId="25538" xr:uid="{9295BDA6-93D9-4B1B-81D6-2EDB2E8FC87E}"/>
    <cellStyle name="Heading 1 2 8 3" xfId="25539" xr:uid="{9D2BEDF6-0B77-4B11-BFC6-C718AF51CBDB}"/>
    <cellStyle name="Heading 1 2 8 4" xfId="25540" xr:uid="{8E48C864-1D08-456A-98F2-EF7E2D2F95FB}"/>
    <cellStyle name="Heading 1 2 8 5" xfId="25541" xr:uid="{FBBA942F-C464-4DB7-AB0E-DD51037D7BD1}"/>
    <cellStyle name="Heading 1 2 8 6" xfId="25542" xr:uid="{22CBA201-9CC7-4D1C-82B6-B5FCE7310BEA}"/>
    <cellStyle name="Heading 1 2 8 7" xfId="25537" xr:uid="{93323F50-BCAD-4E4D-AA76-3409885419A8}"/>
    <cellStyle name="Heading 1 2 9" xfId="2375" xr:uid="{B76853F9-2341-4514-92EB-5C1F4AA943F5}"/>
    <cellStyle name="Heading 1 2 9 2" xfId="25544" xr:uid="{4F30F0DF-5A39-412D-9E5F-EA37B53E62B0}"/>
    <cellStyle name="Heading 1 2 9 3" xfId="25545" xr:uid="{7B2A4498-0E4B-4E55-9CDD-D7B3DC8DF07B}"/>
    <cellStyle name="Heading 1 2 9 4" xfId="25546" xr:uid="{009C4F99-AA2E-4CF7-97BA-4D92B6946BA9}"/>
    <cellStyle name="Heading 1 2 9 5" xfId="25547" xr:uid="{938F223C-1B63-43EF-A62B-316DA8F0B1ED}"/>
    <cellStyle name="Heading 1 2 9 6" xfId="25548" xr:uid="{86452B70-AAC4-4BD8-9ABA-2A1083642336}"/>
    <cellStyle name="Heading 1 2 9 7" xfId="25543" xr:uid="{48F83739-C73C-41B6-8BEF-0C2A5802BA69}"/>
    <cellStyle name="Heading 1 2_IND_UC" xfId="15230" xr:uid="{0E9D8B75-D67B-4E44-AA91-7AAD08EA6779}"/>
    <cellStyle name="Heading 1 20" xfId="2376" xr:uid="{4EC9271F-C1E6-4DAB-8F21-5211F1148F6C}"/>
    <cellStyle name="Heading 1 20 2" xfId="16432" xr:uid="{1066F37F-5777-427E-B0DA-209628E4FDEE}"/>
    <cellStyle name="Heading 1 20 2 2" xfId="25551" xr:uid="{234F4C26-7916-4A89-852D-FE3AC3F95C2A}"/>
    <cellStyle name="Heading 1 20 2 3" xfId="25552" xr:uid="{92369E1C-1535-46D3-A9C7-EB2CFBA83290}"/>
    <cellStyle name="Heading 1 20 2 4" xfId="25553" xr:uid="{CC5FE5FC-59A3-48A5-B424-35A111FE853C}"/>
    <cellStyle name="Heading 1 20 2 5" xfId="25554" xr:uid="{E4819E8C-32E1-4A89-AC94-89CDC1C1A502}"/>
    <cellStyle name="Heading 1 20 2 6" xfId="25550" xr:uid="{7235F84E-A051-4CFF-B723-315776EFC209}"/>
    <cellStyle name="Heading 1 20 3" xfId="25555" xr:uid="{A0CB90A4-4926-488D-9F5C-AEC059F819EF}"/>
    <cellStyle name="Heading 1 20 4" xfId="25556" xr:uid="{CC720EF0-B4C0-4509-9566-AB4FBE802CD0}"/>
    <cellStyle name="Heading 1 20 5" xfId="25557" xr:uid="{A20F2225-841B-43AC-8833-9357AB4A940F}"/>
    <cellStyle name="Heading 1 20 6" xfId="25558" xr:uid="{71F19A16-927C-4D85-BE95-70C6725D5BAA}"/>
    <cellStyle name="Heading 1 20 7" xfId="25549" xr:uid="{93D1191F-C891-428D-87A2-ACC5E318ADDE}"/>
    <cellStyle name="Heading 1 21" xfId="16433" xr:uid="{32BD043D-AED9-452C-937D-2941A90088E4}"/>
    <cellStyle name="Heading 1 21 2" xfId="25560" xr:uid="{EBAB75F5-BE9C-49D8-B411-76AC3E32D207}"/>
    <cellStyle name="Heading 1 21 3" xfId="25561" xr:uid="{7402FF6A-3E4D-48DC-BF4B-98B6461573E5}"/>
    <cellStyle name="Heading 1 21 4" xfId="25562" xr:uid="{3A88F6B5-B4FA-4663-93A2-44F8E6AF424D}"/>
    <cellStyle name="Heading 1 21 5" xfId="25563" xr:uid="{55B2E135-CA7C-40B4-83C8-99CC4848E6A7}"/>
    <cellStyle name="Heading 1 21 6" xfId="25559" xr:uid="{937E5C64-A8A0-4F8C-869A-3187AAC494C3}"/>
    <cellStyle name="Heading 1 22" xfId="15229" xr:uid="{E6EE1FC5-C531-4603-9ECB-FA67274D8342}"/>
    <cellStyle name="Heading 1 22 2" xfId="25565" xr:uid="{4E73FF5A-1A28-4B74-8CBF-A2800C440CC0}"/>
    <cellStyle name="Heading 1 22 3" xfId="25564" xr:uid="{15F340BB-DD72-4F64-BC9E-7B68B6463B39}"/>
    <cellStyle name="Heading 1 23" xfId="25566" xr:uid="{B2F31FE5-4B52-4B54-85A9-D87ACDF97FC8}"/>
    <cellStyle name="Heading 1 24" xfId="25567" xr:uid="{B6C32D2F-18CF-44D7-981C-1DB04ACB5DBC}"/>
    <cellStyle name="Heading 1 25" xfId="25568" xr:uid="{1CEF6A27-67FB-42C2-ADE1-9FD60B9827F3}"/>
    <cellStyle name="Heading 1 3" xfId="2377" xr:uid="{1F4BCFA6-6347-414C-85D6-4C0069E654BF}"/>
    <cellStyle name="Heading 1 3 10" xfId="2378" xr:uid="{4667AB5D-6154-42E8-939C-930383F63AA2}"/>
    <cellStyle name="Heading 1 3 10 2" xfId="25571" xr:uid="{7809924C-654B-4A0D-AFF0-EC53FA54B67F}"/>
    <cellStyle name="Heading 1 3 10 3" xfId="25572" xr:uid="{12C42DCA-AFEE-44CD-864A-46909E3AB70E}"/>
    <cellStyle name="Heading 1 3 10 4" xfId="25573" xr:uid="{8C78A8BB-27C1-4158-98DD-F6B15A4D83CD}"/>
    <cellStyle name="Heading 1 3 10 5" xfId="25574" xr:uid="{A256C2A6-1F1C-48F7-8EE2-6317FD7E4092}"/>
    <cellStyle name="Heading 1 3 10 6" xfId="25570" xr:uid="{4B03A895-DB0E-4DA7-860C-1A521CA88F86}"/>
    <cellStyle name="Heading 1 3 11" xfId="2379" xr:uid="{06915F0F-73AE-4F7D-9117-AF91D3258063}"/>
    <cellStyle name="Heading 1 3 11 2" xfId="25576" xr:uid="{7284FA5C-AC12-408D-B3EC-03D4B5A01451}"/>
    <cellStyle name="Heading 1 3 11 3" xfId="25577" xr:uid="{1B031762-4AFD-47E8-83D8-34E9011E01E7}"/>
    <cellStyle name="Heading 1 3 11 4" xfId="25578" xr:uid="{333154FA-2725-4A90-ADA2-CC66F7A35A58}"/>
    <cellStyle name="Heading 1 3 11 5" xfId="25579" xr:uid="{BB1CF19E-43AF-4821-AE35-08E818C7FA6D}"/>
    <cellStyle name="Heading 1 3 11 6" xfId="25575" xr:uid="{5290887A-324C-42AA-914C-0942ADC06E4B}"/>
    <cellStyle name="Heading 1 3 12" xfId="2380" xr:uid="{F13B5824-CB52-424C-8B39-F6003BE3DF46}"/>
    <cellStyle name="Heading 1 3 12 2" xfId="25581" xr:uid="{AB1945EF-7DCB-4B4A-AAC8-220C35EBBBBF}"/>
    <cellStyle name="Heading 1 3 12 3" xfId="25582" xr:uid="{AE01D7B5-1D09-406E-BDBD-0DFFD342FCB2}"/>
    <cellStyle name="Heading 1 3 12 4" xfId="25583" xr:uid="{8E1AE04B-D275-48F1-AFB4-6F1201F68B47}"/>
    <cellStyle name="Heading 1 3 12 5" xfId="25584" xr:uid="{47609225-2FEA-4318-954E-CDCE28754AE5}"/>
    <cellStyle name="Heading 1 3 12 6" xfId="25580" xr:uid="{E8E9B907-2EFC-459E-9410-E39DB4A48FF7}"/>
    <cellStyle name="Heading 1 3 13" xfId="2381" xr:uid="{CF304F32-EC8F-47BD-95A4-D60FAD382869}"/>
    <cellStyle name="Heading 1 3 13 2" xfId="25586" xr:uid="{BDD1B9EE-3A44-4069-B3C3-ACDFDF67CFEB}"/>
    <cellStyle name="Heading 1 3 13 3" xfId="25587" xr:uid="{62A3176E-7767-469E-B50C-4D74D4E591C4}"/>
    <cellStyle name="Heading 1 3 13 4" xfId="25588" xr:uid="{BC613830-846D-457E-AF7D-D5FBAFE7384A}"/>
    <cellStyle name="Heading 1 3 13 5" xfId="25589" xr:uid="{B1DFFB6A-0A97-4C45-BB54-53C845DF900A}"/>
    <cellStyle name="Heading 1 3 13 6" xfId="25585" xr:uid="{01B9F3E5-43EA-4BAA-8484-AE47DDC460F9}"/>
    <cellStyle name="Heading 1 3 14" xfId="2382" xr:uid="{5E87A095-F6BB-4520-BB21-2BE82C9279B9}"/>
    <cellStyle name="Heading 1 3 14 2" xfId="25591" xr:uid="{C1DA4A67-610D-46A3-BD96-2302A27CD720}"/>
    <cellStyle name="Heading 1 3 14 3" xfId="25592" xr:uid="{2A5386F8-9DBD-473F-817B-D77430ECCDB1}"/>
    <cellStyle name="Heading 1 3 14 4" xfId="25593" xr:uid="{073AA904-2925-4FE3-A5D1-D78AF19D22FC}"/>
    <cellStyle name="Heading 1 3 14 5" xfId="25594" xr:uid="{B7DBE3E9-F432-458D-B3F4-8DED8E804028}"/>
    <cellStyle name="Heading 1 3 14 6" xfId="25590" xr:uid="{16C0AD9B-042D-4E8E-B6FC-79266A2E21B6}"/>
    <cellStyle name="Heading 1 3 15" xfId="16434" xr:uid="{82F0D26C-B788-4C91-8313-9B0B88AC61E8}"/>
    <cellStyle name="Heading 1 3 15 2" xfId="25596" xr:uid="{D4405412-7051-4B92-BABD-2586057279CB}"/>
    <cellStyle name="Heading 1 3 15 3" xfId="25597" xr:uid="{F6C88976-0156-4C65-BE9D-9EDD1E649EC3}"/>
    <cellStyle name="Heading 1 3 15 4" xfId="25598" xr:uid="{610D6405-1112-4CD1-90CC-D1CA21AF220B}"/>
    <cellStyle name="Heading 1 3 15 5" xfId="25599" xr:uid="{2962CE7D-0B85-401F-B753-CC3B9BDB8D1C}"/>
    <cellStyle name="Heading 1 3 15 6" xfId="25595" xr:uid="{2D03A8BD-1ECF-45F1-AF19-CCE9E33E44FF}"/>
    <cellStyle name="Heading 1 3 16" xfId="25600" xr:uid="{199E9FC1-7572-4D55-9E8F-C5D0B46D902A}"/>
    <cellStyle name="Heading 1 3 17" xfId="25601" xr:uid="{413E6534-99BD-41CC-80B5-09EF4B9433D4}"/>
    <cellStyle name="Heading 1 3 18" xfId="25602" xr:uid="{CCA33A83-EFC7-4100-A456-1FE56D83AA0A}"/>
    <cellStyle name="Heading 1 3 19" xfId="25603" xr:uid="{6B0449A1-9CE8-471F-B6B8-93684DFD8EEA}"/>
    <cellStyle name="Heading 1 3 2" xfId="2383" xr:uid="{2BD9068A-4C33-47FB-824E-7A1978F1F9CF}"/>
    <cellStyle name="Heading 1 3 2 2" xfId="25605" xr:uid="{DD71C43B-6DB9-415C-AF43-7A0DB154EF9E}"/>
    <cellStyle name="Heading 1 3 2 3" xfId="25606" xr:uid="{1926B7F1-C9BE-4442-81D8-E073FB588ECD}"/>
    <cellStyle name="Heading 1 3 2 4" xfId="25607" xr:uid="{6BF76FA6-ACD1-4BE7-8BE6-DA578E7EB3B5}"/>
    <cellStyle name="Heading 1 3 2 5" xfId="25608" xr:uid="{54A29B5A-7CFF-4A9E-947F-3834D8D117A7}"/>
    <cellStyle name="Heading 1 3 2 6" xfId="25609" xr:uid="{F58B9DCA-5095-43B6-9FC9-142CD6627B30}"/>
    <cellStyle name="Heading 1 3 2 7" xfId="25604" xr:uid="{CF28E722-F59F-44E9-B4DC-5D4B37CB9E72}"/>
    <cellStyle name="Heading 1 3 20" xfId="25610" xr:uid="{139D17A9-C553-4007-A9D2-D461E8924855}"/>
    <cellStyle name="Heading 1 3 21" xfId="25569" xr:uid="{44F84BC2-D01A-4319-8E47-CC5DB16F4799}"/>
    <cellStyle name="Heading 1 3 3" xfId="2384" xr:uid="{FFC1A42A-65D4-4BAC-87FF-A6B04280A4F2}"/>
    <cellStyle name="Heading 1 3 3 2" xfId="25612" xr:uid="{0D74417E-77EC-40EF-8D66-9CC12BA7413B}"/>
    <cellStyle name="Heading 1 3 3 3" xfId="25613" xr:uid="{E0073F91-3FE2-45C7-8EB4-506B1EB055BC}"/>
    <cellStyle name="Heading 1 3 3 4" xfId="25614" xr:uid="{F81E24ED-EB81-4D75-8DEA-70D64FA081B3}"/>
    <cellStyle name="Heading 1 3 3 5" xfId="25615" xr:uid="{F19DFFCC-015E-4981-9D72-934E1DD3B1A7}"/>
    <cellStyle name="Heading 1 3 3 6" xfId="25611" xr:uid="{AEA03893-E744-43F8-BD73-FE420B790F28}"/>
    <cellStyle name="Heading 1 3 4" xfId="2385" xr:uid="{7FDA1C02-BD5A-475E-9419-A1399523B80D}"/>
    <cellStyle name="Heading 1 3 4 2" xfId="25617" xr:uid="{C4A74BED-22C3-4804-B32F-7418644F195E}"/>
    <cellStyle name="Heading 1 3 4 3" xfId="25618" xr:uid="{8B00078F-9410-46F2-8387-7F16D4F47E02}"/>
    <cellStyle name="Heading 1 3 4 4" xfId="25619" xr:uid="{311F0E28-14E1-42AB-ABDE-583DC4E9AE77}"/>
    <cellStyle name="Heading 1 3 4 5" xfId="25620" xr:uid="{D029875F-1F4F-4136-BB7D-74CD82CDE4DF}"/>
    <cellStyle name="Heading 1 3 4 6" xfId="25616" xr:uid="{3EDD0FD1-D695-4D9D-99A0-87EC336D24CB}"/>
    <cellStyle name="Heading 1 3 5" xfId="2386" xr:uid="{C887ABF1-3508-48D4-9BA4-9C21ABF3CF62}"/>
    <cellStyle name="Heading 1 3 5 2" xfId="25622" xr:uid="{2F3DF6DB-B362-42B2-9DA5-74B3FE0C4292}"/>
    <cellStyle name="Heading 1 3 5 3" xfId="25623" xr:uid="{4BFD0900-2D88-47B0-B522-27D227C6143A}"/>
    <cellStyle name="Heading 1 3 5 4" xfId="25624" xr:uid="{CD0CBE06-D045-4A22-8A3C-27C8077B2CEB}"/>
    <cellStyle name="Heading 1 3 5 5" xfId="25625" xr:uid="{80ED444D-7AED-4E4E-87A8-656669FEE1B2}"/>
    <cellStyle name="Heading 1 3 5 6" xfId="25621" xr:uid="{53BC9749-35BA-4F63-8982-E7796C615529}"/>
    <cellStyle name="Heading 1 3 6" xfId="2387" xr:uid="{3D8C79F0-A747-4E35-A67B-04C5FEDF03EE}"/>
    <cellStyle name="Heading 1 3 6 2" xfId="25627" xr:uid="{6B57FB3D-A403-4919-8850-C74FA7236CEC}"/>
    <cellStyle name="Heading 1 3 6 3" xfId="25628" xr:uid="{DC07EB4D-5429-45CA-A302-B9348CC5F7E4}"/>
    <cellStyle name="Heading 1 3 6 4" xfId="25629" xr:uid="{F99E5621-CD80-4472-8392-CB54FDD642DB}"/>
    <cellStyle name="Heading 1 3 6 5" xfId="25630" xr:uid="{81519E77-0792-4E60-8A7F-2C4E1E9CBC28}"/>
    <cellStyle name="Heading 1 3 6 6" xfId="25626" xr:uid="{EA4E2B7B-2780-46A9-8A3E-F0F398FDCFFA}"/>
    <cellStyle name="Heading 1 3 7" xfId="2388" xr:uid="{2A9F765A-B01B-46A9-B0EB-438E8CDA71B5}"/>
    <cellStyle name="Heading 1 3 7 2" xfId="25632" xr:uid="{52390EF5-0C32-4AC1-A69F-CFAC9D12F225}"/>
    <cellStyle name="Heading 1 3 7 3" xfId="25633" xr:uid="{A98162E4-100F-4464-BD42-F7F00C4ACC0A}"/>
    <cellStyle name="Heading 1 3 7 4" xfId="25634" xr:uid="{B4203EDE-B3EA-4483-A98C-4610732200DE}"/>
    <cellStyle name="Heading 1 3 7 5" xfId="25635" xr:uid="{3FF38776-3ACF-4456-9DA6-01685CAB1798}"/>
    <cellStyle name="Heading 1 3 7 6" xfId="25631" xr:uid="{3590FD4D-4E6E-467F-BC3C-22DF8D4E387F}"/>
    <cellStyle name="Heading 1 3 8" xfId="2389" xr:uid="{06E76BF2-812F-4ABD-B2AF-4A3C48D5F589}"/>
    <cellStyle name="Heading 1 3 8 2" xfId="25637" xr:uid="{894B8130-CCCB-497E-9F04-F40A4E440C94}"/>
    <cellStyle name="Heading 1 3 8 3" xfId="25638" xr:uid="{F3B5B0A7-F361-4A3C-8988-E270C4A80E6F}"/>
    <cellStyle name="Heading 1 3 8 4" xfId="25639" xr:uid="{734DC2CC-5014-468A-A09A-C52264CC3B24}"/>
    <cellStyle name="Heading 1 3 8 5" xfId="25640" xr:uid="{E591C7DB-1BCE-4306-8308-3A8B9ED2C4EE}"/>
    <cellStyle name="Heading 1 3 8 6" xfId="25636" xr:uid="{A70F8F59-9EAE-43CF-B478-9C365B2837AB}"/>
    <cellStyle name="Heading 1 3 9" xfId="2390" xr:uid="{A3F8AB58-63F8-4820-B745-4A805BA70F3D}"/>
    <cellStyle name="Heading 1 3 9 2" xfId="25642" xr:uid="{A6635C17-4B1A-487A-908E-A50EE6411C35}"/>
    <cellStyle name="Heading 1 3 9 3" xfId="25643" xr:uid="{9DAB5E87-C3F3-432C-B669-4371AE2EB5C8}"/>
    <cellStyle name="Heading 1 3 9 4" xfId="25644" xr:uid="{744EDEBB-E357-421D-8E8C-49FAF6CE0E62}"/>
    <cellStyle name="Heading 1 3 9 5" xfId="25645" xr:uid="{77E6A67B-FACA-4292-83F0-B22570796986}"/>
    <cellStyle name="Heading 1 3 9 6" xfId="25641" xr:uid="{395851CA-D40F-4952-891D-BE7015F1496C}"/>
    <cellStyle name="Heading 1 3_IND_UC" xfId="11086" xr:uid="{77CFBCF7-C9DC-4DE1-B2CE-E5BF218CD374}"/>
    <cellStyle name="Heading 1 4" xfId="2391" xr:uid="{06BB215B-AB00-45E9-A30A-CEAE9458AF1D}"/>
    <cellStyle name="Heading 1 4 2" xfId="2392" xr:uid="{32950053-D73E-4DAC-8551-C20EA75B751F}"/>
    <cellStyle name="Heading 1 4 2 2" xfId="25648" xr:uid="{71E71572-4620-4178-A058-D597A34AFDFE}"/>
    <cellStyle name="Heading 1 4 2 3" xfId="25649" xr:uid="{FF189C3F-0A77-4CAF-96F6-760276A94089}"/>
    <cellStyle name="Heading 1 4 2 4" xfId="25650" xr:uid="{7E1CB31E-9E80-45A4-9F48-B05DA5DC0410}"/>
    <cellStyle name="Heading 1 4 2 5" xfId="25651" xr:uid="{5508E299-B910-4ECE-8D84-210E0C3D6C8F}"/>
    <cellStyle name="Heading 1 4 2 6" xfId="25652" xr:uid="{F0E96818-E170-4E18-AD1C-ECC57FDE0EF6}"/>
    <cellStyle name="Heading 1 4 2 7" xfId="25647" xr:uid="{E40DE67F-00A8-4FD5-B0FC-EF7C08354A8F}"/>
    <cellStyle name="Heading 1 4 3" xfId="25653" xr:uid="{F352ABC1-81EF-423C-B9BF-C24521251955}"/>
    <cellStyle name="Heading 1 4 4" xfId="25654" xr:uid="{3C24D41F-E0B8-41F7-8581-7139B8691C2B}"/>
    <cellStyle name="Heading 1 4 5" xfId="25655" xr:uid="{925492F2-AB6C-482A-9989-85875BF4DE7D}"/>
    <cellStyle name="Heading 1 4 6" xfId="25656" xr:uid="{CF0C0F37-7555-40EA-9B40-B5B80E15A13B}"/>
    <cellStyle name="Heading 1 4 7" xfId="25657" xr:uid="{720FA081-F3A8-4159-83CD-CF45A0C94F60}"/>
    <cellStyle name="Heading 1 4 8" xfId="25646" xr:uid="{2B81E35F-F11E-40BE-80AA-68FAE1D80D5C}"/>
    <cellStyle name="Heading 1 5" xfId="2393" xr:uid="{4FBA6928-7027-4322-AB04-C56FC07522C9}"/>
    <cellStyle name="Heading 1 5 2" xfId="2394" xr:uid="{4CE4B4B7-C65D-40F6-9AFE-1F0A0FC61AE1}"/>
    <cellStyle name="Heading 1 5 2 2" xfId="25660" xr:uid="{60B9A111-26A8-4D4F-9CC1-17E7C2846DF3}"/>
    <cellStyle name="Heading 1 5 2 3" xfId="25661" xr:uid="{9BCEF1E4-C308-4897-A308-152A0243C0F4}"/>
    <cellStyle name="Heading 1 5 2 4" xfId="25662" xr:uid="{CEEBB6DA-C389-43EB-BA84-A7C8D79084D3}"/>
    <cellStyle name="Heading 1 5 2 5" xfId="25663" xr:uid="{86C67EC1-6A9F-4AFB-907F-C6315DE497DD}"/>
    <cellStyle name="Heading 1 5 2 6" xfId="25664" xr:uid="{F1FBD0F6-CAAD-432D-AEF1-4B560D900A9A}"/>
    <cellStyle name="Heading 1 5 2 7" xfId="25659" xr:uid="{F8EC9CCA-4E75-403B-A626-B605C4C092AA}"/>
    <cellStyle name="Heading 1 5 3" xfId="25665" xr:uid="{6416B5C1-7E5B-43F8-AB00-B61283FB8D38}"/>
    <cellStyle name="Heading 1 5 4" xfId="25666" xr:uid="{227860A7-0633-41AB-A450-8DB5299DDBFB}"/>
    <cellStyle name="Heading 1 5 5" xfId="25667" xr:uid="{71CA18BA-8140-41BD-840A-E6638475CD1F}"/>
    <cellStyle name="Heading 1 5 6" xfId="25668" xr:uid="{FED3E8D3-D136-4643-B1A4-2AFDBA6EC461}"/>
    <cellStyle name="Heading 1 5 7" xfId="25669" xr:uid="{1C10D778-0FF1-4E66-B3A2-9F1B628E7DA1}"/>
    <cellStyle name="Heading 1 5 8" xfId="25658" xr:uid="{7615610B-FE72-4E07-A501-69B40D13FCD6}"/>
    <cellStyle name="Heading 1 6" xfId="2395" xr:uid="{E176CC46-1B27-4D2E-B91C-7AA575272978}"/>
    <cellStyle name="Heading 1 6 2" xfId="2396" xr:uid="{6C423CA2-E88D-4AE0-B451-B9010D5A5713}"/>
    <cellStyle name="Heading 1 6 2 2" xfId="25672" xr:uid="{04E3D814-4171-490B-9B6A-7918BDAB2572}"/>
    <cellStyle name="Heading 1 6 2 3" xfId="25673" xr:uid="{6B8E7BFB-D27B-4157-A188-FF04305D0CBD}"/>
    <cellStyle name="Heading 1 6 2 4" xfId="25674" xr:uid="{FC155613-7BA7-4F13-B12B-F4C57B459C31}"/>
    <cellStyle name="Heading 1 6 2 5" xfId="25675" xr:uid="{200AA9F4-C680-4E64-8582-8070978FEB0D}"/>
    <cellStyle name="Heading 1 6 2 6" xfId="25676" xr:uid="{A04BF4EA-2A4C-4926-9398-161BA620E8DE}"/>
    <cellStyle name="Heading 1 6 2 7" xfId="25671" xr:uid="{87B9BF24-7D59-4922-8930-2B1426212D60}"/>
    <cellStyle name="Heading 1 6 3" xfId="2397" xr:uid="{B958BB90-9EF7-499C-B94C-3A74740D0EB6}"/>
    <cellStyle name="Heading 1 6 3 2" xfId="25678" xr:uid="{3EE8F6A7-7031-4FB2-89B2-0068D808CCA5}"/>
    <cellStyle name="Heading 1 6 3 3" xfId="25679" xr:uid="{4B1B0CBB-1075-4700-9E23-1D5A7D7C01AD}"/>
    <cellStyle name="Heading 1 6 3 4" xfId="25680" xr:uid="{D90B8BDF-FFB6-4A4A-96A5-10A0867FD882}"/>
    <cellStyle name="Heading 1 6 3 5" xfId="25681" xr:uid="{707D4E23-AD32-4030-A227-C384EF2C7479}"/>
    <cellStyle name="Heading 1 6 3 6" xfId="25677" xr:uid="{91A5BFE6-10C2-4FD7-AE75-FB52F3A00E1C}"/>
    <cellStyle name="Heading 1 6 4" xfId="25682" xr:uid="{8A2F4BF7-9DB5-4F56-BEBC-303CE8643DF4}"/>
    <cellStyle name="Heading 1 6 5" xfId="25683" xr:uid="{19AAAFAE-142F-4904-A11F-F2BC9BE9EB69}"/>
    <cellStyle name="Heading 1 6 6" xfId="25684" xr:uid="{5CF1B9E8-A04B-441E-B0E3-AA1CE8F494D9}"/>
    <cellStyle name="Heading 1 6 7" xfId="25685" xr:uid="{CA9B4601-38F4-48F8-B678-AB6DD68EDDB6}"/>
    <cellStyle name="Heading 1 6 8" xfId="25686" xr:uid="{970B1A03-10AD-4924-8D3C-7E3CD7777BE3}"/>
    <cellStyle name="Heading 1 6 9" xfId="25670" xr:uid="{B014339F-156F-4CE1-854F-A54081DD9F64}"/>
    <cellStyle name="Heading 1 7" xfId="2398" xr:uid="{DD3BF562-1826-498C-81A3-0C090631B496}"/>
    <cellStyle name="Heading 1 7 2" xfId="2399" xr:uid="{C416B39F-5E12-456B-AEC4-EE8CE1E35F1E}"/>
    <cellStyle name="Heading 1 7 2 2" xfId="25689" xr:uid="{A5FC9D81-AF45-4A3B-9215-036C373E0D22}"/>
    <cellStyle name="Heading 1 7 2 3" xfId="25690" xr:uid="{C24365D6-329A-4111-9F5D-42E89CE10724}"/>
    <cellStyle name="Heading 1 7 2 4" xfId="25691" xr:uid="{55126375-FBE3-49CF-9CE6-431864763EB2}"/>
    <cellStyle name="Heading 1 7 2 5" xfId="25692" xr:uid="{637B9E9F-AE7D-4065-AD52-25F4D137122B}"/>
    <cellStyle name="Heading 1 7 2 6" xfId="25693" xr:uid="{8D49F12A-1F2F-4EF8-998A-6822A3602914}"/>
    <cellStyle name="Heading 1 7 2 7" xfId="25688" xr:uid="{FDC82157-3FAA-472C-B76F-ABCBC439A425}"/>
    <cellStyle name="Heading 1 7 3" xfId="2400" xr:uid="{BD5E8FF1-CC6A-4F34-A699-13527955F344}"/>
    <cellStyle name="Heading 1 7 3 2" xfId="25695" xr:uid="{84937CF6-7DE7-4B79-96AE-7E11EE14C8C7}"/>
    <cellStyle name="Heading 1 7 3 3" xfId="25696" xr:uid="{09DD3831-780E-4C5A-849C-AB7CC295C4E7}"/>
    <cellStyle name="Heading 1 7 3 4" xfId="25697" xr:uid="{634780E6-8CA3-4FF0-8CF1-59AE51FF751F}"/>
    <cellStyle name="Heading 1 7 3 5" xfId="25698" xr:uid="{56DFED47-771E-4BAC-AD73-8AB008FAAE56}"/>
    <cellStyle name="Heading 1 7 3 6" xfId="25694" xr:uid="{5A2FC2D9-EBE0-49E5-8DAA-4498D7D68189}"/>
    <cellStyle name="Heading 1 7 4" xfId="25699" xr:uid="{D4E1A00B-0106-46E3-9FEF-E088D91E9B49}"/>
    <cellStyle name="Heading 1 7 5" xfId="25700" xr:uid="{01C5ABD3-7CEA-47C2-8112-0F263856312E}"/>
    <cellStyle name="Heading 1 7 6" xfId="25701" xr:uid="{4896444F-FA6F-42FE-838B-B0ACBB898812}"/>
    <cellStyle name="Heading 1 7 7" xfId="25702" xr:uid="{10AF1091-1CD5-4CA3-90A9-7326A1564452}"/>
    <cellStyle name="Heading 1 7 8" xfId="25703" xr:uid="{94C8E4B1-1EEA-4D91-9F0B-449FEB7A50CB}"/>
    <cellStyle name="Heading 1 7 9" xfId="25687" xr:uid="{41409BCD-5A53-4DDD-8650-93C0F53D74C6}"/>
    <cellStyle name="Heading 1 8" xfId="2401" xr:uid="{A79B0AB2-D43A-4FE3-9634-0459A5D5ADC9}"/>
    <cellStyle name="Heading 1 8 2" xfId="2402" xr:uid="{F44E6252-CE62-4FEB-B839-7E49B715BD3E}"/>
    <cellStyle name="Heading 1 8 2 2" xfId="25706" xr:uid="{92F0BC4E-3723-4F25-9DDB-83958675BB9E}"/>
    <cellStyle name="Heading 1 8 2 3" xfId="25707" xr:uid="{7D2F8C8C-1F96-431C-BA68-CE50A8DBF177}"/>
    <cellStyle name="Heading 1 8 2 4" xfId="25708" xr:uid="{C21B6461-C816-45BB-A3A0-99CBC303CE21}"/>
    <cellStyle name="Heading 1 8 2 5" xfId="25709" xr:uid="{E9079C65-8724-43D6-8D20-25BE21F785FA}"/>
    <cellStyle name="Heading 1 8 2 6" xfId="25710" xr:uid="{661F4000-A813-4ED8-B4F2-98879D7CFA15}"/>
    <cellStyle name="Heading 1 8 2 7" xfId="25705" xr:uid="{66C512EC-70E6-449F-B66D-A8B9FD0FCCE4}"/>
    <cellStyle name="Heading 1 8 3" xfId="2403" xr:uid="{CEFCAB46-8C81-4B91-81C9-D984587EFF2A}"/>
    <cellStyle name="Heading 1 8 3 2" xfId="25712" xr:uid="{5B5A2624-64AC-410E-8353-7DF0613F7CBE}"/>
    <cellStyle name="Heading 1 8 3 3" xfId="25713" xr:uid="{BF32A7F5-5192-4210-BE58-00EFE5A1E8E5}"/>
    <cellStyle name="Heading 1 8 3 4" xfId="25714" xr:uid="{67AA1F17-D74E-4A8C-A65E-D79CF93B5BEE}"/>
    <cellStyle name="Heading 1 8 3 5" xfId="25715" xr:uid="{7620B953-2D99-419D-975F-88E2FBA92606}"/>
    <cellStyle name="Heading 1 8 3 6" xfId="25711" xr:uid="{415768C0-411E-42A1-8AC7-B0C6D94D597E}"/>
    <cellStyle name="Heading 1 8 4" xfId="25716" xr:uid="{A58099E1-12DE-4B02-B8E5-6440C4A3BED4}"/>
    <cellStyle name="Heading 1 8 5" xfId="25717" xr:uid="{05D49B13-8961-4BA2-BFBA-880D87DD8577}"/>
    <cellStyle name="Heading 1 8 6" xfId="25718" xr:uid="{56DE43CF-30C2-46F7-95A9-49312BA8BF57}"/>
    <cellStyle name="Heading 1 8 7" xfId="25719" xr:uid="{B72CDCC4-C361-4EA5-8A94-92755503B722}"/>
    <cellStyle name="Heading 1 8 8" xfId="25720" xr:uid="{BD84DA11-00CF-45CF-9738-758EE4E5377C}"/>
    <cellStyle name="Heading 1 8 9" xfId="25704" xr:uid="{2077E6C0-40D2-4C52-B912-71F49A14B89D}"/>
    <cellStyle name="Heading 1 9" xfId="2404" xr:uid="{519DD5AE-6B66-4FCD-9B20-B0BA25ED0690}"/>
    <cellStyle name="Heading 1 9 2" xfId="2405" xr:uid="{4E78C10C-6E72-4A37-B59E-AADBA968C892}"/>
    <cellStyle name="Heading 1 9 2 2" xfId="25723" xr:uid="{BE1FFB8C-1829-4731-8CA3-E7E5C6C2FA0B}"/>
    <cellStyle name="Heading 1 9 2 3" xfId="25724" xr:uid="{0F486ABE-CCA0-45CA-83E6-117E2D8C969B}"/>
    <cellStyle name="Heading 1 9 2 4" xfId="25725" xr:uid="{CBEB381C-0F3F-4370-A6E8-4410A2B0305C}"/>
    <cellStyle name="Heading 1 9 2 5" xfId="25726" xr:uid="{2A9F13F4-4CE9-4EF0-9C82-D74B9F2ECA3A}"/>
    <cellStyle name="Heading 1 9 2 6" xfId="25722" xr:uid="{3F5FC4BE-1BE0-401A-B7D1-734F6E99E03A}"/>
    <cellStyle name="Heading 1 9 3" xfId="25727" xr:uid="{B9AC754C-0880-417C-BA80-6809FB9C2432}"/>
    <cellStyle name="Heading 1 9 4" xfId="25728" xr:uid="{37971B72-3CEA-40FB-AAD0-7A4B890871CB}"/>
    <cellStyle name="Heading 1 9 5" xfId="25729" xr:uid="{64859FEB-AFA7-4151-A97D-BD1CCB056E66}"/>
    <cellStyle name="Heading 1 9 6" xfId="25730" xr:uid="{72291454-879D-4D40-A360-958822DC5018}"/>
    <cellStyle name="Heading 1 9 7" xfId="25731" xr:uid="{3F724271-8BEF-44F4-845E-4523E98AEE38}"/>
    <cellStyle name="Heading 1 9 8" xfId="25721" xr:uid="{ED2279D6-8F73-4CFF-8E8C-A9B399C2BBA7}"/>
    <cellStyle name="Heading 2 10" xfId="2406" xr:uid="{10DCA324-D3C3-40F9-B3F9-E0F7A5C06EA6}"/>
    <cellStyle name="Heading 2 10 2" xfId="2407" xr:uid="{4F07805A-6EC8-4E73-BD2B-F74718A220B8}"/>
    <cellStyle name="Heading 2 10 2 2" xfId="25734" xr:uid="{AA5F8E56-2B79-49C4-81FD-C62F4C44EFBF}"/>
    <cellStyle name="Heading 2 10 2 3" xfId="25735" xr:uid="{39C305C6-ED97-437A-8AD6-D3F328A65295}"/>
    <cellStyle name="Heading 2 10 2 4" xfId="25736" xr:uid="{CC25B8B7-E763-4BC4-B09C-8EBEC157ED43}"/>
    <cellStyle name="Heading 2 10 2 5" xfId="25737" xr:uid="{014FA0F5-0818-43B6-B149-2BEF675C7D16}"/>
    <cellStyle name="Heading 2 10 2 6" xfId="25733" xr:uid="{AC81855C-2CC0-41AC-8E0A-777814D4D979}"/>
    <cellStyle name="Heading 2 10 3" xfId="25738" xr:uid="{C52B92FF-A132-4881-BAE9-6F3911F9D4DD}"/>
    <cellStyle name="Heading 2 10 4" xfId="25739" xr:uid="{890A6080-593C-4408-A225-64712E7E8FBF}"/>
    <cellStyle name="Heading 2 10 5" xfId="25740" xr:uid="{5F7F873B-739F-460A-AEB8-D0AE91C63887}"/>
    <cellStyle name="Heading 2 10 6" xfId="25741" xr:uid="{C7D2C71B-E2BA-4039-853F-222006BE0171}"/>
    <cellStyle name="Heading 2 10 7" xfId="25742" xr:uid="{7187FD75-FBC8-4BF9-9240-F52E5D39C5E7}"/>
    <cellStyle name="Heading 2 10 8" xfId="25732" xr:uid="{39A235C3-17D2-4760-ADBF-43970A5BB068}"/>
    <cellStyle name="Heading 2 11" xfId="2408" xr:uid="{F84DFA55-A956-450B-8CEF-11880E9E82EA}"/>
    <cellStyle name="Heading 2 11 2" xfId="10637" xr:uid="{A95A4616-5E25-4979-A036-4D363632D422}"/>
    <cellStyle name="Heading 2 11 2 2" xfId="25745" xr:uid="{746E2D24-93E9-4967-97B1-0760F7A14987}"/>
    <cellStyle name="Heading 2 11 2 3" xfId="25746" xr:uid="{136944CB-3B8B-4F6D-B4C9-F21904C2A9DF}"/>
    <cellStyle name="Heading 2 11 2 4" xfId="25747" xr:uid="{FD2FF008-03B0-4760-B651-545FF2F0D584}"/>
    <cellStyle name="Heading 2 11 2 5" xfId="25748" xr:uid="{B935C515-3A93-4B71-8462-E271A4BE7572}"/>
    <cellStyle name="Heading 2 11 2 6" xfId="25744" xr:uid="{9D5CFDE5-60E7-4AF8-97CC-1F07588DF2F0}"/>
    <cellStyle name="Heading 2 11 3" xfId="25749" xr:uid="{D076483D-7E01-47D7-AC54-F3449E97A8A4}"/>
    <cellStyle name="Heading 2 11 4" xfId="25750" xr:uid="{631A8D01-5F4A-46B7-A1FC-71A612CAF0B5}"/>
    <cellStyle name="Heading 2 11 5" xfId="25751" xr:uid="{1468F30F-82D0-496E-AC89-C939A16CE9F6}"/>
    <cellStyle name="Heading 2 11 6" xfId="25752" xr:uid="{89400A22-E824-4CDB-AA79-6B4ABBDB0308}"/>
    <cellStyle name="Heading 2 11 7" xfId="25753" xr:uid="{FC98237B-C110-4750-915B-98FBFBA67015}"/>
    <cellStyle name="Heading 2 11 8" xfId="25743" xr:uid="{FF4BB62C-F42E-4391-9DBA-17CEA9A23583}"/>
    <cellStyle name="Heading 2 12" xfId="2409" xr:uid="{FE1AE136-2B01-482E-B034-459EBA424D0C}"/>
    <cellStyle name="Heading 2 12 2" xfId="10971" xr:uid="{878020B5-FD95-43D3-AED0-0E9E9D8E2A92}"/>
    <cellStyle name="Heading 2 12 2 2" xfId="25756" xr:uid="{482C316A-0BB2-4CB4-B80B-EF770BB84896}"/>
    <cellStyle name="Heading 2 12 2 3" xfId="25757" xr:uid="{6D129148-A606-4310-AE7A-3258B7A53152}"/>
    <cellStyle name="Heading 2 12 2 4" xfId="25758" xr:uid="{8A038A65-07C1-4E34-9E6B-0B31B26D222C}"/>
    <cellStyle name="Heading 2 12 2 5" xfId="25759" xr:uid="{E3A02DAE-8378-425F-9BCF-AF9109D15228}"/>
    <cellStyle name="Heading 2 12 2 6" xfId="25755" xr:uid="{02BB67C2-8C7A-4D18-8728-24496500B32C}"/>
    <cellStyle name="Heading 2 12 3" xfId="25760" xr:uid="{E6953867-D0C1-4D8A-BBCE-E30F089DB383}"/>
    <cellStyle name="Heading 2 12 4" xfId="25761" xr:uid="{E77F79F1-946C-43CE-A1F3-4EA81D5871C8}"/>
    <cellStyle name="Heading 2 12 5" xfId="25762" xr:uid="{3B912714-6775-4961-ACC5-9F7F449B092E}"/>
    <cellStyle name="Heading 2 12 6" xfId="25763" xr:uid="{F0390292-7430-4781-BECB-9992715EEEED}"/>
    <cellStyle name="Heading 2 12 7" xfId="25764" xr:uid="{58BDD784-7292-4A81-BDE3-CA7D1D73F8B8}"/>
    <cellStyle name="Heading 2 12 8" xfId="25754" xr:uid="{A1C70FDA-3D90-428E-89AD-CF4E4891225B}"/>
    <cellStyle name="Heading 2 13" xfId="2410" xr:uid="{0A0BFB3B-1A9E-4F91-8F02-240A912FEAEB}"/>
    <cellStyle name="Heading 2 13 2" xfId="8085" xr:uid="{53A0AE23-C630-4535-A151-66F128B40A93}"/>
    <cellStyle name="Heading 2 13 2 2" xfId="25767" xr:uid="{643DAB9D-A866-472D-8FDD-BAE41A58006F}"/>
    <cellStyle name="Heading 2 13 2 3" xfId="25768" xr:uid="{36DE4259-7BFB-43E2-AFBB-DFDC1947AF9D}"/>
    <cellStyle name="Heading 2 13 2 4" xfId="25769" xr:uid="{1AB2DE55-590A-436B-8852-F74E0CA2A81D}"/>
    <cellStyle name="Heading 2 13 2 5" xfId="25770" xr:uid="{9B751F67-0E9E-4B9E-B19A-1E82D5C0704A}"/>
    <cellStyle name="Heading 2 13 2 6" xfId="25766" xr:uid="{691CB829-B6CF-44F3-8251-85F8219324A0}"/>
    <cellStyle name="Heading 2 13 3" xfId="25771" xr:uid="{9C05D4F3-FB6A-47B1-8EF5-2D4B3A247987}"/>
    <cellStyle name="Heading 2 13 4" xfId="25772" xr:uid="{666BB3C3-4B0C-4523-AAC6-B393B0C542ED}"/>
    <cellStyle name="Heading 2 13 5" xfId="25773" xr:uid="{BA1236A5-38B3-47BF-8B4F-EE1A6537C18E}"/>
    <cellStyle name="Heading 2 13 6" xfId="25774" xr:uid="{5BFF41DA-AFBB-4E30-A395-66A297324567}"/>
    <cellStyle name="Heading 2 13 7" xfId="25775" xr:uid="{A75CEE59-508C-4EF6-B374-86605FDA491A}"/>
    <cellStyle name="Heading 2 13 8" xfId="25765" xr:uid="{6750289B-1DA3-445E-9D3C-B29F5BB1B59B}"/>
    <cellStyle name="Heading 2 14" xfId="2411" xr:uid="{1FBAEE18-8A1F-4D55-BA97-F8200D4E95FF}"/>
    <cellStyle name="Heading 2 14 2" xfId="8084" xr:uid="{6C18A5EF-ECF6-44AC-A857-45D48FBA92D9}"/>
    <cellStyle name="Heading 2 14 2 2" xfId="25778" xr:uid="{97626ECF-6152-4EAB-BBC0-021591FF1F27}"/>
    <cellStyle name="Heading 2 14 2 3" xfId="25779" xr:uid="{D9DD5A64-0E55-4C73-82B3-2F869AEC6630}"/>
    <cellStyle name="Heading 2 14 2 4" xfId="25780" xr:uid="{3831B9AD-800E-4043-978D-C454041B3109}"/>
    <cellStyle name="Heading 2 14 2 5" xfId="25781" xr:uid="{EB2FD610-0020-409A-9777-54FEBFAAD08C}"/>
    <cellStyle name="Heading 2 14 2 6" xfId="25777" xr:uid="{EC3A28C3-9738-4C2C-AB68-E9BC004CAEC7}"/>
    <cellStyle name="Heading 2 14 3" xfId="25782" xr:uid="{9D37C38D-8FC2-4CA8-926C-0815C6A6C53A}"/>
    <cellStyle name="Heading 2 14 4" xfId="25783" xr:uid="{3BBAC74F-AEE9-433F-A244-AC478F4A8092}"/>
    <cellStyle name="Heading 2 14 5" xfId="25784" xr:uid="{7CE331C6-01DE-4022-AAFA-75C68C236180}"/>
    <cellStyle name="Heading 2 14 6" xfId="25785" xr:uid="{188959D4-C40B-45B7-AC23-BF614F94993E}"/>
    <cellStyle name="Heading 2 14 7" xfId="25786" xr:uid="{599F4F8E-1F5E-445B-BC19-DBA3779C45E1}"/>
    <cellStyle name="Heading 2 14 8" xfId="25776" xr:uid="{E4F6F473-C7D9-41B6-8311-DE9A0D45E233}"/>
    <cellStyle name="Heading 2 15" xfId="2412" xr:uid="{A8ED30D4-D0BD-47F4-8EE8-0CA9666A85C7}"/>
    <cellStyle name="Heading 2 15 2" xfId="16435" xr:uid="{C2E5C55E-3129-47AB-A599-7224996C35B3}"/>
    <cellStyle name="Heading 2 15 2 2" xfId="25789" xr:uid="{599578E1-D623-45D9-896C-F5999546B95A}"/>
    <cellStyle name="Heading 2 15 2 3" xfId="25790" xr:uid="{1210BF2F-99FB-4EFE-ACB4-43A0F25333C5}"/>
    <cellStyle name="Heading 2 15 2 4" xfId="25791" xr:uid="{2E0A6AC0-E5A5-4C68-B8B4-EC44054BBC79}"/>
    <cellStyle name="Heading 2 15 2 5" xfId="25792" xr:uid="{0FD6E5CD-DAEF-420F-8FE4-CD80AF6DEE35}"/>
    <cellStyle name="Heading 2 15 2 6" xfId="25788" xr:uid="{5A7E90C6-4F3B-4802-8D40-BCBA7FF7720B}"/>
    <cellStyle name="Heading 2 15 3" xfId="25793" xr:uid="{0D5B70FA-2406-4ABC-9914-54982C56D425}"/>
    <cellStyle name="Heading 2 15 4" xfId="25794" xr:uid="{BAF00CE9-CF64-4A65-9D89-EC6EAE87910D}"/>
    <cellStyle name="Heading 2 15 5" xfId="25795" xr:uid="{BC179C54-0933-4026-94B4-CE539FCA3E8A}"/>
    <cellStyle name="Heading 2 15 6" xfId="25796" xr:uid="{E75C97D5-7613-4B6F-97C6-7D8281536592}"/>
    <cellStyle name="Heading 2 15 7" xfId="25787" xr:uid="{5B41AE45-A864-4AB6-931A-8959BF4BCE19}"/>
    <cellStyle name="Heading 2 16" xfId="2413" xr:uid="{5BF39999-80CD-438F-9604-9DFF37396A58}"/>
    <cellStyle name="Heading 2 16 2" xfId="16436" xr:uid="{F2768F47-E3AB-4C77-B56A-F081105329A4}"/>
    <cellStyle name="Heading 2 16 2 2" xfId="25799" xr:uid="{8C1BE5B1-A21F-4999-B399-5B2F5A4264F0}"/>
    <cellStyle name="Heading 2 16 2 3" xfId="25800" xr:uid="{78D9613B-237B-4C0E-BE3F-061CA37D2B47}"/>
    <cellStyle name="Heading 2 16 2 4" xfId="25801" xr:uid="{2F37AE8D-8447-46A1-92C3-EDA95EF214B7}"/>
    <cellStyle name="Heading 2 16 2 5" xfId="25802" xr:uid="{C89BA5A8-B8ED-4BC0-B3A6-37C3E2217F8A}"/>
    <cellStyle name="Heading 2 16 2 6" xfId="25798" xr:uid="{3B92BDB7-70A6-4420-B5E9-56F80FC5DAE0}"/>
    <cellStyle name="Heading 2 16 3" xfId="25803" xr:uid="{3FFBFC05-92B9-41D2-A42A-EFEDC58DD0E7}"/>
    <cellStyle name="Heading 2 16 4" xfId="25804" xr:uid="{178B66D1-141F-4347-B016-9327BA243E0D}"/>
    <cellStyle name="Heading 2 16 5" xfId="25805" xr:uid="{1915E2E9-245C-485E-B3AA-64BA60CB91AD}"/>
    <cellStyle name="Heading 2 16 6" xfId="25806" xr:uid="{3C396BED-4330-44CB-9280-AD084A6F71CA}"/>
    <cellStyle name="Heading 2 16 7" xfId="25797" xr:uid="{964BFABD-DB04-4F8F-A4ED-F17F1D882F0A}"/>
    <cellStyle name="Heading 2 17" xfId="2414" xr:uid="{B4C709FA-F98B-452B-AA23-CDDBD06A5B5B}"/>
    <cellStyle name="Heading 2 17 2" xfId="16437" xr:uid="{F409E033-6053-47EE-9C3B-D90B8D83D690}"/>
    <cellStyle name="Heading 2 17 2 2" xfId="25809" xr:uid="{99286600-B606-4223-B650-3F6481B2EDF6}"/>
    <cellStyle name="Heading 2 17 2 3" xfId="25810" xr:uid="{E52DA871-99C0-4923-82C6-9899F953C6E9}"/>
    <cellStyle name="Heading 2 17 2 4" xfId="25811" xr:uid="{896C441E-E7F2-424B-A1F2-3F1A78B6E6A8}"/>
    <cellStyle name="Heading 2 17 2 5" xfId="25812" xr:uid="{ED6EB0B6-39CE-4A5D-B35D-DF8087F103E6}"/>
    <cellStyle name="Heading 2 17 2 6" xfId="25808" xr:uid="{DC26BC8C-DC67-4CF7-A1EE-FDDEB9091B46}"/>
    <cellStyle name="Heading 2 17 3" xfId="25813" xr:uid="{E84CCA43-529C-4896-BB2B-AA4666286FE6}"/>
    <cellStyle name="Heading 2 17 4" xfId="25814" xr:uid="{EF6EAA91-0538-4D37-959C-5D5C3E52C046}"/>
    <cellStyle name="Heading 2 17 5" xfId="25815" xr:uid="{C3414ADF-147D-4B91-981C-6BBF627AC4A9}"/>
    <cellStyle name="Heading 2 17 6" xfId="25816" xr:uid="{9D9EBE18-3231-4DA4-BD1E-21A0C9FA8572}"/>
    <cellStyle name="Heading 2 17 7" xfId="25807" xr:uid="{BA5BD259-9122-48B2-9C09-5AFA64143EBC}"/>
    <cellStyle name="Heading 2 18" xfId="2415" xr:uid="{C03FFFBB-897E-4100-A716-0ABF1A25116D}"/>
    <cellStyle name="Heading 2 18 2" xfId="16438" xr:uid="{901E45E5-81F2-4A10-B654-BA67D206010C}"/>
    <cellStyle name="Heading 2 18 2 2" xfId="25819" xr:uid="{81CD9230-FE2F-4DEE-9388-4086D1BF7324}"/>
    <cellStyle name="Heading 2 18 2 3" xfId="25820" xr:uid="{57987F33-DF23-44EA-9A26-E38AE4AC2C54}"/>
    <cellStyle name="Heading 2 18 2 4" xfId="25821" xr:uid="{EE77FB82-59EF-48EF-91CC-80880EC4BBE4}"/>
    <cellStyle name="Heading 2 18 2 5" xfId="25822" xr:uid="{34DE80E9-2AD1-4960-8B7C-F77F7CCFA9AD}"/>
    <cellStyle name="Heading 2 18 2 6" xfId="25818" xr:uid="{929D9C73-AADC-4457-89BA-80656651FE4E}"/>
    <cellStyle name="Heading 2 18 3" xfId="25823" xr:uid="{6124D6BA-88FD-453D-AA4A-D9447E265BA8}"/>
    <cellStyle name="Heading 2 18 4" xfId="25824" xr:uid="{FDD9D720-654A-40BC-BEDB-9D255231A294}"/>
    <cellStyle name="Heading 2 18 5" xfId="25825" xr:uid="{8CB840C8-5466-4561-A29C-345E84985612}"/>
    <cellStyle name="Heading 2 18 6" xfId="25826" xr:uid="{7BD2FB51-2929-4AA3-91DA-094D2A9A08F9}"/>
    <cellStyle name="Heading 2 18 7" xfId="25817" xr:uid="{D70CAC98-1637-4E5D-B125-2B9679F7762E}"/>
    <cellStyle name="Heading 2 19" xfId="2416" xr:uid="{510672BE-527D-42CB-8300-8624365B2AAC}"/>
    <cellStyle name="Heading 2 19 2" xfId="16439" xr:uid="{507B2777-7272-4E1B-8798-D2E721C5FEB6}"/>
    <cellStyle name="Heading 2 19 2 2" xfId="25829" xr:uid="{A3CD94FF-04D2-4C13-8945-B81A1DFC95C6}"/>
    <cellStyle name="Heading 2 19 2 3" xfId="25830" xr:uid="{29B8384E-07F0-44F9-8B95-80A2FFBCE938}"/>
    <cellStyle name="Heading 2 19 2 4" xfId="25831" xr:uid="{B9CB2019-F494-4514-A9EC-5138C7364E20}"/>
    <cellStyle name="Heading 2 19 2 5" xfId="25832" xr:uid="{9D274D28-80ED-4275-84CC-6DF04473F2DB}"/>
    <cellStyle name="Heading 2 19 2 6" xfId="25828" xr:uid="{5BD16262-E095-4147-902F-FA60F5278844}"/>
    <cellStyle name="Heading 2 19 3" xfId="25833" xr:uid="{541C6B61-D91C-484C-B9F9-4A79058340CC}"/>
    <cellStyle name="Heading 2 19 4" xfId="25834" xr:uid="{27DCDD81-A653-4754-8220-537ED75B04DA}"/>
    <cellStyle name="Heading 2 19 5" xfId="25835" xr:uid="{CD2227E4-B05A-453E-87E4-5886FAE9FEB6}"/>
    <cellStyle name="Heading 2 19 6" xfId="25836" xr:uid="{5BC05E1C-57D1-4505-A5E5-499F3F1F8BB8}"/>
    <cellStyle name="Heading 2 19 7" xfId="25827" xr:uid="{68E56B22-5EB0-4EBB-9E07-81FEA29A1B89}"/>
    <cellStyle name="Heading 2 2" xfId="2417" xr:uid="{BE5C3272-DCB7-4999-B25B-7E10F5170488}"/>
    <cellStyle name="Heading 2 2 10" xfId="8083" xr:uid="{C97F086E-1EA7-4B2B-8A29-23C6D7BD5AC8}"/>
    <cellStyle name="Heading 2 2 10 2" xfId="25838" xr:uid="{C5774D75-F7C6-4275-8A6B-D05976E561E1}"/>
    <cellStyle name="Heading 2 2 11" xfId="25839" xr:uid="{8E0FEBEB-034F-4D9C-B9D8-11CA8D0A1248}"/>
    <cellStyle name="Heading 2 2 12" xfId="25840" xr:uid="{596E4B07-26D2-4996-A1C0-4130AA3C4AFC}"/>
    <cellStyle name="Heading 2 2 13" xfId="25841" xr:uid="{29FB23F5-B74E-4CFA-93EE-2237F3305DD3}"/>
    <cellStyle name="Heading 2 2 14" xfId="25842" xr:uid="{7E7D61D6-06E0-47D7-93E8-B4E4E404814F}"/>
    <cellStyle name="Heading 2 2 15" xfId="25843" xr:uid="{AC26D6B8-1F58-4B2E-9C92-4B4782AB9010}"/>
    <cellStyle name="Heading 2 2 16" xfId="25837" xr:uid="{259FC237-FBF4-4C32-8DBA-9A4884BB72B9}"/>
    <cellStyle name="Heading 2 2 2" xfId="2418" xr:uid="{F81B140E-4CA1-497B-A200-E5FD10CE75BF}"/>
    <cellStyle name="Heading 2 2 2 2" xfId="25845" xr:uid="{919BECD3-47DD-4CB8-8C8A-6A9F7244AA77}"/>
    <cellStyle name="Heading 2 2 2 3" xfId="25846" xr:uid="{54E19F30-58E7-4E83-9D61-F4FBB7EC3000}"/>
    <cellStyle name="Heading 2 2 2 4" xfId="25847" xr:uid="{3BCC8EBA-BE5E-4A00-A1BF-FAE65A5EA4ED}"/>
    <cellStyle name="Heading 2 2 2 5" xfId="25848" xr:uid="{AE2193BD-105A-4020-9A87-DA23C24AF318}"/>
    <cellStyle name="Heading 2 2 2 6" xfId="25849" xr:uid="{702B341D-C2B3-4468-A91D-45D81B7A6C6E}"/>
    <cellStyle name="Heading 2 2 2 7" xfId="25844" xr:uid="{C7BBE8CE-F942-4270-8059-17CDA00CA22E}"/>
    <cellStyle name="Heading 2 2 3" xfId="2419" xr:uid="{ADE3E729-DC38-46AF-8CBD-981C62784640}"/>
    <cellStyle name="Heading 2 2 3 2" xfId="25851" xr:uid="{146EAE54-964A-42C0-8482-C1FB079AA518}"/>
    <cellStyle name="Heading 2 2 3 3" xfId="25852" xr:uid="{0A40373B-5CBD-4D14-852D-A3F3F45C5C1E}"/>
    <cellStyle name="Heading 2 2 3 4" xfId="25853" xr:uid="{BF493928-0E37-47ED-86D5-7C8D36DF56C3}"/>
    <cellStyle name="Heading 2 2 3 5" xfId="25854" xr:uid="{EB0D47D0-3527-4766-B6AC-BAB3E631A391}"/>
    <cellStyle name="Heading 2 2 3 6" xfId="25855" xr:uid="{6A6DCA72-5D52-4392-9CBE-1E04185BDB8D}"/>
    <cellStyle name="Heading 2 2 3 7" xfId="25850" xr:uid="{828C019F-6244-47D8-9BB4-5CE54CD28CB3}"/>
    <cellStyle name="Heading 2 2 4" xfId="2420" xr:uid="{4A83BAC8-8647-4422-BE0D-96779BB1D03B}"/>
    <cellStyle name="Heading 2 2 4 2" xfId="25857" xr:uid="{AF5A58FC-E502-477F-B9C9-4DDD22418622}"/>
    <cellStyle name="Heading 2 2 4 3" xfId="25858" xr:uid="{2B4B7AEE-D18B-4A4A-85AA-1BD0DD9406BA}"/>
    <cellStyle name="Heading 2 2 4 4" xfId="25859" xr:uid="{6BAEF414-8CF9-467C-836B-A3A0CAC44E63}"/>
    <cellStyle name="Heading 2 2 4 5" xfId="25860" xr:uid="{A9E00583-744D-4356-B008-C27A23BC80CC}"/>
    <cellStyle name="Heading 2 2 4 6" xfId="25861" xr:uid="{CF4E1869-150C-4A13-9048-3B99F174FF18}"/>
    <cellStyle name="Heading 2 2 4 7" xfId="25856" xr:uid="{6F7754B5-9B34-4187-9083-236A31CCD1FF}"/>
    <cellStyle name="Heading 2 2 5" xfId="2421" xr:uid="{20B70E37-7396-48F9-9931-8936E567F66F}"/>
    <cellStyle name="Heading 2 2 5 2" xfId="25863" xr:uid="{E43F51B1-13E6-47A0-AE1D-93EB9BD0616D}"/>
    <cellStyle name="Heading 2 2 5 3" xfId="25864" xr:uid="{3F21198E-E9FF-46C4-A38A-943E93C8B316}"/>
    <cellStyle name="Heading 2 2 5 4" xfId="25865" xr:uid="{4529E545-2389-41B4-A584-D8179480A428}"/>
    <cellStyle name="Heading 2 2 5 5" xfId="25866" xr:uid="{8EDBF200-7B88-4F95-838E-17BAF52D32BE}"/>
    <cellStyle name="Heading 2 2 5 6" xfId="25867" xr:uid="{87963E33-2BAB-49D4-862B-63B067480613}"/>
    <cellStyle name="Heading 2 2 5 7" xfId="25862" xr:uid="{553B0D48-8F65-46CC-A07F-F05D812E6B9E}"/>
    <cellStyle name="Heading 2 2 6" xfId="2422" xr:uid="{5939991F-B055-4D5C-A833-A68ABAF132E3}"/>
    <cellStyle name="Heading 2 2 6 2" xfId="25869" xr:uid="{C35ED30F-B417-43CD-A80C-4A2E24531D1C}"/>
    <cellStyle name="Heading 2 2 6 3" xfId="25870" xr:uid="{2049CB01-8771-4AE0-89D0-A903A1149532}"/>
    <cellStyle name="Heading 2 2 6 4" xfId="25871" xr:uid="{442C62E1-224F-451A-BF5F-9CD0A3FC60C4}"/>
    <cellStyle name="Heading 2 2 6 5" xfId="25872" xr:uid="{AAA2F353-1628-4419-ACFE-61D204C0B08C}"/>
    <cellStyle name="Heading 2 2 6 6" xfId="25873" xr:uid="{C1D3DE23-1B08-452A-8E8A-1C4A19848949}"/>
    <cellStyle name="Heading 2 2 6 7" xfId="25868" xr:uid="{8DE1C134-5924-4FB0-87BD-243A570C2C65}"/>
    <cellStyle name="Heading 2 2 7" xfId="2423" xr:uid="{F1CD5D54-0885-42D3-B989-AA918DFC094D}"/>
    <cellStyle name="Heading 2 2 7 2" xfId="25875" xr:uid="{35EA6E70-3046-4E9A-AB92-1637152C9114}"/>
    <cellStyle name="Heading 2 2 7 3" xfId="25876" xr:uid="{261A71D6-D77D-4059-B3B2-4F6D10807563}"/>
    <cellStyle name="Heading 2 2 7 4" xfId="25877" xr:uid="{9BBE3794-1299-4E6F-8FED-7763171AD953}"/>
    <cellStyle name="Heading 2 2 7 5" xfId="25878" xr:uid="{03294809-AFAB-47EE-B453-6812BE446E47}"/>
    <cellStyle name="Heading 2 2 7 6" xfId="25879" xr:uid="{DDFC8E47-522D-4853-BD9A-3937243B41EF}"/>
    <cellStyle name="Heading 2 2 7 7" xfId="25874" xr:uid="{87BE8E62-C74D-46A1-9A1B-7ADA94F38D8D}"/>
    <cellStyle name="Heading 2 2 8" xfId="2424" xr:uid="{5C9060DC-34B8-4C63-B6B4-D8E7EB47EEDB}"/>
    <cellStyle name="Heading 2 2 8 2" xfId="25881" xr:uid="{3E2BE90D-E445-4B86-8E33-AEAF23E1730F}"/>
    <cellStyle name="Heading 2 2 8 3" xfId="25882" xr:uid="{8179EF2C-B597-4EAA-8C4E-C8E60B25ADBB}"/>
    <cellStyle name="Heading 2 2 8 4" xfId="25883" xr:uid="{D88F2DEB-6161-43F0-BE18-CE3882E4755C}"/>
    <cellStyle name="Heading 2 2 8 5" xfId="25884" xr:uid="{88B9F410-89AE-4B97-B50E-CC56151F976B}"/>
    <cellStyle name="Heading 2 2 8 6" xfId="25885" xr:uid="{9445361C-790C-4832-AC96-736B4BD5A1A1}"/>
    <cellStyle name="Heading 2 2 8 7" xfId="25880" xr:uid="{345D5447-C3E5-4734-9F86-2FFF2770DED8}"/>
    <cellStyle name="Heading 2 2 9" xfId="2425" xr:uid="{FD42BA95-ADCD-4770-8BC7-71D983581600}"/>
    <cellStyle name="Heading 2 2 9 2" xfId="25887" xr:uid="{01C26C0C-E3A0-4E3E-BB59-BE5DEBCEC995}"/>
    <cellStyle name="Heading 2 2 9 3" xfId="25888" xr:uid="{3CFC90FB-CAB5-4246-8998-51208474C773}"/>
    <cellStyle name="Heading 2 2 9 4" xfId="25889" xr:uid="{C280465F-559F-4572-A87C-1DE9E94FBB23}"/>
    <cellStyle name="Heading 2 2 9 5" xfId="25890" xr:uid="{BBF3F4C5-1D3F-4B01-A696-EDC316D0D8B2}"/>
    <cellStyle name="Heading 2 2 9 6" xfId="25891" xr:uid="{3F242B54-19E4-404A-9DBE-292FBDFC27C0}"/>
    <cellStyle name="Heading 2 2 9 7" xfId="25886" xr:uid="{6F348033-7236-4AE4-9631-48A0FBC4E81D}"/>
    <cellStyle name="Heading 2 2_IND_UC" xfId="15232" xr:uid="{BCF2AE02-6A42-453C-9FDB-7EAE1273088B}"/>
    <cellStyle name="Heading 2 20" xfId="2426" xr:uid="{ABD0EFBD-F9FC-4864-8846-A2169C002428}"/>
    <cellStyle name="Heading 2 20 2" xfId="16440" xr:uid="{8E161617-E8F1-42CB-9999-988D4FC4287C}"/>
    <cellStyle name="Heading 2 20 2 2" xfId="25894" xr:uid="{08850E45-8596-45F9-BD9B-902405EED833}"/>
    <cellStyle name="Heading 2 20 2 3" xfId="25895" xr:uid="{DA16645E-FED6-4A96-AC04-69418815C7DE}"/>
    <cellStyle name="Heading 2 20 2 4" xfId="25896" xr:uid="{9DC47C58-1773-420B-9973-B470945FF6E0}"/>
    <cellStyle name="Heading 2 20 2 5" xfId="25897" xr:uid="{69FE0749-B1EC-4F2C-8DF3-136A51613F77}"/>
    <cellStyle name="Heading 2 20 2 6" xfId="25893" xr:uid="{03EF7E19-36EB-4D86-8308-3F4DE2588D90}"/>
    <cellStyle name="Heading 2 20 3" xfId="25898" xr:uid="{601C298A-E8BE-42EF-A6B5-93A9149AFC4B}"/>
    <cellStyle name="Heading 2 20 4" xfId="25899" xr:uid="{BD873705-5E94-45AC-8154-A1D6899C8D83}"/>
    <cellStyle name="Heading 2 20 5" xfId="25900" xr:uid="{B90821CC-91FE-400C-B0E2-3E1ACD20A616}"/>
    <cellStyle name="Heading 2 20 6" xfId="25901" xr:uid="{D5B89799-CF15-46F6-A347-42913DB6427B}"/>
    <cellStyle name="Heading 2 20 7" xfId="25892" xr:uid="{CD2ACAE7-C4C8-4AC5-BD26-1E9A62B75356}"/>
    <cellStyle name="Heading 2 21" xfId="16441" xr:uid="{514A303F-74FE-47C0-B624-82F4B110ED0C}"/>
    <cellStyle name="Heading 2 21 2" xfId="25903" xr:uid="{B2408E88-B8B1-4346-BDEC-82D7E92E1523}"/>
    <cellStyle name="Heading 2 21 3" xfId="25904" xr:uid="{650B9C02-DE57-4C2A-B4DD-083DFC94C464}"/>
    <cellStyle name="Heading 2 21 4" xfId="25905" xr:uid="{2EF903A1-1238-44F7-A375-6CD7034D5ECE}"/>
    <cellStyle name="Heading 2 21 5" xfId="25906" xr:uid="{5D4B0C90-E825-49D8-82D5-3BEE8B42C58D}"/>
    <cellStyle name="Heading 2 21 6" xfId="25902" xr:uid="{54160DA4-4C2E-4A5A-B8CE-B454C5B6BB26}"/>
    <cellStyle name="Heading 2 22" xfId="15231" xr:uid="{4D7CCE07-ED7D-46B1-95F3-461C3700FCDE}"/>
    <cellStyle name="Heading 2 22 2" xfId="25908" xr:uid="{702B56CD-7B34-463D-8FFF-9226F047E0D2}"/>
    <cellStyle name="Heading 2 22 3" xfId="25907" xr:uid="{AA588EA0-B952-4F2C-A667-0EBF32C20E28}"/>
    <cellStyle name="Heading 2 23" xfId="25909" xr:uid="{EF9490B6-E85A-499C-B63E-A2A9522F02CB}"/>
    <cellStyle name="Heading 2 24" xfId="25910" xr:uid="{9A633840-88C0-4234-A29D-BA677498495F}"/>
    <cellStyle name="Heading 2 25" xfId="25911" xr:uid="{530C0057-D582-452D-BA5F-25CA5782E5FA}"/>
    <cellStyle name="Heading 2 3" xfId="2427" xr:uid="{AA088929-D3FC-4861-8AFE-5077247EBD29}"/>
    <cellStyle name="Heading 2 3 10" xfId="2428" xr:uid="{6C675199-C980-409E-B276-BBA00EA6608C}"/>
    <cellStyle name="Heading 2 3 10 2" xfId="25914" xr:uid="{D80BB9D0-5F2C-4C01-BD95-3D4D46253CA7}"/>
    <cellStyle name="Heading 2 3 10 3" xfId="25915" xr:uid="{2BCEFC53-FDF0-41C4-AF58-1CEFB31C1AEE}"/>
    <cellStyle name="Heading 2 3 10 4" xfId="25916" xr:uid="{90C0B4A5-4B09-4049-B464-D4B9DEEC9CEA}"/>
    <cellStyle name="Heading 2 3 10 5" xfId="25917" xr:uid="{A7A6DCC9-AD56-4933-86ED-DD92920585A0}"/>
    <cellStyle name="Heading 2 3 10 6" xfId="25913" xr:uid="{4C4CCF88-F8AB-48DF-9F7B-9C44A0A881A5}"/>
    <cellStyle name="Heading 2 3 11" xfId="2429" xr:uid="{3F768BEF-03D5-49A9-AC12-094EB7004684}"/>
    <cellStyle name="Heading 2 3 11 2" xfId="25919" xr:uid="{FD577665-C3C3-446B-8FD9-ADE277EEB764}"/>
    <cellStyle name="Heading 2 3 11 3" xfId="25920" xr:uid="{6E859165-5ECF-45FC-A341-0F0A7AB4596A}"/>
    <cellStyle name="Heading 2 3 11 4" xfId="25921" xr:uid="{7F93D360-ABBC-4001-AB14-3972630FF6B8}"/>
    <cellStyle name="Heading 2 3 11 5" xfId="25922" xr:uid="{044ECADA-A1DC-4F17-AF90-04E4BE7E53F1}"/>
    <cellStyle name="Heading 2 3 11 6" xfId="25918" xr:uid="{A42EABF2-6601-47CA-939E-8183A5E31A13}"/>
    <cellStyle name="Heading 2 3 12" xfId="2430" xr:uid="{332DD95B-8CE6-4B8E-84A3-D0156A8CC208}"/>
    <cellStyle name="Heading 2 3 12 2" xfId="25924" xr:uid="{EB2301B1-9650-4852-B688-CEA93A9576DD}"/>
    <cellStyle name="Heading 2 3 12 3" xfId="25925" xr:uid="{28153078-3608-4BE2-BDC2-7866867093F6}"/>
    <cellStyle name="Heading 2 3 12 4" xfId="25926" xr:uid="{742DA788-049C-433E-8B9D-151C579EE7D2}"/>
    <cellStyle name="Heading 2 3 12 5" xfId="25927" xr:uid="{79DFAA41-75E6-4DF9-A83F-03310F42BB8D}"/>
    <cellStyle name="Heading 2 3 12 6" xfId="25923" xr:uid="{B192E560-8697-4F67-99D5-5E7C23487A62}"/>
    <cellStyle name="Heading 2 3 13" xfId="2431" xr:uid="{9916DA8A-02C4-48B6-AF1B-87090DF23415}"/>
    <cellStyle name="Heading 2 3 13 2" xfId="25929" xr:uid="{501B37FF-DF36-42BA-977C-87B0F0F8E42A}"/>
    <cellStyle name="Heading 2 3 13 3" xfId="25930" xr:uid="{09005E37-01CC-40FA-A154-82BDEAED6625}"/>
    <cellStyle name="Heading 2 3 13 4" xfId="25931" xr:uid="{92CF3E3F-D498-4E13-B130-DEE219E0FA5D}"/>
    <cellStyle name="Heading 2 3 13 5" xfId="25932" xr:uid="{C6AF3B30-BF9F-48C5-B5CA-200A6EAD10FE}"/>
    <cellStyle name="Heading 2 3 13 6" xfId="25928" xr:uid="{A6694559-6240-4CB5-A67A-D4F115F87A78}"/>
    <cellStyle name="Heading 2 3 14" xfId="2432" xr:uid="{6D2094DB-0EB9-4FE3-917A-48D5D8966DA7}"/>
    <cellStyle name="Heading 2 3 14 2" xfId="25934" xr:uid="{9B151351-6949-466E-BC56-E29A55709B4E}"/>
    <cellStyle name="Heading 2 3 14 3" xfId="25935" xr:uid="{34FBAF2B-C08C-42F0-B1AF-6DA9D17C27A2}"/>
    <cellStyle name="Heading 2 3 14 4" xfId="25936" xr:uid="{6D742D63-00C4-4A92-98DC-7B9C46E71DA7}"/>
    <cellStyle name="Heading 2 3 14 5" xfId="25937" xr:uid="{E096D85E-608A-426E-91BB-568CEA68180D}"/>
    <cellStyle name="Heading 2 3 14 6" xfId="25933" xr:uid="{9CEAC515-9D30-45EC-BE0C-143968E86FE0}"/>
    <cellStyle name="Heading 2 3 15" xfId="16442" xr:uid="{6F48CA62-4F7F-4F2A-8E70-BE2F1E0B6A1A}"/>
    <cellStyle name="Heading 2 3 15 2" xfId="25939" xr:uid="{CE592B46-B5EC-4089-AD51-1AC5010935FA}"/>
    <cellStyle name="Heading 2 3 15 3" xfId="25940" xr:uid="{4E14F152-8560-409C-A1C2-812912984FAD}"/>
    <cellStyle name="Heading 2 3 15 4" xfId="25941" xr:uid="{784D0886-2835-4053-8B17-BEFEDF2E68BA}"/>
    <cellStyle name="Heading 2 3 15 5" xfId="25942" xr:uid="{0C032CD4-F429-42EC-821E-4AA246458CD5}"/>
    <cellStyle name="Heading 2 3 15 6" xfId="25938" xr:uid="{8ECEB827-B6CE-445E-9790-210AD5D075E1}"/>
    <cellStyle name="Heading 2 3 16" xfId="25943" xr:uid="{087321CA-30A7-4BA7-BF7D-375B97DEF2E4}"/>
    <cellStyle name="Heading 2 3 17" xfId="25944" xr:uid="{1F781D0B-E845-4F1A-8E9C-7264A0809658}"/>
    <cellStyle name="Heading 2 3 18" xfId="25945" xr:uid="{F11A195D-DE83-4C65-A120-DB24981A8874}"/>
    <cellStyle name="Heading 2 3 19" xfId="25946" xr:uid="{AF6FCE86-1D29-4899-9457-890CDAB0CDCA}"/>
    <cellStyle name="Heading 2 3 2" xfId="2433" xr:uid="{93424F2D-2A95-4EA5-AAE6-7173724CEA7F}"/>
    <cellStyle name="Heading 2 3 2 2" xfId="25948" xr:uid="{3C2DBFE3-2B0E-4AEE-BCBB-EEE3D60D0485}"/>
    <cellStyle name="Heading 2 3 2 3" xfId="25949" xr:uid="{54EBA5BB-88DF-479E-927F-CA8C2798096A}"/>
    <cellStyle name="Heading 2 3 2 4" xfId="25950" xr:uid="{2C27099A-4AFC-4F4C-A01B-ED09A433490E}"/>
    <cellStyle name="Heading 2 3 2 5" xfId="25951" xr:uid="{31267DD5-30A6-4833-B2E4-3978615252D7}"/>
    <cellStyle name="Heading 2 3 2 6" xfId="25952" xr:uid="{DF7E8AAD-5A9F-49DF-89F1-D75FC4A97C49}"/>
    <cellStyle name="Heading 2 3 2 7" xfId="25947" xr:uid="{6FEB9BB7-B10F-4BEC-A8BB-B85DBC1D8D66}"/>
    <cellStyle name="Heading 2 3 20" xfId="25953" xr:uid="{3C4837BE-9C90-481A-9E85-56D7650587CA}"/>
    <cellStyle name="Heading 2 3 21" xfId="25912" xr:uid="{4D97559D-13E6-45C6-AC9F-E322D23951EE}"/>
    <cellStyle name="Heading 2 3 3" xfId="2434" xr:uid="{021FAE82-FA7B-4CA5-AAF7-EE39D78A3CA4}"/>
    <cellStyle name="Heading 2 3 3 2" xfId="25955" xr:uid="{40BB86F8-0AC5-4361-87DA-3186C4B4EE51}"/>
    <cellStyle name="Heading 2 3 3 3" xfId="25956" xr:uid="{4D1C0697-0016-4753-951B-CC41B3DDAC52}"/>
    <cellStyle name="Heading 2 3 3 4" xfId="25957" xr:uid="{DFEA8342-B909-42B6-8946-CE8E3E1253C8}"/>
    <cellStyle name="Heading 2 3 3 5" xfId="25958" xr:uid="{6D6EEAC0-E0D2-41E7-9E19-863DFC27EB33}"/>
    <cellStyle name="Heading 2 3 3 6" xfId="25954" xr:uid="{2ABB8622-DFA9-493A-BAEC-EF13D782F355}"/>
    <cellStyle name="Heading 2 3 4" xfId="2435" xr:uid="{93B4A179-6D0F-46B0-8D1D-5A70A3EFF4E4}"/>
    <cellStyle name="Heading 2 3 4 2" xfId="25960" xr:uid="{5536CE02-BD4E-4E4D-A0A2-F6DA9C118571}"/>
    <cellStyle name="Heading 2 3 4 3" xfId="25961" xr:uid="{9EE42DE6-90B7-42A1-9FFF-1B00B24C2404}"/>
    <cellStyle name="Heading 2 3 4 4" xfId="25962" xr:uid="{6AA3F293-8205-48F3-81FB-6018C820807E}"/>
    <cellStyle name="Heading 2 3 4 5" xfId="25963" xr:uid="{8B0A4AB0-60FE-46D6-8612-A47E39DB02CD}"/>
    <cellStyle name="Heading 2 3 4 6" xfId="25959" xr:uid="{FF6CB1BA-C359-4640-AB88-CE22C18E5D81}"/>
    <cellStyle name="Heading 2 3 5" xfId="2436" xr:uid="{EDE2FF45-6AC3-4563-869D-6F33AFB20F4A}"/>
    <cellStyle name="Heading 2 3 5 2" xfId="25965" xr:uid="{3778D9F6-C409-4AAF-ABBF-636C22CB56B1}"/>
    <cellStyle name="Heading 2 3 5 3" xfId="25966" xr:uid="{92BCAF00-094A-4C79-98D5-C04AF80F0EBB}"/>
    <cellStyle name="Heading 2 3 5 4" xfId="25967" xr:uid="{59357572-E06C-4735-AA0A-8344880AB783}"/>
    <cellStyle name="Heading 2 3 5 5" xfId="25968" xr:uid="{2FE63E60-CFA5-4F7B-968F-6A731A5AC60C}"/>
    <cellStyle name="Heading 2 3 5 6" xfId="25964" xr:uid="{1E0AAAAB-18FA-437A-A2EA-A3859849806C}"/>
    <cellStyle name="Heading 2 3 6" xfId="2437" xr:uid="{999B9C0F-B9C3-4C62-9D43-5B584B0DB0B3}"/>
    <cellStyle name="Heading 2 3 6 2" xfId="25970" xr:uid="{4244A57B-61DC-4025-ABEB-F7124917A755}"/>
    <cellStyle name="Heading 2 3 6 3" xfId="25971" xr:uid="{F3B7DCCC-FD5C-4A62-B6AF-8630BABA6DD2}"/>
    <cellStyle name="Heading 2 3 6 4" xfId="25972" xr:uid="{A33B5AD3-4BAF-47BB-B6ED-879C9B64232A}"/>
    <cellStyle name="Heading 2 3 6 5" xfId="25973" xr:uid="{E41D350D-5513-4128-8CDA-7FA76EE89744}"/>
    <cellStyle name="Heading 2 3 6 6" xfId="25969" xr:uid="{0ED4A26B-16EB-4820-8825-D8E8FDC20248}"/>
    <cellStyle name="Heading 2 3 7" xfId="2438" xr:uid="{D2316D9C-A68D-4888-B054-E99AA92C12E2}"/>
    <cellStyle name="Heading 2 3 7 2" xfId="25975" xr:uid="{386CB2F0-8133-4E87-B176-0F4C413001CE}"/>
    <cellStyle name="Heading 2 3 7 3" xfId="25976" xr:uid="{3DA5DF86-5BF9-4DDF-A6E2-FDFC2E1686DF}"/>
    <cellStyle name="Heading 2 3 7 4" xfId="25977" xr:uid="{DD688269-F484-4A01-AC12-78B28E345359}"/>
    <cellStyle name="Heading 2 3 7 5" xfId="25978" xr:uid="{3ABF857A-0181-4BC6-BB26-4788B98E92D5}"/>
    <cellStyle name="Heading 2 3 7 6" xfId="25974" xr:uid="{2A9DEFDA-8691-4E2A-AD6E-4A992EC0A8D4}"/>
    <cellStyle name="Heading 2 3 8" xfId="2439" xr:uid="{4B8B09AA-8D9F-4166-ABC8-B11D2140C8BF}"/>
    <cellStyle name="Heading 2 3 8 2" xfId="25980" xr:uid="{66637CCA-B04A-4508-8F95-6782A55578B6}"/>
    <cellStyle name="Heading 2 3 8 3" xfId="25981" xr:uid="{8D5ECE4A-CA34-4D0B-B80F-2E76876FF4CD}"/>
    <cellStyle name="Heading 2 3 8 4" xfId="25982" xr:uid="{13645A6F-9025-40D5-9AC5-1076A1CE8CA4}"/>
    <cellStyle name="Heading 2 3 8 5" xfId="25983" xr:uid="{76E11133-59FC-4876-87B4-456DAD43B198}"/>
    <cellStyle name="Heading 2 3 8 6" xfId="25979" xr:uid="{31BF4611-46C3-4BA5-B549-30231AD62C6B}"/>
    <cellStyle name="Heading 2 3 9" xfId="2440" xr:uid="{A58B9BA1-F5BC-4D17-8E58-DF9AE534B37F}"/>
    <cellStyle name="Heading 2 3 9 2" xfId="25985" xr:uid="{B7955405-30EC-4718-84B4-5120507B149B}"/>
    <cellStyle name="Heading 2 3 9 3" xfId="25986" xr:uid="{24B4FF67-3896-406F-8329-D6AE8CBA53DB}"/>
    <cellStyle name="Heading 2 3 9 4" xfId="25987" xr:uid="{8ED12271-6557-4EA6-9764-E0A5C71867B0}"/>
    <cellStyle name="Heading 2 3 9 5" xfId="25988" xr:uid="{BA430756-3853-428F-9092-1A9D77AF30BD}"/>
    <cellStyle name="Heading 2 3 9 6" xfId="25984" xr:uid="{8EC53A6D-B9E9-48C9-9A66-02BE5A2B7D0F}"/>
    <cellStyle name="Heading 2 3_IND_UC" xfId="11087" xr:uid="{974D997C-3F9F-4120-A1FB-49A0FB3B7F8B}"/>
    <cellStyle name="Heading 2 4" xfId="2441" xr:uid="{D16B83C9-0798-46A5-AA47-C53E0864494B}"/>
    <cellStyle name="Heading 2 4 2" xfId="2442" xr:uid="{8C1A4802-1FED-4F4C-A97E-C4B31EF84B33}"/>
    <cellStyle name="Heading 2 4 2 2" xfId="25991" xr:uid="{97F61AD2-70AD-47DA-A2C6-E0A52C15EE78}"/>
    <cellStyle name="Heading 2 4 2 3" xfId="25992" xr:uid="{10334D7A-E037-44D2-A10C-BEE4A559075E}"/>
    <cellStyle name="Heading 2 4 2 4" xfId="25993" xr:uid="{210D319C-7DEE-473D-AC0C-0AF29F8D06C3}"/>
    <cellStyle name="Heading 2 4 2 5" xfId="25994" xr:uid="{A45D0D6E-2DA8-4267-8BF4-CA14F6138F45}"/>
    <cellStyle name="Heading 2 4 2 6" xfId="25995" xr:uid="{88D9CE28-5E17-4A8D-9F92-8D880A01014D}"/>
    <cellStyle name="Heading 2 4 2 7" xfId="25990" xr:uid="{B1392819-0AFB-41FA-81B0-6AAD3820A68D}"/>
    <cellStyle name="Heading 2 4 3" xfId="25996" xr:uid="{64B87A6E-B9B6-479A-8CA9-39C3215839B5}"/>
    <cellStyle name="Heading 2 4 4" xfId="25997" xr:uid="{928D01E9-1070-4873-933E-C56D5D1937F2}"/>
    <cellStyle name="Heading 2 4 5" xfId="25998" xr:uid="{89ABC2B8-0033-4740-B4A0-DB7330CF5039}"/>
    <cellStyle name="Heading 2 4 6" xfId="25999" xr:uid="{5FA500EB-E072-4DC4-940C-9600714A5194}"/>
    <cellStyle name="Heading 2 4 7" xfId="26000" xr:uid="{3CCB20D3-2BE9-4109-8D0B-08A85A355326}"/>
    <cellStyle name="Heading 2 4 8" xfId="25989" xr:uid="{9404858F-5385-40E1-9F5E-090076586A06}"/>
    <cellStyle name="Heading 2 5" xfId="2443" xr:uid="{852ED312-0AA7-404B-A9C6-EDBE885446F2}"/>
    <cellStyle name="Heading 2 5 2" xfId="2444" xr:uid="{9CCACC9D-365E-4D95-A3F4-D0338B8758F0}"/>
    <cellStyle name="Heading 2 5 2 2" xfId="26003" xr:uid="{AD9BD05F-02B2-4358-B7D1-8AD49ED0802F}"/>
    <cellStyle name="Heading 2 5 2 3" xfId="26004" xr:uid="{D2427362-78EF-45C9-87E2-5500B83DC88A}"/>
    <cellStyle name="Heading 2 5 2 4" xfId="26005" xr:uid="{90607B62-02AB-4BAA-8D40-C8C8D2B8AB65}"/>
    <cellStyle name="Heading 2 5 2 5" xfId="26006" xr:uid="{A8F1DEAA-DA44-47CD-9AEF-2395600003FB}"/>
    <cellStyle name="Heading 2 5 2 6" xfId="26007" xr:uid="{139ABB5A-D0B6-4D15-A83A-0EEA94EB3F01}"/>
    <cellStyle name="Heading 2 5 2 7" xfId="26002" xr:uid="{D0F2F879-29B4-4E0C-AF00-8C2BDC0E54BF}"/>
    <cellStyle name="Heading 2 5 3" xfId="26008" xr:uid="{4806D426-DEDE-4559-A32E-DC476F8C5434}"/>
    <cellStyle name="Heading 2 5 4" xfId="26009" xr:uid="{A4E308BF-AAE4-4748-B765-AF6A06F76593}"/>
    <cellStyle name="Heading 2 5 5" xfId="26010" xr:uid="{39379A1C-6706-44AC-8EE3-DDC35F36CFF8}"/>
    <cellStyle name="Heading 2 5 6" xfId="26011" xr:uid="{337A7360-9F58-42F6-9E3C-F606D1479E25}"/>
    <cellStyle name="Heading 2 5 7" xfId="26012" xr:uid="{2D10C843-3E2F-4956-A24C-17CE3C4C1688}"/>
    <cellStyle name="Heading 2 5 8" xfId="26001" xr:uid="{516D5AD9-C4D5-4041-BDC2-744601D0F61C}"/>
    <cellStyle name="Heading 2 6" xfId="2445" xr:uid="{DDABA582-1027-4747-BFA7-E1BB4C9F789D}"/>
    <cellStyle name="Heading 2 6 2" xfId="2446" xr:uid="{DDAEA052-80FB-46F8-A83E-DF65297CBB6B}"/>
    <cellStyle name="Heading 2 6 2 2" xfId="26015" xr:uid="{B9256CA3-1B7C-4D37-9F66-37D5BDEF8D91}"/>
    <cellStyle name="Heading 2 6 2 3" xfId="26016" xr:uid="{7B3FD8D5-EB9F-434E-B07A-0B6AD7993D24}"/>
    <cellStyle name="Heading 2 6 2 4" xfId="26017" xr:uid="{10F492F8-1A28-4D57-A150-4CA7EFCA6630}"/>
    <cellStyle name="Heading 2 6 2 5" xfId="26018" xr:uid="{9D3ADFA9-B8B6-4461-A9A5-4B3EA5F9F6C4}"/>
    <cellStyle name="Heading 2 6 2 6" xfId="26019" xr:uid="{221A60A5-F1DE-4CD8-B73A-0B3523F402DE}"/>
    <cellStyle name="Heading 2 6 2 7" xfId="26014" xr:uid="{5F04AE97-1263-4888-BC1D-897817305445}"/>
    <cellStyle name="Heading 2 6 3" xfId="2447" xr:uid="{59B3A5F0-9D7D-47C5-800A-59052F9DBDF6}"/>
    <cellStyle name="Heading 2 6 3 2" xfId="26021" xr:uid="{CE2134C1-A284-45FE-9B53-4AE03F3F4560}"/>
    <cellStyle name="Heading 2 6 3 3" xfId="26022" xr:uid="{7A2F1A4E-C7A7-4BD2-B541-6345CE607763}"/>
    <cellStyle name="Heading 2 6 3 4" xfId="26023" xr:uid="{1949961E-C49B-4D7C-BE96-9591E5DF1388}"/>
    <cellStyle name="Heading 2 6 3 5" xfId="26024" xr:uid="{5B1491ED-3F12-47AA-B3B0-B3010D02C6F7}"/>
    <cellStyle name="Heading 2 6 3 6" xfId="26020" xr:uid="{E7FF5086-EB2B-4D22-8A52-B33E8C422A25}"/>
    <cellStyle name="Heading 2 6 4" xfId="26025" xr:uid="{52DD32CF-89CA-4648-AF75-95B8CFA69B1E}"/>
    <cellStyle name="Heading 2 6 5" xfId="26026" xr:uid="{0F6DCCBF-61FD-4EA1-B753-141ABA6A5FCC}"/>
    <cellStyle name="Heading 2 6 6" xfId="26027" xr:uid="{CC9A00BF-CD1F-43DA-8EE8-A5188CEBFE2C}"/>
    <cellStyle name="Heading 2 6 7" xfId="26028" xr:uid="{73C2266B-7386-4161-9B8C-4724D90E99A0}"/>
    <cellStyle name="Heading 2 6 8" xfId="26029" xr:uid="{393C260B-07EC-44FC-94B9-33726F48106A}"/>
    <cellStyle name="Heading 2 6 9" xfId="26013" xr:uid="{2AC1AB10-EE27-49AC-BBD6-80F6E74A7349}"/>
    <cellStyle name="Heading 2 7" xfId="2448" xr:uid="{BFA9FF51-C10E-400B-A9D6-E2EFE45B470F}"/>
    <cellStyle name="Heading 2 7 2" xfId="2449" xr:uid="{B4B41934-979B-491C-86CC-76F2BFE17A74}"/>
    <cellStyle name="Heading 2 7 2 2" xfId="26032" xr:uid="{A01ACBE5-EFD5-4DB5-B649-15E51CE5D7D5}"/>
    <cellStyle name="Heading 2 7 2 3" xfId="26033" xr:uid="{717DC5EF-B813-4C7D-BB89-304306548983}"/>
    <cellStyle name="Heading 2 7 2 4" xfId="26034" xr:uid="{CBD72EC0-9974-4843-B10D-12F95D40DBA3}"/>
    <cellStyle name="Heading 2 7 2 5" xfId="26035" xr:uid="{94C439D0-CCC9-492A-81E8-ADC853298044}"/>
    <cellStyle name="Heading 2 7 2 6" xfId="26036" xr:uid="{993066D7-A9E0-486D-A3F4-557F2D89CD69}"/>
    <cellStyle name="Heading 2 7 2 7" xfId="26031" xr:uid="{140B08C2-1365-4B74-97D9-3463D525F8C7}"/>
    <cellStyle name="Heading 2 7 3" xfId="2450" xr:uid="{48E97DB2-F8D7-4484-B169-A00E670F7904}"/>
    <cellStyle name="Heading 2 7 3 2" xfId="26038" xr:uid="{7C686F24-9B3F-4BF9-A4BB-BFA1AFE67514}"/>
    <cellStyle name="Heading 2 7 3 3" xfId="26039" xr:uid="{F3CEA42C-BEE3-47F9-AF01-8C0C228E8A1A}"/>
    <cellStyle name="Heading 2 7 3 4" xfId="26040" xr:uid="{A5418B19-C165-47C6-82C0-E23D4DFC631B}"/>
    <cellStyle name="Heading 2 7 3 5" xfId="26041" xr:uid="{3DE4DAD8-4C22-485E-BAE9-8065C35B042F}"/>
    <cellStyle name="Heading 2 7 3 6" xfId="26037" xr:uid="{4927DD2E-C57A-4B2D-B7A6-80CF5B9B5AF1}"/>
    <cellStyle name="Heading 2 7 4" xfId="26042" xr:uid="{32DBF2CC-B3F8-4479-A6C6-A72B770B2764}"/>
    <cellStyle name="Heading 2 7 5" xfId="26043" xr:uid="{97C6A1F6-3F22-45DB-908E-F3349A3B56C9}"/>
    <cellStyle name="Heading 2 7 6" xfId="26044" xr:uid="{84422155-B2D2-47E2-96F3-6CE31FFAF4B1}"/>
    <cellStyle name="Heading 2 7 7" xfId="26045" xr:uid="{B36AB4C8-FAE3-4B2B-9355-6A5F8CD23D70}"/>
    <cellStyle name="Heading 2 7 8" xfId="26046" xr:uid="{F995D421-4F1A-4637-A136-4810A5A5CE23}"/>
    <cellStyle name="Heading 2 7 9" xfId="26030" xr:uid="{2E2CB942-B079-4FFC-A1BB-1F0282E85572}"/>
    <cellStyle name="Heading 2 8" xfId="2451" xr:uid="{87551AC3-8489-4346-9F6F-BFF31AFE781C}"/>
    <cellStyle name="Heading 2 8 2" xfId="2452" xr:uid="{13AC4EB4-7633-4437-BC6E-437C1DB7759A}"/>
    <cellStyle name="Heading 2 8 2 2" xfId="26049" xr:uid="{9ADABB3B-9827-415B-BA86-68AEAE61A51D}"/>
    <cellStyle name="Heading 2 8 2 3" xfId="26050" xr:uid="{BA44C063-C753-4155-AC69-A3A7514632B1}"/>
    <cellStyle name="Heading 2 8 2 4" xfId="26051" xr:uid="{6D70A096-5B50-48D7-81DB-B5209F3AAB8B}"/>
    <cellStyle name="Heading 2 8 2 5" xfId="26052" xr:uid="{F46D3192-8E4D-4BE7-AB4A-AE90C7F932B5}"/>
    <cellStyle name="Heading 2 8 2 6" xfId="26053" xr:uid="{EBFA626A-79D6-407D-808E-A94ABBCF09CA}"/>
    <cellStyle name="Heading 2 8 2 7" xfId="26048" xr:uid="{08B6251D-6C6A-4F62-A980-BB8B9E17815F}"/>
    <cellStyle name="Heading 2 8 3" xfId="2453" xr:uid="{5A12A07A-6E9B-42B3-AF30-0EF260D3DA66}"/>
    <cellStyle name="Heading 2 8 3 2" xfId="26055" xr:uid="{44BBCD1F-A2BE-497D-8EF8-32E80D980309}"/>
    <cellStyle name="Heading 2 8 3 3" xfId="26056" xr:uid="{9A86E373-35DF-4427-821D-FE8660189C39}"/>
    <cellStyle name="Heading 2 8 3 4" xfId="26057" xr:uid="{671B53AD-27F6-4791-91E6-EF2906BB0D06}"/>
    <cellStyle name="Heading 2 8 3 5" xfId="26058" xr:uid="{52965612-AE28-4EAF-BD3F-198DE9253195}"/>
    <cellStyle name="Heading 2 8 3 6" xfId="26054" xr:uid="{0FB0D382-5B2D-468B-B0F1-F0828B261EB3}"/>
    <cellStyle name="Heading 2 8 4" xfId="26059" xr:uid="{9576070E-8100-4F04-8762-976DB721128E}"/>
    <cellStyle name="Heading 2 8 5" xfId="26060" xr:uid="{4805D9ED-D8E7-4430-99CB-68FA9A677EB6}"/>
    <cellStyle name="Heading 2 8 6" xfId="26061" xr:uid="{2516E433-B95A-490A-90F1-04285AE836BE}"/>
    <cellStyle name="Heading 2 8 7" xfId="26062" xr:uid="{940AD87B-9E97-4201-914F-8652CFA9F49B}"/>
    <cellStyle name="Heading 2 8 8" xfId="26063" xr:uid="{1754CEA1-C14B-4BDC-9199-23B34F106A19}"/>
    <cellStyle name="Heading 2 8 9" xfId="26047" xr:uid="{C3D73E76-E1A4-4C85-97C2-4EEFBDBB8231}"/>
    <cellStyle name="Heading 2 9" xfId="2454" xr:uid="{2CD1AF96-4F03-4217-8DD6-27E26EDCE69D}"/>
    <cellStyle name="Heading 2 9 2" xfId="2455" xr:uid="{2685651C-0315-4164-97A9-F54D6391832C}"/>
    <cellStyle name="Heading 2 9 2 2" xfId="26066" xr:uid="{E41CED69-7335-4EF8-867B-F16C1EBC1FC3}"/>
    <cellStyle name="Heading 2 9 2 3" xfId="26067" xr:uid="{B2E26FE6-BCAA-43B5-9D8C-7391B9E73705}"/>
    <cellStyle name="Heading 2 9 2 4" xfId="26068" xr:uid="{17457CA5-B6D9-4D78-A149-940DEF81C7D9}"/>
    <cellStyle name="Heading 2 9 2 5" xfId="26069" xr:uid="{BE5339CD-6A13-449E-9B98-593D6FBB1E03}"/>
    <cellStyle name="Heading 2 9 2 6" xfId="26065" xr:uid="{9A3E6859-BB17-4527-9CF2-0134AA5F50F4}"/>
    <cellStyle name="Heading 2 9 3" xfId="26070" xr:uid="{AA86F820-F114-4F14-8491-92F562EF170A}"/>
    <cellStyle name="Heading 2 9 4" xfId="26071" xr:uid="{CD0E437C-9666-4F10-A006-FEF88DB1733B}"/>
    <cellStyle name="Heading 2 9 5" xfId="26072" xr:uid="{E30DF32F-A471-4C56-B62D-2E5815908147}"/>
    <cellStyle name="Heading 2 9 6" xfId="26073" xr:uid="{85D2D07B-A34F-4CC4-B024-D4D30BD8011A}"/>
    <cellStyle name="Heading 2 9 7" xfId="26074" xr:uid="{AC0BB70D-9425-4468-A8A5-A78C66249749}"/>
    <cellStyle name="Heading 2 9 8" xfId="26064" xr:uid="{6A0EE3CC-455A-4ADD-96D3-93A29E789541}"/>
    <cellStyle name="Heading 3 10" xfId="2456" xr:uid="{52EA6DB5-93F8-4101-8A7E-A2EA43F27CD7}"/>
    <cellStyle name="Heading 3 10 2" xfId="2457" xr:uid="{17B832E0-A6C3-46ED-8FF3-BE3A6AB74ED9}"/>
    <cellStyle name="Heading 3 10 2 2" xfId="26077" xr:uid="{6722BEA0-1F3A-43FE-8E26-C401282CB16B}"/>
    <cellStyle name="Heading 3 10 2 3" xfId="26078" xr:uid="{00761AB8-2279-40A7-A37F-17322EFDCC83}"/>
    <cellStyle name="Heading 3 10 2 4" xfId="26079" xr:uid="{15EC65AD-5EB4-4A26-BC2C-3A6799C4ADDD}"/>
    <cellStyle name="Heading 3 10 2 5" xfId="26080" xr:uid="{DC4D1380-A438-4189-84F7-76EAEA16466A}"/>
    <cellStyle name="Heading 3 10 2 6" xfId="26076" xr:uid="{ECC59854-65A8-42DD-8994-4AE5BCBFC93F}"/>
    <cellStyle name="Heading 3 10 3" xfId="26081" xr:uid="{51E81091-B4D5-4E0C-A22C-1AA4AE935605}"/>
    <cellStyle name="Heading 3 10 4" xfId="26082" xr:uid="{8104072D-DCE4-4F9B-93A0-B3A8F6A14777}"/>
    <cellStyle name="Heading 3 10 5" xfId="26083" xr:uid="{724AB735-E93C-465C-AE97-2A922A107EC6}"/>
    <cellStyle name="Heading 3 10 6" xfId="26084" xr:uid="{D14FFD17-33A9-4C73-9BF7-5C6A0E0F23F9}"/>
    <cellStyle name="Heading 3 10 7" xfId="26085" xr:uid="{75BCC11B-A049-4716-9A55-4962BFE77260}"/>
    <cellStyle name="Heading 3 10 8" xfId="26075" xr:uid="{E331AF06-D7E6-43D2-BDFB-AD742BCF933D}"/>
    <cellStyle name="Heading 3 11" xfId="2458" xr:uid="{992FAA3C-6EF3-4461-93AD-6154781310A4}"/>
    <cellStyle name="Heading 3 11 2" xfId="10638" xr:uid="{9C57F418-8F54-47AC-9779-2C355F6CC098}"/>
    <cellStyle name="Heading 3 11 2 2" xfId="26088" xr:uid="{322A7D38-0715-499C-8F74-4444701CDB12}"/>
    <cellStyle name="Heading 3 11 2 3" xfId="26089" xr:uid="{DC9286E0-9F17-4699-9EDD-EF25D5320441}"/>
    <cellStyle name="Heading 3 11 2 4" xfId="26090" xr:uid="{3AA1BF55-601F-4619-883E-58A6128C355C}"/>
    <cellStyle name="Heading 3 11 2 5" xfId="26091" xr:uid="{31C80FA4-4046-471A-845B-6D5AB5F62180}"/>
    <cellStyle name="Heading 3 11 2 6" xfId="26087" xr:uid="{A89E546B-1944-4D70-9CC6-A7F1BC46BFE3}"/>
    <cellStyle name="Heading 3 11 3" xfId="26092" xr:uid="{E127AA3C-755C-4C76-AA54-6A7325BB14DF}"/>
    <cellStyle name="Heading 3 11 4" xfId="26093" xr:uid="{B9740277-41EE-422B-9DF1-B2F3BD73E308}"/>
    <cellStyle name="Heading 3 11 5" xfId="26094" xr:uid="{28C2C99A-90A9-42F3-8C6E-DAB40EDCD127}"/>
    <cellStyle name="Heading 3 11 6" xfId="26095" xr:uid="{F3A8EEBF-D132-40EE-817D-20685283E2EC}"/>
    <cellStyle name="Heading 3 11 7" xfId="26096" xr:uid="{13A85A48-D0C1-43F1-92A3-E768DB46273D}"/>
    <cellStyle name="Heading 3 11 8" xfId="26086" xr:uid="{C47E6A8C-C907-4431-934E-D52F4C3E7F5C}"/>
    <cellStyle name="Heading 3 12" xfId="2459" xr:uid="{241056EA-91EC-48CC-BC5E-03CB94541064}"/>
    <cellStyle name="Heading 3 12 2" xfId="10839" xr:uid="{F5D98D52-170F-42E8-BFD1-636146F02832}"/>
    <cellStyle name="Heading 3 12 2 2" xfId="26099" xr:uid="{BC7ACFDF-0EF0-4EA3-ACB1-4F750C4B05E3}"/>
    <cellStyle name="Heading 3 12 2 3" xfId="26100" xr:uid="{50D65DD5-E25D-44F8-AC61-400786DB9108}"/>
    <cellStyle name="Heading 3 12 2 4" xfId="26101" xr:uid="{1C32269A-C787-4202-A20C-2A33C007C760}"/>
    <cellStyle name="Heading 3 12 2 5" xfId="26102" xr:uid="{2995146F-36C8-4323-8F9E-4307D20B0D31}"/>
    <cellStyle name="Heading 3 12 2 6" xfId="26098" xr:uid="{C48C6CF7-E7B0-4481-9D57-4ABF545FA970}"/>
    <cellStyle name="Heading 3 12 3" xfId="26103" xr:uid="{2F747797-0B37-488E-A66B-18E3A0B1D0FC}"/>
    <cellStyle name="Heading 3 12 4" xfId="26104" xr:uid="{6FAC5F5E-2572-4769-BD2B-FFFC2B4CE87C}"/>
    <cellStyle name="Heading 3 12 5" xfId="26105" xr:uid="{445AE081-8287-430C-ABFF-14315B8DF085}"/>
    <cellStyle name="Heading 3 12 6" xfId="26106" xr:uid="{41A4601A-6C84-49CF-A25B-F863E75BE497}"/>
    <cellStyle name="Heading 3 12 7" xfId="26107" xr:uid="{27D8F3C0-9DB3-4875-8893-7DDE1ACBB0A4}"/>
    <cellStyle name="Heading 3 12 8" xfId="26097" xr:uid="{02626A0F-7847-4061-9765-C5C5B8F9E515}"/>
    <cellStyle name="Heading 3 13" xfId="2460" xr:uid="{E6C90A81-0D6B-4A03-82BC-CB8555889C38}"/>
    <cellStyle name="Heading 3 13 2" xfId="8082" xr:uid="{73E561A8-911A-4C7F-AD79-0CF1EE7E95EE}"/>
    <cellStyle name="Heading 3 13 2 2" xfId="26110" xr:uid="{C6FCB673-6CEF-4F37-B002-924F9434569D}"/>
    <cellStyle name="Heading 3 13 2 3" xfId="26111" xr:uid="{22C3C7B7-A9E3-4112-9A55-292B83152A24}"/>
    <cellStyle name="Heading 3 13 2 4" xfId="26112" xr:uid="{93895650-8993-42F3-93AB-4A2748FA5797}"/>
    <cellStyle name="Heading 3 13 2 5" xfId="26113" xr:uid="{00288110-06AD-4387-98B0-65D7C86514D1}"/>
    <cellStyle name="Heading 3 13 2 6" xfId="26109" xr:uid="{9A875382-E784-4A49-B591-37122C119E0F}"/>
    <cellStyle name="Heading 3 13 3" xfId="26114" xr:uid="{DB3671B3-B7A0-43CC-80A4-4833745EB7F6}"/>
    <cellStyle name="Heading 3 13 4" xfId="26115" xr:uid="{8339E9D6-7A79-4922-A938-4FC1A2E1AF1F}"/>
    <cellStyle name="Heading 3 13 5" xfId="26116" xr:uid="{DABD5FB7-814C-4B90-824D-2547290C730E}"/>
    <cellStyle name="Heading 3 13 6" xfId="26117" xr:uid="{BF383E69-F678-45C7-9971-75E315FEB2BF}"/>
    <cellStyle name="Heading 3 13 7" xfId="26118" xr:uid="{53934D96-3615-4B2E-8F46-0784A50BD38A}"/>
    <cellStyle name="Heading 3 13 8" xfId="26108" xr:uid="{C9C3624D-7839-4D46-AFFB-445680508EA4}"/>
    <cellStyle name="Heading 3 14" xfId="2461" xr:uid="{4825C7BE-8D94-4121-A823-CDC5F49CD5DB}"/>
    <cellStyle name="Heading 3 14 2" xfId="8081" xr:uid="{59B7B475-EBA9-416F-85D4-5B4B723D4970}"/>
    <cellStyle name="Heading 3 14 2 2" xfId="26121" xr:uid="{2B531736-B275-40DE-933D-972ECF5DA811}"/>
    <cellStyle name="Heading 3 14 2 3" xfId="26122" xr:uid="{1A493AD6-6BE0-4170-87A5-1B05E905A618}"/>
    <cellStyle name="Heading 3 14 2 4" xfId="26123" xr:uid="{1329F274-FDB1-4CC8-893D-2CAAC6D26049}"/>
    <cellStyle name="Heading 3 14 2 5" xfId="26124" xr:uid="{CB3944F1-A616-4CFD-A344-D9FDCE287A70}"/>
    <cellStyle name="Heading 3 14 2 6" xfId="26120" xr:uid="{CCAD34C6-BA96-4A84-B2AA-637DCDEAB56F}"/>
    <cellStyle name="Heading 3 14 3" xfId="26125" xr:uid="{D97624CA-8DEB-4D61-8C28-BF7D81A1CA2B}"/>
    <cellStyle name="Heading 3 14 4" xfId="26126" xr:uid="{CC214E54-7567-41AE-A072-64FB0DFD6D1F}"/>
    <cellStyle name="Heading 3 14 5" xfId="26127" xr:uid="{AB31D950-3EC9-4134-9C97-5A1F11730B5A}"/>
    <cellStyle name="Heading 3 14 6" xfId="26128" xr:uid="{62923961-BB5A-4D51-B115-5BD5EA4E09A0}"/>
    <cellStyle name="Heading 3 14 7" xfId="26129" xr:uid="{D92A72D2-12EC-4D21-953A-059A85E7A244}"/>
    <cellStyle name="Heading 3 14 8" xfId="26119" xr:uid="{F9E66330-FB91-4FA4-9193-23764788B06B}"/>
    <cellStyle name="Heading 3 15" xfId="2462" xr:uid="{CFA8B079-C861-4BB4-8637-A89F28BE29CF}"/>
    <cellStyle name="Heading 3 15 2" xfId="16443" xr:uid="{52432E4C-ADB9-4263-8E04-8893718F316D}"/>
    <cellStyle name="Heading 3 15 2 2" xfId="26132" xr:uid="{4B9CCA65-255A-45A1-A462-3939EF29C436}"/>
    <cellStyle name="Heading 3 15 2 3" xfId="26133" xr:uid="{2CE398E6-8374-4DC2-A317-C03D8A257D6A}"/>
    <cellStyle name="Heading 3 15 2 4" xfId="26134" xr:uid="{5CD1966B-63F9-49F6-9EC1-DE0193DF6313}"/>
    <cellStyle name="Heading 3 15 2 5" xfId="26135" xr:uid="{1E8B79AB-FDCA-4417-A8CB-BB49A8B3B1BC}"/>
    <cellStyle name="Heading 3 15 2 6" xfId="26131" xr:uid="{E9BAD351-F20B-49DE-BE65-1EBBD864B7DB}"/>
    <cellStyle name="Heading 3 15 3" xfId="26136" xr:uid="{C8055536-4445-4E52-BA85-5E839D4A3C43}"/>
    <cellStyle name="Heading 3 15 4" xfId="26137" xr:uid="{DE507B94-BA06-41C7-97AF-32E25F84AB67}"/>
    <cellStyle name="Heading 3 15 5" xfId="26138" xr:uid="{93E7B1DC-7D4E-44B9-BB4E-A36A1AA63F97}"/>
    <cellStyle name="Heading 3 15 6" xfId="26139" xr:uid="{DDD3650D-70C3-4491-BC4E-86D1E3FB342B}"/>
    <cellStyle name="Heading 3 15 7" xfId="26130" xr:uid="{30D4D7FE-14BF-49AF-891F-E3D7AB84B195}"/>
    <cellStyle name="Heading 3 16" xfId="2463" xr:uid="{73EC0AC5-ADE7-4347-AF4F-45DCB0EE083D}"/>
    <cellStyle name="Heading 3 16 2" xfId="16444" xr:uid="{2B14DA7F-9AFA-4837-8089-FC2912416F26}"/>
    <cellStyle name="Heading 3 16 2 2" xfId="26142" xr:uid="{7E759644-2E66-41BA-816B-60E5A5CB4D78}"/>
    <cellStyle name="Heading 3 16 2 3" xfId="26143" xr:uid="{3263E72E-30C2-4BA8-BD2F-01C627403EAA}"/>
    <cellStyle name="Heading 3 16 2 4" xfId="26144" xr:uid="{252B87BF-563B-4B01-8427-3F2D4EFF30F7}"/>
    <cellStyle name="Heading 3 16 2 5" xfId="26145" xr:uid="{D3E8DACA-4241-481E-A295-D51DC67275C2}"/>
    <cellStyle name="Heading 3 16 2 6" xfId="26141" xr:uid="{88D9F1F9-2FEE-4EB7-B479-D23C640D4F17}"/>
    <cellStyle name="Heading 3 16 3" xfId="26146" xr:uid="{FD2EB80B-D8BD-48FB-8DD8-9F3D6493FFE0}"/>
    <cellStyle name="Heading 3 16 4" xfId="26147" xr:uid="{5CD2BEFF-7E87-4297-80D6-53711260232C}"/>
    <cellStyle name="Heading 3 16 5" xfId="26148" xr:uid="{8344029B-192C-4B45-9877-F39B433C7FDC}"/>
    <cellStyle name="Heading 3 16 6" xfId="26149" xr:uid="{27B232D5-D8E2-4992-BFCB-68363A20AA0E}"/>
    <cellStyle name="Heading 3 16 7" xfId="26140" xr:uid="{3983CCA9-F77D-41D5-A4E1-CF97B1F4E3A0}"/>
    <cellStyle name="Heading 3 17" xfId="2464" xr:uid="{C6B07BF0-AF9D-4ADC-9FE3-9A5A4A2488F5}"/>
    <cellStyle name="Heading 3 17 2" xfId="16445" xr:uid="{10A3CC2F-8C32-47F4-B56B-89DAB73DBCB2}"/>
    <cellStyle name="Heading 3 17 2 2" xfId="26152" xr:uid="{155FFF70-00A6-4581-8914-4F66E372976A}"/>
    <cellStyle name="Heading 3 17 2 3" xfId="26153" xr:uid="{DEF1ACF7-4205-472E-9246-9CA67222E656}"/>
    <cellStyle name="Heading 3 17 2 4" xfId="26154" xr:uid="{829578D3-07D8-4B12-88E1-846113CEAFD8}"/>
    <cellStyle name="Heading 3 17 2 5" xfId="26155" xr:uid="{F5D37BAD-4992-4B8C-9161-34F786246B6C}"/>
    <cellStyle name="Heading 3 17 2 6" xfId="26151" xr:uid="{C775BD0D-736E-4687-8094-59AF9E9ED8F5}"/>
    <cellStyle name="Heading 3 17 3" xfId="26156" xr:uid="{7DD0DCD8-A81C-4C05-B414-97664A0E3819}"/>
    <cellStyle name="Heading 3 17 4" xfId="26157" xr:uid="{A35BDD3E-B4EE-4C4D-A52B-4B8CF7853DC5}"/>
    <cellStyle name="Heading 3 17 5" xfId="26158" xr:uid="{08DD458E-833F-452C-87BD-55E14F54DD79}"/>
    <cellStyle name="Heading 3 17 6" xfId="26159" xr:uid="{892BFE1E-FCBC-4CFD-9205-5FD928186955}"/>
    <cellStyle name="Heading 3 17 7" xfId="26150" xr:uid="{67E7C7B7-4003-4D59-97F7-E177A6FA36A1}"/>
    <cellStyle name="Heading 3 18" xfId="2465" xr:uid="{1997AD3D-5913-48F3-8DA1-159B4E7432F4}"/>
    <cellStyle name="Heading 3 18 2" xfId="16446" xr:uid="{E820D686-776E-4A3E-844E-1E8423F3EE1E}"/>
    <cellStyle name="Heading 3 18 2 2" xfId="26162" xr:uid="{85CD9864-5E68-45CB-B077-CE66D27FD0A3}"/>
    <cellStyle name="Heading 3 18 2 3" xfId="26163" xr:uid="{43FCAB76-3654-4EBA-A548-4D095C97C5DB}"/>
    <cellStyle name="Heading 3 18 2 4" xfId="26164" xr:uid="{BB98E43B-2199-4403-8EFF-D3DCAE0431B1}"/>
    <cellStyle name="Heading 3 18 2 5" xfId="26165" xr:uid="{CAE34036-7A62-4E5B-960E-6D0265F63CCA}"/>
    <cellStyle name="Heading 3 18 2 6" xfId="26161" xr:uid="{52285844-FF8C-436C-9A02-C3D863F33709}"/>
    <cellStyle name="Heading 3 18 3" xfId="26166" xr:uid="{739A01CB-C74C-444B-92AC-D81403B2D772}"/>
    <cellStyle name="Heading 3 18 4" xfId="26167" xr:uid="{3808CD5C-F8C4-4AD5-B3D6-28C9A313A5A6}"/>
    <cellStyle name="Heading 3 18 5" xfId="26168" xr:uid="{47CFDE19-D7F4-42C9-9A1B-581E6163F1D8}"/>
    <cellStyle name="Heading 3 18 6" xfId="26169" xr:uid="{3D1CDC5B-BB90-414D-82F1-3D1CB3C4C829}"/>
    <cellStyle name="Heading 3 18 7" xfId="26160" xr:uid="{9D742249-E305-4D49-8107-03159E035ABA}"/>
    <cellStyle name="Heading 3 19" xfId="2466" xr:uid="{0594D96E-4C8A-40F0-AA1F-9062CAA4F251}"/>
    <cellStyle name="Heading 3 19 2" xfId="16447" xr:uid="{0B3172BE-0C5B-42D1-9AD1-4FC0AA9DC088}"/>
    <cellStyle name="Heading 3 19 2 2" xfId="26172" xr:uid="{C50B2305-FBC5-4312-84F7-9E08E3B5F0F9}"/>
    <cellStyle name="Heading 3 19 2 3" xfId="26173" xr:uid="{E5016387-B934-4DFD-B9B4-65380CF6A0E0}"/>
    <cellStyle name="Heading 3 19 2 4" xfId="26174" xr:uid="{087A404F-B9BD-4DC7-9CAE-FB844D35922C}"/>
    <cellStyle name="Heading 3 19 2 5" xfId="26175" xr:uid="{EBEEB297-6469-4918-99E0-6845693A58AA}"/>
    <cellStyle name="Heading 3 19 2 6" xfId="26171" xr:uid="{E3FCF849-385F-43E1-9D43-AF73F33AC3F1}"/>
    <cellStyle name="Heading 3 19 3" xfId="26176" xr:uid="{D18178F3-34B4-4AF1-8612-A6F2851BFD26}"/>
    <cellStyle name="Heading 3 19 4" xfId="26177" xr:uid="{115D446D-C1E3-4AE2-B562-E1CE513D7C87}"/>
    <cellStyle name="Heading 3 19 5" xfId="26178" xr:uid="{40E89978-863A-4D76-93A6-9990B798959D}"/>
    <cellStyle name="Heading 3 19 6" xfId="26179" xr:uid="{A8E4184C-37E5-4DDF-B293-22C49EFD14F0}"/>
    <cellStyle name="Heading 3 19 7" xfId="26170" xr:uid="{06F9BC01-69C8-4CE0-BE83-307A51D4E3AC}"/>
    <cellStyle name="Heading 3 2" xfId="2467" xr:uid="{7FDC2BF8-5976-4852-9B46-834363FCEC32}"/>
    <cellStyle name="Heading 3 2 10" xfId="8080" xr:uid="{291838FD-B47E-4B76-B3F5-4513BD2AB70E}"/>
    <cellStyle name="Heading 3 2 10 2" xfId="26181" xr:uid="{24FDF7BC-9EE7-44E8-82BC-2E452D259C2B}"/>
    <cellStyle name="Heading 3 2 11" xfId="26182" xr:uid="{62040CA7-EF39-43DE-BA82-ED5F1A6589C6}"/>
    <cellStyle name="Heading 3 2 12" xfId="26183" xr:uid="{0AED1B72-F286-4188-8D49-45758D1D3954}"/>
    <cellStyle name="Heading 3 2 13" xfId="26184" xr:uid="{EE26299E-63C7-46E2-91AF-F57DD749A5F8}"/>
    <cellStyle name="Heading 3 2 14" xfId="26185" xr:uid="{89B74076-A16F-4782-9D4B-1B716CA53753}"/>
    <cellStyle name="Heading 3 2 15" xfId="26186" xr:uid="{14493191-C529-4265-B364-6B11184AD080}"/>
    <cellStyle name="Heading 3 2 16" xfId="26180" xr:uid="{988E367D-0381-4E9E-B048-0980B6C3EAC3}"/>
    <cellStyle name="Heading 3 2 2" xfId="2468" xr:uid="{8CCFF856-7265-41F6-9F0C-A275600D896A}"/>
    <cellStyle name="Heading 3 2 2 2" xfId="26188" xr:uid="{3D61E9B5-A843-41BE-8252-61467745AED5}"/>
    <cellStyle name="Heading 3 2 2 3" xfId="26189" xr:uid="{70218087-7363-487A-AA81-8514EEBB261F}"/>
    <cellStyle name="Heading 3 2 2 4" xfId="26190" xr:uid="{AAD4B443-3E01-4E2F-BD4E-073289E88B35}"/>
    <cellStyle name="Heading 3 2 2 5" xfId="26191" xr:uid="{E99C929F-3AA0-4A1E-9C98-89652A21F0C0}"/>
    <cellStyle name="Heading 3 2 2 6" xfId="26192" xr:uid="{60F2EA00-4812-44CE-B4C2-5C8EA06B338C}"/>
    <cellStyle name="Heading 3 2 2 7" xfId="26187" xr:uid="{0AF6DC95-7F74-4D68-8F06-A4DF0FF32976}"/>
    <cellStyle name="Heading 3 2 3" xfId="2469" xr:uid="{59546C03-A66D-4BBF-93EF-05712E57D324}"/>
    <cellStyle name="Heading 3 2 3 2" xfId="26194" xr:uid="{78BACD24-C10E-40CE-B357-7F7ECAD5FB39}"/>
    <cellStyle name="Heading 3 2 3 3" xfId="26195" xr:uid="{3602EEEF-E325-4BFD-A316-8085CC876C05}"/>
    <cellStyle name="Heading 3 2 3 4" xfId="26196" xr:uid="{049CED03-219F-4347-8A69-5AD123723B34}"/>
    <cellStyle name="Heading 3 2 3 5" xfId="26197" xr:uid="{C2CA164D-4767-4528-B79B-ECC561274CFD}"/>
    <cellStyle name="Heading 3 2 3 6" xfId="26198" xr:uid="{9697E79D-A50D-48A6-A797-3A62F59D5EF0}"/>
    <cellStyle name="Heading 3 2 3 7" xfId="26193" xr:uid="{1E8D0615-B5C0-4619-A0AF-84776D1B3555}"/>
    <cellStyle name="Heading 3 2 4" xfId="2470" xr:uid="{79394048-40C9-48AD-BA74-10D11591EC1D}"/>
    <cellStyle name="Heading 3 2 4 2" xfId="26200" xr:uid="{FCA9EA0D-9A6B-46DD-A7CC-CE8489C306F6}"/>
    <cellStyle name="Heading 3 2 4 3" xfId="26201" xr:uid="{010D5584-98AD-48A8-AE04-34EBE6B9CAAE}"/>
    <cellStyle name="Heading 3 2 4 4" xfId="26202" xr:uid="{F79A091E-7087-4D95-A9F9-3243DCBE4C89}"/>
    <cellStyle name="Heading 3 2 4 5" xfId="26203" xr:uid="{3BE0D4C8-478D-4480-8C63-E7E85F339F10}"/>
    <cellStyle name="Heading 3 2 4 6" xfId="26204" xr:uid="{2021734F-17D0-4C93-9146-6E32E6406C4C}"/>
    <cellStyle name="Heading 3 2 4 7" xfId="26199" xr:uid="{277C030B-BA35-49D3-A271-F85F69CD2D25}"/>
    <cellStyle name="Heading 3 2 5" xfId="2471" xr:uid="{E5D9D7FA-B70A-4E8F-A775-ADD7527AB9AC}"/>
    <cellStyle name="Heading 3 2 5 2" xfId="26206" xr:uid="{A7F0B9B5-D36D-4D20-B34F-B7D102C47201}"/>
    <cellStyle name="Heading 3 2 5 3" xfId="26207" xr:uid="{9548DC16-CF13-410E-832E-86CDC0822DF2}"/>
    <cellStyle name="Heading 3 2 5 4" xfId="26208" xr:uid="{8C7CA631-6724-4BB5-A88E-BF09B71CADCC}"/>
    <cellStyle name="Heading 3 2 5 5" xfId="26209" xr:uid="{18FAA87B-FB92-466C-AB53-A240953D2764}"/>
    <cellStyle name="Heading 3 2 5 6" xfId="26210" xr:uid="{592E66F4-2310-4981-87BA-9C8B70FE0311}"/>
    <cellStyle name="Heading 3 2 5 7" xfId="26205" xr:uid="{26ACAAA8-81CD-4719-A372-C55A929FE864}"/>
    <cellStyle name="Heading 3 2 6" xfId="2472" xr:uid="{FF198A56-EF2D-4754-B96A-1909B37BB813}"/>
    <cellStyle name="Heading 3 2 6 2" xfId="26212" xr:uid="{05AE8BE4-6887-4992-9D88-1BAE44CC43B3}"/>
    <cellStyle name="Heading 3 2 6 3" xfId="26213" xr:uid="{C507C7B9-CC1B-4788-80E4-6477332CB9D4}"/>
    <cellStyle name="Heading 3 2 6 4" xfId="26214" xr:uid="{2483AA86-A2F1-44E1-BD9F-F20DA5F0855E}"/>
    <cellStyle name="Heading 3 2 6 5" xfId="26215" xr:uid="{39810FA1-1841-4C0D-BAF6-E82BD0BEBE7D}"/>
    <cellStyle name="Heading 3 2 6 6" xfId="26216" xr:uid="{E0E1AFD0-F782-49DB-8D62-E74485977602}"/>
    <cellStyle name="Heading 3 2 6 7" xfId="26211" xr:uid="{C14FE2CB-426A-4F78-A3A4-5D8A015014F3}"/>
    <cellStyle name="Heading 3 2 7" xfId="2473" xr:uid="{73736859-E4D8-4632-A8F5-171DABC23FBF}"/>
    <cellStyle name="Heading 3 2 7 2" xfId="26218" xr:uid="{BA8E62B6-6912-40E3-BEA3-0626132AEBB0}"/>
    <cellStyle name="Heading 3 2 7 3" xfId="26219" xr:uid="{55B7DA3D-E556-47E2-BF82-D3B9DBA582AC}"/>
    <cellStyle name="Heading 3 2 7 4" xfId="26220" xr:uid="{A7420E38-B0D3-457C-BCA7-74F4B81E68E5}"/>
    <cellStyle name="Heading 3 2 7 5" xfId="26221" xr:uid="{54B594F1-6FD2-454F-A2DE-7EE73F7CD35B}"/>
    <cellStyle name="Heading 3 2 7 6" xfId="26222" xr:uid="{99DB123A-DF17-446A-85E1-6BE9B4236BE1}"/>
    <cellStyle name="Heading 3 2 7 7" xfId="26217" xr:uid="{EDE98947-C5C6-4401-882A-82BE08FCF57C}"/>
    <cellStyle name="Heading 3 2 8" xfId="2474" xr:uid="{7AC0B1FB-7F33-4C96-B37D-D9549886A94A}"/>
    <cellStyle name="Heading 3 2 8 2" xfId="26224" xr:uid="{30219921-10B0-4F95-A5AB-0C9A89CE2C4D}"/>
    <cellStyle name="Heading 3 2 8 3" xfId="26225" xr:uid="{313D686B-CE6E-4953-8BF5-3A3BF8F0737C}"/>
    <cellStyle name="Heading 3 2 8 4" xfId="26226" xr:uid="{7816A6D0-8D25-4921-8D2D-6292485C1380}"/>
    <cellStyle name="Heading 3 2 8 5" xfId="26227" xr:uid="{F8E4954A-74FD-4C88-83CA-20F5204B10CB}"/>
    <cellStyle name="Heading 3 2 8 6" xfId="26228" xr:uid="{8988372C-5F15-45BF-BDBE-BAF1BA6317E1}"/>
    <cellStyle name="Heading 3 2 8 7" xfId="26223" xr:uid="{56CA3C9A-5B26-4CAC-9C5E-72CDB307BB33}"/>
    <cellStyle name="Heading 3 2 9" xfId="2475" xr:uid="{6E87856D-C897-4739-BD61-99CD3A3E9035}"/>
    <cellStyle name="Heading 3 2 9 2" xfId="26230" xr:uid="{D6199C97-6871-4B9C-B985-D0C572CB6AD1}"/>
    <cellStyle name="Heading 3 2 9 3" xfId="26231" xr:uid="{350BA771-3AA6-4C4B-BAB4-11BC500C491F}"/>
    <cellStyle name="Heading 3 2 9 4" xfId="26232" xr:uid="{09D12322-5051-408F-9417-ADA7829F0584}"/>
    <cellStyle name="Heading 3 2 9 5" xfId="26233" xr:uid="{CEDD7D9B-2BD6-4F55-9031-4C8A1D989412}"/>
    <cellStyle name="Heading 3 2 9 6" xfId="26234" xr:uid="{E0D9EB51-4617-4920-98B0-265887024843}"/>
    <cellStyle name="Heading 3 2 9 7" xfId="26229" xr:uid="{CE7A6300-06BC-45FB-AF9A-AF57D744CF63}"/>
    <cellStyle name="Heading 3 2_IND_UC" xfId="15234" xr:uid="{01F2CE6E-0382-4E7B-AFDC-23B858F8ACA9}"/>
    <cellStyle name="Heading 3 20" xfId="2476" xr:uid="{74D4566A-85E2-4E67-9E59-55D1F1839CAD}"/>
    <cellStyle name="Heading 3 20 2" xfId="16448" xr:uid="{FB48DC8D-7ED7-4330-81B9-AD3C007D22F8}"/>
    <cellStyle name="Heading 3 20 2 2" xfId="26237" xr:uid="{23AE4747-1AF4-43F2-9667-C77637C46D65}"/>
    <cellStyle name="Heading 3 20 2 3" xfId="26238" xr:uid="{AE204822-47F9-439A-B118-140410C04BFD}"/>
    <cellStyle name="Heading 3 20 2 4" xfId="26239" xr:uid="{E4BE1E0C-2931-4089-B934-6E5A95568B27}"/>
    <cellStyle name="Heading 3 20 2 5" xfId="26240" xr:uid="{7DD3B8DC-C249-47CD-9B9C-B741091E72BE}"/>
    <cellStyle name="Heading 3 20 2 6" xfId="26236" xr:uid="{E57934B8-278B-49E8-8F86-38F16F04A1AC}"/>
    <cellStyle name="Heading 3 20 3" xfId="26241" xr:uid="{327119A2-9573-4C4F-97AA-AB6286880E40}"/>
    <cellStyle name="Heading 3 20 4" xfId="26242" xr:uid="{AF2E187F-57A9-4664-8B5F-29DF6A2DB624}"/>
    <cellStyle name="Heading 3 20 5" xfId="26243" xr:uid="{24089BD1-633B-445B-BDFD-12BCEE14B904}"/>
    <cellStyle name="Heading 3 20 6" xfId="26244" xr:uid="{1170D89A-589D-41DA-88FB-B8BD072FA10D}"/>
    <cellStyle name="Heading 3 20 7" xfId="26235" xr:uid="{96746FF3-677A-4511-8705-65DBCF530DA7}"/>
    <cellStyle name="Heading 3 21" xfId="16449" xr:uid="{6243597E-E1AC-4D7C-8E27-6057EF224548}"/>
    <cellStyle name="Heading 3 21 2" xfId="26246" xr:uid="{9F0DDBB3-46C5-4E31-AD41-D2C3547A15E9}"/>
    <cellStyle name="Heading 3 21 3" xfId="26247" xr:uid="{82A4F2DA-7785-496F-930C-7D8121D48372}"/>
    <cellStyle name="Heading 3 21 4" xfId="26248" xr:uid="{3C123617-44C8-4D74-9196-44630561EED5}"/>
    <cellStyle name="Heading 3 21 5" xfId="26249" xr:uid="{F1DFB82B-7E1F-4FE3-BEB3-9E44580C8897}"/>
    <cellStyle name="Heading 3 21 6" xfId="26245" xr:uid="{971C908C-0495-4326-889C-D57CEEBE7B5B}"/>
    <cellStyle name="Heading 3 22" xfId="15233" xr:uid="{EBCBEA44-0A49-4BDF-99C1-A20B053AFA3E}"/>
    <cellStyle name="Heading 3 22 2" xfId="26251" xr:uid="{50549E47-B410-4EA2-9A30-7D5C7C8C097C}"/>
    <cellStyle name="Heading 3 22 3" xfId="26250" xr:uid="{18A12D68-4F27-4EE8-AA81-9A7BCEA5D167}"/>
    <cellStyle name="Heading 3 23" xfId="26252" xr:uid="{88CC90EE-2FBF-459A-9C72-8843BDEE8F46}"/>
    <cellStyle name="Heading 3 24" xfId="26253" xr:uid="{3E22541E-8AB3-4890-AC6A-E70916FC946A}"/>
    <cellStyle name="Heading 3 25" xfId="26254" xr:uid="{68551C92-AD31-44E0-9B86-C7AFDCD1B585}"/>
    <cellStyle name="Heading 3 3" xfId="2477" xr:uid="{85D8F595-C92A-42C9-B8C9-94A64BC6B49D}"/>
    <cellStyle name="Heading 3 3 10" xfId="2478" xr:uid="{6653F9F5-E453-47A5-8AA2-1A6F0DC2292A}"/>
    <cellStyle name="Heading 3 3 10 2" xfId="26257" xr:uid="{AA6FF03A-97E7-4BF7-BD84-8FD28063BC67}"/>
    <cellStyle name="Heading 3 3 10 3" xfId="26258" xr:uid="{8ED80A3D-5B5C-433C-AFAC-B62A11294673}"/>
    <cellStyle name="Heading 3 3 10 4" xfId="26259" xr:uid="{8A3F23B4-6A45-4310-8EE1-D6B9479C10C5}"/>
    <cellStyle name="Heading 3 3 10 5" xfId="26260" xr:uid="{E8DC6AF9-5607-4BC9-AA55-6EE9940E2313}"/>
    <cellStyle name="Heading 3 3 10 6" xfId="26256" xr:uid="{5289C7FA-4376-431C-B25A-0487A4FFDBBF}"/>
    <cellStyle name="Heading 3 3 11" xfId="2479" xr:uid="{ADB2ED03-FE4F-4BF3-8B2B-5720B92583B5}"/>
    <cellStyle name="Heading 3 3 11 2" xfId="26262" xr:uid="{6860479D-CE18-4A8D-BC5C-15C9C1CD962F}"/>
    <cellStyle name="Heading 3 3 11 3" xfId="26263" xr:uid="{F5557EDF-FE52-44ED-8DB2-BE87BBE71E94}"/>
    <cellStyle name="Heading 3 3 11 4" xfId="26264" xr:uid="{052C7F3E-6275-466E-9BB1-84C961622F63}"/>
    <cellStyle name="Heading 3 3 11 5" xfId="26265" xr:uid="{2DA1DEA6-81A0-4557-9FFC-0AADC3697F57}"/>
    <cellStyle name="Heading 3 3 11 6" xfId="26261" xr:uid="{65333CB1-1B29-4384-A9A0-BA30E4E02897}"/>
    <cellStyle name="Heading 3 3 12" xfId="2480" xr:uid="{7C9936F1-473C-4162-8ACB-3CE85EFD1D1F}"/>
    <cellStyle name="Heading 3 3 12 2" xfId="26267" xr:uid="{2AFE2D1C-5472-43F5-BD37-673110495CB0}"/>
    <cellStyle name="Heading 3 3 12 3" xfId="26268" xr:uid="{D612293A-1AC9-42F9-88E5-E0BA3EE280C6}"/>
    <cellStyle name="Heading 3 3 12 4" xfId="26269" xr:uid="{DA85BA6A-7452-48A7-A9F5-0115B4F425FD}"/>
    <cellStyle name="Heading 3 3 12 5" xfId="26270" xr:uid="{6B4B6A22-3CAB-473F-9C49-A6F55DA8C903}"/>
    <cellStyle name="Heading 3 3 12 6" xfId="26266" xr:uid="{C376AC20-30FC-4FFC-A901-2B6D38073860}"/>
    <cellStyle name="Heading 3 3 13" xfId="2481" xr:uid="{A5F3F8F5-8C3F-4406-BAB1-92CAA8DCB8BA}"/>
    <cellStyle name="Heading 3 3 13 2" xfId="26272" xr:uid="{B29A624C-751D-4A55-BA86-316747CFCE1E}"/>
    <cellStyle name="Heading 3 3 13 3" xfId="26273" xr:uid="{6DA72110-9FB3-412F-A7E7-333547433C77}"/>
    <cellStyle name="Heading 3 3 13 4" xfId="26274" xr:uid="{35BB5678-25E4-40D1-85E2-D7CE731E6919}"/>
    <cellStyle name="Heading 3 3 13 5" xfId="26275" xr:uid="{D198F990-074A-468F-AB90-B32861CDA160}"/>
    <cellStyle name="Heading 3 3 13 6" xfId="26271" xr:uid="{DE96864C-BA45-4680-B8A3-DDA7F702CB8F}"/>
    <cellStyle name="Heading 3 3 14" xfId="2482" xr:uid="{470520D2-B125-4D17-8452-CFD4B5E8CC74}"/>
    <cellStyle name="Heading 3 3 14 2" xfId="26277" xr:uid="{21EDB44D-6FA1-43DD-BFA6-66DC1764B219}"/>
    <cellStyle name="Heading 3 3 14 3" xfId="26278" xr:uid="{027BBA78-CA5B-444F-B274-5DFEDBADE096}"/>
    <cellStyle name="Heading 3 3 14 4" xfId="26279" xr:uid="{F3AACA3A-CBD1-4CE0-983C-966F29EED62F}"/>
    <cellStyle name="Heading 3 3 14 5" xfId="26280" xr:uid="{C56D65AE-22DA-4274-A62B-CCA59B438764}"/>
    <cellStyle name="Heading 3 3 14 6" xfId="26276" xr:uid="{A7E160FC-A46D-4241-9425-555B370334CA}"/>
    <cellStyle name="Heading 3 3 15" xfId="16450" xr:uid="{1184D071-A155-45D7-AF0F-1B4C30BF39FA}"/>
    <cellStyle name="Heading 3 3 15 2" xfId="26282" xr:uid="{F0C32B1B-9B2F-4333-97D6-34A8BBDBF23B}"/>
    <cellStyle name="Heading 3 3 15 3" xfId="26283" xr:uid="{09FE8B8C-91D5-4CA3-92F9-0FAC7BC4B865}"/>
    <cellStyle name="Heading 3 3 15 4" xfId="26284" xr:uid="{8182A064-CC91-4E46-8341-83F6F55C176E}"/>
    <cellStyle name="Heading 3 3 15 5" xfId="26285" xr:uid="{7EF7E8D8-B841-491C-8818-3C8F54E3F5E2}"/>
    <cellStyle name="Heading 3 3 15 6" xfId="26281" xr:uid="{C7A9C7CE-9474-40AF-91C5-E795156722A1}"/>
    <cellStyle name="Heading 3 3 16" xfId="26286" xr:uid="{724D3283-1D0A-4B36-A91D-98A1DD32DE9D}"/>
    <cellStyle name="Heading 3 3 17" xfId="26287" xr:uid="{15F69CE2-B94E-42AC-B387-5B81C205798E}"/>
    <cellStyle name="Heading 3 3 18" xfId="26288" xr:uid="{38BD553B-D185-499A-9389-CB637501CAF9}"/>
    <cellStyle name="Heading 3 3 19" xfId="26289" xr:uid="{036F5D37-E34B-4857-96E6-5C4F16A5D648}"/>
    <cellStyle name="Heading 3 3 2" xfId="2483" xr:uid="{5F9E8103-8421-4C27-8E48-BEC52B8BDDA4}"/>
    <cellStyle name="Heading 3 3 2 2" xfId="26291" xr:uid="{CF0E796F-AF14-420D-8807-BBE5D36924C4}"/>
    <cellStyle name="Heading 3 3 2 3" xfId="26292" xr:uid="{F8EEB12A-7474-475A-80CE-501F086B1C86}"/>
    <cellStyle name="Heading 3 3 2 4" xfId="26293" xr:uid="{F741CA3A-B5A0-419A-8E42-92B1CC53CCF0}"/>
    <cellStyle name="Heading 3 3 2 5" xfId="26294" xr:uid="{6AA1348C-BEE7-4319-93AF-25484063A19D}"/>
    <cellStyle name="Heading 3 3 2 6" xfId="26295" xr:uid="{74ACE105-1949-4ECD-98F7-9A16F9A465E5}"/>
    <cellStyle name="Heading 3 3 2 7" xfId="26290" xr:uid="{2E4CA5AF-C90F-40AD-9544-91095026FD7A}"/>
    <cellStyle name="Heading 3 3 20" xfId="26296" xr:uid="{026515E1-0F56-41F4-90F2-51EF663A093B}"/>
    <cellStyle name="Heading 3 3 21" xfId="26255" xr:uid="{5EBDF2EF-D71E-4146-AB82-852E05EEACA0}"/>
    <cellStyle name="Heading 3 3 3" xfId="2484" xr:uid="{50CBED55-82AC-4002-9BF8-BEE9B7671E1F}"/>
    <cellStyle name="Heading 3 3 3 2" xfId="26298" xr:uid="{9D5B4A40-323E-430D-AFE5-26916B1B6F40}"/>
    <cellStyle name="Heading 3 3 3 3" xfId="26299" xr:uid="{F1BE5FB1-4F66-436A-8D14-63BB9606FC9B}"/>
    <cellStyle name="Heading 3 3 3 4" xfId="26300" xr:uid="{CD819DC0-B1DA-424C-83D8-466A60E028A4}"/>
    <cellStyle name="Heading 3 3 3 5" xfId="26301" xr:uid="{E72F06BE-2575-42CB-9805-E09EC1ED717B}"/>
    <cellStyle name="Heading 3 3 3 6" xfId="26297" xr:uid="{9C0AFA3C-9486-4970-899A-D9B20D196B8B}"/>
    <cellStyle name="Heading 3 3 4" xfId="2485" xr:uid="{5C4A63B7-F533-4A55-AA34-8591C9FDF0F9}"/>
    <cellStyle name="Heading 3 3 4 2" xfId="26303" xr:uid="{2F96CA8B-C294-4CC1-93B3-B7BE159DE765}"/>
    <cellStyle name="Heading 3 3 4 3" xfId="26304" xr:uid="{E5EF90CB-051B-4C97-9886-237E12574B9D}"/>
    <cellStyle name="Heading 3 3 4 4" xfId="26305" xr:uid="{A756F088-85D1-4B8F-835A-5DF326EBC2CC}"/>
    <cellStyle name="Heading 3 3 4 5" xfId="26306" xr:uid="{15EDF621-55AE-462D-875D-66F6BA8C97D2}"/>
    <cellStyle name="Heading 3 3 4 6" xfId="26302" xr:uid="{3B847CA2-931B-4939-B822-E458E703B53D}"/>
    <cellStyle name="Heading 3 3 5" xfId="2486" xr:uid="{3DB96E71-C786-4D8A-8503-5C7C2CE4EB9C}"/>
    <cellStyle name="Heading 3 3 5 2" xfId="26308" xr:uid="{D9295C29-BE3E-466E-8FA9-B365C299D96E}"/>
    <cellStyle name="Heading 3 3 5 3" xfId="26309" xr:uid="{EB8353DC-BC58-48E2-8BC0-6FCF3BB8D30A}"/>
    <cellStyle name="Heading 3 3 5 4" xfId="26310" xr:uid="{70666C2F-A24B-4E61-8CA6-D1949F489013}"/>
    <cellStyle name="Heading 3 3 5 5" xfId="26311" xr:uid="{67F8BF32-0F85-43C2-9947-401BCB2E0C8D}"/>
    <cellStyle name="Heading 3 3 5 6" xfId="26307" xr:uid="{CAD8EF9E-D12E-4A48-B15E-CE44CA0B6E30}"/>
    <cellStyle name="Heading 3 3 6" xfId="2487" xr:uid="{0B854819-8B51-4276-84FE-B1DF58F935A9}"/>
    <cellStyle name="Heading 3 3 6 2" xfId="26313" xr:uid="{B069CEAE-31CA-460B-BD31-CA27F5C0F09E}"/>
    <cellStyle name="Heading 3 3 6 3" xfId="26314" xr:uid="{1D472483-D56B-4607-9DA2-6EF84545F779}"/>
    <cellStyle name="Heading 3 3 6 4" xfId="26315" xr:uid="{39265556-FA29-4026-AAF8-36B86D85143C}"/>
    <cellStyle name="Heading 3 3 6 5" xfId="26316" xr:uid="{A91AAEB0-41CF-4DF4-A43A-BA5FF6BBAAD2}"/>
    <cellStyle name="Heading 3 3 6 6" xfId="26312" xr:uid="{48BD05F2-2078-471A-88CF-422FE76B6E1A}"/>
    <cellStyle name="Heading 3 3 7" xfId="2488" xr:uid="{0ED685EA-1014-4DFC-A68C-A34B81159A46}"/>
    <cellStyle name="Heading 3 3 7 2" xfId="26318" xr:uid="{D0402B04-F166-4F0D-A598-FC19EBE32CD9}"/>
    <cellStyle name="Heading 3 3 7 3" xfId="26319" xr:uid="{467D1F14-A18B-4507-90E5-4E7532ACAE10}"/>
    <cellStyle name="Heading 3 3 7 4" xfId="26320" xr:uid="{FDEC458D-6683-43B0-AECC-56EF9602D794}"/>
    <cellStyle name="Heading 3 3 7 5" xfId="26321" xr:uid="{D988917D-4DD5-4F03-B99F-68B84E2255B8}"/>
    <cellStyle name="Heading 3 3 7 6" xfId="26317" xr:uid="{C01273D8-F0C5-4034-ACB9-54B3E1D0B53C}"/>
    <cellStyle name="Heading 3 3 8" xfId="2489" xr:uid="{6668393E-A876-4D12-838B-A8337A2C18CA}"/>
    <cellStyle name="Heading 3 3 8 2" xfId="26323" xr:uid="{B9D0C3E4-DFC7-4B08-84D8-157615533CC2}"/>
    <cellStyle name="Heading 3 3 8 3" xfId="26324" xr:uid="{1FFBF894-0D28-4CA6-8F53-AB6E5D7F1E0B}"/>
    <cellStyle name="Heading 3 3 8 4" xfId="26325" xr:uid="{AC28B3D4-50A6-48AA-8303-1E850A8DA7E8}"/>
    <cellStyle name="Heading 3 3 8 5" xfId="26326" xr:uid="{F783280A-4E46-435B-B917-6E2A5DF21B51}"/>
    <cellStyle name="Heading 3 3 8 6" xfId="26322" xr:uid="{0DC717AA-D01A-4081-B256-FC32FE68A34A}"/>
    <cellStyle name="Heading 3 3 9" xfId="2490" xr:uid="{5655A847-05E1-465E-B5E5-E247E7D3A0EC}"/>
    <cellStyle name="Heading 3 3 9 2" xfId="26328" xr:uid="{F944AC5F-477F-4587-9785-37642F68603E}"/>
    <cellStyle name="Heading 3 3 9 3" xfId="26329" xr:uid="{3BA1F85A-6835-4BFB-B1EC-049B9F74B58C}"/>
    <cellStyle name="Heading 3 3 9 4" xfId="26330" xr:uid="{01C8FF48-D1CB-4457-8141-558C8E2F4E44}"/>
    <cellStyle name="Heading 3 3 9 5" xfId="26331" xr:uid="{92C8DA3A-D031-44D9-BE98-7E7FDB144788}"/>
    <cellStyle name="Heading 3 3 9 6" xfId="26327" xr:uid="{305E9B49-99F4-4389-B3BB-B73493D21E4D}"/>
    <cellStyle name="Heading 3 3_IND_UC" xfId="11088" xr:uid="{E4122950-F713-4970-9858-C683FFB9262B}"/>
    <cellStyle name="Heading 3 4" xfId="2491" xr:uid="{93134670-DDF7-40FE-BB42-DD41B4D8EBCB}"/>
    <cellStyle name="Heading 3 4 2" xfId="2492" xr:uid="{B8FC38D4-25A9-4002-9DF1-9FC7ECD58389}"/>
    <cellStyle name="Heading 3 4 2 2" xfId="17157" xr:uid="{2FCC450D-0ED0-4EB5-AA8B-A0E87E88B9A0}"/>
    <cellStyle name="Heading 3 4 2 2 2" xfId="26332" xr:uid="{3D5754BA-0B6D-42E1-A229-5E811D7DA630}"/>
    <cellStyle name="Heading 3 4 2 2 3" xfId="26333" xr:uid="{8F0F8E80-DEF5-494C-9C25-70EC798C4A4C}"/>
    <cellStyle name="Heading 3 4 2 2 4" xfId="26334" xr:uid="{0FFD9C58-8340-49FC-A06B-26429A612279}"/>
    <cellStyle name="Heading 3 4 2 2 5" xfId="26335" xr:uid="{28AE648F-A719-4469-A8C2-BDDCEA9CC2A1}"/>
    <cellStyle name="Heading 3 4 2 3" xfId="26336" xr:uid="{ACF77FCF-AA82-4E2B-A270-D5999FCF1E0C}"/>
    <cellStyle name="Heading 3 4 2 4" xfId="26337" xr:uid="{6889CBAC-EC85-4714-BFC0-4A4B14F235DE}"/>
    <cellStyle name="Heading 3 4 2 5" xfId="26338" xr:uid="{46DF0C0C-710E-4003-B099-A4678FD2254F}"/>
    <cellStyle name="Heading 3 4 2 6" xfId="26339" xr:uid="{B9C89B56-4638-4610-AE29-CB84185096C2}"/>
    <cellStyle name="Heading 3 4 2 7" xfId="26340" xr:uid="{6A12CCBE-6F7B-4467-94F8-E5407D04624F}"/>
    <cellStyle name="Heading 3 4 3" xfId="17156" xr:uid="{CBA85CB1-8464-4C9A-923C-51E71FEC1013}"/>
    <cellStyle name="Heading 3 4 3 2" xfId="26341" xr:uid="{CC5A6166-05E7-4440-8013-AB2ECCD32329}"/>
    <cellStyle name="Heading 3 4 3 3" xfId="26342" xr:uid="{52017C9C-7B0B-4E51-B789-C46C0D3EAD3D}"/>
    <cellStyle name="Heading 3 4 3 4" xfId="26343" xr:uid="{4C40856E-E9D6-4592-9FC3-7FDE1ED2A894}"/>
    <cellStyle name="Heading 3 4 3 5" xfId="26344" xr:uid="{FED33DDF-7B2E-4F8C-BB96-58D265B74736}"/>
    <cellStyle name="Heading 3 4 4" xfId="26345" xr:uid="{4438B02C-DC3F-4B6F-98F0-BD86BDCA1BB0}"/>
    <cellStyle name="Heading 3 4 5" xfId="26346" xr:uid="{6ED07911-6D37-4348-A32D-05D0B5780256}"/>
    <cellStyle name="Heading 3 4 6" xfId="26347" xr:uid="{6C06B4E3-A583-4674-8027-B572595FC2D3}"/>
    <cellStyle name="Heading 3 4 7" xfId="26348" xr:uid="{409AB229-BA3A-4BB5-8EF9-E29B583260F1}"/>
    <cellStyle name="Heading 3 4 8" xfId="26349" xr:uid="{48AE8561-9B5D-4C3A-BC37-04E2DEA09D10}"/>
    <cellStyle name="Heading 3 5" xfId="2493" xr:uid="{970B3272-D04C-4B7D-B31E-32B993835DF9}"/>
    <cellStyle name="Heading 3 5 2" xfId="2494" xr:uid="{3DD7FBBB-7AE9-4C9A-9955-D0BB482C9FC2}"/>
    <cellStyle name="Heading 3 5 2 2" xfId="17159" xr:uid="{E974CB56-8988-4587-9237-530F93800380}"/>
    <cellStyle name="Heading 3 5 2 2 2" xfId="26350" xr:uid="{E7E28733-9635-4578-9ACD-541672004427}"/>
    <cellStyle name="Heading 3 5 2 2 3" xfId="26351" xr:uid="{E013D323-1EF3-477F-9171-7FDE2C6822A2}"/>
    <cellStyle name="Heading 3 5 2 2 4" xfId="26352" xr:uid="{6439132B-C62E-4907-9104-64776FB42812}"/>
    <cellStyle name="Heading 3 5 2 2 5" xfId="26353" xr:uid="{85B77913-AAAB-4E0A-852D-E5A721066E6D}"/>
    <cellStyle name="Heading 3 5 2 3" xfId="26354" xr:uid="{3EDF6EA3-C904-4FD6-A62C-24620AB6490C}"/>
    <cellStyle name="Heading 3 5 2 4" xfId="26355" xr:uid="{C6C06406-67E4-4B89-9F1F-20FAC283A113}"/>
    <cellStyle name="Heading 3 5 2 5" xfId="26356" xr:uid="{BC97C1F1-FEB0-4D46-8D53-0607DE59FC6D}"/>
    <cellStyle name="Heading 3 5 2 6" xfId="26357" xr:uid="{DCC24459-2E14-496E-8154-704DF5F3825E}"/>
    <cellStyle name="Heading 3 5 2 7" xfId="26358" xr:uid="{794F02A2-8295-420C-8199-0AF5D1F5B4F1}"/>
    <cellStyle name="Heading 3 5 3" xfId="17158" xr:uid="{1D72C8FB-53E4-43F2-86AC-8DBEAF3965AF}"/>
    <cellStyle name="Heading 3 5 3 2" xfId="26359" xr:uid="{9BF41AF3-289D-402B-8B37-4E8819CF4A9C}"/>
    <cellStyle name="Heading 3 5 3 3" xfId="26360" xr:uid="{EB4E1EB1-E625-4C99-A707-2D394DCF88DE}"/>
    <cellStyle name="Heading 3 5 3 4" xfId="26361" xr:uid="{E9526EC0-2353-4021-8D40-9AC16114BB5D}"/>
    <cellStyle name="Heading 3 5 3 5" xfId="26362" xr:uid="{AE9C243B-3864-40B1-9C59-4BFD0BF70A8E}"/>
    <cellStyle name="Heading 3 5 4" xfId="26363" xr:uid="{9AC0F37A-6E23-496A-ABA0-DB4AC0AAF7AC}"/>
    <cellStyle name="Heading 3 5 5" xfId="26364" xr:uid="{7A4C0830-3FD0-4931-A63B-DC78FBBC8FBB}"/>
    <cellStyle name="Heading 3 5 6" xfId="26365" xr:uid="{057C0EB8-BB92-4570-B1FE-982F5CFA2A38}"/>
    <cellStyle name="Heading 3 5 7" xfId="26366" xr:uid="{9DED98D7-B199-4417-8541-3F0DF4366519}"/>
    <cellStyle name="Heading 3 5 8" xfId="26367" xr:uid="{BA2C4718-ADEA-44A2-9180-0DEA69CF5D23}"/>
    <cellStyle name="Heading 3 6" xfId="2495" xr:uid="{4585CD1D-E276-4C1A-8FB0-C50C5E3FF98B}"/>
    <cellStyle name="Heading 3 6 2" xfId="2496" xr:uid="{53D04061-DAE4-4425-B378-5D6E6DA6EAF1}"/>
    <cellStyle name="Heading 3 6 2 2" xfId="17161" xr:uid="{9BB0000A-F31C-4520-8642-927963CB416E}"/>
    <cellStyle name="Heading 3 6 2 2 2" xfId="26368" xr:uid="{689054B4-B284-4848-91CB-EC670A7E26A1}"/>
    <cellStyle name="Heading 3 6 2 2 3" xfId="26369" xr:uid="{DAABB48F-D902-440C-A71A-57FB3F5E05E3}"/>
    <cellStyle name="Heading 3 6 2 2 4" xfId="26370" xr:uid="{30A7D70C-97A4-4C84-979D-8C0CFBC81B80}"/>
    <cellStyle name="Heading 3 6 2 2 5" xfId="26371" xr:uid="{4DA57ED0-ED4E-48C3-ACC8-8730C3EDB235}"/>
    <cellStyle name="Heading 3 6 2 3" xfId="26372" xr:uid="{E13B5F0A-EA01-4558-A67F-AD431D368308}"/>
    <cellStyle name="Heading 3 6 2 4" xfId="26373" xr:uid="{9D809653-73F6-4DAA-9FE4-40E913E2F0B8}"/>
    <cellStyle name="Heading 3 6 2 5" xfId="26374" xr:uid="{F7C1D396-27D4-4916-A06F-A86B4957CA77}"/>
    <cellStyle name="Heading 3 6 2 6" xfId="26375" xr:uid="{F5C0E8FE-66DE-4CDD-8A06-8D8A2FE9D601}"/>
    <cellStyle name="Heading 3 6 2 7" xfId="26376" xr:uid="{D31360DD-5A68-4A39-B248-DD2F4632FCFF}"/>
    <cellStyle name="Heading 3 6 3" xfId="2497" xr:uid="{5BEB511A-F69F-42C5-AD94-15B624B4E76F}"/>
    <cellStyle name="Heading 3 6 3 2" xfId="17162" xr:uid="{FF55AE1B-803B-4343-8B12-D20A0BD14BAD}"/>
    <cellStyle name="Heading 3 6 3 2 2" xfId="26377" xr:uid="{A24F06E8-A6E1-43E4-A322-C1E24D4250D8}"/>
    <cellStyle name="Heading 3 6 3 2 3" xfId="26378" xr:uid="{17B3E2CF-8B3B-4AE7-9D6D-0178E1931054}"/>
    <cellStyle name="Heading 3 6 3 2 4" xfId="26379" xr:uid="{0B6EF85A-148D-4A3D-8161-5EBCE1A06782}"/>
    <cellStyle name="Heading 3 6 3 2 5" xfId="26380" xr:uid="{6B68CB1B-7E49-429B-BA6B-8F864272CC4F}"/>
    <cellStyle name="Heading 3 6 3 3" xfId="26381" xr:uid="{3934B19E-CBE1-47D5-8FAE-6212D92C6741}"/>
    <cellStyle name="Heading 3 6 3 4" xfId="26382" xr:uid="{7F4297F0-93A3-4AA5-9EC6-EA483C140987}"/>
    <cellStyle name="Heading 3 6 3 5" xfId="26383" xr:uid="{A9F94BDF-98C3-441B-AD7E-2C8BB67F3F81}"/>
    <cellStyle name="Heading 3 6 3 6" xfId="26384" xr:uid="{5483AFD7-F5B5-4471-B6D1-8A1506C143E8}"/>
    <cellStyle name="Heading 3 6 4" xfId="17160" xr:uid="{F585BA61-B30A-41FC-A1F9-BD065B7D4146}"/>
    <cellStyle name="Heading 3 6 4 2" xfId="26385" xr:uid="{7BD8965A-8782-4F10-9809-5E0DFBFD265B}"/>
    <cellStyle name="Heading 3 6 4 3" xfId="26386" xr:uid="{E737E28C-37E2-42F7-A6F1-F221FB636284}"/>
    <cellStyle name="Heading 3 6 4 4" xfId="26387" xr:uid="{99745D23-14BF-448C-9B70-4BA702FDCB7C}"/>
    <cellStyle name="Heading 3 6 4 5" xfId="26388" xr:uid="{2C4953A2-4A83-4A35-A66D-43432399FA38}"/>
    <cellStyle name="Heading 3 6 5" xfId="26389" xr:uid="{A9813AA7-3EB0-4B6C-A1EE-E37E172B1C1F}"/>
    <cellStyle name="Heading 3 6 6" xfId="26390" xr:uid="{507EEB22-860C-4C2F-82CE-465C980918E1}"/>
    <cellStyle name="Heading 3 6 7" xfId="26391" xr:uid="{5B01EA2F-09AA-40DD-AF9F-DA2F3D3C8F71}"/>
    <cellStyle name="Heading 3 6 8" xfId="26392" xr:uid="{12EC3DDF-6248-41CC-B4B3-06ADFA7B7F4B}"/>
    <cellStyle name="Heading 3 6 9" xfId="26393" xr:uid="{29E7B4B7-2865-4496-A7F9-E03B573521E3}"/>
    <cellStyle name="Heading 3 7" xfId="2498" xr:uid="{A9665929-FA88-42CB-972A-1961F6B51D48}"/>
    <cellStyle name="Heading 3 7 2" xfId="2499" xr:uid="{32EDC258-DF80-4F61-A676-BCC6AC43B7BA}"/>
    <cellStyle name="Heading 3 7 2 2" xfId="17164" xr:uid="{BE54C691-9ED5-4F61-A1AE-8334AA62EA1B}"/>
    <cellStyle name="Heading 3 7 2 2 2" xfId="26394" xr:uid="{ACA8D43A-DE1C-42FF-9F8C-8C03E87ECFEF}"/>
    <cellStyle name="Heading 3 7 2 2 3" xfId="26395" xr:uid="{FF4EA545-4505-4E09-94D4-667C78B2295A}"/>
    <cellStyle name="Heading 3 7 2 2 4" xfId="26396" xr:uid="{46659C7D-9C1F-4956-8109-1D87E9C10BF4}"/>
    <cellStyle name="Heading 3 7 2 2 5" xfId="26397" xr:uid="{624A2899-126D-4A62-8C18-2256CC7F7F97}"/>
    <cellStyle name="Heading 3 7 2 3" xfId="26398" xr:uid="{C817957E-9532-411A-A358-C6379663E2F1}"/>
    <cellStyle name="Heading 3 7 2 4" xfId="26399" xr:uid="{BEA74FBC-AF57-4094-ABE3-EF955A12CB1D}"/>
    <cellStyle name="Heading 3 7 2 5" xfId="26400" xr:uid="{A2AE4178-9F76-4E34-98AE-77DD63E804B4}"/>
    <cellStyle name="Heading 3 7 2 6" xfId="26401" xr:uid="{893DD916-1697-42AC-8450-7905B4C86FB6}"/>
    <cellStyle name="Heading 3 7 2 7" xfId="26402" xr:uid="{BD482199-AB89-41DF-B895-0234A1FC3EF3}"/>
    <cellStyle name="Heading 3 7 3" xfId="2500" xr:uid="{BB6BE116-1B58-4CC1-B4DA-F10D075344DF}"/>
    <cellStyle name="Heading 3 7 3 2" xfId="17165" xr:uid="{2C9C76C1-8E6E-4ACC-A4CB-2AE1AD1383A4}"/>
    <cellStyle name="Heading 3 7 3 2 2" xfId="26403" xr:uid="{318F967C-8193-4E8B-946A-80E3F924734C}"/>
    <cellStyle name="Heading 3 7 3 2 3" xfId="26404" xr:uid="{52037E95-4D3C-4FC5-BF89-63D73E4F6A97}"/>
    <cellStyle name="Heading 3 7 3 2 4" xfId="26405" xr:uid="{40BC40BC-2AE9-4573-AC15-D5FD69DA2DFD}"/>
    <cellStyle name="Heading 3 7 3 2 5" xfId="26406" xr:uid="{9DD83ACC-DCD7-4D61-A2D8-4D55B700B495}"/>
    <cellStyle name="Heading 3 7 3 3" xfId="26407" xr:uid="{5A99A76A-CC89-43B8-A174-D0D69FD51E63}"/>
    <cellStyle name="Heading 3 7 3 4" xfId="26408" xr:uid="{45CF2C93-894E-47FB-875F-0515E89AFF00}"/>
    <cellStyle name="Heading 3 7 3 5" xfId="26409" xr:uid="{48C8A976-8C00-42A1-BF9B-37A7AC231D00}"/>
    <cellStyle name="Heading 3 7 3 6" xfId="26410" xr:uid="{13B93891-93EF-4D4C-97A6-C73D57122C86}"/>
    <cellStyle name="Heading 3 7 4" xfId="17163" xr:uid="{2064C70A-5082-4685-8A16-46D63FE9EE54}"/>
    <cellStyle name="Heading 3 7 4 2" xfId="26411" xr:uid="{A21ABB43-3E8D-48A3-91AB-84ED697DEA5B}"/>
    <cellStyle name="Heading 3 7 4 3" xfId="26412" xr:uid="{0BEC1028-A00A-4DF8-82A1-BFF9C2B87F0A}"/>
    <cellStyle name="Heading 3 7 4 4" xfId="26413" xr:uid="{31DAF1A8-CB46-44E2-88A0-BBE28B0BCFDC}"/>
    <cellStyle name="Heading 3 7 4 5" xfId="26414" xr:uid="{96E3D40D-5D61-4796-B30D-8DABB04BDC6D}"/>
    <cellStyle name="Heading 3 7 5" xfId="26415" xr:uid="{50EA99FB-6497-4782-BDCC-08C322208F84}"/>
    <cellStyle name="Heading 3 7 6" xfId="26416" xr:uid="{AF8F5C1B-C4BA-4D19-B421-C96F77E3EDCE}"/>
    <cellStyle name="Heading 3 7 7" xfId="26417" xr:uid="{E3C6D311-CA9A-42ED-87AF-2AEF2B614469}"/>
    <cellStyle name="Heading 3 7 8" xfId="26418" xr:uid="{A960E9D9-7C7D-440C-8727-D147CBAEE21D}"/>
    <cellStyle name="Heading 3 7 9" xfId="26419" xr:uid="{9D49FDA1-2FFA-423F-AACF-F91E7DF0B9C8}"/>
    <cellStyle name="Heading 3 8" xfId="2501" xr:uid="{24941CAD-D216-4FA5-BD80-74B43EDC33B4}"/>
    <cellStyle name="Heading 3 8 2" xfId="2502" xr:uid="{B96750A1-7B69-4727-AD79-865C516FC0E5}"/>
    <cellStyle name="Heading 3 8 2 2" xfId="17167" xr:uid="{29CEE9A9-B0A6-4D5B-B9D6-FC9A17C06B8E}"/>
    <cellStyle name="Heading 3 8 2 2 2" xfId="26420" xr:uid="{307016AD-72C5-466F-AFC1-9365B2C2C912}"/>
    <cellStyle name="Heading 3 8 2 2 3" xfId="26421" xr:uid="{072758B8-1A7F-40BD-9927-6B1A5F665615}"/>
    <cellStyle name="Heading 3 8 2 2 4" xfId="26422" xr:uid="{69BDDBF2-3E93-4C72-B1A1-B966A2BF9338}"/>
    <cellStyle name="Heading 3 8 2 2 5" xfId="26423" xr:uid="{B4480CC8-8C40-49A3-AEB3-DB9FDF60ED18}"/>
    <cellStyle name="Heading 3 8 2 3" xfId="26424" xr:uid="{5441064D-54F1-496B-9682-3A214F6FE4C6}"/>
    <cellStyle name="Heading 3 8 2 4" xfId="26425" xr:uid="{843C114E-2ABA-4158-835E-970BACC43ED0}"/>
    <cellStyle name="Heading 3 8 2 5" xfId="26426" xr:uid="{95DC8C03-39F0-46A9-9B66-69B2792C1D57}"/>
    <cellStyle name="Heading 3 8 2 6" xfId="26427" xr:uid="{82757711-2992-4D2D-A4FA-ABFE39D81B59}"/>
    <cellStyle name="Heading 3 8 2 7" xfId="26428" xr:uid="{EC5B40B0-5D5F-41C4-AEE5-99067D4B67B2}"/>
    <cellStyle name="Heading 3 8 3" xfId="2503" xr:uid="{A9AD9EB8-54AF-48C6-88C4-59CC19D234F3}"/>
    <cellStyle name="Heading 3 8 3 2" xfId="17168" xr:uid="{693499A9-89AA-445A-B41F-14FA98BC45AC}"/>
    <cellStyle name="Heading 3 8 3 2 2" xfId="26429" xr:uid="{2A520916-F94F-47A8-AD9D-71257D4E19A7}"/>
    <cellStyle name="Heading 3 8 3 2 3" xfId="26430" xr:uid="{C6725401-F076-447A-A6C8-6CDB033FE1F7}"/>
    <cellStyle name="Heading 3 8 3 2 4" xfId="26431" xr:uid="{FB0BC038-527A-46F3-8F2F-044509A5EC58}"/>
    <cellStyle name="Heading 3 8 3 2 5" xfId="26432" xr:uid="{03464D87-6BE7-4AFB-A3C2-05E8BDC142E3}"/>
    <cellStyle name="Heading 3 8 3 3" xfId="26433" xr:uid="{A290EE83-974C-4908-80C1-9E3614C80A87}"/>
    <cellStyle name="Heading 3 8 3 4" xfId="26434" xr:uid="{50CC01BC-A2D1-4106-BAF8-761667A15273}"/>
    <cellStyle name="Heading 3 8 3 5" xfId="26435" xr:uid="{EABCB0CC-282A-4FE9-BD9C-3E6FC4B44B5B}"/>
    <cellStyle name="Heading 3 8 3 6" xfId="26436" xr:uid="{83B38D57-A67F-40BD-8952-323647867F02}"/>
    <cellStyle name="Heading 3 8 4" xfId="17166" xr:uid="{99D0C16B-E76F-40AA-BAEE-26977BE25BFB}"/>
    <cellStyle name="Heading 3 8 4 2" xfId="26437" xr:uid="{73D68C76-13E5-45F4-A15A-D654177A76F5}"/>
    <cellStyle name="Heading 3 8 4 3" xfId="26438" xr:uid="{8E2CA98C-9DC4-4B74-BBE9-54D327170849}"/>
    <cellStyle name="Heading 3 8 4 4" xfId="26439" xr:uid="{F167950F-4670-4953-86BE-967EAFCF655B}"/>
    <cellStyle name="Heading 3 8 4 5" xfId="26440" xr:uid="{BE48FCBD-C14A-4360-B6CD-1BA8F136D4F2}"/>
    <cellStyle name="Heading 3 8 5" xfId="26441" xr:uid="{02AFA54D-3C94-4A26-94F2-B8BF1BA21187}"/>
    <cellStyle name="Heading 3 8 6" xfId="26442" xr:uid="{59817122-62D4-47C6-80FE-447DB5A66A87}"/>
    <cellStyle name="Heading 3 8 7" xfId="26443" xr:uid="{7B1DD245-E2F0-4704-A5B8-7BC19F085794}"/>
    <cellStyle name="Heading 3 8 8" xfId="26444" xr:uid="{CF669246-B5D4-4AF8-B536-434FBF4D2ACF}"/>
    <cellStyle name="Heading 3 8 9" xfId="26445" xr:uid="{7796E444-3BE1-434F-9B24-4C8537F04F75}"/>
    <cellStyle name="Heading 3 9" xfId="2504" xr:uid="{9E2BB0A7-4AC3-4D40-860A-4E5EA332EF14}"/>
    <cellStyle name="Heading 3 9 2" xfId="2505" xr:uid="{07AC3CFB-EBD3-4A78-AE32-8BA990ED4910}"/>
    <cellStyle name="Heading 3 9 2 2" xfId="17170" xr:uid="{86872A58-13EB-48E6-B109-A975AB96CBEE}"/>
    <cellStyle name="Heading 3 9 2 2 2" xfId="26446" xr:uid="{1CDA376F-D0C7-481B-8324-CABDC2F24F3C}"/>
    <cellStyle name="Heading 3 9 2 2 3" xfId="26447" xr:uid="{1CDCFC2C-1E33-4812-9688-93384AE964B8}"/>
    <cellStyle name="Heading 3 9 2 2 4" xfId="26448" xr:uid="{585CBB0F-7813-4EE1-BC2B-0F44BCFC9BFE}"/>
    <cellStyle name="Heading 3 9 2 2 5" xfId="26449" xr:uid="{84350BC6-EB1F-46D9-B00F-315C7C8DFEA6}"/>
    <cellStyle name="Heading 3 9 2 3" xfId="26450" xr:uid="{02BAF1FD-D85C-4264-9448-58C343E806BD}"/>
    <cellStyle name="Heading 3 9 2 4" xfId="26451" xr:uid="{177646E9-1E33-4287-A61D-5B824F434118}"/>
    <cellStyle name="Heading 3 9 2 5" xfId="26452" xr:uid="{58D2276E-92A0-451D-A1A5-D9B5E038692A}"/>
    <cellStyle name="Heading 3 9 2 6" xfId="26453" xr:uid="{74AF5AF1-1455-4248-B79C-F98EA39B6DDB}"/>
    <cellStyle name="Heading 3 9 3" xfId="17169" xr:uid="{E9748592-6E03-4675-9552-9785D3B3752F}"/>
    <cellStyle name="Heading 3 9 3 2" xfId="26454" xr:uid="{6E491AC9-CBDC-4193-98DD-8E9976FBA7FA}"/>
    <cellStyle name="Heading 3 9 3 3" xfId="26455" xr:uid="{C7F5FF13-4985-402D-888E-23537138692A}"/>
    <cellStyle name="Heading 3 9 3 4" xfId="26456" xr:uid="{F7963284-A597-4479-8E14-1F15F39ABDAE}"/>
    <cellStyle name="Heading 3 9 3 5" xfId="26457" xr:uid="{AD445978-9346-44DC-ACF4-ECFD82C616AB}"/>
    <cellStyle name="Heading 3 9 4" xfId="26458" xr:uid="{41A03BD0-6598-48C9-8E1B-DB9ECFDD552E}"/>
    <cellStyle name="Heading 3 9 5" xfId="26459" xr:uid="{332E29F5-D3DD-4A4C-AEEE-9CE92D2179AF}"/>
    <cellStyle name="Heading 3 9 6" xfId="26460" xr:uid="{ABE10A73-36E1-4AD8-ACB2-AA2DF00569DC}"/>
    <cellStyle name="Heading 3 9 7" xfId="26461" xr:uid="{30DE2E8A-FB7C-47CE-BC95-B510FDCF7C17}"/>
    <cellStyle name="Heading 3 9 8" xfId="26462" xr:uid="{5BF1E90A-B3AC-49CE-A81A-8005BF64A817}"/>
    <cellStyle name="Heading 4 10" xfId="2506" xr:uid="{E83496B7-2883-468A-962B-D47E4F469C90}"/>
    <cellStyle name="Heading 4 10 2" xfId="2507" xr:uid="{25EB9C54-D381-49FA-A8B2-D9B35C578A3E}"/>
    <cellStyle name="Heading 4 10 2 2" xfId="17172" xr:uid="{3CB4FE1D-08FF-46B5-8507-C4462A588B27}"/>
    <cellStyle name="Heading 4 10 2 2 2" xfId="26463" xr:uid="{A1005018-F1DA-473B-9B62-10262D0B3D3F}"/>
    <cellStyle name="Heading 4 10 2 2 3" xfId="26464" xr:uid="{D9BAF2B0-DC89-484C-B84B-45A965096F70}"/>
    <cellStyle name="Heading 4 10 2 2 4" xfId="26465" xr:uid="{2F4AE12C-71B5-4FCB-8E71-CC53232FE4BB}"/>
    <cellStyle name="Heading 4 10 2 2 5" xfId="26466" xr:uid="{91D2A63E-F82C-4F4A-A673-52550609FB38}"/>
    <cellStyle name="Heading 4 10 2 3" xfId="26467" xr:uid="{8A3D6D47-7E6F-46B9-9544-8F1237CD24C4}"/>
    <cellStyle name="Heading 4 10 2 4" xfId="26468" xr:uid="{881FE149-5FA6-41DB-9881-24FFEBD11FDB}"/>
    <cellStyle name="Heading 4 10 2 5" xfId="26469" xr:uid="{54C4259B-1772-4DA1-A4CD-56CEE4A7902A}"/>
    <cellStyle name="Heading 4 10 2 6" xfId="26470" xr:uid="{5FFCF5E6-9B85-4859-B37A-23E623316C74}"/>
    <cellStyle name="Heading 4 10 3" xfId="17171" xr:uid="{FBEE40B1-8993-47DB-B1C4-373ABC115CA1}"/>
    <cellStyle name="Heading 4 10 3 2" xfId="26471" xr:uid="{9A1CEA85-EE2A-4ABB-9772-F7C1205A0EF1}"/>
    <cellStyle name="Heading 4 10 3 3" xfId="26472" xr:uid="{BC40CEE3-AB63-4F81-9327-6268E81D9DB7}"/>
    <cellStyle name="Heading 4 10 3 4" xfId="26473" xr:uid="{E2A62F22-0656-41F5-8ED9-EEBA8745B287}"/>
    <cellStyle name="Heading 4 10 3 5" xfId="26474" xr:uid="{F341A11C-5267-47BA-B31C-32199E998F91}"/>
    <cellStyle name="Heading 4 10 4" xfId="26475" xr:uid="{F5345DC5-CE8B-4C7E-9F36-0AEA63B19337}"/>
    <cellStyle name="Heading 4 10 5" xfId="26476" xr:uid="{F77B2795-BD7F-4FFC-B167-B52BED8BAF1D}"/>
    <cellStyle name="Heading 4 10 6" xfId="26477" xr:uid="{B1C88C5E-9785-4B57-A7FA-C99B8FFE6CE9}"/>
    <cellStyle name="Heading 4 10 7" xfId="26478" xr:uid="{A29B86CC-7F7F-4DFE-AA71-ED8C9DB86A9D}"/>
    <cellStyle name="Heading 4 10 8" xfId="26479" xr:uid="{65C67686-071C-4E89-9309-0C5FF68DBC50}"/>
    <cellStyle name="Heading 4 11" xfId="2508" xr:uid="{704C1781-7022-4B60-A2CD-DA5360BDECD1}"/>
    <cellStyle name="Heading 4 11 2" xfId="10503" xr:uid="{2F6043DF-0302-45EC-AC23-EA50DCC62AF3}"/>
    <cellStyle name="Heading 4 11 2 2" xfId="17174" xr:uid="{44712FFC-7E2C-45BA-85A2-0B02868EBEF2}"/>
    <cellStyle name="Heading 4 11 2 2 2" xfId="26480" xr:uid="{1F36D43E-4636-44EE-8CEA-985B235BF693}"/>
    <cellStyle name="Heading 4 11 2 2 3" xfId="26481" xr:uid="{D3451F49-BD0B-4D9D-97B4-779A82AB7AAD}"/>
    <cellStyle name="Heading 4 11 2 2 4" xfId="26482" xr:uid="{3B7D036A-36F0-4503-BF87-FDDBCBBB3F96}"/>
    <cellStyle name="Heading 4 11 2 2 5" xfId="26483" xr:uid="{B1C645AD-0C41-4B43-8C5D-793DDF80BB34}"/>
    <cellStyle name="Heading 4 11 2 3" xfId="26484" xr:uid="{7D525727-8B45-45D8-AE1A-45FD14A4C685}"/>
    <cellStyle name="Heading 4 11 2 4" xfId="26485" xr:uid="{6F9E8481-D086-429A-B578-E9FA1D68FAE1}"/>
    <cellStyle name="Heading 4 11 2 5" xfId="26486" xr:uid="{797C84E6-8D96-4B35-B699-AD27897AFD7F}"/>
    <cellStyle name="Heading 4 11 2 6" xfId="26487" xr:uid="{854B598C-45C7-4FEE-A43B-D744E33B71FE}"/>
    <cellStyle name="Heading 4 11 3" xfId="17173" xr:uid="{8524F681-9777-42F4-882F-1ABC68B96978}"/>
    <cellStyle name="Heading 4 11 3 2" xfId="26488" xr:uid="{7EB92FB0-A9CA-4EBC-BBED-9CDEC4DCF7A1}"/>
    <cellStyle name="Heading 4 11 3 3" xfId="26489" xr:uid="{086076F0-43E7-48C7-8947-BC47C29D4F58}"/>
    <cellStyle name="Heading 4 11 3 4" xfId="26490" xr:uid="{CEBB49FC-CC7A-4DA6-8B5C-A38823F7862B}"/>
    <cellStyle name="Heading 4 11 3 5" xfId="26491" xr:uid="{6E14B756-9981-4D4F-A8A9-4CD6F16FC6E9}"/>
    <cellStyle name="Heading 4 11 4" xfId="26492" xr:uid="{2E95ED3C-EB5D-41BB-812C-506314191780}"/>
    <cellStyle name="Heading 4 11 5" xfId="26493" xr:uid="{F62DE03C-752B-40D0-9ED2-7B13A5C87A6E}"/>
    <cellStyle name="Heading 4 11 6" xfId="26494" xr:uid="{64F1E9EE-EA8C-4629-990C-DF35B649ED1B}"/>
    <cellStyle name="Heading 4 11 7" xfId="26495" xr:uid="{5E39BA71-C843-46C2-8010-7C3480CE84B5}"/>
    <cellStyle name="Heading 4 11 8" xfId="26496" xr:uid="{8529FC5A-6D6A-45B6-8D1F-9529F3E9A528}"/>
    <cellStyle name="Heading 4 12" xfId="2509" xr:uid="{5C960F66-2B15-42E2-8EC3-E0BC9B3F65C4}"/>
    <cellStyle name="Heading 4 12 2" xfId="11159" xr:uid="{8E132E43-E2A0-46B4-9A6A-7E1599ACCACE}"/>
    <cellStyle name="Heading 4 12 2 2" xfId="17176" xr:uid="{4D27B8E5-D7BE-43AE-AB61-DD0C3208DAF0}"/>
    <cellStyle name="Heading 4 12 2 2 2" xfId="26497" xr:uid="{581C81D1-DA3E-42B3-A9FF-B70E0C204733}"/>
    <cellStyle name="Heading 4 12 2 2 3" xfId="26498" xr:uid="{88536E2E-F2BE-45C5-BA75-35522854D42D}"/>
    <cellStyle name="Heading 4 12 2 2 4" xfId="26499" xr:uid="{3B63E7FF-16D7-484D-9D7D-10B119EC4324}"/>
    <cellStyle name="Heading 4 12 2 2 5" xfId="26500" xr:uid="{C6CB3965-5EB2-4C14-8DF1-970BCE90EC49}"/>
    <cellStyle name="Heading 4 12 2 3" xfId="26501" xr:uid="{BED6A340-0B6E-46B4-8D0A-9CBE3522E46C}"/>
    <cellStyle name="Heading 4 12 2 4" xfId="26502" xr:uid="{294249DF-FF02-469C-B7D9-B7BB3A8BBE6A}"/>
    <cellStyle name="Heading 4 12 2 5" xfId="26503" xr:uid="{37C46E3C-A907-4680-BE47-6568A114CCE2}"/>
    <cellStyle name="Heading 4 12 2 6" xfId="26504" xr:uid="{74FD5368-3E61-4269-A0F5-5DB5B2B19B7C}"/>
    <cellStyle name="Heading 4 12 3" xfId="17175" xr:uid="{20926076-2323-4610-8D6B-F11A3B492C0C}"/>
    <cellStyle name="Heading 4 12 3 2" xfId="26505" xr:uid="{64DA94AF-4658-4044-BD8D-4ACB8F6A5740}"/>
    <cellStyle name="Heading 4 12 3 3" xfId="26506" xr:uid="{9D50AC46-3605-4A07-9039-B18347F13E85}"/>
    <cellStyle name="Heading 4 12 3 4" xfId="26507" xr:uid="{36C372A6-3F2B-495A-ADAD-8D206AD8E3D9}"/>
    <cellStyle name="Heading 4 12 3 5" xfId="26508" xr:uid="{7914D82A-42D1-470A-AA78-8D1FB381EDA4}"/>
    <cellStyle name="Heading 4 12 4" xfId="26509" xr:uid="{A012C9E9-8CEE-4205-A89C-5F5EE8513466}"/>
    <cellStyle name="Heading 4 12 5" xfId="26510" xr:uid="{27C39046-97CE-476A-AB6D-939BD3B12672}"/>
    <cellStyle name="Heading 4 12 6" xfId="26511" xr:uid="{388D5DF1-F19F-404E-BF6C-97B12E23162E}"/>
    <cellStyle name="Heading 4 12 7" xfId="26512" xr:uid="{A858A4CD-DF5C-4608-A6EE-8387444D0CEF}"/>
    <cellStyle name="Heading 4 12 8" xfId="26513" xr:uid="{E381E845-0533-414A-B421-EEE0F3505FDB}"/>
    <cellStyle name="Heading 4 13" xfId="2510" xr:uid="{372D3BB9-EEB7-4CC1-988D-75308F6EFC92}"/>
    <cellStyle name="Heading 4 13 2" xfId="8079" xr:uid="{25B94E0C-8FE4-47A4-B4D6-FD6628B3A0F2}"/>
    <cellStyle name="Heading 4 13 2 2" xfId="17178" xr:uid="{34F26F6F-D8D9-430A-8EE5-C8022D540FD0}"/>
    <cellStyle name="Heading 4 13 2 2 2" xfId="26514" xr:uid="{AF11DBA5-1967-4F5D-BCA5-3B158169978A}"/>
    <cellStyle name="Heading 4 13 2 2 3" xfId="26515" xr:uid="{5A308721-7890-42F3-8159-F9B4FB389C3F}"/>
    <cellStyle name="Heading 4 13 2 2 4" xfId="26516" xr:uid="{EBBB472D-5F78-40B5-A259-40AEF1543638}"/>
    <cellStyle name="Heading 4 13 2 2 5" xfId="26517" xr:uid="{48115831-536A-4886-9FA3-36072C945A92}"/>
    <cellStyle name="Heading 4 13 2 3" xfId="26518" xr:uid="{DCAA16BC-F54A-4499-979C-FC97F8299855}"/>
    <cellStyle name="Heading 4 13 2 4" xfId="26519" xr:uid="{4C52A218-9F45-4D8D-8346-ED3916736414}"/>
    <cellStyle name="Heading 4 13 2 5" xfId="26520" xr:uid="{69800563-3A36-4F43-A3C4-139CB47A2BF6}"/>
    <cellStyle name="Heading 4 13 2 6" xfId="26521" xr:uid="{92D69D9C-B98B-48ED-BF4C-0F48ED6D43FB}"/>
    <cellStyle name="Heading 4 13 3" xfId="17177" xr:uid="{25F7F7C3-4918-42E0-A9D8-1D548B835CCA}"/>
    <cellStyle name="Heading 4 13 3 2" xfId="26522" xr:uid="{DEFBA5A5-0CBC-4052-943C-19908F7990F0}"/>
    <cellStyle name="Heading 4 13 3 3" xfId="26523" xr:uid="{FBB6AC74-7ED3-47F8-B22A-B3BFAAA4DD4F}"/>
    <cellStyle name="Heading 4 13 3 4" xfId="26524" xr:uid="{BFD97EB1-CE3F-4335-9DE6-2AF2176898FB}"/>
    <cellStyle name="Heading 4 13 3 5" xfId="26525" xr:uid="{ED7C5F55-CF10-4CBA-B0AF-40BC189F8DBB}"/>
    <cellStyle name="Heading 4 13 4" xfId="26526" xr:uid="{8E1F4CAE-22E0-4F1E-A854-F6121563A6DF}"/>
    <cellStyle name="Heading 4 13 5" xfId="26527" xr:uid="{064F5540-BCB2-4B2E-ABBD-8B60716A7A4C}"/>
    <cellStyle name="Heading 4 13 6" xfId="26528" xr:uid="{7931DC76-3E9A-4985-9141-0E252C7D3C01}"/>
    <cellStyle name="Heading 4 13 7" xfId="26529" xr:uid="{2DCD498C-F975-4DCA-BD0A-2948031E7569}"/>
    <cellStyle name="Heading 4 13 8" xfId="26530" xr:uid="{B63B61CA-613C-4614-884B-A0575E52290B}"/>
    <cellStyle name="Heading 4 14" xfId="2511" xr:uid="{E7DD0F47-E8CD-46E6-A0D4-AA6223D6BEFA}"/>
    <cellStyle name="Heading 4 14 2" xfId="8078" xr:uid="{56D63178-7FF0-4EF0-AD42-F4319A8FDF77}"/>
    <cellStyle name="Heading 4 14 2 2" xfId="17180" xr:uid="{1D211C88-9A02-43FD-8F60-3B03188ADA64}"/>
    <cellStyle name="Heading 4 14 2 2 2" xfId="26531" xr:uid="{D1EB9B6B-2E76-45B8-A6C3-DEB9E38E1C10}"/>
    <cellStyle name="Heading 4 14 2 2 3" xfId="26532" xr:uid="{F3FA5345-1790-49A1-B00E-EBFB91EAA57C}"/>
    <cellStyle name="Heading 4 14 2 2 4" xfId="26533" xr:uid="{6ED1EE7A-1921-48B3-B493-0D67C01DA7DB}"/>
    <cellStyle name="Heading 4 14 2 2 5" xfId="26534" xr:uid="{FCD2F576-98E3-4BF4-AA36-26BC67E318F4}"/>
    <cellStyle name="Heading 4 14 2 3" xfId="26535" xr:uid="{64777813-484F-4BB8-AFE8-8E261C653035}"/>
    <cellStyle name="Heading 4 14 2 4" xfId="26536" xr:uid="{C81D7FE3-C8E3-4F36-9652-DA12B360F9C9}"/>
    <cellStyle name="Heading 4 14 2 5" xfId="26537" xr:uid="{E39393C1-4837-4BF9-BB9A-5D5CCBF684DF}"/>
    <cellStyle name="Heading 4 14 2 6" xfId="26538" xr:uid="{8DCB677B-EC45-4502-A8A6-EE081E450B36}"/>
    <cellStyle name="Heading 4 14 3" xfId="17179" xr:uid="{E4CC4AF8-2DD5-47B3-8853-9808F28B20FC}"/>
    <cellStyle name="Heading 4 14 3 2" xfId="26539" xr:uid="{84784B52-276B-43DF-93B8-D24BB3C882DF}"/>
    <cellStyle name="Heading 4 14 3 3" xfId="26540" xr:uid="{DA0E0CFE-7FEA-428C-BFED-6CF76F772078}"/>
    <cellStyle name="Heading 4 14 3 4" xfId="26541" xr:uid="{61A8A3C5-9D1A-473F-AD2A-B85933218D4A}"/>
    <cellStyle name="Heading 4 14 3 5" xfId="26542" xr:uid="{43A7FC2B-B68F-4B99-A57C-AEF6334957BE}"/>
    <cellStyle name="Heading 4 14 4" xfId="26543" xr:uid="{2D6B1634-422C-4D41-AD22-BB346900863C}"/>
    <cellStyle name="Heading 4 14 5" xfId="26544" xr:uid="{A708E639-1BA6-438C-81E9-906C8EE8D7DF}"/>
    <cellStyle name="Heading 4 14 6" xfId="26545" xr:uid="{973E9533-5D25-4C9F-B760-9BC5E515D15E}"/>
    <cellStyle name="Heading 4 14 7" xfId="26546" xr:uid="{3066C338-1F04-493E-93E1-82D4ADD80DFD}"/>
    <cellStyle name="Heading 4 14 8" xfId="26547" xr:uid="{0AD6C23D-7412-4582-8BB5-0690BC53E9BA}"/>
    <cellStyle name="Heading 4 15" xfId="2512" xr:uid="{CF841EC9-8AAC-4D8C-AA1C-AB98185B42AC}"/>
    <cellStyle name="Heading 4 15 2" xfId="16461" xr:uid="{9A0910C1-EC57-4E95-B2DC-64C5C1CCD9B9}"/>
    <cellStyle name="Heading 4 15 2 2" xfId="17182" xr:uid="{C64D6E4B-0ACD-4E91-9979-F60FC79BCDF4}"/>
    <cellStyle name="Heading 4 15 2 2 2" xfId="26548" xr:uid="{84497E79-0F7F-4D12-98E9-59E6DBA38327}"/>
    <cellStyle name="Heading 4 15 2 2 3" xfId="26549" xr:uid="{7607387A-AE15-4165-8E8F-3D121F68354D}"/>
    <cellStyle name="Heading 4 15 2 2 4" xfId="26550" xr:uid="{78D0BFB4-121C-473C-904F-8D7CF0F4ADE8}"/>
    <cellStyle name="Heading 4 15 2 2 5" xfId="26551" xr:uid="{1F909E63-1CC5-48A3-A29C-88F5B54270E9}"/>
    <cellStyle name="Heading 4 15 2 3" xfId="26552" xr:uid="{D5635B5E-B739-483B-8529-5E1536D69C00}"/>
    <cellStyle name="Heading 4 15 2 4" xfId="26553" xr:uid="{70FCDAFC-22B2-4A4D-8216-20645F8E541F}"/>
    <cellStyle name="Heading 4 15 2 5" xfId="26554" xr:uid="{7752F781-D45E-4645-884B-345FC3A7EC9B}"/>
    <cellStyle name="Heading 4 15 2 6" xfId="26555" xr:uid="{395C7D16-58FE-4AB8-8717-6ED20E1E318B}"/>
    <cellStyle name="Heading 4 15 3" xfId="17181" xr:uid="{CD0E4348-D340-4369-9964-807E73A88E6A}"/>
    <cellStyle name="Heading 4 15 3 2" xfId="26556" xr:uid="{FF8E13B3-BD33-4BE0-B009-1A8A13B729F8}"/>
    <cellStyle name="Heading 4 15 3 3" xfId="26557" xr:uid="{72B08195-4A2D-4B46-BCBA-26D739F82385}"/>
    <cellStyle name="Heading 4 15 3 4" xfId="26558" xr:uid="{199FC2E1-E10F-4929-BA3E-D1A1BCFE0D90}"/>
    <cellStyle name="Heading 4 15 3 5" xfId="26559" xr:uid="{CEE6AE00-39CF-4A8D-AFA9-A5AD9BECFE5A}"/>
    <cellStyle name="Heading 4 15 4" xfId="26560" xr:uid="{9F67760F-5825-42CB-9E82-BFE6EC8F7C30}"/>
    <cellStyle name="Heading 4 15 5" xfId="26561" xr:uid="{BF658147-E565-416B-A2F6-1BCC915C8042}"/>
    <cellStyle name="Heading 4 15 6" xfId="26562" xr:uid="{2764B3E5-218F-49E1-B5D9-94193F0F86CD}"/>
    <cellStyle name="Heading 4 15 7" xfId="26563" xr:uid="{57306EA4-D9D5-458B-A2E7-E87D8DF99FD8}"/>
    <cellStyle name="Heading 4 16" xfId="2513" xr:uid="{7DD4A4E6-9077-4DCC-959B-E00B7E0C4D35}"/>
    <cellStyle name="Heading 4 16 2" xfId="16462" xr:uid="{7F7286BE-7792-4B2B-991B-49E4E3F18145}"/>
    <cellStyle name="Heading 4 16 2 2" xfId="17184" xr:uid="{ABF9A957-4D58-4C20-9C94-59B3D6DD3903}"/>
    <cellStyle name="Heading 4 16 2 2 2" xfId="26564" xr:uid="{8FAA65BB-398A-490A-A0D5-ADE8AF5689B0}"/>
    <cellStyle name="Heading 4 16 2 2 3" xfId="26565" xr:uid="{3175B474-CA7B-4970-AD0C-14F08D715068}"/>
    <cellStyle name="Heading 4 16 2 2 4" xfId="26566" xr:uid="{4042F318-37EB-42D4-B78F-D5B55FF466F9}"/>
    <cellStyle name="Heading 4 16 2 2 5" xfId="26567" xr:uid="{21BF18F8-1614-46F5-99B6-09F2DD90DB8F}"/>
    <cellStyle name="Heading 4 16 2 3" xfId="26568" xr:uid="{E4A8E60A-79C6-4E29-953A-75943D8C12E3}"/>
    <cellStyle name="Heading 4 16 2 4" xfId="26569" xr:uid="{56518991-8222-49CE-B03E-1B17F190C29A}"/>
    <cellStyle name="Heading 4 16 2 5" xfId="26570" xr:uid="{B57618C4-8D9C-4D94-BD98-B358A7A5EF86}"/>
    <cellStyle name="Heading 4 16 2 6" xfId="26571" xr:uid="{71C6797B-FE78-4CCA-AB8A-DB3456F680EB}"/>
    <cellStyle name="Heading 4 16 3" xfId="17183" xr:uid="{5648E4F4-ED9A-47EA-9AED-1C4D1EA99023}"/>
    <cellStyle name="Heading 4 16 3 2" xfId="26572" xr:uid="{B0AD478F-044A-4684-B6E1-D85DB22F6393}"/>
    <cellStyle name="Heading 4 16 3 3" xfId="26573" xr:uid="{B15F673B-3257-401B-A2A2-6B3F52A7DBF0}"/>
    <cellStyle name="Heading 4 16 3 4" xfId="26574" xr:uid="{56C37E46-4C90-41A2-8773-929532735C7B}"/>
    <cellStyle name="Heading 4 16 3 5" xfId="26575" xr:uid="{E6108B47-E867-42CD-8DFC-E800DEE49CE3}"/>
    <cellStyle name="Heading 4 16 4" xfId="26576" xr:uid="{E954E0D4-E010-4AFB-BD2B-AD5EECB9AE18}"/>
    <cellStyle name="Heading 4 16 5" xfId="26577" xr:uid="{0B1E7596-DE7D-4F31-A593-DF165A66CC93}"/>
    <cellStyle name="Heading 4 16 6" xfId="26578" xr:uid="{B41123C2-0ADC-4C65-8B20-E46643F9DF6D}"/>
    <cellStyle name="Heading 4 16 7" xfId="26579" xr:uid="{4D07C9C8-09AC-4530-82B8-B0A6FC80E652}"/>
    <cellStyle name="Heading 4 17" xfId="2514" xr:uid="{A962EADB-4535-4B69-BE07-7F8371804D50}"/>
    <cellStyle name="Heading 4 17 2" xfId="16463" xr:uid="{02EC6DE1-7E63-4ACA-9BFD-77F8B4D1C004}"/>
    <cellStyle name="Heading 4 17 2 2" xfId="17186" xr:uid="{7EAF879D-4CBC-4C45-9067-C6E57D0F87FC}"/>
    <cellStyle name="Heading 4 17 2 2 2" xfId="26580" xr:uid="{6318143D-482C-46B0-A59A-9C875ECEBE48}"/>
    <cellStyle name="Heading 4 17 2 2 3" xfId="26581" xr:uid="{E846297D-B9FA-4CC7-92C1-2AD8AD37EF59}"/>
    <cellStyle name="Heading 4 17 2 2 4" xfId="26582" xr:uid="{5DE4149B-4D55-458C-BB0A-2D68CAD95572}"/>
    <cellStyle name="Heading 4 17 2 2 5" xfId="26583" xr:uid="{2278002D-4158-456F-8A55-5AB49B9842CF}"/>
    <cellStyle name="Heading 4 17 2 3" xfId="26584" xr:uid="{A33D23CA-D621-405E-AB03-D155B5DE27D6}"/>
    <cellStyle name="Heading 4 17 2 4" xfId="26585" xr:uid="{859A12A6-F9D2-40C8-9B54-815963E8C7ED}"/>
    <cellStyle name="Heading 4 17 2 5" xfId="26586" xr:uid="{3E292CBF-7172-49E1-8E94-ABEA40E4291D}"/>
    <cellStyle name="Heading 4 17 2 6" xfId="26587" xr:uid="{99B60D07-21CE-4F6E-B392-A24E642BE57C}"/>
    <cellStyle name="Heading 4 17 3" xfId="17185" xr:uid="{C5ABEC62-DF62-4A6B-A5B6-CB291D1EC1BD}"/>
    <cellStyle name="Heading 4 17 3 2" xfId="26588" xr:uid="{CF994CB9-69AB-45CF-92D9-2F49EB83089D}"/>
    <cellStyle name="Heading 4 17 3 3" xfId="26589" xr:uid="{0CE2B271-8F9C-427F-B4F0-D2A793D8C01B}"/>
    <cellStyle name="Heading 4 17 3 4" xfId="26590" xr:uid="{9EA68D68-5BBC-4912-B2B5-BB4B217C107A}"/>
    <cellStyle name="Heading 4 17 3 5" xfId="26591" xr:uid="{71C41000-4E86-4BE1-89E0-476BA1CFA726}"/>
    <cellStyle name="Heading 4 17 4" xfId="26592" xr:uid="{FE124697-263D-4E42-BDCC-988B0DCEA8D5}"/>
    <cellStyle name="Heading 4 17 5" xfId="26593" xr:uid="{21989B22-82C5-4340-8833-4DD8DABC2E00}"/>
    <cellStyle name="Heading 4 17 6" xfId="26594" xr:uid="{2334997C-4A9E-44B5-9FC3-E973EDA3A41E}"/>
    <cellStyle name="Heading 4 17 7" xfId="26595" xr:uid="{A87AF183-0CB6-40C1-A37D-9359A52B7397}"/>
    <cellStyle name="Heading 4 18" xfId="2515" xr:uid="{AF404BE7-EE00-4B17-BAC4-2FD077910794}"/>
    <cellStyle name="Heading 4 18 2" xfId="16464" xr:uid="{AE317939-0979-4690-8A83-358FB3267345}"/>
    <cellStyle name="Heading 4 18 2 2" xfId="17188" xr:uid="{DAC07410-DD4B-4D90-B541-A719DCF19A4A}"/>
    <cellStyle name="Heading 4 18 2 2 2" xfId="26596" xr:uid="{057B0159-BD33-423C-93A7-75C6B3D6A41D}"/>
    <cellStyle name="Heading 4 18 2 2 3" xfId="26597" xr:uid="{7C97B1E4-0730-4D0A-9207-050D39BBFCA6}"/>
    <cellStyle name="Heading 4 18 2 2 4" xfId="26598" xr:uid="{D2CDDD56-C038-419F-BD02-C1142C86C610}"/>
    <cellStyle name="Heading 4 18 2 2 5" xfId="26599" xr:uid="{18DD6772-4C0F-40E4-AEB1-46FCF41BB133}"/>
    <cellStyle name="Heading 4 18 2 3" xfId="26600" xr:uid="{00FE7A92-559E-4AB7-9570-68CB83367F75}"/>
    <cellStyle name="Heading 4 18 2 4" xfId="26601" xr:uid="{8991D209-A26B-4AA8-9CEA-7AAF4C9C0DA0}"/>
    <cellStyle name="Heading 4 18 2 5" xfId="26602" xr:uid="{1AF8A05A-2BAE-435D-BD17-EDA448A527C2}"/>
    <cellStyle name="Heading 4 18 2 6" xfId="26603" xr:uid="{64657DE8-523A-4AB4-9672-9F2B345FA7CC}"/>
    <cellStyle name="Heading 4 18 3" xfId="17187" xr:uid="{0B05D9FD-91B1-464B-BBDA-AAAD4FB5CE54}"/>
    <cellStyle name="Heading 4 18 3 2" xfId="26604" xr:uid="{AA5F7BE3-6C1B-4717-BC85-DA209DAB9F1D}"/>
    <cellStyle name="Heading 4 18 3 3" xfId="26605" xr:uid="{EC96000B-8BFC-41EA-87BC-12A0EB946E61}"/>
    <cellStyle name="Heading 4 18 3 4" xfId="26606" xr:uid="{2E9B0529-BC21-4B7F-83BE-39778F5DD2C0}"/>
    <cellStyle name="Heading 4 18 3 5" xfId="26607" xr:uid="{0B81D440-EB7B-43AC-A613-3E501FF45274}"/>
    <cellStyle name="Heading 4 18 4" xfId="26608" xr:uid="{F1BB119D-D234-47DA-A0A5-5E32B7308D29}"/>
    <cellStyle name="Heading 4 18 5" xfId="26609" xr:uid="{58F476C6-CAD1-45F7-B825-DC630D5C0DE9}"/>
    <cellStyle name="Heading 4 18 6" xfId="26610" xr:uid="{5F1DF58C-2EC3-44A5-8947-6D7E8DD8F741}"/>
    <cellStyle name="Heading 4 18 7" xfId="26611" xr:uid="{21FA4233-6725-4A63-B39E-43020B1F747B}"/>
    <cellStyle name="Heading 4 19" xfId="2516" xr:uid="{99D5277B-265F-408B-805F-8A484D6FD6C3}"/>
    <cellStyle name="Heading 4 19 2" xfId="16465" xr:uid="{48D6C57F-1A3A-4D8F-BA38-B6039DB82E5B}"/>
    <cellStyle name="Heading 4 19 2 2" xfId="17190" xr:uid="{A26C5CB7-9D90-4A0D-B356-13984181C804}"/>
    <cellStyle name="Heading 4 19 2 2 2" xfId="26612" xr:uid="{D1BEA467-F82F-4195-AC6E-212A3FC490FE}"/>
    <cellStyle name="Heading 4 19 2 2 3" xfId="26613" xr:uid="{97A31692-3821-41B5-A25D-F3588376B2D1}"/>
    <cellStyle name="Heading 4 19 2 2 4" xfId="26614" xr:uid="{728C5AAC-6EEF-47A4-BB8C-24A7BD4C8D04}"/>
    <cellStyle name="Heading 4 19 2 2 5" xfId="26615" xr:uid="{3837DD06-53EF-46A1-ADC3-8447306D59F8}"/>
    <cellStyle name="Heading 4 19 2 3" xfId="26616" xr:uid="{A2E76CAD-1C80-4660-A647-2B99D970DE9B}"/>
    <cellStyle name="Heading 4 19 2 4" xfId="26617" xr:uid="{6D065714-4F5D-4FCD-B27A-414F78D9CE1D}"/>
    <cellStyle name="Heading 4 19 2 5" xfId="26618" xr:uid="{83B882C4-0648-4419-8B63-E03E5FD1EBB4}"/>
    <cellStyle name="Heading 4 19 2 6" xfId="26619" xr:uid="{FE6A0EF5-294B-4314-8629-2A9FD4781724}"/>
    <cellStyle name="Heading 4 19 3" xfId="17189" xr:uid="{2040F733-1B23-47DE-A8CE-8F3FD69AF5B0}"/>
    <cellStyle name="Heading 4 19 3 2" xfId="26620" xr:uid="{1067D7AB-E7F3-43F0-8D6B-865FA12F00EB}"/>
    <cellStyle name="Heading 4 19 3 3" xfId="26621" xr:uid="{9CD8A5F9-FA6D-448E-A89C-D4AE5CBA1546}"/>
    <cellStyle name="Heading 4 19 3 4" xfId="26622" xr:uid="{828B2C37-0B72-456C-A757-23A412659107}"/>
    <cellStyle name="Heading 4 19 3 5" xfId="26623" xr:uid="{57E19D2C-2796-43C3-978B-452071370C1A}"/>
    <cellStyle name="Heading 4 19 4" xfId="26624" xr:uid="{7A4982A0-F261-4BBB-A177-9A778B5C0373}"/>
    <cellStyle name="Heading 4 19 5" xfId="26625" xr:uid="{D9414C56-34DA-4F9F-9C54-32EAD3ED8872}"/>
    <cellStyle name="Heading 4 19 6" xfId="26626" xr:uid="{B1BAF08B-C697-45C8-91A6-FE3B2A55745C}"/>
    <cellStyle name="Heading 4 19 7" xfId="26627" xr:uid="{55559D08-142E-4CFC-AA2C-03D553259C0E}"/>
    <cellStyle name="Heading 4 2" xfId="2517" xr:uid="{076BE6E6-B01A-45DE-A54B-8D439AE16656}"/>
    <cellStyle name="Heading 4 2 10" xfId="8077" xr:uid="{02EF4BF9-4F65-4198-B7B5-34BF38969D04}"/>
    <cellStyle name="Heading 4 2 10 2" xfId="26628" xr:uid="{26497A80-F217-4288-B0FA-6012A946170C}"/>
    <cellStyle name="Heading 4 2 10 3" xfId="26629" xr:uid="{2405B312-A68A-4F2F-BC09-E980FFFB15A7}"/>
    <cellStyle name="Heading 4 2 10 4" xfId="26630" xr:uid="{2886B940-D567-4C0F-8804-D5D0C7718574}"/>
    <cellStyle name="Heading 4 2 10 5" xfId="26631" xr:uid="{9C42F43B-6C17-4D2A-96BD-E64D8297EE6E}"/>
    <cellStyle name="Heading 4 2 10 6" xfId="17191" xr:uid="{46890076-86FF-438B-9F36-0B3B5A7407E5}"/>
    <cellStyle name="Heading 4 2 11" xfId="26632" xr:uid="{8BB9D1C2-ECBD-4DC6-8D65-765315D649A5}"/>
    <cellStyle name="Heading 4 2 12" xfId="26633" xr:uid="{7F9A7C63-018C-46E4-AAD5-D201FEC2292D}"/>
    <cellStyle name="Heading 4 2 13" xfId="26634" xr:uid="{E50D1478-B8E5-4744-A889-1DCA59EB9FD0}"/>
    <cellStyle name="Heading 4 2 14" xfId="26635" xr:uid="{AF267705-55CE-48BF-8C53-2CE118F605C3}"/>
    <cellStyle name="Heading 4 2 15" xfId="26636" xr:uid="{758230BC-05DD-4528-99B2-D552931DCB9E}"/>
    <cellStyle name="Heading 4 2 16" xfId="26637" xr:uid="{34F30151-22F5-449F-83B3-6F62D6FC1570}"/>
    <cellStyle name="Heading 4 2 2" xfId="2518" xr:uid="{551DE17E-08F7-42BF-978D-74FE7E62B8AE}"/>
    <cellStyle name="Heading 4 2 2 2" xfId="17192" xr:uid="{073DCA59-1007-4633-A84F-63521A4A488D}"/>
    <cellStyle name="Heading 4 2 2 2 2" xfId="26638" xr:uid="{7BBA75E5-10E9-45EC-B64E-ECA938412CAA}"/>
    <cellStyle name="Heading 4 2 2 2 3" xfId="26639" xr:uid="{4ADB691B-BFCB-4BEC-8BC1-18500CD11553}"/>
    <cellStyle name="Heading 4 2 2 2 4" xfId="26640" xr:uid="{057E0A0E-237B-424C-9241-2971AA920F48}"/>
    <cellStyle name="Heading 4 2 2 2 5" xfId="26641" xr:uid="{646B29FF-ED9F-44CD-98C9-1CCAF6C3573A}"/>
    <cellStyle name="Heading 4 2 2 3" xfId="26642" xr:uid="{DEF30D71-7D56-48CC-AEAB-AAEA16DDED0E}"/>
    <cellStyle name="Heading 4 2 2 4" xfId="26643" xr:uid="{AE569322-A523-4CE6-8D68-9C5A2C255B04}"/>
    <cellStyle name="Heading 4 2 2 5" xfId="26644" xr:uid="{5124DA3B-2BA5-4256-A79D-FE6608637DAB}"/>
    <cellStyle name="Heading 4 2 2 6" xfId="26645" xr:uid="{D3DDE984-7040-406A-BC39-515265D99CC7}"/>
    <cellStyle name="Heading 4 2 2 7" xfId="26646" xr:uid="{16DE363C-7C5F-4E0D-A1FB-9A3425EDB731}"/>
    <cellStyle name="Heading 4 2 3" xfId="2519" xr:uid="{31007788-6062-4BB3-8AE9-0CAFF7F4EB3E}"/>
    <cellStyle name="Heading 4 2 3 2" xfId="17193" xr:uid="{401233CB-E47F-4CB0-A043-CAA6DB49E3AB}"/>
    <cellStyle name="Heading 4 2 3 2 2" xfId="26647" xr:uid="{2C1D5A57-7B83-417E-97C2-62EA24ADD0D7}"/>
    <cellStyle name="Heading 4 2 3 2 3" xfId="26648" xr:uid="{8F49D1C6-F301-4C3C-B06C-37BFCBEF52B1}"/>
    <cellStyle name="Heading 4 2 3 2 4" xfId="26649" xr:uid="{54486147-B466-410D-8A0A-CF729C825B18}"/>
    <cellStyle name="Heading 4 2 3 2 5" xfId="26650" xr:uid="{5CBC6CCD-4B0E-49C4-AB42-BA3A01E945E8}"/>
    <cellStyle name="Heading 4 2 3 3" xfId="26651" xr:uid="{5BB1F355-7373-41AA-9663-F32CA41D96DA}"/>
    <cellStyle name="Heading 4 2 3 4" xfId="26652" xr:uid="{26858831-2289-4E62-9368-FAAAA0B0C12B}"/>
    <cellStyle name="Heading 4 2 3 5" xfId="26653" xr:uid="{D461C368-7D83-4C55-A1C4-41FF4B1599FB}"/>
    <cellStyle name="Heading 4 2 3 6" xfId="26654" xr:uid="{C9707316-29E7-4580-B48A-6386E6376DD7}"/>
    <cellStyle name="Heading 4 2 3 7" xfId="26655" xr:uid="{4037560C-4E42-4D83-AF14-AE6DB61F3E59}"/>
    <cellStyle name="Heading 4 2 4" xfId="2520" xr:uid="{6D20962C-55E0-4B55-B4C8-A2449414A2C8}"/>
    <cellStyle name="Heading 4 2 4 2" xfId="17194" xr:uid="{7270CE85-0715-468D-B587-191D537AF81C}"/>
    <cellStyle name="Heading 4 2 4 2 2" xfId="26656" xr:uid="{AF5FFACB-A9B8-4E3D-9871-7086F330DCD6}"/>
    <cellStyle name="Heading 4 2 4 2 3" xfId="26657" xr:uid="{084B06A2-FD63-4A4E-AEE6-C72711AEA85F}"/>
    <cellStyle name="Heading 4 2 4 2 4" xfId="26658" xr:uid="{50EE7E72-BE1F-4B0F-8F7C-EC2A79F64DAD}"/>
    <cellStyle name="Heading 4 2 4 2 5" xfId="26659" xr:uid="{083380C3-2573-4B93-AC7C-B7C06E1AD465}"/>
    <cellStyle name="Heading 4 2 4 3" xfId="26660" xr:uid="{F7E50534-90B1-424C-9DF0-0B5DA39B0405}"/>
    <cellStyle name="Heading 4 2 4 4" xfId="26661" xr:uid="{F2F3C858-05BC-4898-B7FA-A97135E53882}"/>
    <cellStyle name="Heading 4 2 4 5" xfId="26662" xr:uid="{4AE9E954-B6A8-45BE-9FCE-DD2B71FFACEA}"/>
    <cellStyle name="Heading 4 2 4 6" xfId="26663" xr:uid="{FCF99C80-CA3C-4A03-9759-2F5415095899}"/>
    <cellStyle name="Heading 4 2 4 7" xfId="26664" xr:uid="{EA575414-BF1F-4126-BF12-AB6E8F6577B0}"/>
    <cellStyle name="Heading 4 2 5" xfId="2521" xr:uid="{3357069D-EDD2-4D62-B4FC-E3D9647A6496}"/>
    <cellStyle name="Heading 4 2 5 2" xfId="17195" xr:uid="{55C2CA63-452E-42D8-A06F-40DEAA1528FF}"/>
    <cellStyle name="Heading 4 2 5 2 2" xfId="26665" xr:uid="{BA093054-EEF5-42D1-BF1A-5EEDD7C201C4}"/>
    <cellStyle name="Heading 4 2 5 2 3" xfId="26666" xr:uid="{D86A48E4-1F8C-402A-A087-F5A2B6CCC486}"/>
    <cellStyle name="Heading 4 2 5 2 4" xfId="26667" xr:uid="{E54BB3EF-1604-46CD-8872-80758D3C1D0B}"/>
    <cellStyle name="Heading 4 2 5 2 5" xfId="26668" xr:uid="{4F18AC64-455E-41BD-87E7-984535861544}"/>
    <cellStyle name="Heading 4 2 5 3" xfId="26669" xr:uid="{2B31510D-BDFA-416C-A06C-53664B2433E6}"/>
    <cellStyle name="Heading 4 2 5 4" xfId="26670" xr:uid="{8AFEE4CC-9DDD-41A2-8166-8F7C0A67D37D}"/>
    <cellStyle name="Heading 4 2 5 5" xfId="26671" xr:uid="{61777817-4E29-41EB-9C3A-9A6B5545CD9D}"/>
    <cellStyle name="Heading 4 2 5 6" xfId="26672" xr:uid="{FBCE8BBA-37D3-433A-B64C-09E91DD93868}"/>
    <cellStyle name="Heading 4 2 5 7" xfId="26673" xr:uid="{0DE126DC-D1F9-48C1-A0CD-233FBA2EFFF2}"/>
    <cellStyle name="Heading 4 2 6" xfId="2522" xr:uid="{66964806-C564-4E5D-AB75-FFDF0A11891E}"/>
    <cellStyle name="Heading 4 2 6 2" xfId="17196" xr:uid="{113ACF7F-DBF6-49DD-851B-6635A2C0C299}"/>
    <cellStyle name="Heading 4 2 6 2 2" xfId="26674" xr:uid="{B3526150-B592-44AD-9838-B67A4B60F5C4}"/>
    <cellStyle name="Heading 4 2 6 2 3" xfId="26675" xr:uid="{8ED5A128-2B62-4A58-8FAB-917ED3410C52}"/>
    <cellStyle name="Heading 4 2 6 2 4" xfId="26676" xr:uid="{F7150501-2F4E-4775-AC82-0CDA76041238}"/>
    <cellStyle name="Heading 4 2 6 2 5" xfId="26677" xr:uid="{87C07182-DEA4-4271-B372-8275B4772497}"/>
    <cellStyle name="Heading 4 2 6 3" xfId="26678" xr:uid="{4022D4F4-D3FD-4E50-A388-4C9521433868}"/>
    <cellStyle name="Heading 4 2 6 4" xfId="26679" xr:uid="{90859128-AEAE-4640-8BB3-2A5423635F4D}"/>
    <cellStyle name="Heading 4 2 6 5" xfId="26680" xr:uid="{6FC4A7D6-B26A-46D0-ADA0-B05014448BB8}"/>
    <cellStyle name="Heading 4 2 6 6" xfId="26681" xr:uid="{614EE004-688B-49A3-850A-3F5B0DD8BB16}"/>
    <cellStyle name="Heading 4 2 6 7" xfId="26682" xr:uid="{21D6C252-D735-4ECD-A02D-64F126953E8C}"/>
    <cellStyle name="Heading 4 2 7" xfId="2523" xr:uid="{2876449F-EEE1-4AA1-8DEB-634035EE05CF}"/>
    <cellStyle name="Heading 4 2 7 2" xfId="17197" xr:uid="{44B9B8E3-F4EF-4E43-AC97-A121C3D246EA}"/>
    <cellStyle name="Heading 4 2 7 2 2" xfId="26683" xr:uid="{87712775-4317-47FD-B3F1-5EEC64652323}"/>
    <cellStyle name="Heading 4 2 7 2 3" xfId="26684" xr:uid="{A34A1B57-6330-445E-84F2-9936A47602F7}"/>
    <cellStyle name="Heading 4 2 7 2 4" xfId="26685" xr:uid="{E2F51CBA-2F89-4790-B63B-B6603FF0397B}"/>
    <cellStyle name="Heading 4 2 7 2 5" xfId="26686" xr:uid="{EF10B901-0E5A-458B-A498-A581BAF6F397}"/>
    <cellStyle name="Heading 4 2 7 3" xfId="26687" xr:uid="{FCCFC329-2CF9-4A9D-B4BA-F8B2EC3BDCA5}"/>
    <cellStyle name="Heading 4 2 7 4" xfId="26688" xr:uid="{526B999B-5F3E-4978-B747-F170D0241B36}"/>
    <cellStyle name="Heading 4 2 7 5" xfId="26689" xr:uid="{F5EC7617-8314-49D4-A194-0EEE0375BC9C}"/>
    <cellStyle name="Heading 4 2 7 6" xfId="26690" xr:uid="{A8030A8C-7FB7-4199-A868-06E866ED6F6E}"/>
    <cellStyle name="Heading 4 2 7 7" xfId="26691" xr:uid="{47798D3A-F5E4-45B8-BBFA-ADE5A3ADD32B}"/>
    <cellStyle name="Heading 4 2 8" xfId="2524" xr:uid="{9C7E56D8-5515-4A0C-B48C-9C0F5503555C}"/>
    <cellStyle name="Heading 4 2 8 2" xfId="17198" xr:uid="{3D606A5E-D37F-4358-886B-05D2A9388F19}"/>
    <cellStyle name="Heading 4 2 8 2 2" xfId="26692" xr:uid="{CDF492C0-7FD6-4C1F-9057-F53E7721998D}"/>
    <cellStyle name="Heading 4 2 8 2 3" xfId="26693" xr:uid="{1DA67DB7-3A8A-441B-9263-5BFE4D54A3A3}"/>
    <cellStyle name="Heading 4 2 8 2 4" xfId="26694" xr:uid="{785EB4F3-4778-46ED-A05D-A67094DE384F}"/>
    <cellStyle name="Heading 4 2 8 2 5" xfId="26695" xr:uid="{7FB0914A-F59B-4A24-8A54-E4FF6395C8BC}"/>
    <cellStyle name="Heading 4 2 8 3" xfId="26696" xr:uid="{5EA13BD2-A015-48FB-94D3-CE8C6609F616}"/>
    <cellStyle name="Heading 4 2 8 4" xfId="26697" xr:uid="{012AA72B-04B0-44B7-96A9-0EB397999E7E}"/>
    <cellStyle name="Heading 4 2 8 5" xfId="26698" xr:uid="{05AA34A0-C9FE-4C8F-A319-0D7A54381E35}"/>
    <cellStyle name="Heading 4 2 8 6" xfId="26699" xr:uid="{6CCE6ECD-0FF4-4C67-A4A1-2AEE93F1A470}"/>
    <cellStyle name="Heading 4 2 8 7" xfId="26700" xr:uid="{B72D16E0-FB2B-42B0-9C65-0338B86DEE8F}"/>
    <cellStyle name="Heading 4 2 9" xfId="2525" xr:uid="{3CCA2610-3C07-4696-AFB0-80E028AB7C57}"/>
    <cellStyle name="Heading 4 2 9 2" xfId="17199" xr:uid="{A311B3BA-169C-42C3-9A5D-8A09BD993BB4}"/>
    <cellStyle name="Heading 4 2 9 2 2" xfId="26701" xr:uid="{F457167E-3EFD-4C52-91D1-BA6D57CC0FE0}"/>
    <cellStyle name="Heading 4 2 9 2 3" xfId="26702" xr:uid="{418E7FA5-6AE7-43CE-A153-0C4E64ED8CFD}"/>
    <cellStyle name="Heading 4 2 9 2 4" xfId="26703" xr:uid="{B30AF835-905F-498B-B633-0C544D0D02AF}"/>
    <cellStyle name="Heading 4 2 9 2 5" xfId="26704" xr:uid="{8B86988C-CFED-4D9B-B940-51E7C912E32B}"/>
    <cellStyle name="Heading 4 2 9 3" xfId="26705" xr:uid="{80FD4F34-1F06-4F8F-AD8C-1A022E6E53BF}"/>
    <cellStyle name="Heading 4 2 9 4" xfId="26706" xr:uid="{0B9C2622-4770-4149-B62C-177B80056E1C}"/>
    <cellStyle name="Heading 4 2 9 5" xfId="26707" xr:uid="{4F0304E1-656B-464A-89ED-6FF9CE31C3FF}"/>
    <cellStyle name="Heading 4 2 9 6" xfId="26708" xr:uid="{06A46FF8-A8F8-40A6-BFB3-572C77CB63D2}"/>
    <cellStyle name="Heading 4 2 9 7" xfId="26709" xr:uid="{2F383210-504F-4212-A3CB-66E92147C818}"/>
    <cellStyle name="Heading 4 20" xfId="2526" xr:uid="{FA167E7B-AC10-422F-B2AD-9188A0E9EC67}"/>
    <cellStyle name="Heading 4 20 2" xfId="16466" xr:uid="{C810D3CA-B108-47DD-87AB-0BF9A6DBBBE2}"/>
    <cellStyle name="Heading 4 20 2 2" xfId="17201" xr:uid="{44FEE4F7-78F3-4481-B250-6D019D5FF7FD}"/>
    <cellStyle name="Heading 4 20 2 2 2" xfId="26710" xr:uid="{2D9C0A97-8691-4BF9-AD76-44F46D1E8E01}"/>
    <cellStyle name="Heading 4 20 2 2 3" xfId="26711" xr:uid="{403BBA39-2F56-41FC-9BE2-3D571F8604B4}"/>
    <cellStyle name="Heading 4 20 2 2 4" xfId="26712" xr:uid="{A75FD71D-D6FE-4074-942F-DF10A6E3C3BB}"/>
    <cellStyle name="Heading 4 20 2 2 5" xfId="26713" xr:uid="{4FDE45F4-F532-4A7C-A919-E19ABB990F32}"/>
    <cellStyle name="Heading 4 20 2 3" xfId="26714" xr:uid="{0DC46893-F522-4DA2-A58F-F2F8862A421B}"/>
    <cellStyle name="Heading 4 20 2 4" xfId="26715" xr:uid="{B8B97B64-2C6F-444E-AEA5-48A28FB8B47E}"/>
    <cellStyle name="Heading 4 20 2 5" xfId="26716" xr:uid="{26B49153-0636-427A-BA26-334B12DFD2BB}"/>
    <cellStyle name="Heading 4 20 2 6" xfId="26717" xr:uid="{C035F506-6683-40DA-B126-78DC743FFFF5}"/>
    <cellStyle name="Heading 4 20 3" xfId="17200" xr:uid="{2A3A5D68-F6B7-44FA-AD38-7893B31759C7}"/>
    <cellStyle name="Heading 4 20 3 2" xfId="26718" xr:uid="{9A5CAA39-C4C9-4918-BC93-0AFC32077D24}"/>
    <cellStyle name="Heading 4 20 3 3" xfId="26719" xr:uid="{2D9099C4-9DF4-4EAC-954B-4F25E1643BA8}"/>
    <cellStyle name="Heading 4 20 3 4" xfId="26720" xr:uid="{516F100D-FDFE-49BC-93C7-E78E57EFE9D8}"/>
    <cellStyle name="Heading 4 20 3 5" xfId="26721" xr:uid="{4EC35382-A714-4EEF-A33E-F896B2D06CC9}"/>
    <cellStyle name="Heading 4 20 4" xfId="26722" xr:uid="{904ECB88-8326-40E3-8DB9-FD950997E89D}"/>
    <cellStyle name="Heading 4 20 5" xfId="26723" xr:uid="{5B29A66F-BDBE-4C49-9FF4-716D77D13C66}"/>
    <cellStyle name="Heading 4 20 6" xfId="26724" xr:uid="{02DCF0E0-D5EE-421D-B9EF-A3E82455120B}"/>
    <cellStyle name="Heading 4 20 7" xfId="26725" xr:uid="{5296CF73-16B5-4AE9-995D-B8DEE8E6B621}"/>
    <cellStyle name="Heading 4 21" xfId="16467" xr:uid="{857C2B98-2329-4154-A37B-B8448F808A7D}"/>
    <cellStyle name="Heading 4 21 2" xfId="17202" xr:uid="{C535F2E5-CFE8-4A28-AD55-140C421E614D}"/>
    <cellStyle name="Heading 4 21 2 2" xfId="26726" xr:uid="{97631898-457B-4D07-BC3C-41246A09C96D}"/>
    <cellStyle name="Heading 4 21 2 3" xfId="26727" xr:uid="{FFC15655-71A4-470C-8ACE-640318742AF1}"/>
    <cellStyle name="Heading 4 21 2 4" xfId="26728" xr:uid="{47F740D4-E86C-4813-9CA0-70B721FB48FF}"/>
    <cellStyle name="Heading 4 21 2 5" xfId="26729" xr:uid="{FBF81FE8-9527-4F3A-84D6-0413415BA020}"/>
    <cellStyle name="Heading 4 21 3" xfId="26730" xr:uid="{437BD62C-158F-44B5-B262-AE31A7653844}"/>
    <cellStyle name="Heading 4 21 4" xfId="26731" xr:uid="{93F35FEC-AE98-48E6-9989-3141D4839E8E}"/>
    <cellStyle name="Heading 4 21 5" xfId="26732" xr:uid="{4D1FB602-AEEE-4B12-AB48-0062D25E0B47}"/>
    <cellStyle name="Heading 4 21 6" xfId="26733" xr:uid="{8D4FDF6F-4A5B-4AD2-93F4-874DCAE8CE12}"/>
    <cellStyle name="Heading 4 22" xfId="15235" xr:uid="{A39461F5-659A-465B-A1CB-780D2F816691}"/>
    <cellStyle name="Heading 4 22 2" xfId="26735" xr:uid="{88790EF1-532F-4779-A9A8-5A4461842102}"/>
    <cellStyle name="Heading 4 22 3" xfId="26734" xr:uid="{99EE9DB5-85CA-45D8-8045-F14EA15DFC25}"/>
    <cellStyle name="Heading 4 23" xfId="26736" xr:uid="{62BFBB11-DB12-43E5-9D4E-1174D2916DBC}"/>
    <cellStyle name="Heading 4 24" xfId="26737" xr:uid="{3A670DCD-F149-4E74-94D5-C1B2D070C286}"/>
    <cellStyle name="Heading 4 25" xfId="26738" xr:uid="{977CF887-4688-492E-B1B3-12B5A309F232}"/>
    <cellStyle name="Heading 4 3" xfId="2527" xr:uid="{869F7CCD-E14D-4686-9B83-C81A3105DF8E}"/>
    <cellStyle name="Heading 4 3 10" xfId="2528" xr:uid="{91E5C657-8109-42B9-A158-2EC4C3F5D1FF}"/>
    <cellStyle name="Heading 4 3 10 2" xfId="17204" xr:uid="{9712689E-196E-454F-9C0B-BBB8950076E1}"/>
    <cellStyle name="Heading 4 3 10 2 2" xfId="26739" xr:uid="{D7837AB8-0CC7-471F-92C3-E18D6B43593D}"/>
    <cellStyle name="Heading 4 3 10 2 3" xfId="26740" xr:uid="{9F77A3CF-761F-4A67-91ED-E1726D985AD6}"/>
    <cellStyle name="Heading 4 3 10 2 4" xfId="26741" xr:uid="{E0C0C441-CDEC-43DA-A57E-33C2A6DA945F}"/>
    <cellStyle name="Heading 4 3 10 2 5" xfId="26742" xr:uid="{10CA8E90-B6EB-43A7-9B23-3E9802502346}"/>
    <cellStyle name="Heading 4 3 10 3" xfId="26743" xr:uid="{FD545232-2E8B-4DCA-A689-92E5B9473C46}"/>
    <cellStyle name="Heading 4 3 10 4" xfId="26744" xr:uid="{37E333F7-8044-4138-ADF4-1494F9166054}"/>
    <cellStyle name="Heading 4 3 10 5" xfId="26745" xr:uid="{76DCDCD7-C11A-4EB7-9BD7-4D441CCB206B}"/>
    <cellStyle name="Heading 4 3 10 6" xfId="26746" xr:uid="{A3A72406-EBE4-43C5-9D55-52AB2E38E381}"/>
    <cellStyle name="Heading 4 3 11" xfId="2529" xr:uid="{2BD392C9-2135-41F8-8834-357CEB9F5011}"/>
    <cellStyle name="Heading 4 3 11 2" xfId="17205" xr:uid="{9F915993-A00D-4D75-AEC2-80E4DBFF86E1}"/>
    <cellStyle name="Heading 4 3 11 2 2" xfId="26747" xr:uid="{68A49D2E-6ECF-4E05-9031-3E9C89E1CB17}"/>
    <cellStyle name="Heading 4 3 11 2 3" xfId="26748" xr:uid="{7F43E527-115A-42C9-92CF-EBF4A2438DB2}"/>
    <cellStyle name="Heading 4 3 11 2 4" xfId="26749" xr:uid="{E7CDA2BF-4CF7-4927-82E1-155F9B6BAF19}"/>
    <cellStyle name="Heading 4 3 11 2 5" xfId="26750" xr:uid="{C2058264-30FA-47C9-853C-E5503D1A02A8}"/>
    <cellStyle name="Heading 4 3 11 3" xfId="26751" xr:uid="{4F8B4F66-C4E7-41D6-B931-F4640582B37A}"/>
    <cellStyle name="Heading 4 3 11 4" xfId="26752" xr:uid="{EE0A68E6-6F50-48C6-9AA8-BABCE75F62B8}"/>
    <cellStyle name="Heading 4 3 11 5" xfId="26753" xr:uid="{2D188770-E83C-4C75-B810-B2B8160110F9}"/>
    <cellStyle name="Heading 4 3 11 6" xfId="26754" xr:uid="{48F12A19-90AA-46AA-B368-44983F4C184E}"/>
    <cellStyle name="Heading 4 3 12" xfId="2530" xr:uid="{3BC230CE-B65C-4ECC-AB8A-3D42779BA1AE}"/>
    <cellStyle name="Heading 4 3 12 2" xfId="17206" xr:uid="{1F3ACAC5-7C92-40E9-AEAC-8FFFC3B3AD31}"/>
    <cellStyle name="Heading 4 3 12 2 2" xfId="26755" xr:uid="{0600E5E0-11DB-4AA4-B175-054C4F0AB246}"/>
    <cellStyle name="Heading 4 3 12 2 3" xfId="26756" xr:uid="{9999DB33-C6F2-4B32-90C3-56A8291041B8}"/>
    <cellStyle name="Heading 4 3 12 2 4" xfId="26757" xr:uid="{0049F2DE-4399-40F5-BCB0-AEEBEEFBD93D}"/>
    <cellStyle name="Heading 4 3 12 2 5" xfId="26758" xr:uid="{E43D31FA-AC81-4186-96B8-DCEB44E4C39C}"/>
    <cellStyle name="Heading 4 3 12 3" xfId="26759" xr:uid="{D26E626D-E021-46D1-98C4-2973BBD6DDB6}"/>
    <cellStyle name="Heading 4 3 12 4" xfId="26760" xr:uid="{390AC887-C219-46C1-B781-4C68F6EA3413}"/>
    <cellStyle name="Heading 4 3 12 5" xfId="26761" xr:uid="{DDB2E847-6023-485A-8FE1-2580168B5FAA}"/>
    <cellStyle name="Heading 4 3 12 6" xfId="26762" xr:uid="{F5E823AD-3F63-4AB9-8D35-F69E337C888F}"/>
    <cellStyle name="Heading 4 3 13" xfId="2531" xr:uid="{3CE700AC-99A5-46B7-926C-904791CB9382}"/>
    <cellStyle name="Heading 4 3 13 2" xfId="17207" xr:uid="{23BB04B0-7FCF-4792-99A5-7426A3A5748C}"/>
    <cellStyle name="Heading 4 3 13 2 2" xfId="26763" xr:uid="{D59A0227-1912-42BF-B124-CAAE06965D68}"/>
    <cellStyle name="Heading 4 3 13 2 3" xfId="26764" xr:uid="{D0ACA66C-5873-4E10-A421-86BF9455041C}"/>
    <cellStyle name="Heading 4 3 13 2 4" xfId="26765" xr:uid="{414BD72A-328C-4162-AAAD-678B9EA63D02}"/>
    <cellStyle name="Heading 4 3 13 2 5" xfId="26766" xr:uid="{5EF82EBA-0539-47A8-B322-203A92E84BC8}"/>
    <cellStyle name="Heading 4 3 13 3" xfId="26767" xr:uid="{D3DF0343-7C74-4E40-8C62-1EE45368BEFD}"/>
    <cellStyle name="Heading 4 3 13 4" xfId="26768" xr:uid="{816FC15C-7FC3-43E5-AA1C-FC04270460DD}"/>
    <cellStyle name="Heading 4 3 13 5" xfId="26769" xr:uid="{D01C7842-9F35-4D5A-9F79-FD85500325D3}"/>
    <cellStyle name="Heading 4 3 13 6" xfId="26770" xr:uid="{7D1A351D-DB6B-4CF5-B8F2-6DD941A80B45}"/>
    <cellStyle name="Heading 4 3 14" xfId="2532" xr:uid="{51DE57D0-55AA-4366-A1D5-DDF2702D5644}"/>
    <cellStyle name="Heading 4 3 14 2" xfId="17208" xr:uid="{DEAEB7FD-1C85-4703-9F1A-B2F808758A5F}"/>
    <cellStyle name="Heading 4 3 14 2 2" xfId="26771" xr:uid="{0245CDEB-E9D8-4D2F-B8FF-8B5DBE8DF896}"/>
    <cellStyle name="Heading 4 3 14 2 3" xfId="26772" xr:uid="{65F6FE79-F8E5-4CCE-8FF0-E8AC567F51B5}"/>
    <cellStyle name="Heading 4 3 14 2 4" xfId="26773" xr:uid="{2D4C29D5-3590-442A-9AF1-EFBD57941226}"/>
    <cellStyle name="Heading 4 3 14 2 5" xfId="26774" xr:uid="{C8046EBC-02DB-4367-A173-C0C3968DFA2C}"/>
    <cellStyle name="Heading 4 3 14 3" xfId="26775" xr:uid="{2B53BA08-5B49-49F2-BDC4-B9BBEF568790}"/>
    <cellStyle name="Heading 4 3 14 4" xfId="26776" xr:uid="{BFCCF953-8040-4ABA-B327-C7BB400BF522}"/>
    <cellStyle name="Heading 4 3 14 5" xfId="26777" xr:uid="{775EE8E7-E226-46B1-A481-A55083765CF6}"/>
    <cellStyle name="Heading 4 3 14 6" xfId="26778" xr:uid="{908F18BD-45C3-46D2-AF1D-B535F4E92CCA}"/>
    <cellStyle name="Heading 4 3 15" xfId="16468" xr:uid="{075A54C7-5B89-439B-9642-089831DFEBD2}"/>
    <cellStyle name="Heading 4 3 15 2" xfId="17209" xr:uid="{B93C894B-E763-486A-B994-43A44D980861}"/>
    <cellStyle name="Heading 4 3 15 2 2" xfId="26779" xr:uid="{0E896C9A-7D64-4BBD-8F11-4DDAFB5DFB1D}"/>
    <cellStyle name="Heading 4 3 15 2 3" xfId="26780" xr:uid="{4EDF206C-13D0-4B1F-B201-F1DAC52B3F71}"/>
    <cellStyle name="Heading 4 3 15 2 4" xfId="26781" xr:uid="{912A3CCE-585C-43EF-976C-3B4E6EA4CDC8}"/>
    <cellStyle name="Heading 4 3 15 2 5" xfId="26782" xr:uid="{193DC184-E4E6-41C1-9970-D481FDCF1D40}"/>
    <cellStyle name="Heading 4 3 15 3" xfId="26783" xr:uid="{9E30B954-5A6B-4C22-8595-6C3EE9028DBB}"/>
    <cellStyle name="Heading 4 3 15 4" xfId="26784" xr:uid="{C92D6EA6-19A2-47B2-9A0A-DF5239958208}"/>
    <cellStyle name="Heading 4 3 15 5" xfId="26785" xr:uid="{3AB83AF6-48B7-4526-A8AC-2ADB81F42BAE}"/>
    <cellStyle name="Heading 4 3 15 6" xfId="26786" xr:uid="{03002825-A015-4BE5-8E28-BD580CBAC2DB}"/>
    <cellStyle name="Heading 4 3 16" xfId="17203" xr:uid="{698B53A0-23CF-4571-B257-09AF4FB52F59}"/>
    <cellStyle name="Heading 4 3 16 2" xfId="26787" xr:uid="{ACBC45AC-92F6-4F58-AFDA-873846F50C9E}"/>
    <cellStyle name="Heading 4 3 16 3" xfId="26788" xr:uid="{4A89F1C6-A4BB-4A57-A0F7-E751F8D3F395}"/>
    <cellStyle name="Heading 4 3 16 4" xfId="26789" xr:uid="{91DB9ADF-DBBD-4CCF-BE53-5BA2B628C6D8}"/>
    <cellStyle name="Heading 4 3 16 5" xfId="26790" xr:uid="{31EACCCC-D071-4AC5-8CEE-3F85B0885D11}"/>
    <cellStyle name="Heading 4 3 17" xfId="26791" xr:uid="{A6E29957-9112-4757-AC80-612E94E1A711}"/>
    <cellStyle name="Heading 4 3 18" xfId="26792" xr:uid="{013F2C36-13DB-4F53-9119-0826AEB2C2FB}"/>
    <cellStyle name="Heading 4 3 19" xfId="26793" xr:uid="{CBC44886-7FF4-4055-9D45-99FCEE572767}"/>
    <cellStyle name="Heading 4 3 2" xfId="2533" xr:uid="{91D9E391-B040-4FF2-AEE3-2C74E72BFB63}"/>
    <cellStyle name="Heading 4 3 2 2" xfId="17210" xr:uid="{3858B663-C64B-4560-A99F-7A002B4C4EEA}"/>
    <cellStyle name="Heading 4 3 2 2 2" xfId="26794" xr:uid="{DF6F451F-EE69-4D9B-BE33-89948CE08DDA}"/>
    <cellStyle name="Heading 4 3 2 2 3" xfId="26795" xr:uid="{FCDAE89C-4117-41D5-BCEE-D8ACD27D2285}"/>
    <cellStyle name="Heading 4 3 2 2 4" xfId="26796" xr:uid="{DE645B29-52E4-46AA-BB1E-2742F70312E6}"/>
    <cellStyle name="Heading 4 3 2 2 5" xfId="26797" xr:uid="{16AA33A5-0257-4CB6-959E-2DD65DEA2AE2}"/>
    <cellStyle name="Heading 4 3 2 3" xfId="26798" xr:uid="{FDCA48FC-320F-464C-8E65-A4910EEFA9FB}"/>
    <cellStyle name="Heading 4 3 2 4" xfId="26799" xr:uid="{A10A744D-6793-415A-95D0-0CD2B6C525FA}"/>
    <cellStyle name="Heading 4 3 2 5" xfId="26800" xr:uid="{46B453E4-F6F3-4334-9EE8-40CC47BFB286}"/>
    <cellStyle name="Heading 4 3 2 6" xfId="26801" xr:uid="{B9A23336-42CD-43B4-B9A5-5394091F63C8}"/>
    <cellStyle name="Heading 4 3 2 7" xfId="26802" xr:uid="{055910FE-A3B0-472F-B8B1-059831B28E65}"/>
    <cellStyle name="Heading 4 3 20" xfId="26803" xr:uid="{F52240C2-21A6-4970-9A60-ACE0E7F7AA4F}"/>
    <cellStyle name="Heading 4 3 21" xfId="26804" xr:uid="{AF69CA48-CB42-4DA1-8ACF-C6FBD0930A72}"/>
    <cellStyle name="Heading 4 3 3" xfId="2534" xr:uid="{293792B0-9E61-4904-AD42-B19F58EA9448}"/>
    <cellStyle name="Heading 4 3 3 2" xfId="17211" xr:uid="{C3570756-4115-4866-9FFC-AB5CEDA40C54}"/>
    <cellStyle name="Heading 4 3 3 2 2" xfId="26805" xr:uid="{06D549F3-9D77-4039-9EA5-C933752643B3}"/>
    <cellStyle name="Heading 4 3 3 2 3" xfId="26806" xr:uid="{4E45A24A-C7E0-41AE-939F-CEB1A4C50229}"/>
    <cellStyle name="Heading 4 3 3 2 4" xfId="26807" xr:uid="{8A450F04-499F-4548-9C8B-C1405A984641}"/>
    <cellStyle name="Heading 4 3 3 2 5" xfId="26808" xr:uid="{F795A2E0-8202-4213-BE88-E44D4D87D1EC}"/>
    <cellStyle name="Heading 4 3 3 3" xfId="26809" xr:uid="{82A42E0D-2AA2-4919-AA08-0F6C14F1078C}"/>
    <cellStyle name="Heading 4 3 3 4" xfId="26810" xr:uid="{F10E1DC0-9EC0-4614-B38F-E3212068F17B}"/>
    <cellStyle name="Heading 4 3 3 5" xfId="26811" xr:uid="{98F9F5E0-B6A9-4960-B5A0-16664C668EAA}"/>
    <cellStyle name="Heading 4 3 3 6" xfId="26812" xr:uid="{FB46E37E-2A1B-4039-B85B-CFE6CE9836C9}"/>
    <cellStyle name="Heading 4 3 4" xfId="2535" xr:uid="{6ACB4FD7-93DD-4FF9-B712-17C51ED92238}"/>
    <cellStyle name="Heading 4 3 4 2" xfId="17212" xr:uid="{2B6B94BB-F0E6-4202-90E6-5019E8326DD1}"/>
    <cellStyle name="Heading 4 3 4 2 2" xfId="26813" xr:uid="{E515865E-03CC-4BBA-909D-6D51AE016010}"/>
    <cellStyle name="Heading 4 3 4 2 3" xfId="26814" xr:uid="{64A9F1AC-79CE-4512-9C46-7DCD315DEE7D}"/>
    <cellStyle name="Heading 4 3 4 2 4" xfId="26815" xr:uid="{2CA7535A-8892-4DE0-864B-B871B0E6BBF2}"/>
    <cellStyle name="Heading 4 3 4 2 5" xfId="26816" xr:uid="{F925EA7F-D996-40C2-B18C-824E3D82C8D6}"/>
    <cellStyle name="Heading 4 3 4 3" xfId="26817" xr:uid="{649333F2-1BDB-4638-94AD-596ADECAC152}"/>
    <cellStyle name="Heading 4 3 4 4" xfId="26818" xr:uid="{56ECD9F8-3E28-4106-B3C0-0780A22368FE}"/>
    <cellStyle name="Heading 4 3 4 5" xfId="26819" xr:uid="{958F8676-6831-40FC-A46A-34C7D281604D}"/>
    <cellStyle name="Heading 4 3 4 6" xfId="26820" xr:uid="{89D1BB0A-11FF-450E-A290-D77D4BA118EB}"/>
    <cellStyle name="Heading 4 3 5" xfId="2536" xr:uid="{32C94286-67D7-45D7-BE12-58462F9E7FBA}"/>
    <cellStyle name="Heading 4 3 5 2" xfId="17213" xr:uid="{8C823AB4-61F1-4C26-9EBF-AB5A2733D1BB}"/>
    <cellStyle name="Heading 4 3 5 2 2" xfId="26821" xr:uid="{3F2F63EC-3768-4F25-AB93-EF48BE56CC11}"/>
    <cellStyle name="Heading 4 3 5 2 3" xfId="26822" xr:uid="{BB22F8AD-1703-4DD1-ACC7-5E367512B62B}"/>
    <cellStyle name="Heading 4 3 5 2 4" xfId="26823" xr:uid="{B99E34F7-1510-4F7B-A1F8-4868B9D4C9C1}"/>
    <cellStyle name="Heading 4 3 5 2 5" xfId="26824" xr:uid="{273EF687-680D-497D-98A3-A392D60E18CF}"/>
    <cellStyle name="Heading 4 3 5 3" xfId="26825" xr:uid="{ECC1E952-4528-43D1-A62A-6CDA2B45914F}"/>
    <cellStyle name="Heading 4 3 5 4" xfId="26826" xr:uid="{AF6FB04D-658E-4C99-808E-1B0DF5AF50A5}"/>
    <cellStyle name="Heading 4 3 5 5" xfId="26827" xr:uid="{065A6ABD-D043-48BD-B183-BB2C729DCFC1}"/>
    <cellStyle name="Heading 4 3 5 6" xfId="26828" xr:uid="{07F9904D-CF08-444F-85F1-15785DAA38FF}"/>
    <cellStyle name="Heading 4 3 6" xfId="2537" xr:uid="{B86A5661-B9AC-4DF1-936C-782DECF95B03}"/>
    <cellStyle name="Heading 4 3 6 2" xfId="17214" xr:uid="{9176DA38-FA85-484D-955C-3061EE8A26F0}"/>
    <cellStyle name="Heading 4 3 6 2 2" xfId="26829" xr:uid="{623F2FE8-2F12-4CAC-BDA4-AB364542794E}"/>
    <cellStyle name="Heading 4 3 6 2 3" xfId="26830" xr:uid="{8A100730-9871-4522-BAAE-6C4CBADD7936}"/>
    <cellStyle name="Heading 4 3 6 2 4" xfId="26831" xr:uid="{50FE6FD9-8B8B-4145-B63C-E3BFB35663E9}"/>
    <cellStyle name="Heading 4 3 6 2 5" xfId="26832" xr:uid="{8B808D9B-3786-44B9-9BA8-D1387BB70E9D}"/>
    <cellStyle name="Heading 4 3 6 3" xfId="26833" xr:uid="{77F92ADB-E819-4FAE-B839-337963B8ADCB}"/>
    <cellStyle name="Heading 4 3 6 4" xfId="26834" xr:uid="{4864DF34-6075-4AB3-AF23-9B1AF489EB68}"/>
    <cellStyle name="Heading 4 3 6 5" xfId="26835" xr:uid="{81192843-ACA8-436F-9F71-57FCC6E15E25}"/>
    <cellStyle name="Heading 4 3 6 6" xfId="26836" xr:uid="{C79B00C4-45F1-4817-A2D5-5A1456F27FA9}"/>
    <cellStyle name="Heading 4 3 7" xfId="2538" xr:uid="{A165D4B0-05AA-449A-8734-C4F7A511D0D7}"/>
    <cellStyle name="Heading 4 3 7 2" xfId="17215" xr:uid="{D6BFBC7F-AF6A-4F30-BB70-CACE37881564}"/>
    <cellStyle name="Heading 4 3 7 2 2" xfId="26837" xr:uid="{75355238-C29B-4B20-B9B9-07CBB546D558}"/>
    <cellStyle name="Heading 4 3 7 2 3" xfId="26838" xr:uid="{FD32DCF3-7FD8-4986-81B0-F42440DF4212}"/>
    <cellStyle name="Heading 4 3 7 2 4" xfId="26839" xr:uid="{11FB7D19-8C99-4F04-8963-C71F7A826E0F}"/>
    <cellStyle name="Heading 4 3 7 2 5" xfId="26840" xr:uid="{6BC6EB04-BC03-43FB-9A35-D2D195958E73}"/>
    <cellStyle name="Heading 4 3 7 3" xfId="26841" xr:uid="{6C2F66D4-151F-454E-9C63-CAC6B2A8A96C}"/>
    <cellStyle name="Heading 4 3 7 4" xfId="26842" xr:uid="{11128877-E3E5-449E-B8B3-5F580044E1EB}"/>
    <cellStyle name="Heading 4 3 7 5" xfId="26843" xr:uid="{BA344804-1D15-4BC9-9F99-17381EB14284}"/>
    <cellStyle name="Heading 4 3 7 6" xfId="26844" xr:uid="{1F313396-9AFD-4895-AE17-BF4BC89F1C93}"/>
    <cellStyle name="Heading 4 3 8" xfId="2539" xr:uid="{0D9BE2BF-B529-4C5B-80A7-F8F5AC9944F6}"/>
    <cellStyle name="Heading 4 3 8 2" xfId="17216" xr:uid="{BA98BFB1-C173-473E-96DE-04A66914E962}"/>
    <cellStyle name="Heading 4 3 8 2 2" xfId="26845" xr:uid="{E2C2BF08-AE05-44CF-815C-BFBEFAB5AC76}"/>
    <cellStyle name="Heading 4 3 8 2 3" xfId="26846" xr:uid="{D42A0F0A-2D0C-4ED4-BD1B-DCA1EBB836EF}"/>
    <cellStyle name="Heading 4 3 8 2 4" xfId="26847" xr:uid="{229ED77E-85CB-467B-827A-43CE47F4EC4F}"/>
    <cellStyle name="Heading 4 3 8 2 5" xfId="26848" xr:uid="{332F4512-65EE-4B06-9500-E0401A9BEDE9}"/>
    <cellStyle name="Heading 4 3 8 3" xfId="26849" xr:uid="{6B0019B6-2E69-4753-8BA6-0CC807FA4128}"/>
    <cellStyle name="Heading 4 3 8 4" xfId="26850" xr:uid="{81DE38A2-A338-40B5-BE78-3BC89B932F07}"/>
    <cellStyle name="Heading 4 3 8 5" xfId="26851" xr:uid="{EE8D6BD6-3BBC-4209-897C-792D9644F55C}"/>
    <cellStyle name="Heading 4 3 8 6" xfId="26852" xr:uid="{3F8D5C82-125E-4005-BC41-41159D7EFD97}"/>
    <cellStyle name="Heading 4 3 9" xfId="2540" xr:uid="{9C02FB27-CBF0-4615-9921-DB3B68198D7F}"/>
    <cellStyle name="Heading 4 3 9 2" xfId="17217" xr:uid="{04131D04-DB89-43D4-AD47-98505BBFCF96}"/>
    <cellStyle name="Heading 4 3 9 2 2" xfId="26853" xr:uid="{95A3359C-925C-4928-A951-3CA05FC4EC2D}"/>
    <cellStyle name="Heading 4 3 9 2 3" xfId="26854" xr:uid="{548E5580-B072-44F8-9A3E-613482502E65}"/>
    <cellStyle name="Heading 4 3 9 2 4" xfId="26855" xr:uid="{2C1CFC8E-718B-4265-8C77-E162BFDDD6EA}"/>
    <cellStyle name="Heading 4 3 9 2 5" xfId="26856" xr:uid="{3B874DFB-547D-4672-A476-C0924E5B524F}"/>
    <cellStyle name="Heading 4 3 9 3" xfId="26857" xr:uid="{CC50FAD4-F1BE-47B1-BF2F-D2DC29A5F1FA}"/>
    <cellStyle name="Heading 4 3 9 4" xfId="26858" xr:uid="{89A53241-18AD-4A46-8EC8-215AE4CC610F}"/>
    <cellStyle name="Heading 4 3 9 5" xfId="26859" xr:uid="{6A4AC4F3-1B8A-4292-BE7A-783629133291}"/>
    <cellStyle name="Heading 4 3 9 6" xfId="26860" xr:uid="{DF70176A-A5EA-461F-9C8D-18CAAB40EEA8}"/>
    <cellStyle name="Heading 4 4" xfId="2541" xr:uid="{41713D33-023C-4904-AB53-DB6C6D2563ED}"/>
    <cellStyle name="Heading 4 4 2" xfId="2542" xr:uid="{055F8D77-4B15-469C-8C76-A7C024E68BA6}"/>
    <cellStyle name="Heading 4 4 2 2" xfId="17219" xr:uid="{7DBAB810-B94A-4DBB-BC2B-441370EB15EB}"/>
    <cellStyle name="Heading 4 4 2 2 2" xfId="26861" xr:uid="{F9E81A86-54CB-4B0D-966E-AF2583793EF6}"/>
    <cellStyle name="Heading 4 4 2 2 3" xfId="26862" xr:uid="{FF3586D4-B331-45FE-AB71-A73285108C01}"/>
    <cellStyle name="Heading 4 4 2 2 4" xfId="26863" xr:uid="{81065318-6B40-4F06-A7B1-D59F73F446DE}"/>
    <cellStyle name="Heading 4 4 2 2 5" xfId="26864" xr:uid="{9F0B2B3D-EE5E-4DA7-94DB-176E2C184C81}"/>
    <cellStyle name="Heading 4 4 2 3" xfId="26865" xr:uid="{8EF21E62-55E8-4106-8459-0B379A747F52}"/>
    <cellStyle name="Heading 4 4 2 4" xfId="26866" xr:uid="{9E846E9B-F2E3-459A-A860-60235A0A646D}"/>
    <cellStyle name="Heading 4 4 2 5" xfId="26867" xr:uid="{4A46D762-B259-4659-91E3-E57B02F3CAA6}"/>
    <cellStyle name="Heading 4 4 2 6" xfId="26868" xr:uid="{79907ECD-D5C6-4272-A647-909EF7AB758B}"/>
    <cellStyle name="Heading 4 4 2 7" xfId="26869" xr:uid="{9F5A19A0-3944-4DD3-9E21-3C9D97C5A25A}"/>
    <cellStyle name="Heading 4 4 3" xfId="17218" xr:uid="{F50988D7-04BC-4B35-8E09-D51B1372D539}"/>
    <cellStyle name="Heading 4 4 3 2" xfId="26870" xr:uid="{61A1CE5D-CE5B-453C-B4F8-E0A6DF1CCD14}"/>
    <cellStyle name="Heading 4 4 3 3" xfId="26871" xr:uid="{6353F3A8-ECCB-47E5-B4F9-EB3214D71E05}"/>
    <cellStyle name="Heading 4 4 3 4" xfId="26872" xr:uid="{F34C0F99-AF67-474C-8782-999B8AE8615E}"/>
    <cellStyle name="Heading 4 4 3 5" xfId="26873" xr:uid="{39B722EC-47F9-496A-B43C-08414D7AF15F}"/>
    <cellStyle name="Heading 4 4 4" xfId="26874" xr:uid="{DCF0CF68-6328-455F-B55C-290F09477E85}"/>
    <cellStyle name="Heading 4 4 5" xfId="26875" xr:uid="{830FABA7-BB4C-4BFD-8A5F-B922A8C2A6F3}"/>
    <cellStyle name="Heading 4 4 6" xfId="26876" xr:uid="{690D76FF-292A-43D4-9871-B7F85880689D}"/>
    <cellStyle name="Heading 4 4 7" xfId="26877" xr:uid="{C05406B6-6CF8-4744-A19D-A5604A5A9073}"/>
    <cellStyle name="Heading 4 4 8" xfId="26878" xr:uid="{90BEE943-58B4-4BDA-B44C-661B80971747}"/>
    <cellStyle name="Heading 4 5" xfId="2543" xr:uid="{FD2B9502-2DCF-4B73-B26B-41C9CBDA76EC}"/>
    <cellStyle name="Heading 4 5 2" xfId="2544" xr:uid="{30C4D876-01B1-45CE-94F1-D4F55C07A085}"/>
    <cellStyle name="Heading 4 5 2 2" xfId="17221" xr:uid="{DCAACB42-B45E-4F95-B424-DA50E152B2E9}"/>
    <cellStyle name="Heading 4 5 2 2 2" xfId="26879" xr:uid="{E5F92CFE-87F6-4C88-8B2B-45CFFFA3A847}"/>
    <cellStyle name="Heading 4 5 2 2 3" xfId="26880" xr:uid="{BE425C5F-5620-41B4-B062-F99A10CABA55}"/>
    <cellStyle name="Heading 4 5 2 2 4" xfId="26881" xr:uid="{4314BC10-4D6B-495E-AD1A-8B24DA4B3A76}"/>
    <cellStyle name="Heading 4 5 2 2 5" xfId="26882" xr:uid="{12E8AD2C-447D-4DFD-840F-44842D178C73}"/>
    <cellStyle name="Heading 4 5 2 3" xfId="26883" xr:uid="{9B4D6D4E-F932-4FC4-B9F3-1DDFF688CC13}"/>
    <cellStyle name="Heading 4 5 2 4" xfId="26884" xr:uid="{F87C31F5-B9AD-4F1E-8965-027AF556A6B3}"/>
    <cellStyle name="Heading 4 5 2 5" xfId="26885" xr:uid="{B6CC41B2-10F4-4AFF-A9C0-495AB75FA382}"/>
    <cellStyle name="Heading 4 5 2 6" xfId="26886" xr:uid="{93F1052E-7DC7-4E1A-9BB9-8A32F90C84C6}"/>
    <cellStyle name="Heading 4 5 2 7" xfId="26887" xr:uid="{CBD17AE3-A48C-49FC-8EAC-8E55B689DB4A}"/>
    <cellStyle name="Heading 4 5 3" xfId="17220" xr:uid="{8F1065D9-0EBB-4E88-B764-681254F8C057}"/>
    <cellStyle name="Heading 4 5 3 2" xfId="26888" xr:uid="{40ED141F-9A93-4280-8644-DE4A779F6816}"/>
    <cellStyle name="Heading 4 5 3 3" xfId="26889" xr:uid="{41ED65D3-59B0-4006-987A-38C8142D88B5}"/>
    <cellStyle name="Heading 4 5 3 4" xfId="26890" xr:uid="{B21926FF-76AB-433A-ACBB-D778B02C026F}"/>
    <cellStyle name="Heading 4 5 3 5" xfId="26891" xr:uid="{FDD4D29A-07E1-41BA-B47F-33EC9DFD8B8E}"/>
    <cellStyle name="Heading 4 5 4" xfId="26892" xr:uid="{E6CEC3E2-5405-4E42-9120-5FEC6EBFB0A0}"/>
    <cellStyle name="Heading 4 5 5" xfId="26893" xr:uid="{0FE2793A-1533-46CC-B2D3-2778F7296413}"/>
    <cellStyle name="Heading 4 5 6" xfId="26894" xr:uid="{B3F32FAF-C930-441E-A175-8310D719B6B7}"/>
    <cellStyle name="Heading 4 5 7" xfId="26895" xr:uid="{F73E4948-32A4-431E-AB98-A7CCFF596924}"/>
    <cellStyle name="Heading 4 5 8" xfId="26896" xr:uid="{3DF9B391-E8C8-44C5-B5C8-8AC5A84ED3C4}"/>
    <cellStyle name="Heading 4 6" xfId="2545" xr:uid="{70F917C8-841D-43FB-893C-84E2B51136F9}"/>
    <cellStyle name="Heading 4 6 2" xfId="2546" xr:uid="{BE1E31B0-02AE-442D-ABBA-A7691DA7A6C0}"/>
    <cellStyle name="Heading 4 6 2 2" xfId="17223" xr:uid="{2511F991-9AD4-4CB3-93EB-A6C5E2AABD40}"/>
    <cellStyle name="Heading 4 6 2 2 2" xfId="26897" xr:uid="{C74BD30F-87DF-49DC-B900-0070C0D27E12}"/>
    <cellStyle name="Heading 4 6 2 2 3" xfId="26898" xr:uid="{50ED6CAE-CE4E-424B-A51D-96138C94B9B4}"/>
    <cellStyle name="Heading 4 6 2 2 4" xfId="26899" xr:uid="{C1FD3C1A-4B58-40E9-8416-23DD7A21FB52}"/>
    <cellStyle name="Heading 4 6 2 2 5" xfId="26900" xr:uid="{2758E74D-BA09-453D-898C-329141BBE8F2}"/>
    <cellStyle name="Heading 4 6 2 3" xfId="26901" xr:uid="{A86F9F13-8D2E-4A52-A84C-A8983A72D0F1}"/>
    <cellStyle name="Heading 4 6 2 4" xfId="26902" xr:uid="{F21C0760-62C8-4E57-99F6-2AD6504F0897}"/>
    <cellStyle name="Heading 4 6 2 5" xfId="26903" xr:uid="{94453269-AB09-4135-8B28-9531E6F09BC8}"/>
    <cellStyle name="Heading 4 6 2 6" xfId="26904" xr:uid="{80A6CFEF-B8D2-4DBB-9FD8-D5DC1A9ABB88}"/>
    <cellStyle name="Heading 4 6 2 7" xfId="26905" xr:uid="{76919F03-841B-42E2-BA9B-A88CC6F1821C}"/>
    <cellStyle name="Heading 4 6 3" xfId="2547" xr:uid="{ADE2F901-4979-4B7B-9792-B2E4D545E15B}"/>
    <cellStyle name="Heading 4 6 3 2" xfId="17224" xr:uid="{AF278F1A-39C5-43FD-985A-5374C1A1F539}"/>
    <cellStyle name="Heading 4 6 3 2 2" xfId="26906" xr:uid="{3DCBF0C2-52D0-44CE-BFE8-61CB6A882785}"/>
    <cellStyle name="Heading 4 6 3 2 3" xfId="26907" xr:uid="{FE845603-A51A-4C8E-A04D-EC11A067639D}"/>
    <cellStyle name="Heading 4 6 3 2 4" xfId="26908" xr:uid="{CB74A632-34CA-4B6A-BB49-D09E60242EF4}"/>
    <cellStyle name="Heading 4 6 3 2 5" xfId="26909" xr:uid="{A687B6C3-4AF2-49BD-998F-A4D1D763A228}"/>
    <cellStyle name="Heading 4 6 3 3" xfId="26910" xr:uid="{8ADFE6D6-3F0D-4E01-A372-10F562D0CCBE}"/>
    <cellStyle name="Heading 4 6 3 4" xfId="26911" xr:uid="{D0BA57BB-72D2-4F38-A758-A14276F70C4D}"/>
    <cellStyle name="Heading 4 6 3 5" xfId="26912" xr:uid="{F1E0BD05-4283-4B18-8257-03191409E6C4}"/>
    <cellStyle name="Heading 4 6 3 6" xfId="26913" xr:uid="{895C2716-020A-48DB-978A-2FFB4D7967B8}"/>
    <cellStyle name="Heading 4 6 4" xfId="17222" xr:uid="{C5B41F34-4BF0-4D1E-82BF-0E05F8F9E1CF}"/>
    <cellStyle name="Heading 4 6 4 2" xfId="26914" xr:uid="{3EE0CAC6-3388-47DB-99E8-226F9F541D36}"/>
    <cellStyle name="Heading 4 6 4 3" xfId="26915" xr:uid="{12D2A131-B6A3-415A-B295-E163F9193B4F}"/>
    <cellStyle name="Heading 4 6 4 4" xfId="26916" xr:uid="{4285F3D4-FFA9-4A38-B9F3-8B5889102FBA}"/>
    <cellStyle name="Heading 4 6 4 5" xfId="26917" xr:uid="{1D27CD17-AE3F-4237-9EB6-950D5C7008ED}"/>
    <cellStyle name="Heading 4 6 5" xfId="26918" xr:uid="{2DF1CA07-BB61-45D8-A6B1-BFF10CA1C328}"/>
    <cellStyle name="Heading 4 6 6" xfId="26919" xr:uid="{FBD10D84-EAF4-4A76-8D8F-86E3B82FEFA8}"/>
    <cellStyle name="Heading 4 6 7" xfId="26920" xr:uid="{93EF3811-4E68-4503-9BC0-253F60597F10}"/>
    <cellStyle name="Heading 4 6 8" xfId="26921" xr:uid="{D8F8200A-AAB5-4B80-86D2-4FC9B497273A}"/>
    <cellStyle name="Heading 4 6 9" xfId="26922" xr:uid="{E52989BF-C4F5-409A-AC46-E1F90A94F6F2}"/>
    <cellStyle name="Heading 4 7" xfId="2548" xr:uid="{99440F3D-CC51-4528-9925-EA71D24B597C}"/>
    <cellStyle name="Heading 4 7 2" xfId="2549" xr:uid="{30A7CB6B-9823-40D8-8C77-816A4826C012}"/>
    <cellStyle name="Heading 4 7 2 2" xfId="17226" xr:uid="{3A13C53C-17F0-4183-ADD5-587BC6E047AA}"/>
    <cellStyle name="Heading 4 7 2 2 2" xfId="26923" xr:uid="{E7C60578-7B1C-430B-BBE3-78A8FDBFE55E}"/>
    <cellStyle name="Heading 4 7 2 2 3" xfId="26924" xr:uid="{D5FFCA43-E777-4EBF-A6AD-8D236DE98530}"/>
    <cellStyle name="Heading 4 7 2 2 4" xfId="26925" xr:uid="{B766C7FC-D534-4D06-B4E4-2FD482876377}"/>
    <cellStyle name="Heading 4 7 2 2 5" xfId="26926" xr:uid="{B9D66616-5D0C-45B4-A77B-E395174682FF}"/>
    <cellStyle name="Heading 4 7 2 3" xfId="26927" xr:uid="{90AA44D3-A48D-4ED3-8DFE-42FCF1535F32}"/>
    <cellStyle name="Heading 4 7 2 4" xfId="26928" xr:uid="{4DD2F737-EF61-4CEE-A5D9-70399415D09D}"/>
    <cellStyle name="Heading 4 7 2 5" xfId="26929" xr:uid="{62CDE970-3B61-4CE2-A73D-775C89EC38F1}"/>
    <cellStyle name="Heading 4 7 2 6" xfId="26930" xr:uid="{A8EC271A-0E70-486F-903D-2ED1D3399D7B}"/>
    <cellStyle name="Heading 4 7 2 7" xfId="26931" xr:uid="{0C02F10B-838B-4ABE-ACC7-A2775DC4D14E}"/>
    <cellStyle name="Heading 4 7 3" xfId="2550" xr:uid="{91F489EE-9B9F-4CF7-837F-E2248EBAE891}"/>
    <cellStyle name="Heading 4 7 3 2" xfId="17227" xr:uid="{5C5EEA31-3B29-41D6-A0A0-F47E2B3B728E}"/>
    <cellStyle name="Heading 4 7 3 2 2" xfId="26932" xr:uid="{20C4E004-7303-4A24-B113-285A32B4E5F1}"/>
    <cellStyle name="Heading 4 7 3 2 3" xfId="26933" xr:uid="{D3D37C51-01E6-4B68-B6B1-06873B189937}"/>
    <cellStyle name="Heading 4 7 3 2 4" xfId="26934" xr:uid="{2FFFFEFA-C9BE-4F63-B5A3-E2BF4E893E99}"/>
    <cellStyle name="Heading 4 7 3 2 5" xfId="26935" xr:uid="{85F9DDFE-1359-40A8-ACC5-EBF8FA2F3C05}"/>
    <cellStyle name="Heading 4 7 3 3" xfId="26936" xr:uid="{C3C0488A-06EA-4A97-8CAA-DE6B76AC8573}"/>
    <cellStyle name="Heading 4 7 3 4" xfId="26937" xr:uid="{1CE3B40F-BC60-4E21-943F-7E2603922C3A}"/>
    <cellStyle name="Heading 4 7 3 5" xfId="26938" xr:uid="{4066B165-471C-4857-B834-E712C3FBA658}"/>
    <cellStyle name="Heading 4 7 3 6" xfId="26939" xr:uid="{B76C3D07-C3A4-4B03-86F3-E467B3E9BC7B}"/>
    <cellStyle name="Heading 4 7 4" xfId="17225" xr:uid="{91DC1F76-F8FC-4263-9AB9-B72F7D9C95B2}"/>
    <cellStyle name="Heading 4 7 4 2" xfId="26940" xr:uid="{97B05289-6D7E-4BC8-B82D-B3A2EBB540BD}"/>
    <cellStyle name="Heading 4 7 4 3" xfId="26941" xr:uid="{31106BE6-AC9A-480F-98D9-94A7A2E57D2E}"/>
    <cellStyle name="Heading 4 7 4 4" xfId="26942" xr:uid="{AA9AD530-96B3-4E1E-8329-D0DE2BB765D8}"/>
    <cellStyle name="Heading 4 7 4 5" xfId="26943" xr:uid="{988A60EC-1738-4C0F-8186-74012A20803F}"/>
    <cellStyle name="Heading 4 7 5" xfId="26944" xr:uid="{C7D84DE9-158F-4D02-B09D-F468C87F05EE}"/>
    <cellStyle name="Heading 4 7 6" xfId="26945" xr:uid="{FD17406C-4E5C-4B50-98E6-79152958F2E4}"/>
    <cellStyle name="Heading 4 7 7" xfId="26946" xr:uid="{FF00FBB7-8FCD-4F75-AFD9-D573C06909CD}"/>
    <cellStyle name="Heading 4 7 8" xfId="26947" xr:uid="{49A78247-45E4-4701-9967-11085A69C97F}"/>
    <cellStyle name="Heading 4 7 9" xfId="26948" xr:uid="{E9B3AC3E-B852-4F66-A568-9F118B8640F6}"/>
    <cellStyle name="Heading 4 8" xfId="2551" xr:uid="{309F49B9-10DF-4582-B7C3-BA426D5E80B4}"/>
    <cellStyle name="Heading 4 8 2" xfId="2552" xr:uid="{A6E5A5C5-F904-4795-B113-59702DBDE740}"/>
    <cellStyle name="Heading 4 8 2 2" xfId="17229" xr:uid="{6FE13761-C25E-4EF6-A015-F5324EC69CD2}"/>
    <cellStyle name="Heading 4 8 2 2 2" xfId="26949" xr:uid="{AF656C57-B1FC-4250-AB3E-A3E3566152A9}"/>
    <cellStyle name="Heading 4 8 2 2 3" xfId="26950" xr:uid="{7A36EE39-442F-45A3-A00E-273E86383C31}"/>
    <cellStyle name="Heading 4 8 2 2 4" xfId="26951" xr:uid="{AF75FA17-0FF3-42B3-8C8C-A855BE39BD4C}"/>
    <cellStyle name="Heading 4 8 2 2 5" xfId="26952" xr:uid="{EBC117F1-0A58-41DD-988B-6A9DD398D8CC}"/>
    <cellStyle name="Heading 4 8 2 3" xfId="26953" xr:uid="{2E2AB7D3-1DF7-4AA0-9C26-A58B4A3AA0FF}"/>
    <cellStyle name="Heading 4 8 2 4" xfId="26954" xr:uid="{D1376AD2-3DE7-4287-AD8E-C09C90DD1006}"/>
    <cellStyle name="Heading 4 8 2 5" xfId="26955" xr:uid="{AC5B8680-EDB8-404D-AE9E-58868581336D}"/>
    <cellStyle name="Heading 4 8 2 6" xfId="26956" xr:uid="{991D0085-B6D1-482A-8C84-B3BCCBD63940}"/>
    <cellStyle name="Heading 4 8 2 7" xfId="26957" xr:uid="{E2C43865-7B06-4C92-9E64-E50E39E537DF}"/>
    <cellStyle name="Heading 4 8 3" xfId="2553" xr:uid="{69DD48EF-4477-47E3-A5B7-5F24B14A3893}"/>
    <cellStyle name="Heading 4 8 3 2" xfId="17230" xr:uid="{B54AD584-017A-45E1-B8E3-6230CF452FAB}"/>
    <cellStyle name="Heading 4 8 3 2 2" xfId="26958" xr:uid="{28BF51EE-09DD-4266-B863-62CF3355B571}"/>
    <cellStyle name="Heading 4 8 3 2 3" xfId="26959" xr:uid="{5A82DECC-5353-4E1F-A495-D4BEDDE459D4}"/>
    <cellStyle name="Heading 4 8 3 2 4" xfId="26960" xr:uid="{362E0D3D-3968-4ACD-83A1-04C97A838B20}"/>
    <cellStyle name="Heading 4 8 3 2 5" xfId="26961" xr:uid="{3C0C9AAE-F42F-490C-94A4-73E8DA382288}"/>
    <cellStyle name="Heading 4 8 3 3" xfId="26962" xr:uid="{080E8A95-F129-4BD0-AAFD-BAF8F8E0128B}"/>
    <cellStyle name="Heading 4 8 3 4" xfId="26963" xr:uid="{DBFD8DD5-BAEF-47F2-A18C-233B1E501C75}"/>
    <cellStyle name="Heading 4 8 3 5" xfId="26964" xr:uid="{788D722D-9B32-4195-88DE-C0EFD2A1094D}"/>
    <cellStyle name="Heading 4 8 3 6" xfId="26965" xr:uid="{4708E99E-C161-480A-8127-D0425B53B458}"/>
    <cellStyle name="Heading 4 8 4" xfId="17228" xr:uid="{9C4EEAD5-7E54-4572-A2D3-1EAFE82A4F08}"/>
    <cellStyle name="Heading 4 8 4 2" xfId="26966" xr:uid="{D9C22064-FB97-41DE-91C5-3CAED80D0890}"/>
    <cellStyle name="Heading 4 8 4 3" xfId="26967" xr:uid="{C1DF12A4-3313-4802-BD9A-671D30C9065F}"/>
    <cellStyle name="Heading 4 8 4 4" xfId="26968" xr:uid="{812AABD1-AA0F-4981-B07F-CA3FEB68BF70}"/>
    <cellStyle name="Heading 4 8 4 5" xfId="26969" xr:uid="{694496D5-1A1C-427A-A360-B66ECD08E936}"/>
    <cellStyle name="Heading 4 8 5" xfId="26970" xr:uid="{FF2276B2-8615-4897-B62B-145CD26CD10C}"/>
    <cellStyle name="Heading 4 8 6" xfId="26971" xr:uid="{9F053B44-B41D-417B-8C13-8B78B88F02FE}"/>
    <cellStyle name="Heading 4 8 7" xfId="26972" xr:uid="{5B360D1E-483C-4416-A458-91CBCCFAE55C}"/>
    <cellStyle name="Heading 4 8 8" xfId="26973" xr:uid="{2CBA926D-E9D0-4340-ABDD-F2C93E017E5E}"/>
    <cellStyle name="Heading 4 8 9" xfId="26974" xr:uid="{5CF6A593-9DCF-44FF-AAAF-2D6897C29D11}"/>
    <cellStyle name="Heading 4 9" xfId="2554" xr:uid="{B505BDB3-EBE7-4D21-8641-EC8807155DF3}"/>
    <cellStyle name="Heading 4 9 2" xfId="2555" xr:uid="{0FAEAE7A-A17C-4661-B4FA-9AF2853F4D74}"/>
    <cellStyle name="Heading 4 9 2 2" xfId="17232" xr:uid="{A6E813F2-5C9A-4A25-A188-A8D937DA8220}"/>
    <cellStyle name="Heading 4 9 2 2 2" xfId="26975" xr:uid="{DF7EAF93-8817-4C6A-A967-FBA854672CB2}"/>
    <cellStyle name="Heading 4 9 2 2 3" xfId="26976" xr:uid="{50284683-F141-4ECC-8FCC-7F3D69AB2432}"/>
    <cellStyle name="Heading 4 9 2 2 4" xfId="26977" xr:uid="{401F5311-2D99-4D33-9162-17B14DC897FF}"/>
    <cellStyle name="Heading 4 9 2 2 5" xfId="26978" xr:uid="{ACCD43EF-784E-480B-83C8-4FEEE6553AF0}"/>
    <cellStyle name="Heading 4 9 2 3" xfId="26979" xr:uid="{726211DB-27EC-4B3D-BE2B-FE1C27199AEA}"/>
    <cellStyle name="Heading 4 9 2 4" xfId="26980" xr:uid="{1B739D8A-70E1-4329-8FAF-FB39AA878B7D}"/>
    <cellStyle name="Heading 4 9 2 5" xfId="26981" xr:uid="{E0E748A4-9027-451E-AA54-22F03391602D}"/>
    <cellStyle name="Heading 4 9 2 6" xfId="26982" xr:uid="{1962DCA9-C079-4EA6-B4B0-FEAC7DEBB8C6}"/>
    <cellStyle name="Heading 4 9 3" xfId="17231" xr:uid="{997CF87C-CCF4-4A4D-8007-7FEFDDD0723D}"/>
    <cellStyle name="Heading 4 9 3 2" xfId="26983" xr:uid="{8CFD9A63-C970-4C09-8658-BD2ACFD58DF4}"/>
    <cellStyle name="Heading 4 9 3 3" xfId="26984" xr:uid="{3B53701E-047A-4A5E-B8DC-73DD269E082D}"/>
    <cellStyle name="Heading 4 9 3 4" xfId="26985" xr:uid="{2AD76483-FF70-43EC-83F5-691E88729736}"/>
    <cellStyle name="Heading 4 9 3 5" xfId="26986" xr:uid="{FD4BA464-FB53-4C05-AE93-6D8272B54BC2}"/>
    <cellStyle name="Heading 4 9 4" xfId="26987" xr:uid="{6E5A9A95-7617-4A2E-85D8-4221171E30C8}"/>
    <cellStyle name="Heading 4 9 5" xfId="26988" xr:uid="{1A445E7F-2E9E-46CA-B61A-AB42D904CA37}"/>
    <cellStyle name="Heading 4 9 6" xfId="26989" xr:uid="{089E7B5C-4377-4AA1-9E53-6CAA886FAB96}"/>
    <cellStyle name="Heading 4 9 7" xfId="26990" xr:uid="{1E03139E-233F-4822-B58B-174F7B146C29}"/>
    <cellStyle name="Heading 4 9 8" xfId="26991" xr:uid="{7A7C73F6-2AA0-48DB-81F7-C96DD46B95DF}"/>
    <cellStyle name="Headline" xfId="2556" xr:uid="{071B19F8-BCAF-4CAE-812A-4793036D52E4}"/>
    <cellStyle name="Headline 2" xfId="17233" xr:uid="{29ABF246-4B33-45ED-9060-CF57684F7B59}"/>
    <cellStyle name="Headline 2 2" xfId="26992" xr:uid="{09542327-B398-4991-9E9F-B197E65FEAF0}"/>
    <cellStyle name="Headline 2 3" xfId="26993" xr:uid="{B603E465-7FC3-4AD3-8EEE-1911B7269FEB}"/>
    <cellStyle name="Headline 2 4" xfId="26994" xr:uid="{991EB7AC-D9AB-4511-B907-81761DB9EEF1}"/>
    <cellStyle name="Headline 2 5" xfId="26995" xr:uid="{0BE711CE-AC38-4EDB-A9A0-37A17544C02D}"/>
    <cellStyle name="Headline 3" xfId="26996" xr:uid="{E029EE03-5697-41F4-B309-CB624B7ED440}"/>
    <cellStyle name="Headline 4" xfId="26997" xr:uid="{C3E57C62-0CEC-44C3-B38D-3E1FDDDCD516}"/>
    <cellStyle name="Headline 5" xfId="26998" xr:uid="{4B2AC99F-5B77-499D-A20F-1C993E0F6DB9}"/>
    <cellStyle name="Headline 6" xfId="26999" xr:uid="{5D6617F2-8446-4AE8-AFB8-22B9B614290C}"/>
    <cellStyle name="Headline 7" xfId="27000" xr:uid="{C26F32FA-9ADF-4B6A-BB8D-FE5D5BF921F4}"/>
    <cellStyle name="Headline 8" xfId="27001" xr:uid="{EC11413D-FA29-4C06-8BA6-A83314B62ACC}"/>
    <cellStyle name="Hyperlink" xfId="4" builtinId="8"/>
    <cellStyle name="Hyperlink 2" xfId="2557" xr:uid="{465F26E8-DEA2-4B00-8729-3688200354C8}"/>
    <cellStyle name="Hyperlink 2 2" xfId="16607" xr:uid="{9C2314D4-39FF-4402-B4A7-0A5C3C5951FA}"/>
    <cellStyle name="Hyperlink 2 2 2" xfId="17235" xr:uid="{6707ADF6-2FD6-4008-9B25-3D4F6284BABB}"/>
    <cellStyle name="Hyperlink 2 2 2 2" xfId="27002" xr:uid="{C19D410B-FE24-4A24-BA19-C686D16C0085}"/>
    <cellStyle name="Hyperlink 2 2 2 3" xfId="27003" xr:uid="{94CAD267-9117-43D7-AC87-11381443DE62}"/>
    <cellStyle name="Hyperlink 2 2 2 4" xfId="27004" xr:uid="{1C25A077-1188-4784-A2B3-3B9B0F0693AC}"/>
    <cellStyle name="Hyperlink 2 2 2 5" xfId="27005" xr:uid="{9C27803C-4D31-4CC8-BAB3-07A8704D29AC}"/>
    <cellStyle name="Hyperlink 2 2 3" xfId="27006" xr:uid="{988089BE-44F0-4AAC-BD4F-E6E3FA6E68F0}"/>
    <cellStyle name="Hyperlink 2 2 4" xfId="27007" xr:uid="{F67D15F0-AF04-4AD8-A25C-979B930D4224}"/>
    <cellStyle name="Hyperlink 2 2 5" xfId="27008" xr:uid="{78FF4F8B-4272-4FBB-AB3B-1B4085191D40}"/>
    <cellStyle name="Hyperlink 2 2 6" xfId="27009" xr:uid="{0FC77725-6ECC-4DAC-8908-3DC833741B9A}"/>
    <cellStyle name="Hyperlink 2 3" xfId="16671" xr:uid="{0CBBE0AF-B7D5-4978-851D-71FAD0F7B241}"/>
    <cellStyle name="Hyperlink 2 3 2" xfId="17236" xr:uid="{74D1E08F-26DE-4C66-A873-2C20B5CE5D1C}"/>
    <cellStyle name="Hyperlink 2 3 2 2" xfId="27010" xr:uid="{E80E8F95-F9C8-4194-AF1E-2A7C38874FDF}"/>
    <cellStyle name="Hyperlink 2 3 2 3" xfId="27011" xr:uid="{71EA0230-876B-4088-8EA8-3389FA2FFE2F}"/>
    <cellStyle name="Hyperlink 2 3 2 4" xfId="27012" xr:uid="{42CC1E82-D692-4ACF-8B5E-A6BF883E5FA3}"/>
    <cellStyle name="Hyperlink 2 3 2 5" xfId="27013" xr:uid="{1811641B-088B-4783-A53C-3C2762D7386D}"/>
    <cellStyle name="Hyperlink 2 3 3" xfId="27014" xr:uid="{CF52118E-BD48-48AB-9DF5-B1043342F8A6}"/>
    <cellStyle name="Hyperlink 2 3 4" xfId="27015" xr:uid="{B07C5596-9110-4CD4-8A37-9C0907E3990B}"/>
    <cellStyle name="Hyperlink 2 3 5" xfId="27016" xr:uid="{D38622FE-3030-4A9E-9C9C-796BD835B3A9}"/>
    <cellStyle name="Hyperlink 2 3 6" xfId="27017" xr:uid="{7DC137BD-0437-4318-890F-493FF148ED0F}"/>
    <cellStyle name="Hyperlink 2 4" xfId="17237" xr:uid="{BC48F097-95EE-4C0A-8FBC-32696F51140A}"/>
    <cellStyle name="Hyperlink 2 4 2" xfId="27018" xr:uid="{100E8326-1871-460C-8CD4-F785C0AE5C45}"/>
    <cellStyle name="Hyperlink 2 4 3" xfId="27019" xr:uid="{2EFBD5E5-FC10-43CE-AFBB-199B7A4ABE36}"/>
    <cellStyle name="Hyperlink 2 4 4" xfId="27020" xr:uid="{69A15DC6-0827-40D1-95C7-000ED35F6C35}"/>
    <cellStyle name="Hyperlink 2 4 5" xfId="27021" xr:uid="{3B026F26-E84B-42FC-8907-E6DBE1A70295}"/>
    <cellStyle name="Hyperlink 2 5" xfId="17234" xr:uid="{E5697E04-8C91-4DA6-AB9D-E10F659A56F3}"/>
    <cellStyle name="Hyperlink 2 5 2" xfId="27022" xr:uid="{88CB51C7-614B-408E-B555-196EF354B955}"/>
    <cellStyle name="Hyperlink 2 5 3" xfId="27023" xr:uid="{91DD5DDD-7FF3-441C-A7A9-F50DDB204519}"/>
    <cellStyle name="Hyperlink 2 5 4" xfId="27024" xr:uid="{4BFBD901-C43D-4138-8127-CF68C3C25924}"/>
    <cellStyle name="Hyperlink 2 5 5" xfId="27025" xr:uid="{357AF2B1-4AF3-4654-9C06-453DB21CAF2F}"/>
    <cellStyle name="Hyperlink 2 6" xfId="27026" xr:uid="{50D3D6E4-2BAD-4C0E-AA6E-6942101EE310}"/>
    <cellStyle name="Hyperlink 2 7" xfId="27027" xr:uid="{BB2DEE61-34C6-409F-BE16-E48E7C3CC7D3}"/>
    <cellStyle name="Hyperlink 2 8" xfId="27028" xr:uid="{9491C839-50FF-4B8F-A733-218624C4F9EC}"/>
    <cellStyle name="Hyperlink 2 9" xfId="27029" xr:uid="{C5B0094A-05DA-4BD9-B95B-01937C3BA2C2}"/>
    <cellStyle name="Hyperlink 3" xfId="2558" xr:uid="{D130FC98-7E0F-4F64-B9B1-BAB3D2A8F5D7}"/>
    <cellStyle name="Hyperlink 3 2" xfId="16672" xr:uid="{35E9E305-198C-4CAA-A856-99E657B96B46}"/>
    <cellStyle name="Hyperlink 3 2 2" xfId="17239" xr:uid="{CE3CCB2A-760A-496B-990F-A179C3A93F34}"/>
    <cellStyle name="Hyperlink 3 2 2 2" xfId="27030" xr:uid="{059663B5-0E79-48A9-9B72-1FCD6A22C3BE}"/>
    <cellStyle name="Hyperlink 3 2 2 3" xfId="27031" xr:uid="{B63E037B-AB31-4D64-86B7-4A3C2A415689}"/>
    <cellStyle name="Hyperlink 3 2 2 4" xfId="27032" xr:uid="{452283E6-F227-47FF-840C-009DA01F597A}"/>
    <cellStyle name="Hyperlink 3 2 2 5" xfId="27033" xr:uid="{B72953D2-231E-4EC9-9729-EEB7733639D6}"/>
    <cellStyle name="Hyperlink 3 2 3" xfId="27034" xr:uid="{358DF78D-5B62-423C-A3A0-4118EEF5EBAA}"/>
    <cellStyle name="Hyperlink 3 2 4" xfId="27035" xr:uid="{F3CDE904-AD1A-4AF3-B8DE-B9331AB29A3B}"/>
    <cellStyle name="Hyperlink 3 2 5" xfId="27036" xr:uid="{6CB42B4F-1C1A-421E-B12A-1A989CC47DEF}"/>
    <cellStyle name="Hyperlink 3 2 6" xfId="27037" xr:uid="{13E04582-F309-4737-9476-2B89D1F6BD5B}"/>
    <cellStyle name="Hyperlink 3 3" xfId="17238" xr:uid="{7422D84F-C721-4283-814B-F30827F09594}"/>
    <cellStyle name="Hyperlink 3 3 2" xfId="27038" xr:uid="{B0AEE973-3574-4E2F-B45E-023BDA97838D}"/>
    <cellStyle name="Hyperlink 3 3 3" xfId="27039" xr:uid="{566235F0-6F1F-4589-A35F-849BF8E98215}"/>
    <cellStyle name="Hyperlink 3 3 4" xfId="27040" xr:uid="{C59BB92D-7A05-491F-82D9-AB47D41D48AC}"/>
    <cellStyle name="Hyperlink 3 3 5" xfId="27041" xr:uid="{EDEFB013-AD5D-4835-8A6C-0419FD5AD8D9}"/>
    <cellStyle name="Hyperlink 3 4" xfId="27042" xr:uid="{F151DC8E-D1E6-4ADE-BF67-8B4FDFCE4FDB}"/>
    <cellStyle name="Hyperlink 3 5" xfId="27043" xr:uid="{F82DEFFF-38D0-462F-87FF-565F3EFA3FFC}"/>
    <cellStyle name="Hyperlink 3 6" xfId="27044" xr:uid="{1C832D33-5533-4E14-B93B-571BCF5AEEF0}"/>
    <cellStyle name="Hyperlink 3 7" xfId="27045" xr:uid="{B334FC1C-7C90-4AF3-81B5-1BF79719AAF2}"/>
    <cellStyle name="Hyperlink 4" xfId="2559" xr:uid="{44BC4ABE-C301-46D3-8355-556355252350}"/>
    <cellStyle name="Hyperlink 4 2" xfId="16673" xr:uid="{02143513-B946-4E61-85AF-08425065C3DE}"/>
    <cellStyle name="Hyperlink 4 2 2" xfId="17241" xr:uid="{B613DF97-EDD3-4AF7-9E04-43EB4C278BC8}"/>
    <cellStyle name="Hyperlink 4 2 2 2" xfId="27046" xr:uid="{A636C26E-9E77-4F10-9908-52EFAFFFF021}"/>
    <cellStyle name="Hyperlink 4 2 2 3" xfId="27047" xr:uid="{00D76BD7-C144-4C32-9E73-0942EAD5A956}"/>
    <cellStyle name="Hyperlink 4 2 2 4" xfId="27048" xr:uid="{EEE7B8F9-1BE8-4CD9-89CB-059A4A5E9566}"/>
    <cellStyle name="Hyperlink 4 2 2 5" xfId="27049" xr:uid="{143BF1C1-151F-426C-A7C2-2D507A69E0B7}"/>
    <cellStyle name="Hyperlink 4 2 3" xfId="27050" xr:uid="{881C1092-7586-4C1E-9213-1945854DBFC2}"/>
    <cellStyle name="Hyperlink 4 2 4" xfId="27051" xr:uid="{B72E457F-5C7F-42F8-A8A3-0CCA151C9070}"/>
    <cellStyle name="Hyperlink 4 2 5" xfId="27052" xr:uid="{C47B5206-770B-4FB9-87AA-6586CAAC73BF}"/>
    <cellStyle name="Hyperlink 4 2 6" xfId="27053" xr:uid="{AB56383D-8A3C-4D28-A659-F80F7FDEBAF8}"/>
    <cellStyle name="Hyperlink 4 3" xfId="17240" xr:uid="{74C987A3-F4DC-4C6A-8D06-826966F30C15}"/>
    <cellStyle name="Hyperlink 4 3 2" xfId="27054" xr:uid="{3FBD7145-1711-4E22-ABEE-3F32B5FD724E}"/>
    <cellStyle name="Hyperlink 4 3 3" xfId="27055" xr:uid="{1F626DD4-08E7-4892-AE45-19813FF1F258}"/>
    <cellStyle name="Hyperlink 4 3 4" xfId="27056" xr:uid="{E4ADB9E8-6474-4D92-952F-BD4E993FFC7C}"/>
    <cellStyle name="Hyperlink 4 3 5" xfId="27057" xr:uid="{989441F9-B684-42CD-96AB-C3D1274744C8}"/>
    <cellStyle name="Hyperlink 4 4" xfId="27058" xr:uid="{D9A6A586-1737-42AC-8C63-356EF69AD0A4}"/>
    <cellStyle name="Hyperlink 4 5" xfId="27059" xr:uid="{5C10ED70-8291-4251-AAD8-027682CBB0BC}"/>
    <cellStyle name="Hyperlink 4 6" xfId="27060" xr:uid="{F0F4F68F-0760-42F9-A38F-41C42C4F98FA}"/>
    <cellStyle name="Hyperlink 4 7" xfId="27061" xr:uid="{F5E64689-0C72-45CB-B79B-D66C79E808DE}"/>
    <cellStyle name="Incorrecto" xfId="2560" xr:uid="{B7591689-03BC-4C3B-96A1-A141CC0F19C6}"/>
    <cellStyle name="Incorrecto 2" xfId="2561" xr:uid="{0FEBED3F-25B2-4808-8510-3BBDD79464E7}"/>
    <cellStyle name="Incorrecto 2 2" xfId="19778" xr:uid="{3E2C65FC-5B22-4C60-9EDD-1C06523511C1}"/>
    <cellStyle name="Incorrecto 2 2 2" xfId="27063" xr:uid="{6ED92C52-5286-48E0-918E-B314C7653EFE}"/>
    <cellStyle name="Incorrecto 2 2 3" xfId="27064" xr:uid="{F927F91D-78F7-4A07-B0C9-3790C48DB3D4}"/>
    <cellStyle name="Incorrecto 2 2 4" xfId="27065" xr:uid="{8E95D584-3873-44F4-AFF7-B32CB5FCD261}"/>
    <cellStyle name="Incorrecto 2 2 5" xfId="27066" xr:uid="{08AB8448-881D-469D-BC3B-76C7ECBC6AE8}"/>
    <cellStyle name="Incorrecto 2 2 6" xfId="27062" xr:uid="{B5077904-A3AE-444D-8F7A-D42B873CFA12}"/>
    <cellStyle name="Incorrecto 2 3" xfId="27067" xr:uid="{38E9E877-399D-4944-8C16-0A58557BE424}"/>
    <cellStyle name="Incorrecto 2 4" xfId="27068" xr:uid="{8512059E-CD8D-40DA-971C-89C605D36EDF}"/>
    <cellStyle name="Incorrecto 2 5" xfId="27069" xr:uid="{89DAAFC6-F89B-4E75-AE58-7BEE1B663A6C}"/>
    <cellStyle name="Incorrecto 2 6" xfId="27070" xr:uid="{EDA9F6A4-AF6A-4A53-BBC2-430FF883ACAD}"/>
    <cellStyle name="Incorrecto 2 7" xfId="27071" xr:uid="{0D13DD46-627E-4D71-B731-6B0BDEE12D40}"/>
    <cellStyle name="Incorrecto 2 8" xfId="17242" xr:uid="{6BFA52C7-D026-4860-A9E1-64CA231C573D}"/>
    <cellStyle name="Incorrecto 3" xfId="27072" xr:uid="{8E6B559B-D5AB-479F-96E4-8C3E9C20CDDA}"/>
    <cellStyle name="Incorrecto 4" xfId="27073" xr:uid="{105B2988-7960-4FBF-B324-A442E5083F87}"/>
    <cellStyle name="Incorrecto 5" xfId="27074" xr:uid="{15B02F8B-73F3-4555-81E3-BC4B4DE2F8CF}"/>
    <cellStyle name="Incorrecto 6" xfId="27075" xr:uid="{5E9A92D5-609C-491C-8177-88F9D3355205}"/>
    <cellStyle name="Incorrecto 7" xfId="27076" xr:uid="{40335925-C79E-4726-ACC7-C12B61253012}"/>
    <cellStyle name="Incorrecto 8" xfId="27077" xr:uid="{79B00AD6-5362-4E6A-9E4C-E167802193B0}"/>
    <cellStyle name="Indata 2" xfId="2562" xr:uid="{DA7C2BEB-EADC-4A16-9D14-E0FBC4942473}"/>
    <cellStyle name="Indata 2 2" xfId="17243" xr:uid="{A852D6AC-C9D2-4092-86EC-EE140257C352}"/>
    <cellStyle name="Indata 2 2 2" xfId="27078" xr:uid="{BC9BC6AB-AE99-4670-BB92-C1D4A74FB789}"/>
    <cellStyle name="Indata 2 2 3" xfId="27079" xr:uid="{41D98AFF-C6F1-4E18-AF45-C32ABEE04F6D}"/>
    <cellStyle name="Indata 2 2 4" xfId="27080" xr:uid="{88971EB1-74B0-458F-90BD-329FCF0F3AD6}"/>
    <cellStyle name="Indata 2 2 5" xfId="27081" xr:uid="{6915ABB5-834B-456D-BD91-250D828AE63F}"/>
    <cellStyle name="Indata 2 3" xfId="27082" xr:uid="{B2039A95-2CD4-4640-8A45-236B09A4C38E}"/>
    <cellStyle name="Indata 2 4" xfId="27083" xr:uid="{04648FC4-5622-447A-8DBA-D2319622C4CD}"/>
    <cellStyle name="Indata 2 5" xfId="27084" xr:uid="{A28F3A9C-A623-4A97-8E1D-B2DE7FADD8B3}"/>
    <cellStyle name="Indata 2 6" xfId="27085" xr:uid="{C3963876-F218-4E07-9724-96F39476C0BF}"/>
    <cellStyle name="Input 10" xfId="2563" xr:uid="{2B537420-960D-4735-8077-7D8AB655A49B}"/>
    <cellStyle name="Input 10 10" xfId="17244" xr:uid="{03432BE1-FEB3-4F4C-9678-52FA40C693FD}"/>
    <cellStyle name="Input 10 10 2" xfId="27086" xr:uid="{2A5AF225-69CD-496E-A942-D655266E50BF}"/>
    <cellStyle name="Input 10 10 3" xfId="27087" xr:uid="{8F713A03-1B1F-4A6E-9C10-D38CD8716400}"/>
    <cellStyle name="Input 10 10 4" xfId="27088" xr:uid="{85A16AC2-B15E-4D4E-A420-D1D3AA9A8A07}"/>
    <cellStyle name="Input 10 10 5" xfId="27089" xr:uid="{83114D86-9B79-416F-BABF-844102434B7D}"/>
    <cellStyle name="Input 10 11" xfId="27090" xr:uid="{A0EB7FFE-7C25-4BB5-AC2D-D716BDAB18EB}"/>
    <cellStyle name="Input 10 12" xfId="27091" xr:uid="{D1CA20A1-E562-40CA-A46B-0ECAD93406B0}"/>
    <cellStyle name="Input 10 13" xfId="27092" xr:uid="{1A1BDD2B-C0B7-4181-8021-F1A4EC7D36D4}"/>
    <cellStyle name="Input 10 14" xfId="27093" xr:uid="{21F4D1A6-8C11-4E6F-A81D-5234C714EE18}"/>
    <cellStyle name="Input 10 15" xfId="27094" xr:uid="{541C7554-264B-4ED5-B69F-F9086C61938E}"/>
    <cellStyle name="Input 10 2" xfId="2564" xr:uid="{755DE107-F84D-445A-8D6B-EBBA73A9E770}"/>
    <cellStyle name="Input 10 2 2" xfId="17245" xr:uid="{EAC2A98D-C3DD-4A2F-9EAB-D69080ACB066}"/>
    <cellStyle name="Input 10 2 2 2" xfId="27095" xr:uid="{1ADEABCA-4A49-412F-B350-96F37D54F8C4}"/>
    <cellStyle name="Input 10 2 2 3" xfId="27096" xr:uid="{96B72E61-D614-4782-879C-983CD7F500E9}"/>
    <cellStyle name="Input 10 2 2 4" xfId="27097" xr:uid="{4A10FF41-913D-463E-BB61-A041D7AA993B}"/>
    <cellStyle name="Input 10 2 2 5" xfId="27098" xr:uid="{391AC758-4659-4B42-9734-432129A2D0B0}"/>
    <cellStyle name="Input 10 2 3" xfId="27099" xr:uid="{F71A835C-EE94-4D06-9F61-B00EBF2B56FF}"/>
    <cellStyle name="Input 10 2 4" xfId="27100" xr:uid="{FAF22B55-E849-47E6-AB36-9760E3D1478C}"/>
    <cellStyle name="Input 10 2 5" xfId="27101" xr:uid="{0A8A3487-C371-430A-8A5A-4EEE40701C0C}"/>
    <cellStyle name="Input 10 2 6" xfId="27102" xr:uid="{BD940EAA-34A8-46FB-928C-6C12C7E21CE8}"/>
    <cellStyle name="Input 10 3" xfId="2565" xr:uid="{D8E82EF3-2E82-463A-923D-2355B1D4E01A}"/>
    <cellStyle name="Input 10 3 2" xfId="17246" xr:uid="{94B027BB-57E9-4A7B-BA96-F0E5273A56A1}"/>
    <cellStyle name="Input 10 3 2 2" xfId="27103" xr:uid="{78819EB6-198B-4751-9011-69A293175472}"/>
    <cellStyle name="Input 10 3 2 3" xfId="27104" xr:uid="{363A30C0-F479-41C6-91EA-951EFD14473C}"/>
    <cellStyle name="Input 10 3 2 4" xfId="27105" xr:uid="{3CE4B62F-492C-487A-AFC2-15A48D61BF9F}"/>
    <cellStyle name="Input 10 3 2 5" xfId="27106" xr:uid="{A89CEF92-C01F-445E-9E49-7A7CA5AC9F8A}"/>
    <cellStyle name="Input 10 3 3" xfId="27107" xr:uid="{FBAFECA4-A5FB-4778-A730-329B14A5B5B5}"/>
    <cellStyle name="Input 10 3 4" xfId="27108" xr:uid="{FAEA49C1-724F-4703-97ED-6D0B8DCF5186}"/>
    <cellStyle name="Input 10 3 5" xfId="27109" xr:uid="{0E0DDBEE-B9D1-4091-9136-AED1F4105A41}"/>
    <cellStyle name="Input 10 3 6" xfId="27110" xr:uid="{A6EE4C8E-1A24-4CAC-8F68-9F015A7B8DE5}"/>
    <cellStyle name="Input 10 4" xfId="2566" xr:uid="{8FD995C0-2F96-46AB-8A9E-531C6874B9E3}"/>
    <cellStyle name="Input 10 4 2" xfId="17247" xr:uid="{A1A824B4-41A2-4BAB-B5D3-03C6A93E6EA9}"/>
    <cellStyle name="Input 10 4 2 2" xfId="27111" xr:uid="{629D76FE-7F51-467B-B7D8-A4F075179FD2}"/>
    <cellStyle name="Input 10 4 2 3" xfId="27112" xr:uid="{A1E6925F-89BD-4E40-A465-9523A18ECEBE}"/>
    <cellStyle name="Input 10 4 2 4" xfId="27113" xr:uid="{CF937B72-3AB6-4F0E-B47B-7D6BD4D0444D}"/>
    <cellStyle name="Input 10 4 2 5" xfId="27114" xr:uid="{543DFFFD-72AD-4734-8C78-8AE973E0614F}"/>
    <cellStyle name="Input 10 4 3" xfId="27115" xr:uid="{DA70C67D-C171-4DE8-9345-1DE5D0B690C0}"/>
    <cellStyle name="Input 10 4 4" xfId="27116" xr:uid="{80E8D14E-7400-43EC-AD9A-A295E34F10F9}"/>
    <cellStyle name="Input 10 4 5" xfId="27117" xr:uid="{1DFED919-9165-49FF-9F39-B76008CAB5A0}"/>
    <cellStyle name="Input 10 4 6" xfId="27118" xr:uid="{5CBDF54C-F730-4E28-A67C-264F5460647B}"/>
    <cellStyle name="Input 10 5" xfId="2567" xr:uid="{21C5FA7C-AA0E-42D4-B957-41D5CF990443}"/>
    <cellStyle name="Input 10 5 2" xfId="17248" xr:uid="{D481BD93-A03B-46A2-BFFB-36A10C6F42B9}"/>
    <cellStyle name="Input 10 5 2 2" xfId="27119" xr:uid="{4BF9660C-A7C4-4835-9A21-523246B02B3E}"/>
    <cellStyle name="Input 10 5 2 3" xfId="27120" xr:uid="{7BEF48D6-E918-496B-85A1-F4172AE76DD1}"/>
    <cellStyle name="Input 10 5 2 4" xfId="27121" xr:uid="{10A9F6BF-FA54-42B3-9431-F40AB02D45DA}"/>
    <cellStyle name="Input 10 5 2 5" xfId="27122" xr:uid="{6E6538C9-69D3-4400-909E-7642310D6FE2}"/>
    <cellStyle name="Input 10 5 3" xfId="27123" xr:uid="{B14D4F43-8576-486B-85B1-68F86B85035F}"/>
    <cellStyle name="Input 10 5 4" xfId="27124" xr:uid="{38046705-D8AB-4C31-9A97-17C9D4F22575}"/>
    <cellStyle name="Input 10 5 5" xfId="27125" xr:uid="{A2C26077-3486-4561-950F-CF32304AB565}"/>
    <cellStyle name="Input 10 5 6" xfId="27126" xr:uid="{E5C79915-C6E3-4E48-B2F9-0D737D0E6599}"/>
    <cellStyle name="Input 10 6" xfId="2568" xr:uid="{AE3C37B8-7535-445D-A6F7-F3772906296C}"/>
    <cellStyle name="Input 10 6 2" xfId="17249" xr:uid="{318EEB32-79EC-47B1-A255-881A25D06A02}"/>
    <cellStyle name="Input 10 6 2 2" xfId="27127" xr:uid="{0385D938-8A76-4B4E-BFCE-CF73DE4CB6FF}"/>
    <cellStyle name="Input 10 6 2 3" xfId="27128" xr:uid="{A8030237-5C07-43C8-9D85-D8B54766124A}"/>
    <cellStyle name="Input 10 6 2 4" xfId="27129" xr:uid="{5DA2C481-69B6-4132-A3BA-DC523B2CEECB}"/>
    <cellStyle name="Input 10 6 2 5" xfId="27130" xr:uid="{16CE0ED3-81A0-482E-BD17-CE35FC3805D0}"/>
    <cellStyle name="Input 10 6 3" xfId="27131" xr:uid="{47381479-6205-44D7-A345-B5C3F276133D}"/>
    <cellStyle name="Input 10 6 4" xfId="27132" xr:uid="{448B3B70-2757-4CF3-B460-FEC444ED9E1D}"/>
    <cellStyle name="Input 10 6 5" xfId="27133" xr:uid="{4EC717F5-A315-4AE0-A592-CF1AC51BC7B4}"/>
    <cellStyle name="Input 10 6 6" xfId="27134" xr:uid="{9E2D917A-CA19-4FC4-ABD5-F74D961397DD}"/>
    <cellStyle name="Input 10 7" xfId="2569" xr:uid="{47CEC78D-6994-4B6A-A0E9-C02E60329B99}"/>
    <cellStyle name="Input 10 7 2" xfId="17250" xr:uid="{9085DB11-0CA9-4B5B-BA99-CF1C319E31E0}"/>
    <cellStyle name="Input 10 7 2 2" xfId="27135" xr:uid="{F80EF12C-2464-4C07-8503-36DF5F5B64EF}"/>
    <cellStyle name="Input 10 7 2 3" xfId="27136" xr:uid="{41B3F1E1-D84B-4322-8DA3-CCA32DF10C2F}"/>
    <cellStyle name="Input 10 7 2 4" xfId="27137" xr:uid="{7DF40F35-1462-461F-9933-9E15497913BE}"/>
    <cellStyle name="Input 10 7 2 5" xfId="27138" xr:uid="{D08E7876-B3F2-4C18-95ED-8D22BBBD2E29}"/>
    <cellStyle name="Input 10 7 3" xfId="27139" xr:uid="{27136E36-864F-481E-BCB8-6B52E12D994C}"/>
    <cellStyle name="Input 10 7 4" xfId="27140" xr:uid="{3D66F251-7FE9-4F21-8911-1FA44967DA26}"/>
    <cellStyle name="Input 10 7 5" xfId="27141" xr:uid="{94E11386-F9E0-4548-A75D-C74F77B1DDA9}"/>
    <cellStyle name="Input 10 7 6" xfId="27142" xr:uid="{676091D0-903F-45A4-B5AE-28BC7264E995}"/>
    <cellStyle name="Input 10 8" xfId="16674" xr:uid="{7D2F0762-0E6B-441A-8D21-A24F1B7D1428}"/>
    <cellStyle name="Input 10 8 2" xfId="17251" xr:uid="{A8292A50-2F23-4BDB-BE4B-C5B56CCF8A50}"/>
    <cellStyle name="Input 10 8 2 2" xfId="27143" xr:uid="{9049C068-CE3E-47A0-8672-6A4FB071E7B4}"/>
    <cellStyle name="Input 10 8 2 3" xfId="27144" xr:uid="{6C1A510C-9C23-4AAB-A92E-DF0A4D65FD56}"/>
    <cellStyle name="Input 10 8 2 4" xfId="27145" xr:uid="{9DA89A1B-7577-49F8-A981-9BBE5E41E927}"/>
    <cellStyle name="Input 10 8 2 5" xfId="27146" xr:uid="{6F067F87-B571-41E0-B2CB-789279615CF8}"/>
    <cellStyle name="Input 10 8 3" xfId="27147" xr:uid="{C28FDD5C-8565-4B7B-ACB2-637F164793E5}"/>
    <cellStyle name="Input 10 8 4" xfId="27148" xr:uid="{65A871B0-010B-4957-B232-ECB715555C06}"/>
    <cellStyle name="Input 10 8 5" xfId="27149" xr:uid="{1D9B351E-D1C0-4D86-8B9B-CFCF220E0F27}"/>
    <cellStyle name="Input 10 8 6" xfId="27150" xr:uid="{F020914B-D8D5-43C2-826B-98DC22F7B965}"/>
    <cellStyle name="Input 10 9" xfId="17252" xr:uid="{AEED4768-DBDF-4396-8262-8617C5CF5265}"/>
    <cellStyle name="Input 10 9 2" xfId="27151" xr:uid="{6C40811C-8069-4DC1-8C8D-5B33508C16A6}"/>
    <cellStyle name="Input 10 9 3" xfId="27152" xr:uid="{1497CB96-421E-496D-82E2-D31DA7A66834}"/>
    <cellStyle name="Input 10 9 4" xfId="27153" xr:uid="{EF16EE5E-AC26-4F1D-A99A-EC61B5FC530A}"/>
    <cellStyle name="Input 10 9 5" xfId="27154" xr:uid="{217F2324-777A-4AF9-8023-F364DA8EA2BA}"/>
    <cellStyle name="Input 10_ELC" xfId="15237" xr:uid="{E15AC855-3F2A-4E92-8D6F-8D388442831C}"/>
    <cellStyle name="Input 11" xfId="2570" xr:uid="{DAE40E8C-28EC-4CD0-A6E9-BFCDD77FE39C}"/>
    <cellStyle name="Input 11 10" xfId="17253" xr:uid="{ABBF7865-8A8D-40CA-9E2F-858365ACD7DF}"/>
    <cellStyle name="Input 11 10 2" xfId="27155" xr:uid="{3393189A-FC35-48C9-B114-913689F94578}"/>
    <cellStyle name="Input 11 10 3" xfId="27156" xr:uid="{032EF7B1-5E59-4F99-B923-AFDABFD4B827}"/>
    <cellStyle name="Input 11 10 4" xfId="27157" xr:uid="{4DDDEEC0-E068-425F-AB85-790CDFD8DF14}"/>
    <cellStyle name="Input 11 10 5" xfId="27158" xr:uid="{33F1021F-6A3C-460C-8E22-6095F943BDF8}"/>
    <cellStyle name="Input 11 11" xfId="27159" xr:uid="{6226523B-9E27-4706-BF1C-C44B53182D3B}"/>
    <cellStyle name="Input 11 12" xfId="27160" xr:uid="{053F3062-275E-4BD1-BEF0-3395E39CC5DF}"/>
    <cellStyle name="Input 11 13" xfId="27161" xr:uid="{68AA0F89-74B4-4BD5-99B5-F8783D6F90C3}"/>
    <cellStyle name="Input 11 14" xfId="27162" xr:uid="{4B0DD8C6-82A0-4E37-96C7-A1260082B54E}"/>
    <cellStyle name="Input 11 15" xfId="27163" xr:uid="{A9FACD6D-015B-4344-857B-35E17149B037}"/>
    <cellStyle name="Input 11 2" xfId="2571" xr:uid="{AD8E6BF9-3284-4622-A271-DC9DEE32036D}"/>
    <cellStyle name="Input 11 2 2" xfId="17254" xr:uid="{6F1549DD-967F-4E85-90DF-2FDD1F346D3F}"/>
    <cellStyle name="Input 11 2 2 2" xfId="27164" xr:uid="{93408EC7-14B3-4B4D-86A2-B3CAEEC9DE40}"/>
    <cellStyle name="Input 11 2 2 3" xfId="27165" xr:uid="{D21E1ADC-A88A-411B-AFDA-F17213BC35C6}"/>
    <cellStyle name="Input 11 2 2 4" xfId="27166" xr:uid="{07A02127-57CE-4677-A76B-5ABD581872C3}"/>
    <cellStyle name="Input 11 2 2 5" xfId="27167" xr:uid="{1B21F3C2-E5F4-4B97-B8EF-E14CF6ED22D1}"/>
    <cellStyle name="Input 11 2 3" xfId="27168" xr:uid="{57569AC4-D294-4D2A-ABEE-F58EE37EE75D}"/>
    <cellStyle name="Input 11 2 4" xfId="27169" xr:uid="{23A4491C-D150-4FB2-8220-AA40A532EB92}"/>
    <cellStyle name="Input 11 2 5" xfId="27170" xr:uid="{999855A3-F2D6-44A6-83BE-3229A5D638CF}"/>
    <cellStyle name="Input 11 2 6" xfId="27171" xr:uid="{6360EF90-036A-431F-B765-3006C81F4C75}"/>
    <cellStyle name="Input 11 3" xfId="2572" xr:uid="{6632303D-93E2-410B-A234-0DA8AA05AA25}"/>
    <cellStyle name="Input 11 3 2" xfId="17255" xr:uid="{6B83764D-287E-4FC9-96B6-EEFE662550EA}"/>
    <cellStyle name="Input 11 3 2 2" xfId="27172" xr:uid="{6C0A4D81-AEDE-4B9E-B95B-267E07A58D63}"/>
    <cellStyle name="Input 11 3 2 3" xfId="27173" xr:uid="{1ED12F64-80F2-4E80-9A19-D57B54761510}"/>
    <cellStyle name="Input 11 3 2 4" xfId="27174" xr:uid="{899BEB65-1709-45F7-AF14-EB1C5184365F}"/>
    <cellStyle name="Input 11 3 2 5" xfId="27175" xr:uid="{50C5304B-0E76-4B36-8948-8DE92FE9044C}"/>
    <cellStyle name="Input 11 3 3" xfId="27176" xr:uid="{9EDE9333-5D90-4BC3-BDB5-3FB642EF2F36}"/>
    <cellStyle name="Input 11 3 4" xfId="27177" xr:uid="{1FA9F926-9C84-4171-BB91-DCDC36973003}"/>
    <cellStyle name="Input 11 3 5" xfId="27178" xr:uid="{C9A1BF37-F874-43CD-9B59-6E2000915D33}"/>
    <cellStyle name="Input 11 3 6" xfId="27179" xr:uid="{8AAF8379-E79A-42A4-9238-C06449567196}"/>
    <cellStyle name="Input 11 4" xfId="2573" xr:uid="{BD366DC8-B36E-4ED4-8DB0-1CDC5DC2A9B4}"/>
    <cellStyle name="Input 11 4 2" xfId="17256" xr:uid="{EE76ECB3-920E-43B8-B4AE-E203DBD7EB90}"/>
    <cellStyle name="Input 11 4 2 2" xfId="27180" xr:uid="{F94FF8DE-E42F-4BD9-9D5C-5E589AA634D0}"/>
    <cellStyle name="Input 11 4 2 3" xfId="27181" xr:uid="{3250AFEF-EB6D-43A3-8ACC-2CF67CCC1561}"/>
    <cellStyle name="Input 11 4 2 4" xfId="27182" xr:uid="{CEEF80FA-83DC-4763-BC4F-C847EF1B421D}"/>
    <cellStyle name="Input 11 4 2 5" xfId="27183" xr:uid="{166343CD-9A77-4BFA-9D5F-1D88D14793CB}"/>
    <cellStyle name="Input 11 4 3" xfId="27184" xr:uid="{56536EA6-45F0-4983-B88E-8E45CF05D72A}"/>
    <cellStyle name="Input 11 4 4" xfId="27185" xr:uid="{098C9C02-10BB-4945-A552-A42FBD595DB2}"/>
    <cellStyle name="Input 11 4 5" xfId="27186" xr:uid="{8F60EB27-0FA3-41B7-8094-CE51F1BD43A9}"/>
    <cellStyle name="Input 11 4 6" xfId="27187" xr:uid="{855F1EC2-3850-437B-ACFE-D2287D72EACC}"/>
    <cellStyle name="Input 11 5" xfId="2574" xr:uid="{D8F76232-1D3A-4785-A72F-B517CFC91BE3}"/>
    <cellStyle name="Input 11 5 2" xfId="17257" xr:uid="{C560D8C2-2952-4E96-B967-35CEFDD699EF}"/>
    <cellStyle name="Input 11 5 2 2" xfId="27188" xr:uid="{7834E075-3012-4A01-9128-5FF0E2DB8A3B}"/>
    <cellStyle name="Input 11 5 2 3" xfId="27189" xr:uid="{9332D979-0D9B-41FD-BB9D-A2B7E36047F8}"/>
    <cellStyle name="Input 11 5 2 4" xfId="27190" xr:uid="{58038E09-E81B-4B6F-BA5B-4BCF357DEB67}"/>
    <cellStyle name="Input 11 5 2 5" xfId="27191" xr:uid="{5BF433BB-EB62-4E34-A3F9-D6AB9E0112E2}"/>
    <cellStyle name="Input 11 5 3" xfId="27192" xr:uid="{2E737FBC-AE54-4783-8410-EAD1E9801D81}"/>
    <cellStyle name="Input 11 5 4" xfId="27193" xr:uid="{E43A2DF8-06AF-454B-863F-6B07C5D2B5F3}"/>
    <cellStyle name="Input 11 5 5" xfId="27194" xr:uid="{7B3603FC-895A-4AA6-8408-F4F0AFA9EC84}"/>
    <cellStyle name="Input 11 5 6" xfId="27195" xr:uid="{B0140F81-0671-4EA0-8738-6A15399DE8B0}"/>
    <cellStyle name="Input 11 6" xfId="2575" xr:uid="{DA1BAFCE-243F-4859-BE98-3527955D75F1}"/>
    <cellStyle name="Input 11 6 2" xfId="17258" xr:uid="{3AB6538D-16B9-451A-A8AB-95E96B6C6B22}"/>
    <cellStyle name="Input 11 6 2 2" xfId="27196" xr:uid="{2181C7CE-2950-4723-BA1E-27351779488F}"/>
    <cellStyle name="Input 11 6 2 3" xfId="27197" xr:uid="{EBEC9233-1727-457C-9F83-1E4AA8EE1567}"/>
    <cellStyle name="Input 11 6 2 4" xfId="27198" xr:uid="{1BDB9FC1-4BA0-4EDC-9DA7-E0286E5EC340}"/>
    <cellStyle name="Input 11 6 2 5" xfId="27199" xr:uid="{7DE50480-AFF5-47BB-B885-C12CC670C976}"/>
    <cellStyle name="Input 11 6 3" xfId="27200" xr:uid="{06CCB23A-DE19-4439-8C98-A9FCDA3C03CD}"/>
    <cellStyle name="Input 11 6 4" xfId="27201" xr:uid="{AB07F416-9DCC-4137-96A3-CEEE77060916}"/>
    <cellStyle name="Input 11 6 5" xfId="27202" xr:uid="{4619BC88-7A8D-420A-AF09-BFAAB2CF7B44}"/>
    <cellStyle name="Input 11 6 6" xfId="27203" xr:uid="{AFF51F60-9B29-4CEA-9AFF-9AAC17236A9A}"/>
    <cellStyle name="Input 11 7" xfId="2576" xr:uid="{22B8CF30-8DFD-404C-B270-A4384BB21FB7}"/>
    <cellStyle name="Input 11 7 2" xfId="17259" xr:uid="{D7C840D0-B956-4EF5-BF04-2B23A723C207}"/>
    <cellStyle name="Input 11 7 2 2" xfId="27204" xr:uid="{0A968A53-11D2-4262-A674-28DFBC8DC78A}"/>
    <cellStyle name="Input 11 7 2 3" xfId="27205" xr:uid="{7412A78A-9CBF-472E-9687-4D4B6907951E}"/>
    <cellStyle name="Input 11 7 2 4" xfId="27206" xr:uid="{83152792-CD61-41D3-9791-B144692CE4D6}"/>
    <cellStyle name="Input 11 7 2 5" xfId="27207" xr:uid="{8D3A710C-277A-476A-8D60-3253FCFD825A}"/>
    <cellStyle name="Input 11 7 3" xfId="27208" xr:uid="{E88C6BC9-9F7B-4F5F-891A-7BAE9420D54D}"/>
    <cellStyle name="Input 11 7 4" xfId="27209" xr:uid="{B520950C-C33A-4AD1-A4BF-B215D4A0D1D9}"/>
    <cellStyle name="Input 11 7 5" xfId="27210" xr:uid="{AAB38E30-D9B5-4766-91D3-5170B412B2CA}"/>
    <cellStyle name="Input 11 7 6" xfId="27211" xr:uid="{1190732E-7805-4783-8A81-6A89ED500106}"/>
    <cellStyle name="Input 11 8" xfId="16675" xr:uid="{FB323C43-BA99-4136-ABF4-E3D4923FB945}"/>
    <cellStyle name="Input 11 8 2" xfId="17260" xr:uid="{A55A4A85-18C6-4FB5-9A8E-B84F4EC3E338}"/>
    <cellStyle name="Input 11 8 2 2" xfId="27212" xr:uid="{F1250D93-4412-47A2-AA4C-014FC4598414}"/>
    <cellStyle name="Input 11 8 2 3" xfId="27213" xr:uid="{FD27D22E-A047-4B81-B5DB-DF62E75CCB52}"/>
    <cellStyle name="Input 11 8 2 4" xfId="27214" xr:uid="{591B4B74-9B92-4EEB-83E6-50559747682E}"/>
    <cellStyle name="Input 11 8 2 5" xfId="27215" xr:uid="{AF53352D-ED67-4798-AC77-E354C1F75264}"/>
    <cellStyle name="Input 11 8 3" xfId="27216" xr:uid="{BF5305ED-A93D-47B1-9C65-4F7D58C65D2A}"/>
    <cellStyle name="Input 11 8 4" xfId="27217" xr:uid="{FFCC75F2-6BBC-4665-B0FA-07422CE15DBE}"/>
    <cellStyle name="Input 11 8 5" xfId="27218" xr:uid="{F5D13DE4-063E-4604-B68C-BB79CDE10EB1}"/>
    <cellStyle name="Input 11 8 6" xfId="27219" xr:uid="{B0F2EA54-A41A-4D10-9DE7-ADAAC81B7A22}"/>
    <cellStyle name="Input 11 9" xfId="17261" xr:uid="{C8F471B5-3EB6-446F-9421-FF88E3794B10}"/>
    <cellStyle name="Input 11 9 2" xfId="27220" xr:uid="{E6CC2616-589A-44BE-ABA0-5CB32384EC48}"/>
    <cellStyle name="Input 11 9 3" xfId="27221" xr:uid="{92C56272-FF17-4B10-A8EF-54DE3364B76D}"/>
    <cellStyle name="Input 11 9 4" xfId="27222" xr:uid="{D7689696-3FAC-4D55-BC90-BB17C9331BD1}"/>
    <cellStyle name="Input 11 9 5" xfId="27223" xr:uid="{77E517CA-4182-4DEA-B5B0-37C4C6C62A1B}"/>
    <cellStyle name="Input 11_IND_UC" xfId="15238" xr:uid="{31C36EC6-52A2-4F61-B07C-FF3957371FF2}"/>
    <cellStyle name="Input 12" xfId="2577" xr:uid="{66874388-7015-47BE-B949-0F81A8652F46}"/>
    <cellStyle name="Input 12 10" xfId="27224" xr:uid="{9C7E30EF-315F-4808-8FDB-A6C21307A9C5}"/>
    <cellStyle name="Input 12 11" xfId="27225" xr:uid="{A90B9554-3895-4B33-8821-73971965B115}"/>
    <cellStyle name="Input 12 2" xfId="2578" xr:uid="{1DDADA53-B507-4391-90DC-D8DABB6BA52E}"/>
    <cellStyle name="Input 12 2 2" xfId="17263" xr:uid="{F9A4CA52-F0CB-41C3-B4BE-4F32F0507A21}"/>
    <cellStyle name="Input 12 2 2 2" xfId="27226" xr:uid="{3592EBCB-C1EB-4435-9389-59D321381636}"/>
    <cellStyle name="Input 12 2 2 3" xfId="27227" xr:uid="{CAE7CD6A-ACC0-4D8B-9B95-E42FB820B774}"/>
    <cellStyle name="Input 12 2 2 4" xfId="27228" xr:uid="{63AD1F49-2B17-47BC-9F34-9D616819B092}"/>
    <cellStyle name="Input 12 2 2 5" xfId="27229" xr:uid="{99FC5C18-8352-4347-BACA-7C28D4EB2AD1}"/>
    <cellStyle name="Input 12 2 3" xfId="27230" xr:uid="{89887EF8-1252-481B-842A-EBD0798C86DE}"/>
    <cellStyle name="Input 12 2 4" xfId="27231" xr:uid="{E3A89108-73BB-461E-B109-238BD705D33E}"/>
    <cellStyle name="Input 12 2 5" xfId="27232" xr:uid="{96FE17F9-479D-44E0-86F2-F3D790717BA6}"/>
    <cellStyle name="Input 12 2 6" xfId="27233" xr:uid="{B06A644E-B698-4DFA-B58E-1709E87384D8}"/>
    <cellStyle name="Input 12 3" xfId="2579" xr:uid="{F5BA6665-C7C1-4125-9283-03BFABFE2DBC}"/>
    <cellStyle name="Input 12 3 2" xfId="17264" xr:uid="{0616E79C-1DF9-4F81-9BB0-27D10D635B37}"/>
    <cellStyle name="Input 12 3 2 2" xfId="27234" xr:uid="{8C8A046A-B1BF-4F47-8382-0391F41D45BF}"/>
    <cellStyle name="Input 12 3 2 3" xfId="27235" xr:uid="{BE0C2E62-3B03-4F30-ADF4-39696D5521CF}"/>
    <cellStyle name="Input 12 3 2 4" xfId="27236" xr:uid="{2F09B65E-9074-4C1A-8A2A-541952DA2F66}"/>
    <cellStyle name="Input 12 3 2 5" xfId="27237" xr:uid="{FD7524BF-6BA1-48A2-B39C-12D40C02DF89}"/>
    <cellStyle name="Input 12 3 3" xfId="27238" xr:uid="{C210EAFD-B5C4-4087-81EC-94931B88C80B}"/>
    <cellStyle name="Input 12 3 4" xfId="27239" xr:uid="{AA6EBE50-8CBD-4878-9E0A-18111FDD9FB1}"/>
    <cellStyle name="Input 12 3 5" xfId="27240" xr:uid="{9FC970A3-EC4C-45EB-A9FB-EB1A95B7B50B}"/>
    <cellStyle name="Input 12 3 6" xfId="27241" xr:uid="{62EBDEEA-662C-4F39-A93C-C8244FD653EB}"/>
    <cellStyle name="Input 12 4" xfId="2580" xr:uid="{136F37B3-D23B-41C9-B6BB-9E23292769ED}"/>
    <cellStyle name="Input 12 4 2" xfId="17265" xr:uid="{3DA915C9-9DE8-4670-9D77-E8506D9638AC}"/>
    <cellStyle name="Input 12 4 2 2" xfId="27242" xr:uid="{774DD4D4-E79B-41FD-BF08-4047DB5FEB78}"/>
    <cellStyle name="Input 12 4 2 3" xfId="27243" xr:uid="{CF2456CB-CA74-4D90-A501-369665B5F9EA}"/>
    <cellStyle name="Input 12 4 2 4" xfId="27244" xr:uid="{F440F952-3538-477B-9464-25D18D89D2CF}"/>
    <cellStyle name="Input 12 4 2 5" xfId="27245" xr:uid="{7DEAB863-8235-4C9A-9819-7974A6012FCC}"/>
    <cellStyle name="Input 12 4 3" xfId="27246" xr:uid="{59200ECF-7B2B-4A10-9FFB-90D895E7A46F}"/>
    <cellStyle name="Input 12 4 4" xfId="27247" xr:uid="{BF7534F3-7225-453E-BF6A-E7F4260C7C3D}"/>
    <cellStyle name="Input 12 4 5" xfId="27248" xr:uid="{29A743C2-61FD-4420-8946-09CF43560764}"/>
    <cellStyle name="Input 12 4 6" xfId="27249" xr:uid="{CFE6EEA3-0C46-4FFC-87C4-14CB9BE3B497}"/>
    <cellStyle name="Input 12 5" xfId="2581" xr:uid="{4FB068FC-A8DC-4791-B2AE-5CEB584D64C0}"/>
    <cellStyle name="Input 12 5 2" xfId="16398" xr:uid="{D8CA3ACC-D2F6-4A0A-8600-7E809D9FB5BB}"/>
    <cellStyle name="Input 12 5 2 2" xfId="17267" xr:uid="{432E2386-9DB0-449F-A9C2-0B30C1B4C033}"/>
    <cellStyle name="Input 12 5 2 2 2" xfId="27250" xr:uid="{31B75BAC-484B-4C3F-9244-44B0FB1EC4AF}"/>
    <cellStyle name="Input 12 5 2 2 3" xfId="27251" xr:uid="{ED340475-7257-4198-9383-02E051E788F3}"/>
    <cellStyle name="Input 12 5 2 2 4" xfId="27252" xr:uid="{CA679D44-19E6-47F7-B36B-0FFB81ECC37D}"/>
    <cellStyle name="Input 12 5 2 2 5" xfId="27253" xr:uid="{88371205-A816-465D-A62B-49E57A64A3E7}"/>
    <cellStyle name="Input 12 5 2 3" xfId="27254" xr:uid="{072F4841-3F4C-41D1-A5BA-0E5051AA986C}"/>
    <cellStyle name="Input 12 5 2 4" xfId="27255" xr:uid="{FC60F08A-3B54-4FB3-B53E-E07282A948B4}"/>
    <cellStyle name="Input 12 5 2 5" xfId="27256" xr:uid="{68621895-3D6A-4737-9B07-2BD6183663BF}"/>
    <cellStyle name="Input 12 5 2 6" xfId="27257" xr:uid="{61115F37-D03F-43A0-9A1F-911F52884EA5}"/>
    <cellStyle name="Input 12 5 3" xfId="17266" xr:uid="{01E2AC85-4B38-4EDA-AE02-B3E4B44AE1F6}"/>
    <cellStyle name="Input 12 5 3 2" xfId="27258" xr:uid="{280623B8-DB69-4F4A-91FD-CD64D5674CD5}"/>
    <cellStyle name="Input 12 5 3 3" xfId="27259" xr:uid="{C7A6C20D-3209-4C4C-9737-F11C81A6AF75}"/>
    <cellStyle name="Input 12 5 3 4" xfId="27260" xr:uid="{F06E728F-AFE5-469B-817C-8BC569D8C24C}"/>
    <cellStyle name="Input 12 5 3 5" xfId="27261" xr:uid="{8A2E22EF-19A7-464D-A905-90E38A22B438}"/>
    <cellStyle name="Input 12 5 4" xfId="27262" xr:uid="{B0C4839E-B8A0-449B-9639-D3F87ADF9350}"/>
    <cellStyle name="Input 12 5 5" xfId="27263" xr:uid="{6E8905B5-ACAA-4481-B811-C31CC4130DB6}"/>
    <cellStyle name="Input 12 5 6" xfId="27264" xr:uid="{4F720368-E0EB-449F-B6C0-1AAF959447CD}"/>
    <cellStyle name="Input 12 5 7" xfId="27265" xr:uid="{88B7AE20-F211-4B41-BE57-A7A13F852F83}"/>
    <cellStyle name="Input 12 5 8" xfId="16676" xr:uid="{4A7E609A-C71E-4689-8181-F45FEF4BBC8F}"/>
    <cellStyle name="Input 12 6" xfId="17262" xr:uid="{599F3D8A-89D7-4C2B-81BC-3C3C7B187D6E}"/>
    <cellStyle name="Input 12 6 2" xfId="27266" xr:uid="{FF331656-A543-4934-B33E-267CB0713E32}"/>
    <cellStyle name="Input 12 6 3" xfId="27267" xr:uid="{F0EAB926-230D-446D-9D6E-316CD76216DE}"/>
    <cellStyle name="Input 12 6 4" xfId="27268" xr:uid="{36601D8C-571C-4017-8B09-D88D9FBEA39C}"/>
    <cellStyle name="Input 12 6 5" xfId="27269" xr:uid="{6B472295-F652-462A-A74A-56CA9F7E9BBA}"/>
    <cellStyle name="Input 12 7" xfId="27270" xr:uid="{1183C3AF-885E-4CE7-BFF4-B2C9B5BCEDB2}"/>
    <cellStyle name="Input 12 8" xfId="27271" xr:uid="{32C1CF07-59CA-4249-B9F6-DE9FC0DD1C61}"/>
    <cellStyle name="Input 12 9" xfId="27272" xr:uid="{CA26E730-A98F-44B0-96DC-59AF3FB60021}"/>
    <cellStyle name="Input 12_IND_UC" xfId="15239" xr:uid="{A66CDACF-E25A-4300-A033-F3FDF85BD930}"/>
    <cellStyle name="Input 13" xfId="2582" xr:uid="{AC868CB3-A2F3-4F3E-8470-B584CEE34A53}"/>
    <cellStyle name="Input 13 10" xfId="27273" xr:uid="{72260893-9801-48AB-84A4-11AA65AE5FA1}"/>
    <cellStyle name="Input 13 11" xfId="27274" xr:uid="{470FCBEA-6CFF-4816-81F1-B2035EA89C1B}"/>
    <cellStyle name="Input 13 2" xfId="2583" xr:uid="{9470A1A8-ABC5-42BE-9288-22293B8FE53B}"/>
    <cellStyle name="Input 13 2 2" xfId="17269" xr:uid="{C4AC9620-AD35-475B-AC13-1B8183EB2EEA}"/>
    <cellStyle name="Input 13 2 2 2" xfId="27275" xr:uid="{EAA8AE27-E1A6-42EE-B3DF-6AC0C31564EA}"/>
    <cellStyle name="Input 13 2 2 3" xfId="27276" xr:uid="{ACBF2328-47E5-4622-9D25-9FE785DB1B36}"/>
    <cellStyle name="Input 13 2 2 4" xfId="27277" xr:uid="{07EA1AAA-F75A-4D53-ACF6-AABB9DC94279}"/>
    <cellStyle name="Input 13 2 2 5" xfId="27278" xr:uid="{5F4D6262-6B48-45DA-BC47-673C70FB066A}"/>
    <cellStyle name="Input 13 2 3" xfId="27279" xr:uid="{C01DC593-0C0E-41D1-BF8D-3D83A764F5DA}"/>
    <cellStyle name="Input 13 2 4" xfId="27280" xr:uid="{424393D5-E54E-4879-BE60-94F594D8B585}"/>
    <cellStyle name="Input 13 2 5" xfId="27281" xr:uid="{7DBE25FE-43CD-4171-96BC-EF299BE9A5C2}"/>
    <cellStyle name="Input 13 2 6" xfId="27282" xr:uid="{730BBDA1-15DB-4FA0-8EF2-92CAC4A9AF67}"/>
    <cellStyle name="Input 13 3" xfId="2584" xr:uid="{9F192AB3-57F4-4B76-987A-0F74D863F6BF}"/>
    <cellStyle name="Input 13 3 2" xfId="17270" xr:uid="{A7F8F7F7-40ED-488D-873A-AD85FC3E1C1B}"/>
    <cellStyle name="Input 13 3 2 2" xfId="27283" xr:uid="{AFE8F5B6-00D7-4E7D-8EDF-8D0588660124}"/>
    <cellStyle name="Input 13 3 2 3" xfId="27284" xr:uid="{4FE5EF2B-3722-4184-AF61-304FCF122D53}"/>
    <cellStyle name="Input 13 3 2 4" xfId="27285" xr:uid="{079902F5-7165-415E-B252-87F70E5BF476}"/>
    <cellStyle name="Input 13 3 2 5" xfId="27286" xr:uid="{C6D7B8AC-66E6-4FCD-A026-51468C8F3A72}"/>
    <cellStyle name="Input 13 3 3" xfId="27287" xr:uid="{4969C600-70BA-41C1-99AA-E28293C951BC}"/>
    <cellStyle name="Input 13 3 4" xfId="27288" xr:uid="{B211D3DA-F816-458E-8794-E4FDA3F48DD8}"/>
    <cellStyle name="Input 13 3 5" xfId="27289" xr:uid="{0ED3D232-3A2F-4AA0-A5BE-D2E78C9F6B31}"/>
    <cellStyle name="Input 13 3 6" xfId="27290" xr:uid="{01E4E413-296B-464C-81EA-E80C7DC683C2}"/>
    <cellStyle name="Input 13 4" xfId="2585" xr:uid="{F315BD3B-F37C-4D29-830F-59DB98C041BD}"/>
    <cellStyle name="Input 13 4 2" xfId="17271" xr:uid="{E753CC7C-F118-47E3-B65C-B1CEAC21B94A}"/>
    <cellStyle name="Input 13 4 2 2" xfId="27291" xr:uid="{65EBC4CD-8BE7-4451-BA22-0CCF0FC45B56}"/>
    <cellStyle name="Input 13 4 2 3" xfId="27292" xr:uid="{9A7C99AB-8B2C-4CB6-9B14-3449175D2DDC}"/>
    <cellStyle name="Input 13 4 2 4" xfId="27293" xr:uid="{6B2C36F2-6314-427A-9F08-8F5A8F86162F}"/>
    <cellStyle name="Input 13 4 2 5" xfId="27294" xr:uid="{49A61129-CD44-4C21-8E2F-567B3EB67991}"/>
    <cellStyle name="Input 13 4 3" xfId="27295" xr:uid="{42E8315B-40CD-455E-B270-9DC8394BAEAC}"/>
    <cellStyle name="Input 13 4 4" xfId="27296" xr:uid="{6AD415D5-5B55-4D10-A2A4-69EC06C7478A}"/>
    <cellStyle name="Input 13 4 5" xfId="27297" xr:uid="{E1F82DD7-8E2B-4EAC-854B-519814C0B771}"/>
    <cellStyle name="Input 13 4 6" xfId="27298" xr:uid="{5F77179F-3232-429E-84E9-D2F4BAF76F8C}"/>
    <cellStyle name="Input 13 5" xfId="2586" xr:uid="{DEBD6258-45DF-4304-BBB2-3551035236DC}"/>
    <cellStyle name="Input 13 5 2" xfId="16780" xr:uid="{566C9A84-21FE-4C08-B883-13F303C03B6C}"/>
    <cellStyle name="Input 13 5 2 2" xfId="17273" xr:uid="{6FA52805-0678-40BE-A64A-7CF78C163CF3}"/>
    <cellStyle name="Input 13 5 2 2 2" xfId="27299" xr:uid="{F76A2B3D-4985-4C58-985B-9EF7878F64D3}"/>
    <cellStyle name="Input 13 5 2 2 3" xfId="27300" xr:uid="{AC66953C-56BA-4048-8C23-0AEF517C9EAC}"/>
    <cellStyle name="Input 13 5 2 2 4" xfId="27301" xr:uid="{AE8B5030-EB4B-4B3F-B2CF-05122628F018}"/>
    <cellStyle name="Input 13 5 2 2 5" xfId="27302" xr:uid="{9BD55550-93D9-4D24-8FD8-11CC457FCC89}"/>
    <cellStyle name="Input 13 5 2 3" xfId="27303" xr:uid="{9EB1078A-5433-453F-BC0A-CF0C0C4054EB}"/>
    <cellStyle name="Input 13 5 2 4" xfId="27304" xr:uid="{BC3F4096-A03A-4E7F-AC2B-3749DFF33250}"/>
    <cellStyle name="Input 13 5 2 5" xfId="27305" xr:uid="{8A6B0F5B-C201-4776-9227-C244512C0E8B}"/>
    <cellStyle name="Input 13 5 2 6" xfId="27306" xr:uid="{AD3D232B-7DC6-40E2-B2E6-DED25CE369EB}"/>
    <cellStyle name="Input 13 5 3" xfId="17272" xr:uid="{9A58E3CB-C9BE-453B-9993-CB16499C7E5D}"/>
    <cellStyle name="Input 13 5 3 2" xfId="27307" xr:uid="{4FF4A34D-5CD6-40D7-A435-61C45A9440E4}"/>
    <cellStyle name="Input 13 5 3 3" xfId="27308" xr:uid="{5C4A15B7-A3DA-4FAA-B9A8-35DDEC2F0301}"/>
    <cellStyle name="Input 13 5 3 4" xfId="27309" xr:uid="{DC14A3F6-FFF9-47C8-9BBF-798070DE6144}"/>
    <cellStyle name="Input 13 5 3 5" xfId="27310" xr:uid="{EB44715E-9961-4247-86AF-001935C0D62C}"/>
    <cellStyle name="Input 13 5 4" xfId="27311" xr:uid="{DC90A294-3926-4528-AA0B-3D9D766CCA9C}"/>
    <cellStyle name="Input 13 5 5" xfId="27312" xr:uid="{5B4077C1-7FFA-447A-887A-05F32980DE85}"/>
    <cellStyle name="Input 13 5 6" xfId="27313" xr:uid="{A39E81CF-7EDE-4737-9BDB-43BE1B6523EA}"/>
    <cellStyle name="Input 13 5 7" xfId="27314" xr:uid="{A310588B-DDF2-42AC-A3ED-C7CA0E9996F7}"/>
    <cellStyle name="Input 13 5 8" xfId="16677" xr:uid="{076DFC66-0815-4324-9340-8FA9D01B7630}"/>
    <cellStyle name="Input 13 6" xfId="17268" xr:uid="{EE8EB274-5765-4191-8FB8-960CD8F38861}"/>
    <cellStyle name="Input 13 6 2" xfId="27315" xr:uid="{8280D61F-29C5-4E87-8EA0-24E7BF3D227A}"/>
    <cellStyle name="Input 13 6 3" xfId="27316" xr:uid="{B33B602E-A93E-485F-B587-146542474E6F}"/>
    <cellStyle name="Input 13 6 4" xfId="27317" xr:uid="{95145B45-2B36-4C5C-9A10-534978AAD473}"/>
    <cellStyle name="Input 13 6 5" xfId="27318" xr:uid="{82F9A843-F9B7-4CA6-BBCB-A3D943CE9142}"/>
    <cellStyle name="Input 13 7" xfId="27319" xr:uid="{CA85B19C-608B-41DE-ACAB-660B7A9DDFD5}"/>
    <cellStyle name="Input 13 8" xfId="27320" xr:uid="{13F2951A-E567-4A8F-9E5E-21F0F4F4C01D}"/>
    <cellStyle name="Input 13 9" xfId="27321" xr:uid="{912C9291-87AF-4B38-8DDD-9D4387238F82}"/>
    <cellStyle name="Input 13_IND_UC" xfId="15240" xr:uid="{78E4CC8D-AB96-4F60-B984-702F77FD0029}"/>
    <cellStyle name="Input 14" xfId="2587" xr:uid="{10BB0156-6E29-4ADF-B9AB-BF45311DE547}"/>
    <cellStyle name="Input 14 10" xfId="27322" xr:uid="{696E8BBD-E97F-41FA-A5B5-D92001053C32}"/>
    <cellStyle name="Input 14 11" xfId="27323" xr:uid="{591C5959-1A7F-47A0-8903-0381BD33A21D}"/>
    <cellStyle name="Input 14 2" xfId="2588" xr:uid="{C12E2D99-0183-4091-A1A5-331B4180A448}"/>
    <cellStyle name="Input 14 2 2" xfId="17275" xr:uid="{9BC770FC-8546-4BC2-91B2-152EF11B6D46}"/>
    <cellStyle name="Input 14 2 2 2" xfId="27324" xr:uid="{4D9B7E4E-EEC3-4ED1-AC27-D8BDB30AB224}"/>
    <cellStyle name="Input 14 2 2 3" xfId="27325" xr:uid="{53C6FA57-B49C-4E2E-A217-BE0EF9A16BE8}"/>
    <cellStyle name="Input 14 2 2 4" xfId="27326" xr:uid="{9F925116-CD7A-44A2-9236-18FDA0855D28}"/>
    <cellStyle name="Input 14 2 2 5" xfId="27327" xr:uid="{E6FB07BE-3495-437D-89B7-8D0B9719772A}"/>
    <cellStyle name="Input 14 2 3" xfId="27328" xr:uid="{957E65A5-2050-45D7-B5E8-67F9B4050D17}"/>
    <cellStyle name="Input 14 2 4" xfId="27329" xr:uid="{6BB4E3BF-A1D8-4419-9917-F467F0052577}"/>
    <cellStyle name="Input 14 2 5" xfId="27330" xr:uid="{49E58477-609E-469D-BA8F-94FA0FE61CE3}"/>
    <cellStyle name="Input 14 2 6" xfId="27331" xr:uid="{12CF7680-31E5-4671-83B3-C0069D840697}"/>
    <cellStyle name="Input 14 3" xfId="2589" xr:uid="{44C94DE4-C22F-4471-BEBC-80B07E094752}"/>
    <cellStyle name="Input 14 3 2" xfId="17276" xr:uid="{3A5F4F90-5E38-4E77-8EEF-9DC0E4819D01}"/>
    <cellStyle name="Input 14 3 2 2" xfId="27332" xr:uid="{C067DF7C-C5D8-49D8-A655-E69BDEA9C457}"/>
    <cellStyle name="Input 14 3 2 3" xfId="27333" xr:uid="{1203FD4D-ED18-43FE-B5A4-FA7401DF7857}"/>
    <cellStyle name="Input 14 3 2 4" xfId="27334" xr:uid="{86EDA08E-C0AF-46EE-A5B9-C754DF3242C4}"/>
    <cellStyle name="Input 14 3 2 5" xfId="27335" xr:uid="{D378CD6C-E681-43DF-8811-B7C88FF6618B}"/>
    <cellStyle name="Input 14 3 3" xfId="27336" xr:uid="{BB6A5B31-6A75-437D-BB82-EE54BE1DB0F8}"/>
    <cellStyle name="Input 14 3 4" xfId="27337" xr:uid="{607A702E-61D2-44AD-BAE9-C8D1F42F95D8}"/>
    <cellStyle name="Input 14 3 5" xfId="27338" xr:uid="{F6F4A60F-7215-4DF3-963D-FA295671BD70}"/>
    <cellStyle name="Input 14 3 6" xfId="27339" xr:uid="{B28ED7D0-2ECD-4319-82C1-E00F124F4975}"/>
    <cellStyle name="Input 14 4" xfId="2590" xr:uid="{31D33A8B-F5DC-42C4-9601-811E76333A64}"/>
    <cellStyle name="Input 14 4 2" xfId="17277" xr:uid="{DD0B2235-5030-4D12-8BF1-38B37959F46D}"/>
    <cellStyle name="Input 14 4 2 2" xfId="27340" xr:uid="{9A22D9CF-4B53-459D-A1B3-63D8E4782F6A}"/>
    <cellStyle name="Input 14 4 2 3" xfId="27341" xr:uid="{4D73E7A7-64AC-4A2D-A2DC-E314D768AE56}"/>
    <cellStyle name="Input 14 4 2 4" xfId="27342" xr:uid="{00E29FD0-F6C2-4D53-A190-062B65863C32}"/>
    <cellStyle name="Input 14 4 2 5" xfId="27343" xr:uid="{023F8B99-042D-47C2-B5F2-636930937264}"/>
    <cellStyle name="Input 14 4 3" xfId="27344" xr:uid="{9C9C2F77-12E9-4608-B388-E5A313BE8D16}"/>
    <cellStyle name="Input 14 4 4" xfId="27345" xr:uid="{293D2D6B-A0FD-4173-AE3C-6C284E4AFFA9}"/>
    <cellStyle name="Input 14 4 5" xfId="27346" xr:uid="{6D2DE2F4-C726-4B14-8650-267386C4B096}"/>
    <cellStyle name="Input 14 4 6" xfId="27347" xr:uid="{87B7E7DC-2155-4F88-A074-F9004D389C25}"/>
    <cellStyle name="Input 14 5" xfId="2591" xr:uid="{CBE27D98-59B8-48C8-AC23-F75DA11347E7}"/>
    <cellStyle name="Input 14 5 2" xfId="16779" xr:uid="{C9B02DF0-FBC2-40A4-BE00-6139216C94B8}"/>
    <cellStyle name="Input 14 5 2 2" xfId="17279" xr:uid="{D9F89F4D-38C5-4B48-A028-8116A7462546}"/>
    <cellStyle name="Input 14 5 2 2 2" xfId="27348" xr:uid="{8C26C5E2-142F-47E3-BFDC-51EDB7DA5E76}"/>
    <cellStyle name="Input 14 5 2 2 3" xfId="27349" xr:uid="{BD027621-4350-4721-88FC-A571FD97EE3D}"/>
    <cellStyle name="Input 14 5 2 2 4" xfId="27350" xr:uid="{0C68B92B-18D0-48ED-9D48-7F6C0DC5DEE2}"/>
    <cellStyle name="Input 14 5 2 2 5" xfId="27351" xr:uid="{1C12D51C-969B-4E1D-B764-6F85936F58EB}"/>
    <cellStyle name="Input 14 5 2 3" xfId="27352" xr:uid="{9875481C-3645-4877-AAC1-52333B9AAEF6}"/>
    <cellStyle name="Input 14 5 2 4" xfId="27353" xr:uid="{C438184B-B5EC-4040-9D5F-AF976B28AAC9}"/>
    <cellStyle name="Input 14 5 2 5" xfId="27354" xr:uid="{A2A9F2CB-7FD7-4892-98AE-A82D6D79205F}"/>
    <cellStyle name="Input 14 5 2 6" xfId="27355" xr:uid="{4169F5AE-10B2-438C-AD7E-39B6E4ECFEB6}"/>
    <cellStyle name="Input 14 5 3" xfId="17278" xr:uid="{53113C67-2028-46A9-A900-F99E0646DC77}"/>
    <cellStyle name="Input 14 5 3 2" xfId="27356" xr:uid="{BC789464-795C-4570-BFC2-08634DCEE73B}"/>
    <cellStyle name="Input 14 5 3 3" xfId="27357" xr:uid="{69305565-AA8F-44EA-AE68-7E2BD5F8A458}"/>
    <cellStyle name="Input 14 5 3 4" xfId="27358" xr:uid="{B7AFAED0-4389-48CE-B8ED-5B3B1B5993A4}"/>
    <cellStyle name="Input 14 5 3 5" xfId="27359" xr:uid="{21FC1BB8-A358-4ECA-9D89-5C9EF1D28020}"/>
    <cellStyle name="Input 14 5 4" xfId="27360" xr:uid="{786FC54D-329E-42CC-BD60-7910DCF1AA25}"/>
    <cellStyle name="Input 14 5 5" xfId="27361" xr:uid="{5C998F73-CF34-43EB-83CC-00DD0F01395F}"/>
    <cellStyle name="Input 14 5 6" xfId="27362" xr:uid="{EE2D8CEC-E6AE-4DA7-91D0-16FD904AF1E0}"/>
    <cellStyle name="Input 14 5 7" xfId="27363" xr:uid="{DCCD17EE-0B57-46E8-B1C2-2CC4CF5D12DD}"/>
    <cellStyle name="Input 14 5 8" xfId="16678" xr:uid="{D03E6A84-47D8-4E96-811B-E7B523E55C61}"/>
    <cellStyle name="Input 14 6" xfId="17274" xr:uid="{8FCA5925-9723-44B8-AA90-F9BE92278AB0}"/>
    <cellStyle name="Input 14 6 2" xfId="27364" xr:uid="{B9AAAD04-87D1-4DFB-B22A-58ABC3A6F52F}"/>
    <cellStyle name="Input 14 6 3" xfId="27365" xr:uid="{65D6F3A1-CE24-4166-9CD5-03842F2B5BC1}"/>
    <cellStyle name="Input 14 6 4" xfId="27366" xr:uid="{3DD20EC5-3DEF-4EA7-9520-F49170C16273}"/>
    <cellStyle name="Input 14 6 5" xfId="27367" xr:uid="{34111919-FA07-439E-8EAC-53FDF3555039}"/>
    <cellStyle name="Input 14 7" xfId="27368" xr:uid="{54F61B6A-F619-473A-80A6-9364BF97C6DD}"/>
    <cellStyle name="Input 14 8" xfId="27369" xr:uid="{77C0701E-0E09-420B-8C8C-E86A37588BE5}"/>
    <cellStyle name="Input 14 9" xfId="27370" xr:uid="{BDF3482B-F4B7-461F-BB69-60410C8DE826}"/>
    <cellStyle name="Input 14_IND_UC" xfId="15241" xr:uid="{57CC29F5-0A1B-4FDA-8E75-32D3C4BAC23B}"/>
    <cellStyle name="Input 15" xfId="2592" xr:uid="{799FDE0F-CB74-4415-89EA-26529D6E5C3C}"/>
    <cellStyle name="Input 15 10" xfId="27371" xr:uid="{B2175F53-9857-4BD0-A8E7-924A7B2DAAE8}"/>
    <cellStyle name="Input 15 11" xfId="27372" xr:uid="{4793F9D2-BF16-4BC4-B6CF-E4ED72C72B31}"/>
    <cellStyle name="Input 15 2" xfId="2593" xr:uid="{4AAF9D27-FFFC-4E54-9D08-AD7529250386}"/>
    <cellStyle name="Input 15 2 2" xfId="17281" xr:uid="{64F52D65-3334-4A2D-A04F-38898A9D99FD}"/>
    <cellStyle name="Input 15 2 2 2" xfId="27373" xr:uid="{1AC318E1-C967-4B28-86A8-0916B16BBE4D}"/>
    <cellStyle name="Input 15 2 2 3" xfId="27374" xr:uid="{111FCD50-7E23-45BE-BD6B-DC35F71786D4}"/>
    <cellStyle name="Input 15 2 2 4" xfId="27375" xr:uid="{600E4AE7-746E-42DE-A39E-E9E53FE7A9DB}"/>
    <cellStyle name="Input 15 2 2 5" xfId="27376" xr:uid="{6E7CD8DD-F97E-469B-B331-6793F4A97B18}"/>
    <cellStyle name="Input 15 2 3" xfId="27377" xr:uid="{D05BDDEB-4388-4231-AC9A-87D940BDA458}"/>
    <cellStyle name="Input 15 2 4" xfId="27378" xr:uid="{35784DB2-B027-4D44-B8A8-36086D560915}"/>
    <cellStyle name="Input 15 2 5" xfId="27379" xr:uid="{D840467B-846A-49EF-BA21-E8D2ACC6B172}"/>
    <cellStyle name="Input 15 2 6" xfId="27380" xr:uid="{758B8B00-8306-4BD7-8177-E13CA2F6CF4F}"/>
    <cellStyle name="Input 15 3" xfId="2594" xr:uid="{9DAA4478-F0EB-4BD5-8E26-B9B5F4F67264}"/>
    <cellStyle name="Input 15 3 2" xfId="17282" xr:uid="{4E3F39E1-38E0-4AB6-933C-5825F96BB3F2}"/>
    <cellStyle name="Input 15 3 2 2" xfId="27381" xr:uid="{331A3A83-E9B1-4CD9-8B65-E659B327BE82}"/>
    <cellStyle name="Input 15 3 2 3" xfId="27382" xr:uid="{031F3703-E6D8-4200-9F42-28D23D95A21B}"/>
    <cellStyle name="Input 15 3 2 4" xfId="27383" xr:uid="{52E07D30-7AED-477C-9AEF-6BABEF88B60C}"/>
    <cellStyle name="Input 15 3 2 5" xfId="27384" xr:uid="{8B025CFB-BB6B-4109-B485-76F60D2D0CAA}"/>
    <cellStyle name="Input 15 3 3" xfId="27385" xr:uid="{D48A6158-37A7-445E-8D0D-C4477F26B824}"/>
    <cellStyle name="Input 15 3 4" xfId="27386" xr:uid="{C3DABF11-DFC7-4DA3-AA17-3DB93A6D2E54}"/>
    <cellStyle name="Input 15 3 5" xfId="27387" xr:uid="{B7323268-D3AF-4E8F-A3DA-75304A543C9F}"/>
    <cellStyle name="Input 15 3 6" xfId="27388" xr:uid="{225FD747-E606-4AE4-98E5-DD31E2E12BE3}"/>
    <cellStyle name="Input 15 4" xfId="2595" xr:uid="{BEF0E663-1F8E-4561-9CEE-CE8533BF3111}"/>
    <cellStyle name="Input 15 4 2" xfId="16782" xr:uid="{268DD05C-448C-43DA-B023-BADC0AADFDEC}"/>
    <cellStyle name="Input 15 4 2 2" xfId="17284" xr:uid="{5DBBD20D-99E4-4113-9A74-C4C2104391D1}"/>
    <cellStyle name="Input 15 4 2 2 2" xfId="27389" xr:uid="{CB602927-E0E6-46A1-BE69-F1B16FFE67F2}"/>
    <cellStyle name="Input 15 4 2 2 3" xfId="27390" xr:uid="{119D914D-588A-41E1-83FF-24AC2005469B}"/>
    <cellStyle name="Input 15 4 2 2 4" xfId="27391" xr:uid="{594CC34E-34FE-4078-96DA-DB5830D87CE9}"/>
    <cellStyle name="Input 15 4 2 2 5" xfId="27392" xr:uid="{FF34C80E-E45C-464A-9EFD-EFF493FF2619}"/>
    <cellStyle name="Input 15 4 2 3" xfId="27393" xr:uid="{7840A6A0-7B6E-474A-8187-0AA16D49D3E8}"/>
    <cellStyle name="Input 15 4 2 4" xfId="27394" xr:uid="{4E2E1896-A980-40F6-A1DF-88FDD73A06BF}"/>
    <cellStyle name="Input 15 4 2 5" xfId="27395" xr:uid="{4EDE55CB-816C-48C7-BDFD-FF66320BDF41}"/>
    <cellStyle name="Input 15 4 2 6" xfId="27396" xr:uid="{CF9AF8AA-938D-442A-966E-1F4F15FBCECC}"/>
    <cellStyle name="Input 15 4 3" xfId="16469" xr:uid="{76A3255A-7F66-4392-9988-848701D82945}"/>
    <cellStyle name="Input 15 4 3 2" xfId="17285" xr:uid="{D5790ADA-C2B8-40DC-8943-F54CAAE7BFF1}"/>
    <cellStyle name="Input 15 4 3 2 2" xfId="27397" xr:uid="{AC47AD33-4F34-49EA-A6C6-4385B2FC35B0}"/>
    <cellStyle name="Input 15 4 3 2 3" xfId="27398" xr:uid="{1E8CED97-E111-4836-9BAC-6001E7014416}"/>
    <cellStyle name="Input 15 4 3 2 4" xfId="27399" xr:uid="{BDB38CB3-9C78-4B80-814C-FBBFF878ECC0}"/>
    <cellStyle name="Input 15 4 3 2 5" xfId="27400" xr:uid="{C8F7D3F5-6004-4A81-8E83-C1D179A0B9FC}"/>
    <cellStyle name="Input 15 4 3 3" xfId="27401" xr:uid="{022B5516-A427-46BA-9CB6-EBAD3062812A}"/>
    <cellStyle name="Input 15 4 3 4" xfId="27402" xr:uid="{27E8EE2F-C84C-43A8-B94F-371738749620}"/>
    <cellStyle name="Input 15 4 3 5" xfId="27403" xr:uid="{0D33D02B-C971-4D2B-8BD8-C360C368C5A3}"/>
    <cellStyle name="Input 15 4 3 6" xfId="27404" xr:uid="{984F4A13-10AC-4F39-989B-5317E6BA3240}"/>
    <cellStyle name="Input 15 4 4" xfId="17283" xr:uid="{40C51AAD-D1A3-456A-B746-457C92F03272}"/>
    <cellStyle name="Input 15 4 4 2" xfId="27405" xr:uid="{9D244B9A-B0D0-4FEC-A8E1-218F660C4BD6}"/>
    <cellStyle name="Input 15 4 4 3" xfId="27406" xr:uid="{F26692D4-1001-40A2-A820-40319926F869}"/>
    <cellStyle name="Input 15 4 4 4" xfId="27407" xr:uid="{EBCE27CD-6397-4CA2-A8AE-BD0900A3F674}"/>
    <cellStyle name="Input 15 4 4 5" xfId="27408" xr:uid="{C9140C7A-A6E0-45B8-8206-06394D096DC3}"/>
    <cellStyle name="Input 15 4 5" xfId="27409" xr:uid="{55ED2543-206E-4226-82E1-F21E8CEC3C15}"/>
    <cellStyle name="Input 15 4 6" xfId="27410" xr:uid="{D683C6B1-7467-4770-AC00-8E07B1F29A4F}"/>
    <cellStyle name="Input 15 4 7" xfId="27411" xr:uid="{AE5B25EF-59B4-4367-857D-EC0AD7660C0F}"/>
    <cellStyle name="Input 15 4 8" xfId="27412" xr:uid="{C250D0B0-A434-43AB-9CEE-A3DBB19B0133}"/>
    <cellStyle name="Input 15 5" xfId="2596" xr:uid="{30E74A9D-147D-413E-A75B-EAD0A2BFB3B5}"/>
    <cellStyle name="Input 15 5 2" xfId="16778" xr:uid="{F948954F-D019-412D-9E12-CDEB4E40FD82}"/>
    <cellStyle name="Input 15 5 2 2" xfId="17287" xr:uid="{EA309F74-9E68-4890-85CD-E3652F4008AC}"/>
    <cellStyle name="Input 15 5 2 2 2" xfId="27413" xr:uid="{A8D2597A-1E12-46BE-BA88-3DE4BF917037}"/>
    <cellStyle name="Input 15 5 2 2 3" xfId="27414" xr:uid="{AF020704-3FEF-4882-A3DA-5AB610721A27}"/>
    <cellStyle name="Input 15 5 2 2 4" xfId="27415" xr:uid="{172CE28A-234A-4498-AA92-D2CAFC7767B3}"/>
    <cellStyle name="Input 15 5 2 2 5" xfId="27416" xr:uid="{2A91F66B-6AF3-48A1-865C-C555F98FFAAF}"/>
    <cellStyle name="Input 15 5 2 3" xfId="27417" xr:uid="{8E1DB9DE-C153-4312-9824-2B033E3F8E97}"/>
    <cellStyle name="Input 15 5 2 4" xfId="27418" xr:uid="{26E832B2-C77F-45A4-A48C-8AA72BAE2F81}"/>
    <cellStyle name="Input 15 5 2 5" xfId="27419" xr:uid="{D618FC76-4CE5-4DC6-BD82-54636D32442F}"/>
    <cellStyle name="Input 15 5 2 6" xfId="27420" xr:uid="{F34D154B-EAF3-47D2-ADDB-7260204E0863}"/>
    <cellStyle name="Input 15 5 3" xfId="17286" xr:uid="{E52255A1-0703-452B-BD05-67E4C29C330F}"/>
    <cellStyle name="Input 15 5 3 2" xfId="27421" xr:uid="{6177E2DF-2B91-4EC9-B565-CDFD55D78198}"/>
    <cellStyle name="Input 15 5 3 3" xfId="27422" xr:uid="{BBC6197B-2A46-46AD-BDBD-754D3A80E0D3}"/>
    <cellStyle name="Input 15 5 3 4" xfId="27423" xr:uid="{E65D91A6-BC5A-4887-BD69-40C9DA013BB1}"/>
    <cellStyle name="Input 15 5 3 5" xfId="27424" xr:uid="{54A2B7CB-4DAC-4DEB-A8B3-A47D664B3D06}"/>
    <cellStyle name="Input 15 5 4" xfId="27425" xr:uid="{D16541D4-8667-4B6C-B559-BCDF934DA3E7}"/>
    <cellStyle name="Input 15 5 5" xfId="27426" xr:uid="{B2F74AEB-939E-437A-B1A6-F846D745E59C}"/>
    <cellStyle name="Input 15 5 6" xfId="27427" xr:uid="{DEF60FAD-0977-4781-872B-F9670A404A49}"/>
    <cellStyle name="Input 15 5 7" xfId="27428" xr:uid="{958EAFF1-FF84-44C0-A71C-43157B55CAD8}"/>
    <cellStyle name="Input 15 5 8" xfId="16679" xr:uid="{D85E91E7-123D-4D05-97F2-85DAB2ACB54A}"/>
    <cellStyle name="Input 15 6" xfId="17280" xr:uid="{BD5FDAB3-7705-46C2-AD35-8545B976A1CB}"/>
    <cellStyle name="Input 15 6 2" xfId="27429" xr:uid="{2C7CAF65-0FE6-4942-BB50-934D4BC83EF7}"/>
    <cellStyle name="Input 15 6 3" xfId="27430" xr:uid="{2969C6A3-8249-4430-8E1D-21B7CDA390E4}"/>
    <cellStyle name="Input 15 6 4" xfId="27431" xr:uid="{0E400FB2-087C-45A3-9ACD-278EBE5F2905}"/>
    <cellStyle name="Input 15 6 5" xfId="27432" xr:uid="{3FE9A7AC-AB40-48A2-B32B-D5FC4D89B3DB}"/>
    <cellStyle name="Input 15 7" xfId="27433" xr:uid="{9C439868-9ECF-483C-AF3B-02CF0918BB36}"/>
    <cellStyle name="Input 15 8" xfId="27434" xr:uid="{E10B4BDC-A954-43F8-8A28-BD1BA7DCADAB}"/>
    <cellStyle name="Input 15 9" xfId="27435" xr:uid="{9381D50D-1F11-4828-9027-87AEAD73D20E}"/>
    <cellStyle name="Input 15_IND_UC" xfId="15242" xr:uid="{2435ED1A-413D-4FE1-99FF-0DEBEF105F9B}"/>
    <cellStyle name="Input 16" xfId="2597" xr:uid="{854D7E23-90F5-4410-A01C-3B6F80F72EE2}"/>
    <cellStyle name="Input 16 10" xfId="27436" xr:uid="{860B3A76-539F-4DD0-A7CE-385ADA0F8329}"/>
    <cellStyle name="Input 16 11" xfId="27437" xr:uid="{CFF575E3-9B46-40D3-BB76-80315D8A97B2}"/>
    <cellStyle name="Input 16 12" xfId="27438" xr:uid="{03D09688-FECC-4210-8CBE-C196CF56FE89}"/>
    <cellStyle name="Input 16 2" xfId="2598" xr:uid="{62EFB322-85DC-4CA3-8587-6150147AC47D}"/>
    <cellStyle name="Input 16 2 2" xfId="17289" xr:uid="{C32271E2-D32C-4E20-A31B-E57E05F00E8B}"/>
    <cellStyle name="Input 16 2 2 2" xfId="27439" xr:uid="{457D6E2E-286F-4A0C-8F62-1C52A96F96A7}"/>
    <cellStyle name="Input 16 2 2 3" xfId="27440" xr:uid="{A98ECC20-0B1E-4F68-85E7-3CD9F6E33922}"/>
    <cellStyle name="Input 16 2 2 4" xfId="27441" xr:uid="{67580748-311A-4899-AEAA-9C848FF239E8}"/>
    <cellStyle name="Input 16 2 2 5" xfId="27442" xr:uid="{45655BD2-DC20-4F04-ABA4-DDA57FB4FC2F}"/>
    <cellStyle name="Input 16 2 3" xfId="27443" xr:uid="{6F350D98-E9EB-4128-BEB2-1AFE184B12BA}"/>
    <cellStyle name="Input 16 2 4" xfId="27444" xr:uid="{2BE98344-823B-44D2-81F5-99002874238F}"/>
    <cellStyle name="Input 16 2 5" xfId="27445" xr:uid="{C6C50322-2B0A-428F-AA79-CDFDFEF3EEA5}"/>
    <cellStyle name="Input 16 2 6" xfId="27446" xr:uid="{1A8AED62-4262-462E-9DF2-0991B29F4A78}"/>
    <cellStyle name="Input 16 3" xfId="2599" xr:uid="{38D5B662-73F5-4F83-BBAD-E0CA5D7D4DD3}"/>
    <cellStyle name="Input 16 3 2" xfId="17290" xr:uid="{D670D52F-BDA1-4888-840A-857C9056A29C}"/>
    <cellStyle name="Input 16 3 2 2" xfId="27447" xr:uid="{8514B4AB-8CE9-403F-8D39-69D1FBE93411}"/>
    <cellStyle name="Input 16 3 2 3" xfId="27448" xr:uid="{77E75C49-3D16-4A72-A871-1FF4497577D0}"/>
    <cellStyle name="Input 16 3 2 4" xfId="27449" xr:uid="{E6DBD7E5-1BFA-4384-8AFD-139E345D4548}"/>
    <cellStyle name="Input 16 3 2 5" xfId="27450" xr:uid="{882DAF56-B8E7-4486-8319-1266831B1285}"/>
    <cellStyle name="Input 16 3 3" xfId="27451" xr:uid="{C0E042BA-290C-45ED-80D8-FA8CC3BF2651}"/>
    <cellStyle name="Input 16 3 4" xfId="27452" xr:uid="{165D479A-B9A9-4975-BFB3-2EA76C96A89A}"/>
    <cellStyle name="Input 16 3 5" xfId="27453" xr:uid="{8C4B6C7D-B6E4-43DC-BD2A-7812E1E80610}"/>
    <cellStyle name="Input 16 3 6" xfId="27454" xr:uid="{FF225583-54D8-4063-9A0D-FF2FA69C676A}"/>
    <cellStyle name="Input 16 4" xfId="2600" xr:uid="{CCE06D68-A17D-4BCC-9A06-A7E45E1213A9}"/>
    <cellStyle name="Input 16 4 2" xfId="16783" xr:uid="{FA9493AE-F801-41CC-BBD0-7A2E85B310CC}"/>
    <cellStyle name="Input 16 4 2 2" xfId="17292" xr:uid="{6C76D7A1-1AAF-4B01-AEBC-93F8043145D4}"/>
    <cellStyle name="Input 16 4 2 2 2" xfId="27455" xr:uid="{722C74E4-4B84-486F-BF48-59365EBD1241}"/>
    <cellStyle name="Input 16 4 2 2 3" xfId="27456" xr:uid="{6F29B82C-DD99-4299-A4C5-5E8B242410AC}"/>
    <cellStyle name="Input 16 4 2 2 4" xfId="27457" xr:uid="{D350E7CF-8D4E-4AD1-9DDC-FECA4154C9A0}"/>
    <cellStyle name="Input 16 4 2 2 5" xfId="27458" xr:uid="{84636455-55E9-4E3E-BFD8-9C1B110705AB}"/>
    <cellStyle name="Input 16 4 2 3" xfId="27459" xr:uid="{8E1AB1F4-E555-41AB-BBF9-F664304F95F3}"/>
    <cellStyle name="Input 16 4 2 4" xfId="27460" xr:uid="{1C8AC146-7CD5-4DE1-9A57-E4A3649DF782}"/>
    <cellStyle name="Input 16 4 2 5" xfId="27461" xr:uid="{3E696D13-C9B9-4055-918A-3E3DEE04BA36}"/>
    <cellStyle name="Input 16 4 2 6" xfId="27462" xr:uid="{D0E00C39-5254-423D-A479-C219E3FDF3F9}"/>
    <cellStyle name="Input 16 4 3" xfId="16470" xr:uid="{AA7F65A4-4B20-4412-ADE2-F4F8A2939DFB}"/>
    <cellStyle name="Input 16 4 3 2" xfId="17293" xr:uid="{256AE32A-4450-4ADE-8C78-5BC0CD2A9D51}"/>
    <cellStyle name="Input 16 4 3 2 2" xfId="27463" xr:uid="{24D748A6-2A0F-44B0-ADE4-2B63EA98EF18}"/>
    <cellStyle name="Input 16 4 3 2 3" xfId="27464" xr:uid="{3961BBC1-B56B-4DC3-BE43-092D64E7B062}"/>
    <cellStyle name="Input 16 4 3 2 4" xfId="27465" xr:uid="{D330E9F1-0F7C-4E7A-9894-148044A3D39B}"/>
    <cellStyle name="Input 16 4 3 2 5" xfId="27466" xr:uid="{96B08B1F-37C4-4C03-A866-9DF9DB016072}"/>
    <cellStyle name="Input 16 4 3 3" xfId="27467" xr:uid="{2FDFAEA3-A7D0-4A2B-841C-941A53EC04D1}"/>
    <cellStyle name="Input 16 4 3 4" xfId="27468" xr:uid="{F553BFA8-5BDC-4BF0-919E-A7E82F6AEC1D}"/>
    <cellStyle name="Input 16 4 3 5" xfId="27469" xr:uid="{1F9C41EF-9F01-49AE-8890-FDDD7DEDC3E2}"/>
    <cellStyle name="Input 16 4 3 6" xfId="27470" xr:uid="{3240B08D-DC76-442A-9DAF-7D2CE661EEEE}"/>
    <cellStyle name="Input 16 4 4" xfId="17291" xr:uid="{57DC4BA8-F0AE-488F-B456-AEAFE2232B1C}"/>
    <cellStyle name="Input 16 4 4 2" xfId="27471" xr:uid="{DEE097C8-D540-499D-BBD1-E962E672A384}"/>
    <cellStyle name="Input 16 4 4 3" xfId="27472" xr:uid="{47C3C00E-5DB9-4AC2-BD6D-59155A2B4146}"/>
    <cellStyle name="Input 16 4 4 4" xfId="27473" xr:uid="{CA92868C-F074-4171-8F97-FCD59458BC2A}"/>
    <cellStyle name="Input 16 4 4 5" xfId="27474" xr:uid="{8446C428-A04A-4541-A254-0D953CA8603A}"/>
    <cellStyle name="Input 16 4 5" xfId="27475" xr:uid="{43C01FCC-2BA5-4637-BEB0-8A4F491FB157}"/>
    <cellStyle name="Input 16 4 6" xfId="27476" xr:uid="{8096BBFE-1FB4-49D4-8E22-25A845D131CC}"/>
    <cellStyle name="Input 16 4 7" xfId="27477" xr:uid="{49358D09-73CE-471D-AAFB-58669E9B9969}"/>
    <cellStyle name="Input 16 4 8" xfId="27478" xr:uid="{B4C94C06-7F5A-4592-9392-D8856F0A1FAD}"/>
    <cellStyle name="Input 16 5" xfId="16680" xr:uid="{F15B91BD-9A67-4FA7-A925-1367D59C9763}"/>
    <cellStyle name="Input 16 5 2" xfId="17294" xr:uid="{E1E7C43D-8796-4214-831E-AB11BA0EE450}"/>
    <cellStyle name="Input 16 5 2 2" xfId="27479" xr:uid="{4995A10A-172E-46A9-BFB5-52B5AE2460CA}"/>
    <cellStyle name="Input 16 5 2 3" xfId="27480" xr:uid="{36EED3CF-E83C-4F7E-AD41-269441595E41}"/>
    <cellStyle name="Input 16 5 2 4" xfId="27481" xr:uid="{DF9F29BE-CD98-4D03-BA76-62AC31AE3FF0}"/>
    <cellStyle name="Input 16 5 2 5" xfId="27482" xr:uid="{B685800E-8EB8-4479-95F9-2AD8BC28C095}"/>
    <cellStyle name="Input 16 5 3" xfId="27483" xr:uid="{4D20915D-FB0B-4A5C-B4F3-D35DA5D404CF}"/>
    <cellStyle name="Input 16 5 4" xfId="27484" xr:uid="{98112A31-E4EE-4664-A5DE-30ABC66B3E20}"/>
    <cellStyle name="Input 16 5 5" xfId="27485" xr:uid="{B9A1234C-569A-451C-B992-C26B5FF3CAD3}"/>
    <cellStyle name="Input 16 5 6" xfId="27486" xr:uid="{5D413EB1-FD3E-4874-9BC6-1C018B40D026}"/>
    <cellStyle name="Input 16 6" xfId="17295" xr:uid="{3C33CA84-2DF3-4D6E-9167-D6A66998C095}"/>
    <cellStyle name="Input 16 6 2" xfId="27487" xr:uid="{F01B70A3-D36A-48D6-99E1-5D97A696E322}"/>
    <cellStyle name="Input 16 6 3" xfId="27488" xr:uid="{222C8FD0-FED7-405D-B6C9-17B3522C460D}"/>
    <cellStyle name="Input 16 6 4" xfId="27489" xr:uid="{32AF1BBB-8B8F-46F5-8E48-FC8305E32DC7}"/>
    <cellStyle name="Input 16 6 5" xfId="27490" xr:uid="{1D99EA55-037D-4D52-ACB8-3EB54A020EB3}"/>
    <cellStyle name="Input 16 7" xfId="17288" xr:uid="{C3148014-CFA5-4E53-B312-348DA05FE6EE}"/>
    <cellStyle name="Input 16 7 2" xfId="27491" xr:uid="{118D541A-3172-461D-A517-E27ECC8CA045}"/>
    <cellStyle name="Input 16 7 3" xfId="27492" xr:uid="{A6C491C2-2617-4C03-A607-32EEC719D4C9}"/>
    <cellStyle name="Input 16 7 4" xfId="27493" xr:uid="{938D9556-5B61-4336-A167-6C678829CC99}"/>
    <cellStyle name="Input 16 7 5" xfId="27494" xr:uid="{39F207AE-23D1-44D6-9123-726307165E73}"/>
    <cellStyle name="Input 16 8" xfId="27495" xr:uid="{093A6074-CD44-4BF2-AA59-1C31A483645E}"/>
    <cellStyle name="Input 16 9" xfId="27496" xr:uid="{AC909F3D-7468-426F-9D87-154DCDF237B2}"/>
    <cellStyle name="Input 17" xfId="2601" xr:uid="{07F092B5-13C0-4BC2-B510-137937236CA9}"/>
    <cellStyle name="Input 17 10" xfId="27497" xr:uid="{1F352AF6-132F-4D1C-8D3D-7DE370CFE812}"/>
    <cellStyle name="Input 17 11" xfId="27498" xr:uid="{081D4C2A-C4B5-469E-AE53-E5E9C9552B9B}"/>
    <cellStyle name="Input 17 2" xfId="2602" xr:uid="{FFD3F1E8-65A8-45CB-8D95-DF3E0A9E7C58}"/>
    <cellStyle name="Input 17 2 2" xfId="17297" xr:uid="{B906D509-0FEE-477F-BCFA-E0E6892C6053}"/>
    <cellStyle name="Input 17 2 2 2" xfId="27499" xr:uid="{85ED990A-9A54-4E5F-932C-4084CB33C130}"/>
    <cellStyle name="Input 17 2 2 3" xfId="27500" xr:uid="{937251F9-9DC6-4B36-8C7D-F17F3991EA95}"/>
    <cellStyle name="Input 17 2 2 4" xfId="27501" xr:uid="{92C1407E-F8BC-43EA-8A7F-8F72EE67125D}"/>
    <cellStyle name="Input 17 2 2 5" xfId="27502" xr:uid="{1EAE8BFB-A61E-4133-BFBF-AE50307C0033}"/>
    <cellStyle name="Input 17 2 3" xfId="27503" xr:uid="{93EDA3C2-F79E-4E4A-88A6-7151278F53FA}"/>
    <cellStyle name="Input 17 2 4" xfId="27504" xr:uid="{77CABAEF-2E97-406B-84CE-97D245B76828}"/>
    <cellStyle name="Input 17 2 5" xfId="27505" xr:uid="{81A208C5-322E-4DC6-B9E5-4C299E1B1452}"/>
    <cellStyle name="Input 17 2 6" xfId="27506" xr:uid="{E936931E-9CEF-406B-971F-854256DA20F9}"/>
    <cellStyle name="Input 17 3" xfId="2603" xr:uid="{4F8BDDE7-C478-4E3A-AECF-9FFF44F5999A}"/>
    <cellStyle name="Input 17 3 2" xfId="17298" xr:uid="{45B5E5AD-31BA-4082-99B2-47084C00E862}"/>
    <cellStyle name="Input 17 3 2 2" xfId="27507" xr:uid="{79724E52-DF33-4480-B794-519093ED4262}"/>
    <cellStyle name="Input 17 3 2 3" xfId="27508" xr:uid="{4D1CFB4B-0D9E-40B3-9ECA-5C6354151FBF}"/>
    <cellStyle name="Input 17 3 2 4" xfId="27509" xr:uid="{C46BCDDC-E412-48B9-9370-67D863A88277}"/>
    <cellStyle name="Input 17 3 2 5" xfId="27510" xr:uid="{356A315B-FD0D-4119-B7C3-4CC9B4999B2A}"/>
    <cellStyle name="Input 17 3 3" xfId="27511" xr:uid="{83A36405-BECF-4210-875C-9F656CB229A6}"/>
    <cellStyle name="Input 17 3 4" xfId="27512" xr:uid="{5B1EDC7E-4641-460F-8932-F8B8ACA88137}"/>
    <cellStyle name="Input 17 3 5" xfId="27513" xr:uid="{7E0971C1-9B51-4142-8E89-84BEDAEB1653}"/>
    <cellStyle name="Input 17 3 6" xfId="27514" xr:uid="{AF405AF5-D058-42AB-9AAE-7184698CA933}"/>
    <cellStyle name="Input 17 4" xfId="2604" xr:uid="{E1443FAA-8957-4CD0-A398-645B3FA3AEF1}"/>
    <cellStyle name="Input 17 4 2" xfId="17299" xr:uid="{24560A73-B95A-4B44-A480-CBC9A1C93726}"/>
    <cellStyle name="Input 17 4 2 2" xfId="27515" xr:uid="{B5DCCE20-037B-4C30-A02D-4E3115589359}"/>
    <cellStyle name="Input 17 4 2 3" xfId="27516" xr:uid="{CB71D8AC-BF22-4A0A-8BAA-41019F0DC558}"/>
    <cellStyle name="Input 17 4 2 4" xfId="27517" xr:uid="{F5B3D45F-6AB3-4892-B0B1-8E1F9E283EFD}"/>
    <cellStyle name="Input 17 4 2 5" xfId="27518" xr:uid="{42FC9902-2E26-4C09-B73B-71B3214B7949}"/>
    <cellStyle name="Input 17 4 3" xfId="27519" xr:uid="{DFCC5F5E-B40F-43F9-988D-E7A927B90BE6}"/>
    <cellStyle name="Input 17 4 4" xfId="27520" xr:uid="{F8C5FF04-293D-42BF-9C94-BEB80FDAE961}"/>
    <cellStyle name="Input 17 4 5" xfId="27521" xr:uid="{802DFFBC-11D4-49CF-B1E7-6758C4F447C8}"/>
    <cellStyle name="Input 17 4 6" xfId="27522" xr:uid="{A52F64F4-F92C-473E-9B82-87A7ADF5C184}"/>
    <cellStyle name="Input 17 5" xfId="16681" xr:uid="{8E47DD69-786A-4E68-AF2B-0703F647C4EA}"/>
    <cellStyle name="Input 17 5 2" xfId="17300" xr:uid="{4DBEDE98-BB40-4D55-AAD4-40B3AA9C139A}"/>
    <cellStyle name="Input 17 5 2 2" xfId="27523" xr:uid="{62B9D977-4C70-4734-8B7D-487C2DCFE672}"/>
    <cellStyle name="Input 17 5 2 3" xfId="27524" xr:uid="{49C2BF4D-8B00-457D-88A0-91E67C5E0257}"/>
    <cellStyle name="Input 17 5 2 4" xfId="27525" xr:uid="{AC735914-B4F0-4496-9A29-7BC47B3F7649}"/>
    <cellStyle name="Input 17 5 2 5" xfId="27526" xr:uid="{094FC678-05FD-4AED-BCC6-D8CAA2029C46}"/>
    <cellStyle name="Input 17 5 3" xfId="27527" xr:uid="{D86B6D1A-27F1-4ED9-8297-C9EF71C4939E}"/>
    <cellStyle name="Input 17 5 4" xfId="27528" xr:uid="{61A7C865-11D4-4263-858D-6A3244DBD381}"/>
    <cellStyle name="Input 17 5 5" xfId="27529" xr:uid="{4C99E33B-192F-4F7A-8D94-198A83D26377}"/>
    <cellStyle name="Input 17 5 6" xfId="27530" xr:uid="{20AAAA40-8A0A-417F-A791-D27151480B74}"/>
    <cellStyle name="Input 17 6" xfId="17296" xr:uid="{9891156E-C3B7-4AFA-89BE-54743E4016EF}"/>
    <cellStyle name="Input 17 6 2" xfId="27531" xr:uid="{6313EE2C-DBDA-4D8E-9922-73E890C66DE8}"/>
    <cellStyle name="Input 17 6 3" xfId="27532" xr:uid="{EEFD9C7D-F842-4314-B461-30D2570A9F9E}"/>
    <cellStyle name="Input 17 6 4" xfId="27533" xr:uid="{4F1CE3E1-0CE1-4D7D-9D48-77DC3BCD844A}"/>
    <cellStyle name="Input 17 6 5" xfId="27534" xr:uid="{FA1C90C6-059B-4892-9B31-6E74331638AE}"/>
    <cellStyle name="Input 17 7" xfId="27535" xr:uid="{2CFC91EC-444E-4599-845D-959D79B30E05}"/>
    <cellStyle name="Input 17 8" xfId="27536" xr:uid="{9108E771-7588-4399-BD72-67C72971E780}"/>
    <cellStyle name="Input 17 9" xfId="27537" xr:uid="{A1F61AFA-693F-4930-8173-07D881A62297}"/>
    <cellStyle name="Input 18" xfId="2605" xr:uid="{023F1D0B-FF00-4F89-9105-C0A3DBDC237C}"/>
    <cellStyle name="Input 18 10" xfId="27538" xr:uid="{12BC9B9F-CFE9-4CCB-A11D-C3BC28CBAA0E}"/>
    <cellStyle name="Input 18 2" xfId="2606" xr:uid="{77FCD277-19D9-4722-9C74-8212CB669A65}"/>
    <cellStyle name="Input 18 2 2" xfId="17302" xr:uid="{EEAEBABC-A4EA-4244-A4A8-F0A38CF0B5DD}"/>
    <cellStyle name="Input 18 2 2 2" xfId="27539" xr:uid="{7F249508-CE9F-408F-9735-A62C76D12C88}"/>
    <cellStyle name="Input 18 2 2 3" xfId="27540" xr:uid="{70047B9B-55D8-49C3-945F-CCE0CE205E8F}"/>
    <cellStyle name="Input 18 2 2 4" xfId="27541" xr:uid="{2232A297-A9A7-4CFF-A14B-F40AD48FCBD5}"/>
    <cellStyle name="Input 18 2 2 5" xfId="27542" xr:uid="{68D1F1DD-AE26-47E8-AA26-99E527F63C68}"/>
    <cellStyle name="Input 18 2 3" xfId="27543" xr:uid="{4E141967-2108-44D4-8E1B-D6676C224011}"/>
    <cellStyle name="Input 18 2 4" xfId="27544" xr:uid="{F1ADDC12-8E44-4DD4-B903-92804A5057EC}"/>
    <cellStyle name="Input 18 2 5" xfId="27545" xr:uid="{9C8A99E3-6F81-4F26-B07A-AB52BBFF96A4}"/>
    <cellStyle name="Input 18 2 6" xfId="27546" xr:uid="{4711A734-C5BB-413E-814D-591E21C0452A}"/>
    <cellStyle name="Input 18 3" xfId="2607" xr:uid="{8DA6FC48-0B7A-4D45-AE5D-2F823387821A}"/>
    <cellStyle name="Input 18 3 2" xfId="17303" xr:uid="{30EAD222-3750-46B9-8829-B84A5477042C}"/>
    <cellStyle name="Input 18 3 2 2" xfId="27547" xr:uid="{E050F97F-5326-44F8-AEFC-5735F3FADFF2}"/>
    <cellStyle name="Input 18 3 2 3" xfId="27548" xr:uid="{FC1BEC34-6557-4A08-9924-BE456A65457A}"/>
    <cellStyle name="Input 18 3 2 4" xfId="27549" xr:uid="{280F4B84-820A-4D6E-BD6C-04E4B669AD6A}"/>
    <cellStyle name="Input 18 3 2 5" xfId="27550" xr:uid="{353A8491-240D-4461-9026-3732290407C7}"/>
    <cellStyle name="Input 18 3 3" xfId="27551" xr:uid="{A5A7ABD7-ADF7-4B7B-8CFF-CD478B45F9F4}"/>
    <cellStyle name="Input 18 3 4" xfId="27552" xr:uid="{28D9821E-C3B6-407A-84B1-E8135C48AA71}"/>
    <cellStyle name="Input 18 3 5" xfId="27553" xr:uid="{655B8026-3171-47FC-8CF2-FDDE7ACCAF70}"/>
    <cellStyle name="Input 18 3 6" xfId="27554" xr:uid="{594BD391-1FC6-46D7-83E9-CFEB36758AE3}"/>
    <cellStyle name="Input 18 4" xfId="15329" xr:uid="{4676F204-72FE-40D6-ABB0-9B78E7D5981A}"/>
    <cellStyle name="Input 18 4 2" xfId="17304" xr:uid="{36E4ADB4-74E4-40B4-BA88-B29D2F2C67EC}"/>
    <cellStyle name="Input 18 4 2 2" xfId="27555" xr:uid="{DB03430B-A4D1-4C36-A0F6-9737B6F5B184}"/>
    <cellStyle name="Input 18 4 2 3" xfId="27556" xr:uid="{0093E8C8-CCAB-4318-BFCD-AE0A9BF63206}"/>
    <cellStyle name="Input 18 4 2 4" xfId="27557" xr:uid="{86BD3A5F-4D2C-46AD-B23E-8A92668F74A0}"/>
    <cellStyle name="Input 18 4 2 5" xfId="27558" xr:uid="{86FF9AD8-2CAD-4838-AC33-C8B0FD00B31D}"/>
    <cellStyle name="Input 18 4 3" xfId="27559" xr:uid="{B89DD1AB-AF02-434D-A701-274E810CA062}"/>
    <cellStyle name="Input 18 4 4" xfId="27560" xr:uid="{4371D430-E7CB-4827-B741-2FBAE5004183}"/>
    <cellStyle name="Input 18 4 5" xfId="27561" xr:uid="{690E53D4-D500-42E5-9B37-8DCA6C312E29}"/>
    <cellStyle name="Input 18 4 6" xfId="27562" xr:uid="{19E9FD3E-B0D5-4516-9F5A-0440CBD4BCF4}"/>
    <cellStyle name="Input 18 5" xfId="16682" xr:uid="{1C6D3A7F-6F56-4667-BA0C-557D562D943B}"/>
    <cellStyle name="Input 18 5 2" xfId="17305" xr:uid="{75002414-2C96-4D53-A17F-1BF18F8ED164}"/>
    <cellStyle name="Input 18 5 2 2" xfId="27563" xr:uid="{33CBA622-36E1-478D-9075-34531DB162BC}"/>
    <cellStyle name="Input 18 5 2 3" xfId="27564" xr:uid="{78E3CA10-491F-4219-959D-67B918D4C93B}"/>
    <cellStyle name="Input 18 5 2 4" xfId="27565" xr:uid="{44178DEC-229A-428F-A2D8-9190F5624B8C}"/>
    <cellStyle name="Input 18 5 2 5" xfId="27566" xr:uid="{8AD02753-A732-4D75-81D9-9981C75BB751}"/>
    <cellStyle name="Input 18 5 3" xfId="27567" xr:uid="{17D4F284-3947-4E64-8668-93953E16E42F}"/>
    <cellStyle name="Input 18 5 4" xfId="27568" xr:uid="{B634AADF-1907-4BE8-833B-058A84D3EDD0}"/>
    <cellStyle name="Input 18 5 5" xfId="27569" xr:uid="{04A5A751-2A08-45FE-AB93-10A1116307D8}"/>
    <cellStyle name="Input 18 5 6" xfId="27570" xr:uid="{D01F3DBE-A90E-4788-8268-869F4FCB41E8}"/>
    <cellStyle name="Input 18 6" xfId="17301" xr:uid="{927E7455-D6F7-4BF9-AD39-E8045E0F9079}"/>
    <cellStyle name="Input 18 6 2" xfId="27571" xr:uid="{3BB9D0DA-F922-4D80-B9F1-996D0383AD71}"/>
    <cellStyle name="Input 18 6 3" xfId="27572" xr:uid="{C931E7BB-93A8-4BA0-A051-9CB12BF376AD}"/>
    <cellStyle name="Input 18 6 4" xfId="27573" xr:uid="{F39B8A49-143B-43E1-B486-69CE08C5D8BD}"/>
    <cellStyle name="Input 18 6 5" xfId="27574" xr:uid="{8A1150C6-3089-4910-AED7-0AFAA7FA5B1F}"/>
    <cellStyle name="Input 18 7" xfId="27575" xr:uid="{2EE6E4C8-636B-437D-9BC5-CEC23A9650C9}"/>
    <cellStyle name="Input 18 8" xfId="27576" xr:uid="{87834701-74BA-4F11-8ADE-6AC5E27B77EE}"/>
    <cellStyle name="Input 18 9" xfId="27577" xr:uid="{7D258DBF-0079-4BC2-BA1D-3B84D74A1D13}"/>
    <cellStyle name="Input 19" xfId="2608" xr:uid="{63FA439D-C482-4735-85D8-C525A7F63F13}"/>
    <cellStyle name="Input 19 10" xfId="27578" xr:uid="{57D7CC18-056B-413B-86D7-B0CEBC36AB98}"/>
    <cellStyle name="Input 19 2" xfId="2609" xr:uid="{316DEDBE-B0CA-41AA-B1E6-BD5009C1ACC6}"/>
    <cellStyle name="Input 19 2 2" xfId="17307" xr:uid="{CCE6C409-B132-4B2C-87B8-32653D718DAF}"/>
    <cellStyle name="Input 19 2 2 2" xfId="27579" xr:uid="{DD2A14EA-BD5C-45FD-BACD-FF2F6CF3A43F}"/>
    <cellStyle name="Input 19 2 2 3" xfId="27580" xr:uid="{F8D647E2-90F3-45E9-A1FA-E30A98F3126E}"/>
    <cellStyle name="Input 19 2 2 4" xfId="27581" xr:uid="{3CA2EB3B-A665-432B-A989-EEF7043DDB54}"/>
    <cellStyle name="Input 19 2 2 5" xfId="27582" xr:uid="{FD541C2F-E4DB-44D3-B741-9606140D2478}"/>
    <cellStyle name="Input 19 2 3" xfId="27583" xr:uid="{639A0B45-D7A3-433D-A79D-E81E0C75996A}"/>
    <cellStyle name="Input 19 2 4" xfId="27584" xr:uid="{51902616-CDF4-432F-BB00-6AB7A2DB215C}"/>
    <cellStyle name="Input 19 2 5" xfId="27585" xr:uid="{77DF8FF4-CDE5-406E-AC30-D972124DF335}"/>
    <cellStyle name="Input 19 2 6" xfId="27586" xr:uid="{F3300547-8C55-4A02-B2C7-B287E22854EE}"/>
    <cellStyle name="Input 19 3" xfId="2610" xr:uid="{11D98821-12DE-45E2-9775-E4D177F05055}"/>
    <cellStyle name="Input 19 3 2" xfId="17308" xr:uid="{3E101ABE-ACAB-4FB1-8711-88ADDCA22D24}"/>
    <cellStyle name="Input 19 3 2 2" xfId="27587" xr:uid="{062D9B01-9245-43E4-880B-6BDC7C86497F}"/>
    <cellStyle name="Input 19 3 2 3" xfId="27588" xr:uid="{2C18827B-A699-44DB-BCAD-C1ADDB6F3D4B}"/>
    <cellStyle name="Input 19 3 2 4" xfId="27589" xr:uid="{1073AB04-A7E4-41BA-92B1-B69F4794AEBC}"/>
    <cellStyle name="Input 19 3 2 5" xfId="27590" xr:uid="{28F27313-732F-400F-8585-640A719AD565}"/>
    <cellStyle name="Input 19 3 3" xfId="27591" xr:uid="{E2FC0A3A-89BF-43BD-B150-0FAF62DB1201}"/>
    <cellStyle name="Input 19 3 4" xfId="27592" xr:uid="{8FE3A36C-DC47-4120-9728-F8A9D86FD229}"/>
    <cellStyle name="Input 19 3 5" xfId="27593" xr:uid="{AF537BD4-3AEF-463B-BC30-A27E35A97C20}"/>
    <cellStyle name="Input 19 3 6" xfId="27594" xr:uid="{BFC06777-C6AE-4FBE-8643-5FBC3EF30D99}"/>
    <cellStyle name="Input 19 4" xfId="15330" xr:uid="{B442B36E-0788-40D7-8023-04D878067A3A}"/>
    <cellStyle name="Input 19 4 2" xfId="17309" xr:uid="{6F6720CC-E603-4E92-84A5-98A02B0E40A9}"/>
    <cellStyle name="Input 19 4 2 2" xfId="27595" xr:uid="{D792F27A-CE6D-45F8-ACD3-52E87CE518E7}"/>
    <cellStyle name="Input 19 4 2 3" xfId="27596" xr:uid="{185D9802-502F-447C-A8BB-57C23A668F27}"/>
    <cellStyle name="Input 19 4 2 4" xfId="27597" xr:uid="{2BBF407D-B89F-46C0-B4A2-1B68BB84A132}"/>
    <cellStyle name="Input 19 4 2 5" xfId="27598" xr:uid="{B98495E1-D21B-4CAE-98F5-F08A693FDD66}"/>
    <cellStyle name="Input 19 4 3" xfId="27599" xr:uid="{384C2387-C7A3-4699-A579-BA5D5432CCB7}"/>
    <cellStyle name="Input 19 4 4" xfId="27600" xr:uid="{CE31076A-713C-4EFD-8D27-4A7D735E9429}"/>
    <cellStyle name="Input 19 4 5" xfId="27601" xr:uid="{ABBE2063-F101-42CC-AD92-E6D6D7420C04}"/>
    <cellStyle name="Input 19 4 6" xfId="27602" xr:uid="{2FDCA79E-6CD2-49EB-B285-607450D927C1}"/>
    <cellStyle name="Input 19 5" xfId="16683" xr:uid="{FE9F2EA5-03E9-4077-B4AE-CEB51EB28B9C}"/>
    <cellStyle name="Input 19 5 2" xfId="17310" xr:uid="{33D3CBEC-2918-4259-8A69-C933DC542172}"/>
    <cellStyle name="Input 19 5 2 2" xfId="27603" xr:uid="{B168CBF4-FB9F-4650-A665-46D9458B522E}"/>
    <cellStyle name="Input 19 5 2 3" xfId="27604" xr:uid="{40D35801-EDA2-4CE5-B420-4D3581086235}"/>
    <cellStyle name="Input 19 5 2 4" xfId="27605" xr:uid="{17237566-272D-404C-821F-486453D1FBEB}"/>
    <cellStyle name="Input 19 5 2 5" xfId="27606" xr:uid="{35CD956D-F68C-4BA6-93DB-8E6E382B0376}"/>
    <cellStyle name="Input 19 5 3" xfId="27607" xr:uid="{3362A7D7-40E8-4D58-B260-81AF5465F462}"/>
    <cellStyle name="Input 19 5 4" xfId="27608" xr:uid="{83E36714-0771-49A4-A1D9-B2C066EBDF1C}"/>
    <cellStyle name="Input 19 5 5" xfId="27609" xr:uid="{34A41DD0-F032-400B-A391-A10E2BED82C5}"/>
    <cellStyle name="Input 19 5 6" xfId="27610" xr:uid="{7C6611C3-AD4D-4E34-BF1F-2274F494CE01}"/>
    <cellStyle name="Input 19 6" xfId="17306" xr:uid="{ADB58D2E-4F93-4181-A841-FD56B5B7EF4E}"/>
    <cellStyle name="Input 19 6 2" xfId="27611" xr:uid="{EE48EF09-EB51-4763-847D-9F6BCCA52AA0}"/>
    <cellStyle name="Input 19 6 3" xfId="27612" xr:uid="{71C6F8D0-909D-464C-A43D-D3AAC6177AEF}"/>
    <cellStyle name="Input 19 6 4" xfId="27613" xr:uid="{ED9ADA3E-A2F7-4260-99F3-782042C8FFA9}"/>
    <cellStyle name="Input 19 6 5" xfId="27614" xr:uid="{6FCE5D57-216A-41C1-8AFD-710D12124C72}"/>
    <cellStyle name="Input 19 7" xfId="27615" xr:uid="{C1D9A17D-C5A5-4C73-BA72-A6668F09E19C}"/>
    <cellStyle name="Input 19 8" xfId="27616" xr:uid="{2673019C-109C-4CDA-A7D0-E4182EC918EF}"/>
    <cellStyle name="Input 19 9" xfId="27617" xr:uid="{E2FEDC78-9462-42E9-BC02-1928B416CE1E}"/>
    <cellStyle name="Input 2" xfId="4096" xr:uid="{886DB516-82C1-4694-9405-3F68BFCEC07C}"/>
    <cellStyle name="Input 2 10" xfId="27618" xr:uid="{23DFE885-4DE9-4A41-B104-76A6E5892722}"/>
    <cellStyle name="Input 2 11" xfId="27619" xr:uid="{22EDFA85-EFEF-4E15-B5DF-40495E8611B0}"/>
    <cellStyle name="Input 2 12" xfId="27620" xr:uid="{CCCBD1F6-910C-4545-9D12-C9DEC8AE67EF}"/>
    <cellStyle name="Input 2 13" xfId="27621" xr:uid="{F92467B6-6426-4100-A8C5-BD2EDAD868AB}"/>
    <cellStyle name="Input 2 14" xfId="27622" xr:uid="{AA853B3C-E02F-4C23-92B7-30801B2A75FB}"/>
    <cellStyle name="Input 2 15" xfId="27623" xr:uid="{63CC4400-9EFE-45E6-9464-1F31A3FEC1C7}"/>
    <cellStyle name="Input 2 2" xfId="2611" xr:uid="{BA9DAE85-A931-4EF8-B539-64F46CE48E7F}"/>
    <cellStyle name="Input 2 2 2" xfId="17312" xr:uid="{0A44BB0B-B63A-4558-96DF-D1AA7379F9E1}"/>
    <cellStyle name="Input 2 2 2 2" xfId="27624" xr:uid="{A64BF1CA-577B-4AFC-847A-D3FEA080436E}"/>
    <cellStyle name="Input 2 2 2 3" xfId="27625" xr:uid="{39210A24-51CD-4D83-BBAC-874DC795A008}"/>
    <cellStyle name="Input 2 2 2 4" xfId="27626" xr:uid="{E8F76C20-FE16-4456-83BB-B4BB2DFF11DD}"/>
    <cellStyle name="Input 2 2 2 5" xfId="27627" xr:uid="{E37C054F-B915-42CD-A0B0-08E3F110CB58}"/>
    <cellStyle name="Input 2 2 3" xfId="27628" xr:uid="{F788E568-91E8-4AC0-A813-7D69D06118FC}"/>
    <cellStyle name="Input 2 2 4" xfId="27629" xr:uid="{DB251F72-A192-48C3-AA11-3CFB7B2FEB6F}"/>
    <cellStyle name="Input 2 2 5" xfId="27630" xr:uid="{A417CC9A-A803-4A31-9647-10F8B3E035CC}"/>
    <cellStyle name="Input 2 2 6" xfId="27631" xr:uid="{F16C8427-12DC-4C61-BFE4-14298BA0CD9D}"/>
    <cellStyle name="Input 2 2 7" xfId="27632" xr:uid="{25FCD250-3927-4D2A-9765-D6C11042EA97}"/>
    <cellStyle name="Input 2 3" xfId="2612" xr:uid="{5DDDBE05-FAA1-49CD-9D57-C91A21D7909C}"/>
    <cellStyle name="Input 2 3 2" xfId="17313" xr:uid="{312C8966-284F-4E23-9B8A-14CD8C757385}"/>
    <cellStyle name="Input 2 3 2 2" xfId="27633" xr:uid="{78B80C4F-0FD9-4131-9F4F-480BFC3590B1}"/>
    <cellStyle name="Input 2 3 2 3" xfId="27634" xr:uid="{B3B54C8C-B2AE-4A02-9F9B-31A548581B07}"/>
    <cellStyle name="Input 2 3 2 4" xfId="27635" xr:uid="{F65FFEA6-E39E-47C5-AAB3-7FF1BCA82FD5}"/>
    <cellStyle name="Input 2 3 2 5" xfId="27636" xr:uid="{2F0CB7B6-D2CB-4D5A-8D6A-3B6137C1F61B}"/>
    <cellStyle name="Input 2 3 3" xfId="27637" xr:uid="{4212837E-391E-4EC8-AF04-46F1D37C8DC7}"/>
    <cellStyle name="Input 2 3 4" xfId="27638" xr:uid="{CA6A351A-736C-47BF-9058-F92CF78BF77A}"/>
    <cellStyle name="Input 2 3 5" xfId="27639" xr:uid="{CFD21F0B-43EA-4821-AA1F-A12C9949FBC4}"/>
    <cellStyle name="Input 2 3 6" xfId="27640" xr:uid="{76554935-AAFC-4474-9ECE-545B66EB24D0}"/>
    <cellStyle name="Input 2 3 7" xfId="27641" xr:uid="{37955707-1DA8-4331-AB1C-EA0FD3A75FB8}"/>
    <cellStyle name="Input 2 4" xfId="2613" xr:uid="{237C68EE-1635-4C75-8BB7-9D94BC588ABC}"/>
    <cellStyle name="Input 2 4 2" xfId="17314" xr:uid="{D17393D6-4BA8-4064-9464-C8AE87FBF730}"/>
    <cellStyle name="Input 2 4 2 2" xfId="27642" xr:uid="{FE6D575F-E399-4899-B324-BA7B4BB81BA1}"/>
    <cellStyle name="Input 2 4 2 3" xfId="27643" xr:uid="{D1472145-9B70-4F3C-A7B3-AB61F7E7AE48}"/>
    <cellStyle name="Input 2 4 2 4" xfId="27644" xr:uid="{3B3916F1-69B1-40DE-A4F2-FED084A5BF01}"/>
    <cellStyle name="Input 2 4 2 5" xfId="27645" xr:uid="{48CCBE09-3688-4C49-86A3-782057619EF1}"/>
    <cellStyle name="Input 2 4 3" xfId="27646" xr:uid="{B486295C-2944-410A-81D0-46A6255D263C}"/>
    <cellStyle name="Input 2 4 4" xfId="27647" xr:uid="{86D6EE27-E939-493C-95AF-724D52EDF9B3}"/>
    <cellStyle name="Input 2 4 5" xfId="27648" xr:uid="{B4301D7D-BA29-43CD-A592-A49C48B366B0}"/>
    <cellStyle name="Input 2 4 6" xfId="27649" xr:uid="{1305999C-C4CD-4345-BC83-ECC5B34A9C90}"/>
    <cellStyle name="Input 2 4 7" xfId="27650" xr:uid="{8F4CFF60-9F3B-4EA8-9909-56DEA678A0A3}"/>
    <cellStyle name="Input 2 5" xfId="2614" xr:uid="{CF902736-5383-45A4-BBBF-CDEDA59A1B4B}"/>
    <cellStyle name="Input 2 5 2" xfId="17315" xr:uid="{371AB61C-5F38-46A3-81E2-6FEA5A3EA176}"/>
    <cellStyle name="Input 2 5 2 2" xfId="27651" xr:uid="{C47EE83A-792B-4B2D-973D-C74D320A5229}"/>
    <cellStyle name="Input 2 5 2 3" xfId="27652" xr:uid="{CEF6548F-8ED3-4321-AABE-DFD2B4F1096A}"/>
    <cellStyle name="Input 2 5 2 4" xfId="27653" xr:uid="{47FEAAAB-A870-41C4-958F-098B1F62F9EE}"/>
    <cellStyle name="Input 2 5 2 5" xfId="27654" xr:uid="{083AE816-3D4A-442E-BB9E-4C38FA1A1758}"/>
    <cellStyle name="Input 2 5 3" xfId="27655" xr:uid="{CF232998-544C-4111-BB85-9ADADE88E46A}"/>
    <cellStyle name="Input 2 5 4" xfId="27656" xr:uid="{01FECFCB-E914-473F-A4EF-149730DAE3F0}"/>
    <cellStyle name="Input 2 5 5" xfId="27657" xr:uid="{518B5225-6F99-422A-A755-1092AE92A8FD}"/>
    <cellStyle name="Input 2 5 6" xfId="27658" xr:uid="{9DECCF6A-A0C4-4560-B917-E9340596589C}"/>
    <cellStyle name="Input 2 5 7" xfId="27659" xr:uid="{AE234C76-2D2E-450E-A205-63F46C282B08}"/>
    <cellStyle name="Input 2 6" xfId="2615" xr:uid="{1C6F0BFE-B311-4178-A2DF-8568C35E1399}"/>
    <cellStyle name="Input 2 6 2" xfId="17316" xr:uid="{5B4C942D-F49C-4CFE-9A07-70D40D1AAC26}"/>
    <cellStyle name="Input 2 6 2 2" xfId="27660" xr:uid="{6676982D-F936-48DE-A77C-1B9EE2F65FFB}"/>
    <cellStyle name="Input 2 6 2 3" xfId="27661" xr:uid="{2828A0B4-C55F-4669-9445-8FD287F8EF6E}"/>
    <cellStyle name="Input 2 6 2 4" xfId="27662" xr:uid="{6D93964C-236B-4B3C-9CF0-0648FDA68BB9}"/>
    <cellStyle name="Input 2 6 2 5" xfId="27663" xr:uid="{36BB7241-0675-4E3E-9C46-3FDB46122852}"/>
    <cellStyle name="Input 2 6 3" xfId="27664" xr:uid="{B4547683-27C4-46CB-B3BE-9328BFF05FF4}"/>
    <cellStyle name="Input 2 6 4" xfId="27665" xr:uid="{61CAACE5-2CE2-42AF-8743-D6D9210F01F4}"/>
    <cellStyle name="Input 2 6 5" xfId="27666" xr:uid="{37FD3472-83AA-48A8-872E-85D7EDE7DBF9}"/>
    <cellStyle name="Input 2 6 6" xfId="27667" xr:uid="{0E49E21A-05C5-4B79-BED4-420A4499B929}"/>
    <cellStyle name="Input 2 6 7" xfId="27668" xr:uid="{7E740D97-D528-4AEC-BA1E-E3C87AF18BA6}"/>
    <cellStyle name="Input 2 7" xfId="2616" xr:uid="{3A5958BC-CBB9-4B4D-82AC-EA62AF4142F0}"/>
    <cellStyle name="Input 2 7 2" xfId="17317" xr:uid="{21B6E50F-F415-4C63-B8B8-1B17F1A87DAD}"/>
    <cellStyle name="Input 2 7 2 2" xfId="27669" xr:uid="{70CC5453-61A0-4233-8F58-196E1E26F6A6}"/>
    <cellStyle name="Input 2 7 2 3" xfId="27670" xr:uid="{CB8084EC-51A8-461E-92DD-D208A9E303F7}"/>
    <cellStyle name="Input 2 7 2 4" xfId="27671" xr:uid="{48B1F050-7CCA-40C7-ABAD-74FF1E26AB57}"/>
    <cellStyle name="Input 2 7 2 5" xfId="27672" xr:uid="{D06B559A-7548-4BCC-8109-71719431E2D8}"/>
    <cellStyle name="Input 2 7 3" xfId="27673" xr:uid="{E2D787C8-C18B-4F9D-BC30-C1E5672E18B0}"/>
    <cellStyle name="Input 2 7 4" xfId="27674" xr:uid="{E93321D5-5812-4814-9F5F-ECAF8B6F522D}"/>
    <cellStyle name="Input 2 7 5" xfId="27675" xr:uid="{AA2B6C1E-CB5A-4ECD-ABEF-C79382591848}"/>
    <cellStyle name="Input 2 7 6" xfId="27676" xr:uid="{077D4470-B0DC-4E7C-88FF-6BA4D5C4915C}"/>
    <cellStyle name="Input 2 7 7" xfId="27677" xr:uid="{EC93383B-6AA9-4159-B3DA-B6469BCA1023}"/>
    <cellStyle name="Input 2 8" xfId="2617" xr:uid="{EF3379D0-575A-4134-B716-E2C986EAB6A8}"/>
    <cellStyle name="Input 2 8 2" xfId="17318" xr:uid="{FAABE853-8015-48D0-BC14-965EC1131D04}"/>
    <cellStyle name="Input 2 8 2 2" xfId="27678" xr:uid="{182343E1-312D-4549-A655-812671D93AB9}"/>
    <cellStyle name="Input 2 8 2 3" xfId="27679" xr:uid="{5436B310-F8D2-4EB3-B120-16E8D6463660}"/>
    <cellStyle name="Input 2 8 2 4" xfId="27680" xr:uid="{C2E9D698-6808-4FF1-B89E-C756297161C3}"/>
    <cellStyle name="Input 2 8 2 5" xfId="27681" xr:uid="{9851D90E-2C6B-4AFC-8EC7-D9F54A2179D8}"/>
    <cellStyle name="Input 2 8 3" xfId="27682" xr:uid="{15A950E6-7370-49C3-9C3F-1FF0C0CD1BBF}"/>
    <cellStyle name="Input 2 8 4" xfId="27683" xr:uid="{4B71EAFF-A71B-428E-91A5-E5A4A7AB2BD3}"/>
    <cellStyle name="Input 2 8 5" xfId="27684" xr:uid="{57F93A8F-9B43-4912-AC21-16DF6C4907DB}"/>
    <cellStyle name="Input 2 8 6" xfId="27685" xr:uid="{4A339CEA-617F-48FB-8CBC-9482223C8336}"/>
    <cellStyle name="Input 2 8 7" xfId="27686" xr:uid="{538B80E2-7C11-44A7-9F93-D8447A905D73}"/>
    <cellStyle name="Input 2 9" xfId="17311" xr:uid="{87B0FFE3-3B1B-47E2-B0A8-BF71FFA17A10}"/>
    <cellStyle name="Input 2 9 2" xfId="27687" xr:uid="{6138D3EC-C5F6-4045-A3FA-9DE582CB7A62}"/>
    <cellStyle name="Input 2 9 3" xfId="27688" xr:uid="{672FEE29-9E0D-4452-9D71-D5C4088E4C67}"/>
    <cellStyle name="Input 2 9 4" xfId="27689" xr:uid="{95C446E5-1BA2-45E1-99AD-16345052D858}"/>
    <cellStyle name="Input 2 9 5" xfId="27690" xr:uid="{E69CAF39-43F7-4832-BBF6-B6AF82B7267F}"/>
    <cellStyle name="Input 2_ELC" xfId="15243" xr:uid="{617D5939-1F5B-4BA8-8D83-1F88569B0DEE}"/>
    <cellStyle name="Input 20" xfId="2618" xr:uid="{1DDCA20C-007F-4BC0-9125-BA4C64B05A68}"/>
    <cellStyle name="Input 20 10" xfId="27691" xr:uid="{0D831775-953B-45CD-82F8-11DFCAF9EE21}"/>
    <cellStyle name="Input 20 2" xfId="2619" xr:uid="{652ABCA8-02A5-45FB-A722-07FD0E515835}"/>
    <cellStyle name="Input 20 2 2" xfId="17320" xr:uid="{8AD8F626-8DEF-4DD8-8894-AD8C19C37A0E}"/>
    <cellStyle name="Input 20 2 2 2" xfId="27692" xr:uid="{AD8E8346-9AAC-440E-8700-4DA902C9F37D}"/>
    <cellStyle name="Input 20 2 2 3" xfId="27693" xr:uid="{8A7C7243-639B-4DFD-B65A-333A0F6BA371}"/>
    <cellStyle name="Input 20 2 2 4" xfId="27694" xr:uid="{F11A1454-295E-43E7-B15F-03AC3ECCC177}"/>
    <cellStyle name="Input 20 2 2 5" xfId="27695" xr:uid="{D880339D-92FB-4AB1-BCA9-BC5D70A4450F}"/>
    <cellStyle name="Input 20 2 3" xfId="27696" xr:uid="{E07052C0-1C2B-4106-AFDE-85533B80B7D3}"/>
    <cellStyle name="Input 20 2 4" xfId="27697" xr:uid="{1B5A5926-3E99-45DF-A369-DE95CFDC959B}"/>
    <cellStyle name="Input 20 2 5" xfId="27698" xr:uid="{29012508-7C15-466A-A725-635159C205F4}"/>
    <cellStyle name="Input 20 2 6" xfId="27699" xr:uid="{8F0DF9BD-E774-4AC5-808B-A6930BDAB6BB}"/>
    <cellStyle name="Input 20 3" xfId="2620" xr:uid="{C4D0FB42-D930-4427-824E-7480A0C8EFFC}"/>
    <cellStyle name="Input 20 3 2" xfId="17321" xr:uid="{2102DBFB-0993-49C9-AE2B-C2C37AE42F62}"/>
    <cellStyle name="Input 20 3 2 2" xfId="27700" xr:uid="{01514E4D-361A-4866-9C42-9A88688A00D9}"/>
    <cellStyle name="Input 20 3 2 3" xfId="27701" xr:uid="{6A56D796-A4F4-40A2-AA16-3380C3CCD863}"/>
    <cellStyle name="Input 20 3 2 4" xfId="27702" xr:uid="{0FBA3A38-E6D3-4E47-90E1-5A0D1E652498}"/>
    <cellStyle name="Input 20 3 2 5" xfId="27703" xr:uid="{E0361D2B-9A4C-4D37-B0AC-560399B03A02}"/>
    <cellStyle name="Input 20 3 3" xfId="27704" xr:uid="{E9D7EAF2-D9FD-4F19-92C3-7F7B934F862C}"/>
    <cellStyle name="Input 20 3 4" xfId="27705" xr:uid="{19595AD6-90D7-4C34-8BA2-44D883118D64}"/>
    <cellStyle name="Input 20 3 5" xfId="27706" xr:uid="{642391AA-FD4C-46D0-892E-621F48ABF621}"/>
    <cellStyle name="Input 20 3 6" xfId="27707" xr:uid="{1D5272A3-7AC8-492D-AA58-5F02BDA1C2B2}"/>
    <cellStyle name="Input 20 4" xfId="15331" xr:uid="{910F7AA8-C8E9-4928-BE6D-1D13F596D66B}"/>
    <cellStyle name="Input 20 4 2" xfId="17322" xr:uid="{20029BF6-762D-4126-BDDF-8EE59C9A9ED9}"/>
    <cellStyle name="Input 20 4 2 2" xfId="27708" xr:uid="{CA1476EC-325E-4637-863B-D7E5AACD6087}"/>
    <cellStyle name="Input 20 4 2 3" xfId="27709" xr:uid="{3FECD82F-CDB8-4853-AE06-79CB5717B939}"/>
    <cellStyle name="Input 20 4 2 4" xfId="27710" xr:uid="{3F8A283F-4D5F-4B91-98BD-C054B3705E5E}"/>
    <cellStyle name="Input 20 4 2 5" xfId="27711" xr:uid="{26971560-743C-4318-A4D1-AA528E34D70A}"/>
    <cellStyle name="Input 20 4 3" xfId="27712" xr:uid="{A2D3EEB5-914D-4080-B9D6-4D47E41AFD5F}"/>
    <cellStyle name="Input 20 4 4" xfId="27713" xr:uid="{350CC780-5BA8-4620-A2B6-88F0A4C8195B}"/>
    <cellStyle name="Input 20 4 5" xfId="27714" xr:uid="{0516EA81-DF88-42D6-91CE-C845FC1D7673}"/>
    <cellStyle name="Input 20 4 6" xfId="27715" xr:uid="{773357D8-6DA7-458C-AA22-289961AB6863}"/>
    <cellStyle name="Input 20 5" xfId="16684" xr:uid="{2A03ED34-F77C-4F33-80DB-A50E9E561F58}"/>
    <cellStyle name="Input 20 5 2" xfId="17323" xr:uid="{B3B97D8D-B71C-4B43-9D57-FE41E8D19ACD}"/>
    <cellStyle name="Input 20 5 2 2" xfId="27716" xr:uid="{D1612F5D-32F8-4D82-849A-7B3214EA00D9}"/>
    <cellStyle name="Input 20 5 2 3" xfId="27717" xr:uid="{3489D58E-9D0D-4B9C-86DE-3140297293F1}"/>
    <cellStyle name="Input 20 5 2 4" xfId="27718" xr:uid="{61F2B76C-3E58-4D20-9CAD-E863C52CF893}"/>
    <cellStyle name="Input 20 5 2 5" xfId="27719" xr:uid="{FE297840-CA86-4E2E-A00C-6339AAF53CA0}"/>
    <cellStyle name="Input 20 5 3" xfId="27720" xr:uid="{0CF93F84-1407-442C-AD7F-CC12BC1B75F0}"/>
    <cellStyle name="Input 20 5 4" xfId="27721" xr:uid="{B79BEDDA-3D46-4E64-B216-30C7741718C4}"/>
    <cellStyle name="Input 20 5 5" xfId="27722" xr:uid="{03EA9137-2D19-4AE6-9785-C4A7711ED7C4}"/>
    <cellStyle name="Input 20 5 6" xfId="27723" xr:uid="{927C8344-8F72-4005-A18D-D9E41C44E537}"/>
    <cellStyle name="Input 20 6" xfId="17319" xr:uid="{A864AE60-9518-4C94-A924-79180EC4144B}"/>
    <cellStyle name="Input 20 6 2" xfId="27724" xr:uid="{C3CFCD5C-3017-445E-A60D-97B200D369CF}"/>
    <cellStyle name="Input 20 6 3" xfId="27725" xr:uid="{F1BE3EE2-4070-4AEB-9779-24989F6D74FB}"/>
    <cellStyle name="Input 20 6 4" xfId="27726" xr:uid="{92505176-470A-4622-AB1D-59A0E7F19F95}"/>
    <cellStyle name="Input 20 6 5" xfId="27727" xr:uid="{9C3F91A1-F82B-488E-AD65-696586D8F7B0}"/>
    <cellStyle name="Input 20 7" xfId="27728" xr:uid="{625F3347-84D9-4FE2-8069-D4289DD9B04D}"/>
    <cellStyle name="Input 20 8" xfId="27729" xr:uid="{49F33F80-DF13-44C4-B747-B534C32C7DB2}"/>
    <cellStyle name="Input 20 9" xfId="27730" xr:uid="{BB4E0BDD-0FD3-4EA9-BF5C-4CB4AEAA68F7}"/>
    <cellStyle name="Input 21" xfId="2621" xr:uid="{67B463DB-4F20-426F-B204-9C87D390A0A4}"/>
    <cellStyle name="Input 21 10" xfId="27731" xr:uid="{27DC06AD-6138-4AF5-87D2-BFC68CA27594}"/>
    <cellStyle name="Input 21 2" xfId="2622" xr:uid="{CC6CA110-7697-4DB2-8CAD-DEDF8D3DBCC7}"/>
    <cellStyle name="Input 21 2 2" xfId="17325" xr:uid="{B09D3163-5FD4-419D-B265-27BECF715A85}"/>
    <cellStyle name="Input 21 2 2 2" xfId="27732" xr:uid="{C18E600D-5394-48E4-BE37-DAD79A639E3D}"/>
    <cellStyle name="Input 21 2 2 3" xfId="27733" xr:uid="{02A256F2-C835-4260-8E7A-141FEFFAB2F3}"/>
    <cellStyle name="Input 21 2 2 4" xfId="27734" xr:uid="{43CD7728-62C0-4B5F-8045-5A5FB267DF1A}"/>
    <cellStyle name="Input 21 2 2 5" xfId="27735" xr:uid="{698CAE2B-2615-4CAB-B96F-EFC17D201D19}"/>
    <cellStyle name="Input 21 2 3" xfId="27736" xr:uid="{569F7B3F-18A2-4B70-B9B5-00517716B437}"/>
    <cellStyle name="Input 21 2 4" xfId="27737" xr:uid="{F60943F2-37F4-4883-A851-C225F0C0DD74}"/>
    <cellStyle name="Input 21 2 5" xfId="27738" xr:uid="{442907DB-22BC-4B18-891D-32008C124BBF}"/>
    <cellStyle name="Input 21 2 6" xfId="27739" xr:uid="{119576AB-5895-4A1D-A534-0BCC364D18BB}"/>
    <cellStyle name="Input 21 3" xfId="2623" xr:uid="{BE2222F7-EB78-4AFF-8AB8-808A15BFD9C4}"/>
    <cellStyle name="Input 21 3 2" xfId="17326" xr:uid="{CC50619F-434B-4CF9-A24A-4490CA987BEE}"/>
    <cellStyle name="Input 21 3 2 2" xfId="27740" xr:uid="{8649941A-4BE1-416A-8ED6-612250C86302}"/>
    <cellStyle name="Input 21 3 2 3" xfId="27741" xr:uid="{7ED3EE1A-BAE0-4808-804C-F97F293D37C6}"/>
    <cellStyle name="Input 21 3 2 4" xfId="27742" xr:uid="{C3ACD013-CF34-4B4C-84F7-67B27F7B77E9}"/>
    <cellStyle name="Input 21 3 2 5" xfId="27743" xr:uid="{3648FE8E-6087-47C3-BDF7-833DDCE83B13}"/>
    <cellStyle name="Input 21 3 3" xfId="27744" xr:uid="{97EA66E1-65AC-4777-AC0C-EB0544E44D49}"/>
    <cellStyle name="Input 21 3 4" xfId="27745" xr:uid="{C97F53AC-8AFC-423D-8C68-1AE82FD23B05}"/>
    <cellStyle name="Input 21 3 5" xfId="27746" xr:uid="{1C2D8C76-50C7-4FC0-84E0-98804ADD0AA3}"/>
    <cellStyle name="Input 21 3 6" xfId="27747" xr:uid="{E29AE586-B208-4686-B0F2-1A46FF9DC89F}"/>
    <cellStyle name="Input 21 4" xfId="15332" xr:uid="{CE9A41D6-3FD0-424A-AEE2-547EE87B5C20}"/>
    <cellStyle name="Input 21 4 2" xfId="17327" xr:uid="{8ADD2D40-D0F5-4935-992B-296F769F4618}"/>
    <cellStyle name="Input 21 4 2 2" xfId="27748" xr:uid="{55F9CDA5-4983-4B95-8EC5-1B58028A571D}"/>
    <cellStyle name="Input 21 4 2 3" xfId="27749" xr:uid="{EE741390-6ED3-4BF6-97C6-09B01C99179F}"/>
    <cellStyle name="Input 21 4 2 4" xfId="27750" xr:uid="{2EC7EA36-80E3-41A8-8A11-FED781C956EA}"/>
    <cellStyle name="Input 21 4 2 5" xfId="27751" xr:uid="{560D284C-1183-4D76-B9BF-A892AF9E57C5}"/>
    <cellStyle name="Input 21 4 3" xfId="27752" xr:uid="{CF4FAE57-3857-4264-B6D7-552681DBAEBD}"/>
    <cellStyle name="Input 21 4 4" xfId="27753" xr:uid="{6F188883-2C6C-4C4C-9E15-7DEA23E7A1BF}"/>
    <cellStyle name="Input 21 4 5" xfId="27754" xr:uid="{E9A812F3-E4EE-4506-BDAF-DC48522BDF88}"/>
    <cellStyle name="Input 21 4 6" xfId="27755" xr:uid="{D1632B97-18AC-4DB1-A7D9-F60D4B530536}"/>
    <cellStyle name="Input 21 5" xfId="16685" xr:uid="{54096E70-0B7B-4ADC-AF19-771F30B2B4D2}"/>
    <cellStyle name="Input 21 5 2" xfId="17328" xr:uid="{8C78AE09-024B-44E4-8BF7-68B565385868}"/>
    <cellStyle name="Input 21 5 2 2" xfId="27756" xr:uid="{F5DE3267-9168-44B9-B1DA-8CBD1414AE82}"/>
    <cellStyle name="Input 21 5 2 3" xfId="27757" xr:uid="{ACA43285-1ECD-42D6-AEAA-907265A67484}"/>
    <cellStyle name="Input 21 5 2 4" xfId="27758" xr:uid="{4FE38058-EA99-44DD-90CD-512C2A2EA866}"/>
    <cellStyle name="Input 21 5 2 5" xfId="27759" xr:uid="{067799AF-E44E-4BD9-A800-F2A30D95C761}"/>
    <cellStyle name="Input 21 5 3" xfId="27760" xr:uid="{B831F278-664D-4553-A867-D5B56BB25EBD}"/>
    <cellStyle name="Input 21 5 4" xfId="27761" xr:uid="{7BF4AC7B-51AD-4077-9C69-DD26A0C84027}"/>
    <cellStyle name="Input 21 5 5" xfId="27762" xr:uid="{B7D68672-83DC-47F7-8ED4-FE36D5DA17D1}"/>
    <cellStyle name="Input 21 5 6" xfId="27763" xr:uid="{F44EED5C-340A-4B27-B65F-C597CA434A57}"/>
    <cellStyle name="Input 21 6" xfId="17324" xr:uid="{84E3D407-241D-4B7D-8B7F-B996E0D01506}"/>
    <cellStyle name="Input 21 6 2" xfId="27764" xr:uid="{E4935F8B-2DE9-43B6-8827-2ECD440774E0}"/>
    <cellStyle name="Input 21 6 3" xfId="27765" xr:uid="{DD4A6767-AFC1-4E19-9036-C51463A32A3D}"/>
    <cellStyle name="Input 21 6 4" xfId="27766" xr:uid="{B0EDC4BC-06E9-47D8-8583-C144635C44AE}"/>
    <cellStyle name="Input 21 6 5" xfId="27767" xr:uid="{188CB6CF-5827-45DC-8F26-908AE7E7FDD8}"/>
    <cellStyle name="Input 21 7" xfId="27768" xr:uid="{4EC04D8B-27BD-4F3E-B0AE-EB27EA906644}"/>
    <cellStyle name="Input 21 8" xfId="27769" xr:uid="{B757BE7B-DAB9-441B-9518-3A6BCB7849DD}"/>
    <cellStyle name="Input 21 9" xfId="27770" xr:uid="{6872B224-E207-4FB0-9C8B-B1890F8134CD}"/>
    <cellStyle name="Input 22" xfId="2624" xr:uid="{DC33EF75-6628-4F18-A542-3D45E067B533}"/>
    <cellStyle name="Input 22 10" xfId="27771" xr:uid="{242CC793-0AEF-42F2-A513-926C16933549}"/>
    <cellStyle name="Input 22 2" xfId="2625" xr:uid="{78828572-96B6-402C-B223-A7C837530D23}"/>
    <cellStyle name="Input 22 2 2" xfId="17330" xr:uid="{CEE0669E-E323-492F-B67A-F515CDCAA9DB}"/>
    <cellStyle name="Input 22 2 2 2" xfId="27772" xr:uid="{E8EEDD28-C118-4543-BC1B-0A39E6ADF45C}"/>
    <cellStyle name="Input 22 2 2 3" xfId="27773" xr:uid="{000AF9D3-DE57-4BAA-A17E-F4B33912053C}"/>
    <cellStyle name="Input 22 2 2 4" xfId="27774" xr:uid="{2F889A60-1F8C-45F4-98A0-2503E45BCA09}"/>
    <cellStyle name="Input 22 2 2 5" xfId="27775" xr:uid="{6B49B687-21CD-41BD-8691-2F89B43B4E5D}"/>
    <cellStyle name="Input 22 2 3" xfId="27776" xr:uid="{CD79398C-EBED-42A5-BB6A-F33BAA0D2B42}"/>
    <cellStyle name="Input 22 2 4" xfId="27777" xr:uid="{03CCCB1E-C7B1-4545-BAB9-E6A0C469DE01}"/>
    <cellStyle name="Input 22 2 5" xfId="27778" xr:uid="{ED4E56FD-E3C7-4154-B176-E7786DC4827A}"/>
    <cellStyle name="Input 22 2 6" xfId="27779" xr:uid="{28A21382-1D2F-4FC9-85BD-F219D4992F16}"/>
    <cellStyle name="Input 22 3" xfId="2626" xr:uid="{4E5B2570-A02A-4B50-BFA3-F179C3671008}"/>
    <cellStyle name="Input 22 3 2" xfId="17331" xr:uid="{36BCD634-EDE8-4926-B98D-5DF70CF73869}"/>
    <cellStyle name="Input 22 3 2 2" xfId="27780" xr:uid="{1BA52E99-60B4-496A-9C72-9A155B3DAA25}"/>
    <cellStyle name="Input 22 3 2 3" xfId="27781" xr:uid="{7591AD20-6826-4D91-8671-2D6874F57B0B}"/>
    <cellStyle name="Input 22 3 2 4" xfId="27782" xr:uid="{DFCA931E-108E-4AAA-9AF7-282E574EC73C}"/>
    <cellStyle name="Input 22 3 2 5" xfId="27783" xr:uid="{21AC86CC-4F14-40E1-9B12-14C6E9CEEEBB}"/>
    <cellStyle name="Input 22 3 3" xfId="27784" xr:uid="{6C4C430E-A90C-4DBF-AA7B-49CE3F12CC56}"/>
    <cellStyle name="Input 22 3 4" xfId="27785" xr:uid="{96202ECA-A98C-4B9D-A5B6-81FE81DBD60A}"/>
    <cellStyle name="Input 22 3 5" xfId="27786" xr:uid="{A2CBB141-C5AC-4A70-ABD6-A8CEA337F6BA}"/>
    <cellStyle name="Input 22 3 6" xfId="27787" xr:uid="{E158058B-52B7-4400-8254-98318455E7FA}"/>
    <cellStyle name="Input 22 4" xfId="15333" xr:uid="{F9F1779E-A9D5-477A-B358-79365BC01B44}"/>
    <cellStyle name="Input 22 4 2" xfId="17332" xr:uid="{6D76923B-3DEF-4E3A-83EA-A1D651757F72}"/>
    <cellStyle name="Input 22 4 2 2" xfId="27788" xr:uid="{F78262C7-CE89-4F6A-A4D7-EB534D155DD2}"/>
    <cellStyle name="Input 22 4 2 3" xfId="27789" xr:uid="{3DE723A7-457C-48E5-9B02-ED1B1C33D160}"/>
    <cellStyle name="Input 22 4 2 4" xfId="27790" xr:uid="{954D219A-D8B1-4828-8440-A531F4674D31}"/>
    <cellStyle name="Input 22 4 2 5" xfId="27791" xr:uid="{57045018-3607-4A43-BFE3-012DB94A0E15}"/>
    <cellStyle name="Input 22 4 3" xfId="27792" xr:uid="{F94FBD58-C528-4120-A8CD-86AB652CE674}"/>
    <cellStyle name="Input 22 4 4" xfId="27793" xr:uid="{08C69D09-D3DC-49CB-9FDC-5E34F78D8F46}"/>
    <cellStyle name="Input 22 4 5" xfId="27794" xr:uid="{DFCFA591-35CF-4151-AD69-ED778AF485AE}"/>
    <cellStyle name="Input 22 4 6" xfId="27795" xr:uid="{72FCC466-2F10-4CC1-B2CF-50B91EC19733}"/>
    <cellStyle name="Input 22 5" xfId="16686" xr:uid="{B78F8E92-E695-41B6-8D64-F8824C9EEFD3}"/>
    <cellStyle name="Input 22 5 2" xfId="17333" xr:uid="{A620BF36-E482-4835-A446-656BCAB80BF4}"/>
    <cellStyle name="Input 22 5 2 2" xfId="27796" xr:uid="{6B5FFC10-467C-4F12-9195-B83823180AA6}"/>
    <cellStyle name="Input 22 5 2 3" xfId="27797" xr:uid="{769791F0-3A03-4460-A63F-75E5C901F7D5}"/>
    <cellStyle name="Input 22 5 2 4" xfId="27798" xr:uid="{9264F4FD-21E2-41E2-9893-C0C4ECBF8BFA}"/>
    <cellStyle name="Input 22 5 2 5" xfId="27799" xr:uid="{753DF3FF-E6C9-4C6F-A962-0C571BFC84DC}"/>
    <cellStyle name="Input 22 5 3" xfId="27800" xr:uid="{90E752BB-A6FD-415E-85D7-8080A066D542}"/>
    <cellStyle name="Input 22 5 4" xfId="27801" xr:uid="{65F84AAB-9F14-4B5B-83F7-EF4AAF937597}"/>
    <cellStyle name="Input 22 5 5" xfId="27802" xr:uid="{20F4A406-269F-4672-9823-9CD4436053A0}"/>
    <cellStyle name="Input 22 5 6" xfId="27803" xr:uid="{78FCA4F7-C397-4DA4-87A5-77A5C230C98A}"/>
    <cellStyle name="Input 22 6" xfId="17329" xr:uid="{BD43F969-90C0-4C89-961C-F3240A428160}"/>
    <cellStyle name="Input 22 6 2" xfId="27804" xr:uid="{1FF14AAB-8A4A-4677-A835-3BB0419AABD7}"/>
    <cellStyle name="Input 22 6 3" xfId="27805" xr:uid="{D39F2CC8-8B5F-4E3A-8BE5-43DEAD42A9C2}"/>
    <cellStyle name="Input 22 6 4" xfId="27806" xr:uid="{57EBDA73-BE9B-437D-B070-2F70B29D9381}"/>
    <cellStyle name="Input 22 6 5" xfId="27807" xr:uid="{75C046E0-7A05-43E4-A18B-1EDE45ED3866}"/>
    <cellStyle name="Input 22 7" xfId="27808" xr:uid="{2EB91826-861F-4FBF-9187-8696876675A3}"/>
    <cellStyle name="Input 22 8" xfId="27809" xr:uid="{206C469E-AACB-4C2E-8242-E33EE277CD58}"/>
    <cellStyle name="Input 22 9" xfId="27810" xr:uid="{3674BE98-A25E-4DF9-9C86-2FC12739E633}"/>
    <cellStyle name="Input 23" xfId="2627" xr:uid="{3A3519B9-0086-481D-B787-15416D3D13BF}"/>
    <cellStyle name="Input 23 2" xfId="15334" xr:uid="{36BAFFA4-FD28-47F6-B3FC-743D33C4DCAD}"/>
    <cellStyle name="Input 23 2 2" xfId="17335" xr:uid="{4E3E6E25-D9F4-4997-9E94-405A23C7712F}"/>
    <cellStyle name="Input 23 2 2 2" xfId="27811" xr:uid="{3080D072-0D7B-4FF6-9589-5940D863DD77}"/>
    <cellStyle name="Input 23 2 2 3" xfId="27812" xr:uid="{5D13282F-97ED-4393-89A5-03DA86F35871}"/>
    <cellStyle name="Input 23 2 2 4" xfId="27813" xr:uid="{80625AC5-853D-46AE-974C-A82C70B38AD7}"/>
    <cellStyle name="Input 23 2 2 5" xfId="27814" xr:uid="{C1366179-ABAE-4858-9D2B-11AA046C89DF}"/>
    <cellStyle name="Input 23 2 3" xfId="27815" xr:uid="{B2ABF7D6-8933-4F3F-9A87-D8F817871A25}"/>
    <cellStyle name="Input 23 2 4" xfId="27816" xr:uid="{0F73DF91-2E1C-4883-A013-79308B1F4812}"/>
    <cellStyle name="Input 23 2 5" xfId="27817" xr:uid="{3BABB9B1-C385-4262-AC0D-B7BA6DF221BD}"/>
    <cellStyle name="Input 23 2 6" xfId="27818" xr:uid="{1B71BB3D-464F-479C-8CD4-2E938DB9DDE2}"/>
    <cellStyle name="Input 23 3" xfId="16687" xr:uid="{F1116C39-00EB-4781-BCEB-34DE92728709}"/>
    <cellStyle name="Input 23 3 2" xfId="17336" xr:uid="{F1072907-11D2-40AD-ABF0-98CC11E80F2E}"/>
    <cellStyle name="Input 23 3 2 2" xfId="27819" xr:uid="{4C51B1B9-93D5-45EC-B8E3-E723283DE593}"/>
    <cellStyle name="Input 23 3 2 3" xfId="27820" xr:uid="{E14C340F-2055-44E9-9ED7-D9941131C337}"/>
    <cellStyle name="Input 23 3 2 4" xfId="27821" xr:uid="{8876FB6A-EC02-4456-8F55-5A8F2CCBE9AA}"/>
    <cellStyle name="Input 23 3 2 5" xfId="27822" xr:uid="{80676CE3-6E38-44BA-84A9-BC7421FEF556}"/>
    <cellStyle name="Input 23 3 3" xfId="27823" xr:uid="{CAA0E78D-65F5-44B9-95BD-EA619F2D88A4}"/>
    <cellStyle name="Input 23 3 4" xfId="27824" xr:uid="{26695553-A1E1-474B-A4F5-C8B9AE01EA76}"/>
    <cellStyle name="Input 23 3 5" xfId="27825" xr:uid="{6C6BFFF0-4EEC-460A-9721-D9C8F6B0F678}"/>
    <cellStyle name="Input 23 3 6" xfId="27826" xr:uid="{25F665F7-361C-45C8-A07D-2427D1DFDED9}"/>
    <cellStyle name="Input 23 4" xfId="16471" xr:uid="{7FAA1382-A2CF-47B4-B924-A07FE8E50D62}"/>
    <cellStyle name="Input 23 4 2" xfId="17337" xr:uid="{A0D389FE-7149-4209-BB21-654BBD60A5CA}"/>
    <cellStyle name="Input 23 4 2 2" xfId="27827" xr:uid="{17C3CD4C-7118-4147-9F78-0EEA2F94A56F}"/>
    <cellStyle name="Input 23 4 2 3" xfId="27828" xr:uid="{7F0FA93C-908A-41CD-82DE-A7BC74A39D6A}"/>
    <cellStyle name="Input 23 4 2 4" xfId="27829" xr:uid="{F8D85D22-9315-4E2A-89A5-642FFA3141DF}"/>
    <cellStyle name="Input 23 4 2 5" xfId="27830" xr:uid="{BD3C7312-C678-420F-BD0E-40A149E6B06F}"/>
    <cellStyle name="Input 23 4 3" xfId="27831" xr:uid="{047C0547-5C21-4CE7-93D8-C9267877ABC3}"/>
    <cellStyle name="Input 23 4 4" xfId="27832" xr:uid="{91CF9BBE-EC27-4BE3-B2E6-20E0EEE14015}"/>
    <cellStyle name="Input 23 4 5" xfId="27833" xr:uid="{E6DD6050-4B82-47D0-A859-01ED65ED3A14}"/>
    <cellStyle name="Input 23 4 6" xfId="27834" xr:uid="{745ADA06-A7D1-432A-8D37-CD172F0408C1}"/>
    <cellStyle name="Input 23 5" xfId="17334" xr:uid="{90801F1B-1ABA-47E2-9199-E5EF8837C244}"/>
    <cellStyle name="Input 23 5 2" xfId="27835" xr:uid="{22BBBDBD-4731-48B0-8243-AF2572D2FC76}"/>
    <cellStyle name="Input 23 5 3" xfId="27836" xr:uid="{A57FF1C1-EAA6-419D-9DA1-4C536D9DAF06}"/>
    <cellStyle name="Input 23 5 4" xfId="27837" xr:uid="{D1F75E0A-6FBE-4E3D-B213-EE8E0CDE6563}"/>
    <cellStyle name="Input 23 5 5" xfId="27838" xr:uid="{2806BDD1-1902-43BD-BA20-DD8665DF045A}"/>
    <cellStyle name="Input 23 6" xfId="27839" xr:uid="{6DDA0E2B-26D5-4110-991E-42802240D908}"/>
    <cellStyle name="Input 23 7" xfId="27840" xr:uid="{EAF00717-BB6C-4D8D-B695-1DC7FF4D6097}"/>
    <cellStyle name="Input 23 8" xfId="27841" xr:uid="{1BB1DCE7-289F-46B5-BA98-0DFD7CD24712}"/>
    <cellStyle name="Input 23 9" xfId="27842" xr:uid="{B653FA46-E394-48A8-B89D-A1992156365A}"/>
    <cellStyle name="Input 24" xfId="2628" xr:uid="{8E062874-186D-49C7-840C-3E240E21C5FB}"/>
    <cellStyle name="Input 24 2" xfId="15335" xr:uid="{5F04E144-474E-4CBB-AAFD-63D0E6DCC81D}"/>
    <cellStyle name="Input 24 2 2" xfId="17339" xr:uid="{0D0C032B-C387-4942-9941-D5A0E5BA35A2}"/>
    <cellStyle name="Input 24 2 2 2" xfId="27843" xr:uid="{A8DBA3E1-49EE-4F6B-B08F-BE3B60A562A5}"/>
    <cellStyle name="Input 24 2 2 3" xfId="27844" xr:uid="{053C6F21-310D-44C3-A573-AD460B06E51C}"/>
    <cellStyle name="Input 24 2 2 4" xfId="27845" xr:uid="{5AA512D3-1AFF-48FF-BAE9-B0BEE2A604D2}"/>
    <cellStyle name="Input 24 2 2 5" xfId="27846" xr:uid="{A2570547-A9E1-4C83-B284-1FB3E9A6BD22}"/>
    <cellStyle name="Input 24 2 3" xfId="27847" xr:uid="{B315C0B5-348E-460A-9989-7BC6D241236C}"/>
    <cellStyle name="Input 24 2 4" xfId="27848" xr:uid="{7FD390E6-272D-4B9E-9FCE-72569E85304E}"/>
    <cellStyle name="Input 24 2 5" xfId="27849" xr:uid="{E52CD5DF-35F9-4148-9E61-724E105360E0}"/>
    <cellStyle name="Input 24 2 6" xfId="27850" xr:uid="{D472A1C9-30C6-40AF-8EB6-EA7544A325A4}"/>
    <cellStyle name="Input 24 3" xfId="16688" xr:uid="{FD12959F-F364-446E-AF99-5B1B40A518AD}"/>
    <cellStyle name="Input 24 3 2" xfId="17340" xr:uid="{70463880-636B-4055-9348-4E44F991C72C}"/>
    <cellStyle name="Input 24 3 2 2" xfId="27851" xr:uid="{B3BE1CAD-3141-427F-8077-5A55427C9F33}"/>
    <cellStyle name="Input 24 3 2 3" xfId="27852" xr:uid="{2F746CDE-E9B6-4F98-AD94-831F227C3501}"/>
    <cellStyle name="Input 24 3 2 4" xfId="27853" xr:uid="{9D39BE12-7894-4BDD-A3FC-2CE0755AD058}"/>
    <cellStyle name="Input 24 3 2 5" xfId="27854" xr:uid="{35A1E0AF-14D1-4BCE-ADFD-D7F50D141D76}"/>
    <cellStyle name="Input 24 3 3" xfId="27855" xr:uid="{D554C8DE-7754-4727-AA1F-6AA38DE07E04}"/>
    <cellStyle name="Input 24 3 4" xfId="27856" xr:uid="{EB7F577D-6CBF-4B36-A157-B28735C33615}"/>
    <cellStyle name="Input 24 3 5" xfId="27857" xr:uid="{776A20A5-B137-405C-ACAC-60174D38FCFB}"/>
    <cellStyle name="Input 24 3 6" xfId="27858" xr:uid="{4430A607-CD20-4864-B371-9C3D1440DEE9}"/>
    <cellStyle name="Input 24 4" xfId="16472" xr:uid="{5B26C6CB-5E56-4322-A75C-D30155A4F240}"/>
    <cellStyle name="Input 24 4 2" xfId="17341" xr:uid="{E8987B85-64EF-4CBD-B5DE-266AF9D82CF8}"/>
    <cellStyle name="Input 24 4 2 2" xfId="27859" xr:uid="{8E61B4ED-BD61-421A-9905-02F739637389}"/>
    <cellStyle name="Input 24 4 2 3" xfId="27860" xr:uid="{B4585CF3-AF92-4431-8FC4-293EDADEF839}"/>
    <cellStyle name="Input 24 4 2 4" xfId="27861" xr:uid="{F251F375-222A-4A78-9897-CA9AA33A2178}"/>
    <cellStyle name="Input 24 4 2 5" xfId="27862" xr:uid="{1527379E-94E3-446F-B23A-20F118AD74C7}"/>
    <cellStyle name="Input 24 4 3" xfId="27863" xr:uid="{77849BD6-A60D-4D98-95D4-16652D2998F6}"/>
    <cellStyle name="Input 24 4 4" xfId="27864" xr:uid="{B1FF5DE4-6924-4B33-A793-6E23A3D99A92}"/>
    <cellStyle name="Input 24 4 5" xfId="27865" xr:uid="{8B14EE17-8E07-4B81-9274-D376CB0F7A8E}"/>
    <cellStyle name="Input 24 4 6" xfId="27866" xr:uid="{36B90D83-51F0-40F2-8172-7004B106EE43}"/>
    <cellStyle name="Input 24 5" xfId="17338" xr:uid="{6C8C00C1-AE33-4CC4-B180-E1A62DC27F3C}"/>
    <cellStyle name="Input 24 5 2" xfId="27867" xr:uid="{FA38E3E3-542F-4C72-91C1-8DCFCD33BAD7}"/>
    <cellStyle name="Input 24 5 3" xfId="27868" xr:uid="{92991EC3-C9B7-4D8E-AAA2-7120E2A53C19}"/>
    <cellStyle name="Input 24 5 4" xfId="27869" xr:uid="{D29F605E-0D66-44F1-9555-BA8663DCE5DB}"/>
    <cellStyle name="Input 24 5 5" xfId="27870" xr:uid="{443CDFB4-E274-48D9-93B8-A739B7A47A7D}"/>
    <cellStyle name="Input 24 6" xfId="27871" xr:uid="{7E813CDD-1EB2-47A9-955E-073D2E98DB10}"/>
    <cellStyle name="Input 24 7" xfId="27872" xr:uid="{DEC00247-05A0-4136-812A-9AD2E803F357}"/>
    <cellStyle name="Input 24 8" xfId="27873" xr:uid="{D0628D82-7CDA-4267-81AC-ED8D132BD62A}"/>
    <cellStyle name="Input 24 9" xfId="27874" xr:uid="{8C85550A-5AB0-42EC-BB40-10C826BD030D}"/>
    <cellStyle name="Input 25" xfId="2629" xr:uid="{DD13367C-03FA-4D7A-95AB-FB9AC7467A06}"/>
    <cellStyle name="Input 25 2" xfId="15336" xr:uid="{8ED7C14C-6D12-4ACF-8E4C-B52427DB8636}"/>
    <cellStyle name="Input 25 2 2" xfId="17343" xr:uid="{2EEB079C-3839-48ED-B249-87B8450BD8B7}"/>
    <cellStyle name="Input 25 2 2 2" xfId="27875" xr:uid="{1E4BA40E-3EDA-4CEF-B9D0-B2F42A3F8251}"/>
    <cellStyle name="Input 25 2 2 3" xfId="27876" xr:uid="{9363AE99-3062-468D-B42C-5F6B4B97E11E}"/>
    <cellStyle name="Input 25 2 2 4" xfId="27877" xr:uid="{1911891A-28B5-4693-A193-67AE767EE9E2}"/>
    <cellStyle name="Input 25 2 2 5" xfId="27878" xr:uid="{C2B0D7ED-52F7-4631-A4EC-24EE752D831D}"/>
    <cellStyle name="Input 25 2 3" xfId="27879" xr:uid="{AF004801-EEC3-4F4D-8112-807BD6717D83}"/>
    <cellStyle name="Input 25 2 4" xfId="27880" xr:uid="{14C7D3B6-9FE2-4FD4-A831-3725887020B8}"/>
    <cellStyle name="Input 25 2 5" xfId="27881" xr:uid="{0FD5306C-3F69-4C02-B949-91B67CD3AED0}"/>
    <cellStyle name="Input 25 2 6" xfId="27882" xr:uid="{EF28EFE7-61DD-46BC-805B-2136C0333F8A}"/>
    <cellStyle name="Input 25 3" xfId="17342" xr:uid="{0DF9CA27-944E-4049-9547-C134B52C0C36}"/>
    <cellStyle name="Input 25 3 2" xfId="27883" xr:uid="{0958EB48-7469-49FE-892D-69B38D7E006B}"/>
    <cellStyle name="Input 25 3 3" xfId="27884" xr:uid="{EE2EA1C0-5677-4593-A9D7-282D264972FB}"/>
    <cellStyle name="Input 25 3 4" xfId="27885" xr:uid="{B678C13B-41D5-4EAC-938B-59644DFAB6AB}"/>
    <cellStyle name="Input 25 3 5" xfId="27886" xr:uid="{3C9C4547-688A-44A9-8F76-341EDDC7075B}"/>
    <cellStyle name="Input 25 4" xfId="27887" xr:uid="{D97EC6F5-5A86-4D06-A2A6-C5A6BADE7308}"/>
    <cellStyle name="Input 25 5" xfId="27888" xr:uid="{D1009616-A69A-4FDE-92B7-8C8F2779EB1F}"/>
    <cellStyle name="Input 25 6" xfId="27889" xr:uid="{2B5B4A95-112A-4A50-9E5A-68BC204F0837}"/>
    <cellStyle name="Input 25 7" xfId="27890" xr:uid="{EB857722-08B1-4721-8389-8698A7856A02}"/>
    <cellStyle name="Input 26" xfId="2630" xr:uid="{08133ACE-18E3-4D3D-BD19-5208518CD50F}"/>
    <cellStyle name="Input 26 2" xfId="15337" xr:uid="{B36BF792-BD66-4AA6-BCCF-E699AEA021A9}"/>
    <cellStyle name="Input 26 2 2" xfId="17345" xr:uid="{1FC66428-1997-456F-A304-ECD81564FBEF}"/>
    <cellStyle name="Input 26 2 2 2" xfId="27891" xr:uid="{50644539-461C-448E-82E3-677979F9A816}"/>
    <cellStyle name="Input 26 2 2 3" xfId="27892" xr:uid="{1B96A873-DBDA-4EDD-AD78-743ECDFA13AD}"/>
    <cellStyle name="Input 26 2 2 4" xfId="27893" xr:uid="{CAAE5FB0-380C-4CD9-A4EE-2A1CC7ED9803}"/>
    <cellStyle name="Input 26 2 2 5" xfId="27894" xr:uid="{AAE2C13D-649F-4567-A572-8CE46EA4CA60}"/>
    <cellStyle name="Input 26 2 3" xfId="27895" xr:uid="{45927DAA-87F7-41D2-AB04-55357FCE3D85}"/>
    <cellStyle name="Input 26 2 4" xfId="27896" xr:uid="{664EA595-FBBB-4278-94AD-78726E6CB108}"/>
    <cellStyle name="Input 26 2 5" xfId="27897" xr:uid="{9527EDCC-BAAD-42B5-A464-EF71F477852A}"/>
    <cellStyle name="Input 26 2 6" xfId="27898" xr:uid="{5AF7AF60-80BD-41C2-8192-D27885B8B854}"/>
    <cellStyle name="Input 26 3" xfId="17344" xr:uid="{DEC58742-363B-4128-A506-3B17397D6643}"/>
    <cellStyle name="Input 26 3 2" xfId="27899" xr:uid="{77A8BA91-A92C-4E07-9831-D139CC8E7F79}"/>
    <cellStyle name="Input 26 3 3" xfId="27900" xr:uid="{5A184C77-65E5-4150-AAF7-23C3F3B48745}"/>
    <cellStyle name="Input 26 3 4" xfId="27901" xr:uid="{88B17FD5-8C0C-4E33-AFCA-1D10498BC6C6}"/>
    <cellStyle name="Input 26 3 5" xfId="27902" xr:uid="{F209CAF8-0F2C-4718-B0EB-BAD7AC4A4B2E}"/>
    <cellStyle name="Input 26 4" xfId="27903" xr:uid="{A1A39E53-AE43-43F7-8306-11B34690613A}"/>
    <cellStyle name="Input 26 5" xfId="27904" xr:uid="{0A6B4355-221E-477F-A3A5-8F67126D943B}"/>
    <cellStyle name="Input 26 6" xfId="27905" xr:uid="{CE175308-6896-499E-ACD3-1FC2499EF125}"/>
    <cellStyle name="Input 26 7" xfId="27906" xr:uid="{D7FD0AAE-2B95-4799-A80E-5CE143BD4C74}"/>
    <cellStyle name="Input 27" xfId="2631" xr:uid="{BCF54E59-2E8D-4057-88A3-61E002F403B9}"/>
    <cellStyle name="Input 27 2" xfId="15338" xr:uid="{BDEA29FF-8213-4206-9BA9-3031622F98EC}"/>
    <cellStyle name="Input 27 2 2" xfId="17347" xr:uid="{ED8E7497-0580-46DB-85CB-5B067AD43092}"/>
    <cellStyle name="Input 27 2 2 2" xfId="27907" xr:uid="{EAF48900-6C72-452F-A17E-CC055730E22A}"/>
    <cellStyle name="Input 27 2 2 3" xfId="27908" xr:uid="{E1AB0BC7-CA1A-47B6-90E1-A17046214BE1}"/>
    <cellStyle name="Input 27 2 2 4" xfId="27909" xr:uid="{A463A2C7-0A67-49B5-8BD9-A49171C5D551}"/>
    <cellStyle name="Input 27 2 2 5" xfId="27910" xr:uid="{FE3BA0D9-FB05-43D3-B103-1950264C1B1D}"/>
    <cellStyle name="Input 27 2 3" xfId="27911" xr:uid="{CE14B166-6285-4AA2-AA81-EB4E0940F33C}"/>
    <cellStyle name="Input 27 2 4" xfId="27912" xr:uid="{F52FE059-D1AD-4AA5-8166-03D59588AE94}"/>
    <cellStyle name="Input 27 2 5" xfId="27913" xr:uid="{2D1E759E-B47B-44BE-9AA6-DD6E95538F52}"/>
    <cellStyle name="Input 27 2 6" xfId="27914" xr:uid="{3F3A39CA-C571-4491-B80E-BA5A9F9C2DB8}"/>
    <cellStyle name="Input 27 3" xfId="17346" xr:uid="{B6AED8BB-452A-455A-97D1-FC6A0C72CB80}"/>
    <cellStyle name="Input 27 3 2" xfId="27915" xr:uid="{EB96EEB0-8520-4560-9F46-EA11A3499440}"/>
    <cellStyle name="Input 27 3 3" xfId="27916" xr:uid="{CFCC1981-247B-4D9D-BFE3-562810D69D5F}"/>
    <cellStyle name="Input 27 3 4" xfId="27917" xr:uid="{A67057AA-41A4-4B9C-A026-B59B68A0162D}"/>
    <cellStyle name="Input 27 3 5" xfId="27918" xr:uid="{F8456C14-8061-435C-86D2-65E657D65B99}"/>
    <cellStyle name="Input 27 4" xfId="27919" xr:uid="{3D094A66-F539-4569-85CF-6482638B68C6}"/>
    <cellStyle name="Input 27 5" xfId="27920" xr:uid="{B3EA714D-CE2F-44F8-A277-1DE3379BCF41}"/>
    <cellStyle name="Input 27 6" xfId="27921" xr:uid="{C82EA140-292A-432F-9560-1D132AE90FF7}"/>
    <cellStyle name="Input 27 7" xfId="27922" xr:uid="{B62AAE54-5338-48FA-BD16-C8EFA6C1375F}"/>
    <cellStyle name="Input 28" xfId="2632" xr:uid="{61C2728F-32AD-456F-BDBF-399FB4293F82}"/>
    <cellStyle name="Input 28 2" xfId="15339" xr:uid="{662E7FAE-E661-48CE-B086-6A6B7D6BCBFE}"/>
    <cellStyle name="Input 28 2 2" xfId="17349" xr:uid="{58A55BD6-77E3-4DA0-B8C5-F05BDD640F6F}"/>
    <cellStyle name="Input 28 2 2 2" xfId="27923" xr:uid="{70C2C466-E2FD-4CEA-A618-D24DA661DAC2}"/>
    <cellStyle name="Input 28 2 2 3" xfId="27924" xr:uid="{0E64FFC5-46DB-4ADA-ABBE-6A7985B7D5EF}"/>
    <cellStyle name="Input 28 2 2 4" xfId="27925" xr:uid="{3F0556CC-EC56-479B-AF4B-41937DA783A6}"/>
    <cellStyle name="Input 28 2 2 5" xfId="27926" xr:uid="{CA02AA3B-33F6-491A-B3FF-32E2A708A4D1}"/>
    <cellStyle name="Input 28 2 3" xfId="27927" xr:uid="{C6BF679B-9923-437C-B898-A15135ECE97D}"/>
    <cellStyle name="Input 28 2 4" xfId="27928" xr:uid="{CF9A2687-B9AE-4AC3-AAA9-99B6B5053739}"/>
    <cellStyle name="Input 28 2 5" xfId="27929" xr:uid="{A9DD33F6-C80F-45DE-B062-0F3ECA584BEC}"/>
    <cellStyle name="Input 28 2 6" xfId="27930" xr:uid="{050FA64E-0ED4-4AD8-B323-4F1096A3BE70}"/>
    <cellStyle name="Input 28 3" xfId="17348" xr:uid="{74E39BA6-5F9F-44C8-91B6-E90282245BEF}"/>
    <cellStyle name="Input 28 3 2" xfId="27931" xr:uid="{E37C4AC6-7709-43F3-AD06-85D637B573B4}"/>
    <cellStyle name="Input 28 3 3" xfId="27932" xr:uid="{EFBD7DF1-F11B-47D6-866F-DCAEB402E7BD}"/>
    <cellStyle name="Input 28 3 4" xfId="27933" xr:uid="{06F0892B-171A-4C45-A924-77FD1D5B3349}"/>
    <cellStyle name="Input 28 3 5" xfId="27934" xr:uid="{AC17A6E1-9CA6-41EF-BCEB-F2BD1D54C2F8}"/>
    <cellStyle name="Input 28 4" xfId="27935" xr:uid="{9858F858-8436-4445-B1EE-15DED1EEB626}"/>
    <cellStyle name="Input 28 5" xfId="27936" xr:uid="{B5488DC5-59AF-41CA-B94A-731B23E92DC5}"/>
    <cellStyle name="Input 28 6" xfId="27937" xr:uid="{130749C9-235E-438E-A4BC-807D824C5A88}"/>
    <cellStyle name="Input 28 7" xfId="27938" xr:uid="{ACA03A2A-D4F0-406B-B66F-F6BCFDB80EC7}"/>
    <cellStyle name="Input 29" xfId="2633" xr:uid="{11948993-7718-4354-8A57-66D18859A40C}"/>
    <cellStyle name="Input 29 2" xfId="15340" xr:uid="{31671E99-400F-44C6-8092-7F8FA228AA17}"/>
    <cellStyle name="Input 29 2 2" xfId="17351" xr:uid="{8AAD1BA6-BBB1-4C22-B4D7-64F7C05C3FC4}"/>
    <cellStyle name="Input 29 2 2 2" xfId="27939" xr:uid="{41CC82D8-9CF2-444D-AB36-6F5125387191}"/>
    <cellStyle name="Input 29 2 2 3" xfId="27940" xr:uid="{6A722029-036D-4654-804F-5E9BCAEC70E0}"/>
    <cellStyle name="Input 29 2 2 4" xfId="27941" xr:uid="{DCB5443E-7F4D-4C1B-8645-D912D2C64686}"/>
    <cellStyle name="Input 29 2 2 5" xfId="27942" xr:uid="{3C2911F5-8CA8-4D27-BD66-121E4D151925}"/>
    <cellStyle name="Input 29 2 3" xfId="27943" xr:uid="{72E50C3B-2BD3-40D8-9496-811DD710C0B0}"/>
    <cellStyle name="Input 29 2 4" xfId="27944" xr:uid="{8D86B756-105B-48AA-8514-AB963701B3CB}"/>
    <cellStyle name="Input 29 2 5" xfId="27945" xr:uid="{4614D164-F441-4A0E-9270-E99AF2AF4BBE}"/>
    <cellStyle name="Input 29 2 6" xfId="27946" xr:uid="{94CFA76C-EBE8-40D7-8396-436435C046BD}"/>
    <cellStyle name="Input 29 3" xfId="17350" xr:uid="{780EFA20-3A6B-4815-81C2-024CFD5204E7}"/>
    <cellStyle name="Input 29 3 2" xfId="27947" xr:uid="{F6C4A6E6-2325-4840-A63C-37BADB586049}"/>
    <cellStyle name="Input 29 3 3" xfId="27948" xr:uid="{91794DE2-70C2-4201-9BCB-35C7A2C3D0D7}"/>
    <cellStyle name="Input 29 3 4" xfId="27949" xr:uid="{8D24E0E9-E031-4CDF-954D-C0A6ACD95F01}"/>
    <cellStyle name="Input 29 3 5" xfId="27950" xr:uid="{8C9C506D-8295-46CF-B7A0-028D23934F56}"/>
    <cellStyle name="Input 29 4" xfId="27951" xr:uid="{9DD5FECD-ADCE-41DD-8F5F-03DB4431765C}"/>
    <cellStyle name="Input 29 5" xfId="27952" xr:uid="{7711A5F0-FFF7-43A7-9DC2-35C0B7BED805}"/>
    <cellStyle name="Input 29 6" xfId="27953" xr:uid="{F5711F8C-DE71-4246-83E4-6DACD4446720}"/>
    <cellStyle name="Input 29 7" xfId="27954" xr:uid="{C66146E5-29D2-41A8-B9D3-D8CC368F82E1}"/>
    <cellStyle name="Input 3" xfId="4097" xr:uid="{D3B406C0-81A6-4F00-BA8C-51D881E43854}"/>
    <cellStyle name="Input 3 10" xfId="16689" xr:uid="{611BBCAD-353C-44E2-A7EE-1C882925A25E}"/>
    <cellStyle name="Input 3 10 2" xfId="17353" xr:uid="{C24359C2-2CEA-44F1-B5AC-52A14D7A91F6}"/>
    <cellStyle name="Input 3 10 2 2" xfId="27955" xr:uid="{2DB873DA-FCAB-4B08-8CE9-7D0C7DD8C644}"/>
    <cellStyle name="Input 3 10 2 3" xfId="27956" xr:uid="{8644DBD7-3447-44A2-A3AB-D867C5F07C66}"/>
    <cellStyle name="Input 3 10 2 4" xfId="27957" xr:uid="{83AD3023-E0D4-4007-A69B-2575D71151E8}"/>
    <cellStyle name="Input 3 10 2 5" xfId="27958" xr:uid="{CB66CFDF-A64C-4917-B7EB-83CE6773495F}"/>
    <cellStyle name="Input 3 10 3" xfId="27959" xr:uid="{AB438197-E62F-41C9-BEDD-2FCA22B10CFD}"/>
    <cellStyle name="Input 3 10 4" xfId="27960" xr:uid="{385328B4-0C76-42F6-A498-521DA4687BDF}"/>
    <cellStyle name="Input 3 10 5" xfId="27961" xr:uid="{45BFF7C8-F605-4A7E-BA46-AD17DCB64325}"/>
    <cellStyle name="Input 3 10 6" xfId="27962" xr:uid="{FCB0FEBC-F218-4DE3-8BEA-B0F7EC1B5663}"/>
    <cellStyle name="Input 3 11" xfId="17354" xr:uid="{797F4BB9-1B1E-438A-8B54-5772219B722D}"/>
    <cellStyle name="Input 3 11 2" xfId="27963" xr:uid="{FF814F26-C91C-4046-9145-D22CD3DC68CC}"/>
    <cellStyle name="Input 3 11 3" xfId="27964" xr:uid="{F6F74CFC-4C9B-4574-BA05-3603217099BD}"/>
    <cellStyle name="Input 3 11 4" xfId="27965" xr:uid="{5C07238E-EFB0-4F39-B53B-7F7D464787E0}"/>
    <cellStyle name="Input 3 11 5" xfId="27966" xr:uid="{AA890C97-D466-49C3-B6E5-EF9928F2F906}"/>
    <cellStyle name="Input 3 12" xfId="17352" xr:uid="{1E9222B9-6D62-4876-AA8A-24BD8B74D788}"/>
    <cellStyle name="Input 3 12 2" xfId="27967" xr:uid="{4A2DC191-E138-4A54-B213-124B23F1C3B9}"/>
    <cellStyle name="Input 3 12 3" xfId="27968" xr:uid="{5D3B849E-A215-4BDA-B617-15BF29CFDF91}"/>
    <cellStyle name="Input 3 12 4" xfId="27969" xr:uid="{C8F2EB00-1A0D-4818-9EAE-F21A591A32E0}"/>
    <cellStyle name="Input 3 12 5" xfId="27970" xr:uid="{8B00BE07-CEF3-4E6D-9304-F5FC46B1B01B}"/>
    <cellStyle name="Input 3 13" xfId="27971" xr:uid="{F4591795-F7C0-45F9-963F-0584C39BCDE3}"/>
    <cellStyle name="Input 3 14" xfId="27972" xr:uid="{BB03286E-99BA-4A84-9B02-2886A0C55BD7}"/>
    <cellStyle name="Input 3 15" xfId="27973" xr:uid="{E7E6D09B-FD08-431A-BE37-CAFD4E3CE0C1}"/>
    <cellStyle name="Input 3 16" xfId="27974" xr:uid="{AF9177B5-55FC-4AEA-B8F6-22E455D4E1D0}"/>
    <cellStyle name="Input 3 17" xfId="27975" xr:uid="{D75626C5-3207-4EA5-AC7A-83A0D5F03148}"/>
    <cellStyle name="Input 3 2" xfId="2634" xr:uid="{D316FA66-6765-492B-8018-093B1DDC4A98}"/>
    <cellStyle name="Input 3 2 2" xfId="17355" xr:uid="{6DD6CC48-D9C8-43EC-B2FA-BEE3C649FD1D}"/>
    <cellStyle name="Input 3 2 2 2" xfId="27976" xr:uid="{1B2D3C07-4F34-4411-BC01-BA78292927AE}"/>
    <cellStyle name="Input 3 2 2 3" xfId="27977" xr:uid="{BB03DA5E-2B50-4FBD-82B4-D3A43381967D}"/>
    <cellStyle name="Input 3 2 2 4" xfId="27978" xr:uid="{00D15D67-1AD7-46BE-B7A3-C40616261DC5}"/>
    <cellStyle name="Input 3 2 2 5" xfId="27979" xr:uid="{C1F2EF2E-E29B-45CF-B3CD-BA4528D45DCA}"/>
    <cellStyle name="Input 3 2 3" xfId="27980" xr:uid="{B2190401-0388-4EA0-86CD-657D09982B78}"/>
    <cellStyle name="Input 3 2 4" xfId="27981" xr:uid="{13B6D0B7-A930-4F1D-8384-6631F4BBDC8D}"/>
    <cellStyle name="Input 3 2 5" xfId="27982" xr:uid="{83617FA7-3B2F-4B6E-BCA7-F5A9E08D8A6A}"/>
    <cellStyle name="Input 3 2 6" xfId="27983" xr:uid="{575D8252-0302-40D3-8BE1-65AE4C51253F}"/>
    <cellStyle name="Input 3 2 7" xfId="27984" xr:uid="{E452E436-CE79-4D26-829D-28097D2B8A6E}"/>
    <cellStyle name="Input 3 3" xfId="2635" xr:uid="{8FBBD6FE-39EA-40CF-AB41-082165BBF640}"/>
    <cellStyle name="Input 3 3 2" xfId="17356" xr:uid="{1689892F-F3AB-45AB-94D2-F675476CB18E}"/>
    <cellStyle name="Input 3 3 2 2" xfId="27985" xr:uid="{C8756D9C-179F-4DCD-B854-38AC42F0505A}"/>
    <cellStyle name="Input 3 3 2 3" xfId="27986" xr:uid="{11117740-FE1A-4C27-AC39-5F9581679D55}"/>
    <cellStyle name="Input 3 3 2 4" xfId="27987" xr:uid="{8CE08D57-1041-4F3E-A402-CC506B4B801B}"/>
    <cellStyle name="Input 3 3 2 5" xfId="27988" xr:uid="{2E0320E9-C3EB-444C-8644-045948BF42FB}"/>
    <cellStyle name="Input 3 3 3" xfId="27989" xr:uid="{39F502C9-C3C0-4B53-A191-C6E3CA1F3A52}"/>
    <cellStyle name="Input 3 3 4" xfId="27990" xr:uid="{49B7F3A3-1891-4208-92E7-37B2E69D2C37}"/>
    <cellStyle name="Input 3 3 5" xfId="27991" xr:uid="{41FF9D90-0291-4353-940D-BB4A59EAFD9B}"/>
    <cellStyle name="Input 3 3 6" xfId="27992" xr:uid="{73C302FA-4535-4A9D-8C07-132411BFB9FA}"/>
    <cellStyle name="Input 3 4" xfId="2636" xr:uid="{2A53A266-A3B7-4F35-AEA9-2DEFC2105C2D}"/>
    <cellStyle name="Input 3 4 2" xfId="17357" xr:uid="{82AA6570-2029-4878-B8D4-92016F1A79F0}"/>
    <cellStyle name="Input 3 4 2 2" xfId="27993" xr:uid="{A8436B5F-4417-40F9-95C3-0662A5D3A81E}"/>
    <cellStyle name="Input 3 4 2 3" xfId="27994" xr:uid="{97523684-0E2F-48D8-B76E-5BA9D86DBB9E}"/>
    <cellStyle name="Input 3 4 2 4" xfId="27995" xr:uid="{CF467088-C57F-4918-98E0-A465DBAA0C1E}"/>
    <cellStyle name="Input 3 4 2 5" xfId="27996" xr:uid="{02A94473-77CF-42A7-953A-9B88A95DE4C9}"/>
    <cellStyle name="Input 3 4 3" xfId="27997" xr:uid="{C5B9A45C-DB60-4F43-B601-A8E0E9338112}"/>
    <cellStyle name="Input 3 4 4" xfId="27998" xr:uid="{866D7E84-9F0B-4770-B1AD-10DA16DE720E}"/>
    <cellStyle name="Input 3 4 5" xfId="27999" xr:uid="{AE382981-BF7F-40F7-8631-7F0471CA980C}"/>
    <cellStyle name="Input 3 4 6" xfId="28000" xr:uid="{085F2767-89BB-4417-92CC-41C895C5C622}"/>
    <cellStyle name="Input 3 5" xfId="2637" xr:uid="{FD57F929-8EB0-4C63-BFEA-CC6B4FC407F1}"/>
    <cellStyle name="Input 3 5 2" xfId="17358" xr:uid="{F51CCE93-5BC9-4E1C-94FD-183930BD30BE}"/>
    <cellStyle name="Input 3 5 2 2" xfId="28001" xr:uid="{3A3EE766-D489-49A1-BA78-57F2F33180E1}"/>
    <cellStyle name="Input 3 5 2 3" xfId="28002" xr:uid="{64B99706-AEFB-4A3C-A15D-C490C1526E06}"/>
    <cellStyle name="Input 3 5 2 4" xfId="28003" xr:uid="{D8CEA9A5-990D-47B6-A1DE-497096B0BD17}"/>
    <cellStyle name="Input 3 5 2 5" xfId="28004" xr:uid="{C295F7A3-F159-46AA-904A-A5A580FE3A15}"/>
    <cellStyle name="Input 3 5 3" xfId="28005" xr:uid="{E1270D15-5B44-4A0D-940F-98F3482EA79C}"/>
    <cellStyle name="Input 3 5 4" xfId="28006" xr:uid="{97267A1F-C106-4722-96B6-9328211D3B5F}"/>
    <cellStyle name="Input 3 5 5" xfId="28007" xr:uid="{C084EA1C-32C8-49B8-B916-C97AC8E7A2D5}"/>
    <cellStyle name="Input 3 5 6" xfId="28008" xr:uid="{67E5588B-DFDB-4E96-BB97-2D1F0F7165CF}"/>
    <cellStyle name="Input 3 6" xfId="2638" xr:uid="{A2673F0E-3E20-4E92-B3E1-0B2A209A37A8}"/>
    <cellStyle name="Input 3 6 2" xfId="17359" xr:uid="{29D85CDB-3BF5-4695-86F2-BBF20EF4C879}"/>
    <cellStyle name="Input 3 6 2 2" xfId="28009" xr:uid="{2F97540E-BCEA-40BF-BA9E-285A0D608E3C}"/>
    <cellStyle name="Input 3 6 2 3" xfId="28010" xr:uid="{264EA7DF-4004-4EBB-8B29-308B6D71A302}"/>
    <cellStyle name="Input 3 6 2 4" xfId="28011" xr:uid="{1562694B-40A4-446B-9F81-2878CF2CB4B2}"/>
    <cellStyle name="Input 3 6 2 5" xfId="28012" xr:uid="{67FC77D3-192E-48DD-808B-187E1278829F}"/>
    <cellStyle name="Input 3 6 3" xfId="28013" xr:uid="{B3752FA1-1709-4D38-8866-4AD3166DDC60}"/>
    <cellStyle name="Input 3 6 4" xfId="28014" xr:uid="{EA7B7CEC-0B3C-42AF-977B-60B903A7729A}"/>
    <cellStyle name="Input 3 6 5" xfId="28015" xr:uid="{47A605A7-C11B-4345-A9E1-B35E2927542C}"/>
    <cellStyle name="Input 3 6 6" xfId="28016" xr:uid="{866685C5-16E1-46AA-A5F9-C551A9B9B45F}"/>
    <cellStyle name="Input 3 7" xfId="2639" xr:uid="{9234D6C4-8B0B-4A50-B50C-09AAD86FA2C8}"/>
    <cellStyle name="Input 3 7 2" xfId="17360" xr:uid="{3034D84B-59DF-41E4-90B6-6E69EC68ABCD}"/>
    <cellStyle name="Input 3 7 2 2" xfId="28017" xr:uid="{58EA8A41-9F1F-430D-B8CF-76954064DBF1}"/>
    <cellStyle name="Input 3 7 2 3" xfId="28018" xr:uid="{DB3FB0FD-B28C-4D51-917B-A0AB1F6B6FAF}"/>
    <cellStyle name="Input 3 7 2 4" xfId="28019" xr:uid="{D2ECBE1A-BAE5-403A-943D-448A4ED09D2C}"/>
    <cellStyle name="Input 3 7 2 5" xfId="28020" xr:uid="{529A396F-24A8-496C-9305-491E2D731C27}"/>
    <cellStyle name="Input 3 7 3" xfId="28021" xr:uid="{5F63DB64-DCDE-43CC-9702-E83A79628634}"/>
    <cellStyle name="Input 3 7 4" xfId="28022" xr:uid="{41474043-2E91-42DF-8469-50778CD9FA7E}"/>
    <cellStyle name="Input 3 7 5" xfId="28023" xr:uid="{2A32B870-9860-44C0-9FA6-F294603C7C5D}"/>
    <cellStyle name="Input 3 7 6" xfId="28024" xr:uid="{CA242F74-28B7-4CCD-B341-FEB678051510}"/>
    <cellStyle name="Input 3 8" xfId="2640" xr:uid="{622155B9-68AB-4769-87FE-02D8F13602F8}"/>
    <cellStyle name="Input 3 8 2" xfId="17361" xr:uid="{6F7AD369-968C-458A-B59A-67A7F28B486F}"/>
    <cellStyle name="Input 3 8 2 2" xfId="28025" xr:uid="{80410FCE-1B62-48CD-8C71-452A3D246D08}"/>
    <cellStyle name="Input 3 8 2 3" xfId="28026" xr:uid="{F6B21DEE-AA90-4DE5-84F5-7E5986918F81}"/>
    <cellStyle name="Input 3 8 2 4" xfId="28027" xr:uid="{34D15E9A-4F6F-4713-8C4E-3DC0072E2CB2}"/>
    <cellStyle name="Input 3 8 2 5" xfId="28028" xr:uid="{A910D513-85DC-4F23-973C-057E07F03002}"/>
    <cellStyle name="Input 3 8 3" xfId="28029" xr:uid="{92A2065F-41F2-4FDA-B943-2B59A71DE318}"/>
    <cellStyle name="Input 3 8 4" xfId="28030" xr:uid="{451FA7B4-0B54-4E66-95E4-95FED73A34CC}"/>
    <cellStyle name="Input 3 8 5" xfId="28031" xr:uid="{D13C164D-604C-43D7-918D-A732AA3E3D62}"/>
    <cellStyle name="Input 3 8 6" xfId="28032" xr:uid="{48FAE177-5389-43A3-B9AE-86D606E37CEF}"/>
    <cellStyle name="Input 3 9" xfId="2641" xr:uid="{78C6824F-7F66-47FB-97B1-687817E983E1}"/>
    <cellStyle name="Input 3 9 2" xfId="17362" xr:uid="{F8DD06AF-BB70-4D4F-BE0E-37A12160037C}"/>
    <cellStyle name="Input 3 9 2 2" xfId="28033" xr:uid="{EAD9FB6D-52D4-4CE3-BA82-82BA01444722}"/>
    <cellStyle name="Input 3 9 2 3" xfId="28034" xr:uid="{1CC85C0B-EC8D-4F2A-9242-321CF17DB7E0}"/>
    <cellStyle name="Input 3 9 2 4" xfId="28035" xr:uid="{D23F052E-A189-41BE-A3D2-22231E8CE8F2}"/>
    <cellStyle name="Input 3 9 2 5" xfId="28036" xr:uid="{FA8736C5-291D-4464-BB6A-BE6E09215AAD}"/>
    <cellStyle name="Input 3 9 3" xfId="28037" xr:uid="{89000356-DED8-41D8-9849-54D533624039}"/>
    <cellStyle name="Input 3 9 4" xfId="28038" xr:uid="{D8A1154D-24C1-4737-97A9-BC6515EF7114}"/>
    <cellStyle name="Input 3 9 5" xfId="28039" xr:uid="{ADA36851-BF13-4A3C-8B07-D802CEDF46FC}"/>
    <cellStyle name="Input 3 9 6" xfId="28040" xr:uid="{4571F5B3-B536-4BF1-B0EC-AB3556CF42EA}"/>
    <cellStyle name="Input 3_ELC" xfId="15244" xr:uid="{0837405D-A26D-4BC2-8B80-7B546D4801D5}"/>
    <cellStyle name="Input 30" xfId="2642" xr:uid="{107E0821-72B3-43CE-BC17-4AE67F6AE533}"/>
    <cellStyle name="Input 30 2" xfId="15341" xr:uid="{66C05044-66BC-4AC2-ABAC-DF8281C48B84}"/>
    <cellStyle name="Input 30 2 2" xfId="17364" xr:uid="{08B200A0-BBD4-4F2E-90E7-DDBE04EF6470}"/>
    <cellStyle name="Input 30 2 2 2" xfId="28041" xr:uid="{8CD56EDE-EB0C-4E08-B01F-420A5CFA2D31}"/>
    <cellStyle name="Input 30 2 2 3" xfId="28042" xr:uid="{CEFD751A-B0FB-4C03-8C0B-EC27D69ACB27}"/>
    <cellStyle name="Input 30 2 2 4" xfId="28043" xr:uid="{2A486265-C05D-4E8F-B761-0EB564426F2D}"/>
    <cellStyle name="Input 30 2 2 5" xfId="28044" xr:uid="{65A6E4EF-1B76-4156-A708-D00F1FDFCB04}"/>
    <cellStyle name="Input 30 2 3" xfId="28045" xr:uid="{2A827D4A-5869-45AA-90A5-B1B83D716DFA}"/>
    <cellStyle name="Input 30 2 4" xfId="28046" xr:uid="{DF17DB9D-565E-484B-9109-18BE0BB8F423}"/>
    <cellStyle name="Input 30 2 5" xfId="28047" xr:uid="{DC590D99-B2CC-4B9F-8E93-88B44D921440}"/>
    <cellStyle name="Input 30 2 6" xfId="28048" xr:uid="{C7B11D1E-F858-4E38-A672-8847FAA40275}"/>
    <cellStyle name="Input 30 3" xfId="17363" xr:uid="{B22CA2C3-20A9-4B88-9003-D80B78202757}"/>
    <cellStyle name="Input 30 3 2" xfId="28049" xr:uid="{DF890F47-CC0B-4C7E-BDF8-D1ED29BB1A71}"/>
    <cellStyle name="Input 30 3 3" xfId="28050" xr:uid="{F82AF500-1E8C-4CEB-A386-307517869DC7}"/>
    <cellStyle name="Input 30 3 4" xfId="28051" xr:uid="{7A0EC641-655F-4D4B-AAFD-4118FC2327A9}"/>
    <cellStyle name="Input 30 3 5" xfId="28052" xr:uid="{53C9CA8A-15BC-4D55-A963-2784F64F362C}"/>
    <cellStyle name="Input 30 4" xfId="28053" xr:uid="{CF98E465-2D0E-4F8E-9C9C-61819946A815}"/>
    <cellStyle name="Input 30 5" xfId="28054" xr:uid="{FFEAE6CB-E18C-4E81-AABD-CDC0C0EC0B54}"/>
    <cellStyle name="Input 30 6" xfId="28055" xr:uid="{428A6629-99D7-424C-899C-9D1A6726F2E7}"/>
    <cellStyle name="Input 30 7" xfId="28056" xr:uid="{5917DA7D-FDDB-4451-9460-72F7F6389436}"/>
    <cellStyle name="Input 31" xfId="2643" xr:uid="{D914BA05-0495-4080-A7FC-305DAA3C2BC0}"/>
    <cellStyle name="Input 31 2" xfId="15342" xr:uid="{A4A23D00-BF0B-4E0D-BE3E-6F52E8D38DF7}"/>
    <cellStyle name="Input 31 2 2" xfId="17366" xr:uid="{B538896D-CA52-44FA-9B66-04F245D62328}"/>
    <cellStyle name="Input 31 2 2 2" xfId="28057" xr:uid="{8EBD4E9E-DB8C-45EA-A282-C6670B9F76D0}"/>
    <cellStyle name="Input 31 2 2 3" xfId="28058" xr:uid="{DB5BCC35-7EFC-44F9-A8B8-3377B13F5FAB}"/>
    <cellStyle name="Input 31 2 2 4" xfId="28059" xr:uid="{76463E65-E091-490B-A9AB-7648EDF5722F}"/>
    <cellStyle name="Input 31 2 2 5" xfId="28060" xr:uid="{FDF80075-F559-4D5A-946D-125C26F790E4}"/>
    <cellStyle name="Input 31 2 3" xfId="28061" xr:uid="{B4A8FDC4-1AB6-4A1D-A2F3-15CAFF0BCB0A}"/>
    <cellStyle name="Input 31 2 4" xfId="28062" xr:uid="{E33251F1-90C2-478F-A261-1924423FFB00}"/>
    <cellStyle name="Input 31 2 5" xfId="28063" xr:uid="{1D1CD715-2685-4E84-B169-8A4238A3D12A}"/>
    <cellStyle name="Input 31 2 6" xfId="28064" xr:uid="{4ED73AC0-8B0C-4F95-BCAF-28545D4C7EA5}"/>
    <cellStyle name="Input 31 3" xfId="17365" xr:uid="{8B8AF9DD-0115-44F2-BAAD-AD37A2FE56E9}"/>
    <cellStyle name="Input 31 3 2" xfId="28065" xr:uid="{9C2F8A11-AA3B-489C-AE7E-7DCB5FBC0A77}"/>
    <cellStyle name="Input 31 3 3" xfId="28066" xr:uid="{97911FDF-85B3-40C4-92CC-569DC75BEAC1}"/>
    <cellStyle name="Input 31 3 4" xfId="28067" xr:uid="{E73728A3-71D4-4AFF-BEFC-5E55E8010E2F}"/>
    <cellStyle name="Input 31 3 5" xfId="28068" xr:uid="{84B8DE73-8A73-47A9-A10E-07AE103BAD20}"/>
    <cellStyle name="Input 31 4" xfId="28069" xr:uid="{EBEF351B-B4F7-4446-907E-80BE0517440A}"/>
    <cellStyle name="Input 31 5" xfId="28070" xr:uid="{49C3AA35-0191-4048-A7BF-DF2734881C4F}"/>
    <cellStyle name="Input 31 6" xfId="28071" xr:uid="{B262F788-DB6C-407A-935B-758612778AB4}"/>
    <cellStyle name="Input 31 7" xfId="28072" xr:uid="{AF56A397-1069-4485-993E-98176846FAA1}"/>
    <cellStyle name="Input 32" xfId="2644" xr:uid="{1F40159D-E681-4D8D-86FC-F49B11D9A638}"/>
    <cellStyle name="Input 32 2" xfId="15343" xr:uid="{9DE855E1-1A91-41C7-9302-D69DF4DEAF9F}"/>
    <cellStyle name="Input 32 2 2" xfId="17368" xr:uid="{5F194868-7EB0-409F-97C3-3F9CD9135484}"/>
    <cellStyle name="Input 32 2 2 2" xfId="28073" xr:uid="{CAA11FCC-8984-4E13-BA46-2A7C0FE042D7}"/>
    <cellStyle name="Input 32 2 2 3" xfId="28074" xr:uid="{25E17586-6FA3-4E95-A535-41E58E96B6D7}"/>
    <cellStyle name="Input 32 2 2 4" xfId="28075" xr:uid="{FFB7ACF8-7350-4F58-BE1A-7A5D39E9C000}"/>
    <cellStyle name="Input 32 2 2 5" xfId="28076" xr:uid="{4B208D84-D1EA-492C-884E-08F6B685FD48}"/>
    <cellStyle name="Input 32 2 3" xfId="28077" xr:uid="{33587879-7ED9-4706-89A0-5D836E3F7543}"/>
    <cellStyle name="Input 32 2 4" xfId="28078" xr:uid="{43A675AC-34A7-424D-A2C6-6223205B091A}"/>
    <cellStyle name="Input 32 2 5" xfId="28079" xr:uid="{E8D26490-F483-4D70-9990-16255EB4A411}"/>
    <cellStyle name="Input 32 2 6" xfId="28080" xr:uid="{3B074756-DD05-4C0B-980E-867DDBE237AC}"/>
    <cellStyle name="Input 32 3" xfId="17367" xr:uid="{A1EEA1F7-67BD-4349-AD9B-36D74575CAB1}"/>
    <cellStyle name="Input 32 3 2" xfId="28081" xr:uid="{C6483813-4D2F-447B-AA33-56DEABEB4D5D}"/>
    <cellStyle name="Input 32 3 3" xfId="28082" xr:uid="{9FF81520-7B42-4CFA-BA48-30012A035C7E}"/>
    <cellStyle name="Input 32 3 4" xfId="28083" xr:uid="{E805EE1A-84D1-4DD0-89F9-D800DC2DDAA7}"/>
    <cellStyle name="Input 32 3 5" xfId="28084" xr:uid="{E2A62E68-E3E2-4E5F-8383-BC7826EF1309}"/>
    <cellStyle name="Input 32 4" xfId="28085" xr:uid="{20DC2C21-4A49-4A3D-AF81-A149E9D0A9A5}"/>
    <cellStyle name="Input 32 5" xfId="28086" xr:uid="{E75AF15F-BA98-41FF-85FF-7B683DC29519}"/>
    <cellStyle name="Input 32 6" xfId="28087" xr:uid="{1CA607D9-5425-4C45-A23C-A3669F787582}"/>
    <cellStyle name="Input 32 7" xfId="28088" xr:uid="{29EAB196-8786-4416-9836-E53964F87600}"/>
    <cellStyle name="Input 33" xfId="2645" xr:uid="{0C0BFA5E-1B1F-423E-B2A8-02417A0554F9}"/>
    <cellStyle name="Input 33 2" xfId="15344" xr:uid="{4A126A22-27D5-49CC-981B-11176AF05A2C}"/>
    <cellStyle name="Input 33 2 2" xfId="17370" xr:uid="{4E4DBAAC-FFDF-4099-A039-BB5844DE5A23}"/>
    <cellStyle name="Input 33 2 2 2" xfId="28089" xr:uid="{7EBF0CCE-1851-454F-9A3F-5AB0D808137B}"/>
    <cellStyle name="Input 33 2 2 3" xfId="28090" xr:uid="{D714C718-6A2A-45A6-AEFB-D9D4723CF911}"/>
    <cellStyle name="Input 33 2 2 4" xfId="28091" xr:uid="{B3673B91-2FA7-479A-B3AA-F93589A30D18}"/>
    <cellStyle name="Input 33 2 2 5" xfId="28092" xr:uid="{0E4B87E9-F575-4A63-95BE-68B8585E2CE7}"/>
    <cellStyle name="Input 33 2 3" xfId="28093" xr:uid="{7140539A-25CA-453E-AEEE-7A7FA78B4B8F}"/>
    <cellStyle name="Input 33 2 4" xfId="28094" xr:uid="{E23042E8-EE4F-4892-80CC-48EAEF484B97}"/>
    <cellStyle name="Input 33 2 5" xfId="28095" xr:uid="{59F81BB9-FDAE-4FB7-A510-FB2A2DB700D0}"/>
    <cellStyle name="Input 33 2 6" xfId="28096" xr:uid="{72FF8535-EA8D-4827-9B1A-90443FDFF63C}"/>
    <cellStyle name="Input 33 3" xfId="17369" xr:uid="{05C8F68C-632C-47FA-A8E9-7F9075ECC372}"/>
    <cellStyle name="Input 33 3 2" xfId="28097" xr:uid="{A92381C8-4B02-4193-A510-2B0D3CF04F99}"/>
    <cellStyle name="Input 33 3 3" xfId="28098" xr:uid="{2C6857E7-E41E-48B9-B556-BFF4F9E4239A}"/>
    <cellStyle name="Input 33 3 4" xfId="28099" xr:uid="{6CE76F67-1E2B-4E0B-BA9D-950873CA7400}"/>
    <cellStyle name="Input 33 3 5" xfId="28100" xr:uid="{EEC8BE56-1AB9-4ECE-9B7D-6FBD67AEB60E}"/>
    <cellStyle name="Input 33 4" xfId="28101" xr:uid="{80DE8D11-D4FF-4396-81F3-9491A28FA350}"/>
    <cellStyle name="Input 33 5" xfId="28102" xr:uid="{49635FB7-C2FD-4F24-8C74-635497FCFC01}"/>
    <cellStyle name="Input 33 6" xfId="28103" xr:uid="{38267432-1772-42A2-A177-897C285CABEF}"/>
    <cellStyle name="Input 33 7" xfId="28104" xr:uid="{8A3980BB-5C9A-4382-8288-9B66FF65BE68}"/>
    <cellStyle name="Input 34" xfId="2646" xr:uid="{14449BB4-E00F-45D3-8BAB-D9F3632AB031}"/>
    <cellStyle name="Input 34 2" xfId="15345" xr:uid="{43326F9D-BE4B-4A4E-A14E-5732E43A520B}"/>
    <cellStyle name="Input 34 2 2" xfId="17372" xr:uid="{3093467E-4C40-41D9-B1EC-D48A33797648}"/>
    <cellStyle name="Input 34 2 2 2" xfId="28105" xr:uid="{701063CE-5D18-48C6-BE79-4CB43658A593}"/>
    <cellStyle name="Input 34 2 2 3" xfId="28106" xr:uid="{0441710A-E065-49F5-A410-DD302846BABB}"/>
    <cellStyle name="Input 34 2 2 4" xfId="28107" xr:uid="{C174B593-A742-475F-A64C-5ECEE9A74429}"/>
    <cellStyle name="Input 34 2 2 5" xfId="28108" xr:uid="{733E09C5-694C-4F98-A86C-704637789049}"/>
    <cellStyle name="Input 34 2 3" xfId="28109" xr:uid="{ECAD9636-CAA3-46E4-9B9D-BF0401C6C667}"/>
    <cellStyle name="Input 34 2 4" xfId="28110" xr:uid="{B33BA0EB-0D0D-430C-8C8A-9E4B68B7393B}"/>
    <cellStyle name="Input 34 2 5" xfId="28111" xr:uid="{F9DF27C5-0F8F-41AD-89CD-9E520A5B94ED}"/>
    <cellStyle name="Input 34 2 6" xfId="28112" xr:uid="{C38FA7E8-72D6-41B8-BEA5-9CEB70F573AB}"/>
    <cellStyle name="Input 34 3" xfId="17371" xr:uid="{71F8EAB2-59FF-4951-BE8C-2A7F147236B4}"/>
    <cellStyle name="Input 34 3 2" xfId="28113" xr:uid="{911A6DB5-15C0-44DF-BF8C-B79BFD0DC678}"/>
    <cellStyle name="Input 34 3 3" xfId="28114" xr:uid="{C9F32D37-120A-4875-9E1A-314D225CAE9C}"/>
    <cellStyle name="Input 34 3 4" xfId="28115" xr:uid="{B814DBFA-ACCE-4E19-9623-67FD4907B765}"/>
    <cellStyle name="Input 34 3 5" xfId="28116" xr:uid="{1EE2737A-2266-4F85-A906-20F78513CA69}"/>
    <cellStyle name="Input 34 4" xfId="28117" xr:uid="{C906B434-7D75-4926-ACC4-E27E269E9F9D}"/>
    <cellStyle name="Input 34 5" xfId="28118" xr:uid="{84F3C3E4-92CD-46E8-B8FE-0C7178078B30}"/>
    <cellStyle name="Input 34 6" xfId="28119" xr:uid="{3605C79C-5EA6-451B-BBFC-4D52CC8DBC15}"/>
    <cellStyle name="Input 34 7" xfId="28120" xr:uid="{883CD018-12EA-4DA6-9379-189B1C931AC4}"/>
    <cellStyle name="Input 35" xfId="2647" xr:uid="{FBC978DD-973C-47D6-A676-CF348701C2D8}"/>
    <cellStyle name="Input 35 2" xfId="15346" xr:uid="{F62E791F-AF88-4A33-AEDA-FCB4B3A498F7}"/>
    <cellStyle name="Input 35 2 2" xfId="17374" xr:uid="{0A6D15FA-8D1C-4BD3-9F54-DEF8FAA1EDFF}"/>
    <cellStyle name="Input 35 2 2 2" xfId="28121" xr:uid="{B7072C09-A483-4472-B92E-32CB7303FC85}"/>
    <cellStyle name="Input 35 2 2 3" xfId="28122" xr:uid="{F0A96EB3-4426-4B24-96DD-D5890A81FD0E}"/>
    <cellStyle name="Input 35 2 2 4" xfId="28123" xr:uid="{108937F9-DD2F-4765-A05C-10D8D3E178A3}"/>
    <cellStyle name="Input 35 2 2 5" xfId="28124" xr:uid="{C52BF22F-AA3A-4594-9703-22EFE68709A3}"/>
    <cellStyle name="Input 35 2 3" xfId="28125" xr:uid="{3A37F8D3-5216-4E1F-BB8C-0123317A36F0}"/>
    <cellStyle name="Input 35 2 4" xfId="28126" xr:uid="{EE634ABA-7E80-4E96-947C-D032E867B2FE}"/>
    <cellStyle name="Input 35 2 5" xfId="28127" xr:uid="{CA5621CE-9112-410F-A4BB-4E282E96AFEB}"/>
    <cellStyle name="Input 35 2 6" xfId="28128" xr:uid="{78D540A2-773B-4E12-B899-FDFB7BBE0DC0}"/>
    <cellStyle name="Input 35 3" xfId="17373" xr:uid="{66EF8B39-A05A-4B12-9345-F64E04898E86}"/>
    <cellStyle name="Input 35 3 2" xfId="28129" xr:uid="{4318DD2C-2C4F-4481-9C6B-856A4A4B1E7C}"/>
    <cellStyle name="Input 35 3 3" xfId="28130" xr:uid="{1C3632D6-CF92-407A-B419-E8B641E9D90D}"/>
    <cellStyle name="Input 35 3 4" xfId="28131" xr:uid="{CF816CA5-E8DD-43EE-9CF6-53DE6282B9F5}"/>
    <cellStyle name="Input 35 3 5" xfId="28132" xr:uid="{5E421810-E8DD-4FFA-8BD5-C1ED57554284}"/>
    <cellStyle name="Input 35 4" xfId="28133" xr:uid="{60C702C6-9CDA-4573-B8A1-1C3E60E1DE95}"/>
    <cellStyle name="Input 35 5" xfId="28134" xr:uid="{DE2A90F8-BC6A-42C7-AB8B-228DF298132F}"/>
    <cellStyle name="Input 35 6" xfId="28135" xr:uid="{AA396DA7-2A7C-47ED-8D3A-53FB6CCF4CD0}"/>
    <cellStyle name="Input 35 7" xfId="28136" xr:uid="{CD29E1C6-FC31-4A02-B9FB-3E8970781ED8}"/>
    <cellStyle name="Input 36" xfId="2648" xr:uid="{5DD29CF7-2166-4418-A287-59D3369A11F7}"/>
    <cellStyle name="Input 36 2" xfId="15347" xr:uid="{A6703E3A-7E87-4E14-A4D6-2B824988ADA1}"/>
    <cellStyle name="Input 36 2 2" xfId="17376" xr:uid="{463741A6-7493-43BE-97FB-8E3BF6A06F0A}"/>
    <cellStyle name="Input 36 2 2 2" xfId="28137" xr:uid="{3D381F01-1F36-4C73-B64B-F604C8FCB5C1}"/>
    <cellStyle name="Input 36 2 2 3" xfId="28138" xr:uid="{3AF78E7A-A058-4875-9B52-DC9A29676BD3}"/>
    <cellStyle name="Input 36 2 2 4" xfId="28139" xr:uid="{AF8EF52A-F569-4BB5-866C-82258AFF13C4}"/>
    <cellStyle name="Input 36 2 2 5" xfId="28140" xr:uid="{1E09C409-9230-426A-BCF1-09E5F3928959}"/>
    <cellStyle name="Input 36 2 3" xfId="28141" xr:uid="{0CA5254A-D189-41B5-AD8B-88B20BCA908B}"/>
    <cellStyle name="Input 36 2 4" xfId="28142" xr:uid="{42F02816-F707-48C2-B878-DFB5C6F816B5}"/>
    <cellStyle name="Input 36 2 5" xfId="28143" xr:uid="{396797A1-541F-4F7C-BE8D-16F81219753F}"/>
    <cellStyle name="Input 36 2 6" xfId="28144" xr:uid="{9C740125-1DD4-422F-8D80-3C19D57C785F}"/>
    <cellStyle name="Input 36 3" xfId="17375" xr:uid="{3EBA453B-7F6A-407C-8FA4-AF8F9FDEDCF1}"/>
    <cellStyle name="Input 36 3 2" xfId="28145" xr:uid="{1BF4C287-DCED-44BE-A4A6-8722A6A792AB}"/>
    <cellStyle name="Input 36 3 3" xfId="28146" xr:uid="{95545081-9400-44C3-890C-97D865B37011}"/>
    <cellStyle name="Input 36 3 4" xfId="28147" xr:uid="{61E490DF-8028-4147-9FFE-1895D37F3957}"/>
    <cellStyle name="Input 36 3 5" xfId="28148" xr:uid="{6A0BC520-8654-4D51-BCC0-58E936EA631C}"/>
    <cellStyle name="Input 36 4" xfId="28149" xr:uid="{00D3A282-E26C-4B7C-B5D9-D8BB98477608}"/>
    <cellStyle name="Input 36 5" xfId="28150" xr:uid="{24BC4F11-3589-4AAC-9216-3C5355105E1D}"/>
    <cellStyle name="Input 36 6" xfId="28151" xr:uid="{14B7D334-D12F-4862-958E-898F300DC473}"/>
    <cellStyle name="Input 36 7" xfId="28152" xr:uid="{80BB4AAB-69A1-409C-8D8B-9F0CEF61B926}"/>
    <cellStyle name="Input 37" xfId="2649" xr:uid="{2C43E467-1AF6-4B2F-826C-5807551A64F9}"/>
    <cellStyle name="Input 37 2" xfId="17377" xr:uid="{5088A8DA-A2D5-4019-8F31-15C2AE4EBCFF}"/>
    <cellStyle name="Input 37 2 2" xfId="28153" xr:uid="{47B15F29-869F-4D89-A4D8-22F433EEE286}"/>
    <cellStyle name="Input 37 2 3" xfId="28154" xr:uid="{0A1B452F-0D74-4310-93D2-945F6D8968CD}"/>
    <cellStyle name="Input 37 2 4" xfId="28155" xr:uid="{3F564F6B-3292-46E7-8BE5-4E8310224BE2}"/>
    <cellStyle name="Input 37 2 5" xfId="28156" xr:uid="{2EBE8267-6859-41CF-AE9D-ABE34BFA48A1}"/>
    <cellStyle name="Input 37 3" xfId="28157" xr:uid="{4A569B83-1FFA-471D-8102-7710A21BF07A}"/>
    <cellStyle name="Input 37 4" xfId="28158" xr:uid="{08CB52A6-EDC8-4A8A-9B5E-7462E4075D2B}"/>
    <cellStyle name="Input 37 5" xfId="28159" xr:uid="{BC048C21-56BA-4785-8342-04D22003DCAE}"/>
    <cellStyle name="Input 37 6" xfId="28160" xr:uid="{097AF8C1-03EE-4DD5-8A09-9382CA6AC018}"/>
    <cellStyle name="Input 38" xfId="11089" xr:uid="{631BB800-31DD-4865-9078-DE994400DB9C}"/>
    <cellStyle name="Input 38 2" xfId="17378" xr:uid="{15AC7828-D460-46B2-8C0D-8048AD268A78}"/>
    <cellStyle name="Input 38 2 2" xfId="28161" xr:uid="{0754E352-30F7-497A-86F7-49D48050FB9C}"/>
    <cellStyle name="Input 38 2 3" xfId="28162" xr:uid="{5D1A5564-FBDA-4390-B677-950DE965D9E7}"/>
    <cellStyle name="Input 38 2 4" xfId="28163" xr:uid="{EEF11C2E-9045-42E8-9FEA-5C14C1AD3649}"/>
    <cellStyle name="Input 38 2 5" xfId="28164" xr:uid="{62403BE9-82FF-4450-8EF5-24E9A7265FDB}"/>
    <cellStyle name="Input 38 3" xfId="28165" xr:uid="{C908A2BC-22A1-4B06-B208-E1DFAE75317E}"/>
    <cellStyle name="Input 38 4" xfId="28166" xr:uid="{E7A071A2-AF78-423F-AE86-CB4825E73416}"/>
    <cellStyle name="Input 38 5" xfId="28167" xr:uid="{9314B54F-F982-451E-8E85-F2478D6B8EB7}"/>
    <cellStyle name="Input 38 6" xfId="28168" xr:uid="{C0F62CB4-9DB7-4A3F-8F5C-B1A7209EA698}"/>
    <cellStyle name="Input 39" xfId="15236" xr:uid="{B5386505-B28F-4960-BC7E-2CB038100E36}"/>
    <cellStyle name="Input 39 2" xfId="28170" xr:uid="{125E088F-137C-4F96-9207-945E24F649A8}"/>
    <cellStyle name="Input 39 3" xfId="28169" xr:uid="{D22625B3-2F1E-4EF9-BBBE-EB267E668EA5}"/>
    <cellStyle name="Input 4" xfId="4098" xr:uid="{0CC748E8-6ABE-4E85-A737-C3A7E9B12E76}"/>
    <cellStyle name="Input 4 10" xfId="16690" xr:uid="{060E86D1-3390-4DD5-BB88-7899B07AA830}"/>
    <cellStyle name="Input 4 10 2" xfId="17380" xr:uid="{2B6767F4-564C-44AF-B6BA-E13DDBC1A99D}"/>
    <cellStyle name="Input 4 10 2 2" xfId="28171" xr:uid="{49C10705-8F6C-4ABF-8163-654579EBF11B}"/>
    <cellStyle name="Input 4 10 2 3" xfId="28172" xr:uid="{FCB69AC6-DDC6-4D87-BAC5-DE78C6361887}"/>
    <cellStyle name="Input 4 10 2 4" xfId="28173" xr:uid="{5BD58A3B-9B0E-46B6-B58B-5D26DCC13AD5}"/>
    <cellStyle name="Input 4 10 2 5" xfId="28174" xr:uid="{10CF6A75-F18D-40AA-B653-4536555FE300}"/>
    <cellStyle name="Input 4 10 3" xfId="28175" xr:uid="{4AC1BFA0-C456-4856-B6D4-C20BBB452647}"/>
    <cellStyle name="Input 4 10 4" xfId="28176" xr:uid="{65B94938-A9A7-4526-9A0E-A69E75788BC3}"/>
    <cellStyle name="Input 4 10 5" xfId="28177" xr:uid="{3DDA2091-D50E-4F78-8CF5-2243DC38156D}"/>
    <cellStyle name="Input 4 10 6" xfId="28178" xr:uid="{73E690EC-3DAE-4A42-ACAB-66CA1C37EC6C}"/>
    <cellStyle name="Input 4 11" xfId="17381" xr:uid="{E1E36D86-6DC7-4048-AEB5-E10993A8DB71}"/>
    <cellStyle name="Input 4 11 2" xfId="28179" xr:uid="{56BC6030-9A7C-48F2-9925-2A5928EFBE14}"/>
    <cellStyle name="Input 4 11 3" xfId="28180" xr:uid="{98FF593B-1B0E-4A01-AB43-81A477FC95BD}"/>
    <cellStyle name="Input 4 11 4" xfId="28181" xr:uid="{04551E07-B712-4ED7-8C44-5DF291B8026E}"/>
    <cellStyle name="Input 4 11 5" xfId="28182" xr:uid="{A8ABAD54-2698-439D-9F58-49B0860B94A6}"/>
    <cellStyle name="Input 4 12" xfId="17379" xr:uid="{75AEFDA6-6E97-45AD-9D6F-2F909E12D071}"/>
    <cellStyle name="Input 4 12 2" xfId="28183" xr:uid="{CF613A07-1002-4005-BFEC-B595FE216F71}"/>
    <cellStyle name="Input 4 12 3" xfId="28184" xr:uid="{1EEAEDDD-B3C4-43CF-9FA2-C0189BD3771B}"/>
    <cellStyle name="Input 4 12 4" xfId="28185" xr:uid="{1AF9F664-1C24-4B6A-BBFE-32531AA4842F}"/>
    <cellStyle name="Input 4 12 5" xfId="28186" xr:uid="{C90F8E62-FBC0-4149-ABE3-C9A54807ABC1}"/>
    <cellStyle name="Input 4 13" xfId="28187" xr:uid="{7CFAAAE9-3A25-4B7F-97C2-D640FF205A20}"/>
    <cellStyle name="Input 4 14" xfId="28188" xr:uid="{883EFAF8-5CD2-49A2-BCD5-60639F1AB382}"/>
    <cellStyle name="Input 4 15" xfId="28189" xr:uid="{D6D7EF07-902D-4302-AA36-65A4FA59CD9D}"/>
    <cellStyle name="Input 4 16" xfId="28190" xr:uid="{88373C66-7843-428F-AC24-FF208165648B}"/>
    <cellStyle name="Input 4 17" xfId="28191" xr:uid="{EC8071DB-98D1-424C-9CFC-C0EFFA941D9C}"/>
    <cellStyle name="Input 4 2" xfId="2650" xr:uid="{71A28E1F-61E0-4C45-83EF-9483589CDA26}"/>
    <cellStyle name="Input 4 2 2" xfId="17382" xr:uid="{17731049-5A88-4ACC-8FA8-A1D1360606FF}"/>
    <cellStyle name="Input 4 2 2 2" xfId="28192" xr:uid="{05B9D142-A7BA-4E61-8530-1E7352948174}"/>
    <cellStyle name="Input 4 2 2 3" xfId="28193" xr:uid="{2332C98C-F3E1-42DB-9AD5-21FAAF7FFB3B}"/>
    <cellStyle name="Input 4 2 2 4" xfId="28194" xr:uid="{516604C7-9C04-4331-85C7-148B2F1723CF}"/>
    <cellStyle name="Input 4 2 2 5" xfId="28195" xr:uid="{F1BC162A-127B-40BA-8A31-83F9721D9196}"/>
    <cellStyle name="Input 4 2 3" xfId="28196" xr:uid="{02CE790B-24A9-4929-95FE-C108F9AC83EC}"/>
    <cellStyle name="Input 4 2 4" xfId="28197" xr:uid="{47EEB412-2661-4CB3-B7BE-BECA9EA6747C}"/>
    <cellStyle name="Input 4 2 5" xfId="28198" xr:uid="{DCBEB40D-D027-4D64-8491-B9ED1AA3CFA2}"/>
    <cellStyle name="Input 4 2 6" xfId="28199" xr:uid="{2B47E4C8-A9AD-4A8F-BA02-64A3B47EF8F9}"/>
    <cellStyle name="Input 4 2 7" xfId="28200" xr:uid="{489E8E42-B54B-46A0-9CD6-BAE50EFDE94C}"/>
    <cellStyle name="Input 4 3" xfId="2651" xr:uid="{C3804DA1-278E-450A-84F2-5885A9EB88FC}"/>
    <cellStyle name="Input 4 3 2" xfId="17383" xr:uid="{E0159268-68F8-4959-84BE-F278E4CD60D1}"/>
    <cellStyle name="Input 4 3 2 2" xfId="28201" xr:uid="{97B8386A-7493-43B3-8088-399934B1E344}"/>
    <cellStyle name="Input 4 3 2 3" xfId="28202" xr:uid="{E63082EA-A039-4E4B-9E7F-0610E8C2B91B}"/>
    <cellStyle name="Input 4 3 2 4" xfId="28203" xr:uid="{46E50C9E-0E2A-4CF1-AD68-92866AD329A0}"/>
    <cellStyle name="Input 4 3 2 5" xfId="28204" xr:uid="{08985613-0FBF-4797-BF59-9285054AA0FA}"/>
    <cellStyle name="Input 4 3 3" xfId="28205" xr:uid="{66D434A8-2B02-491C-B7A9-197A379959AF}"/>
    <cellStyle name="Input 4 3 4" xfId="28206" xr:uid="{B3F3E923-2CA6-4B4D-B0AA-A4F68342BA73}"/>
    <cellStyle name="Input 4 3 5" xfId="28207" xr:uid="{684158BA-6D81-4C99-AD4C-B26C7F1C606A}"/>
    <cellStyle name="Input 4 3 6" xfId="28208" xr:uid="{183E23CB-4545-4298-89EF-75CBD781711F}"/>
    <cellStyle name="Input 4 4" xfId="2652" xr:uid="{F8DCEC58-EA07-48A1-978F-B4183A8CF3F5}"/>
    <cellStyle name="Input 4 4 2" xfId="17384" xr:uid="{BFFC7775-745E-4740-9B7C-5845AB147349}"/>
    <cellStyle name="Input 4 4 2 2" xfId="28209" xr:uid="{59EFCAF7-6D45-4322-BDD7-449DE3C76AC7}"/>
    <cellStyle name="Input 4 4 2 3" xfId="28210" xr:uid="{56D47523-C0AE-40CD-8EC3-8896F34C63ED}"/>
    <cellStyle name="Input 4 4 2 4" xfId="28211" xr:uid="{9EE623B7-B294-4042-A406-3B8037AC734D}"/>
    <cellStyle name="Input 4 4 2 5" xfId="28212" xr:uid="{64782111-BE5A-455F-BCE2-A5664E6654A7}"/>
    <cellStyle name="Input 4 4 3" xfId="28213" xr:uid="{82E3BE96-73F2-40D4-83D2-732CBE1E5CAA}"/>
    <cellStyle name="Input 4 4 4" xfId="28214" xr:uid="{EC6648E8-44F2-4259-8A10-4D68E09315C5}"/>
    <cellStyle name="Input 4 4 5" xfId="28215" xr:uid="{B9726BCF-6F9C-4D25-BF9E-2A6FBABA9A18}"/>
    <cellStyle name="Input 4 4 6" xfId="28216" xr:uid="{B688B150-42AF-4611-85A2-BEA78858C9C1}"/>
    <cellStyle name="Input 4 5" xfId="2653" xr:uid="{9A69B8E1-B387-4B84-843C-34160761EE4A}"/>
    <cellStyle name="Input 4 5 2" xfId="17385" xr:uid="{65C278B6-CAEA-4F75-BDD7-0580A35ACE0B}"/>
    <cellStyle name="Input 4 5 2 2" xfId="28217" xr:uid="{4D415C26-E1C6-4541-85EB-3FFE24074EDE}"/>
    <cellStyle name="Input 4 5 2 3" xfId="28218" xr:uid="{77129129-9826-44D8-BFD0-0CC483A9F31C}"/>
    <cellStyle name="Input 4 5 2 4" xfId="28219" xr:uid="{F32A5AF0-A95C-432E-86FE-160308B7BA56}"/>
    <cellStyle name="Input 4 5 2 5" xfId="28220" xr:uid="{47D02D96-8BAC-4793-8E49-3434DC83ACC9}"/>
    <cellStyle name="Input 4 5 3" xfId="28221" xr:uid="{D937E959-D6BF-48F8-8838-605DC06E9439}"/>
    <cellStyle name="Input 4 5 4" xfId="28222" xr:uid="{F7844D97-8FDA-450B-89A0-D057BEB83768}"/>
    <cellStyle name="Input 4 5 5" xfId="28223" xr:uid="{C9AC52BD-14B2-449F-9216-E5EBB0FA1930}"/>
    <cellStyle name="Input 4 5 6" xfId="28224" xr:uid="{AC0006E4-26D3-479B-90AA-44485AE9B84F}"/>
    <cellStyle name="Input 4 6" xfId="2654" xr:uid="{6DB41D47-AF08-472B-AFD1-F4054BA5A27D}"/>
    <cellStyle name="Input 4 6 2" xfId="17386" xr:uid="{6D799A11-EF19-45E5-8AFE-4FF48564C17C}"/>
    <cellStyle name="Input 4 6 2 2" xfId="28225" xr:uid="{54C0C13E-801E-4900-948C-CB7A3FCE9851}"/>
    <cellStyle name="Input 4 6 2 3" xfId="28226" xr:uid="{56F40D7B-FD2D-4E18-82AB-CF7F3C991598}"/>
    <cellStyle name="Input 4 6 2 4" xfId="28227" xr:uid="{2D4F543E-8F2B-464A-BA98-37444D1EBBEE}"/>
    <cellStyle name="Input 4 6 2 5" xfId="28228" xr:uid="{B50B3A7E-AFFA-4292-AB1C-E00B6B3BBB1E}"/>
    <cellStyle name="Input 4 6 3" xfId="28229" xr:uid="{22D95CCD-FBE1-482D-A29D-EEF6082B82CD}"/>
    <cellStyle name="Input 4 6 4" xfId="28230" xr:uid="{DABB7810-E5D5-48E7-9A85-8706F7903677}"/>
    <cellStyle name="Input 4 6 5" xfId="28231" xr:uid="{D596250F-9CCE-4860-950B-2DAC9D9348C1}"/>
    <cellStyle name="Input 4 6 6" xfId="28232" xr:uid="{5D1D641E-A801-4771-81D6-7DEB6756F3BD}"/>
    <cellStyle name="Input 4 7" xfId="2655" xr:uid="{901F1A96-7333-4BF2-8E3F-FAA7435722CB}"/>
    <cellStyle name="Input 4 7 2" xfId="17387" xr:uid="{20A8F2E5-415C-4B54-ACC4-565230456070}"/>
    <cellStyle name="Input 4 7 2 2" xfId="28233" xr:uid="{4E371621-D5CB-4EDD-928F-D6032F35F524}"/>
    <cellStyle name="Input 4 7 2 3" xfId="28234" xr:uid="{F4F9EE81-5B31-48BD-B017-44223EC25F9E}"/>
    <cellStyle name="Input 4 7 2 4" xfId="28235" xr:uid="{A92EEEA1-E89E-490D-A046-3DB0ADD63296}"/>
    <cellStyle name="Input 4 7 2 5" xfId="28236" xr:uid="{54B9D4CB-4922-42C6-A8ED-367EEC6E48F2}"/>
    <cellStyle name="Input 4 7 3" xfId="28237" xr:uid="{FCC92ED8-0262-4F1C-BCC4-A66119A79F59}"/>
    <cellStyle name="Input 4 7 4" xfId="28238" xr:uid="{D62B302F-B913-427E-A2EA-738CC4D5A255}"/>
    <cellStyle name="Input 4 7 5" xfId="28239" xr:uid="{F6D61030-1382-4BED-9769-0616A0A5A171}"/>
    <cellStyle name="Input 4 7 6" xfId="28240" xr:uid="{E1BF0089-33A7-4306-A287-0BEE2D0DF90A}"/>
    <cellStyle name="Input 4 8" xfId="2656" xr:uid="{837F4206-5057-440B-8B34-7C6A87E141C1}"/>
    <cellStyle name="Input 4 8 2" xfId="17388" xr:uid="{C9304958-16DF-45C4-81EB-5EE57246907D}"/>
    <cellStyle name="Input 4 8 2 2" xfId="28241" xr:uid="{04DD8E0C-4AC5-474C-990A-D5C46EE71B28}"/>
    <cellStyle name="Input 4 8 2 3" xfId="28242" xr:uid="{2C2A8A4D-D495-4484-BBF8-8A6711F60F26}"/>
    <cellStyle name="Input 4 8 2 4" xfId="28243" xr:uid="{9D4DB500-A6F0-4715-ADA7-93E7808AFAE9}"/>
    <cellStyle name="Input 4 8 2 5" xfId="28244" xr:uid="{E852AB1E-F6CA-4921-93DC-B601403147EF}"/>
    <cellStyle name="Input 4 8 3" xfId="28245" xr:uid="{222848BF-9F33-4F19-ACE0-057A88D3E554}"/>
    <cellStyle name="Input 4 8 4" xfId="28246" xr:uid="{70EC9077-DE55-4A0C-9D20-034DBDB0A654}"/>
    <cellStyle name="Input 4 8 5" xfId="28247" xr:uid="{8DCCF71D-9DB5-4F27-9ABE-B07DBC080D97}"/>
    <cellStyle name="Input 4 8 6" xfId="28248" xr:uid="{AFE47FF9-AC3B-4435-8E72-58F48B63B07A}"/>
    <cellStyle name="Input 4 9" xfId="2657" xr:uid="{C6DEBC9F-FA98-415F-9171-78B0298AAEDB}"/>
    <cellStyle name="Input 4 9 2" xfId="17389" xr:uid="{74F9960E-B117-4D8B-A79B-8C60EF825653}"/>
    <cellStyle name="Input 4 9 2 2" xfId="28249" xr:uid="{D68D80B6-DB60-46BA-A515-0A1DACD6BE6B}"/>
    <cellStyle name="Input 4 9 2 3" xfId="28250" xr:uid="{943F409B-36DB-4ECD-AF77-1EB65F9915DE}"/>
    <cellStyle name="Input 4 9 2 4" xfId="28251" xr:uid="{8D426701-E500-4235-84AD-644EF1739B17}"/>
    <cellStyle name="Input 4 9 2 5" xfId="28252" xr:uid="{59F87ADD-82E0-4B62-95E8-44FB0CEF054C}"/>
    <cellStyle name="Input 4 9 3" xfId="28253" xr:uid="{DE261841-390B-4DD7-ABB2-A283ACE114BE}"/>
    <cellStyle name="Input 4 9 4" xfId="28254" xr:uid="{615936AF-2E5C-490E-8B60-ED46FB6D6F0C}"/>
    <cellStyle name="Input 4 9 5" xfId="28255" xr:uid="{7DE975E6-0FD7-46E0-A407-7D71DB18C855}"/>
    <cellStyle name="Input 4 9 6" xfId="28256" xr:uid="{55BC883D-DCAA-4943-BB57-ACD15A22A860}"/>
    <cellStyle name="Input 4_ELC" xfId="15245" xr:uid="{8EBDF6DF-DFA2-4CCD-A0BF-035CF1C6057F}"/>
    <cellStyle name="Input 40" xfId="28257" xr:uid="{7BC834B5-EF98-4B19-B0AA-D9D811DA47F0}"/>
    <cellStyle name="Input 41" xfId="28258" xr:uid="{8922FF24-3E3F-4D01-94B9-C75D6914C3BF}"/>
    <cellStyle name="Input 42" xfId="28259" xr:uid="{98E731B1-CF56-4337-959A-7C8CD24785B1}"/>
    <cellStyle name="Input 5" xfId="4099" xr:uid="{A6D1CF2C-48D0-4BC4-8AC3-27C688D53919}"/>
    <cellStyle name="Input 5 10" xfId="17390" xr:uid="{A96D736A-5952-4EBC-9549-C862A227B029}"/>
    <cellStyle name="Input 5 10 2" xfId="28260" xr:uid="{DAFF7716-E01A-4A72-8EAF-0762F0F055D9}"/>
    <cellStyle name="Input 5 10 3" xfId="28261" xr:uid="{1B8D8C92-F76C-4F83-BD12-C049E5D276B6}"/>
    <cellStyle name="Input 5 10 4" xfId="28262" xr:uid="{3B3EE0DB-70A5-46AE-956C-EFEAD6A490E3}"/>
    <cellStyle name="Input 5 10 5" xfId="28263" xr:uid="{7F94E78B-F825-4E39-9600-57A13F5A0D6F}"/>
    <cellStyle name="Input 5 11" xfId="28264" xr:uid="{1E6417CA-0E6E-4958-8AD6-C10330962BFF}"/>
    <cellStyle name="Input 5 12" xfId="28265" xr:uid="{2116CDAE-D085-437B-8418-79373BE83219}"/>
    <cellStyle name="Input 5 13" xfId="28266" xr:uid="{6F8B033C-53B7-4B6D-8A69-F434A957B387}"/>
    <cellStyle name="Input 5 14" xfId="28267" xr:uid="{E3D570AE-2FD5-4DEA-89B5-43A1F2DBF741}"/>
    <cellStyle name="Input 5 15" xfId="28268" xr:uid="{787F6578-F356-476F-A8EC-9CDCFA0ACDF0}"/>
    <cellStyle name="Input 5 2" xfId="2658" xr:uid="{751BDF8D-74E0-4622-939A-FC6A9018A608}"/>
    <cellStyle name="Input 5 2 2" xfId="17391" xr:uid="{A13BA69A-842B-4872-A336-9BB697B60669}"/>
    <cellStyle name="Input 5 2 2 2" xfId="28269" xr:uid="{CD57F1ED-99C6-425B-8C28-E592A030A373}"/>
    <cellStyle name="Input 5 2 2 3" xfId="28270" xr:uid="{C9804B8E-A0AD-481A-8742-E007759D296C}"/>
    <cellStyle name="Input 5 2 2 4" xfId="28271" xr:uid="{76CA4DE5-6356-4DC5-8880-927CB62407E2}"/>
    <cellStyle name="Input 5 2 2 5" xfId="28272" xr:uid="{1E7C0E82-E171-46BA-A9D4-D7AD4D36AA1D}"/>
    <cellStyle name="Input 5 2 3" xfId="28273" xr:uid="{1A8962DC-B42B-4B78-A13D-FCEC487D5F91}"/>
    <cellStyle name="Input 5 2 4" xfId="28274" xr:uid="{522F7C20-E89D-4DDE-8BE6-6B9410E1B059}"/>
    <cellStyle name="Input 5 2 5" xfId="28275" xr:uid="{ED31A1C5-74D2-406B-95CF-1CED5AD02CF6}"/>
    <cellStyle name="Input 5 2 6" xfId="28276" xr:uid="{64310FF1-8930-4F42-B1BC-E352686C04A5}"/>
    <cellStyle name="Input 5 2 7" xfId="28277" xr:uid="{97AA97B7-812D-40E2-9C0D-5E77BB39FC9C}"/>
    <cellStyle name="Input 5 3" xfId="2659" xr:uid="{C228DCE0-5FA6-491A-8A91-CFEC83A2B79F}"/>
    <cellStyle name="Input 5 3 2" xfId="17392" xr:uid="{1A85815A-4EC5-4EE7-ABC9-4C099B67F5DC}"/>
    <cellStyle name="Input 5 3 2 2" xfId="28278" xr:uid="{F547835F-4D93-4DE6-8661-01BF58EC5B55}"/>
    <cellStyle name="Input 5 3 2 3" xfId="28279" xr:uid="{32F75972-369A-428D-9BE1-7A5356FEAEB6}"/>
    <cellStyle name="Input 5 3 2 4" xfId="28280" xr:uid="{CD61AF30-D46F-4875-8DDB-711323588798}"/>
    <cellStyle name="Input 5 3 2 5" xfId="28281" xr:uid="{14772600-0890-4BAC-AF57-04AB6484ED70}"/>
    <cellStyle name="Input 5 3 3" xfId="28282" xr:uid="{A6BF1660-4892-49E9-95B7-1B7853307D37}"/>
    <cellStyle name="Input 5 3 4" xfId="28283" xr:uid="{56BBBA4D-10F2-4CE9-A738-0A60E34C6451}"/>
    <cellStyle name="Input 5 3 5" xfId="28284" xr:uid="{8F255E51-ADB4-40A3-875E-2546C9B2107B}"/>
    <cellStyle name="Input 5 3 6" xfId="28285" xr:uid="{1D960FB7-DEF7-4B3C-9564-3EE644E642D6}"/>
    <cellStyle name="Input 5 4" xfId="2660" xr:uid="{8FB1EB66-6329-4264-A103-1FA45778EE45}"/>
    <cellStyle name="Input 5 4 2" xfId="17393" xr:uid="{259EBF0C-4D33-4EBB-A0F4-7E7A8D97AA2C}"/>
    <cellStyle name="Input 5 4 2 2" xfId="28286" xr:uid="{4A1CEE2C-EF41-4316-A822-E2B5DDC73C28}"/>
    <cellStyle name="Input 5 4 2 3" xfId="28287" xr:uid="{FFA05922-AA1A-4EED-A485-719AA5F1CD2D}"/>
    <cellStyle name="Input 5 4 2 4" xfId="28288" xr:uid="{E97B109A-4A37-49DA-B62E-EA2FF6C709E7}"/>
    <cellStyle name="Input 5 4 2 5" xfId="28289" xr:uid="{382FC219-9210-4606-8D8D-155A3C5501E8}"/>
    <cellStyle name="Input 5 4 3" xfId="28290" xr:uid="{D10DFDAF-FB50-4E24-AC96-AD94B2BF52EA}"/>
    <cellStyle name="Input 5 4 4" xfId="28291" xr:uid="{723B4CB4-BBFD-4E5D-8410-D31ACFC70FC7}"/>
    <cellStyle name="Input 5 4 5" xfId="28292" xr:uid="{DF65EEB3-6E8E-410B-BF99-94E0D60ABA8C}"/>
    <cellStyle name="Input 5 4 6" xfId="28293" xr:uid="{01B03F68-C2B1-44C2-98B3-46B913E9D9BC}"/>
    <cellStyle name="Input 5 5" xfId="2661" xr:uid="{4FAD28A7-FA11-4377-B434-DA3338891A22}"/>
    <cellStyle name="Input 5 5 2" xfId="17394" xr:uid="{FF8391E6-7327-416B-9857-41C310D0E946}"/>
    <cellStyle name="Input 5 5 2 2" xfId="28294" xr:uid="{D7FE3982-16F5-4E00-B314-7659781785F5}"/>
    <cellStyle name="Input 5 5 2 3" xfId="28295" xr:uid="{45DE4CCD-C5F5-4EE2-8018-FCDB1FEFE419}"/>
    <cellStyle name="Input 5 5 2 4" xfId="28296" xr:uid="{2B6D01C0-8B71-4291-B039-704AE6C0B995}"/>
    <cellStyle name="Input 5 5 2 5" xfId="28297" xr:uid="{50C77189-C881-45EA-955A-9ABF28DCC46C}"/>
    <cellStyle name="Input 5 5 3" xfId="28298" xr:uid="{521B48C1-F67B-45F9-AE6D-BB7EC3B08587}"/>
    <cellStyle name="Input 5 5 4" xfId="28299" xr:uid="{D6F73081-621C-4195-AEA0-F411A1D26BC4}"/>
    <cellStyle name="Input 5 5 5" xfId="28300" xr:uid="{9C4E5B11-AF71-4DB2-A8CD-056EF8F23A7F}"/>
    <cellStyle name="Input 5 5 6" xfId="28301" xr:uid="{8775AB23-5E28-4D44-9CDB-25153AC90230}"/>
    <cellStyle name="Input 5 6" xfId="2662" xr:uid="{0C04D3A5-3F75-40E9-A0A8-10B7AA12CA50}"/>
    <cellStyle name="Input 5 6 2" xfId="17395" xr:uid="{FF52BD4A-1C11-4F98-9C5A-26307F96814C}"/>
    <cellStyle name="Input 5 6 2 2" xfId="28302" xr:uid="{7ABD993A-2E84-4274-8CA8-7A641F65B3B6}"/>
    <cellStyle name="Input 5 6 2 3" xfId="28303" xr:uid="{46F5B957-347B-4303-918C-CC7315CD43E6}"/>
    <cellStyle name="Input 5 6 2 4" xfId="28304" xr:uid="{8505E606-8E78-49C8-B584-C60A9CF1A97F}"/>
    <cellStyle name="Input 5 6 2 5" xfId="28305" xr:uid="{E503ADFB-94F5-4A5A-9D94-5EA56AE03A06}"/>
    <cellStyle name="Input 5 6 3" xfId="28306" xr:uid="{E2045C01-4D4D-4E70-913E-DFB635438450}"/>
    <cellStyle name="Input 5 6 4" xfId="28307" xr:uid="{AD9D9E7C-DD2D-4056-8775-12218D8F03DC}"/>
    <cellStyle name="Input 5 6 5" xfId="28308" xr:uid="{F48854B3-FDB8-4838-8251-EEFB1B35D8DD}"/>
    <cellStyle name="Input 5 6 6" xfId="28309" xr:uid="{E6E330C8-F338-44E3-97BC-1C8513668AE8}"/>
    <cellStyle name="Input 5 7" xfId="2663" xr:uid="{751920B3-C390-4995-9F13-BF7EBE86356E}"/>
    <cellStyle name="Input 5 7 2" xfId="17396" xr:uid="{C3312612-10E3-408F-8457-BF216EF85CCB}"/>
    <cellStyle name="Input 5 7 2 2" xfId="28310" xr:uid="{EE6F7B0E-B460-471A-A777-BEE0C4FDA7D9}"/>
    <cellStyle name="Input 5 7 2 3" xfId="28311" xr:uid="{64CF5FB7-1EFF-450D-B4FE-A805BEC46D8B}"/>
    <cellStyle name="Input 5 7 2 4" xfId="28312" xr:uid="{5E0DE075-0ECA-4231-AC95-BC684EB31F48}"/>
    <cellStyle name="Input 5 7 2 5" xfId="28313" xr:uid="{1C19CB64-C8C0-4E47-8F0A-50EE217CE71B}"/>
    <cellStyle name="Input 5 7 3" xfId="28314" xr:uid="{A78920AE-6B23-479F-A0FA-AB3C27EFBDCE}"/>
    <cellStyle name="Input 5 7 4" xfId="28315" xr:uid="{CF381ADD-404B-47E2-BB1A-1D146BBFCB03}"/>
    <cellStyle name="Input 5 7 5" xfId="28316" xr:uid="{1E1643D2-A13F-441C-BC5B-26E0AC1AB0F5}"/>
    <cellStyle name="Input 5 7 6" xfId="28317" xr:uid="{24D795C6-48BA-47C8-819B-C89D151827A2}"/>
    <cellStyle name="Input 5 8" xfId="16691" xr:uid="{31ED1D84-27F7-473F-BCDB-CD5972CE076B}"/>
    <cellStyle name="Input 5 8 2" xfId="17397" xr:uid="{A2009DD8-81B9-46B6-993A-E7DFDBE81DC0}"/>
    <cellStyle name="Input 5 8 2 2" xfId="28318" xr:uid="{10A8F053-B25D-4D4C-8AFD-903F338348B5}"/>
    <cellStyle name="Input 5 8 2 3" xfId="28319" xr:uid="{9AC81E71-D382-43FE-9BD4-7E35658CDCB6}"/>
    <cellStyle name="Input 5 8 2 4" xfId="28320" xr:uid="{227AB561-1424-49C2-9195-40D21B71F071}"/>
    <cellStyle name="Input 5 8 2 5" xfId="28321" xr:uid="{A06E0E50-651A-4BF7-AF86-FACC7541528A}"/>
    <cellStyle name="Input 5 8 3" xfId="28322" xr:uid="{6D58F4BA-9F35-4750-848D-2BCE06AA9B18}"/>
    <cellStyle name="Input 5 8 4" xfId="28323" xr:uid="{A026625D-B52C-44D7-A83E-277DC38B1F91}"/>
    <cellStyle name="Input 5 8 5" xfId="28324" xr:uid="{C54F8B12-1938-411B-A46D-9F586B0FBEB3}"/>
    <cellStyle name="Input 5 8 6" xfId="28325" xr:uid="{F8DADDEE-3DD3-4BDA-AE33-BFBCF8DBF0F6}"/>
    <cellStyle name="Input 5 9" xfId="17398" xr:uid="{1F39D2FA-586D-417B-9C4C-B4156C6FB752}"/>
    <cellStyle name="Input 5 9 2" xfId="28326" xr:uid="{6F3AAB72-E11B-4919-BB83-5D082CCF553F}"/>
    <cellStyle name="Input 5 9 3" xfId="28327" xr:uid="{C67DFF37-3744-4CA6-9B9F-AE807FF43AFB}"/>
    <cellStyle name="Input 5 9 4" xfId="28328" xr:uid="{177EF21E-89C7-4C78-8E44-682550813D44}"/>
    <cellStyle name="Input 5 9 5" xfId="28329" xr:uid="{3832C8FD-5B0B-4EA2-BD8C-876D4D28412C}"/>
    <cellStyle name="Input 5_ELC" xfId="15246" xr:uid="{882FAC52-777D-473A-A153-F27AA4727171}"/>
    <cellStyle name="Input 6" xfId="2664" xr:uid="{EC228D9C-3635-414F-A104-0E5EBD4393E2}"/>
    <cellStyle name="Input 6 2" xfId="2665" xr:uid="{19609753-4BB7-493B-B419-6FD8BB724315}"/>
    <cellStyle name="Input 6 2 2" xfId="17400" xr:uid="{FDE72D9E-CC7F-49F7-BB7F-3ED02D79CDCE}"/>
    <cellStyle name="Input 6 2 2 2" xfId="28330" xr:uid="{3AFDAFFF-5512-4466-98E3-54416C41876B}"/>
    <cellStyle name="Input 6 2 2 3" xfId="28331" xr:uid="{E80DEB13-181A-45A6-8E12-BBCBCCBC6131}"/>
    <cellStyle name="Input 6 2 2 4" xfId="28332" xr:uid="{04D30A75-4DE4-42F8-9FD6-6ECB06C6AB9B}"/>
    <cellStyle name="Input 6 2 2 5" xfId="28333" xr:uid="{5C9B1B20-7CC6-447E-AEBF-73C2AC997DA0}"/>
    <cellStyle name="Input 6 2 3" xfId="28334" xr:uid="{B0E29BAB-6BAF-466B-9015-948C751EABCA}"/>
    <cellStyle name="Input 6 2 4" xfId="28335" xr:uid="{D565EB5B-925E-4D3C-B68D-915D6FC34B9A}"/>
    <cellStyle name="Input 6 2 5" xfId="28336" xr:uid="{CEB262B8-8DD9-4E06-B323-03B67106B79C}"/>
    <cellStyle name="Input 6 2 6" xfId="28337" xr:uid="{AE0F5D7B-3CD3-4D95-BFE6-1ED08025E55F}"/>
    <cellStyle name="Input 6 2 7" xfId="28338" xr:uid="{ADA3EF9F-BD96-463F-A8EA-B213FD6E1106}"/>
    <cellStyle name="Input 6 3" xfId="17399" xr:uid="{A58AB38A-11FC-4FF8-A34A-B445A62138B8}"/>
    <cellStyle name="Input 6 3 2" xfId="28339" xr:uid="{A3EF0D5B-103A-460A-B1FA-69333B68F25B}"/>
    <cellStyle name="Input 6 3 3" xfId="28340" xr:uid="{C65855A6-4983-4F29-ABE4-359146CDC5A3}"/>
    <cellStyle name="Input 6 3 4" xfId="28341" xr:uid="{9E8FC641-048A-456A-AC21-2D8127D7BDB7}"/>
    <cellStyle name="Input 6 3 5" xfId="28342" xr:uid="{BDB25FD6-1E6E-4E88-BF50-AF2DF9CEBE5E}"/>
    <cellStyle name="Input 6 4" xfId="28343" xr:uid="{94F96FFE-61CC-4D6C-A284-F3D23FF4C036}"/>
    <cellStyle name="Input 6 5" xfId="28344" xr:uid="{AABD5E14-2A48-444E-B3AB-6EDAE289AA88}"/>
    <cellStyle name="Input 6 6" xfId="28345" xr:uid="{FFB1C955-B212-4867-9DA3-60C1CF5A21FF}"/>
    <cellStyle name="Input 6 7" xfId="28346" xr:uid="{E832D284-C8DF-4037-8164-8D780AA09165}"/>
    <cellStyle name="Input 6 8" xfId="28347" xr:uid="{EDA092C7-B3EB-4EEA-AE36-76585FF9064E}"/>
    <cellStyle name="Input 7" xfId="2666" xr:uid="{EC7AEB43-49F2-44B1-8068-78A3F5464247}"/>
    <cellStyle name="Input 7 2" xfId="2667" xr:uid="{27C52896-5E9A-4828-967A-DECA81B1621A}"/>
    <cellStyle name="Input 7 2 2" xfId="17402" xr:uid="{0836F798-FEF4-4FFC-842A-0D5BA6F48170}"/>
    <cellStyle name="Input 7 2 2 2" xfId="28348" xr:uid="{59EFE56E-3837-4819-8623-734378EBC31D}"/>
    <cellStyle name="Input 7 2 2 3" xfId="28349" xr:uid="{341FAE7F-A9D1-4089-8268-44462FCA53D0}"/>
    <cellStyle name="Input 7 2 2 4" xfId="28350" xr:uid="{5D211EC2-557F-40E9-BA15-7D6F8F025699}"/>
    <cellStyle name="Input 7 2 2 5" xfId="28351" xr:uid="{7BA5E97D-092C-4C00-940A-EA5E656C76CE}"/>
    <cellStyle name="Input 7 2 3" xfId="28352" xr:uid="{2F2F70A8-A46A-4B49-AE31-5ED76F90EE0B}"/>
    <cellStyle name="Input 7 2 4" xfId="28353" xr:uid="{7CAC0684-EBA6-45A0-8733-1FB0D55F923C}"/>
    <cellStyle name="Input 7 2 5" xfId="28354" xr:uid="{A516D055-9A7B-40AF-A7BB-193345AB21FC}"/>
    <cellStyle name="Input 7 2 6" xfId="28355" xr:uid="{18B5A33D-1EDE-4788-8041-30F68CE7EC3D}"/>
    <cellStyle name="Input 7 2 7" xfId="28356" xr:uid="{2B4A415C-CA61-4B48-BD2D-8456213EDB99}"/>
    <cellStyle name="Input 7 3" xfId="17401" xr:uid="{1532B8BC-5AFA-4A81-A649-6425F031DB1D}"/>
    <cellStyle name="Input 7 3 2" xfId="28357" xr:uid="{A4175900-DBB9-4C93-BBF9-D221606F8C3E}"/>
    <cellStyle name="Input 7 3 3" xfId="28358" xr:uid="{259D31F4-7622-433A-9284-8D912CD969E1}"/>
    <cellStyle name="Input 7 3 4" xfId="28359" xr:uid="{439681BF-04C7-42A3-8A75-8CC232A6F407}"/>
    <cellStyle name="Input 7 3 5" xfId="28360" xr:uid="{7B57E44D-2755-4AA7-A49E-18C9386DCCD5}"/>
    <cellStyle name="Input 7 4" xfId="28361" xr:uid="{9A787AAC-72AA-471D-B7ED-900590E1FA6E}"/>
    <cellStyle name="Input 7 5" xfId="28362" xr:uid="{C3F1EA2E-5775-40A3-B91D-07071BDCC89F}"/>
    <cellStyle name="Input 7 6" xfId="28363" xr:uid="{B83BF9D8-713F-4C5A-9950-B9E9E0823B92}"/>
    <cellStyle name="Input 7 7" xfId="28364" xr:uid="{673B16C0-5834-4006-B9C8-EFD6974F8AC3}"/>
    <cellStyle name="Input 7 8" xfId="28365" xr:uid="{EAFC71DE-8E2E-4685-BD64-6008AA65E014}"/>
    <cellStyle name="Input 8" xfId="2668" xr:uid="{6167434C-064B-40FC-8450-01C4B53754C4}"/>
    <cellStyle name="Input 8 2" xfId="2669" xr:uid="{8CF0ABE0-F779-486D-BBD3-9AE145E0A565}"/>
    <cellStyle name="Input 8 2 2" xfId="17404" xr:uid="{37F6A3FF-9714-44B9-AF0D-0E8CF568DEB7}"/>
    <cellStyle name="Input 8 2 2 2" xfId="28366" xr:uid="{4A910DB1-39B0-4EA2-9CB9-E19333753018}"/>
    <cellStyle name="Input 8 2 2 3" xfId="28367" xr:uid="{85599379-9E37-4E69-8798-8D08AFD9DD9B}"/>
    <cellStyle name="Input 8 2 2 4" xfId="28368" xr:uid="{18BBE747-969A-43E8-8B7F-39780CDC793D}"/>
    <cellStyle name="Input 8 2 2 5" xfId="28369" xr:uid="{D2E96830-986F-409A-8E76-A217C3763661}"/>
    <cellStyle name="Input 8 2 3" xfId="28370" xr:uid="{B512CB3D-1DB4-4125-BBDB-507288AB522B}"/>
    <cellStyle name="Input 8 2 4" xfId="28371" xr:uid="{2E26D943-4F5E-4C9C-A26E-782F2F3AD360}"/>
    <cellStyle name="Input 8 2 5" xfId="28372" xr:uid="{A8741ABA-2938-4FB6-A9A4-3A56BCC3ECA9}"/>
    <cellStyle name="Input 8 2 6" xfId="28373" xr:uid="{B034BB0F-62DD-4BDE-892E-0AB761AF2A3F}"/>
    <cellStyle name="Input 8 2 7" xfId="28374" xr:uid="{8719D89D-B4D2-45F0-9E2E-8A45C82B549E}"/>
    <cellStyle name="Input 8 3" xfId="17403" xr:uid="{02C260F0-09AF-4F78-B469-55A0CD01AD3B}"/>
    <cellStyle name="Input 8 3 2" xfId="28375" xr:uid="{AD8A2B33-93AD-4176-8945-D0830D4AFCCB}"/>
    <cellStyle name="Input 8 3 3" xfId="28376" xr:uid="{365707AF-06DE-40DE-945C-B90CC42213D0}"/>
    <cellStyle name="Input 8 3 4" xfId="28377" xr:uid="{56FD4C04-8515-4535-917A-2A89D61592A0}"/>
    <cellStyle name="Input 8 3 5" xfId="28378" xr:uid="{F3C69A58-D6DE-4448-94D9-38E0AACB9093}"/>
    <cellStyle name="Input 8 4" xfId="28379" xr:uid="{D9EDB8DC-839C-44D3-B0FA-AFB0D5678D91}"/>
    <cellStyle name="Input 8 5" xfId="28380" xr:uid="{452522E8-542D-4B47-8B96-B58BDAD0B1C5}"/>
    <cellStyle name="Input 8 6" xfId="28381" xr:uid="{F5B951CB-FB1E-4204-8223-2CA59C6D5E5D}"/>
    <cellStyle name="Input 8 7" xfId="28382" xr:uid="{4FDD541A-5779-415C-9651-148FF314EC47}"/>
    <cellStyle name="Input 8 8" xfId="28383" xr:uid="{718E1C15-4A5C-487B-A0A4-0E84D6B71759}"/>
    <cellStyle name="Input 9" xfId="2670" xr:uid="{B0659B4A-FB5C-43C0-AE99-286C9F3E9D71}"/>
    <cellStyle name="Input 9 2" xfId="2671" xr:uid="{34884AAA-1163-4892-8F9C-9601CA3E8B05}"/>
    <cellStyle name="Input 9 2 2" xfId="17406" xr:uid="{BCD6D5E1-A45B-4BBA-977B-A58E4B1F11AD}"/>
    <cellStyle name="Input 9 2 2 2" xfId="28384" xr:uid="{04EB956D-E240-497F-B672-BED1FEE9EDED}"/>
    <cellStyle name="Input 9 2 2 3" xfId="28385" xr:uid="{78F2D595-A961-4E19-BEFA-847790966E23}"/>
    <cellStyle name="Input 9 2 2 4" xfId="28386" xr:uid="{66A9E10C-4CD5-4957-B05D-125AB976D3C2}"/>
    <cellStyle name="Input 9 2 2 5" xfId="28387" xr:uid="{B0B05EA1-974E-49E7-B966-CA41D055E6E8}"/>
    <cellStyle name="Input 9 2 3" xfId="28388" xr:uid="{A1EE1940-8E4A-4EFE-BE02-E3923E793B5A}"/>
    <cellStyle name="Input 9 2 4" xfId="28389" xr:uid="{80FDBF9C-9031-4DE1-BE02-F0723A4E3CE4}"/>
    <cellStyle name="Input 9 2 5" xfId="28390" xr:uid="{AA318C98-6FBE-4042-8069-08755AFC31BF}"/>
    <cellStyle name="Input 9 2 6" xfId="28391" xr:uid="{7F4813E0-B3B9-420C-B51D-9011B2A9E6DC}"/>
    <cellStyle name="Input 9 2 7" xfId="28392" xr:uid="{4347182D-4E2D-489F-B182-E8661C6B13E1}"/>
    <cellStyle name="Input 9 3" xfId="17405" xr:uid="{9D3B4AB4-B70C-42A9-9252-744D0E2D4502}"/>
    <cellStyle name="Input 9 3 2" xfId="28393" xr:uid="{D6ADFFB7-DFB0-4049-B1A6-E180C499CD20}"/>
    <cellStyle name="Input 9 3 3" xfId="28394" xr:uid="{B7BD80E0-CE2B-45FA-B15B-C73A1D3D5224}"/>
    <cellStyle name="Input 9 3 4" xfId="28395" xr:uid="{6BEEB1A1-BE6E-49C2-ABC3-85C57536AE48}"/>
    <cellStyle name="Input 9 3 5" xfId="28396" xr:uid="{B4A04AC1-5AB7-4828-9BFC-80814C39FDE6}"/>
    <cellStyle name="Input 9 4" xfId="28397" xr:uid="{C8EFA4C3-5DA4-4AE5-8F70-950743FEDBA0}"/>
    <cellStyle name="Input 9 5" xfId="28398" xr:uid="{580947FC-CB6A-4764-B670-4A7E4C5B1659}"/>
    <cellStyle name="Input 9 6" xfId="28399" xr:uid="{A560A256-8293-465F-BDB6-8D5B65676848}"/>
    <cellStyle name="Input 9 7" xfId="28400" xr:uid="{E358AF3F-47EC-41C6-B404-353B35FF8894}"/>
    <cellStyle name="Input 9 8" xfId="28401" xr:uid="{37101115-7618-4EBB-9EBC-8B67D7D0F882}"/>
    <cellStyle name="InputCells" xfId="2672" xr:uid="{226665DE-15EF-4729-8956-DFFF48EE76F7}"/>
    <cellStyle name="InputCells 2" xfId="17407" xr:uid="{F260F2AA-5EA9-4961-AA55-9C3E9D1D5EB8}"/>
    <cellStyle name="InputCells 2 2" xfId="28402" xr:uid="{12E16D38-818D-48C5-A433-649B6988D60D}"/>
    <cellStyle name="InputCells 2 3" xfId="28403" xr:uid="{BF4F1C86-C4FE-43ED-98CB-CA390330D836}"/>
    <cellStyle name="InputCells 2 4" xfId="28404" xr:uid="{0E943C4D-0896-4A5D-AFCF-C5ED01A22F98}"/>
    <cellStyle name="InputCells 2 5" xfId="28405" xr:uid="{87CD78CB-6BF5-45C3-B9B0-1BDD801F9F44}"/>
    <cellStyle name="InputCells 3" xfId="28406" xr:uid="{EA7E0594-7662-4914-BFFD-E4EAB2B85FE6}"/>
    <cellStyle name="InputCells 4" xfId="28407" xr:uid="{F17D36B5-181F-4D8E-BE3B-14036E348929}"/>
    <cellStyle name="InputCells 5" xfId="28408" xr:uid="{0F67FEDB-A4F5-4661-8AB6-82F01D2C6F9F}"/>
    <cellStyle name="InputCells 6" xfId="28409" xr:uid="{81465A8E-ED4D-4DF8-9AD8-718B57F2696F}"/>
    <cellStyle name="InputCells 7" xfId="28410" xr:uid="{177BC211-4401-4D94-9E61-18F5D012FE48}"/>
    <cellStyle name="InputCells 8" xfId="28411" xr:uid="{229580AF-6C49-49CF-8CA7-AB16EC42DDAA}"/>
    <cellStyle name="InputCells12_CRFReport-template" xfId="2673" xr:uid="{3E68D195-CE74-44B8-9B65-F9919A491184}"/>
    <cellStyle name="Linked Cell 10" xfId="2674" xr:uid="{09944A03-7D41-4C0E-AAC4-6573FD9B3973}"/>
    <cellStyle name="Linked Cell 10 2" xfId="2675" xr:uid="{ECA4FCB6-B1DE-44B3-8F21-2433AB64E84C}"/>
    <cellStyle name="Linked Cell 10 2 2" xfId="17409" xr:uid="{FA19D1E4-1FA5-4ED8-A514-2219F0016C78}"/>
    <cellStyle name="Linked Cell 10 2 2 2" xfId="28412" xr:uid="{D4E702BC-917C-43A2-A86D-3A748ADA9AB3}"/>
    <cellStyle name="Linked Cell 10 2 2 3" xfId="28413" xr:uid="{70262B2E-E08E-4869-809F-A2715F18F9AD}"/>
    <cellStyle name="Linked Cell 10 2 2 4" xfId="28414" xr:uid="{81AE3E16-C93D-48E1-86E1-41B49B2C8EFE}"/>
    <cellStyle name="Linked Cell 10 2 2 5" xfId="28415" xr:uid="{CAC76824-1D4A-49DC-AF67-971B009E47A4}"/>
    <cellStyle name="Linked Cell 10 2 3" xfId="28416" xr:uid="{3288F461-D342-48CC-853A-948DE4A03F18}"/>
    <cellStyle name="Linked Cell 10 2 4" xfId="28417" xr:uid="{E9499BD6-140E-4557-B005-B9C72C90489C}"/>
    <cellStyle name="Linked Cell 10 2 5" xfId="28418" xr:uid="{A974CDE7-F73F-441D-A69F-66DD7C9270B8}"/>
    <cellStyle name="Linked Cell 10 2 6" xfId="28419" xr:uid="{5CB3AFDB-6798-4A17-8CC8-07D8A7377CB1}"/>
    <cellStyle name="Linked Cell 10 3" xfId="17408" xr:uid="{ABD17D57-CB1B-4702-BF4F-0A8CE7412C4B}"/>
    <cellStyle name="Linked Cell 10 3 2" xfId="28420" xr:uid="{2FDCF0AD-DCA5-4ECB-82E9-6826B6B90A54}"/>
    <cellStyle name="Linked Cell 10 3 3" xfId="28421" xr:uid="{AD6D53D8-212D-424D-8DB3-AC14047CE728}"/>
    <cellStyle name="Linked Cell 10 3 4" xfId="28422" xr:uid="{9A7E88BD-051B-4F8F-ACB9-A773ED5B5C1E}"/>
    <cellStyle name="Linked Cell 10 3 5" xfId="28423" xr:uid="{18512E92-166F-453A-A47D-452F0E60DA7F}"/>
    <cellStyle name="Linked Cell 10 4" xfId="28424" xr:uid="{D1D48B23-5DE7-4ED3-821C-BCFC6908872C}"/>
    <cellStyle name="Linked Cell 10 5" xfId="28425" xr:uid="{C4885A3B-BB9C-423D-A67B-5EDF92923233}"/>
    <cellStyle name="Linked Cell 10 6" xfId="28426" xr:uid="{06B35D49-A30E-4D44-98FB-D19B7BBE2AF0}"/>
    <cellStyle name="Linked Cell 10 7" xfId="28427" xr:uid="{C9E6C3DA-2650-4643-9103-F0D9E9299767}"/>
    <cellStyle name="Linked Cell 10 8" xfId="28428" xr:uid="{0FBD29B4-CD02-48EC-B7B8-FF49B031DED2}"/>
    <cellStyle name="Linked Cell 11" xfId="2676" xr:uid="{5C26F70F-A054-42B7-B8E8-BAAF61074BBE}"/>
    <cellStyle name="Linked Cell 11 2" xfId="11082" xr:uid="{44F424B4-2876-4612-BDC4-02C56CBA8D02}"/>
    <cellStyle name="Linked Cell 11 2 2" xfId="17411" xr:uid="{CA92CEA5-9659-4A38-9282-21EAA58BB297}"/>
    <cellStyle name="Linked Cell 11 2 2 2" xfId="28429" xr:uid="{F016CC07-5988-4CB2-A9CF-144EB959EC70}"/>
    <cellStyle name="Linked Cell 11 2 2 3" xfId="28430" xr:uid="{5E8799B4-8891-46D2-A7E5-25873EC94713}"/>
    <cellStyle name="Linked Cell 11 2 2 4" xfId="28431" xr:uid="{1504D9B1-FA4D-4C02-8767-74C6AD986460}"/>
    <cellStyle name="Linked Cell 11 2 2 5" xfId="28432" xr:uid="{362B2114-CE1D-410E-B08B-ABE5A68D84BA}"/>
    <cellStyle name="Linked Cell 11 2 3" xfId="28433" xr:uid="{0A03ACC8-879C-46ED-A7F6-9B62F77CAABE}"/>
    <cellStyle name="Linked Cell 11 2 4" xfId="28434" xr:uid="{A2B56754-874F-4986-9FF9-2B797E801D07}"/>
    <cellStyle name="Linked Cell 11 2 5" xfId="28435" xr:uid="{042A7BD9-0007-4F47-A3A1-EA447731DE2D}"/>
    <cellStyle name="Linked Cell 11 2 6" xfId="28436" xr:uid="{FE40A306-F341-4C2D-825B-8C30144ED938}"/>
    <cellStyle name="Linked Cell 11 3" xfId="17410" xr:uid="{A76B5411-7F20-4BC8-B713-813AD6C4C0D4}"/>
    <cellStyle name="Linked Cell 11 3 2" xfId="28437" xr:uid="{C4A1BA5A-DDE6-4B15-BCB2-1B4DEDD74CB6}"/>
    <cellStyle name="Linked Cell 11 3 3" xfId="28438" xr:uid="{AE420416-0867-4098-AB20-22F04441E774}"/>
    <cellStyle name="Linked Cell 11 3 4" xfId="28439" xr:uid="{0963A227-9342-4AFC-8825-6AC30AC25490}"/>
    <cellStyle name="Linked Cell 11 3 5" xfId="28440" xr:uid="{0AE8F302-A3CC-4004-ACEE-CC6B5A22DC4D}"/>
    <cellStyle name="Linked Cell 11 4" xfId="28441" xr:uid="{AA17C7DC-B93D-48F2-874A-541BF6AD3A6B}"/>
    <cellStyle name="Linked Cell 11 5" xfId="28442" xr:uid="{30F8155D-51F0-450C-99A4-3B6FAD7A55D4}"/>
    <cellStyle name="Linked Cell 11 6" xfId="28443" xr:uid="{862BB7F4-BFDE-4481-9A46-E886B0CDFB9F}"/>
    <cellStyle name="Linked Cell 11 7" xfId="28444" xr:uid="{444A9884-1A10-4D8D-A379-01C7CF7CC8F9}"/>
    <cellStyle name="Linked Cell 11 8" xfId="28445" xr:uid="{05A5A196-A422-4709-BFA7-24E3D21ADAA8}"/>
    <cellStyle name="Linked Cell 12" xfId="2677" xr:uid="{4FECFF8D-D10A-4FC6-86FF-B326EF0F23CC}"/>
    <cellStyle name="Linked Cell 12 2" xfId="8635" xr:uid="{1C7E1426-39CE-4C59-9024-03A52E0296B6}"/>
    <cellStyle name="Linked Cell 12 2 2" xfId="17413" xr:uid="{2903FE75-ECC3-4A1F-9756-222F78E6AA56}"/>
    <cellStyle name="Linked Cell 12 2 2 2" xfId="28446" xr:uid="{41AC1BA8-5103-4A67-BFF1-6B67ED325EE6}"/>
    <cellStyle name="Linked Cell 12 2 2 3" xfId="28447" xr:uid="{7B3EADE7-93C0-4719-B570-3757417AD4A0}"/>
    <cellStyle name="Linked Cell 12 2 2 4" xfId="28448" xr:uid="{566ACC43-8E2B-49F7-8262-878629F25164}"/>
    <cellStyle name="Linked Cell 12 2 2 5" xfId="28449" xr:uid="{CE4AA94A-D29E-421F-85EE-41297DBA61C8}"/>
    <cellStyle name="Linked Cell 12 2 3" xfId="28450" xr:uid="{EE059546-0E29-40A8-8C18-6EE54C3B9D11}"/>
    <cellStyle name="Linked Cell 12 2 4" xfId="28451" xr:uid="{61296815-46CD-41A6-A0B8-62355BB8CEAE}"/>
    <cellStyle name="Linked Cell 12 2 5" xfId="28452" xr:uid="{E852D701-02FF-48E8-BA7C-5C517E597492}"/>
    <cellStyle name="Linked Cell 12 2 6" xfId="28453" xr:uid="{44C63E6C-0287-47D6-A61B-76BDA044DDE0}"/>
    <cellStyle name="Linked Cell 12 3" xfId="17412" xr:uid="{8319AE89-A44A-40C6-8C86-845B4CCDEDD8}"/>
    <cellStyle name="Linked Cell 12 3 2" xfId="28454" xr:uid="{220D9AC5-C0F0-4AEA-99D2-ED1BCE298BF7}"/>
    <cellStyle name="Linked Cell 12 3 3" xfId="28455" xr:uid="{F7B8EFE0-85AD-4973-BA68-83BA0E22FCC7}"/>
    <cellStyle name="Linked Cell 12 3 4" xfId="28456" xr:uid="{5144FCBF-C8FD-4F3F-A1AC-70E6757D227E}"/>
    <cellStyle name="Linked Cell 12 3 5" xfId="28457" xr:uid="{2FFAA83E-DF3C-4A2D-B1AB-38CF28A176D8}"/>
    <cellStyle name="Linked Cell 12 4" xfId="28458" xr:uid="{A4DB528D-809D-4976-86D4-A79617F8633A}"/>
    <cellStyle name="Linked Cell 12 5" xfId="28459" xr:uid="{DE3B178F-B741-44A2-A366-365E603180E4}"/>
    <cellStyle name="Linked Cell 12 6" xfId="28460" xr:uid="{811DF7D9-A5BA-4CBA-AA8D-315AB9DACEFA}"/>
    <cellStyle name="Linked Cell 12 7" xfId="28461" xr:uid="{4E813F99-7E31-47D3-AD19-5BF990D1FC33}"/>
    <cellStyle name="Linked Cell 12 8" xfId="28462" xr:uid="{AC0A0EFA-24C6-4CEF-AE8F-966AF28B2B69}"/>
    <cellStyle name="Linked Cell 13" xfId="2678" xr:uid="{6AA753F1-607D-4DD2-B172-7A30E58E4506}"/>
    <cellStyle name="Linked Cell 13 2" xfId="8076" xr:uid="{BCE90C14-FBAA-4D1B-88FE-D941453A21CB}"/>
    <cellStyle name="Linked Cell 13 2 2" xfId="17415" xr:uid="{5057A6A0-B3E1-49A6-B2A8-9DA3B4EC546D}"/>
    <cellStyle name="Linked Cell 13 2 2 2" xfId="28463" xr:uid="{64A33365-A0CF-4716-BB24-076FCC497E7C}"/>
    <cellStyle name="Linked Cell 13 2 2 3" xfId="28464" xr:uid="{7974CC11-79FE-4CFA-961D-954064197177}"/>
    <cellStyle name="Linked Cell 13 2 2 4" xfId="28465" xr:uid="{63792B7B-3C9E-4371-BD02-16ED2672B5CF}"/>
    <cellStyle name="Linked Cell 13 2 2 5" xfId="28466" xr:uid="{CFE87367-C6AA-4916-917E-2C92CD1CF7BE}"/>
    <cellStyle name="Linked Cell 13 2 3" xfId="28467" xr:uid="{B1BF6464-6A22-4EF9-BAD7-142192E14A45}"/>
    <cellStyle name="Linked Cell 13 2 4" xfId="28468" xr:uid="{1603BDF9-5323-49B4-B641-72E1474EB280}"/>
    <cellStyle name="Linked Cell 13 2 5" xfId="28469" xr:uid="{63FF9A22-1058-484E-A86A-AA05F50C22EB}"/>
    <cellStyle name="Linked Cell 13 2 6" xfId="28470" xr:uid="{CB39E1AD-0552-4AB2-B8FE-D57E1D875CE3}"/>
    <cellStyle name="Linked Cell 13 3" xfId="17414" xr:uid="{FE6A014A-23DE-4237-944B-0A14D37D9999}"/>
    <cellStyle name="Linked Cell 13 3 2" xfId="28471" xr:uid="{AD89DEBD-DB3B-48DB-8D0B-F2323434FBC4}"/>
    <cellStyle name="Linked Cell 13 3 3" xfId="28472" xr:uid="{643A70CF-68D8-49BD-88A3-3F0D769AD0B4}"/>
    <cellStyle name="Linked Cell 13 3 4" xfId="28473" xr:uid="{7432E08B-8FFC-4F41-9D6F-8A2918880135}"/>
    <cellStyle name="Linked Cell 13 3 5" xfId="28474" xr:uid="{B84B1A01-5881-4ACD-AD6C-19ADEF450BD4}"/>
    <cellStyle name="Linked Cell 13 4" xfId="28475" xr:uid="{E9082D7B-5647-44FC-9EEE-A32EF8280F55}"/>
    <cellStyle name="Linked Cell 13 5" xfId="28476" xr:uid="{9FA16F83-B8B7-4CC3-B67D-8557A3AD03F6}"/>
    <cellStyle name="Linked Cell 13 6" xfId="28477" xr:uid="{F2F0A1DC-ACA5-4192-B3C2-43230ABE2602}"/>
    <cellStyle name="Linked Cell 13 7" xfId="28478" xr:uid="{84E8FC38-5BE0-40AC-9282-36042A416B2B}"/>
    <cellStyle name="Linked Cell 13 8" xfId="28479" xr:uid="{02D41A82-62FA-4B84-A662-5716823B1018}"/>
    <cellStyle name="Linked Cell 14" xfId="2679" xr:uid="{4E4583E1-D814-4388-91D8-AF8FD3318CEC}"/>
    <cellStyle name="Linked Cell 14 2" xfId="8075" xr:uid="{2286AE37-4A8F-4A50-8404-84719358847E}"/>
    <cellStyle name="Linked Cell 14 2 2" xfId="17417" xr:uid="{F64D38C5-3056-4FEF-ADE1-0507A2C47655}"/>
    <cellStyle name="Linked Cell 14 2 2 2" xfId="28480" xr:uid="{20047BEB-BEB8-4E71-8749-D855C8C4E0A2}"/>
    <cellStyle name="Linked Cell 14 2 2 3" xfId="28481" xr:uid="{D12956E0-010D-4819-99CC-2AD5C583AFCE}"/>
    <cellStyle name="Linked Cell 14 2 2 4" xfId="28482" xr:uid="{53E97310-33ED-4342-8EC6-691A1ED622FA}"/>
    <cellStyle name="Linked Cell 14 2 2 5" xfId="28483" xr:uid="{9037F5BE-4D9C-44F0-8665-E20C469E958E}"/>
    <cellStyle name="Linked Cell 14 2 3" xfId="28484" xr:uid="{BB276A76-2F03-4BA7-BB68-7760F580F802}"/>
    <cellStyle name="Linked Cell 14 2 4" xfId="28485" xr:uid="{5FFA3543-B848-4B1D-A977-5A1EF1887B15}"/>
    <cellStyle name="Linked Cell 14 2 5" xfId="28486" xr:uid="{52DA1CCC-9FFB-4215-B3EC-5DC5F885F4B9}"/>
    <cellStyle name="Linked Cell 14 2 6" xfId="28487" xr:uid="{E15524E5-4232-49F3-9795-F0178EC4E4C6}"/>
    <cellStyle name="Linked Cell 14 3" xfId="17416" xr:uid="{1EA2F64E-EE53-46C7-9340-09D0D29F34EB}"/>
    <cellStyle name="Linked Cell 14 3 2" xfId="28488" xr:uid="{95539A70-6A08-440A-8C5D-60D1C377D374}"/>
    <cellStyle name="Linked Cell 14 3 3" xfId="28489" xr:uid="{D5C705EB-5E86-42A3-AB08-C6A33749B845}"/>
    <cellStyle name="Linked Cell 14 3 4" xfId="28490" xr:uid="{1F9E5A17-0806-41AA-9334-7B80C50DD726}"/>
    <cellStyle name="Linked Cell 14 3 5" xfId="28491" xr:uid="{994B3A0F-E2BC-440D-B4E8-F3B548D9099D}"/>
    <cellStyle name="Linked Cell 14 4" xfId="28492" xr:uid="{837913CA-D1A4-447C-8310-C0E2EC919B02}"/>
    <cellStyle name="Linked Cell 14 5" xfId="28493" xr:uid="{3B07E28D-9117-4BA1-B85E-E2A81D8B160D}"/>
    <cellStyle name="Linked Cell 14 6" xfId="28494" xr:uid="{2CC558FE-A097-4B00-BC23-91684E4036B3}"/>
    <cellStyle name="Linked Cell 14 7" xfId="28495" xr:uid="{AA2273F1-8B54-4A05-A530-4D7D7CE50761}"/>
    <cellStyle name="Linked Cell 14 8" xfId="28496" xr:uid="{081311E0-86A1-4455-BE1B-FD8DC7BBAF83}"/>
    <cellStyle name="Linked Cell 15" xfId="2680" xr:uid="{6E42D075-CE16-41F3-848F-65CAA1E5BD0F}"/>
    <cellStyle name="Linked Cell 15 2" xfId="16473" xr:uid="{1C40EDA9-38BC-4CF1-B3EF-856B619C0C11}"/>
    <cellStyle name="Linked Cell 15 2 2" xfId="17419" xr:uid="{09F23C20-86DD-4E93-BE11-AB315A116E2C}"/>
    <cellStyle name="Linked Cell 15 2 2 2" xfId="28497" xr:uid="{4E8B598E-E9C5-4B85-9DC4-77EAF7492BCD}"/>
    <cellStyle name="Linked Cell 15 2 2 3" xfId="28498" xr:uid="{BDF7D3F5-827F-413F-82E9-D8A37CEB632E}"/>
    <cellStyle name="Linked Cell 15 2 2 4" xfId="28499" xr:uid="{10C149D7-8AD4-4887-B9D1-D30962D8DA6C}"/>
    <cellStyle name="Linked Cell 15 2 2 5" xfId="28500" xr:uid="{19DB3996-C5DF-4EAA-A560-3A1B52315E6E}"/>
    <cellStyle name="Linked Cell 15 2 3" xfId="28501" xr:uid="{FA8CD617-7143-4236-9744-CE6BC4272D06}"/>
    <cellStyle name="Linked Cell 15 2 4" xfId="28502" xr:uid="{D607CFCB-EFFA-44F7-90B8-A456579C4263}"/>
    <cellStyle name="Linked Cell 15 2 5" xfId="28503" xr:uid="{79FF2C30-FAE7-4874-B395-00E9CE947784}"/>
    <cellStyle name="Linked Cell 15 2 6" xfId="28504" xr:uid="{004237B1-E304-4BB4-A8DB-2BE4F446D75C}"/>
    <cellStyle name="Linked Cell 15 3" xfId="17418" xr:uid="{51593E7D-55A0-4958-B08E-86A3281B3CAD}"/>
    <cellStyle name="Linked Cell 15 3 2" xfId="28505" xr:uid="{4C0C32C4-122B-486A-A730-7DCC0972B3DD}"/>
    <cellStyle name="Linked Cell 15 3 3" xfId="28506" xr:uid="{CD695057-90FC-4173-966D-4B1BE77F67F6}"/>
    <cellStyle name="Linked Cell 15 3 4" xfId="28507" xr:uid="{888CF907-A0AF-4BEF-83FE-C85158CA2131}"/>
    <cellStyle name="Linked Cell 15 3 5" xfId="28508" xr:uid="{3712BDCB-04AD-470A-A701-8AD8FCF2F5C5}"/>
    <cellStyle name="Linked Cell 15 4" xfId="28509" xr:uid="{172FE1DC-E31E-47E1-B303-C4C123FC850A}"/>
    <cellStyle name="Linked Cell 15 5" xfId="28510" xr:uid="{BA3AB249-1C30-4BA1-A79B-BF31D528F98D}"/>
    <cellStyle name="Linked Cell 15 6" xfId="28511" xr:uid="{E697B087-D9DB-4E68-B42B-2E1FD9B6AD83}"/>
    <cellStyle name="Linked Cell 15 7" xfId="28512" xr:uid="{2B3FDA70-ADD5-4506-A407-3C1DF27A1029}"/>
    <cellStyle name="Linked Cell 16" xfId="2681" xr:uid="{AB0AA45B-A203-44C8-868A-3B8271E1AC47}"/>
    <cellStyle name="Linked Cell 16 2" xfId="16474" xr:uid="{19615408-E20E-412A-9E27-C7F5C3F814AF}"/>
    <cellStyle name="Linked Cell 16 2 2" xfId="17421" xr:uid="{A84BC028-98A5-4705-BAD2-E76EE0A86A1C}"/>
    <cellStyle name="Linked Cell 16 2 2 2" xfId="28513" xr:uid="{177F9DA0-A721-4794-ADD7-581030363E7B}"/>
    <cellStyle name="Linked Cell 16 2 2 3" xfId="28514" xr:uid="{CBD083C1-1897-4693-BF13-C45A0DF9FD8E}"/>
    <cellStyle name="Linked Cell 16 2 2 4" xfId="28515" xr:uid="{D33349FB-9D2F-4C2A-8ECF-0674AC467836}"/>
    <cellStyle name="Linked Cell 16 2 2 5" xfId="28516" xr:uid="{8AA2A67F-ECBB-49C2-916B-837B5DC99D7D}"/>
    <cellStyle name="Linked Cell 16 2 3" xfId="28517" xr:uid="{53E1DAFE-3681-49D4-B6BB-B622F09DBDB6}"/>
    <cellStyle name="Linked Cell 16 2 4" xfId="28518" xr:uid="{685442A8-3991-4CDA-880D-2BBB63FE1260}"/>
    <cellStyle name="Linked Cell 16 2 5" xfId="28519" xr:uid="{29B6F824-D871-47C6-80B0-995A0635BBB1}"/>
    <cellStyle name="Linked Cell 16 2 6" xfId="28520" xr:uid="{6B917412-D978-44EB-BCD6-47D9878970F0}"/>
    <cellStyle name="Linked Cell 16 3" xfId="17420" xr:uid="{5D3C6E13-7CF8-4BBB-AE7D-FC39D63BAFD9}"/>
    <cellStyle name="Linked Cell 16 3 2" xfId="28521" xr:uid="{7616BBCF-A3D6-4CB1-A65D-6CE2DEA5B869}"/>
    <cellStyle name="Linked Cell 16 3 3" xfId="28522" xr:uid="{AF5CA6D2-EF22-410F-9883-F58FECBA7C2E}"/>
    <cellStyle name="Linked Cell 16 3 4" xfId="28523" xr:uid="{FBF563F4-6BE1-439C-91C1-089120085956}"/>
    <cellStyle name="Linked Cell 16 3 5" xfId="28524" xr:uid="{03A2E14F-9E77-4C35-B2F8-5A590616885F}"/>
    <cellStyle name="Linked Cell 16 4" xfId="28525" xr:uid="{C88CAEA5-34EB-42CB-B4A6-F6DA31B5F32D}"/>
    <cellStyle name="Linked Cell 16 5" xfId="28526" xr:uid="{0A467B81-EA4E-44D2-9D89-3DB252459224}"/>
    <cellStyle name="Linked Cell 16 6" xfId="28527" xr:uid="{87EB7586-62B1-44C6-8D7E-192B2309BC7C}"/>
    <cellStyle name="Linked Cell 16 7" xfId="28528" xr:uid="{05D08798-3F39-4EB4-B3B4-B6A03D704893}"/>
    <cellStyle name="Linked Cell 17" xfId="2682" xr:uid="{0643B4DF-2760-4CA2-AEBA-3AF97E193E99}"/>
    <cellStyle name="Linked Cell 17 2" xfId="16475" xr:uid="{28549CD5-D341-4A2A-A669-774B52E54CFB}"/>
    <cellStyle name="Linked Cell 17 2 2" xfId="17423" xr:uid="{BF8FCEBC-DB89-452B-942C-7D60FAA47E10}"/>
    <cellStyle name="Linked Cell 17 2 2 2" xfId="28529" xr:uid="{993BBCB1-586C-463A-8610-C240EE217D21}"/>
    <cellStyle name="Linked Cell 17 2 2 3" xfId="28530" xr:uid="{BF416467-F11E-43EB-8C3F-379D33F19E8D}"/>
    <cellStyle name="Linked Cell 17 2 2 4" xfId="28531" xr:uid="{FA05A3CE-CD03-4095-AE64-1FE248F2C1DB}"/>
    <cellStyle name="Linked Cell 17 2 2 5" xfId="28532" xr:uid="{9F46736B-E47D-44C8-8922-44A0B90390F8}"/>
    <cellStyle name="Linked Cell 17 2 3" xfId="28533" xr:uid="{0AF02062-6FBC-4148-9083-26D11DB00CEC}"/>
    <cellStyle name="Linked Cell 17 2 4" xfId="28534" xr:uid="{725BD638-DD8C-45EA-B8C3-9662B174EFB3}"/>
    <cellStyle name="Linked Cell 17 2 5" xfId="28535" xr:uid="{F4FCF4E6-344C-40D0-8EAC-1EE0971757BF}"/>
    <cellStyle name="Linked Cell 17 2 6" xfId="28536" xr:uid="{A8077656-28D5-4DBC-BFB2-FFA783E73779}"/>
    <cellStyle name="Linked Cell 17 3" xfId="17422" xr:uid="{C9803961-4F37-45B2-B18A-68EE73DA26FC}"/>
    <cellStyle name="Linked Cell 17 3 2" xfId="28537" xr:uid="{1C7328FB-91D9-4959-A417-7B75B54861D1}"/>
    <cellStyle name="Linked Cell 17 3 3" xfId="28538" xr:uid="{3F5A1A34-9BBB-4845-8AC3-9092AB77F183}"/>
    <cellStyle name="Linked Cell 17 3 4" xfId="28539" xr:uid="{D120EE0C-6B98-4257-8748-EFD18C35F815}"/>
    <cellStyle name="Linked Cell 17 3 5" xfId="28540" xr:uid="{563CF4C8-B131-4F55-B54F-E3F0897AC59C}"/>
    <cellStyle name="Linked Cell 17 4" xfId="28541" xr:uid="{2F35AC8A-03D2-4C72-8361-DD47606A7CA9}"/>
    <cellStyle name="Linked Cell 17 5" xfId="28542" xr:uid="{6379C308-794B-4FCB-A9EF-63E1ECD17371}"/>
    <cellStyle name="Linked Cell 17 6" xfId="28543" xr:uid="{B0EF80A0-879B-4EE0-9575-4F9391AB3B45}"/>
    <cellStyle name="Linked Cell 17 7" xfId="28544" xr:uid="{D2790197-A1C5-4C76-8253-248617DA8860}"/>
    <cellStyle name="Linked Cell 18" xfId="2683" xr:uid="{305A172A-855A-47E5-B6AD-39810A0FFF69}"/>
    <cellStyle name="Linked Cell 18 2" xfId="16476" xr:uid="{64DDDD3B-6423-4C42-89F9-B6B5712F5677}"/>
    <cellStyle name="Linked Cell 18 2 2" xfId="17425" xr:uid="{F14FD5E8-D7EB-43CE-85C6-0F9653C64B4D}"/>
    <cellStyle name="Linked Cell 18 2 2 2" xfId="28545" xr:uid="{A474AEAC-CDCA-44AC-924D-09BF1743A24F}"/>
    <cellStyle name="Linked Cell 18 2 2 3" xfId="28546" xr:uid="{8F9F9093-6535-45DD-8C48-06F7E5C36875}"/>
    <cellStyle name="Linked Cell 18 2 2 4" xfId="28547" xr:uid="{4DF91403-E752-4F29-A752-D3F68DCD6D70}"/>
    <cellStyle name="Linked Cell 18 2 2 5" xfId="28548" xr:uid="{EB880764-F28E-4FEB-8C73-751840F3C923}"/>
    <cellStyle name="Linked Cell 18 2 3" xfId="28549" xr:uid="{0D5784B8-6E8E-4A47-9F42-0DAFB5B8E5A4}"/>
    <cellStyle name="Linked Cell 18 2 4" xfId="28550" xr:uid="{2537056C-FDF9-46C4-AC93-5F106C084AC2}"/>
    <cellStyle name="Linked Cell 18 2 5" xfId="28551" xr:uid="{A207C69D-5D51-40B2-974A-E24EB0CC56C7}"/>
    <cellStyle name="Linked Cell 18 2 6" xfId="28552" xr:uid="{A2BA9F58-4894-4A46-A382-F2B77AAA4EAD}"/>
    <cellStyle name="Linked Cell 18 3" xfId="17424" xr:uid="{B5E3E77A-65A6-4D71-A119-0B1C0B382787}"/>
    <cellStyle name="Linked Cell 18 3 2" xfId="28553" xr:uid="{647D106D-F322-4C3E-9B44-9DB1C506CFC7}"/>
    <cellStyle name="Linked Cell 18 3 3" xfId="28554" xr:uid="{905AF3FC-9F46-4339-9A4E-81EF398345DD}"/>
    <cellStyle name="Linked Cell 18 3 4" xfId="28555" xr:uid="{3F598D79-1F1F-4B16-9D74-7807F677F4DE}"/>
    <cellStyle name="Linked Cell 18 3 5" xfId="28556" xr:uid="{F400D149-BD76-4276-BB6A-FAF9704C0FCA}"/>
    <cellStyle name="Linked Cell 18 4" xfId="28557" xr:uid="{06DB41C1-AB76-4C0F-9162-F457E933B6C2}"/>
    <cellStyle name="Linked Cell 18 5" xfId="28558" xr:uid="{7FF4C200-7ACC-4968-B39E-ECB069C93ABE}"/>
    <cellStyle name="Linked Cell 18 6" xfId="28559" xr:uid="{96DEB363-F37A-4511-9F24-BF3383435D9C}"/>
    <cellStyle name="Linked Cell 18 7" xfId="28560" xr:uid="{D34AA495-D836-44E6-BE8F-F3B1FE436CDB}"/>
    <cellStyle name="Linked Cell 19" xfId="2684" xr:uid="{C5DC762B-64DD-4243-96E7-220526EF5F04}"/>
    <cellStyle name="Linked Cell 19 2" xfId="16477" xr:uid="{B370C8E8-92EC-464D-8CBD-A81AF8D0848E}"/>
    <cellStyle name="Linked Cell 19 2 2" xfId="17427" xr:uid="{810697F4-81A4-4E71-8114-B2789D04594C}"/>
    <cellStyle name="Linked Cell 19 2 2 2" xfId="28561" xr:uid="{C1797EAD-9DBA-4C5B-A4AF-93C9D8C5E41C}"/>
    <cellStyle name="Linked Cell 19 2 2 3" xfId="28562" xr:uid="{66EF65E6-68A3-443D-A9C6-9053CD32FF57}"/>
    <cellStyle name="Linked Cell 19 2 2 4" xfId="28563" xr:uid="{67058371-9810-452C-B0DA-6C7297DD38A2}"/>
    <cellStyle name="Linked Cell 19 2 2 5" xfId="28564" xr:uid="{6D990E61-80E8-4726-8B82-B690BA1BE023}"/>
    <cellStyle name="Linked Cell 19 2 3" xfId="28565" xr:uid="{90982575-68E1-49C4-8460-62C935E32E71}"/>
    <cellStyle name="Linked Cell 19 2 4" xfId="28566" xr:uid="{C4391957-CB06-416E-B104-76C4ED59B221}"/>
    <cellStyle name="Linked Cell 19 2 5" xfId="28567" xr:uid="{F34B3C1D-C073-4AA4-B0BC-391CF1C7B431}"/>
    <cellStyle name="Linked Cell 19 2 6" xfId="28568" xr:uid="{C24A0B1A-BC79-4C07-848A-ADB7381B7A2D}"/>
    <cellStyle name="Linked Cell 19 3" xfId="17426" xr:uid="{7EA4102C-B8C2-4431-88EE-0B83736A964F}"/>
    <cellStyle name="Linked Cell 19 3 2" xfId="28569" xr:uid="{FC74DDFA-6E94-4D60-9B8D-109CD224AD44}"/>
    <cellStyle name="Linked Cell 19 3 3" xfId="28570" xr:uid="{0AD841B4-172E-4911-8C36-EA4050CAF2FA}"/>
    <cellStyle name="Linked Cell 19 3 4" xfId="28571" xr:uid="{D71F05EF-FC31-4621-864E-9FA7DD04779E}"/>
    <cellStyle name="Linked Cell 19 3 5" xfId="28572" xr:uid="{8CC34913-00F0-4FE2-963B-B30172B4F1DA}"/>
    <cellStyle name="Linked Cell 19 4" xfId="28573" xr:uid="{5A936BA2-0A0C-4DAF-93C6-A795ABC94B63}"/>
    <cellStyle name="Linked Cell 19 5" xfId="28574" xr:uid="{A1AB14C6-B13D-4444-96A2-BD7B1C6835FF}"/>
    <cellStyle name="Linked Cell 19 6" xfId="28575" xr:uid="{F08856C6-E05E-4ABF-9073-2D8ECC1003BE}"/>
    <cellStyle name="Linked Cell 19 7" xfId="28576" xr:uid="{6EA78707-AEA4-4A11-B336-6FAA22D568B0}"/>
    <cellStyle name="Linked Cell 2" xfId="2685" xr:uid="{ABADB3A2-D6E1-4FCE-87CE-DD74778F1C8C}"/>
    <cellStyle name="Linked Cell 2 10" xfId="8074" xr:uid="{2A8085B0-F620-4EB0-85E0-F9898C78D264}"/>
    <cellStyle name="Linked Cell 2 10 2" xfId="28577" xr:uid="{E40AB99B-118E-4B76-8227-4CF6264CCD39}"/>
    <cellStyle name="Linked Cell 2 10 3" xfId="28578" xr:uid="{0543B4A0-53C0-422B-95FE-FFD9FED5181D}"/>
    <cellStyle name="Linked Cell 2 10 4" xfId="28579" xr:uid="{FD7030BE-54FB-4F75-A0AB-8178203FC71A}"/>
    <cellStyle name="Linked Cell 2 10 5" xfId="28580" xr:uid="{139D89AF-5F41-4DB3-9AFA-BF8BB50B87F7}"/>
    <cellStyle name="Linked Cell 2 10 6" xfId="17428" xr:uid="{28B4201D-5115-4351-AD45-52B78D39224D}"/>
    <cellStyle name="Linked Cell 2 11" xfId="28581" xr:uid="{71FCF0F7-E9B5-49CF-9A56-BDEFBE650854}"/>
    <cellStyle name="Linked Cell 2 12" xfId="28582" xr:uid="{5B663212-916F-46BF-87DC-CC3D330DB326}"/>
    <cellStyle name="Linked Cell 2 13" xfId="28583" xr:uid="{92765095-4BFC-4CED-A3E4-3DC0DD77E9A2}"/>
    <cellStyle name="Linked Cell 2 14" xfId="28584" xr:uid="{3AB8DB5C-E9C7-4339-A057-E4C962EA9B3A}"/>
    <cellStyle name="Linked Cell 2 15" xfId="28585" xr:uid="{F9C852DA-1235-4B34-AA01-002A51290613}"/>
    <cellStyle name="Linked Cell 2 16" xfId="28586" xr:uid="{5E2A916D-F75F-4E41-A6B5-EFC27EE83C83}"/>
    <cellStyle name="Linked Cell 2 2" xfId="2686" xr:uid="{6D217861-82E6-4930-82F0-32AA3DFE8508}"/>
    <cellStyle name="Linked Cell 2 2 2" xfId="17429" xr:uid="{98A3FF62-6A8F-4A5B-A298-0E3FF012D711}"/>
    <cellStyle name="Linked Cell 2 2 2 2" xfId="28587" xr:uid="{3D3B637C-BF3E-4132-B115-A4CB598022B6}"/>
    <cellStyle name="Linked Cell 2 2 2 3" xfId="28588" xr:uid="{A25A4AA0-1F3A-42C2-B8CE-4629CC4EB2F6}"/>
    <cellStyle name="Linked Cell 2 2 2 4" xfId="28589" xr:uid="{41D3E5AA-5561-4D75-A982-5326E73FBA25}"/>
    <cellStyle name="Linked Cell 2 2 2 5" xfId="28590" xr:uid="{B6F16CE3-1917-48F4-9B4D-6BA2521AE351}"/>
    <cellStyle name="Linked Cell 2 2 3" xfId="28591" xr:uid="{33E61EF0-E714-447F-9356-28F84A7C9113}"/>
    <cellStyle name="Linked Cell 2 2 4" xfId="28592" xr:uid="{66CE3FB9-D7C7-457A-9063-A2DCADE4691D}"/>
    <cellStyle name="Linked Cell 2 2 5" xfId="28593" xr:uid="{8AFFA531-5D70-4C38-9288-A2B785749F6A}"/>
    <cellStyle name="Linked Cell 2 2 6" xfId="28594" xr:uid="{3BBC7524-5529-4DA2-81E5-BAB3AA1EDE31}"/>
    <cellStyle name="Linked Cell 2 2 7" xfId="28595" xr:uid="{7D152B26-392C-44FA-9F69-C1BD1BAFC4D0}"/>
    <cellStyle name="Linked Cell 2 3" xfId="2687" xr:uid="{03C63D6B-DA49-467B-849B-C4D873199256}"/>
    <cellStyle name="Linked Cell 2 3 2" xfId="17430" xr:uid="{2BB7F31F-5498-4B0B-82AD-498E25DA32FB}"/>
    <cellStyle name="Linked Cell 2 3 2 2" xfId="28596" xr:uid="{1822FAA8-FC0B-42A2-8CD0-B59AF392692C}"/>
    <cellStyle name="Linked Cell 2 3 2 3" xfId="28597" xr:uid="{E53C0F3C-3BBD-4F0C-9292-E46E5BD18DA8}"/>
    <cellStyle name="Linked Cell 2 3 2 4" xfId="28598" xr:uid="{56F1D951-D1DD-4123-87F8-5933F7DDF485}"/>
    <cellStyle name="Linked Cell 2 3 2 5" xfId="28599" xr:uid="{B09A70C0-AB60-41F2-B834-CEE51A0536DA}"/>
    <cellStyle name="Linked Cell 2 3 3" xfId="28600" xr:uid="{2B501696-A9C6-4CCF-9CA3-8E935DF8BE87}"/>
    <cellStyle name="Linked Cell 2 3 4" xfId="28601" xr:uid="{90508123-6484-42BF-841B-23B3B74C6EBE}"/>
    <cellStyle name="Linked Cell 2 3 5" xfId="28602" xr:uid="{630BF846-4EAD-4E72-A6ED-808AC593A483}"/>
    <cellStyle name="Linked Cell 2 3 6" xfId="28603" xr:uid="{822DACFA-41C3-4101-84D9-B16004AB0544}"/>
    <cellStyle name="Linked Cell 2 3 7" xfId="28604" xr:uid="{8AFCE105-9B0C-4985-BFE0-55D8243CDB54}"/>
    <cellStyle name="Linked Cell 2 4" xfId="2688" xr:uid="{54494D17-C12D-4D75-A053-C12A98F0AD5D}"/>
    <cellStyle name="Linked Cell 2 4 2" xfId="17431" xr:uid="{51662E4D-EEDA-438D-828C-DF84BD1DB2A7}"/>
    <cellStyle name="Linked Cell 2 4 2 2" xfId="28605" xr:uid="{AE8E72CC-9047-42A6-87BF-5C8A3BC1579B}"/>
    <cellStyle name="Linked Cell 2 4 2 3" xfId="28606" xr:uid="{25371110-9090-4297-B0A8-8FBD1EE76123}"/>
    <cellStyle name="Linked Cell 2 4 2 4" xfId="28607" xr:uid="{A66DB8AB-BBC6-46E6-BF40-82F0FEB4C4A7}"/>
    <cellStyle name="Linked Cell 2 4 2 5" xfId="28608" xr:uid="{4A08ABE0-112B-4869-8D33-14D7B81007AF}"/>
    <cellStyle name="Linked Cell 2 4 3" xfId="28609" xr:uid="{42AA8603-1060-48D7-97BF-99E3D0B799ED}"/>
    <cellStyle name="Linked Cell 2 4 4" xfId="28610" xr:uid="{F986529B-1A2A-43CD-9799-C81FE73E1436}"/>
    <cellStyle name="Linked Cell 2 4 5" xfId="28611" xr:uid="{987EA49D-4241-4E7E-A8EF-6407C1CE9793}"/>
    <cellStyle name="Linked Cell 2 4 6" xfId="28612" xr:uid="{46A567DA-215C-455D-BE70-48D413A079D2}"/>
    <cellStyle name="Linked Cell 2 4 7" xfId="28613" xr:uid="{6DE728E1-D11F-4469-8924-F543B815DD89}"/>
    <cellStyle name="Linked Cell 2 5" xfId="2689" xr:uid="{292B60F9-2AE3-4015-9087-FE19B65066A8}"/>
    <cellStyle name="Linked Cell 2 5 2" xfId="17432" xr:uid="{E6793ADC-1583-4FD9-89CC-E5EBD44A86FA}"/>
    <cellStyle name="Linked Cell 2 5 2 2" xfId="28614" xr:uid="{CCABFA50-0048-407D-ABD7-D1BFF130B375}"/>
    <cellStyle name="Linked Cell 2 5 2 3" xfId="28615" xr:uid="{E6C60B66-6BD2-4104-9FF7-7337312C477C}"/>
    <cellStyle name="Linked Cell 2 5 2 4" xfId="28616" xr:uid="{3741E966-34FF-4940-A1A2-C9AB057C970A}"/>
    <cellStyle name="Linked Cell 2 5 2 5" xfId="28617" xr:uid="{96A5F3BD-4B4C-4085-9FC1-FE0302BA2B3D}"/>
    <cellStyle name="Linked Cell 2 5 3" xfId="28618" xr:uid="{6FDE25DE-783D-4E4D-9DCC-FD63B634AE02}"/>
    <cellStyle name="Linked Cell 2 5 4" xfId="28619" xr:uid="{C6A1405C-D3B0-441D-AE14-93616D30CF1B}"/>
    <cellStyle name="Linked Cell 2 5 5" xfId="28620" xr:uid="{EC9B5138-2AB6-4818-8148-1088CAC7F563}"/>
    <cellStyle name="Linked Cell 2 5 6" xfId="28621" xr:uid="{08D0B7FF-2003-4184-8962-A6A6BE2E7E18}"/>
    <cellStyle name="Linked Cell 2 5 7" xfId="28622" xr:uid="{2FF5FE7A-4DAB-44EB-A84A-BAEBD7F0CBFC}"/>
    <cellStyle name="Linked Cell 2 6" xfId="2690" xr:uid="{27FB2D39-1861-49C6-AEBA-1AE47BA6896B}"/>
    <cellStyle name="Linked Cell 2 6 2" xfId="17433" xr:uid="{82918018-32A2-4982-B0D4-CAF1805466A6}"/>
    <cellStyle name="Linked Cell 2 6 2 2" xfId="28623" xr:uid="{7B0DC87B-6D42-4444-A2B0-09892B962337}"/>
    <cellStyle name="Linked Cell 2 6 2 3" xfId="28624" xr:uid="{67A5C7CB-6E17-46AE-9F72-6BF50F701579}"/>
    <cellStyle name="Linked Cell 2 6 2 4" xfId="28625" xr:uid="{DA9AFB9F-669F-41B5-8459-752054F4C964}"/>
    <cellStyle name="Linked Cell 2 6 2 5" xfId="28626" xr:uid="{1CFF0834-DB6C-4238-9FC6-FD0F5594A305}"/>
    <cellStyle name="Linked Cell 2 6 3" xfId="28627" xr:uid="{A132184D-A618-4154-A000-92559C83CFA4}"/>
    <cellStyle name="Linked Cell 2 6 4" xfId="28628" xr:uid="{ABB494C8-05E2-4511-8BA7-3534D5CFF830}"/>
    <cellStyle name="Linked Cell 2 6 5" xfId="28629" xr:uid="{43F0D23C-28D5-4C92-BA5F-1BDF4656F971}"/>
    <cellStyle name="Linked Cell 2 6 6" xfId="28630" xr:uid="{4652C0C8-965B-495D-AF80-F2D27B481540}"/>
    <cellStyle name="Linked Cell 2 6 7" xfId="28631" xr:uid="{4D91CFBE-7ED1-4335-8056-1A56870306EC}"/>
    <cellStyle name="Linked Cell 2 7" xfId="2691" xr:uid="{8DA52C79-8D53-4807-8087-721468D8EBF4}"/>
    <cellStyle name="Linked Cell 2 7 2" xfId="17434" xr:uid="{A1315CD8-42E1-4187-9A1E-39A0FD8A5D19}"/>
    <cellStyle name="Linked Cell 2 7 2 2" xfId="28632" xr:uid="{6C772506-562B-4F6D-96B7-CDA26F204C9C}"/>
    <cellStyle name="Linked Cell 2 7 2 3" xfId="28633" xr:uid="{1CBDEB06-08CD-4474-ACC3-B62A5A1BA3EE}"/>
    <cellStyle name="Linked Cell 2 7 2 4" xfId="28634" xr:uid="{8B9DABC2-F53B-482B-9C7F-C74F92FB96DE}"/>
    <cellStyle name="Linked Cell 2 7 2 5" xfId="28635" xr:uid="{4C7DA6F3-8624-487D-9CAB-DA1DE7F745DB}"/>
    <cellStyle name="Linked Cell 2 7 3" xfId="28636" xr:uid="{68A6C2D6-CC31-419E-B6E3-5E44C270547C}"/>
    <cellStyle name="Linked Cell 2 7 4" xfId="28637" xr:uid="{8522C6AB-FA61-43EB-A12E-8C842A42E553}"/>
    <cellStyle name="Linked Cell 2 7 5" xfId="28638" xr:uid="{052BD817-5492-4889-9C55-AD0742E3054B}"/>
    <cellStyle name="Linked Cell 2 7 6" xfId="28639" xr:uid="{FAC38CAC-541D-4EBC-B10F-DD913281A9C1}"/>
    <cellStyle name="Linked Cell 2 7 7" xfId="28640" xr:uid="{F8520A05-A805-4995-9C25-9CE80BD71944}"/>
    <cellStyle name="Linked Cell 2 8" xfId="2692" xr:uid="{785CB137-4ABA-4220-AB5A-8198761277AE}"/>
    <cellStyle name="Linked Cell 2 8 2" xfId="17435" xr:uid="{194BBC92-95A6-498C-9F01-70E15C9B4BD8}"/>
    <cellStyle name="Linked Cell 2 8 2 2" xfId="28641" xr:uid="{79ECB5A0-D002-4AFB-9072-C927FE3EBD93}"/>
    <cellStyle name="Linked Cell 2 8 2 3" xfId="28642" xr:uid="{94681497-289E-46CC-BB1B-8D3B10C6E6A7}"/>
    <cellStyle name="Linked Cell 2 8 2 4" xfId="28643" xr:uid="{97F57F4C-2EE1-4B8A-B6B4-9F94F732BC7E}"/>
    <cellStyle name="Linked Cell 2 8 2 5" xfId="28644" xr:uid="{AE3AE5DC-9504-4019-9F7D-0AE476EA7808}"/>
    <cellStyle name="Linked Cell 2 8 3" xfId="28645" xr:uid="{6B7BCD8C-35D8-4552-9A01-BBACB77AE425}"/>
    <cellStyle name="Linked Cell 2 8 4" xfId="28646" xr:uid="{80D06510-17E8-45D3-95A2-1C6BA9045470}"/>
    <cellStyle name="Linked Cell 2 8 5" xfId="28647" xr:uid="{343DE59F-8AA0-4DFA-BB07-B0BA3CC85A08}"/>
    <cellStyle name="Linked Cell 2 8 6" xfId="28648" xr:uid="{FD82A26A-6050-44EA-9074-6FE9945E1806}"/>
    <cellStyle name="Linked Cell 2 8 7" xfId="28649" xr:uid="{358BB93F-A4AF-4166-93F2-7C73067DA049}"/>
    <cellStyle name="Linked Cell 2 9" xfId="2693" xr:uid="{A358A16D-E077-4E34-8CC2-04B9F12160AD}"/>
    <cellStyle name="Linked Cell 2 9 2" xfId="17436" xr:uid="{D3C12420-31C4-400B-AF61-B65045980C98}"/>
    <cellStyle name="Linked Cell 2 9 2 2" xfId="28650" xr:uid="{44791B72-EE3B-403A-952F-2FF726380041}"/>
    <cellStyle name="Linked Cell 2 9 2 3" xfId="28651" xr:uid="{48D5DA1D-5C01-47DE-92DF-D581DFA2EE5B}"/>
    <cellStyle name="Linked Cell 2 9 2 4" xfId="28652" xr:uid="{FD8EF893-A3B5-4A99-8353-0F08F2E025FE}"/>
    <cellStyle name="Linked Cell 2 9 2 5" xfId="28653" xr:uid="{2105C19C-2E10-49EF-B443-B61C5A339581}"/>
    <cellStyle name="Linked Cell 2 9 3" xfId="28654" xr:uid="{AE48727E-04B5-4286-AE09-7B1262D69EA9}"/>
    <cellStyle name="Linked Cell 2 9 4" xfId="28655" xr:uid="{B00D887B-3CDA-49A6-9810-745E2229533A}"/>
    <cellStyle name="Linked Cell 2 9 5" xfId="28656" xr:uid="{710AAE0E-7F95-486F-8AFA-1BFC58CB01D5}"/>
    <cellStyle name="Linked Cell 2 9 6" xfId="28657" xr:uid="{41C65353-E047-456C-9038-EA3D2E64FB02}"/>
    <cellStyle name="Linked Cell 2 9 7" xfId="28658" xr:uid="{3083A2FD-0A6C-460F-9E8A-7AB80476E75F}"/>
    <cellStyle name="Linked Cell 2_IND_UC" xfId="15248" xr:uid="{CB42633F-ECCB-4257-A401-7FA954956138}"/>
    <cellStyle name="Linked Cell 20" xfId="2694" xr:uid="{A184A925-86B4-4AD9-8995-AC84101D3E6E}"/>
    <cellStyle name="Linked Cell 20 2" xfId="16478" xr:uid="{1DF39C0A-D4E1-407A-8526-DCAFF929662E}"/>
    <cellStyle name="Linked Cell 20 2 2" xfId="17438" xr:uid="{A29780EF-2CFD-4994-8D86-08FC9F608A18}"/>
    <cellStyle name="Linked Cell 20 2 2 2" xfId="28659" xr:uid="{91ED711B-E5F5-4707-9698-14948EC5B48F}"/>
    <cellStyle name="Linked Cell 20 2 2 3" xfId="28660" xr:uid="{65BAD6B9-B6D8-4399-8F37-C7FB72478984}"/>
    <cellStyle name="Linked Cell 20 2 2 4" xfId="28661" xr:uid="{4576BB0E-D0FE-433B-8F82-6FBA10305C76}"/>
    <cellStyle name="Linked Cell 20 2 2 5" xfId="28662" xr:uid="{F876205F-3A0D-4B1D-93A1-64CE4C5CD3B1}"/>
    <cellStyle name="Linked Cell 20 2 3" xfId="28663" xr:uid="{C93CC206-6F97-4B5A-94E4-1C891E4019BC}"/>
    <cellStyle name="Linked Cell 20 2 4" xfId="28664" xr:uid="{96CE0739-9E12-43F0-AD2E-E176A7259139}"/>
    <cellStyle name="Linked Cell 20 2 5" xfId="28665" xr:uid="{1437AAD9-2F3E-4D3C-B3E4-0AD90ABC96E1}"/>
    <cellStyle name="Linked Cell 20 2 6" xfId="28666" xr:uid="{CAD5C821-69B4-482B-9F7B-F2A0F8E88A48}"/>
    <cellStyle name="Linked Cell 20 3" xfId="17437" xr:uid="{F5D91CD8-8BE9-41DB-822E-A7412D121A75}"/>
    <cellStyle name="Linked Cell 20 3 2" xfId="28667" xr:uid="{ED969C79-0894-4212-AF94-06D89B9F4EBA}"/>
    <cellStyle name="Linked Cell 20 3 3" xfId="28668" xr:uid="{D56A0D1D-6580-499D-863A-23F98CB6C739}"/>
    <cellStyle name="Linked Cell 20 3 4" xfId="28669" xr:uid="{12FD4262-0F0F-4F32-87CE-840964DE7717}"/>
    <cellStyle name="Linked Cell 20 3 5" xfId="28670" xr:uid="{149310FB-7B57-43D4-B625-A7146C799CF9}"/>
    <cellStyle name="Linked Cell 20 4" xfId="28671" xr:uid="{74E61827-832C-41F2-8401-42FE3E690F91}"/>
    <cellStyle name="Linked Cell 20 5" xfId="28672" xr:uid="{624F694E-0AA9-4453-A20B-7CF65937527E}"/>
    <cellStyle name="Linked Cell 20 6" xfId="28673" xr:uid="{018573A6-73D6-4334-A932-58670FBE30C4}"/>
    <cellStyle name="Linked Cell 20 7" xfId="28674" xr:uid="{95BCA328-E7BC-4E24-BCB9-3F9A771C16AC}"/>
    <cellStyle name="Linked Cell 21" xfId="16479" xr:uid="{F4D051B7-7F71-48FC-859D-9A5022DFBF83}"/>
    <cellStyle name="Linked Cell 21 2" xfId="17439" xr:uid="{593B4CBB-ADB4-4B2D-90E2-F1FB70FAC6D4}"/>
    <cellStyle name="Linked Cell 21 2 2" xfId="28675" xr:uid="{AE7F3F6D-D2FD-4DF1-9B16-D572A522A173}"/>
    <cellStyle name="Linked Cell 21 2 3" xfId="28676" xr:uid="{373F2A9D-B942-4F12-A404-8B95A5627C90}"/>
    <cellStyle name="Linked Cell 21 2 4" xfId="28677" xr:uid="{E297285A-CA81-4F9B-8451-C966850DFDD5}"/>
    <cellStyle name="Linked Cell 21 2 5" xfId="28678" xr:uid="{DE14F1B9-A00B-4D7B-8D42-4B37C46C1F61}"/>
    <cellStyle name="Linked Cell 21 3" xfId="28679" xr:uid="{6B6E67DA-6B21-4352-8199-D65AFF013252}"/>
    <cellStyle name="Linked Cell 21 4" xfId="28680" xr:uid="{2C870732-F977-48D0-B84C-6751E56CEA3B}"/>
    <cellStyle name="Linked Cell 21 5" xfId="28681" xr:uid="{2EA4BF08-5282-40B8-B9E0-7EA945363B0E}"/>
    <cellStyle name="Linked Cell 21 6" xfId="28682" xr:uid="{622357AC-4B8A-42AA-909C-D83E341BE163}"/>
    <cellStyle name="Linked Cell 22" xfId="15247" xr:uid="{525CF92D-7407-4F83-B319-020C14EAB76A}"/>
    <cellStyle name="Linked Cell 22 2" xfId="28684" xr:uid="{363342C0-B878-4EDF-9E67-426D9E98A6AD}"/>
    <cellStyle name="Linked Cell 22 3" xfId="28683" xr:uid="{7F1267A4-AAF1-43B3-A868-2A401ED33EFC}"/>
    <cellStyle name="Linked Cell 23" xfId="28685" xr:uid="{8E38E1F2-B28E-458F-9847-3E9D2C0910D0}"/>
    <cellStyle name="Linked Cell 24" xfId="28686" xr:uid="{4C66CD5F-C91B-4E90-8526-069DFA527CCE}"/>
    <cellStyle name="Linked Cell 25" xfId="28687" xr:uid="{DF0F0346-E51E-41EA-977F-E65649457DDD}"/>
    <cellStyle name="Linked Cell 3" xfId="2695" xr:uid="{DB12AF0F-E538-40CA-9C2D-909A58CB42EB}"/>
    <cellStyle name="Linked Cell 3 10" xfId="2696" xr:uid="{A50043F3-FC75-483E-BDD2-D1C66773EBBB}"/>
    <cellStyle name="Linked Cell 3 10 2" xfId="17441" xr:uid="{12105D8D-9BC9-46CD-8704-A749CEDE29F1}"/>
    <cellStyle name="Linked Cell 3 10 2 2" xfId="28688" xr:uid="{2EC63CC7-F833-4521-8684-EB7D593AF55E}"/>
    <cellStyle name="Linked Cell 3 10 2 3" xfId="28689" xr:uid="{E944D868-7D56-4D13-B83E-26377C3460F4}"/>
    <cellStyle name="Linked Cell 3 10 2 4" xfId="28690" xr:uid="{AF40E96E-6B03-444E-B03E-BA3E2157AEB6}"/>
    <cellStyle name="Linked Cell 3 10 2 5" xfId="28691" xr:uid="{637E0996-00D3-45BB-A8DA-6AC52D8D820F}"/>
    <cellStyle name="Linked Cell 3 10 3" xfId="28692" xr:uid="{402AA81F-8321-40E9-8B38-16D5D91C1939}"/>
    <cellStyle name="Linked Cell 3 10 4" xfId="28693" xr:uid="{0FA46EA0-65FC-436E-BCB9-F2B0EC9AEF43}"/>
    <cellStyle name="Linked Cell 3 10 5" xfId="28694" xr:uid="{E592BDBD-80BA-408C-AEDA-B62FF544C7BE}"/>
    <cellStyle name="Linked Cell 3 10 6" xfId="28695" xr:uid="{7BBBC517-9AFF-4E63-AE96-07D7F1C7E443}"/>
    <cellStyle name="Linked Cell 3 11" xfId="2697" xr:uid="{D9F8EE53-5B9A-4D26-B979-A0F499092E51}"/>
    <cellStyle name="Linked Cell 3 11 2" xfId="17442" xr:uid="{EE54A0F0-DD26-407B-88AF-1087BC4DD704}"/>
    <cellStyle name="Linked Cell 3 11 2 2" xfId="28696" xr:uid="{913B2730-5279-4CD4-867A-545D207FA2B9}"/>
    <cellStyle name="Linked Cell 3 11 2 3" xfId="28697" xr:uid="{6261E019-8650-4E7C-9979-0F9018BBD9B6}"/>
    <cellStyle name="Linked Cell 3 11 2 4" xfId="28698" xr:uid="{BD8B0704-083E-41FE-A5A5-B4B81E046686}"/>
    <cellStyle name="Linked Cell 3 11 2 5" xfId="28699" xr:uid="{B846DCC2-E6CA-4048-92CF-F4FCCB2765BC}"/>
    <cellStyle name="Linked Cell 3 11 3" xfId="28700" xr:uid="{A633FFD1-ECF5-446E-8651-0332D151729F}"/>
    <cellStyle name="Linked Cell 3 11 4" xfId="28701" xr:uid="{AB5AB590-9E73-4048-AB71-CFE5F5E622C9}"/>
    <cellStyle name="Linked Cell 3 11 5" xfId="28702" xr:uid="{BF3D1A89-2BDB-43A2-949B-F3CDFA61965A}"/>
    <cellStyle name="Linked Cell 3 11 6" xfId="28703" xr:uid="{FC040697-6069-4772-B716-B2C7858A7A73}"/>
    <cellStyle name="Linked Cell 3 12" xfId="2698" xr:uid="{853A9CFF-DB83-4A09-A006-9713051D4249}"/>
    <cellStyle name="Linked Cell 3 12 2" xfId="17443" xr:uid="{4ACCE06B-AAB3-401F-B617-344B699A4653}"/>
    <cellStyle name="Linked Cell 3 12 2 2" xfId="28704" xr:uid="{0226FE8A-2D8C-4850-8401-2EF3C02F5F14}"/>
    <cellStyle name="Linked Cell 3 12 2 3" xfId="28705" xr:uid="{6A766192-6885-4384-BAE3-E13B79984FA7}"/>
    <cellStyle name="Linked Cell 3 12 2 4" xfId="28706" xr:uid="{BE791B15-9E16-4B33-995C-D31B7F706FB8}"/>
    <cellStyle name="Linked Cell 3 12 2 5" xfId="28707" xr:uid="{1AF91424-604B-45E6-B34B-462069192EA5}"/>
    <cellStyle name="Linked Cell 3 12 3" xfId="28708" xr:uid="{78EA3590-3E15-45A4-94EE-6E14EC913776}"/>
    <cellStyle name="Linked Cell 3 12 4" xfId="28709" xr:uid="{CADD139D-76FB-48CC-A2BF-C468D901F292}"/>
    <cellStyle name="Linked Cell 3 12 5" xfId="28710" xr:uid="{2665B756-8072-421A-AAE4-B9E6A552EF87}"/>
    <cellStyle name="Linked Cell 3 12 6" xfId="28711" xr:uid="{BB8ABC2B-F811-4629-805A-2AFD51E63A97}"/>
    <cellStyle name="Linked Cell 3 13" xfId="2699" xr:uid="{CF467F86-87C3-42A9-B432-59F3684C3020}"/>
    <cellStyle name="Linked Cell 3 13 2" xfId="17444" xr:uid="{E79E7B59-EFD0-416B-9040-A289A2E2FB04}"/>
    <cellStyle name="Linked Cell 3 13 2 2" xfId="28712" xr:uid="{B45CCE6C-04EB-43E8-9DBE-236B724264F1}"/>
    <cellStyle name="Linked Cell 3 13 2 3" xfId="28713" xr:uid="{89D4373E-5851-4CDD-BD44-1B5A254B5F5C}"/>
    <cellStyle name="Linked Cell 3 13 2 4" xfId="28714" xr:uid="{B868F310-0AAD-4E4F-AA2B-5FE35C91FBB3}"/>
    <cellStyle name="Linked Cell 3 13 2 5" xfId="28715" xr:uid="{3ACEF85D-54FD-45B6-9B6A-216747AEEC59}"/>
    <cellStyle name="Linked Cell 3 13 3" xfId="28716" xr:uid="{66ED0A43-C97A-44F1-BB5D-4070FC68F18A}"/>
    <cellStyle name="Linked Cell 3 13 4" xfId="28717" xr:uid="{B5733EA5-FD58-48BA-AC70-464D0B5EDA90}"/>
    <cellStyle name="Linked Cell 3 13 5" xfId="28718" xr:uid="{9C80818D-4F48-45B2-A406-D4D34665A14E}"/>
    <cellStyle name="Linked Cell 3 13 6" xfId="28719" xr:uid="{7B286B1F-A051-4F0F-90B9-F8C29D0D6918}"/>
    <cellStyle name="Linked Cell 3 14" xfId="2700" xr:uid="{F8C4BB30-D19F-4154-827D-2CE646BDA551}"/>
    <cellStyle name="Linked Cell 3 14 2" xfId="17445" xr:uid="{67612708-19AB-4914-97D1-BD7B5641E0F3}"/>
    <cellStyle name="Linked Cell 3 14 2 2" xfId="28720" xr:uid="{675667D4-1A0A-497B-8ACE-1E3B4B23D92F}"/>
    <cellStyle name="Linked Cell 3 14 2 3" xfId="28721" xr:uid="{AD0F22A3-B684-4672-ADF2-9455ACF8A6A7}"/>
    <cellStyle name="Linked Cell 3 14 2 4" xfId="28722" xr:uid="{2C7A16C0-D7FD-49FA-8874-124D1FA0845E}"/>
    <cellStyle name="Linked Cell 3 14 2 5" xfId="28723" xr:uid="{75B644FF-7245-4FAB-B1B4-47D0CD6C84C0}"/>
    <cellStyle name="Linked Cell 3 14 3" xfId="28724" xr:uid="{3F9C4747-8B84-41B7-A905-19EEF479E461}"/>
    <cellStyle name="Linked Cell 3 14 4" xfId="28725" xr:uid="{A40F1FE9-2FA4-40CA-8E84-D60B2A31F9FC}"/>
    <cellStyle name="Linked Cell 3 14 5" xfId="28726" xr:uid="{3E57F6A3-E464-47FC-AE35-206B9AE6A704}"/>
    <cellStyle name="Linked Cell 3 14 6" xfId="28727" xr:uid="{CF17BCA7-8320-430F-A3F6-13B6616C56CD}"/>
    <cellStyle name="Linked Cell 3 15" xfId="16480" xr:uid="{952B7842-F40D-44D5-99A7-204369391071}"/>
    <cellStyle name="Linked Cell 3 15 2" xfId="17446" xr:uid="{2119628A-7EA8-4E27-A033-978D25F62AB0}"/>
    <cellStyle name="Linked Cell 3 15 2 2" xfId="28728" xr:uid="{FFC606F2-33BD-4BC2-B83F-F64A8CAC7A75}"/>
    <cellStyle name="Linked Cell 3 15 2 3" xfId="28729" xr:uid="{0F33C87C-5F79-454B-B429-820DBB8C9916}"/>
    <cellStyle name="Linked Cell 3 15 2 4" xfId="28730" xr:uid="{C7E56776-2011-4AB2-AC7F-721885B6A5B7}"/>
    <cellStyle name="Linked Cell 3 15 2 5" xfId="28731" xr:uid="{7789AF18-E383-409F-925F-C73166EB4F54}"/>
    <cellStyle name="Linked Cell 3 15 3" xfId="28732" xr:uid="{E2318205-7494-4D1A-8E6A-8B9FC24C0CC9}"/>
    <cellStyle name="Linked Cell 3 15 4" xfId="28733" xr:uid="{EFB46964-73B7-4396-A290-979C18ECA256}"/>
    <cellStyle name="Linked Cell 3 15 5" xfId="28734" xr:uid="{B4837DF1-17CF-42BC-8751-8C6FDF62FE5F}"/>
    <cellStyle name="Linked Cell 3 15 6" xfId="28735" xr:uid="{68C64D84-1BB2-4212-B8D8-08723F2F9E9F}"/>
    <cellStyle name="Linked Cell 3 16" xfId="17440" xr:uid="{786D7580-8E63-492A-AAD9-F75DA4F95492}"/>
    <cellStyle name="Linked Cell 3 16 2" xfId="28736" xr:uid="{D3D83C70-B600-4F64-85C9-E18C7752C3A2}"/>
    <cellStyle name="Linked Cell 3 16 3" xfId="28737" xr:uid="{EED09F7B-D20F-4581-B01E-6420FA39F208}"/>
    <cellStyle name="Linked Cell 3 16 4" xfId="28738" xr:uid="{9BA68D8B-B7E8-44B4-A038-C2C2AE097CFD}"/>
    <cellStyle name="Linked Cell 3 16 5" xfId="28739" xr:uid="{E4567E91-0571-40DE-91A2-78CB3103B0B6}"/>
    <cellStyle name="Linked Cell 3 17" xfId="28740" xr:uid="{43D9FCE9-25F6-4C03-AAE3-70C58CF5B30B}"/>
    <cellStyle name="Linked Cell 3 18" xfId="28741" xr:uid="{9256BA37-FED9-42F1-8A2D-0C222ACDAE41}"/>
    <cellStyle name="Linked Cell 3 19" xfId="28742" xr:uid="{FBA432CB-F075-446D-9545-300E4F902852}"/>
    <cellStyle name="Linked Cell 3 2" xfId="2701" xr:uid="{1E5A358C-E54A-4794-9446-47204FB7066E}"/>
    <cellStyle name="Linked Cell 3 2 2" xfId="17447" xr:uid="{F781BDC6-C6BB-4BEC-B16D-02F25AA29304}"/>
    <cellStyle name="Linked Cell 3 2 2 2" xfId="28743" xr:uid="{5F45CA18-CF83-4A92-B5C6-9D0CEDCCD89E}"/>
    <cellStyle name="Linked Cell 3 2 2 3" xfId="28744" xr:uid="{A8DFAA33-7484-4B87-B287-5E5255829A9F}"/>
    <cellStyle name="Linked Cell 3 2 2 4" xfId="28745" xr:uid="{5A53C906-61B5-4F74-88DA-24889B50E881}"/>
    <cellStyle name="Linked Cell 3 2 2 5" xfId="28746" xr:uid="{A9C5850F-2587-4727-89F5-FA8E75ACCC46}"/>
    <cellStyle name="Linked Cell 3 2 3" xfId="28747" xr:uid="{1296E138-F67C-4D0D-9572-C9F043031566}"/>
    <cellStyle name="Linked Cell 3 2 4" xfId="28748" xr:uid="{EAB1E43D-E8B3-479A-A821-0AB2BA466A52}"/>
    <cellStyle name="Linked Cell 3 2 5" xfId="28749" xr:uid="{A9D667EE-55A9-4694-9665-06A268DE7594}"/>
    <cellStyle name="Linked Cell 3 2 6" xfId="28750" xr:uid="{2E92EEF6-2D1E-4C8A-8373-423B50062366}"/>
    <cellStyle name="Linked Cell 3 2 7" xfId="28751" xr:uid="{8717B00D-105C-4CAC-93AA-1E6EE0E5FE85}"/>
    <cellStyle name="Linked Cell 3 20" xfId="28752" xr:uid="{ED8F3511-9238-4356-AB51-3A5A2E53EEC2}"/>
    <cellStyle name="Linked Cell 3 21" xfId="28753" xr:uid="{30ED65CB-3F2F-407D-97F2-36925B618684}"/>
    <cellStyle name="Linked Cell 3 3" xfId="2702" xr:uid="{E0A3C00C-6461-4F7C-9BFB-F877F8D77CDF}"/>
    <cellStyle name="Linked Cell 3 3 2" xfId="17448" xr:uid="{493E0FAA-25DA-4B38-91E5-3B2F178F500A}"/>
    <cellStyle name="Linked Cell 3 3 2 2" xfId="28754" xr:uid="{C894AE0E-27DD-4805-AF77-87BF0D709975}"/>
    <cellStyle name="Linked Cell 3 3 2 3" xfId="28755" xr:uid="{D1C47FCA-C928-4540-AEC3-3AEFD03253E2}"/>
    <cellStyle name="Linked Cell 3 3 2 4" xfId="28756" xr:uid="{E1F40FC8-5C10-4087-ADB4-C76EECCDC4A2}"/>
    <cellStyle name="Linked Cell 3 3 2 5" xfId="28757" xr:uid="{B620B9BD-9B44-4F6C-A966-382CD84C413E}"/>
    <cellStyle name="Linked Cell 3 3 3" xfId="28758" xr:uid="{140C2D88-4CF7-45BC-BC9E-2C293C900C82}"/>
    <cellStyle name="Linked Cell 3 3 4" xfId="28759" xr:uid="{31D479A6-AEFE-4EF6-A2B5-B9B542351075}"/>
    <cellStyle name="Linked Cell 3 3 5" xfId="28760" xr:uid="{153A6A2A-A245-452C-AA64-5FFDCC88FF60}"/>
    <cellStyle name="Linked Cell 3 3 6" xfId="28761" xr:uid="{CDB06FA3-45A4-45A7-A54D-6A2AE73046EA}"/>
    <cellStyle name="Linked Cell 3 4" xfId="2703" xr:uid="{9191F599-28B5-4F74-B999-BF06F15EF2E1}"/>
    <cellStyle name="Linked Cell 3 4 2" xfId="17449" xr:uid="{519438B8-EF0B-43FB-AF42-BAFD210F5519}"/>
    <cellStyle name="Linked Cell 3 4 2 2" xfId="28762" xr:uid="{C17BFA9F-AE13-43BF-9E2C-3051210DC6EA}"/>
    <cellStyle name="Linked Cell 3 4 2 3" xfId="28763" xr:uid="{B6491B8D-7455-490B-92BF-C1800AA1B928}"/>
    <cellStyle name="Linked Cell 3 4 2 4" xfId="28764" xr:uid="{2CFBAAC4-A2F2-4D14-A494-7725B53BB91E}"/>
    <cellStyle name="Linked Cell 3 4 2 5" xfId="28765" xr:uid="{F5B237FC-F319-4F22-8A0E-BAE3A4FBB0A7}"/>
    <cellStyle name="Linked Cell 3 4 3" xfId="28766" xr:uid="{9E634C94-8D12-45D4-83CA-97CFAA2669EE}"/>
    <cellStyle name="Linked Cell 3 4 4" xfId="28767" xr:uid="{3CC12A30-69D6-4676-A997-E6858F3101A5}"/>
    <cellStyle name="Linked Cell 3 4 5" xfId="28768" xr:uid="{43648C5B-095D-4569-9E3E-B9C9B128C8A7}"/>
    <cellStyle name="Linked Cell 3 4 6" xfId="28769" xr:uid="{733DD6A3-187F-4BC5-AF03-7F051486726C}"/>
    <cellStyle name="Linked Cell 3 5" xfId="2704" xr:uid="{6F3BBD97-5051-4779-B827-28641CA054F4}"/>
    <cellStyle name="Linked Cell 3 5 2" xfId="17450" xr:uid="{690BB92F-8163-496C-8145-3C6BCF2F3273}"/>
    <cellStyle name="Linked Cell 3 5 2 2" xfId="28770" xr:uid="{37CEB209-0F59-44C8-8FE5-514AF82258B7}"/>
    <cellStyle name="Linked Cell 3 5 2 3" xfId="28771" xr:uid="{8E9C7934-4BF0-4592-9C78-98C2C24C69B4}"/>
    <cellStyle name="Linked Cell 3 5 2 4" xfId="28772" xr:uid="{21DFFFBD-056A-4E4D-9EB1-F8A89C18F05A}"/>
    <cellStyle name="Linked Cell 3 5 2 5" xfId="28773" xr:uid="{75A9F007-8C63-4D64-9442-BBFF117060A4}"/>
    <cellStyle name="Linked Cell 3 5 3" xfId="28774" xr:uid="{FC8F585C-E363-4434-B420-C5EB039E406B}"/>
    <cellStyle name="Linked Cell 3 5 4" xfId="28775" xr:uid="{7E363621-1B40-4ECF-BB83-CECFB724E9E2}"/>
    <cellStyle name="Linked Cell 3 5 5" xfId="28776" xr:uid="{1752546D-471D-4368-AD80-5F310E9B8C3A}"/>
    <cellStyle name="Linked Cell 3 5 6" xfId="28777" xr:uid="{C2D45B06-DF04-428F-ABF7-A7FCFD552C87}"/>
    <cellStyle name="Linked Cell 3 6" xfId="2705" xr:uid="{44A8163C-F7D0-43EE-8FF4-AB8D404DD551}"/>
    <cellStyle name="Linked Cell 3 6 2" xfId="17451" xr:uid="{8C5913AE-464D-4910-AF8C-C8BB973CD5D6}"/>
    <cellStyle name="Linked Cell 3 6 2 2" xfId="28778" xr:uid="{BE5D094A-CB31-4826-B5F9-88E106AB2755}"/>
    <cellStyle name="Linked Cell 3 6 2 3" xfId="28779" xr:uid="{591EC639-7336-4794-B039-AFE60AD7DB94}"/>
    <cellStyle name="Linked Cell 3 6 2 4" xfId="28780" xr:uid="{F682F1DA-6DFE-4454-A14A-98F7CAFA3101}"/>
    <cellStyle name="Linked Cell 3 6 2 5" xfId="28781" xr:uid="{89B38C56-673B-426B-A5EE-BD93CA46E937}"/>
    <cellStyle name="Linked Cell 3 6 3" xfId="28782" xr:uid="{688E8B6D-2C34-40FF-924D-C300262D3CEC}"/>
    <cellStyle name="Linked Cell 3 6 4" xfId="28783" xr:uid="{FA01B93C-9B5B-4930-80C6-B8D8E773E6CD}"/>
    <cellStyle name="Linked Cell 3 6 5" xfId="28784" xr:uid="{C9698752-E938-4690-ACE2-48B02440443F}"/>
    <cellStyle name="Linked Cell 3 6 6" xfId="28785" xr:uid="{9808F8DB-2C57-4419-8340-5FC9C9C41166}"/>
    <cellStyle name="Linked Cell 3 7" xfId="2706" xr:uid="{74F8664A-3789-423B-95C0-458DC1D0965F}"/>
    <cellStyle name="Linked Cell 3 7 2" xfId="17452" xr:uid="{D5234AA7-3FCE-4D7D-B14C-F272DBD9836E}"/>
    <cellStyle name="Linked Cell 3 7 2 2" xfId="28786" xr:uid="{687214FB-0C52-4E6B-B9B5-88E421B59BE3}"/>
    <cellStyle name="Linked Cell 3 7 2 3" xfId="28787" xr:uid="{4173A47E-1372-4CC9-BCF2-32CF17909BB2}"/>
    <cellStyle name="Linked Cell 3 7 2 4" xfId="28788" xr:uid="{5EDF922D-0B69-498E-9F2F-C7BC3F0F03E1}"/>
    <cellStyle name="Linked Cell 3 7 2 5" xfId="28789" xr:uid="{D779ABA9-AB27-4F39-B563-2B4AE7C27A80}"/>
    <cellStyle name="Linked Cell 3 7 3" xfId="28790" xr:uid="{2B373FB9-025D-47F4-8A95-529A22035767}"/>
    <cellStyle name="Linked Cell 3 7 4" xfId="28791" xr:uid="{3D53DE6C-9D77-4C6A-863D-1F14754A3E01}"/>
    <cellStyle name="Linked Cell 3 7 5" xfId="28792" xr:uid="{322E9678-58BB-481B-823C-C442D0B38C06}"/>
    <cellStyle name="Linked Cell 3 7 6" xfId="28793" xr:uid="{EA835B36-A377-4352-B3EB-F606007F6116}"/>
    <cellStyle name="Linked Cell 3 8" xfId="2707" xr:uid="{88AFEB19-ED9D-4987-A19E-B88E198A355B}"/>
    <cellStyle name="Linked Cell 3 8 2" xfId="17453" xr:uid="{8716E44F-BFB9-4735-812C-C5E7848C8E72}"/>
    <cellStyle name="Linked Cell 3 8 2 2" xfId="28794" xr:uid="{C147263E-11AE-40BA-A1B5-7B61C6AE8B51}"/>
    <cellStyle name="Linked Cell 3 8 2 3" xfId="28795" xr:uid="{C73BBEB6-0678-438E-9B0D-AEF950327D60}"/>
    <cellStyle name="Linked Cell 3 8 2 4" xfId="28796" xr:uid="{23EFFA24-EC2F-4553-9981-81B4955626AB}"/>
    <cellStyle name="Linked Cell 3 8 2 5" xfId="28797" xr:uid="{912B53C9-2C96-437A-B85E-A9426DC359F5}"/>
    <cellStyle name="Linked Cell 3 8 3" xfId="28798" xr:uid="{9EACE3A0-CE65-4273-BA12-FD6171B9D983}"/>
    <cellStyle name="Linked Cell 3 8 4" xfId="28799" xr:uid="{222F7917-0C13-42C0-8EED-9D3BB6FA0443}"/>
    <cellStyle name="Linked Cell 3 8 5" xfId="28800" xr:uid="{14A6511D-290F-47C1-A960-90498B1C5F9E}"/>
    <cellStyle name="Linked Cell 3 8 6" xfId="28801" xr:uid="{576188DC-1F25-4250-9C60-76BFF2331BAF}"/>
    <cellStyle name="Linked Cell 3 9" xfId="2708" xr:uid="{70EBEB0A-CE84-4C60-9AC4-ED99817DAFD3}"/>
    <cellStyle name="Linked Cell 3 9 2" xfId="17454" xr:uid="{66843B92-52E6-4144-9862-340C26798D36}"/>
    <cellStyle name="Linked Cell 3 9 2 2" xfId="28802" xr:uid="{9E979143-CDDA-4729-9E72-A5D5FE01F68A}"/>
    <cellStyle name="Linked Cell 3 9 2 3" xfId="28803" xr:uid="{33E75BA1-DC05-482D-8F98-EB3B2952FAB3}"/>
    <cellStyle name="Linked Cell 3 9 2 4" xfId="28804" xr:uid="{F82218B6-260C-4C01-B265-D7B359E2F079}"/>
    <cellStyle name="Linked Cell 3 9 2 5" xfId="28805" xr:uid="{22472F7F-9FEB-49D5-9E39-54B63F956A7F}"/>
    <cellStyle name="Linked Cell 3 9 3" xfId="28806" xr:uid="{CA52F66E-6E56-4E0B-B740-8D505A0D2627}"/>
    <cellStyle name="Linked Cell 3 9 4" xfId="28807" xr:uid="{AB2C218E-2707-4DD7-89B3-769A71BFCBC8}"/>
    <cellStyle name="Linked Cell 3 9 5" xfId="28808" xr:uid="{12900ED0-656E-4174-8CF7-F5C64D59B191}"/>
    <cellStyle name="Linked Cell 3 9 6" xfId="28809" xr:uid="{BDCD1AF1-02D6-4E05-A9ED-753BE7631602}"/>
    <cellStyle name="Linked Cell 3_IND_UC" xfId="11090" xr:uid="{5DC5B99F-629B-4FD9-915E-2D7A0C2EAC41}"/>
    <cellStyle name="Linked Cell 4" xfId="2709" xr:uid="{6384B550-C83A-4604-9115-8EAF2C127A6F}"/>
    <cellStyle name="Linked Cell 4 2" xfId="2710" xr:uid="{D415CD9D-5A5B-4B94-84D5-6F6D61A70B81}"/>
    <cellStyle name="Linked Cell 4 2 2" xfId="17456" xr:uid="{996C57DC-29E1-4C33-B1A0-12A89E762E3A}"/>
    <cellStyle name="Linked Cell 4 2 2 2" xfId="28810" xr:uid="{FF609F6F-011D-4774-9938-57F1F785F38A}"/>
    <cellStyle name="Linked Cell 4 2 2 3" xfId="28811" xr:uid="{D96ADC1A-80EA-4E72-A23C-E9F23C008C01}"/>
    <cellStyle name="Linked Cell 4 2 2 4" xfId="28812" xr:uid="{F3BEC6EB-4307-4EB4-BA04-15E68CC73988}"/>
    <cellStyle name="Linked Cell 4 2 2 5" xfId="28813" xr:uid="{66E894A8-9131-48A7-9A3F-E37C56789B28}"/>
    <cellStyle name="Linked Cell 4 2 3" xfId="28814" xr:uid="{5C60C671-0610-4423-B919-60C6E37B67D1}"/>
    <cellStyle name="Linked Cell 4 2 4" xfId="28815" xr:uid="{9AB9D7B6-C85C-4C16-A557-BA56271B2F71}"/>
    <cellStyle name="Linked Cell 4 2 5" xfId="28816" xr:uid="{16FFFFEB-EEE8-49FE-A0CD-5F78194805D6}"/>
    <cellStyle name="Linked Cell 4 2 6" xfId="28817" xr:uid="{7FC63D4D-C439-42CC-9815-4A1D6B7CC396}"/>
    <cellStyle name="Linked Cell 4 2 7" xfId="28818" xr:uid="{9652FAA9-4D7B-4E09-9E20-5B446671ACA7}"/>
    <cellStyle name="Linked Cell 4 3" xfId="17455" xr:uid="{E0936DAC-0952-4FA2-A39C-418DCECAF490}"/>
    <cellStyle name="Linked Cell 4 3 2" xfId="28819" xr:uid="{5ECC57A7-DDBD-48F5-989C-1C7883D2CDCA}"/>
    <cellStyle name="Linked Cell 4 3 3" xfId="28820" xr:uid="{60F1C421-1D42-4B2F-9B7D-0DC4A147549D}"/>
    <cellStyle name="Linked Cell 4 3 4" xfId="28821" xr:uid="{CBF09DE5-A629-43A5-B367-B5B12A05D60D}"/>
    <cellStyle name="Linked Cell 4 3 5" xfId="28822" xr:uid="{889F9521-9C87-4814-BAA9-CDECB57D1794}"/>
    <cellStyle name="Linked Cell 4 4" xfId="28823" xr:uid="{36571C45-BBBE-4D0B-9E7C-BEBF0D681367}"/>
    <cellStyle name="Linked Cell 4 5" xfId="28824" xr:uid="{E9128E44-2641-4ED1-8182-05EB67EC160D}"/>
    <cellStyle name="Linked Cell 4 6" xfId="28825" xr:uid="{9D223456-9A04-4404-AA0D-647DFA262FF4}"/>
    <cellStyle name="Linked Cell 4 7" xfId="28826" xr:uid="{6DEBCE98-08DA-4321-AF6D-959F986C640F}"/>
    <cellStyle name="Linked Cell 4 8" xfId="28827" xr:uid="{570C2C1B-1741-45EB-8E0E-F8283EDF9D58}"/>
    <cellStyle name="Linked Cell 5" xfId="2711" xr:uid="{C7A7F1D0-9E16-4523-985D-A07E349B62A5}"/>
    <cellStyle name="Linked Cell 5 2" xfId="2712" xr:uid="{CB1B9B50-07D5-43AB-A466-403433ECBFB2}"/>
    <cellStyle name="Linked Cell 5 2 2" xfId="17458" xr:uid="{EA59E1F6-A66F-4352-A246-0C2399200FD3}"/>
    <cellStyle name="Linked Cell 5 2 2 2" xfId="28828" xr:uid="{B26E1BFC-2CA7-4B26-A654-2F9C367DC7BF}"/>
    <cellStyle name="Linked Cell 5 2 2 3" xfId="28829" xr:uid="{8047BE7A-4393-4CB1-8B47-0054FA01F35B}"/>
    <cellStyle name="Linked Cell 5 2 2 4" xfId="28830" xr:uid="{27D54490-88A9-4E20-96D8-FF826D3D0D15}"/>
    <cellStyle name="Linked Cell 5 2 2 5" xfId="28831" xr:uid="{7A1BA381-387A-49A3-A3A6-1ACDBE75B4BB}"/>
    <cellStyle name="Linked Cell 5 2 3" xfId="28832" xr:uid="{F4D47A7B-D606-476B-9FAA-3F72DC5C90C0}"/>
    <cellStyle name="Linked Cell 5 2 4" xfId="28833" xr:uid="{EF83AA0D-40E4-4CEC-8878-DDE985C5C67A}"/>
    <cellStyle name="Linked Cell 5 2 5" xfId="28834" xr:uid="{010AB3F5-9DCF-43D7-AAB4-96D0D31949AA}"/>
    <cellStyle name="Linked Cell 5 2 6" xfId="28835" xr:uid="{D8EFD8E8-D0FE-404B-989D-C95EF7A06D05}"/>
    <cellStyle name="Linked Cell 5 2 7" xfId="28836" xr:uid="{42F482EE-F120-4D4F-AEA2-C2AA5D44B836}"/>
    <cellStyle name="Linked Cell 5 3" xfId="17457" xr:uid="{6ED8B98C-8EEE-45D4-B4DB-9A4740D9AD69}"/>
    <cellStyle name="Linked Cell 5 3 2" xfId="28837" xr:uid="{0F5CBBA9-ECC4-48D4-8494-E086109E90E1}"/>
    <cellStyle name="Linked Cell 5 3 3" xfId="28838" xr:uid="{195333D4-A567-44F5-A06A-91036D6AB382}"/>
    <cellStyle name="Linked Cell 5 3 4" xfId="28839" xr:uid="{A93EDCCA-66C7-4489-AB44-788A39A03681}"/>
    <cellStyle name="Linked Cell 5 3 5" xfId="28840" xr:uid="{47D07459-B6C2-4BAB-9515-D05928BBF059}"/>
    <cellStyle name="Linked Cell 5 4" xfId="28841" xr:uid="{0EE5F639-4DFD-441B-84E0-6CB4B671614B}"/>
    <cellStyle name="Linked Cell 5 5" xfId="28842" xr:uid="{78A1B33F-2689-45EC-B77E-947CDFB03AB7}"/>
    <cellStyle name="Linked Cell 5 6" xfId="28843" xr:uid="{5B47837B-4E3D-4C7A-A61E-4D99B2FB3A95}"/>
    <cellStyle name="Linked Cell 5 7" xfId="28844" xr:uid="{C7BD15E1-F1A5-472C-954D-DED5F7050572}"/>
    <cellStyle name="Linked Cell 5 8" xfId="28845" xr:uid="{9B877D94-AD8E-474F-B3E3-114AA69677EE}"/>
    <cellStyle name="Linked Cell 6" xfId="2713" xr:uid="{0760B044-F9C6-41AC-AA64-A065609FB420}"/>
    <cellStyle name="Linked Cell 6 2" xfId="2714" xr:uid="{35EE14A8-EC9B-428F-80F0-614407864DE5}"/>
    <cellStyle name="Linked Cell 6 2 2" xfId="17460" xr:uid="{60C377C9-EA9C-4842-BDEB-4C19090F6AAF}"/>
    <cellStyle name="Linked Cell 6 2 2 2" xfId="28846" xr:uid="{EAA51619-0977-435A-B2E6-33C99B1D80E6}"/>
    <cellStyle name="Linked Cell 6 2 2 3" xfId="28847" xr:uid="{30CA3797-4F15-4362-B935-D69FB0871F56}"/>
    <cellStyle name="Linked Cell 6 2 2 4" xfId="28848" xr:uid="{32CFCCCF-B187-4D4B-9B61-79ACE50022D3}"/>
    <cellStyle name="Linked Cell 6 2 2 5" xfId="28849" xr:uid="{561A667B-A49C-4561-B1DF-2657B32F7BEE}"/>
    <cellStyle name="Linked Cell 6 2 3" xfId="28850" xr:uid="{A056D1A6-C441-4BC4-87EF-496E93E4C70B}"/>
    <cellStyle name="Linked Cell 6 2 4" xfId="28851" xr:uid="{7787A4B8-4FEA-4E76-9EC3-BDA0B9689824}"/>
    <cellStyle name="Linked Cell 6 2 5" xfId="28852" xr:uid="{26205861-B1C4-46FE-8486-900879099918}"/>
    <cellStyle name="Linked Cell 6 2 6" xfId="28853" xr:uid="{32DF0D20-7C60-4277-BEBA-F57280E6D156}"/>
    <cellStyle name="Linked Cell 6 2 7" xfId="28854" xr:uid="{BA8C55AE-6F4B-4CCF-9264-34DB70A24C2E}"/>
    <cellStyle name="Linked Cell 6 3" xfId="2715" xr:uid="{A546201A-BAD3-45CF-8916-257B397D1B5D}"/>
    <cellStyle name="Linked Cell 6 3 2" xfId="17461" xr:uid="{36952066-F47A-4062-8BD4-8D620F0965F7}"/>
    <cellStyle name="Linked Cell 6 3 2 2" xfId="28855" xr:uid="{DD457252-2CC2-49D3-87AA-36BB9BDB8A2C}"/>
    <cellStyle name="Linked Cell 6 3 2 3" xfId="28856" xr:uid="{A6FA0A32-8800-4DB3-88DA-C98AD35C59F7}"/>
    <cellStyle name="Linked Cell 6 3 2 4" xfId="28857" xr:uid="{5DE24846-CDF0-4D60-8949-900F8EC5259E}"/>
    <cellStyle name="Linked Cell 6 3 2 5" xfId="28858" xr:uid="{964DAD38-68E8-4E71-B208-A17F9A8F17FB}"/>
    <cellStyle name="Linked Cell 6 3 3" xfId="28859" xr:uid="{A72DD647-48C6-443E-A7DA-32AD1E78276B}"/>
    <cellStyle name="Linked Cell 6 3 4" xfId="28860" xr:uid="{B888589F-BD74-4BC3-96AA-0DA621F756D3}"/>
    <cellStyle name="Linked Cell 6 3 5" xfId="28861" xr:uid="{AE09B9B4-4B37-473D-9AC5-AC44C9331E46}"/>
    <cellStyle name="Linked Cell 6 3 6" xfId="28862" xr:uid="{6F98763C-0E02-4D0E-9406-5DF081BD4D74}"/>
    <cellStyle name="Linked Cell 6 4" xfId="17459" xr:uid="{EB057C9E-CC79-470B-9923-B748E7C92EF8}"/>
    <cellStyle name="Linked Cell 6 4 2" xfId="28863" xr:uid="{587446EA-C02E-40E9-B725-1527C1884302}"/>
    <cellStyle name="Linked Cell 6 4 3" xfId="28864" xr:uid="{2BA9B783-CEFE-4D3E-8601-A422261BC939}"/>
    <cellStyle name="Linked Cell 6 4 4" xfId="28865" xr:uid="{88411E4E-2B81-4213-829E-6D89988E267C}"/>
    <cellStyle name="Linked Cell 6 4 5" xfId="28866" xr:uid="{E1F66581-149D-41D4-8B3F-3BF2946D89AB}"/>
    <cellStyle name="Linked Cell 6 5" xfId="28867" xr:uid="{05DB71CC-54B5-4901-9D4A-B3FA7CB97E60}"/>
    <cellStyle name="Linked Cell 6 6" xfId="28868" xr:uid="{CE6F1C79-FDE2-445B-B7F2-99AAABFCD4DC}"/>
    <cellStyle name="Linked Cell 6 7" xfId="28869" xr:uid="{FF0DFB96-CDF0-4B99-80DC-E46CCACA817C}"/>
    <cellStyle name="Linked Cell 6 8" xfId="28870" xr:uid="{D91A1375-EED6-4B26-BBB3-A75253DE1C26}"/>
    <cellStyle name="Linked Cell 6 9" xfId="28871" xr:uid="{57984AC1-DE75-46B7-A4CD-765EC8ED95D3}"/>
    <cellStyle name="Linked Cell 7" xfId="2716" xr:uid="{E3A953BB-6DEE-4EE2-9389-27089F0930BE}"/>
    <cellStyle name="Linked Cell 7 2" xfId="2717" xr:uid="{5B609AD5-B2E0-4AA0-B119-678D0EDD6881}"/>
    <cellStyle name="Linked Cell 7 2 2" xfId="17463" xr:uid="{7BE318FC-9FBF-41FD-827D-D6805ECE17A3}"/>
    <cellStyle name="Linked Cell 7 2 2 2" xfId="28872" xr:uid="{35F31C4A-EAF2-45CA-82C4-2DEFAE19B521}"/>
    <cellStyle name="Linked Cell 7 2 2 3" xfId="28873" xr:uid="{9FC63AEA-7C07-4D8D-AA90-EC6AF1C7C9BF}"/>
    <cellStyle name="Linked Cell 7 2 2 4" xfId="28874" xr:uid="{38C68D64-AEED-4841-9EA0-8AD5EB686708}"/>
    <cellStyle name="Linked Cell 7 2 2 5" xfId="28875" xr:uid="{E2353EB5-42EC-47FC-8351-DCA62C73A20D}"/>
    <cellStyle name="Linked Cell 7 2 3" xfId="28876" xr:uid="{AF4F09A1-8AB3-4689-AD8E-924D094A2C2E}"/>
    <cellStyle name="Linked Cell 7 2 4" xfId="28877" xr:uid="{76B740E1-91E8-49B0-8CB3-FC7DD7C2C391}"/>
    <cellStyle name="Linked Cell 7 2 5" xfId="28878" xr:uid="{4EFAF716-263D-47CE-B25A-4B69A38D4334}"/>
    <cellStyle name="Linked Cell 7 2 6" xfId="28879" xr:uid="{964831F5-8EE7-472F-BB3D-9B750CC4E6E1}"/>
    <cellStyle name="Linked Cell 7 2 7" xfId="28880" xr:uid="{0DEA3576-F777-4D59-B921-01672B3FA422}"/>
    <cellStyle name="Linked Cell 7 3" xfId="2718" xr:uid="{0164A566-0F15-45CC-8680-C26FEF704203}"/>
    <cellStyle name="Linked Cell 7 3 2" xfId="17464" xr:uid="{9DFEDFD5-8A90-4C62-93A9-361365A67CC8}"/>
    <cellStyle name="Linked Cell 7 3 2 2" xfId="28881" xr:uid="{8FB735B0-3B2F-4323-A06F-C79B007957D1}"/>
    <cellStyle name="Linked Cell 7 3 2 3" xfId="28882" xr:uid="{030AB1E2-03FD-4302-906C-39F07F6BE650}"/>
    <cellStyle name="Linked Cell 7 3 2 4" xfId="28883" xr:uid="{913BA2F2-3CE8-4B63-8CEC-2A1D84455BFD}"/>
    <cellStyle name="Linked Cell 7 3 2 5" xfId="28884" xr:uid="{D914FDDF-8657-41FC-ACB3-C04488A10A8D}"/>
    <cellStyle name="Linked Cell 7 3 3" xfId="28885" xr:uid="{713B91F3-DBA3-492B-9374-0EF045C78AA7}"/>
    <cellStyle name="Linked Cell 7 3 4" xfId="28886" xr:uid="{B30EF67C-5102-4414-B0DB-FDCCB1C52A9F}"/>
    <cellStyle name="Linked Cell 7 3 5" xfId="28887" xr:uid="{051542F1-3A7F-4F96-B0DE-CE7F88597456}"/>
    <cellStyle name="Linked Cell 7 3 6" xfId="28888" xr:uid="{200F9E30-44E3-4F9C-9C20-E4000B538D6E}"/>
    <cellStyle name="Linked Cell 7 4" xfId="17462" xr:uid="{C7423892-28AE-4153-8857-ECEE3607A4B5}"/>
    <cellStyle name="Linked Cell 7 4 2" xfId="28889" xr:uid="{B745C175-637F-4AE6-909A-C91D3D6876E0}"/>
    <cellStyle name="Linked Cell 7 4 3" xfId="28890" xr:uid="{74FC4E12-0067-4CB1-9440-4AC385FC9468}"/>
    <cellStyle name="Linked Cell 7 4 4" xfId="28891" xr:uid="{89EE70CC-BE7F-4442-979B-ECFB317A9807}"/>
    <cellStyle name="Linked Cell 7 4 5" xfId="28892" xr:uid="{80966C86-5E58-4049-9F1E-FD2FB91A6057}"/>
    <cellStyle name="Linked Cell 7 5" xfId="28893" xr:uid="{2BD2076B-9B8D-4D41-A8AD-479BF2913224}"/>
    <cellStyle name="Linked Cell 7 6" xfId="28894" xr:uid="{BE1504D7-AD90-4F9A-82BA-1598BB9A8A09}"/>
    <cellStyle name="Linked Cell 7 7" xfId="28895" xr:uid="{F08D88CB-6074-46E8-A10E-9E968C3113E0}"/>
    <cellStyle name="Linked Cell 7 8" xfId="28896" xr:uid="{55E0B674-6C36-444D-9911-01A46EA58350}"/>
    <cellStyle name="Linked Cell 7 9" xfId="28897" xr:uid="{5DD659B8-0FD8-49C8-B424-49B34789135F}"/>
    <cellStyle name="Linked Cell 8" xfId="2719" xr:uid="{CB897540-DE28-4A38-814E-97D1FC0A5D8F}"/>
    <cellStyle name="Linked Cell 8 2" xfId="2720" xr:uid="{18279FAA-28C6-485F-B5F7-A3684DE33DEB}"/>
    <cellStyle name="Linked Cell 8 2 2" xfId="17466" xr:uid="{B6F193EB-2F26-4FD4-A02A-4C5EF10740D7}"/>
    <cellStyle name="Linked Cell 8 2 2 2" xfId="28898" xr:uid="{51E50218-3DDA-498F-AC9A-C132E32B70F7}"/>
    <cellStyle name="Linked Cell 8 2 2 3" xfId="28899" xr:uid="{29DE458E-6E79-4094-B67D-CED92BAD009F}"/>
    <cellStyle name="Linked Cell 8 2 2 4" xfId="28900" xr:uid="{FDD8AC78-F9B1-4C1F-9351-7B79CD1C11CB}"/>
    <cellStyle name="Linked Cell 8 2 2 5" xfId="28901" xr:uid="{06991223-8453-41B9-A45A-2676F4B3B08F}"/>
    <cellStyle name="Linked Cell 8 2 3" xfId="28902" xr:uid="{B3BD4B55-472C-406D-9285-D7396C924AD0}"/>
    <cellStyle name="Linked Cell 8 2 4" xfId="28903" xr:uid="{854BDF81-B54F-4385-84D3-6EC36D330E9B}"/>
    <cellStyle name="Linked Cell 8 2 5" xfId="28904" xr:uid="{FD293256-90E8-4237-81E5-6D7502CAD5E0}"/>
    <cellStyle name="Linked Cell 8 2 6" xfId="28905" xr:uid="{E08E2062-B35F-4EE4-9B75-D2F775600B2A}"/>
    <cellStyle name="Linked Cell 8 2 7" xfId="28906" xr:uid="{40F3C7F2-AC24-4B53-98FB-E8B5BAF79ECC}"/>
    <cellStyle name="Linked Cell 8 3" xfId="2721" xr:uid="{47024472-3F1D-49E0-AABA-BFD7D3F7837D}"/>
    <cellStyle name="Linked Cell 8 3 2" xfId="17467" xr:uid="{1461BD11-38F2-4558-9B10-13C3DCD0C117}"/>
    <cellStyle name="Linked Cell 8 3 2 2" xfId="28907" xr:uid="{D3622993-9E46-49B0-9230-91F481CEE23A}"/>
    <cellStyle name="Linked Cell 8 3 2 3" xfId="28908" xr:uid="{6C9D7EEF-33DA-41A6-BA56-E53FB0A82486}"/>
    <cellStyle name="Linked Cell 8 3 2 4" xfId="28909" xr:uid="{9522BB96-3461-4020-AD58-D16B91C56F93}"/>
    <cellStyle name="Linked Cell 8 3 2 5" xfId="28910" xr:uid="{AC0285AA-CB26-41F3-8F1A-52A530BAA985}"/>
    <cellStyle name="Linked Cell 8 3 3" xfId="28911" xr:uid="{0A5FEB16-99BF-47D1-BD76-EDB9E1768D97}"/>
    <cellStyle name="Linked Cell 8 3 4" xfId="28912" xr:uid="{2B1763AA-2CE7-4A84-8CB9-64C452C34D46}"/>
    <cellStyle name="Linked Cell 8 3 5" xfId="28913" xr:uid="{86B71EA0-1B6B-4A60-933D-C85515ED1397}"/>
    <cellStyle name="Linked Cell 8 3 6" xfId="28914" xr:uid="{F7C48590-CBB5-45D3-AF2F-6861816DD8A2}"/>
    <cellStyle name="Linked Cell 8 4" xfId="17465" xr:uid="{11A6422C-F1EB-403C-91A0-571E7FD257A7}"/>
    <cellStyle name="Linked Cell 8 4 2" xfId="28915" xr:uid="{3F4F2460-76F5-46F8-BAAE-1A1CF1A49D3B}"/>
    <cellStyle name="Linked Cell 8 4 3" xfId="28916" xr:uid="{A9517B6C-75A6-4714-BF5A-D887F8013D59}"/>
    <cellStyle name="Linked Cell 8 4 4" xfId="28917" xr:uid="{C50A0768-B455-4816-8D28-4733721888E3}"/>
    <cellStyle name="Linked Cell 8 4 5" xfId="28918" xr:uid="{7F8CC205-6CEF-4443-B148-1545E33F924D}"/>
    <cellStyle name="Linked Cell 8 5" xfId="28919" xr:uid="{D885CF9A-8BDB-455E-A828-76AB58B34DD2}"/>
    <cellStyle name="Linked Cell 8 6" xfId="28920" xr:uid="{DF83BF9E-4686-4CE8-A919-8106AFB692AE}"/>
    <cellStyle name="Linked Cell 8 7" xfId="28921" xr:uid="{ADF90EFA-4F80-4A93-A9E2-9A58D40AC571}"/>
    <cellStyle name="Linked Cell 8 8" xfId="28922" xr:uid="{7AB12AF2-7141-47BE-B189-A15B4A43BAC8}"/>
    <cellStyle name="Linked Cell 8 9" xfId="28923" xr:uid="{C2A85503-CE6E-4002-9473-9BED2274509F}"/>
    <cellStyle name="Linked Cell 9" xfId="2722" xr:uid="{4B4A8DA0-EA32-4FA0-81A5-4E334206681D}"/>
    <cellStyle name="Linked Cell 9 2" xfId="2723" xr:uid="{FD019395-2FC5-495D-9531-72204AD6BAA6}"/>
    <cellStyle name="Linked Cell 9 2 2" xfId="17469" xr:uid="{0AA37DD0-D4DE-4112-AF85-005ACB5E9553}"/>
    <cellStyle name="Linked Cell 9 2 2 2" xfId="28924" xr:uid="{B46C6FCD-9717-4F5F-8B62-430BAF0CDCAA}"/>
    <cellStyle name="Linked Cell 9 2 2 3" xfId="28925" xr:uid="{EB33FD3A-AE29-4FE3-AE54-5FAB9BF83360}"/>
    <cellStyle name="Linked Cell 9 2 2 4" xfId="28926" xr:uid="{BD734880-60D4-431C-921F-1879CCBC7D03}"/>
    <cellStyle name="Linked Cell 9 2 2 5" xfId="28927" xr:uid="{AC7672E3-446F-40D8-BEEF-6FDAE28F0F1A}"/>
    <cellStyle name="Linked Cell 9 2 3" xfId="28928" xr:uid="{9B7F1BBB-4CD8-4EB0-A7D0-2FEBC9F82BAA}"/>
    <cellStyle name="Linked Cell 9 2 4" xfId="28929" xr:uid="{8560335F-7588-48A2-B7DD-F6B994B2E670}"/>
    <cellStyle name="Linked Cell 9 2 5" xfId="28930" xr:uid="{49ED9644-FE67-4A5D-AA72-4DF0343454D8}"/>
    <cellStyle name="Linked Cell 9 2 6" xfId="28931" xr:uid="{0BCAC3AF-25F7-4AED-9D25-50F753248B63}"/>
    <cellStyle name="Linked Cell 9 3" xfId="17468" xr:uid="{14E22746-4A7B-444F-ABA8-2E1810C29A18}"/>
    <cellStyle name="Linked Cell 9 3 2" xfId="28932" xr:uid="{2B6A1118-E616-4553-ACAF-B8DCF74BC378}"/>
    <cellStyle name="Linked Cell 9 3 3" xfId="28933" xr:uid="{AD0FD085-1BC1-4D7D-83F2-7D7E1B2107DD}"/>
    <cellStyle name="Linked Cell 9 3 4" xfId="28934" xr:uid="{5AEF659F-DF49-4F2F-9143-90171CEC0899}"/>
    <cellStyle name="Linked Cell 9 3 5" xfId="28935" xr:uid="{E2BF1C94-562B-46A5-8881-9C606C954C3E}"/>
    <cellStyle name="Linked Cell 9 4" xfId="28936" xr:uid="{7383311B-3AC8-448F-B00C-71330E520E2A}"/>
    <cellStyle name="Linked Cell 9 5" xfId="28937" xr:uid="{E1C19AF9-0A4A-4F0E-8F99-8BA4B1EB1BB5}"/>
    <cellStyle name="Linked Cell 9 6" xfId="28938" xr:uid="{87FB3ED8-CFE4-498E-B934-F44FDE8DEA51}"/>
    <cellStyle name="Linked Cell 9 7" xfId="28939" xr:uid="{16FEB916-F231-444E-99C7-F6C4D9F8D69F}"/>
    <cellStyle name="Linked Cell 9 8" xfId="28940" xr:uid="{F7450F86-E532-40AB-9488-29D609F5F914}"/>
    <cellStyle name="Neutral 10" xfId="2724" xr:uid="{C5244A3B-546B-44A8-B206-01207FA77018}"/>
    <cellStyle name="Neutral 10 2" xfId="2725" xr:uid="{BAFE841C-93CB-4419-86EA-5A33CCE4B25A}"/>
    <cellStyle name="Neutral 10 2 2" xfId="17471" xr:uid="{F760A991-4FB8-43FA-8512-A7FF70303EA3}"/>
    <cellStyle name="Neutral 10 2 2 2" xfId="28941" xr:uid="{CA343180-1D9C-4C67-A532-67387503EF27}"/>
    <cellStyle name="Neutral 10 2 2 3" xfId="28942" xr:uid="{636FD431-DF6A-46C7-A14C-619B0E1EF662}"/>
    <cellStyle name="Neutral 10 2 2 4" xfId="28943" xr:uid="{267128F4-881D-4E4D-B637-F7D4E4980A73}"/>
    <cellStyle name="Neutral 10 2 2 5" xfId="28944" xr:uid="{547AA4A6-F21F-43E6-A255-653C177B1DD2}"/>
    <cellStyle name="Neutral 10 2 3" xfId="28945" xr:uid="{EE80903C-D9B4-4A59-8DFC-EB375C24A088}"/>
    <cellStyle name="Neutral 10 2 4" xfId="28946" xr:uid="{B400298D-80DF-4C8C-A6B7-5CA25203E51C}"/>
    <cellStyle name="Neutral 10 2 5" xfId="28947" xr:uid="{537D4F97-D419-47A5-989C-2E28578A2657}"/>
    <cellStyle name="Neutral 10 2 6" xfId="28948" xr:uid="{B6D99944-F9BC-4115-A244-7112F45ACA7F}"/>
    <cellStyle name="Neutral 10 3" xfId="17470" xr:uid="{81531065-DCB6-4C02-8365-720B3B4E9ED8}"/>
    <cellStyle name="Neutral 10 3 2" xfId="28949" xr:uid="{5854DA6C-3671-4AC7-A561-44ED1C7508F6}"/>
    <cellStyle name="Neutral 10 3 3" xfId="28950" xr:uid="{375AD720-7160-4A48-9D2E-7BE14C7E43B9}"/>
    <cellStyle name="Neutral 10 3 4" xfId="28951" xr:uid="{8EBABF28-AD94-4AAF-8088-B315751AD76F}"/>
    <cellStyle name="Neutral 10 3 5" xfId="28952" xr:uid="{D4E08F43-F50C-44CF-9220-2FCCF18EFC93}"/>
    <cellStyle name="Neutral 10 4" xfId="28953" xr:uid="{9BD58CAF-245A-48AB-A998-4949E8A3A4F7}"/>
    <cellStyle name="Neutral 10 5" xfId="28954" xr:uid="{5E8EC4E4-876E-487D-B6BC-2826382412E8}"/>
    <cellStyle name="Neutral 10 6" xfId="28955" xr:uid="{F3D7C499-647C-40E4-BA7F-DC08FF88B409}"/>
    <cellStyle name="Neutral 10 7" xfId="28956" xr:uid="{522E66C3-72F8-44EB-9F3F-40A941303D7A}"/>
    <cellStyle name="Neutral 10 8" xfId="28957" xr:uid="{E9FF80DD-B7FB-46FD-AF3A-618E136CA71F}"/>
    <cellStyle name="Neutral 11" xfId="2726" xr:uid="{F40BD4A7-5DF4-40F7-A972-56A14EA141D2}"/>
    <cellStyle name="Neutral 11 2" xfId="8634" xr:uid="{EB38C7A8-D5D4-4F8D-A5CB-08A3D52B0FC9}"/>
    <cellStyle name="Neutral 11 2 2" xfId="17473" xr:uid="{02251855-F8BD-4DCD-B80B-2F7A500194A5}"/>
    <cellStyle name="Neutral 11 2 2 2" xfId="28958" xr:uid="{6D765645-95F4-4D5E-BF6D-A2186A84BD0D}"/>
    <cellStyle name="Neutral 11 2 2 3" xfId="28959" xr:uid="{AAA238F4-6CC3-4F0C-8708-B8A375E5B59D}"/>
    <cellStyle name="Neutral 11 2 2 4" xfId="28960" xr:uid="{0FAD5063-1D9A-4B71-B156-61A320EB116E}"/>
    <cellStyle name="Neutral 11 2 2 5" xfId="28961" xr:uid="{CD4F0B0B-126C-4B6A-9816-EB2187611418}"/>
    <cellStyle name="Neutral 11 2 3" xfId="28962" xr:uid="{C0038F63-BC27-465F-9BAA-32A313523620}"/>
    <cellStyle name="Neutral 11 2 4" xfId="28963" xr:uid="{0A0DF32D-084A-4C83-916D-1F56D158F1FF}"/>
    <cellStyle name="Neutral 11 2 5" xfId="28964" xr:uid="{B025F075-53B8-45A1-996D-122E78A15C18}"/>
    <cellStyle name="Neutral 11 2 6" xfId="28965" xr:uid="{CE8135AA-B2CA-40D5-B775-361CD3C21EF4}"/>
    <cellStyle name="Neutral 11 3" xfId="17472" xr:uid="{EE35780C-EC72-41B0-962B-C80FA474DC72}"/>
    <cellStyle name="Neutral 11 3 2" xfId="28966" xr:uid="{1B529DA2-E984-4A1B-AD9D-F0CCD58003C4}"/>
    <cellStyle name="Neutral 11 3 3" xfId="28967" xr:uid="{2495E36C-D805-40EF-B223-86181B8B665C}"/>
    <cellStyle name="Neutral 11 3 4" xfId="28968" xr:uid="{9E3A1851-5D79-488B-A8D9-55D92E7CC5BB}"/>
    <cellStyle name="Neutral 11 3 5" xfId="28969" xr:uid="{08717284-5F33-48C0-B983-B0ADA65B4DE1}"/>
    <cellStyle name="Neutral 11 4" xfId="28970" xr:uid="{4BE79344-1B83-4ECB-882F-F7CAEEDC033C}"/>
    <cellStyle name="Neutral 11 5" xfId="28971" xr:uid="{B39AC3DE-7719-4ACE-AB77-1E82257899D8}"/>
    <cellStyle name="Neutral 11 6" xfId="28972" xr:uid="{B18EEEE4-3114-4BF7-AB0A-7A7290D57865}"/>
    <cellStyle name="Neutral 11 7" xfId="28973" xr:uid="{41441DFD-B89C-4A88-8275-AF70FBF3428D}"/>
    <cellStyle name="Neutral 11 8" xfId="28974" xr:uid="{7B2372D3-33F0-44D9-87C2-7D45FDA77F87}"/>
    <cellStyle name="Neutral 12" xfId="2727" xr:uid="{2F5AA133-EE8B-4518-B7BE-679F29AD52D6}"/>
    <cellStyle name="Neutral 12 2" xfId="11081" xr:uid="{300BDFB8-5CAE-4027-A10A-7D6E83C41495}"/>
    <cellStyle name="Neutral 12 2 2" xfId="17475" xr:uid="{317837CA-7A03-4ECC-8AE6-B0ECC1376D02}"/>
    <cellStyle name="Neutral 12 2 2 2" xfId="28975" xr:uid="{384928DF-AD93-4D40-BF09-58EDDC4BA6E7}"/>
    <cellStyle name="Neutral 12 2 2 3" xfId="28976" xr:uid="{9913B9F6-4A7E-422A-A719-7B07391D20EB}"/>
    <cellStyle name="Neutral 12 2 2 4" xfId="28977" xr:uid="{7EF81E0D-35CA-4E97-975B-F38D5F02F167}"/>
    <cellStyle name="Neutral 12 2 2 5" xfId="28978" xr:uid="{05C39FB1-7807-422E-AC04-96BFFD5ABF86}"/>
    <cellStyle name="Neutral 12 2 3" xfId="28979" xr:uid="{A2631D24-B45C-48D8-8B83-A6BA0CE7D2BA}"/>
    <cellStyle name="Neutral 12 2 4" xfId="28980" xr:uid="{511BAA1C-61A5-4FDD-AA29-ABECA73D81C3}"/>
    <cellStyle name="Neutral 12 2 5" xfId="28981" xr:uid="{0D79AA7B-965F-4FE7-AA6D-F89B91F694C5}"/>
    <cellStyle name="Neutral 12 2 6" xfId="28982" xr:uid="{94DE14BF-7B6D-47BC-8FF4-4406CCBABACF}"/>
    <cellStyle name="Neutral 12 3" xfId="17474" xr:uid="{427FD1A0-A742-4572-8737-E4ED915872BA}"/>
    <cellStyle name="Neutral 12 3 2" xfId="28983" xr:uid="{FA469A53-B1E0-42D6-9290-CBE25999E8A4}"/>
    <cellStyle name="Neutral 12 3 3" xfId="28984" xr:uid="{4E909987-532C-4BA3-8879-886918A4604D}"/>
    <cellStyle name="Neutral 12 3 4" xfId="28985" xr:uid="{BDF0D6DA-166A-4BD0-BF00-73145995F088}"/>
    <cellStyle name="Neutral 12 3 5" xfId="28986" xr:uid="{1990DC88-5FF1-454A-996A-6B86A4780284}"/>
    <cellStyle name="Neutral 12 4" xfId="28987" xr:uid="{38726302-3FFC-4786-B1D4-271AB4F8EAD7}"/>
    <cellStyle name="Neutral 12 5" xfId="28988" xr:uid="{C373343A-4197-446A-B8A3-2CFBAEF0A7AE}"/>
    <cellStyle name="Neutral 12 6" xfId="28989" xr:uid="{0E7FF826-360B-4DB2-BE93-A4BAA661B4B4}"/>
    <cellStyle name="Neutral 12 7" xfId="28990" xr:uid="{228A8A64-E788-463F-BA78-EEE7F57A4CF0}"/>
    <cellStyle name="Neutral 12 8" xfId="28991" xr:uid="{ED1BC157-9385-4C98-882E-EE6DEC459016}"/>
    <cellStyle name="Neutral 13" xfId="2728" xr:uid="{B115B903-079A-4DA0-B566-9947DB04EF27}"/>
    <cellStyle name="Neutral 13 2" xfId="8073" xr:uid="{7D1AC16F-F036-48F1-A60A-B3A9C54722F3}"/>
    <cellStyle name="Neutral 13 2 2" xfId="17477" xr:uid="{499068A2-89BB-42F2-BCE0-38B5486E927E}"/>
    <cellStyle name="Neutral 13 2 2 2" xfId="28992" xr:uid="{9713C4EE-0FEE-46CF-AF72-9AFFC9D20FCB}"/>
    <cellStyle name="Neutral 13 2 2 3" xfId="28993" xr:uid="{91A9FDFB-CD05-4BCD-99F6-BAA87056C089}"/>
    <cellStyle name="Neutral 13 2 2 4" xfId="28994" xr:uid="{5D3A79D6-D562-48FE-B43A-44A4E62DB8BF}"/>
    <cellStyle name="Neutral 13 2 2 5" xfId="28995" xr:uid="{4FA68529-DBD0-49DF-B3B3-9FBDC77D2F90}"/>
    <cellStyle name="Neutral 13 2 3" xfId="28996" xr:uid="{9E1AB048-B835-459F-AA38-8BDF741F313A}"/>
    <cellStyle name="Neutral 13 2 4" xfId="28997" xr:uid="{A5481987-0C03-4F69-A7C8-FFB1B76DAAB1}"/>
    <cellStyle name="Neutral 13 2 5" xfId="28998" xr:uid="{AF1C144C-8A5E-4483-A023-DFD3ED29EAEE}"/>
    <cellStyle name="Neutral 13 2 6" xfId="28999" xr:uid="{2C68C2C9-4964-4A07-9266-93C6D26E4F25}"/>
    <cellStyle name="Neutral 13 3" xfId="17476" xr:uid="{49FC44E2-F707-4C8D-8E5B-BD3AE9801C1C}"/>
    <cellStyle name="Neutral 13 3 2" xfId="29000" xr:uid="{EDAFB548-1862-41DF-BA74-4C4F76AAFB89}"/>
    <cellStyle name="Neutral 13 3 3" xfId="29001" xr:uid="{664B246F-B6B4-40B6-A3AC-931E51D588EB}"/>
    <cellStyle name="Neutral 13 3 4" xfId="29002" xr:uid="{9452F30F-99AE-40D0-B2D5-2D0404FA36CE}"/>
    <cellStyle name="Neutral 13 3 5" xfId="29003" xr:uid="{E9634D6E-F4D1-4DCF-AC81-88806714857E}"/>
    <cellStyle name="Neutral 13 4" xfId="29004" xr:uid="{07E9E115-7847-41EA-95DF-9146977FE644}"/>
    <cellStyle name="Neutral 13 5" xfId="29005" xr:uid="{752F122E-7425-480F-B2A7-F9096A597B98}"/>
    <cellStyle name="Neutral 13 6" xfId="29006" xr:uid="{ABE8FEFA-6018-41C1-8D2E-FDA5C3620B04}"/>
    <cellStyle name="Neutral 13 7" xfId="29007" xr:uid="{C766CDD0-DF46-40A7-8B04-20905AAE80DB}"/>
    <cellStyle name="Neutral 13 8" xfId="29008" xr:uid="{0CD7466A-6AC6-4402-B2BB-52E118A7D41F}"/>
    <cellStyle name="Neutral 14" xfId="2729" xr:uid="{5A3E38E3-994C-48DB-9411-776F0E8A0684}"/>
    <cellStyle name="Neutral 14 2" xfId="8072" xr:uid="{EC5AF70B-263E-457B-8AC8-2796AD61C779}"/>
    <cellStyle name="Neutral 14 2 2" xfId="17479" xr:uid="{E9843A71-C37A-45F7-92DD-98808D8E4E2A}"/>
    <cellStyle name="Neutral 14 2 2 2" xfId="29009" xr:uid="{C2C47FC4-5C6F-408A-8F41-3AB5FDE11670}"/>
    <cellStyle name="Neutral 14 2 2 3" xfId="29010" xr:uid="{A0EC086E-0E73-45BD-AF1A-72EE87430BAC}"/>
    <cellStyle name="Neutral 14 2 2 4" xfId="29011" xr:uid="{56CA4225-6B3E-4F38-AE8B-EEAC6F05FA85}"/>
    <cellStyle name="Neutral 14 2 2 5" xfId="29012" xr:uid="{C87EDA37-AD76-42E1-BA34-3F49E9F89D8E}"/>
    <cellStyle name="Neutral 14 2 3" xfId="29013" xr:uid="{8FFCFE41-792B-4624-A199-8FDB60F86FC3}"/>
    <cellStyle name="Neutral 14 2 4" xfId="29014" xr:uid="{39FF478F-8CBE-421B-83F3-41A0BAFEB2B7}"/>
    <cellStyle name="Neutral 14 2 5" xfId="29015" xr:uid="{AF9D83FE-85B4-477E-89E7-047BADEB5B46}"/>
    <cellStyle name="Neutral 14 2 6" xfId="29016" xr:uid="{CEB2EED4-FEFE-4997-84FC-D2DE139A44CA}"/>
    <cellStyle name="Neutral 14 3" xfId="17478" xr:uid="{2CFA4034-2A2D-407D-B413-6190D1CA1AB5}"/>
    <cellStyle name="Neutral 14 3 2" xfId="29017" xr:uid="{CC4CC707-AC36-4DE4-A726-6F476ED92013}"/>
    <cellStyle name="Neutral 14 3 3" xfId="29018" xr:uid="{DB5327C3-BCC9-415C-B7C1-665C99C3022B}"/>
    <cellStyle name="Neutral 14 3 4" xfId="29019" xr:uid="{8533D07B-93D7-4B0F-B77A-6FB573F3A0FC}"/>
    <cellStyle name="Neutral 14 3 5" xfId="29020" xr:uid="{6BDFD715-E19B-48BE-AC08-81B36D5B63CB}"/>
    <cellStyle name="Neutral 14 4" xfId="29021" xr:uid="{702555D8-9B3D-4F0A-A708-D8A9E8132CCF}"/>
    <cellStyle name="Neutral 14 5" xfId="29022" xr:uid="{C7562ECA-0BE6-48F8-A2B2-3133B0EF9EC7}"/>
    <cellStyle name="Neutral 14 6" xfId="29023" xr:uid="{48F32932-5972-4978-9D14-280137C262CF}"/>
    <cellStyle name="Neutral 14 7" xfId="29024" xr:uid="{5148031B-77CF-4271-866F-1C75E0B288BE}"/>
    <cellStyle name="Neutral 14 8" xfId="29025" xr:uid="{AFF63351-02C9-407F-A3E7-568D932C3876}"/>
    <cellStyle name="Neutral 15" xfId="2730" xr:uid="{A9646518-A154-4D5E-96A9-510FB04384A1}"/>
    <cellStyle name="Neutral 15 2" xfId="16481" xr:uid="{4322C31F-E57E-48C4-8BFD-76E5DFC26952}"/>
    <cellStyle name="Neutral 15 2 2" xfId="17481" xr:uid="{1A8B7F4F-9BC5-4577-817E-761DB8023F1D}"/>
    <cellStyle name="Neutral 15 2 2 2" xfId="29026" xr:uid="{BAD7D290-A4BD-400D-A0B9-7998E8FF798B}"/>
    <cellStyle name="Neutral 15 2 2 3" xfId="29027" xr:uid="{4F5DA335-6A40-499A-B5AF-4A9E80913E15}"/>
    <cellStyle name="Neutral 15 2 2 4" xfId="29028" xr:uid="{84C09D85-6FE0-4D8C-9035-7867EE007307}"/>
    <cellStyle name="Neutral 15 2 2 5" xfId="29029" xr:uid="{781D98CA-FC18-4A96-9BB7-2A665421320A}"/>
    <cellStyle name="Neutral 15 2 3" xfId="29030" xr:uid="{80F24F34-A6D7-444A-A0A1-5EED43D06B5D}"/>
    <cellStyle name="Neutral 15 2 4" xfId="29031" xr:uid="{4E7A00BE-31B6-4527-86B1-CF645488DA1B}"/>
    <cellStyle name="Neutral 15 2 5" xfId="29032" xr:uid="{5AD024FC-C61C-4C3F-97DC-18E2AA2D1E27}"/>
    <cellStyle name="Neutral 15 2 6" xfId="29033" xr:uid="{8673E206-5496-42E2-AFBE-D81C2D97BD55}"/>
    <cellStyle name="Neutral 15 3" xfId="17480" xr:uid="{45C016D0-67E7-44EE-A4A0-24BEB72361E9}"/>
    <cellStyle name="Neutral 15 3 2" xfId="29034" xr:uid="{49C7ACE4-95EE-495F-8662-D5F844F50ADA}"/>
    <cellStyle name="Neutral 15 3 3" xfId="29035" xr:uid="{E51E8321-C719-41E6-881B-5CC7D0A67025}"/>
    <cellStyle name="Neutral 15 3 4" xfId="29036" xr:uid="{85FB4D0D-76CC-440F-8029-F96F487B5816}"/>
    <cellStyle name="Neutral 15 3 5" xfId="29037" xr:uid="{62EA87B5-0606-4C1C-957A-E200C3362FC6}"/>
    <cellStyle name="Neutral 15 4" xfId="29038" xr:uid="{13601403-60E0-437D-BC7F-7374C2BF9AD1}"/>
    <cellStyle name="Neutral 15 5" xfId="29039" xr:uid="{577A39FF-C016-4B62-8CA3-DA4003283274}"/>
    <cellStyle name="Neutral 15 6" xfId="29040" xr:uid="{3D0ED6F2-D032-43B6-982E-1C06511A34A8}"/>
    <cellStyle name="Neutral 15 7" xfId="29041" xr:uid="{6022CD6B-584B-476F-8506-48DD6E915866}"/>
    <cellStyle name="Neutral 16" xfId="2731" xr:uid="{DD98DC55-4B7F-4BC4-B4F5-E364E933D387}"/>
    <cellStyle name="Neutral 16 2" xfId="16482" xr:uid="{8548C120-64FB-4FEF-9D83-0FA9239CFCDE}"/>
    <cellStyle name="Neutral 16 2 2" xfId="17483" xr:uid="{2C2DE2FF-ACBC-43F5-A503-9FD5EB77F8E3}"/>
    <cellStyle name="Neutral 16 2 2 2" xfId="29042" xr:uid="{EE9DA96E-A793-4C61-B79E-C8C0FD549197}"/>
    <cellStyle name="Neutral 16 2 2 3" xfId="29043" xr:uid="{4C830A52-5A5B-4F21-8FAA-19B5F234A198}"/>
    <cellStyle name="Neutral 16 2 2 4" xfId="29044" xr:uid="{8FB8A7F5-E923-4332-B5E5-15CA0C406B22}"/>
    <cellStyle name="Neutral 16 2 2 5" xfId="29045" xr:uid="{E27AAA59-EEDD-4029-B470-C9ED1534F445}"/>
    <cellStyle name="Neutral 16 2 3" xfId="29046" xr:uid="{DDADF1CF-3C39-4DCD-AD90-37F56532034A}"/>
    <cellStyle name="Neutral 16 2 4" xfId="29047" xr:uid="{E84BD237-C074-4F23-9885-72C6489F90DC}"/>
    <cellStyle name="Neutral 16 2 5" xfId="29048" xr:uid="{1E824E2D-B844-4DA7-B258-E66EFD72948C}"/>
    <cellStyle name="Neutral 16 2 6" xfId="29049" xr:uid="{BA0E057C-33BF-4817-BAEB-38CF6D7E73D8}"/>
    <cellStyle name="Neutral 16 3" xfId="17482" xr:uid="{F21121EB-3820-435E-9064-78C84E20BCA9}"/>
    <cellStyle name="Neutral 16 3 2" xfId="29050" xr:uid="{297D6153-A76C-45E9-B161-FE798C196E65}"/>
    <cellStyle name="Neutral 16 3 3" xfId="29051" xr:uid="{819D968C-7907-46DF-B900-BED3BFC16467}"/>
    <cellStyle name="Neutral 16 3 4" xfId="29052" xr:uid="{8AC709AC-3502-4364-BD2C-392A5FDA6E93}"/>
    <cellStyle name="Neutral 16 3 5" xfId="29053" xr:uid="{43DA698C-7607-47BF-AFD8-2D020CC01BDC}"/>
    <cellStyle name="Neutral 16 4" xfId="29054" xr:uid="{EA453C29-1245-4C0F-8747-C2E0BDD285B9}"/>
    <cellStyle name="Neutral 16 5" xfId="29055" xr:uid="{62894667-C1E8-4C34-92B2-F3E04A38B7BA}"/>
    <cellStyle name="Neutral 16 6" xfId="29056" xr:uid="{B20A156E-F647-4445-9D92-F2C0C6068444}"/>
    <cellStyle name="Neutral 16 7" xfId="29057" xr:uid="{5AD86A6D-2DB2-43CE-8E3D-F678B01E4809}"/>
    <cellStyle name="Neutral 17" xfId="2732" xr:uid="{142855DD-65E5-4863-8CBB-7311C5DBD937}"/>
    <cellStyle name="Neutral 17 2" xfId="16483" xr:uid="{D300BBD6-4CF0-40A8-926E-3B0BA0023D2F}"/>
    <cellStyle name="Neutral 17 2 2" xfId="17485" xr:uid="{69C409EB-357E-4C2C-B411-B8394CF551DC}"/>
    <cellStyle name="Neutral 17 2 2 2" xfId="29058" xr:uid="{7815D788-6C54-40E8-B2BA-E45E7277AAF3}"/>
    <cellStyle name="Neutral 17 2 2 3" xfId="29059" xr:uid="{C0D083F3-4C80-4899-BCC3-1004BABE0A91}"/>
    <cellStyle name="Neutral 17 2 2 4" xfId="29060" xr:uid="{B39064EF-157A-4947-8FA5-F868FEEBBC4E}"/>
    <cellStyle name="Neutral 17 2 2 5" xfId="29061" xr:uid="{D7977471-8796-4B94-B90E-8B753DD1DBDC}"/>
    <cellStyle name="Neutral 17 2 3" xfId="29062" xr:uid="{A8AA64A0-D36A-4EEF-81BC-2A19E07FC1F5}"/>
    <cellStyle name="Neutral 17 2 4" xfId="29063" xr:uid="{A6A6B649-14BD-43F9-97C3-8809C079D55E}"/>
    <cellStyle name="Neutral 17 2 5" xfId="29064" xr:uid="{76ADF5DD-205E-449E-BF92-C68ADD9CC1EF}"/>
    <cellStyle name="Neutral 17 2 6" xfId="29065" xr:uid="{4CF589FD-3BB9-4FAC-B317-943F26969BD2}"/>
    <cellStyle name="Neutral 17 3" xfId="17484" xr:uid="{AD54D449-C008-4EEB-8EA8-43EE76C43ED4}"/>
    <cellStyle name="Neutral 17 3 2" xfId="29066" xr:uid="{B03BDD58-8C8B-4808-A1A1-E84E00307CA1}"/>
    <cellStyle name="Neutral 17 3 3" xfId="29067" xr:uid="{16DDDEEC-F67E-429C-82FE-4347A2B2EE92}"/>
    <cellStyle name="Neutral 17 3 4" xfId="29068" xr:uid="{60718012-22A1-4CA9-9716-845C45B7443E}"/>
    <cellStyle name="Neutral 17 3 5" xfId="29069" xr:uid="{316178E6-B2C6-4862-8D0C-AAEAF01FFC28}"/>
    <cellStyle name="Neutral 17 4" xfId="29070" xr:uid="{ABB701BD-2EE5-4165-B71F-2E9143CE40BC}"/>
    <cellStyle name="Neutral 17 5" xfId="29071" xr:uid="{718E9365-4183-4B8D-B2A8-9E82DB8DE2E7}"/>
    <cellStyle name="Neutral 17 6" xfId="29072" xr:uid="{B55AA0B7-064F-4899-8F9C-3ADF95B15E5E}"/>
    <cellStyle name="Neutral 17 7" xfId="29073" xr:uid="{EFCB8407-7A7B-4010-A118-0DE220157731}"/>
    <cellStyle name="Neutral 18" xfId="2733" xr:uid="{4328FA5C-7F85-4B23-8249-21E3D62DFCFC}"/>
    <cellStyle name="Neutral 18 2" xfId="16484" xr:uid="{7BB29E72-6643-4EB3-B379-E96FA3AE76DB}"/>
    <cellStyle name="Neutral 18 2 2" xfId="17487" xr:uid="{1B0D2185-AF74-4B48-93D9-F3FA03D8A0A3}"/>
    <cellStyle name="Neutral 18 2 2 2" xfId="29074" xr:uid="{F2717181-23CA-40F7-87B0-ABB5538768C4}"/>
    <cellStyle name="Neutral 18 2 2 3" xfId="29075" xr:uid="{847324C4-6089-426B-A103-DD5D0B351D24}"/>
    <cellStyle name="Neutral 18 2 2 4" xfId="29076" xr:uid="{7CACB643-2906-438E-827A-8C993BB083AB}"/>
    <cellStyle name="Neutral 18 2 2 5" xfId="29077" xr:uid="{467DB3C3-2C68-4FD8-A1F9-0CAF503B894E}"/>
    <cellStyle name="Neutral 18 2 3" xfId="29078" xr:uid="{97143F15-1BBF-49EB-B30C-B0A518F8D640}"/>
    <cellStyle name="Neutral 18 2 4" xfId="29079" xr:uid="{F8C8D40D-105E-4909-BF2C-D55697507C76}"/>
    <cellStyle name="Neutral 18 2 5" xfId="29080" xr:uid="{B9A34F6C-DD2B-4397-A1E9-F4DA690710F6}"/>
    <cellStyle name="Neutral 18 2 6" xfId="29081" xr:uid="{C06AE183-92BC-43E9-B039-63D85CBC8BDD}"/>
    <cellStyle name="Neutral 18 3" xfId="17486" xr:uid="{49E668EF-96BB-4FAB-92C2-65AFFA9AC7C1}"/>
    <cellStyle name="Neutral 18 3 2" xfId="29082" xr:uid="{E001A3E5-F147-4337-9972-885B2BED5CB2}"/>
    <cellStyle name="Neutral 18 3 3" xfId="29083" xr:uid="{FB6DC026-5B3A-4EB5-9582-80F882B4282A}"/>
    <cellStyle name="Neutral 18 3 4" xfId="29084" xr:uid="{3477E0A9-614B-4561-AD5F-481B84080C01}"/>
    <cellStyle name="Neutral 18 3 5" xfId="29085" xr:uid="{5F8A97C5-03C6-41AB-AA08-4A786BE26AD9}"/>
    <cellStyle name="Neutral 18 4" xfId="29086" xr:uid="{E974E8F7-9D3D-4DCE-AB8C-F89EF32F39E0}"/>
    <cellStyle name="Neutral 18 5" xfId="29087" xr:uid="{23CDE284-8F5E-4C18-9B8F-C031E3C3CC1B}"/>
    <cellStyle name="Neutral 18 6" xfId="29088" xr:uid="{6252AA59-BC9B-424C-966D-7CDDE2433027}"/>
    <cellStyle name="Neutral 18 7" xfId="29089" xr:uid="{BD132953-552E-4109-AD76-A21E19E5508B}"/>
    <cellStyle name="Neutral 19" xfId="2734" xr:uid="{D2B508F7-23BF-4097-A315-858A08CAE2D0}"/>
    <cellStyle name="Neutral 19 2" xfId="16485" xr:uid="{3222F4D0-081E-4EC1-B349-8566E8A8F84F}"/>
    <cellStyle name="Neutral 19 2 2" xfId="17489" xr:uid="{90D8796B-00C1-4F7A-A7E7-2930732E19FB}"/>
    <cellStyle name="Neutral 19 2 2 2" xfId="29090" xr:uid="{53F98367-6267-4CF3-B9EA-AF83869E0A0A}"/>
    <cellStyle name="Neutral 19 2 2 3" xfId="29091" xr:uid="{A54BA2AE-1C03-4EE6-BE95-89EACF877A2A}"/>
    <cellStyle name="Neutral 19 2 2 4" xfId="29092" xr:uid="{1D24F67C-A54B-4CE0-97AC-70DA8AFDF03B}"/>
    <cellStyle name="Neutral 19 2 2 5" xfId="29093" xr:uid="{C4A67579-D036-49A3-A9DE-243B351D06DE}"/>
    <cellStyle name="Neutral 19 2 3" xfId="29094" xr:uid="{3E564596-7E55-4DFD-8D29-28B5E5B88421}"/>
    <cellStyle name="Neutral 19 2 4" xfId="29095" xr:uid="{891DB857-45D0-428C-9E68-A1EC46D69BC8}"/>
    <cellStyle name="Neutral 19 2 5" xfId="29096" xr:uid="{2113C955-767A-4D10-A967-FA7A4A54EC43}"/>
    <cellStyle name="Neutral 19 2 6" xfId="29097" xr:uid="{D7B08089-4F64-4EF6-A420-0C2ACF2163E2}"/>
    <cellStyle name="Neutral 19 3" xfId="17488" xr:uid="{EDADE100-D131-4EAE-A351-58371D97B94A}"/>
    <cellStyle name="Neutral 19 3 2" xfId="29098" xr:uid="{930C5F88-5322-424A-8BA7-0BC174BD0BB8}"/>
    <cellStyle name="Neutral 19 3 3" xfId="29099" xr:uid="{AC9F4A57-A22F-4D7E-93B8-2ADF32F0D3F2}"/>
    <cellStyle name="Neutral 19 3 4" xfId="29100" xr:uid="{9BF8E5B4-FE56-40B9-AE7C-4CB28E356F14}"/>
    <cellStyle name="Neutral 19 3 5" xfId="29101" xr:uid="{757DBB71-874E-42BF-87E0-622FF87ABD11}"/>
    <cellStyle name="Neutral 19 4" xfId="29102" xr:uid="{203E94B6-8E2C-452A-B157-2D4D0D1606BD}"/>
    <cellStyle name="Neutral 19 5" xfId="29103" xr:uid="{5CFEDCB0-66A4-4B53-ABAB-1AB63A0AFF26}"/>
    <cellStyle name="Neutral 19 6" xfId="29104" xr:uid="{CEB5FD6B-B040-4D3D-AAC7-CC25ADC77903}"/>
    <cellStyle name="Neutral 19 7" xfId="29105" xr:uid="{A938FBFF-1569-4591-B283-6FF8DC8C67C9}"/>
    <cellStyle name="Neutral 2" xfId="2735" xr:uid="{1826664A-4D37-407F-B6EC-6033041E54C6}"/>
    <cellStyle name="Neutral 2 10" xfId="8071" xr:uid="{9DD900D1-0A0E-4666-AF7A-12D93BA9535C}"/>
    <cellStyle name="Neutral 2 10 2" xfId="29106" xr:uid="{2D47FF52-3AA8-4A08-B74E-D1914A4575E0}"/>
    <cellStyle name="Neutral 2 10 3" xfId="29107" xr:uid="{91E78A78-9588-4B8A-BBA1-36D46F5F411D}"/>
    <cellStyle name="Neutral 2 10 4" xfId="29108" xr:uid="{E3892C01-66C4-457F-9E39-88F25C4D5D05}"/>
    <cellStyle name="Neutral 2 10 5" xfId="29109" xr:uid="{981C0637-7533-445D-A1C7-F2B9A6B7FF10}"/>
    <cellStyle name="Neutral 2 10 6" xfId="17490" xr:uid="{44C24B72-C493-4CF8-9D8A-5C207AEE5E0C}"/>
    <cellStyle name="Neutral 2 11" xfId="29110" xr:uid="{175F975F-1750-4B36-9D83-F275976EF338}"/>
    <cellStyle name="Neutral 2 12" xfId="29111" xr:uid="{FECCB415-109D-4BAC-8428-E64536605FAC}"/>
    <cellStyle name="Neutral 2 13" xfId="29112" xr:uid="{D29DFCC0-D42F-4314-BD9E-391C8B325F73}"/>
    <cellStyle name="Neutral 2 14" xfId="29113" xr:uid="{544436A6-4A67-494C-8931-4BA6938F152E}"/>
    <cellStyle name="Neutral 2 15" xfId="29114" xr:uid="{EE196398-29A2-43F1-AB49-8C2D30E11FA2}"/>
    <cellStyle name="Neutral 2 16" xfId="29115" xr:uid="{A47CD06E-AC1E-4B5F-A313-B46F99233BA0}"/>
    <cellStyle name="Neutral 2 2" xfId="2736" xr:uid="{1DB8D697-B275-4B56-B534-9A1DD74E6C5E}"/>
    <cellStyle name="Neutral 2 2 2" xfId="17491" xr:uid="{15433C69-3DA3-4234-B785-169EE434D4EB}"/>
    <cellStyle name="Neutral 2 2 2 2" xfId="29116" xr:uid="{F3C4B873-94D3-44DB-BA12-E914A38D1DBA}"/>
    <cellStyle name="Neutral 2 2 2 3" xfId="29117" xr:uid="{C7EB821F-1A17-497F-85A9-7AB8E82F375D}"/>
    <cellStyle name="Neutral 2 2 2 4" xfId="29118" xr:uid="{2AC28D8A-E97C-4F5D-9062-DA539114D6CC}"/>
    <cellStyle name="Neutral 2 2 2 5" xfId="29119" xr:uid="{5918C265-50CE-4883-A545-9846AD67A4D6}"/>
    <cellStyle name="Neutral 2 2 3" xfId="29120" xr:uid="{566863F5-599E-46A9-82B4-E63794DC70CE}"/>
    <cellStyle name="Neutral 2 2 4" xfId="29121" xr:uid="{495B3A08-F7A4-4497-AE2B-680F28851DEB}"/>
    <cellStyle name="Neutral 2 2 5" xfId="29122" xr:uid="{81A1D828-D7C2-49D8-88CF-8061CBABA4BF}"/>
    <cellStyle name="Neutral 2 2 6" xfId="29123" xr:uid="{A05F5E26-F0F8-43CF-AB74-3D9A6902DB25}"/>
    <cellStyle name="Neutral 2 2 7" xfId="29124" xr:uid="{63C8B8D5-BD43-405A-9589-8DA081E6671E}"/>
    <cellStyle name="Neutral 2 3" xfId="2737" xr:uid="{1EB7741E-1D8D-46A2-B105-B5A881D40727}"/>
    <cellStyle name="Neutral 2 3 2" xfId="17492" xr:uid="{97C90A80-7E69-4ED9-9304-037AAEDEE117}"/>
    <cellStyle name="Neutral 2 3 2 2" xfId="29125" xr:uid="{A2346EC1-BBD0-418B-A19F-63D0FDDBC57A}"/>
    <cellStyle name="Neutral 2 3 2 3" xfId="29126" xr:uid="{3593CC94-1700-4BD0-AA1E-86983D2E358B}"/>
    <cellStyle name="Neutral 2 3 2 4" xfId="29127" xr:uid="{5ED71018-0DCC-4665-86E3-7AAFDF4959C4}"/>
    <cellStyle name="Neutral 2 3 2 5" xfId="29128" xr:uid="{26D7C0BA-C97E-40EE-B275-159D221D751E}"/>
    <cellStyle name="Neutral 2 3 3" xfId="29129" xr:uid="{42661DCC-3C77-4427-A4C0-57F67DD774A1}"/>
    <cellStyle name="Neutral 2 3 4" xfId="29130" xr:uid="{01A86372-EA35-4B4F-B5A7-F4E3B87C7CAC}"/>
    <cellStyle name="Neutral 2 3 5" xfId="29131" xr:uid="{58BBA740-9173-48D1-BBEF-4B2743865C0D}"/>
    <cellStyle name="Neutral 2 3 6" xfId="29132" xr:uid="{38F492AB-4563-423C-8387-BE270CF68433}"/>
    <cellStyle name="Neutral 2 3 7" xfId="29133" xr:uid="{D9B96B04-AA57-4187-96C9-75C41BE29ECE}"/>
    <cellStyle name="Neutral 2 4" xfId="2738" xr:uid="{1BDBCBA4-D939-4563-BD28-10061006F9E8}"/>
    <cellStyle name="Neutral 2 4 2" xfId="17493" xr:uid="{4E6D071A-514D-40DF-BA9B-AD51B0395700}"/>
    <cellStyle name="Neutral 2 4 2 2" xfId="29134" xr:uid="{7AB93744-CEBD-4802-928F-E9A35A3591D3}"/>
    <cellStyle name="Neutral 2 4 2 3" xfId="29135" xr:uid="{C4F240F6-341A-4C35-B6EC-64363AE90A3A}"/>
    <cellStyle name="Neutral 2 4 2 4" xfId="29136" xr:uid="{F27B607E-5463-4C25-81CD-7F3991582C4A}"/>
    <cellStyle name="Neutral 2 4 2 5" xfId="29137" xr:uid="{F615CF77-8E98-4C79-80DE-169F408CE22B}"/>
    <cellStyle name="Neutral 2 4 3" xfId="29138" xr:uid="{2FCFCF20-52F6-4795-A833-F2D859236059}"/>
    <cellStyle name="Neutral 2 4 4" xfId="29139" xr:uid="{0B1B50B8-24DC-48E5-A0E6-6FAC9E312339}"/>
    <cellStyle name="Neutral 2 4 5" xfId="29140" xr:uid="{6C57273B-D59D-496A-8173-78FBC33E37F5}"/>
    <cellStyle name="Neutral 2 4 6" xfId="29141" xr:uid="{F121C2B8-5911-4386-B3E2-246F4EB8BC00}"/>
    <cellStyle name="Neutral 2 4 7" xfId="29142" xr:uid="{857122E9-DE81-46C6-806B-C1461DD9C54F}"/>
    <cellStyle name="Neutral 2 5" xfId="2739" xr:uid="{4C4426B2-CB2D-466C-A7E3-FABCEB93BA73}"/>
    <cellStyle name="Neutral 2 5 2" xfId="17494" xr:uid="{45D69BEA-3404-4F10-8627-C2D2DAE82D4A}"/>
    <cellStyle name="Neutral 2 5 2 2" xfId="29143" xr:uid="{DABD0E14-D35E-479A-9D48-FD9258CC14D7}"/>
    <cellStyle name="Neutral 2 5 2 3" xfId="29144" xr:uid="{CD45E6D3-E5D2-400D-BFC7-EFC9C9275AF3}"/>
    <cellStyle name="Neutral 2 5 2 4" xfId="29145" xr:uid="{E7CA9640-30CD-4631-B901-58D7C9FD00C0}"/>
    <cellStyle name="Neutral 2 5 2 5" xfId="29146" xr:uid="{9112F2DA-CC14-44FB-92F1-1FA0DD1420D6}"/>
    <cellStyle name="Neutral 2 5 3" xfId="29147" xr:uid="{26629D1E-D657-4FF8-8A6D-CF4BBF1304DD}"/>
    <cellStyle name="Neutral 2 5 4" xfId="29148" xr:uid="{7592881A-2E7B-4A6D-B5C1-2191614F867B}"/>
    <cellStyle name="Neutral 2 5 5" xfId="29149" xr:uid="{61E88303-8980-4DAB-B065-920FD500A381}"/>
    <cellStyle name="Neutral 2 5 6" xfId="29150" xr:uid="{03F50DA1-5F53-4EF6-967C-4598F960D4EF}"/>
    <cellStyle name="Neutral 2 5 7" xfId="29151" xr:uid="{DBE2DB3F-401C-45A7-A531-C173D1CF267D}"/>
    <cellStyle name="Neutral 2 6" xfId="2740" xr:uid="{E82389EB-ECDE-4B53-9487-ABBEBAD8516A}"/>
    <cellStyle name="Neutral 2 6 2" xfId="17495" xr:uid="{C917EAAA-3573-42A4-887F-9736342C3EE1}"/>
    <cellStyle name="Neutral 2 6 2 2" xfId="29152" xr:uid="{1DAF4E1F-419E-4925-AC6B-B0EB27402EB5}"/>
    <cellStyle name="Neutral 2 6 2 3" xfId="29153" xr:uid="{D1D6C20C-7EE1-4385-9207-40D0BF2CFC2E}"/>
    <cellStyle name="Neutral 2 6 2 4" xfId="29154" xr:uid="{A1BC879A-9186-4134-AB6E-274D1539346D}"/>
    <cellStyle name="Neutral 2 6 2 5" xfId="29155" xr:uid="{CA72A3D7-E24C-4FF4-A52D-C996DCA86C06}"/>
    <cellStyle name="Neutral 2 6 3" xfId="29156" xr:uid="{F72BC410-FB4A-4DDF-B5FA-382981CDC1D9}"/>
    <cellStyle name="Neutral 2 6 4" xfId="29157" xr:uid="{F9CE8BB7-F7CD-4D7E-8C01-7468DDEF5B85}"/>
    <cellStyle name="Neutral 2 6 5" xfId="29158" xr:uid="{F2A2AEA5-40B1-4256-B2F5-F610B12BB72D}"/>
    <cellStyle name="Neutral 2 6 6" xfId="29159" xr:uid="{B7FE9157-077D-46AB-8E54-B3EF7029FD66}"/>
    <cellStyle name="Neutral 2 6 7" xfId="29160" xr:uid="{75FEF614-7DF8-4CDA-9B8C-8E542CD92C9F}"/>
    <cellStyle name="Neutral 2 7" xfId="2741" xr:uid="{AB12DC58-5A3C-4551-B83A-108DBF15B131}"/>
    <cellStyle name="Neutral 2 7 2" xfId="17496" xr:uid="{9ADA241D-2A70-4F91-A51C-2F8E75BE5FD8}"/>
    <cellStyle name="Neutral 2 7 2 2" xfId="29161" xr:uid="{B9F03056-49A5-4287-BBA2-4B753A66AF01}"/>
    <cellStyle name="Neutral 2 7 2 3" xfId="29162" xr:uid="{D26CAEB6-FEEF-406B-8313-93D8F0E79876}"/>
    <cellStyle name="Neutral 2 7 2 4" xfId="29163" xr:uid="{0269B8AD-9EF4-4D26-91E9-603B6A533159}"/>
    <cellStyle name="Neutral 2 7 2 5" xfId="29164" xr:uid="{599DF6BC-91AE-48CD-AB68-4C89D55FE1D6}"/>
    <cellStyle name="Neutral 2 7 3" xfId="29165" xr:uid="{67EFB035-EBF0-4365-BAA5-06049BCCA027}"/>
    <cellStyle name="Neutral 2 7 4" xfId="29166" xr:uid="{924A01EE-E846-4940-98CB-EDC53007CAF5}"/>
    <cellStyle name="Neutral 2 7 5" xfId="29167" xr:uid="{ED973B91-D2A8-4E48-B656-C1B1CEBE573B}"/>
    <cellStyle name="Neutral 2 7 6" xfId="29168" xr:uid="{D603CD86-9231-4067-B243-DC83A66FB807}"/>
    <cellStyle name="Neutral 2 7 7" xfId="29169" xr:uid="{2403F71F-B325-4D3E-854B-49D945E42C7A}"/>
    <cellStyle name="Neutral 2 8" xfId="2742" xr:uid="{9718C492-776E-42C2-8566-901A39C08A10}"/>
    <cellStyle name="Neutral 2 8 2" xfId="17497" xr:uid="{226B9F63-29B4-4EBB-BBFC-465BD13D9073}"/>
    <cellStyle name="Neutral 2 8 2 2" xfId="29170" xr:uid="{328F7BAE-D3F8-46BC-8814-FFC789B52048}"/>
    <cellStyle name="Neutral 2 8 2 3" xfId="29171" xr:uid="{C4A9951E-0739-4028-A896-2BC6EA6D47CD}"/>
    <cellStyle name="Neutral 2 8 2 4" xfId="29172" xr:uid="{BF04CF7C-16E3-42FB-BFC3-B98C0A98B546}"/>
    <cellStyle name="Neutral 2 8 2 5" xfId="29173" xr:uid="{49BF9080-C306-4036-91A6-D6197D0FA4E8}"/>
    <cellStyle name="Neutral 2 8 3" xfId="29174" xr:uid="{624578F9-CD08-40A3-9CD0-DB9473B611D5}"/>
    <cellStyle name="Neutral 2 8 4" xfId="29175" xr:uid="{AE66B628-4CC1-4DFF-8521-FB67CFFE3246}"/>
    <cellStyle name="Neutral 2 8 5" xfId="29176" xr:uid="{107661B3-BCE7-4302-ACAA-63D89FCBD6B7}"/>
    <cellStyle name="Neutral 2 8 6" xfId="29177" xr:uid="{79D415CD-8DE6-44C4-9BAA-C9A2505139C3}"/>
    <cellStyle name="Neutral 2 8 7" xfId="29178" xr:uid="{4D498AF9-FD94-474E-8665-78541787C88A}"/>
    <cellStyle name="Neutral 2 9" xfId="2743" xr:uid="{2122E592-3DD4-4950-B8C4-E7A49BC32B1A}"/>
    <cellStyle name="Neutral 2 9 2" xfId="17498" xr:uid="{AE1700F2-5D0D-4A68-A3B7-BD13ED69553B}"/>
    <cellStyle name="Neutral 2 9 2 2" xfId="29179" xr:uid="{DF405052-9C4D-40AC-9371-21D1CFF6DAF7}"/>
    <cellStyle name="Neutral 2 9 2 3" xfId="29180" xr:uid="{B388C067-1043-4ABC-8E3A-0FFAF3F52DB1}"/>
    <cellStyle name="Neutral 2 9 2 4" xfId="29181" xr:uid="{D1FB1F94-A517-494D-80EB-CA8DAA8F5C41}"/>
    <cellStyle name="Neutral 2 9 2 5" xfId="29182" xr:uid="{07FC067B-3473-4D28-973F-4C6C17D5B701}"/>
    <cellStyle name="Neutral 2 9 3" xfId="29183" xr:uid="{46A6F2DA-259B-4726-9FCF-C0E803C45DCF}"/>
    <cellStyle name="Neutral 2 9 4" xfId="29184" xr:uid="{F1EB7A4B-9CF7-498E-962F-A7B2559F63CA}"/>
    <cellStyle name="Neutral 2 9 5" xfId="29185" xr:uid="{51A8CDE2-DBEF-46F6-AD4A-E66CEB279971}"/>
    <cellStyle name="Neutral 2 9 6" xfId="29186" xr:uid="{9E40BE69-BF14-4BD2-AC20-1216DDEB7DC0}"/>
    <cellStyle name="Neutral 2 9 7" xfId="29187" xr:uid="{77009CE2-C5FF-430D-8E98-406EFA3E2890}"/>
    <cellStyle name="Neutral 20" xfId="2744" xr:uid="{079D26B2-C651-4DCB-A31D-64F8ACEED3DB}"/>
    <cellStyle name="Neutral 20 2" xfId="16486" xr:uid="{3FBD09AC-6DC8-483B-B18D-39828B04C702}"/>
    <cellStyle name="Neutral 20 2 2" xfId="17500" xr:uid="{00A245C1-4146-4FCC-9AA4-C4CBFDBEF094}"/>
    <cellStyle name="Neutral 20 2 2 2" xfId="29188" xr:uid="{69EC6FA8-8F06-41CC-AFE8-8EB81370A7CE}"/>
    <cellStyle name="Neutral 20 2 2 3" xfId="29189" xr:uid="{E1EE3763-888C-42A9-A2DC-43FF9C9FFCAE}"/>
    <cellStyle name="Neutral 20 2 2 4" xfId="29190" xr:uid="{4AFDCF90-3A4B-41B5-B846-773997BB299D}"/>
    <cellStyle name="Neutral 20 2 2 5" xfId="29191" xr:uid="{575A671E-ECCB-40F1-9A8D-D4365CAB520D}"/>
    <cellStyle name="Neutral 20 2 3" xfId="29192" xr:uid="{96948061-EE0C-4E3C-9CDA-5895983B1D09}"/>
    <cellStyle name="Neutral 20 2 4" xfId="29193" xr:uid="{727585CC-9C3A-4033-BB5B-E4418D003BF6}"/>
    <cellStyle name="Neutral 20 2 5" xfId="29194" xr:uid="{A8B5822A-D6E5-4B35-BFAB-8694939A512B}"/>
    <cellStyle name="Neutral 20 2 6" xfId="29195" xr:uid="{80E7CC08-9B7D-4D1D-9A2E-486DCE88E2CF}"/>
    <cellStyle name="Neutral 20 3" xfId="17499" xr:uid="{BCC38AA0-74EF-4AA9-8AD9-BA0143784A8E}"/>
    <cellStyle name="Neutral 20 3 2" xfId="29196" xr:uid="{A5BA7ECB-2C0C-4126-85AA-3DFF28397EE1}"/>
    <cellStyle name="Neutral 20 3 3" xfId="29197" xr:uid="{6987D30C-4AFD-4EB6-9556-90FCD7CEDC35}"/>
    <cellStyle name="Neutral 20 3 4" xfId="29198" xr:uid="{59152831-1688-40F7-B72F-792511D67E12}"/>
    <cellStyle name="Neutral 20 3 5" xfId="29199" xr:uid="{3066BCED-C524-434F-AE72-43DAFEF10205}"/>
    <cellStyle name="Neutral 20 4" xfId="29200" xr:uid="{4705BAAC-8ED4-4450-9CAD-3B98DE8EC4DA}"/>
    <cellStyle name="Neutral 20 5" xfId="29201" xr:uid="{9C2EA77E-50AE-4B9D-84CF-9544C8E959E1}"/>
    <cellStyle name="Neutral 20 6" xfId="29202" xr:uid="{783B4FDA-F0D2-4805-84A8-1051285AF5CE}"/>
    <cellStyle name="Neutral 20 7" xfId="29203" xr:uid="{94852CC1-75FE-4078-BB27-42AFD6DB5A6B}"/>
    <cellStyle name="Neutral 21" xfId="16487" xr:uid="{135E45D4-C302-493D-A3C7-340BA799B540}"/>
    <cellStyle name="Neutral 21 2" xfId="17501" xr:uid="{40270804-4794-4A77-A9B0-B953D4DA904D}"/>
    <cellStyle name="Neutral 21 2 2" xfId="29204" xr:uid="{CBC11CE1-95E4-4478-87FF-B483408BE20D}"/>
    <cellStyle name="Neutral 21 2 3" xfId="29205" xr:uid="{97EB40F1-AB9A-4270-88B8-ADDC2ED5B528}"/>
    <cellStyle name="Neutral 21 2 4" xfId="29206" xr:uid="{5F77EB2C-E45B-493D-8615-7E0857D73BD0}"/>
    <cellStyle name="Neutral 21 2 5" xfId="29207" xr:uid="{E21E1DF4-C2A7-40E4-9A20-E90BE6B9B5A2}"/>
    <cellStyle name="Neutral 21 3" xfId="29208" xr:uid="{D22B51C1-006F-44D8-BE93-C10A3A280B10}"/>
    <cellStyle name="Neutral 21 4" xfId="29209" xr:uid="{8BDA9A99-7B14-40E5-8FE6-7D838190026B}"/>
    <cellStyle name="Neutral 21 5" xfId="29210" xr:uid="{BB567211-9E44-4D0B-A278-BEF080255FFC}"/>
    <cellStyle name="Neutral 21 6" xfId="29211" xr:uid="{255334D0-A56A-465D-82B2-C4CCEF949A0B}"/>
    <cellStyle name="Neutral 22" xfId="15249" xr:uid="{4BA0C018-4D79-41FE-8412-2DE14DAFE96C}"/>
    <cellStyle name="Neutral 22 2" xfId="29213" xr:uid="{2C479742-12CE-429E-B2EB-719055495104}"/>
    <cellStyle name="Neutral 22 3" xfId="29212" xr:uid="{8BB15F0F-901E-4345-9B8D-D03C1D4FAEE4}"/>
    <cellStyle name="Neutral 23" xfId="29214" xr:uid="{9628CD26-DACE-4235-A0BB-464EAAF675D6}"/>
    <cellStyle name="Neutral 24" xfId="29215" xr:uid="{F348A9E8-1CD7-4BDE-859B-65CE4E7F81B8}"/>
    <cellStyle name="Neutral 25" xfId="29216" xr:uid="{618C4BAF-6651-4F92-B0B2-A2FDD2E4F3C9}"/>
    <cellStyle name="Neutral 3" xfId="2745" xr:uid="{604925B1-2803-4482-BF7F-9C3815294BBD}"/>
    <cellStyle name="Neutral 3 10" xfId="2746" xr:uid="{720B5ED9-8C0B-45C3-B01C-608DDACA2490}"/>
    <cellStyle name="Neutral 3 10 2" xfId="17503" xr:uid="{4A7AA547-F51B-439E-ADA2-1AC4868040C9}"/>
    <cellStyle name="Neutral 3 10 2 2" xfId="29217" xr:uid="{66271575-1E22-4D42-9EA0-F87F7F2399B1}"/>
    <cellStyle name="Neutral 3 10 2 3" xfId="29218" xr:uid="{5E2344CB-B9A5-4BD5-A897-D2D60559E97A}"/>
    <cellStyle name="Neutral 3 10 2 4" xfId="29219" xr:uid="{979ED9DE-F29B-4B8F-98F6-93C7E7A985A5}"/>
    <cellStyle name="Neutral 3 10 2 5" xfId="29220" xr:uid="{2243ED79-EEB5-46EA-A3B2-CCAF2AE069F9}"/>
    <cellStyle name="Neutral 3 10 3" xfId="29221" xr:uid="{A280521B-78E4-47BE-B57A-1F2CA963DE18}"/>
    <cellStyle name="Neutral 3 10 4" xfId="29222" xr:uid="{F2668244-5247-46AF-B401-B648B89F4DD1}"/>
    <cellStyle name="Neutral 3 10 5" xfId="29223" xr:uid="{654A5081-A833-4509-AE72-7740C2FA4377}"/>
    <cellStyle name="Neutral 3 10 6" xfId="29224" xr:uid="{F2E966CA-FBBA-4062-9EE3-96BA264A56E3}"/>
    <cellStyle name="Neutral 3 11" xfId="2747" xr:uid="{B83DEAA7-0563-46B3-A466-390A7DB04F42}"/>
    <cellStyle name="Neutral 3 11 2" xfId="17504" xr:uid="{BC1F69AD-F724-4A14-B285-A686DAB4BE5B}"/>
    <cellStyle name="Neutral 3 11 2 2" xfId="29225" xr:uid="{3A06DDD1-F2C2-405D-BE6F-F0345CAE672C}"/>
    <cellStyle name="Neutral 3 11 2 3" xfId="29226" xr:uid="{0CF2F550-730A-49A5-8261-D13BE5F4215C}"/>
    <cellStyle name="Neutral 3 11 2 4" xfId="29227" xr:uid="{5839803C-B628-4EAF-A34B-D5351F0B4650}"/>
    <cellStyle name="Neutral 3 11 2 5" xfId="29228" xr:uid="{7B1B525D-1D39-46CF-A0D0-66F38A5AD179}"/>
    <cellStyle name="Neutral 3 11 3" xfId="29229" xr:uid="{AA9D80C5-CF11-4CDA-939D-31D17D2D976E}"/>
    <cellStyle name="Neutral 3 11 4" xfId="29230" xr:uid="{AED54692-6313-471C-978A-887E3238E102}"/>
    <cellStyle name="Neutral 3 11 5" xfId="29231" xr:uid="{06CF9B07-1D8A-4F4F-8E25-5BA88F4F6DD7}"/>
    <cellStyle name="Neutral 3 11 6" xfId="29232" xr:uid="{5E188204-A9DD-411A-861B-2056A1254655}"/>
    <cellStyle name="Neutral 3 12" xfId="2748" xr:uid="{4B04570F-CD22-437A-82CC-8632F16315E5}"/>
    <cellStyle name="Neutral 3 12 2" xfId="17505" xr:uid="{D1F90BF9-567F-4102-B412-1600FDB1685E}"/>
    <cellStyle name="Neutral 3 12 2 2" xfId="29233" xr:uid="{3021B701-B2CF-42CB-8818-67E3E8FEFDFB}"/>
    <cellStyle name="Neutral 3 12 2 3" xfId="29234" xr:uid="{0FEA4BE7-30E5-4206-8D25-0387ADFB3470}"/>
    <cellStyle name="Neutral 3 12 2 4" xfId="29235" xr:uid="{8AD65E42-3283-4E50-9390-3E789A7B5489}"/>
    <cellStyle name="Neutral 3 12 2 5" xfId="29236" xr:uid="{82BC609C-FC66-4F3A-A833-6E460E6DF8F0}"/>
    <cellStyle name="Neutral 3 12 3" xfId="29237" xr:uid="{F00B6B9D-EEB5-43CC-8057-ADE54F160A36}"/>
    <cellStyle name="Neutral 3 12 4" xfId="29238" xr:uid="{6F919F45-DF7E-4D97-9F2D-515B3583E6D8}"/>
    <cellStyle name="Neutral 3 12 5" xfId="29239" xr:uid="{5BD0D4B8-8DEB-4A1F-AF98-B9349FEC3685}"/>
    <cellStyle name="Neutral 3 12 6" xfId="29240" xr:uid="{9DD907E7-D5CB-4D1E-9B83-D12297E7211C}"/>
    <cellStyle name="Neutral 3 13" xfId="2749" xr:uid="{5E6AA2D9-1AC9-4704-9485-DA91FBF599F9}"/>
    <cellStyle name="Neutral 3 13 2" xfId="17506" xr:uid="{DFB29621-B9C0-4E6E-A5DD-D0DCE317E36B}"/>
    <cellStyle name="Neutral 3 13 2 2" xfId="29241" xr:uid="{24A4AF9F-D101-454D-81C5-AA638CC9F575}"/>
    <cellStyle name="Neutral 3 13 2 3" xfId="29242" xr:uid="{7F4CDCD1-671F-4FE1-A9D6-D9E46B3618D3}"/>
    <cellStyle name="Neutral 3 13 2 4" xfId="29243" xr:uid="{99B9A655-7060-47D6-BA31-259F313CF7AD}"/>
    <cellStyle name="Neutral 3 13 2 5" xfId="29244" xr:uid="{F6A45540-B44B-4EF5-9D87-1F43387984D0}"/>
    <cellStyle name="Neutral 3 13 3" xfId="29245" xr:uid="{5367BA2B-2484-4ACF-8BDE-ED16F2BFBF70}"/>
    <cellStyle name="Neutral 3 13 4" xfId="29246" xr:uid="{26BFC110-3547-4F9A-B7B5-FDB55F17618E}"/>
    <cellStyle name="Neutral 3 13 5" xfId="29247" xr:uid="{87839ACA-59B2-4CE3-80FD-EA5C0113F0D4}"/>
    <cellStyle name="Neutral 3 13 6" xfId="29248" xr:uid="{AD2D671F-3428-4F8A-9877-341F3D650F53}"/>
    <cellStyle name="Neutral 3 14" xfId="2750" xr:uid="{3E0E711B-BB65-4C8E-8675-8FA3DB15C420}"/>
    <cellStyle name="Neutral 3 14 2" xfId="17507" xr:uid="{DDCCFBFE-49E2-4D37-A476-470ED2D95FE7}"/>
    <cellStyle name="Neutral 3 14 2 2" xfId="29249" xr:uid="{3AE8E511-2161-479C-B5E5-A0D19FC9E7AD}"/>
    <cellStyle name="Neutral 3 14 2 3" xfId="29250" xr:uid="{F71FE73E-69AA-4CEC-A6F8-C7E3AE30F660}"/>
    <cellStyle name="Neutral 3 14 2 4" xfId="29251" xr:uid="{E091D9E9-E91D-4E25-8E0F-23F97A99D5A6}"/>
    <cellStyle name="Neutral 3 14 2 5" xfId="29252" xr:uid="{DFE7BBD3-4898-4837-97D6-5CB52D185836}"/>
    <cellStyle name="Neutral 3 14 3" xfId="29253" xr:uid="{E5515FDC-93FB-4E30-B083-9E76D2ACB8D4}"/>
    <cellStyle name="Neutral 3 14 4" xfId="29254" xr:uid="{EAE6D246-D506-4FD8-94B0-5EE507013940}"/>
    <cellStyle name="Neutral 3 14 5" xfId="29255" xr:uid="{F8905D14-4565-488F-AE46-18506E428FAE}"/>
    <cellStyle name="Neutral 3 14 6" xfId="29256" xr:uid="{3A8090EB-1585-4B67-8197-1BE3C817C6CE}"/>
    <cellStyle name="Neutral 3 15" xfId="16488" xr:uid="{E887239C-6F66-4539-BC00-EBCAB903F988}"/>
    <cellStyle name="Neutral 3 15 2" xfId="17508" xr:uid="{20E5A6B2-51C5-406C-BDE3-AF5384868527}"/>
    <cellStyle name="Neutral 3 15 2 2" xfId="29257" xr:uid="{83C3A96C-02B7-439F-9A6F-EE23A92D8AE0}"/>
    <cellStyle name="Neutral 3 15 2 3" xfId="29258" xr:uid="{0CE3E39D-46B1-42F0-896B-D3935C28D43C}"/>
    <cellStyle name="Neutral 3 15 2 4" xfId="29259" xr:uid="{260BC49A-6F5E-4464-B0E3-50F087A633C1}"/>
    <cellStyle name="Neutral 3 15 2 5" xfId="29260" xr:uid="{9D117CD1-F315-4D55-BAF2-2AC15B3255E4}"/>
    <cellStyle name="Neutral 3 15 3" xfId="29261" xr:uid="{E0A2CFEB-004D-4944-8BD3-D96828905EB8}"/>
    <cellStyle name="Neutral 3 15 4" xfId="29262" xr:uid="{5175BCE9-72BD-46DA-90D3-4F74CAAA5275}"/>
    <cellStyle name="Neutral 3 15 5" xfId="29263" xr:uid="{2FC0D0E7-F36F-4042-BDCC-5145FBE50993}"/>
    <cellStyle name="Neutral 3 15 6" xfId="29264" xr:uid="{704E94EC-9DCD-442F-AB80-49C1FB01610C}"/>
    <cellStyle name="Neutral 3 16" xfId="17502" xr:uid="{D8C39B09-0C00-44B4-852F-D5DBE70B1505}"/>
    <cellStyle name="Neutral 3 16 2" xfId="29265" xr:uid="{4C904C5F-126B-46E7-9E6E-689CD8EAF4D0}"/>
    <cellStyle name="Neutral 3 16 3" xfId="29266" xr:uid="{77165FB6-608B-40B9-B233-5BA701ED0FB9}"/>
    <cellStyle name="Neutral 3 16 4" xfId="29267" xr:uid="{18A973AD-2696-45DA-853A-64264F5FBAA8}"/>
    <cellStyle name="Neutral 3 16 5" xfId="29268" xr:uid="{A42AC0A2-6970-409E-81E5-B50BF5DF5A6C}"/>
    <cellStyle name="Neutral 3 17" xfId="29269" xr:uid="{39019840-CC5B-4FEE-B99C-D20FF8338502}"/>
    <cellStyle name="Neutral 3 18" xfId="29270" xr:uid="{2BD25453-9571-4314-AC1E-0886A7E58626}"/>
    <cellStyle name="Neutral 3 19" xfId="29271" xr:uid="{89CF8C63-14A6-43BE-8033-2757869B978F}"/>
    <cellStyle name="Neutral 3 2" xfId="2751" xr:uid="{1BEE1F45-63A7-4BF0-BD78-1AB05513411D}"/>
    <cellStyle name="Neutral 3 2 2" xfId="17509" xr:uid="{FEF8B677-F5F4-4742-B350-C127AA1AF93E}"/>
    <cellStyle name="Neutral 3 2 2 2" xfId="29272" xr:uid="{1048098F-8D64-4E68-94F5-C6AB0F6DB6D9}"/>
    <cellStyle name="Neutral 3 2 2 3" xfId="29273" xr:uid="{BAE7CF23-9B53-48A7-B7F0-A4A983B414F2}"/>
    <cellStyle name="Neutral 3 2 2 4" xfId="29274" xr:uid="{3596B519-682F-4B66-AB45-BDB90813FDBE}"/>
    <cellStyle name="Neutral 3 2 2 5" xfId="29275" xr:uid="{FFB9C1EB-EB6A-4FA9-97D5-6A7F1D28CAAC}"/>
    <cellStyle name="Neutral 3 2 3" xfId="29276" xr:uid="{E69A2B73-CD9F-4EC0-BE5B-BCFF2CFC500F}"/>
    <cellStyle name="Neutral 3 2 4" xfId="29277" xr:uid="{C43E1E9F-21F2-44F3-BC35-7D647CB1BA87}"/>
    <cellStyle name="Neutral 3 2 5" xfId="29278" xr:uid="{2263C7C4-81AB-410A-810D-E0A23F7C4123}"/>
    <cellStyle name="Neutral 3 2 6" xfId="29279" xr:uid="{E3A33BE4-4B46-45C8-809A-C0491F6BEABF}"/>
    <cellStyle name="Neutral 3 2 7" xfId="29280" xr:uid="{F6F15572-3E64-4F7F-A63D-6D376C0F5103}"/>
    <cellStyle name="Neutral 3 20" xfId="29281" xr:uid="{FC4318B0-E22A-4270-A9C2-BB25D1F01B13}"/>
    <cellStyle name="Neutral 3 21" xfId="29282" xr:uid="{641A2023-2C21-42A3-9FE2-EFB9029DBE0F}"/>
    <cellStyle name="Neutral 3 3" xfId="2752" xr:uid="{B47F999B-D815-4CC4-A9A0-0E764A27F013}"/>
    <cellStyle name="Neutral 3 3 2" xfId="17510" xr:uid="{F1CAE27B-E35C-4218-A230-ADA08E33D146}"/>
    <cellStyle name="Neutral 3 3 2 2" xfId="29283" xr:uid="{30786803-3E86-41FA-AFF6-FBA232BF4E42}"/>
    <cellStyle name="Neutral 3 3 2 3" xfId="29284" xr:uid="{AC242BCF-4A3E-4018-A9CB-5621B18EAE42}"/>
    <cellStyle name="Neutral 3 3 2 4" xfId="29285" xr:uid="{418F2472-B18E-4B0A-B8F9-744876F9F1E9}"/>
    <cellStyle name="Neutral 3 3 2 5" xfId="29286" xr:uid="{B872DAA3-98FC-4E7A-AC47-4C5BAB188FC3}"/>
    <cellStyle name="Neutral 3 3 3" xfId="29287" xr:uid="{43930DC6-1860-4667-A8EC-64998724B773}"/>
    <cellStyle name="Neutral 3 3 4" xfId="29288" xr:uid="{FB063ABB-78DD-438C-9C6E-71ECAF18A293}"/>
    <cellStyle name="Neutral 3 3 5" xfId="29289" xr:uid="{1A5D434B-AD90-43D6-B2DC-772D63E756BA}"/>
    <cellStyle name="Neutral 3 3 6" xfId="29290" xr:uid="{9BB18566-C599-434F-B6FD-0D90AD63E7B7}"/>
    <cellStyle name="Neutral 3 4" xfId="2753" xr:uid="{11C4EBA7-131F-43BC-852C-16C137AD39B3}"/>
    <cellStyle name="Neutral 3 4 2" xfId="17511" xr:uid="{0ADF272B-6C83-4524-A6B7-4EE073DF349C}"/>
    <cellStyle name="Neutral 3 4 2 2" xfId="29291" xr:uid="{032ED3EA-0B0F-4E95-83CA-04799D0CE745}"/>
    <cellStyle name="Neutral 3 4 2 3" xfId="29292" xr:uid="{5BE77987-1D5A-419C-8016-F87BF6A96BA4}"/>
    <cellStyle name="Neutral 3 4 2 4" xfId="29293" xr:uid="{7097F4BE-C964-4B04-A5D7-8B713B69A88F}"/>
    <cellStyle name="Neutral 3 4 2 5" xfId="29294" xr:uid="{8D195998-D25D-4405-8928-2BE404FF33C0}"/>
    <cellStyle name="Neutral 3 4 3" xfId="29295" xr:uid="{337EEBC6-201C-41A3-B545-08E3586AA627}"/>
    <cellStyle name="Neutral 3 4 4" xfId="29296" xr:uid="{C527E39E-D0E0-4437-AAB0-C94FAEF74292}"/>
    <cellStyle name="Neutral 3 4 5" xfId="29297" xr:uid="{582778CF-FC68-438C-8ACF-BA1C71B296F5}"/>
    <cellStyle name="Neutral 3 4 6" xfId="29298" xr:uid="{B2AF8EE3-5460-499B-BF67-8F5B62A86A5A}"/>
    <cellStyle name="Neutral 3 5" xfId="2754" xr:uid="{DB0ABD96-64CA-4F9C-A40D-1B648B3DDBBB}"/>
    <cellStyle name="Neutral 3 5 2" xfId="17512" xr:uid="{F26A59EB-D101-47A4-B9C0-FCB6DA69CC08}"/>
    <cellStyle name="Neutral 3 5 2 2" xfId="29299" xr:uid="{B6308C72-9787-4BE5-947F-239FEE9DF851}"/>
    <cellStyle name="Neutral 3 5 2 3" xfId="29300" xr:uid="{173AB4AA-46F7-4AA5-AF0F-80784B47B6DE}"/>
    <cellStyle name="Neutral 3 5 2 4" xfId="29301" xr:uid="{C73B90AB-FEF2-4923-A8F4-93A11D8E25D8}"/>
    <cellStyle name="Neutral 3 5 2 5" xfId="29302" xr:uid="{6EA8EEEB-FA55-44AF-BFF3-45D967D8E51F}"/>
    <cellStyle name="Neutral 3 5 3" xfId="29303" xr:uid="{188B7AD8-09A9-41D6-BA03-31F154342E8F}"/>
    <cellStyle name="Neutral 3 5 4" xfId="29304" xr:uid="{977E30B1-0779-42E2-AA7F-CE558431A8C1}"/>
    <cellStyle name="Neutral 3 5 5" xfId="29305" xr:uid="{AABE028B-BC9B-4294-8B08-D240B5E7D802}"/>
    <cellStyle name="Neutral 3 5 6" xfId="29306" xr:uid="{FBDDD0AC-1432-4648-958C-870FEDA6EDA9}"/>
    <cellStyle name="Neutral 3 6" xfId="2755" xr:uid="{DB05C20F-0655-465E-8856-6118324F3D44}"/>
    <cellStyle name="Neutral 3 6 2" xfId="17513" xr:uid="{3BE8FD0D-9B8F-416B-8BF9-D3526FC17C6D}"/>
    <cellStyle name="Neutral 3 6 2 2" xfId="29307" xr:uid="{F3AE2BBF-BE40-4FD2-B93D-6A2428702233}"/>
    <cellStyle name="Neutral 3 6 2 3" xfId="29308" xr:uid="{1786A68B-5BFF-4D32-854A-EBBBD44FA4D8}"/>
    <cellStyle name="Neutral 3 6 2 4" xfId="29309" xr:uid="{1D8CD10C-E48D-468F-9F4E-872EC86B16DE}"/>
    <cellStyle name="Neutral 3 6 2 5" xfId="29310" xr:uid="{1D620A52-197E-4C76-968E-D992CB8234EE}"/>
    <cellStyle name="Neutral 3 6 3" xfId="29311" xr:uid="{D1E2CFBC-0DBD-4C69-AA02-41C529498309}"/>
    <cellStyle name="Neutral 3 6 4" xfId="29312" xr:uid="{EA3E4502-99E7-4827-B115-A9458E95C91A}"/>
    <cellStyle name="Neutral 3 6 5" xfId="29313" xr:uid="{5961B007-8C79-4962-BDD3-199FDBCC778C}"/>
    <cellStyle name="Neutral 3 6 6" xfId="29314" xr:uid="{A893EFEC-9A61-4317-9683-B0707EA93795}"/>
    <cellStyle name="Neutral 3 7" xfId="2756" xr:uid="{F58A4D13-9129-403D-9A0C-1331D084C5BA}"/>
    <cellStyle name="Neutral 3 7 2" xfId="17514" xr:uid="{70E469CB-EABC-4D2B-8C41-AEAA5DA2BC40}"/>
    <cellStyle name="Neutral 3 7 2 2" xfId="29315" xr:uid="{68EA33F2-5E30-49E5-8EF6-1F3DF2216DC3}"/>
    <cellStyle name="Neutral 3 7 2 3" xfId="29316" xr:uid="{F42116AC-F5AE-493A-98E1-8D9955DC8F40}"/>
    <cellStyle name="Neutral 3 7 2 4" xfId="29317" xr:uid="{E9538C10-BA65-4B09-A069-B4A335F30417}"/>
    <cellStyle name="Neutral 3 7 2 5" xfId="29318" xr:uid="{E17BB0B9-1AC5-418C-9D65-35468D4D4506}"/>
    <cellStyle name="Neutral 3 7 3" xfId="29319" xr:uid="{CE471642-2859-400F-A357-1EB4B95C2071}"/>
    <cellStyle name="Neutral 3 7 4" xfId="29320" xr:uid="{48C53B73-7D9D-4635-8F15-6A54FFA8E98B}"/>
    <cellStyle name="Neutral 3 7 5" xfId="29321" xr:uid="{3E068745-A1C8-4E2C-8527-1402682BC2AA}"/>
    <cellStyle name="Neutral 3 7 6" xfId="29322" xr:uid="{5A5D0104-FCEF-4BEB-ADFE-B5798B53D5AF}"/>
    <cellStyle name="Neutral 3 8" xfId="2757" xr:uid="{458F5BB5-B9A4-447D-AF20-CFDAE0AC9F28}"/>
    <cellStyle name="Neutral 3 8 2" xfId="17515" xr:uid="{EB34DB90-8EA5-4703-9D2F-BF7588C1065F}"/>
    <cellStyle name="Neutral 3 8 2 2" xfId="29323" xr:uid="{2CC67AAB-497D-42E4-B918-E8686D52E0EB}"/>
    <cellStyle name="Neutral 3 8 2 3" xfId="29324" xr:uid="{821A7860-C67D-43F4-8593-DC6474D6F941}"/>
    <cellStyle name="Neutral 3 8 2 4" xfId="29325" xr:uid="{F0532AD1-8A57-4EDE-81B8-F48B184DCD92}"/>
    <cellStyle name="Neutral 3 8 2 5" xfId="29326" xr:uid="{75A9A654-3331-4CB9-875F-788E21C9B93B}"/>
    <cellStyle name="Neutral 3 8 3" xfId="29327" xr:uid="{4EE318D1-AEB0-4BC4-99D7-4DCA2EF62E7D}"/>
    <cellStyle name="Neutral 3 8 4" xfId="29328" xr:uid="{725D5760-EFFB-4DF7-8A2D-2B7E597F270C}"/>
    <cellStyle name="Neutral 3 8 5" xfId="29329" xr:uid="{2888DB47-F9A6-451C-AF69-85925DA0A3C5}"/>
    <cellStyle name="Neutral 3 8 6" xfId="29330" xr:uid="{9B1BCF23-827B-4924-810A-EC6A1421633E}"/>
    <cellStyle name="Neutral 3 9" xfId="2758" xr:uid="{D7750AE6-F464-4790-A31E-DFB309B533DC}"/>
    <cellStyle name="Neutral 3 9 2" xfId="17516" xr:uid="{95D675AA-7118-49BC-AB88-460DE71C2DA1}"/>
    <cellStyle name="Neutral 3 9 2 2" xfId="29331" xr:uid="{FBCB19D4-2AA4-42A8-9D98-BD0075E3AC55}"/>
    <cellStyle name="Neutral 3 9 2 3" xfId="29332" xr:uid="{A7D1FD4B-FCD1-4E8B-B199-65D57E8012A5}"/>
    <cellStyle name="Neutral 3 9 2 4" xfId="29333" xr:uid="{2FECD4FF-1F1B-46BD-97F7-F81413987110}"/>
    <cellStyle name="Neutral 3 9 2 5" xfId="29334" xr:uid="{2CE354A0-42EE-4A53-9710-1300D4D15043}"/>
    <cellStyle name="Neutral 3 9 3" xfId="29335" xr:uid="{442598FE-C95D-4B5D-A91D-7CFBFBB18259}"/>
    <cellStyle name="Neutral 3 9 4" xfId="29336" xr:uid="{18F6523B-0751-4EDF-AFB3-87555277D2FD}"/>
    <cellStyle name="Neutral 3 9 5" xfId="29337" xr:uid="{EE4B0ED6-D8E0-4DBE-BC06-207B0F3A4B59}"/>
    <cellStyle name="Neutral 3 9 6" xfId="29338" xr:uid="{2D023650-E939-49FB-AFF3-1A48019FB804}"/>
    <cellStyle name="Neutral 4" xfId="2759" xr:uid="{DA0D687E-0E8C-444A-A2E1-EBD73D14466F}"/>
    <cellStyle name="Neutral 4 2" xfId="2760" xr:uid="{10320074-0F53-493A-B2F4-41AF2BD96C2E}"/>
    <cellStyle name="Neutral 4 2 2" xfId="17518" xr:uid="{688B3E36-B3D0-491D-9A2A-4AA0B02B71A7}"/>
    <cellStyle name="Neutral 4 2 2 2" xfId="29339" xr:uid="{E7036F09-F434-49DC-B5B0-261450E4BCC1}"/>
    <cellStyle name="Neutral 4 2 2 3" xfId="29340" xr:uid="{BE55823D-059E-4D03-9587-65414AD2BDD8}"/>
    <cellStyle name="Neutral 4 2 2 4" xfId="29341" xr:uid="{C4582586-45B5-497F-AD22-43D83AE753C8}"/>
    <cellStyle name="Neutral 4 2 2 5" xfId="29342" xr:uid="{EE332848-AF77-4D12-9B29-C4D365F0DA93}"/>
    <cellStyle name="Neutral 4 2 3" xfId="29343" xr:uid="{155B7EE1-75F3-40AD-8D82-50392D8EBEC7}"/>
    <cellStyle name="Neutral 4 2 4" xfId="29344" xr:uid="{65BF9D37-0C27-463F-9EAE-C69F526D7F6F}"/>
    <cellStyle name="Neutral 4 2 5" xfId="29345" xr:uid="{60364AB4-BAF6-4200-AD4D-1B1A5C3B1200}"/>
    <cellStyle name="Neutral 4 2 6" xfId="29346" xr:uid="{A4758FD6-0059-4347-B470-E24B424288B8}"/>
    <cellStyle name="Neutral 4 2 7" xfId="29347" xr:uid="{2DCBC26E-EA13-4FED-9169-26643BBE3ED5}"/>
    <cellStyle name="Neutral 4 3" xfId="17517" xr:uid="{5883E561-986B-4E61-B287-069E0537A4C5}"/>
    <cellStyle name="Neutral 4 3 2" xfId="29348" xr:uid="{0AC0A79C-F912-4149-A072-FB49AADBE671}"/>
    <cellStyle name="Neutral 4 3 3" xfId="29349" xr:uid="{6CD98C39-89EF-4BFB-9BE1-FA9B40831AFF}"/>
    <cellStyle name="Neutral 4 3 4" xfId="29350" xr:uid="{6CA2E040-BD05-4C53-9F9B-EE4508D767D0}"/>
    <cellStyle name="Neutral 4 3 5" xfId="29351" xr:uid="{33C999C8-A236-4DCF-B576-4A60408D8529}"/>
    <cellStyle name="Neutral 4 4" xfId="29352" xr:uid="{C870BF7B-04A9-4DCF-94CF-92CABEE9A71F}"/>
    <cellStyle name="Neutral 4 5" xfId="29353" xr:uid="{4B418A41-2648-4313-AFAE-FFA6D1AC9CF6}"/>
    <cellStyle name="Neutral 4 6" xfId="29354" xr:uid="{C083F09D-74CF-48E0-B925-02ADD4274465}"/>
    <cellStyle name="Neutral 4 7" xfId="29355" xr:uid="{F0330B88-598D-418F-AB28-87EE78850651}"/>
    <cellStyle name="Neutral 4 8" xfId="29356" xr:uid="{E90AD037-0D9B-46C9-A9B4-FEB659CC77DF}"/>
    <cellStyle name="Neutral 5" xfId="2761" xr:uid="{6EA3D317-2F88-47DE-9546-A48F1D0C7E27}"/>
    <cellStyle name="Neutral 5 2" xfId="2762" xr:uid="{C2D10604-3471-472D-BA54-0415CE49E130}"/>
    <cellStyle name="Neutral 5 2 2" xfId="17520" xr:uid="{4FEB3EB8-F182-4E60-8433-B9D75B31A00A}"/>
    <cellStyle name="Neutral 5 2 2 2" xfId="29357" xr:uid="{8840C765-FDD5-4ECB-879F-1D50CDD45784}"/>
    <cellStyle name="Neutral 5 2 2 3" xfId="29358" xr:uid="{A9963488-452F-4FFB-AF1E-2214A144D649}"/>
    <cellStyle name="Neutral 5 2 2 4" xfId="29359" xr:uid="{0808EF55-554E-4607-8008-906C23EAC420}"/>
    <cellStyle name="Neutral 5 2 2 5" xfId="29360" xr:uid="{35DEE41F-C824-411F-9C9F-084A37763CA2}"/>
    <cellStyle name="Neutral 5 2 3" xfId="29361" xr:uid="{1C5C40F5-51E0-4189-9F8D-504A67BDADAD}"/>
    <cellStyle name="Neutral 5 2 4" xfId="29362" xr:uid="{0F8F052D-13B7-42DD-8899-1202ABC8FFE6}"/>
    <cellStyle name="Neutral 5 2 5" xfId="29363" xr:uid="{714C2AF8-DB59-4A9A-9EE9-7DAB16441F8E}"/>
    <cellStyle name="Neutral 5 2 6" xfId="29364" xr:uid="{638E1705-5D04-409A-843C-F73B8C940B04}"/>
    <cellStyle name="Neutral 5 2 7" xfId="29365" xr:uid="{B9505355-45DB-41DB-BB60-7EC713D5DF63}"/>
    <cellStyle name="Neutral 5 3" xfId="17519" xr:uid="{0F7C5500-DA87-4EEF-90E1-827171FE3E3E}"/>
    <cellStyle name="Neutral 5 3 2" xfId="29366" xr:uid="{AEA72953-2DBF-40D5-A19C-B7DCC9B40FB8}"/>
    <cellStyle name="Neutral 5 3 3" xfId="29367" xr:uid="{76BE475B-EA31-4B2C-8094-3D2959163508}"/>
    <cellStyle name="Neutral 5 3 4" xfId="29368" xr:uid="{47AF5876-094B-425F-B9C0-DE107A868DA3}"/>
    <cellStyle name="Neutral 5 3 5" xfId="29369" xr:uid="{9A98D860-3D3B-46F6-B75F-50DBE562C006}"/>
    <cellStyle name="Neutral 5 4" xfId="29370" xr:uid="{99309DD0-C6A1-4169-99B7-267FEFC7A284}"/>
    <cellStyle name="Neutral 5 5" xfId="29371" xr:uid="{341A4B93-72F4-46EC-A42D-F5AE248F6C4B}"/>
    <cellStyle name="Neutral 5 6" xfId="29372" xr:uid="{D70F2542-2449-47DC-97A1-572047591599}"/>
    <cellStyle name="Neutral 5 7" xfId="29373" xr:uid="{72C79491-0DC8-4F5D-9B25-0384B962A24E}"/>
    <cellStyle name="Neutral 5 8" xfId="29374" xr:uid="{2F7A8661-B89F-4308-885D-5735EE3EC09F}"/>
    <cellStyle name="Neutral 6" xfId="2763" xr:uid="{82C505D1-DB03-4FFB-B090-02A11C21DE97}"/>
    <cellStyle name="Neutral 6 2" xfId="2764" xr:uid="{0EF36334-BC0E-4FA3-B1FD-9710E8A8EDD3}"/>
    <cellStyle name="Neutral 6 2 2" xfId="17522" xr:uid="{71C94ACA-4C26-4777-ADA6-882BD4F37084}"/>
    <cellStyle name="Neutral 6 2 2 2" xfId="29375" xr:uid="{58BB5390-AC16-45A3-9912-00D9C99A623E}"/>
    <cellStyle name="Neutral 6 2 2 3" xfId="29376" xr:uid="{7FF9EC15-C7A7-472F-9E93-833E3E725766}"/>
    <cellStyle name="Neutral 6 2 2 4" xfId="29377" xr:uid="{2DBBF6FE-CF43-44E3-84E1-78E122828DF9}"/>
    <cellStyle name="Neutral 6 2 2 5" xfId="29378" xr:uid="{7539C671-B28F-4F2C-B804-AA8971BE2878}"/>
    <cellStyle name="Neutral 6 2 3" xfId="29379" xr:uid="{4300E2E4-A05F-4DA6-9305-15AE9779E4EB}"/>
    <cellStyle name="Neutral 6 2 4" xfId="29380" xr:uid="{70BED424-807D-4CB6-B4DE-FF5B893624D5}"/>
    <cellStyle name="Neutral 6 2 5" xfId="29381" xr:uid="{3CA2FD50-D166-4FE2-83CA-C65B54E51162}"/>
    <cellStyle name="Neutral 6 2 6" xfId="29382" xr:uid="{68C72FCA-8203-4126-B89D-A8F138ED52B8}"/>
    <cellStyle name="Neutral 6 2 7" xfId="29383" xr:uid="{A638C332-AB17-48CC-9E84-499AD6ECA756}"/>
    <cellStyle name="Neutral 6 3" xfId="2765" xr:uid="{7D530E5A-41DA-44A8-ABFE-1F1D71A4742E}"/>
    <cellStyle name="Neutral 6 3 2" xfId="17523" xr:uid="{55C51144-AA4F-4908-A69A-EBAD0FD01370}"/>
    <cellStyle name="Neutral 6 3 2 2" xfId="29384" xr:uid="{E01C12D2-B170-40D6-A953-4EBC6337F372}"/>
    <cellStyle name="Neutral 6 3 2 3" xfId="29385" xr:uid="{D5A4E228-6353-4923-BA11-B2AF16E37E96}"/>
    <cellStyle name="Neutral 6 3 2 4" xfId="29386" xr:uid="{DB99EE79-7BD2-4466-B9F9-7EFCE6C5F233}"/>
    <cellStyle name="Neutral 6 3 2 5" xfId="29387" xr:uid="{5194081B-A57E-46FE-AD1E-5CFA404CAD7B}"/>
    <cellStyle name="Neutral 6 3 3" xfId="29388" xr:uid="{862A19E0-DE51-4DA6-9F79-E7D09E25A6BE}"/>
    <cellStyle name="Neutral 6 3 4" xfId="29389" xr:uid="{0833C8C6-F8E0-4505-94B0-A8C5A00A738C}"/>
    <cellStyle name="Neutral 6 3 5" xfId="29390" xr:uid="{A6925BFC-50F4-4BEE-AAE8-AE7BA18D8B29}"/>
    <cellStyle name="Neutral 6 3 6" xfId="29391" xr:uid="{16F3063A-BD44-4B28-8F44-B631E5245E9B}"/>
    <cellStyle name="Neutral 6 4" xfId="17521" xr:uid="{22280185-4834-44AA-BDFB-8AC1A8DBD4AC}"/>
    <cellStyle name="Neutral 6 4 2" xfId="29392" xr:uid="{A99882A1-7928-4DFA-84E2-F76F039CDBB7}"/>
    <cellStyle name="Neutral 6 4 3" xfId="29393" xr:uid="{ED8A0354-5C99-40CE-BE82-ACCBF2F2AC7F}"/>
    <cellStyle name="Neutral 6 4 4" xfId="29394" xr:uid="{24BBEA1B-0DD8-49B1-BAB8-B7C73A43A686}"/>
    <cellStyle name="Neutral 6 4 5" xfId="29395" xr:uid="{22843405-26BA-4482-A858-F5B7085C7CDE}"/>
    <cellStyle name="Neutral 6 5" xfId="29396" xr:uid="{28CC0E9F-D500-489C-A44B-AB75067AD847}"/>
    <cellStyle name="Neutral 6 6" xfId="29397" xr:uid="{7B58CA11-3D5E-4D92-A591-BC9064D765AB}"/>
    <cellStyle name="Neutral 6 7" xfId="29398" xr:uid="{CC75232B-DA45-4F18-9D4E-53FC53DA45FC}"/>
    <cellStyle name="Neutral 6 8" xfId="29399" xr:uid="{395F67EB-BEE0-402E-856A-347C5AF3499E}"/>
    <cellStyle name="Neutral 6 9" xfId="29400" xr:uid="{25AF37C3-D3B5-47C8-84DB-FC891390DEA9}"/>
    <cellStyle name="Neutral 7" xfId="2766" xr:uid="{408415D9-9728-4503-89B9-D4387FC1B5DC}"/>
    <cellStyle name="Neutral 7 2" xfId="2767" xr:uid="{9DDF7A62-4F69-463C-AD55-A1E232072D37}"/>
    <cellStyle name="Neutral 7 2 2" xfId="17525" xr:uid="{51D76BC6-6B58-47F6-AA64-2A624452271F}"/>
    <cellStyle name="Neutral 7 2 2 2" xfId="29401" xr:uid="{6824F1DD-4892-4295-8799-A76DA809E3F5}"/>
    <cellStyle name="Neutral 7 2 2 3" xfId="29402" xr:uid="{F53BC26F-6F74-4CEA-A46E-70B22052D6CD}"/>
    <cellStyle name="Neutral 7 2 2 4" xfId="29403" xr:uid="{FD9481B6-C126-4EB6-9C88-68E855A75E86}"/>
    <cellStyle name="Neutral 7 2 2 5" xfId="29404" xr:uid="{F6DD1366-9666-45C5-8F34-7C291DFF2809}"/>
    <cellStyle name="Neutral 7 2 3" xfId="29405" xr:uid="{19434952-572A-4793-AFF7-529714D18FD9}"/>
    <cellStyle name="Neutral 7 2 4" xfId="29406" xr:uid="{D9CC2EE4-7863-4EFA-9766-75DEB2211CA6}"/>
    <cellStyle name="Neutral 7 2 5" xfId="29407" xr:uid="{19A06211-EAD0-4D75-BC79-ACDAAD68AAA0}"/>
    <cellStyle name="Neutral 7 2 6" xfId="29408" xr:uid="{FC39F5B9-1277-426C-90A3-3ED239D5EB72}"/>
    <cellStyle name="Neutral 7 2 7" xfId="29409" xr:uid="{710D6E32-E33E-4D78-9D15-E94744848E8C}"/>
    <cellStyle name="Neutral 7 3" xfId="2768" xr:uid="{7B1CED91-843E-4BA4-8D00-72F668E34996}"/>
    <cellStyle name="Neutral 7 3 2" xfId="17526" xr:uid="{1F0D45B6-5B06-465D-8406-BCE59EB70F91}"/>
    <cellStyle name="Neutral 7 3 2 2" xfId="29410" xr:uid="{CCE40CCC-B4A0-4649-B14E-6696BA5A6D45}"/>
    <cellStyle name="Neutral 7 3 2 3" xfId="29411" xr:uid="{97852D43-02DA-4E2A-9C90-C74E9536266B}"/>
    <cellStyle name="Neutral 7 3 2 4" xfId="29412" xr:uid="{CF7E6EAF-7358-44AB-8448-AC67B3BFEB1E}"/>
    <cellStyle name="Neutral 7 3 2 5" xfId="29413" xr:uid="{E363F4B8-5249-4CCB-8CD3-F03D986C903D}"/>
    <cellStyle name="Neutral 7 3 3" xfId="29414" xr:uid="{4F714BFA-6D0D-4C10-899F-BEF6E7B6B1EA}"/>
    <cellStyle name="Neutral 7 3 4" xfId="29415" xr:uid="{1111E603-68D1-4718-A3BC-B0F69E893E56}"/>
    <cellStyle name="Neutral 7 3 5" xfId="29416" xr:uid="{1ECDD25A-5B66-4104-94FD-30BE4A7DD6EB}"/>
    <cellStyle name="Neutral 7 3 6" xfId="29417" xr:uid="{A7A9C5D0-5A83-4FA5-B19C-2273EAD6E336}"/>
    <cellStyle name="Neutral 7 4" xfId="17524" xr:uid="{E5260AAD-7F06-4366-86A4-782524417441}"/>
    <cellStyle name="Neutral 7 4 2" xfId="29418" xr:uid="{FBCCC19E-AC56-4622-A959-ACD322D776BB}"/>
    <cellStyle name="Neutral 7 4 3" xfId="29419" xr:uid="{D2D37F3B-924E-42AE-8D75-47022DE5C1B9}"/>
    <cellStyle name="Neutral 7 4 4" xfId="29420" xr:uid="{29639739-FA51-468F-8C41-DC1C40FA29C1}"/>
    <cellStyle name="Neutral 7 4 5" xfId="29421" xr:uid="{CE862807-3AE5-422F-9000-C531D8842BC3}"/>
    <cellStyle name="Neutral 7 5" xfId="29422" xr:uid="{48EA0D10-E61A-4F1A-BE78-39815F45E5D8}"/>
    <cellStyle name="Neutral 7 6" xfId="29423" xr:uid="{C6055CBE-CF87-46F3-B2C1-6898351CCF2D}"/>
    <cellStyle name="Neutral 7 7" xfId="29424" xr:uid="{10ADFE02-1B30-4159-9691-555F4C4C0798}"/>
    <cellStyle name="Neutral 7 8" xfId="29425" xr:uid="{81DE2C72-4151-456A-A866-9601C1A0EF06}"/>
    <cellStyle name="Neutral 7 9" xfId="29426" xr:uid="{A5E105E3-1229-465E-B375-FCCE5FDE3003}"/>
    <cellStyle name="Neutral 8" xfId="2769" xr:uid="{6938ED64-AB24-4774-BC2A-F99E815EF4B6}"/>
    <cellStyle name="Neutral 8 2" xfId="2770" xr:uid="{F3C79604-8DBC-4E5D-89C9-8876C1825155}"/>
    <cellStyle name="Neutral 8 2 2" xfId="17528" xr:uid="{246B5050-F937-4B74-A013-0ACC08D8C620}"/>
    <cellStyle name="Neutral 8 2 2 2" xfId="29427" xr:uid="{2A866731-3773-47F1-BD2B-EDD808DCD271}"/>
    <cellStyle name="Neutral 8 2 2 3" xfId="29428" xr:uid="{2A3116AD-2F2B-45C6-8534-A687D6F36A62}"/>
    <cellStyle name="Neutral 8 2 2 4" xfId="29429" xr:uid="{7E49C1A7-DF65-41A7-9400-4F31B30B138F}"/>
    <cellStyle name="Neutral 8 2 2 5" xfId="29430" xr:uid="{A935C626-8537-4D47-A00C-3848419D3488}"/>
    <cellStyle name="Neutral 8 2 3" xfId="29431" xr:uid="{6209925C-F740-4991-8E14-E8BDEDADCC09}"/>
    <cellStyle name="Neutral 8 2 4" xfId="29432" xr:uid="{4A965DAE-DDEC-4731-96CE-D0E0E143F99A}"/>
    <cellStyle name="Neutral 8 2 5" xfId="29433" xr:uid="{A8C0A4DE-6700-4816-8C4A-99D1C00A77D0}"/>
    <cellStyle name="Neutral 8 2 6" xfId="29434" xr:uid="{EDFC2FD8-3C97-4F1D-8510-9DA2BED500A3}"/>
    <cellStyle name="Neutral 8 2 7" xfId="29435" xr:uid="{E7567317-166F-48FB-98AD-EF4E2B2962B2}"/>
    <cellStyle name="Neutral 8 3" xfId="2771" xr:uid="{8F8AD95F-ACFB-4DC7-9E02-B8A0090CF1C3}"/>
    <cellStyle name="Neutral 8 3 2" xfId="17529" xr:uid="{A4D25465-2370-4ACE-82F4-F2E532DFC7F4}"/>
    <cellStyle name="Neutral 8 3 2 2" xfId="29436" xr:uid="{FE645FEF-83BD-4AFC-A58B-C7F5864C98A1}"/>
    <cellStyle name="Neutral 8 3 2 3" xfId="29437" xr:uid="{8C608A56-1CB7-4B70-A65D-CBB717F08664}"/>
    <cellStyle name="Neutral 8 3 2 4" xfId="29438" xr:uid="{8A9B1628-33B8-4689-A44A-4FCB5B73AA82}"/>
    <cellStyle name="Neutral 8 3 2 5" xfId="29439" xr:uid="{DCF282A6-A084-4AA5-A763-8D2818317919}"/>
    <cellStyle name="Neutral 8 3 3" xfId="29440" xr:uid="{F2B39474-CCDD-4F1B-B611-3ADCE04962DF}"/>
    <cellStyle name="Neutral 8 3 4" xfId="29441" xr:uid="{38F0094C-CBE5-4DFE-B821-59F4444A1941}"/>
    <cellStyle name="Neutral 8 3 5" xfId="29442" xr:uid="{73A9E2E9-7A2E-44DF-BAF1-A9488593B7C4}"/>
    <cellStyle name="Neutral 8 3 6" xfId="29443" xr:uid="{0A24861F-A301-4C2A-8D8F-DF37F2F73D16}"/>
    <cellStyle name="Neutral 8 4" xfId="17527" xr:uid="{B68D407F-3C89-4E07-BBB0-91226A5298F3}"/>
    <cellStyle name="Neutral 8 4 2" xfId="29444" xr:uid="{4578E6C6-8B8C-41F7-8C41-84D1E650A791}"/>
    <cellStyle name="Neutral 8 4 3" xfId="29445" xr:uid="{D00DBEEE-C7F0-448B-A153-0C8E69983F90}"/>
    <cellStyle name="Neutral 8 4 4" xfId="29446" xr:uid="{78CA7A76-AF9B-4674-A5E9-9216396583CB}"/>
    <cellStyle name="Neutral 8 4 5" xfId="29447" xr:uid="{B4F8BEDC-8467-4D79-9B9D-575DD0ADFD4F}"/>
    <cellStyle name="Neutral 8 5" xfId="29448" xr:uid="{A01A95CC-BBF2-4761-9C16-6BF83222162E}"/>
    <cellStyle name="Neutral 8 6" xfId="29449" xr:uid="{CCAAF0D0-5C61-426F-8D77-37DA8A3D3A15}"/>
    <cellStyle name="Neutral 8 7" xfId="29450" xr:uid="{0529BC79-090B-4BE8-A2E0-D9D9D3B290FF}"/>
    <cellStyle name="Neutral 8 8" xfId="29451" xr:uid="{37458AB4-403E-4021-9ED7-E8EEA63B6966}"/>
    <cellStyle name="Neutral 8 9" xfId="29452" xr:uid="{6AF9B549-C5A5-4372-9DD2-80711C790428}"/>
    <cellStyle name="Neutral 9" xfId="2772" xr:uid="{152B00F4-14A2-467A-8B7E-E1BEBAAF2927}"/>
    <cellStyle name="Neutral 9 2" xfId="2773" xr:uid="{6B55843C-17A1-411C-BFD5-D4503F04C8F1}"/>
    <cellStyle name="Neutral 9 2 2" xfId="17531" xr:uid="{0AEA741A-CE72-4950-B724-4FD84041A56C}"/>
    <cellStyle name="Neutral 9 2 2 2" xfId="29453" xr:uid="{241E12D9-9E7D-48ED-89E9-C20AFB2948C0}"/>
    <cellStyle name="Neutral 9 2 2 3" xfId="29454" xr:uid="{2050A993-A16D-49E4-9C0A-39F0F87A02CB}"/>
    <cellStyle name="Neutral 9 2 2 4" xfId="29455" xr:uid="{C13B94B7-0497-4E8B-AE09-963F9925059B}"/>
    <cellStyle name="Neutral 9 2 2 5" xfId="29456" xr:uid="{843D24A7-E7F3-4854-83EF-EE824C5759C5}"/>
    <cellStyle name="Neutral 9 2 3" xfId="29457" xr:uid="{3F2C7DFE-D835-4331-8B66-6D307A1B72F8}"/>
    <cellStyle name="Neutral 9 2 4" xfId="29458" xr:uid="{4271B109-4C3D-45E8-A710-64848B9FA498}"/>
    <cellStyle name="Neutral 9 2 5" xfId="29459" xr:uid="{4D658093-4381-4322-A910-D13834097BD3}"/>
    <cellStyle name="Neutral 9 2 6" xfId="29460" xr:uid="{95A15A7E-30C6-48DC-AF01-E1C412FBAA38}"/>
    <cellStyle name="Neutral 9 3" xfId="17530" xr:uid="{9644DE06-2A58-416C-A0BE-A89F7197F538}"/>
    <cellStyle name="Neutral 9 3 2" xfId="29461" xr:uid="{F2CA1CD1-8E50-4341-8FC2-9FB25AC47EF0}"/>
    <cellStyle name="Neutral 9 3 3" xfId="29462" xr:uid="{639E4A57-C306-4DD9-8742-0F74C55FB804}"/>
    <cellStyle name="Neutral 9 3 4" xfId="29463" xr:uid="{35B1D7BA-CF5E-4D74-938F-C50BC83ABAB2}"/>
    <cellStyle name="Neutral 9 3 5" xfId="29464" xr:uid="{29D1D163-D001-4EBD-B014-8881CF941426}"/>
    <cellStyle name="Neutral 9 4" xfId="29465" xr:uid="{C1C2DAD4-9DC1-405E-BA7E-1D517E77B384}"/>
    <cellStyle name="Neutral 9 5" xfId="29466" xr:uid="{48BB9607-DC5C-4C3A-A090-2708DB49D938}"/>
    <cellStyle name="Neutral 9 6" xfId="29467" xr:uid="{A023BF94-2208-468D-AC56-E5921C53F265}"/>
    <cellStyle name="Neutral 9 7" xfId="29468" xr:uid="{A219B5CB-184B-474A-9F8C-8D334E0AC0A6}"/>
    <cellStyle name="Neutral 9 8" xfId="29469" xr:uid="{D8487DB5-BA68-407B-BF00-A51ABD07C2B7}"/>
    <cellStyle name="Neutro" xfId="2774" xr:uid="{A31C2AA9-E300-4D1A-B8A7-418FC4093D04}"/>
    <cellStyle name="Neutro 2" xfId="17532" xr:uid="{AE7FA61D-60B9-4905-B134-8AA8B7C50E37}"/>
    <cellStyle name="Neutro 2 2" xfId="29470" xr:uid="{8535B6BC-EB09-47A2-8D28-EC2A0087C3C6}"/>
    <cellStyle name="Neutro 2 3" xfId="29471" xr:uid="{9A301805-BD24-4B27-BD93-0F029167DF82}"/>
    <cellStyle name="Neutro 2 4" xfId="29472" xr:uid="{F513075B-F682-4538-8EDB-E8225EB558D9}"/>
    <cellStyle name="Neutro 2 5" xfId="29473" xr:uid="{38144E98-6DE0-4227-A44A-F48476D437E6}"/>
    <cellStyle name="Neutro 3" xfId="29474" xr:uid="{62037942-E646-449C-929F-69E45560CC6A}"/>
    <cellStyle name="Neutro 4" xfId="29475" xr:uid="{34082D93-E722-463E-AA87-7FAD04181EC9}"/>
    <cellStyle name="Neutro 5" xfId="29476" xr:uid="{6FE922D7-01D5-44CA-B63F-1631CFA309E4}"/>
    <cellStyle name="Neutro 6" xfId="29477" xr:uid="{18CB64FB-8301-4C7B-820C-1F9224E236C6}"/>
    <cellStyle name="Neutro 7" xfId="29478" xr:uid="{35BC2EFC-A274-4952-AAEC-6414A538042C}"/>
    <cellStyle name="Neutro 8" xfId="29479" xr:uid="{F8D54616-6785-4C01-8D62-311795FBA27B}"/>
    <cellStyle name="Normaali_Layo9704" xfId="2775" xr:uid="{D82A2208-E0BF-461D-AE76-8483CDD9EA04}"/>
    <cellStyle name="Normal" xfId="0" builtinId="0"/>
    <cellStyle name="Normal - Style1" xfId="2776" xr:uid="{7914DC73-43C5-4521-BF24-D3EE66942B7F}"/>
    <cellStyle name="Normal - Style1 2" xfId="17533" xr:uid="{A5E9A0D8-E4C2-4A89-B366-42611F163F0C}"/>
    <cellStyle name="Normal - Style1 2 2" xfId="21150" xr:uid="{78445374-7F32-46A2-8696-8AE9AFC1A486}"/>
    <cellStyle name="Normal - Style1 3" xfId="29480" xr:uid="{5CDA0977-19EC-41B4-814C-E518C533EACB}"/>
    <cellStyle name="Normal - Style1 4" xfId="29481" xr:uid="{562B5718-D37B-4D9E-B7A1-7E6968FD06E5}"/>
    <cellStyle name="Normal - Style1 5" xfId="29482" xr:uid="{EC00D1EC-4F9C-4D69-B9C6-A8409073F091}"/>
    <cellStyle name="Normal - Style1 6" xfId="29483" xr:uid="{F44BE6FC-C56E-4FE2-B808-E0A54D268E1E}"/>
    <cellStyle name="Normal - Style1 7" xfId="29484" xr:uid="{C5E329C3-D625-4647-B83B-1C13362011B4}"/>
    <cellStyle name="Normal - Style1 8" xfId="29485" xr:uid="{F29D0B72-2B5C-4F94-8FEF-4DAE115FCFB4}"/>
    <cellStyle name="Normal - Style2" xfId="2777" xr:uid="{EF9B649E-2AF6-48EB-AE03-767CFB480039}"/>
    <cellStyle name="Normal - Style2 2" xfId="17534" xr:uid="{851335D9-AB73-4CF6-81FB-7326F073D7B7}"/>
    <cellStyle name="Normal - Style2 2 2" xfId="21151" xr:uid="{4216D7BD-79FB-426E-BFAB-3CBCF644362B}"/>
    <cellStyle name="Normal - Style2 3" xfId="29486" xr:uid="{838576DD-57A5-416B-A508-86455D031325}"/>
    <cellStyle name="Normal - Style2 4" xfId="29487" xr:uid="{D9D0BBDC-8C68-4C75-9905-42F6BEFE18F8}"/>
    <cellStyle name="Normal - Style2 5" xfId="29488" xr:uid="{B7F246CD-B9D7-40B5-BF89-FD1589350E86}"/>
    <cellStyle name="Normal - Style2 6" xfId="29489" xr:uid="{57B22643-C9C0-458A-BCD6-0B1AB14F88DB}"/>
    <cellStyle name="Normal - Style2 7" xfId="29490" xr:uid="{D1707C90-ACA6-45FA-9991-3FDD581E3A3B}"/>
    <cellStyle name="Normal - Style2 8" xfId="29491" xr:uid="{0F97DD1B-C964-4882-A180-3AF7AF0E2C68}"/>
    <cellStyle name="Normal - Style3" xfId="2778" xr:uid="{E23763ED-3E77-4C48-999C-9AA89C570FA2}"/>
    <cellStyle name="Normal - Style3 2" xfId="17535" xr:uid="{9326F0C3-9DC6-4E2E-B169-2D485A0ABFF0}"/>
    <cellStyle name="Normal - Style3 2 2" xfId="21152" xr:uid="{BB13541C-C2E6-4734-B753-E838ECC0CA0D}"/>
    <cellStyle name="Normal - Style3 3" xfId="29492" xr:uid="{53C1D6EB-7B33-4BE7-9A05-6FDA5CAAAD36}"/>
    <cellStyle name="Normal - Style3 4" xfId="29493" xr:uid="{FE49B47A-66EF-4627-BFCE-BBE201FB0DB0}"/>
    <cellStyle name="Normal - Style3 5" xfId="29494" xr:uid="{1565B4A6-EAA2-48B8-B295-153918441492}"/>
    <cellStyle name="Normal - Style3 6" xfId="29495" xr:uid="{C6BE5894-7A35-48AB-9C3D-DF8AF43E2FEC}"/>
    <cellStyle name="Normal - Style3 7" xfId="29496" xr:uid="{8A55718A-6F51-410F-80D9-0646F46AB097}"/>
    <cellStyle name="Normal - Style3 8" xfId="29497" xr:uid="{E7332E72-D146-43BF-88B4-E9F81BECAF36}"/>
    <cellStyle name="Normal - Style4" xfId="2779" xr:uid="{23527720-9986-41F9-B138-6D6F129A54ED}"/>
    <cellStyle name="Normal - Style4 2" xfId="17536" xr:uid="{CAA87523-8A78-4275-A318-90A5086E46D9}"/>
    <cellStyle name="Normal - Style4 2 2" xfId="21153" xr:uid="{A33F75E8-C8AF-4D13-A1F9-EF2FC14C9535}"/>
    <cellStyle name="Normal - Style4 3" xfId="29498" xr:uid="{B81F7D32-5A95-4030-901A-272772A6D937}"/>
    <cellStyle name="Normal - Style4 4" xfId="29499" xr:uid="{9C2EBE15-97EE-4755-B041-850BEFA0C6E8}"/>
    <cellStyle name="Normal - Style4 5" xfId="29500" xr:uid="{3656B6A9-504B-43A3-86AD-E8497C7AF0F1}"/>
    <cellStyle name="Normal - Style4 6" xfId="29501" xr:uid="{C8DC935D-0AD7-4436-8E5A-3B22A4121C2C}"/>
    <cellStyle name="Normal - Style4 7" xfId="29502" xr:uid="{DD097640-918D-40CD-B004-E1065E5907BE}"/>
    <cellStyle name="Normal - Style4 8" xfId="29503" xr:uid="{5921BA1F-304F-465F-A0D2-7E665A3FEF6A}"/>
    <cellStyle name="Normal - Style5" xfId="2780" xr:uid="{4BCC4963-A28D-46AA-8281-50EE50A144AA}"/>
    <cellStyle name="Normal - Style5 2" xfId="17537" xr:uid="{E518A9F5-A94D-4C82-BD3F-A4619B0929EE}"/>
    <cellStyle name="Normal - Style5 2 2" xfId="21154" xr:uid="{9634344E-DDB6-460C-ABEC-A9C590C5DEB9}"/>
    <cellStyle name="Normal - Style5 3" xfId="29504" xr:uid="{7685C5F5-A2E0-4292-BAAA-D936AD1EF9BE}"/>
    <cellStyle name="Normal - Style5 4" xfId="29505" xr:uid="{89CCDEE3-B0E1-4441-9A47-155801A0341D}"/>
    <cellStyle name="Normal - Style5 5" xfId="29506" xr:uid="{DD08BBC3-E3E5-46E0-9890-7C4339382AD0}"/>
    <cellStyle name="Normal - Style5 6" xfId="29507" xr:uid="{32AA1F05-D4F4-4492-8FAB-CB6147FCB86B}"/>
    <cellStyle name="Normal - Style5 7" xfId="29508" xr:uid="{99F3BA5B-7BE7-4C5B-911D-8E968BB12C24}"/>
    <cellStyle name="Normal - Style5 8" xfId="29509" xr:uid="{2078CBCE-2C51-4A79-AE10-108EF0910A2E}"/>
    <cellStyle name="Normal - Style6" xfId="2781" xr:uid="{ACDCA454-36FB-4D0F-95B0-FBEA8011CA54}"/>
    <cellStyle name="Normal - Style6 2" xfId="17538" xr:uid="{150638B3-A836-44A9-B29F-A7D847FF01F6}"/>
    <cellStyle name="Normal - Style6 2 2" xfId="21155" xr:uid="{B2CB0C61-8FA0-4BC8-AF04-BEBB1E388196}"/>
    <cellStyle name="Normal - Style6 3" xfId="29510" xr:uid="{BC27B7EF-6D70-4B01-B845-9CFFC222DF8F}"/>
    <cellStyle name="Normal - Style6 4" xfId="29511" xr:uid="{6471AB92-A899-4B4C-8D39-9349FE2A4DF8}"/>
    <cellStyle name="Normal - Style6 5" xfId="29512" xr:uid="{792949DD-6514-4724-9132-1D62F7A39A12}"/>
    <cellStyle name="Normal - Style6 6" xfId="29513" xr:uid="{91D48340-548B-42A6-B960-25F2DF9E4829}"/>
    <cellStyle name="Normal - Style6 7" xfId="29514" xr:uid="{2E185285-0D17-40D4-AD58-0012A89E4015}"/>
    <cellStyle name="Normal - Style6 8" xfId="29515" xr:uid="{0AD6BFE9-F6BE-4F0F-9BC5-8A236D08C510}"/>
    <cellStyle name="Normal - Style7" xfId="2782" xr:uid="{3C2EC385-8BF1-414E-9034-F4A1E807E326}"/>
    <cellStyle name="Normal - Style7 2" xfId="17539" xr:uid="{B7AD2850-282D-423D-9185-2E7474AD2071}"/>
    <cellStyle name="Normal - Style7 2 2" xfId="21156" xr:uid="{1A6B9E75-241E-4B5E-9661-EBFF19563EC1}"/>
    <cellStyle name="Normal - Style7 3" xfId="29516" xr:uid="{B2471FCC-6D44-49B4-8751-4B14BBA0B2EC}"/>
    <cellStyle name="Normal - Style7 4" xfId="29517" xr:uid="{1A68714D-240B-4DDF-8863-ABB5B94016D4}"/>
    <cellStyle name="Normal - Style7 5" xfId="29518" xr:uid="{4C8AF73C-2BFB-4542-8FBE-7BDB4CB57050}"/>
    <cellStyle name="Normal - Style7 6" xfId="29519" xr:uid="{8F31CB4F-BF7B-4338-8878-4CC46293C1AE}"/>
    <cellStyle name="Normal - Style7 7" xfId="29520" xr:uid="{B3EEE58B-8DDF-4CA8-95A0-0CF0E1C28ADA}"/>
    <cellStyle name="Normal - Style7 8" xfId="29521" xr:uid="{57C9474E-A9AD-42B7-A2BD-86443E2747A6}"/>
    <cellStyle name="Normal - Style8" xfId="2783" xr:uid="{F672FDE6-B471-4B4F-A657-6C03D0338703}"/>
    <cellStyle name="Normal - Style8 2" xfId="17540" xr:uid="{2D23A195-1E81-427A-ABEA-76E8923E3384}"/>
    <cellStyle name="Normal - Style8 2 2" xfId="21157" xr:uid="{CC364CD5-9AC4-4BB1-A616-011A63E1F9F2}"/>
    <cellStyle name="Normal - Style8 3" xfId="29522" xr:uid="{9489FC45-2D87-4207-B1AD-46E20357FC01}"/>
    <cellStyle name="Normal - Style8 4" xfId="29523" xr:uid="{FDB4F3B7-D3D5-453C-9234-C35421924E07}"/>
    <cellStyle name="Normal - Style8 5" xfId="29524" xr:uid="{08A98534-645F-4E79-91D9-5EC2F124002D}"/>
    <cellStyle name="Normal - Style8 6" xfId="29525" xr:uid="{B76E8E82-2F2F-4060-8F56-5D7592202809}"/>
    <cellStyle name="Normal - Style8 7" xfId="29526" xr:uid="{80B5F0C9-18F4-422B-8D60-E9A67FD31883}"/>
    <cellStyle name="Normal - Style8 8" xfId="29527" xr:uid="{B9D951C0-1A13-40F8-94D9-A0C17A436465}"/>
    <cellStyle name="Normal 10" xfId="2784" xr:uid="{5942D367-8D31-4B81-89FC-E95C64AB206A}"/>
    <cellStyle name="Normal 10 10" xfId="2" xr:uid="{00000000-0005-0000-0000-000002000000}"/>
    <cellStyle name="Normal 10 10 2" xfId="21158" xr:uid="{A3B0905A-0CD2-4CAF-9B65-0017A9BE3399}"/>
    <cellStyle name="Normal 10 10 3" xfId="43942" xr:uid="{54C4AE7D-09D3-4541-B135-1D78402DC4CE}"/>
    <cellStyle name="Normal 10 10 4" xfId="17541" xr:uid="{DCFBE232-E0AA-478C-B890-68383B243C92}"/>
    <cellStyle name="Normal 10 11" xfId="6165" xr:uid="{C2348691-8040-4A7B-A50A-A381485B8106}"/>
    <cellStyle name="Normal 10 11 2" xfId="45847" xr:uid="{0D4A4D20-7C6E-4543-996A-D0217B263AA4}"/>
    <cellStyle name="Normal 10 11 3" xfId="29528" xr:uid="{A0B5F28A-38C6-4885-815F-A8A96C8C36EB}"/>
    <cellStyle name="Normal 10 12" xfId="8799" xr:uid="{909CF6AB-FD5D-4FE1-A940-85832897E9F2}"/>
    <cellStyle name="Normal 10 12 2" xfId="29529" xr:uid="{FE6BCC32-902F-440F-BFFD-C4D192D8D457}"/>
    <cellStyle name="Normal 10 13" xfId="29530" xr:uid="{9C5294C1-1DA1-4102-A714-E9044A633443}"/>
    <cellStyle name="Normal 10 14" xfId="29531" xr:uid="{1918B5DF-51BA-40FF-A606-07CBE2240F70}"/>
    <cellStyle name="Normal 10 15" xfId="29532" xr:uid="{547F1BCA-09F2-420B-BCDD-CAAB5E08BBAC}"/>
    <cellStyle name="Normal 10 2" xfId="2785" xr:uid="{08467EA8-4C71-4BF7-9002-8C35F7750260}"/>
    <cellStyle name="Normal 10 2 2" xfId="4919" xr:uid="{94E61C86-84F0-4CE0-8FA6-B745E657B359}"/>
    <cellStyle name="Normal 10 2 2 2" xfId="17543" xr:uid="{FA376710-5998-4950-8583-B653276FEA41}"/>
    <cellStyle name="Normal 10 2 2 2 2" xfId="21160" xr:uid="{23B9E835-70D6-4059-9577-C241FC275CC6}"/>
    <cellStyle name="Normal 10 2 2 3" xfId="29533" xr:uid="{34452992-5055-41DC-9965-F867A903D134}"/>
    <cellStyle name="Normal 10 2 2 4" xfId="29534" xr:uid="{C13E322B-7513-4A1B-96B2-26760D3AC7D8}"/>
    <cellStyle name="Normal 10 2 2 5" xfId="29535" xr:uid="{4909FCD3-DF98-4FE5-94FF-1119004B1B0B}"/>
    <cellStyle name="Normal 10 2 2 6" xfId="29536" xr:uid="{0C8C2D21-E5DF-40A7-A40D-438015317906}"/>
    <cellStyle name="Normal 10 2 3" xfId="4100" xr:uid="{9A6C2ABA-C5B9-4718-93DC-5A62DC5B379C}"/>
    <cellStyle name="Normal 10 2 3 2" xfId="21159" xr:uid="{560E533D-3C37-4E18-AB9F-2496B5CBDD4C}"/>
    <cellStyle name="Normal 10 2 3 3" xfId="43943" xr:uid="{8E0928EB-6E08-4726-89D2-5DD3CC222C20}"/>
    <cellStyle name="Normal 10 2 3 4" xfId="17542" xr:uid="{3EA1DDAA-5125-407F-B71D-AD08B509A635}"/>
    <cellStyle name="Normal 10 2 4" xfId="6166" xr:uid="{DA26B011-1B84-4194-B838-AF6F16DBBF70}"/>
    <cellStyle name="Normal 10 2 4 2" xfId="45848" xr:uid="{9C6ADFAE-2CB5-41A1-BE45-C9B514301D7D}"/>
    <cellStyle name="Normal 10 2 4 3" xfId="29537" xr:uid="{4E3F67D4-2579-4FEC-9A1B-99052CB16EFE}"/>
    <cellStyle name="Normal 10 2 5" xfId="8800" xr:uid="{6EB3E419-B824-4A86-AF3D-2A65D515C43A}"/>
    <cellStyle name="Normal 10 2 5 2" xfId="29538" xr:uid="{81F62969-593C-4243-9611-D03DA0EC8EA7}"/>
    <cellStyle name="Normal 10 2 6" xfId="29539" xr:uid="{F54AEC16-BA03-4D4E-BBDE-3E7DD711111D}"/>
    <cellStyle name="Normal 10 2 7" xfId="29540" xr:uid="{70C17157-0F14-48DD-9509-2F2ECDD1D46B}"/>
    <cellStyle name="Normal 10 2 8" xfId="29541" xr:uid="{1EB1B375-BA71-402D-8C4A-735D3A8A9298}"/>
    <cellStyle name="Normal 10 3" xfId="2786" xr:uid="{AFCF9776-509F-4DF2-A59B-1A160EBF2FB0}"/>
    <cellStyle name="Normal 10 3 2" xfId="4920" xr:uid="{92A6F2D0-EE56-4CD0-BA2A-F6681F6E01A5}"/>
    <cellStyle name="Normal 10 3 2 2" xfId="17545" xr:uid="{71FC29C9-EA95-43A1-89CD-5DC4A24641A1}"/>
    <cellStyle name="Normal 10 3 2 2 2" xfId="21162" xr:uid="{D6570790-3CF1-44F1-870E-C43E8B25924F}"/>
    <cellStyle name="Normal 10 3 2 3" xfId="29542" xr:uid="{5787942D-8EA2-444C-A6A9-199B83578616}"/>
    <cellStyle name="Normal 10 3 2 4" xfId="29543" xr:uid="{56FE8A45-C8DE-4DB2-9638-E904C9904DB4}"/>
    <cellStyle name="Normal 10 3 2 5" xfId="29544" xr:uid="{C0DD6347-A1F0-48D5-8774-A9AFC8117F57}"/>
    <cellStyle name="Normal 10 3 2 6" xfId="29545" xr:uid="{BE5C8840-D268-4F95-B5DB-2CF6E9A80AB5}"/>
    <cellStyle name="Normal 10 3 3" xfId="4101" xr:uid="{ECC802DF-B393-4030-9C79-491ED4357CA0}"/>
    <cellStyle name="Normal 10 3 3 2" xfId="21161" xr:uid="{BBB2F572-6168-4288-AAB2-9412D6AEBA67}"/>
    <cellStyle name="Normal 10 3 3 3" xfId="43944" xr:uid="{46D54972-6C50-435B-BE1E-D54D9F2E3223}"/>
    <cellStyle name="Normal 10 3 3 4" xfId="17544" xr:uid="{C8DA93E6-0234-4EBC-A55F-AD9DC517F249}"/>
    <cellStyle name="Normal 10 3 4" xfId="6167" xr:uid="{FF707882-F238-477D-A83B-E3118F9A3502}"/>
    <cellStyle name="Normal 10 3 4 2" xfId="45849" xr:uid="{D96FE2B6-19F5-435F-AB49-04B01DC65987}"/>
    <cellStyle name="Normal 10 3 4 3" xfId="29546" xr:uid="{9595C760-0A6B-482C-A347-9ECE295E19FB}"/>
    <cellStyle name="Normal 10 3 5" xfId="8801" xr:uid="{59F4F457-2CC3-4B43-BC50-843130DB55A7}"/>
    <cellStyle name="Normal 10 3 5 2" xfId="29547" xr:uid="{BFB69FF4-10CD-46C8-B7CD-CE35E3B58729}"/>
    <cellStyle name="Normal 10 3 6" xfId="29548" xr:uid="{084220E4-7AAA-4DED-A0D6-3C355E947289}"/>
    <cellStyle name="Normal 10 3 7" xfId="29549" xr:uid="{5172111C-FD13-4DE6-BD68-53F9C6C841CB}"/>
    <cellStyle name="Normal 10 3 8" xfId="29550" xr:uid="{A5822DC0-7440-49CF-BE2B-A5B88371D608}"/>
    <cellStyle name="Normal 10 4" xfId="2787" xr:uid="{143C2315-8DB4-4D6E-9878-67F90C99668B}"/>
    <cellStyle name="Normal 10 4 2" xfId="4921" xr:uid="{524FD06A-0841-4E30-AD6D-BFABBC798E87}"/>
    <cellStyle name="Normal 10 4 2 2" xfId="17547" xr:uid="{AD6CB3D5-CC54-4B20-96D8-BC4A4A3BC0D1}"/>
    <cellStyle name="Normal 10 4 2 2 2" xfId="21164" xr:uid="{7B73A639-3595-4FF8-9F28-763589D2DD5A}"/>
    <cellStyle name="Normal 10 4 2 3" xfId="29551" xr:uid="{96E2E45C-6577-43CF-9FBB-A1F1536405A0}"/>
    <cellStyle name="Normal 10 4 2 4" xfId="29552" xr:uid="{5DD5C126-7748-481B-9875-36A1CFB406AA}"/>
    <cellStyle name="Normal 10 4 2 5" xfId="29553" xr:uid="{BDE4D7ED-6A8F-4A9C-B015-79DE8BFB2F28}"/>
    <cellStyle name="Normal 10 4 2 6" xfId="29554" xr:uid="{13DB5419-90B3-4AA4-94E8-0A65BC8FE3EC}"/>
    <cellStyle name="Normal 10 4 3" xfId="4102" xr:uid="{02F31929-BA01-49BE-B3FE-804A4758B2DA}"/>
    <cellStyle name="Normal 10 4 3 2" xfId="21163" xr:uid="{52869811-1C88-47E9-A12B-CA57C37B1F8D}"/>
    <cellStyle name="Normal 10 4 3 3" xfId="43945" xr:uid="{CA21A1D6-60BE-4A2C-A6E3-2986C58800C6}"/>
    <cellStyle name="Normal 10 4 3 4" xfId="17546" xr:uid="{8E448050-E4C1-4362-A87A-48446EF943C2}"/>
    <cellStyle name="Normal 10 4 4" xfId="6168" xr:uid="{B9BC7BCB-C540-433A-B776-675C194C8546}"/>
    <cellStyle name="Normal 10 4 4 2" xfId="45850" xr:uid="{48593150-80D0-4369-AE4A-703150EBE9AA}"/>
    <cellStyle name="Normal 10 4 4 3" xfId="29555" xr:uid="{C2F3E545-4090-4126-9C4B-68FF18CB592F}"/>
    <cellStyle name="Normal 10 4 5" xfId="8802" xr:uid="{C61390F3-FBB5-49C5-A6BA-4AC648E712D1}"/>
    <cellStyle name="Normal 10 4 5 2" xfId="29556" xr:uid="{37576E7D-9042-46A0-8836-2411ADE4D487}"/>
    <cellStyle name="Normal 10 4 6" xfId="29557" xr:uid="{1ECE7128-E860-4FBF-8852-606CF7A27729}"/>
    <cellStyle name="Normal 10 4 7" xfId="29558" xr:uid="{150A52A2-3F29-42A0-859B-B46A9726AF65}"/>
    <cellStyle name="Normal 10 4 8" xfId="29559" xr:uid="{03620134-EF46-4FA5-8513-7BDBE57A34ED}"/>
    <cellStyle name="Normal 10 5" xfId="2788" xr:uid="{E28C8D8D-02A8-4D2B-AA8E-1B0489280CD7}"/>
    <cellStyle name="Normal 10 5 2" xfId="4922" xr:uid="{79078E7A-82D9-4DE0-AEB8-45FAFF646945}"/>
    <cellStyle name="Normal 10 5 2 2" xfId="17549" xr:uid="{D37F9C4C-6DC4-4DDA-9347-6E6D975E7711}"/>
    <cellStyle name="Normal 10 5 2 2 2" xfId="21166" xr:uid="{6264651D-AE57-4B09-9648-79BF6069C046}"/>
    <cellStyle name="Normal 10 5 2 3" xfId="29560" xr:uid="{EE0B7242-3089-4B55-9A93-B96202F2A906}"/>
    <cellStyle name="Normal 10 5 2 4" xfId="29561" xr:uid="{2A6C34F1-2082-4CB7-8297-05388A7075F0}"/>
    <cellStyle name="Normal 10 5 2 5" xfId="29562" xr:uid="{3D514AC9-1FB1-4B47-AD92-F3A345C01102}"/>
    <cellStyle name="Normal 10 5 2 6" xfId="29563" xr:uid="{A8E18E8D-BA2C-4CFC-93DD-78DE9EF25F71}"/>
    <cellStyle name="Normal 10 5 3" xfId="6794" xr:uid="{0D0D3575-8622-447B-90B3-2E8018459434}"/>
    <cellStyle name="Normal 10 5 3 2" xfId="21165" xr:uid="{EA61C365-3C33-4B76-85B0-C6570A5CFEEC}"/>
    <cellStyle name="Normal 10 5 3 3" xfId="46273" xr:uid="{074AC949-4B19-45C2-9856-F156291F41F5}"/>
    <cellStyle name="Normal 10 5 3 4" xfId="17548" xr:uid="{2DBAE84F-D7CF-4FB5-A183-5372031FEF70}"/>
    <cellStyle name="Normal 10 5 4" xfId="8803" xr:uid="{D32FF3E6-8B3B-46AC-AFBE-48399FED80B5}"/>
    <cellStyle name="Normal 10 5 4 2" xfId="29564" xr:uid="{62909B2F-64ED-4B89-B2F6-E817FA3672AB}"/>
    <cellStyle name="Normal 10 5 5" xfId="29565" xr:uid="{1F598FA6-A89D-4909-AC6A-6A071E2C24E8}"/>
    <cellStyle name="Normal 10 5 6" xfId="29566" xr:uid="{54A1AA71-071E-4A21-B91F-D7873ED6046F}"/>
    <cellStyle name="Normal 10 5 7" xfId="29567" xr:uid="{EF930829-9750-4B50-B60C-0E9EA1F3D07A}"/>
    <cellStyle name="Normal 10 6" xfId="2789" xr:uid="{FC835D8F-9574-4A36-9103-2F513BA31056}"/>
    <cellStyle name="Normal 10 6 2" xfId="4923" xr:uid="{41A30116-A699-4C7B-B54E-AD05E2B5154D}"/>
    <cellStyle name="Normal 10 6 2 2" xfId="17551" xr:uid="{0536A4CB-45AA-4EF1-95E0-6AB82F2C4E62}"/>
    <cellStyle name="Normal 10 6 2 2 2" xfId="21168" xr:uid="{C6819E00-E71D-42CA-BDE2-094010487EA4}"/>
    <cellStyle name="Normal 10 6 2 3" xfId="29568" xr:uid="{2E4F52EC-6DF8-460B-99A7-70D59BA02A75}"/>
    <cellStyle name="Normal 10 6 2 4" xfId="29569" xr:uid="{C83CC404-E603-4A90-A317-03C40E11E21A}"/>
    <cellStyle name="Normal 10 6 2 5" xfId="29570" xr:uid="{F2CE0811-9AFA-4B87-A765-6C717FD61557}"/>
    <cellStyle name="Normal 10 6 2 6" xfId="29571" xr:uid="{B4436C6D-7305-482B-8500-5CB203A15B78}"/>
    <cellStyle name="Normal 10 6 3" xfId="6795" xr:uid="{372EF97B-1866-479D-A06F-0F6F6D49EF3C}"/>
    <cellStyle name="Normal 10 6 3 2" xfId="21167" xr:uid="{BC584360-6548-464B-A626-AB652F569818}"/>
    <cellStyle name="Normal 10 6 3 3" xfId="46274" xr:uid="{4A008167-1A7F-428C-94E7-81D2CC4C0979}"/>
    <cellStyle name="Normal 10 6 3 4" xfId="17550" xr:uid="{CDD5C0E1-60A8-49E9-AC05-6F3D530DDA47}"/>
    <cellStyle name="Normal 10 6 4" xfId="8804" xr:uid="{1D92CA59-F22C-4DBE-A12D-63FF61B7013A}"/>
    <cellStyle name="Normal 10 6 4 2" xfId="29572" xr:uid="{30EEBD6C-476F-4C42-B962-DA221B6C3630}"/>
    <cellStyle name="Normal 10 6 5" xfId="29573" xr:uid="{CF822E7F-7CA6-4EC9-AB1A-EA395B51BA58}"/>
    <cellStyle name="Normal 10 6 6" xfId="29574" xr:uid="{D73B9A39-6BD2-4A8B-AC43-9EFA1DCB3FBD}"/>
    <cellStyle name="Normal 10 6 7" xfId="29575" xr:uid="{E5E083AB-8BFD-4717-BCAF-26145E0F09ED}"/>
    <cellStyle name="Normal 10 7" xfId="2790" xr:uid="{2EB36E20-0D0D-48A3-99FD-0E845D8DC685}"/>
    <cellStyle name="Normal 10 7 2" xfId="4924" xr:uid="{56CF4593-8714-431D-8286-8E2192D14761}"/>
    <cellStyle name="Normal 10 7 2 2" xfId="17553" xr:uid="{3BE08669-96A7-4862-A130-A9384CFE18B0}"/>
    <cellStyle name="Normal 10 7 2 2 2" xfId="21170" xr:uid="{F3FB52C7-F6DD-4D7E-9426-39472ED39E86}"/>
    <cellStyle name="Normal 10 7 2 3" xfId="29576" xr:uid="{F4A02302-3FB8-4088-BECE-00BB9C35F822}"/>
    <cellStyle name="Normal 10 7 2 4" xfId="29577" xr:uid="{232844E0-38C9-4B14-B3F8-61810A088477}"/>
    <cellStyle name="Normal 10 7 2 5" xfId="29578" xr:uid="{D89214D6-CB7A-4D1C-A148-16CDC8EBC4AC}"/>
    <cellStyle name="Normal 10 7 2 6" xfId="29579" xr:uid="{B8759B1F-B035-4F35-A329-78BDB76BA6F2}"/>
    <cellStyle name="Normal 10 7 3" xfId="6796" xr:uid="{88D33E29-944E-4D9F-9EA1-1AF17E6A5426}"/>
    <cellStyle name="Normal 10 7 3 2" xfId="21169" xr:uid="{069BAD45-6A44-4CD8-9C86-FF5EB0E05502}"/>
    <cellStyle name="Normal 10 7 3 3" xfId="46275" xr:uid="{79565E95-3480-480A-9BFE-D40A77B08599}"/>
    <cellStyle name="Normal 10 7 3 4" xfId="17552" xr:uid="{FD45561D-F1FE-427F-A4B4-37CB427E3673}"/>
    <cellStyle name="Normal 10 7 4" xfId="8805" xr:uid="{932F840B-630C-4BFB-A550-D995AB7221D2}"/>
    <cellStyle name="Normal 10 7 4 2" xfId="29580" xr:uid="{6149DEEC-24AF-491D-ADEC-EF8F82BE519A}"/>
    <cellStyle name="Normal 10 7 5" xfId="29581" xr:uid="{B89B0305-68F5-4BE0-A302-EA1024B7A7A5}"/>
    <cellStyle name="Normal 10 7 6" xfId="29582" xr:uid="{701073BA-AD20-4A6E-BC54-42FADA47A000}"/>
    <cellStyle name="Normal 10 7 7" xfId="29583" xr:uid="{8A45B44E-82A7-459A-96D3-C10355421E8D}"/>
    <cellStyle name="Normal 10 8" xfId="2791" xr:uid="{CC393F13-2F9E-4922-8785-6A97B0A7C649}"/>
    <cellStyle name="Normal 10 8 2" xfId="4925" xr:uid="{7E420A54-C371-4D22-BA9D-883C95925A69}"/>
    <cellStyle name="Normal 10 8 2 2" xfId="17555" xr:uid="{F5A93B7B-8684-49CA-B506-4F795FA56B72}"/>
    <cellStyle name="Normal 10 8 2 2 2" xfId="21172" xr:uid="{E77E2DFB-92C8-4037-AA0D-5A933178A182}"/>
    <cellStyle name="Normal 10 8 2 3" xfId="29584" xr:uid="{ECE8AACD-0ED4-46DE-83CE-D50A8F827069}"/>
    <cellStyle name="Normal 10 8 2 4" xfId="29585" xr:uid="{BBBF6262-C01E-46FE-8496-917ACCF1E08D}"/>
    <cellStyle name="Normal 10 8 2 5" xfId="29586" xr:uid="{EC183F57-64D8-4397-9EDE-E33B4ECF8D34}"/>
    <cellStyle name="Normal 10 8 2 6" xfId="29587" xr:uid="{40825C94-20AC-4F13-A2F9-E2118487F065}"/>
    <cellStyle name="Normal 10 8 3" xfId="6797" xr:uid="{3385D8BF-0369-4729-A5FE-EA66D3B2E3E4}"/>
    <cellStyle name="Normal 10 8 3 2" xfId="21171" xr:uid="{5C164658-0435-428A-8878-D6EEAB7A6BEB}"/>
    <cellStyle name="Normal 10 8 3 3" xfId="46276" xr:uid="{09A485DD-2A70-4037-B38A-CA161ED1E697}"/>
    <cellStyle name="Normal 10 8 3 4" xfId="17554" xr:uid="{CF8E3B6E-D454-450B-9E3E-C18240689A3D}"/>
    <cellStyle name="Normal 10 8 4" xfId="8806" xr:uid="{73E82237-DEBD-4C2E-8419-329A1DDE436A}"/>
    <cellStyle name="Normal 10 8 4 2" xfId="29588" xr:uid="{1C7CF702-BE66-4471-A44C-6B5DE1A5CA95}"/>
    <cellStyle name="Normal 10 8 5" xfId="29589" xr:uid="{69467670-9682-4F23-8D56-473B88B5BC64}"/>
    <cellStyle name="Normal 10 8 6" xfId="29590" xr:uid="{40AF5040-BC28-41D2-B852-FBF7004A0C3E}"/>
    <cellStyle name="Normal 10 8 7" xfId="29591" xr:uid="{366AF0A9-A651-4A4E-AFF0-97C650D1C1E9}"/>
    <cellStyle name="Normal 10 9" xfId="4918" xr:uid="{E2CB4A60-27BE-4EC4-AAC6-74001F7BAD1D}"/>
    <cellStyle name="Normal 10 9 2" xfId="17556" xr:uid="{5FD8FF97-413E-4346-B6EA-268E79922485}"/>
    <cellStyle name="Normal 10 9 2 2" xfId="21173" xr:uid="{F571572D-3176-4146-99B0-6DC40D0599D8}"/>
    <cellStyle name="Normal 10 9 3" xfId="29592" xr:uid="{BF73328C-47C0-4EE1-B4C0-9B711AE518AC}"/>
    <cellStyle name="Normal 10 9 4" xfId="29593" xr:uid="{098B6BB3-BCE5-4B62-9CDB-CAEB933DA801}"/>
    <cellStyle name="Normal 10 9 5" xfId="29594" xr:uid="{BEE8808A-2BAF-46E9-964B-F51995E9FB37}"/>
    <cellStyle name="Normal 10 9 6" xfId="29595" xr:uid="{5FB66B3B-BD39-4D9C-8CD4-B2CA09182544}"/>
    <cellStyle name="Normal 100" xfId="43469" xr:uid="{AB20F238-3C9C-42B9-8DFE-C311239BBD30}"/>
    <cellStyle name="Normal 100 2" xfId="45566" xr:uid="{319A9FC8-CCCE-43CD-8D85-1444CD5CC7A7}"/>
    <cellStyle name="Normal 101" xfId="44351" xr:uid="{EE3D9081-D0E2-4CC5-811A-083406AD884E}"/>
    <cellStyle name="Normal 101 2" xfId="45568" xr:uid="{F1ECEABB-C629-4A21-8788-BC4B6BFD0E90}"/>
    <cellStyle name="Normal 102" xfId="45571" xr:uid="{EC493669-72A1-49B1-AC8C-81F8102E4562}"/>
    <cellStyle name="Normal 103" xfId="45573" xr:uid="{8ECB8EFE-BFAB-45AE-AFB9-7288229EBCDE}"/>
    <cellStyle name="Normal 104" xfId="44475" xr:uid="{B7212D8A-5487-4C68-BADE-D78A17258F6C}"/>
    <cellStyle name="Normal 105" xfId="44616" xr:uid="{87925204-C808-47FD-B4D0-D7FE4C32D217}"/>
    <cellStyle name="Normal 105 2" xfId="51863" xr:uid="{56CC9231-C8D2-44E8-ACBA-30005EAC6FAF}"/>
    <cellStyle name="Normal 106" xfId="45575" xr:uid="{101E6F0C-AB06-463D-975A-F28AEC39A239}"/>
    <cellStyle name="Normal 107" xfId="45601" xr:uid="{322C801C-C6F5-4A44-AC4D-6EFEF4CFA204}"/>
    <cellStyle name="Normal 108" xfId="49206" xr:uid="{F9DFE778-56D2-4121-9058-A2A6B2079340}"/>
    <cellStyle name="Normal 109" xfId="54520" xr:uid="{A3B7A962-64F6-495F-986A-CD8B6820D1EB}"/>
    <cellStyle name="Normal 11" xfId="2792" xr:uid="{C909C0A1-4B76-4C75-8328-5BB6241F00F9}"/>
    <cellStyle name="Normal 11 10" xfId="4103" xr:uid="{FA1781B9-C408-4182-8684-DEFF40573E5D}"/>
    <cellStyle name="Normal 11 10 2" xfId="21174" xr:uid="{488D898D-5418-4626-89E3-F0821DE6EA01}"/>
    <cellStyle name="Normal 11 10 3" xfId="43946" xr:uid="{1F74BE73-C1F1-42DA-AA08-48945D0B51F0}"/>
    <cellStyle name="Normal 11 10 4" xfId="17557" xr:uid="{A9462F42-EB4B-40C1-9854-9BFA73EB32E6}"/>
    <cellStyle name="Normal 11 11" xfId="6169" xr:uid="{F85CBA5A-C81F-4D16-8589-2E20A6AB7AAA}"/>
    <cellStyle name="Normal 11 11 2" xfId="45851" xr:uid="{731AE831-DB33-4342-9EFC-00CC5F4E81A9}"/>
    <cellStyle name="Normal 11 11 3" xfId="29596" xr:uid="{CE1384AF-E2CA-4CB1-A544-3AF3908CB78B}"/>
    <cellStyle name="Normal 11 12" xfId="8807" xr:uid="{53CBBDBC-3A38-4B88-B3A6-DB0A6B3BA632}"/>
    <cellStyle name="Normal 11 12 2" xfId="29597" xr:uid="{2D826B2C-AB35-4801-AF17-407692E28FBA}"/>
    <cellStyle name="Normal 11 13" xfId="29598" xr:uid="{8339E7EE-4FE2-470E-BDE2-850A2F7D0485}"/>
    <cellStyle name="Normal 11 14" xfId="29599" xr:uid="{6DDEF1B8-8B58-425E-A490-744DA67C9CBA}"/>
    <cellStyle name="Normal 11 15" xfId="29600" xr:uid="{35E4F59F-80B3-4FD6-8CB3-81DBEBD1E5DA}"/>
    <cellStyle name="Normal 11 2" xfId="2793" xr:uid="{41E3A332-34C5-46FA-BA68-3E6E46464E35}"/>
    <cellStyle name="Normal 11 2 2" xfId="4927" xr:uid="{761FDF04-D7EE-4BED-90A8-DDB82BA43935}"/>
    <cellStyle name="Normal 11 2 2 2" xfId="17559" xr:uid="{FE61C878-41CE-49FB-BA1B-3587B19E38A7}"/>
    <cellStyle name="Normal 11 2 2 2 2" xfId="21176" xr:uid="{603725BB-7E7F-4FCD-BF7E-66F902F876EB}"/>
    <cellStyle name="Normal 11 2 2 3" xfId="29601" xr:uid="{229F6047-EE8C-42CB-AB27-6AB4B2476F65}"/>
    <cellStyle name="Normal 11 2 2 4" xfId="29602" xr:uid="{B4847655-E42A-4912-8564-ABCD1460EEDE}"/>
    <cellStyle name="Normal 11 2 2 5" xfId="29603" xr:uid="{803E08F3-023B-4470-9FDA-483D016C6202}"/>
    <cellStyle name="Normal 11 2 2 6" xfId="29604" xr:uid="{6362AA11-2A25-4EA0-AC1A-607ECC065FD9}"/>
    <cellStyle name="Normal 11 2 3" xfId="4104" xr:uid="{500C8122-D9F7-4468-B49D-F8422D2ED5E8}"/>
    <cellStyle name="Normal 11 2 3 2" xfId="21175" xr:uid="{9BADCEF7-E63E-4276-90E4-5F19D1CB8E22}"/>
    <cellStyle name="Normal 11 2 3 3" xfId="43947" xr:uid="{FB631030-62C9-48E9-A58D-CF8C89F9E3CD}"/>
    <cellStyle name="Normal 11 2 3 4" xfId="17558" xr:uid="{60EC0C3F-4BE8-4361-8A79-AB15EFAB0AE5}"/>
    <cellStyle name="Normal 11 2 4" xfId="6170" xr:uid="{1518734A-EF47-4248-8AB9-5BB88DE0AE22}"/>
    <cellStyle name="Normal 11 2 4 2" xfId="45852" xr:uid="{F7BEFA2B-4AA7-41CC-AF51-1B9C99DA29B4}"/>
    <cellStyle name="Normal 11 2 4 3" xfId="29605" xr:uid="{B2B25AE1-9116-4A4B-BEE4-636260AB56E1}"/>
    <cellStyle name="Normal 11 2 5" xfId="8808" xr:uid="{187C590F-ADC8-4D0F-8E1A-DC87952617A3}"/>
    <cellStyle name="Normal 11 2 5 2" xfId="29606" xr:uid="{AAD365EE-F26B-43D7-AC10-82E3B0B13FEC}"/>
    <cellStyle name="Normal 11 2 6" xfId="29607" xr:uid="{8EBD0E8E-E4F0-401D-9492-53C9A8044457}"/>
    <cellStyle name="Normal 11 2 7" xfId="29608" xr:uid="{B69B9A0E-4C1A-4BDA-A687-57A5A8C9559A}"/>
    <cellStyle name="Normal 11 2 8" xfId="29609" xr:uid="{BCC4F06D-A93E-4C36-9CE5-F76B2EEF5F0A}"/>
    <cellStyle name="Normal 11 3" xfId="2794" xr:uid="{D906A1D9-4896-478C-AA4D-86D5DCC27D03}"/>
    <cellStyle name="Normal 11 3 2" xfId="4928" xr:uid="{C2B19768-EE55-4370-9709-C0EBDED4E474}"/>
    <cellStyle name="Normal 11 3 2 2" xfId="17561" xr:uid="{5DC4233B-063F-4335-A8DB-3499A362A903}"/>
    <cellStyle name="Normal 11 3 2 2 2" xfId="21178" xr:uid="{7E2E84F5-0694-44E3-AC1E-72A6CA06666F}"/>
    <cellStyle name="Normal 11 3 2 3" xfId="29610" xr:uid="{B0DC12AD-9D3D-409E-AE5A-64433F178FBE}"/>
    <cellStyle name="Normal 11 3 2 4" xfId="29611" xr:uid="{97123BE6-17C0-469A-A646-BE1B566FF4DA}"/>
    <cellStyle name="Normal 11 3 2 5" xfId="29612" xr:uid="{8277BDDF-23F7-4BE8-9589-8B36ABA3F544}"/>
    <cellStyle name="Normal 11 3 2 6" xfId="29613" xr:uid="{64B5BFBF-349F-4986-87C7-77542EE8B3C3}"/>
    <cellStyle name="Normal 11 3 3" xfId="4105" xr:uid="{6CC27ED5-8070-4FF9-A1CE-AD463E700588}"/>
    <cellStyle name="Normal 11 3 3 2" xfId="21177" xr:uid="{4E9EFBF4-F996-4A2B-B034-5634A66BB18B}"/>
    <cellStyle name="Normal 11 3 3 3" xfId="43948" xr:uid="{367F06FF-6B22-4B5D-A943-5D2654E408B1}"/>
    <cellStyle name="Normal 11 3 3 4" xfId="17560" xr:uid="{002A9DB5-9E0E-45B2-9B3A-42C089663420}"/>
    <cellStyle name="Normal 11 3 4" xfId="6171" xr:uid="{6A386BA3-320C-401D-86B3-A3B2D05B0FA9}"/>
    <cellStyle name="Normal 11 3 4 2" xfId="45853" xr:uid="{605AB6E1-84C3-45DE-8C2B-595001331B07}"/>
    <cellStyle name="Normal 11 3 4 3" xfId="29614" xr:uid="{8E2314F2-49F1-4CA5-B8A6-313889F8F8F6}"/>
    <cellStyle name="Normal 11 3 5" xfId="8809" xr:uid="{41AF3B1F-B677-4431-9613-24AA24106FC1}"/>
    <cellStyle name="Normal 11 3 5 2" xfId="29615" xr:uid="{CE8278D1-7023-4053-A0DF-67E1601D098F}"/>
    <cellStyle name="Normal 11 3 6" xfId="29616" xr:uid="{F442215C-217F-41EC-BB0A-651525101BE7}"/>
    <cellStyle name="Normal 11 3 7" xfId="29617" xr:uid="{9D5001CF-F1FA-4364-AB7D-55FDF1547D29}"/>
    <cellStyle name="Normal 11 3 8" xfId="29618" xr:uid="{4DBF0CAA-F6AB-4C68-B0AB-A20FA2318FE1}"/>
    <cellStyle name="Normal 11 4" xfId="2795" xr:uid="{97E817C6-3D79-47D8-95DB-42C96C659C41}"/>
    <cellStyle name="Normal 11 4 2" xfId="4929" xr:uid="{CD6C3E8A-58D6-4E49-A19F-8D01CD78095A}"/>
    <cellStyle name="Normal 11 4 2 2" xfId="17563" xr:uid="{6724C4D4-8B3F-401D-9273-C59F726C7422}"/>
    <cellStyle name="Normal 11 4 2 2 2" xfId="21180" xr:uid="{B2938E23-5413-4A3B-83C9-75FE0C64C584}"/>
    <cellStyle name="Normal 11 4 2 3" xfId="29619" xr:uid="{167D2532-9D59-4DE1-8AF3-D255F69098CC}"/>
    <cellStyle name="Normal 11 4 2 4" xfId="29620" xr:uid="{CC7FA3A4-EFA8-4ECD-A8A4-6B997DF6DB26}"/>
    <cellStyle name="Normal 11 4 2 5" xfId="29621" xr:uid="{EDA5CAAB-B701-4BC4-9F3C-005A8E2C8DCE}"/>
    <cellStyle name="Normal 11 4 2 6" xfId="29622" xr:uid="{5231F5F7-0E3E-4744-A8B2-3F6E4F70AA15}"/>
    <cellStyle name="Normal 11 4 3" xfId="4106" xr:uid="{48DF756F-9AD4-40FB-8A35-85A0CC817B5A}"/>
    <cellStyle name="Normal 11 4 3 2" xfId="21179" xr:uid="{051E028F-7AC0-448E-BEBB-2CFDACD68D18}"/>
    <cellStyle name="Normal 11 4 3 3" xfId="43949" xr:uid="{ED964521-34FB-4132-A7B4-39D56759ECA3}"/>
    <cellStyle name="Normal 11 4 3 4" xfId="17562" xr:uid="{0CB0FE84-EFCF-4A5D-9249-F4B32E993E78}"/>
    <cellStyle name="Normal 11 4 4" xfId="6172" xr:uid="{B2AEB213-C422-432F-8519-E70B62256006}"/>
    <cellStyle name="Normal 11 4 4 2" xfId="45854" xr:uid="{8FB952F9-F4B6-4B8D-B12F-FAABA4699A29}"/>
    <cellStyle name="Normal 11 4 4 3" xfId="29623" xr:uid="{D6E17AF7-CD68-41DD-8E99-19AF6756015C}"/>
    <cellStyle name="Normal 11 4 5" xfId="8810" xr:uid="{EA639CA4-E370-4A4A-ACC0-D037D89955E3}"/>
    <cellStyle name="Normal 11 4 5 2" xfId="29624" xr:uid="{0FF8CC10-65D9-40E0-A61B-575D6726AEB3}"/>
    <cellStyle name="Normal 11 4 6" xfId="29625" xr:uid="{9AAD5835-9F1E-46C4-9F15-B3AD1EE53157}"/>
    <cellStyle name="Normal 11 4 7" xfId="29626" xr:uid="{C69797A7-0934-48B8-9655-9435813D6BC2}"/>
    <cellStyle name="Normal 11 4 8" xfId="29627" xr:uid="{46E48E86-2A50-4933-9B87-E941AC21D57C}"/>
    <cellStyle name="Normal 11 5" xfId="2796" xr:uid="{D0F38458-0C44-4D01-92F6-20ED57E294BE}"/>
    <cellStyle name="Normal 11 5 2" xfId="4930" xr:uid="{BA12A665-E837-4307-A49A-D457C64318A3}"/>
    <cellStyle name="Normal 11 5 2 2" xfId="17565" xr:uid="{33EAC86C-902F-497A-88A8-8B3DC6E7BC3C}"/>
    <cellStyle name="Normal 11 5 2 2 2" xfId="21182" xr:uid="{72CD2005-1B0C-44C4-AF8C-478BE9BECFAB}"/>
    <cellStyle name="Normal 11 5 2 3" xfId="29628" xr:uid="{729247D6-B826-479F-BCD8-87E2D5C2C9C6}"/>
    <cellStyle name="Normal 11 5 2 4" xfId="29629" xr:uid="{2518D380-15DB-4252-B817-2C7D16485235}"/>
    <cellStyle name="Normal 11 5 2 5" xfId="29630" xr:uid="{56A0DA42-5EC6-410D-AFFC-04115E0CB8AE}"/>
    <cellStyle name="Normal 11 5 2 6" xfId="29631" xr:uid="{2DFA07FE-DD29-4B48-884B-9C629E147BC7}"/>
    <cellStyle name="Normal 11 5 3" xfId="6798" xr:uid="{45EA4C2D-D516-4BF3-B293-9CF0A46B41D0}"/>
    <cellStyle name="Normal 11 5 3 2" xfId="21181" xr:uid="{3E19A7FA-B719-44A4-BEFD-C721F1D18B95}"/>
    <cellStyle name="Normal 11 5 3 3" xfId="46277" xr:uid="{D2B560E0-CCB4-4833-9CA0-C0BB5047D540}"/>
    <cellStyle name="Normal 11 5 3 4" xfId="17564" xr:uid="{E15FD3FA-CB9C-4164-91BA-2BF88853AD9D}"/>
    <cellStyle name="Normal 11 5 4" xfId="8811" xr:uid="{E0B0832A-F785-4D1D-B074-C7DB1C2DE16B}"/>
    <cellStyle name="Normal 11 5 4 2" xfId="29632" xr:uid="{6CA5C303-7827-4052-A6AA-4683B1000600}"/>
    <cellStyle name="Normal 11 5 5" xfId="29633" xr:uid="{D348F496-63D6-4977-8BE3-8CA7405EC4A5}"/>
    <cellStyle name="Normal 11 5 6" xfId="29634" xr:uid="{70E7FB7D-D25B-475B-BCD1-1D270D27A9AE}"/>
    <cellStyle name="Normal 11 5 7" xfId="29635" xr:uid="{079E6070-38D0-43C0-B9EE-D4CEBBF8C741}"/>
    <cellStyle name="Normal 11 6" xfId="2797" xr:uid="{25E41754-7D48-47C4-B3D2-FF39BE31C985}"/>
    <cellStyle name="Normal 11 6 2" xfId="4931" xr:uid="{BFCE2C25-28D6-401D-817D-23BFC39D4C0A}"/>
    <cellStyle name="Normal 11 6 2 2" xfId="17567" xr:uid="{5760B9C3-7E1B-478A-A751-369E1A0613B8}"/>
    <cellStyle name="Normal 11 6 2 2 2" xfId="21184" xr:uid="{15F9DC1A-B030-429D-A315-12A53CFFDAD0}"/>
    <cellStyle name="Normal 11 6 2 3" xfId="29636" xr:uid="{47A049C2-90C9-47F5-ABA0-B0880BB9AA0B}"/>
    <cellStyle name="Normal 11 6 2 4" xfId="29637" xr:uid="{EE43D16E-FD4A-4ADA-98F4-983AFD04CA24}"/>
    <cellStyle name="Normal 11 6 2 5" xfId="29638" xr:uid="{04E8D712-378E-42FC-8A5E-241BC0D31FD2}"/>
    <cellStyle name="Normal 11 6 2 6" xfId="29639" xr:uid="{99D9A2A8-DBDF-457F-8D16-7AFABAFE0FDE}"/>
    <cellStyle name="Normal 11 6 3" xfId="6799" xr:uid="{00E68690-2C48-4040-8085-98F8F81FF86D}"/>
    <cellStyle name="Normal 11 6 3 2" xfId="21183" xr:uid="{8FF7C698-6EFB-431A-A8D8-8645C5818920}"/>
    <cellStyle name="Normal 11 6 3 3" xfId="46278" xr:uid="{C50A9226-ABE2-42B7-92FA-07201FE6FB26}"/>
    <cellStyle name="Normal 11 6 3 4" xfId="17566" xr:uid="{A19DC763-34F8-4FE3-A455-21BA2478AD1A}"/>
    <cellStyle name="Normal 11 6 4" xfId="8812" xr:uid="{FE1F5999-FCBE-447D-8244-E6EBB4F30191}"/>
    <cellStyle name="Normal 11 6 4 2" xfId="29640" xr:uid="{93EEB46D-570E-44BA-8CAF-C3E2ABA47AF8}"/>
    <cellStyle name="Normal 11 6 5" xfId="29641" xr:uid="{C507C0C1-A743-4E4B-A405-F7DD9D03266D}"/>
    <cellStyle name="Normal 11 6 6" xfId="29642" xr:uid="{A1EF627E-2535-4AA2-A23C-84274E4D4D63}"/>
    <cellStyle name="Normal 11 6 7" xfId="29643" xr:uid="{F931E9D4-D152-46CA-8B13-9DB3275ADD66}"/>
    <cellStyle name="Normal 11 7" xfId="2798" xr:uid="{EBBE368D-EBC3-4F4F-987E-273E2400D96B}"/>
    <cellStyle name="Normal 11 7 2" xfId="4932" xr:uid="{2AAB6587-170C-4F31-9002-AC26CEE1BCD2}"/>
    <cellStyle name="Normal 11 7 2 2" xfId="17569" xr:uid="{8145CD04-54D4-482B-9221-C6A794685F84}"/>
    <cellStyle name="Normal 11 7 2 2 2" xfId="21186" xr:uid="{CD3BF1E4-52C2-4682-92F6-91C2E00123F2}"/>
    <cellStyle name="Normal 11 7 2 3" xfId="29644" xr:uid="{BD5ADF6A-396A-4842-B177-0195EF2B819E}"/>
    <cellStyle name="Normal 11 7 2 4" xfId="29645" xr:uid="{A0527C18-5FC4-47F2-B9B1-86CCE886926F}"/>
    <cellStyle name="Normal 11 7 2 5" xfId="29646" xr:uid="{C562F2EB-A963-4DAE-B92D-0F0AA1F9D2B9}"/>
    <cellStyle name="Normal 11 7 2 6" xfId="29647" xr:uid="{3A65F10C-304C-40D4-850F-8E7CB14A1FE3}"/>
    <cellStyle name="Normal 11 7 3" xfId="6800" xr:uid="{36A94237-64D1-4FF5-B8AA-8F64E4D1BD45}"/>
    <cellStyle name="Normal 11 7 3 2" xfId="21185" xr:uid="{06134D9E-9F45-46B6-B4EB-AFBE71B61ED2}"/>
    <cellStyle name="Normal 11 7 3 3" xfId="46279" xr:uid="{186DF9FF-ACFD-4E62-B1F1-D9AA092C6A17}"/>
    <cellStyle name="Normal 11 7 3 4" xfId="17568" xr:uid="{0D30E120-BBBE-4E36-A6DB-940C5F26798F}"/>
    <cellStyle name="Normal 11 7 4" xfId="8813" xr:uid="{C0D1FA3F-05CC-42CD-B443-EE0A28DBEC76}"/>
    <cellStyle name="Normal 11 7 4 2" xfId="29648" xr:uid="{5DE831E8-3D11-45BD-ACFC-ABCB7ADC24B0}"/>
    <cellStyle name="Normal 11 7 5" xfId="29649" xr:uid="{4B2B5AF4-698D-4319-820A-1A68D662139D}"/>
    <cellStyle name="Normal 11 7 6" xfId="29650" xr:uid="{02907355-5284-42A4-941F-A35DC7A04B01}"/>
    <cellStyle name="Normal 11 7 7" xfId="29651" xr:uid="{2D3B0377-4FD4-4ED2-89AB-95DC2B818294}"/>
    <cellStyle name="Normal 11 8" xfId="2799" xr:uid="{A2703AC6-6C50-4E1A-8B0B-84672B14095E}"/>
    <cellStyle name="Normal 11 8 2" xfId="4933" xr:uid="{0F5C0E14-F5A1-498B-B60E-96C6B23E0EBE}"/>
    <cellStyle name="Normal 11 8 2 2" xfId="17571" xr:uid="{9D42AAC3-69E2-437C-A54F-7E02D079B8AF}"/>
    <cellStyle name="Normal 11 8 2 2 2" xfId="21188" xr:uid="{BF444467-B5E7-4BC9-841F-0D8C233A651F}"/>
    <cellStyle name="Normal 11 8 2 3" xfId="29652" xr:uid="{B9295069-C093-499B-B692-45C2CD872546}"/>
    <cellStyle name="Normal 11 8 2 4" xfId="29653" xr:uid="{CAB273A5-FE9F-4993-BE1C-9C277F0038BB}"/>
    <cellStyle name="Normal 11 8 2 5" xfId="29654" xr:uid="{4A755927-5331-4ABC-98AE-EC8845CB033E}"/>
    <cellStyle name="Normal 11 8 2 6" xfId="29655" xr:uid="{F8C974D5-A5E1-48BF-9904-DEA8988B8BE2}"/>
    <cellStyle name="Normal 11 8 3" xfId="6801" xr:uid="{93A14527-FB5E-4D34-9150-C471DB7BA283}"/>
    <cellStyle name="Normal 11 8 3 2" xfId="21187" xr:uid="{5912689D-75F6-493B-A9AC-BF444F3690BD}"/>
    <cellStyle name="Normal 11 8 3 3" xfId="46280" xr:uid="{DD0E068D-33A7-4E80-AB9C-77A4819E3381}"/>
    <cellStyle name="Normal 11 8 3 4" xfId="17570" xr:uid="{C07AE6FE-87B0-4393-90B6-ED5C57CD8360}"/>
    <cellStyle name="Normal 11 8 4" xfId="8814" xr:uid="{8315F36D-1483-4EAB-A090-90F078BF93FA}"/>
    <cellStyle name="Normal 11 8 4 2" xfId="29656" xr:uid="{0CD6E65A-14BA-422D-B5A7-ABDB6BD2E772}"/>
    <cellStyle name="Normal 11 8 5" xfId="29657" xr:uid="{896341F9-1951-4C7C-9FC8-565C80B140E6}"/>
    <cellStyle name="Normal 11 8 6" xfId="29658" xr:uid="{86AA2D22-75CF-4C83-996F-F7C3540CA91E}"/>
    <cellStyle name="Normal 11 8 7" xfId="29659" xr:uid="{6D628053-51FF-4F1C-9E7A-2C2A52919964}"/>
    <cellStyle name="Normal 11 9" xfId="4926" xr:uid="{3891013B-611A-48D3-93B3-46F54FD5B50D}"/>
    <cellStyle name="Normal 11 9 2" xfId="17572" xr:uid="{CEBF5BBB-41AE-4B3D-950D-44EB59257C14}"/>
    <cellStyle name="Normal 11 9 2 2" xfId="21189" xr:uid="{1130203F-BE00-4B48-93BA-90CDF3D55703}"/>
    <cellStyle name="Normal 11 9 3" xfId="29660" xr:uid="{950E31B8-7C0B-4DED-BDB4-1ACA53E10994}"/>
    <cellStyle name="Normal 11 9 4" xfId="29661" xr:uid="{1BA55251-F880-4218-87D6-B4C847573E41}"/>
    <cellStyle name="Normal 11 9 5" xfId="29662" xr:uid="{2C22568C-A5A6-4D31-9C73-92ED4CA4EF4D}"/>
    <cellStyle name="Normal 11 9 6" xfId="29663" xr:uid="{64B1C0C1-BA63-493E-8050-399AFDB21772}"/>
    <cellStyle name="Normal 110" xfId="15139" xr:uid="{0FAB15CA-3515-406B-AAF8-A71F9E45253D}"/>
    <cellStyle name="Normal 111" xfId="3" xr:uid="{00000000-0005-0000-0000-000003000000}"/>
    <cellStyle name="Normal 111 2" xfId="54525" xr:uid="{00228C29-7CDE-4D3B-9A22-CF9C0F689103}"/>
    <cellStyle name="Normal 112" xfId="54524" xr:uid="{9D9E4067-76D8-462A-A8D2-FC05A29B2DFE}"/>
    <cellStyle name="Normal 113" xfId="9" xr:uid="{37DAF84B-9C1B-446E-82EE-F20EBB408ED1}"/>
    <cellStyle name="Normal 114" xfId="54527" xr:uid="{2AF26E4D-5AAA-476D-BFC8-20BF23AC099D}"/>
    <cellStyle name="Normal 115" xfId="54529" xr:uid="{8180FDE1-043D-450C-8090-07930F874BA2}"/>
    <cellStyle name="Normal 12" xfId="2800" xr:uid="{6A8BBFBD-F168-459B-8825-F6085FBA5D81}"/>
    <cellStyle name="Normal 12 10" xfId="8815" xr:uid="{6C824D6A-8F78-4E29-A2D6-BD667237569F}"/>
    <cellStyle name="Normal 12 10 2" xfId="29664" xr:uid="{72EADB5F-F675-453A-84C6-949B1282E885}"/>
    <cellStyle name="Normal 12 11" xfId="29665" xr:uid="{F4AB5E11-720F-48F9-BD11-A1D3F98E373D}"/>
    <cellStyle name="Normal 12 12" xfId="29666" xr:uid="{6CC22B7B-3510-40F1-A6AE-846BDE9DE749}"/>
    <cellStyle name="Normal 12 13" xfId="29667" xr:uid="{C18E8AA9-0935-4BFA-A0A9-F53D1A7DD3DB}"/>
    <cellStyle name="Normal 12 2" xfId="2801" xr:uid="{802B910D-AEAC-4255-B430-F88CA278019E}"/>
    <cellStyle name="Normal 12 2 2" xfId="4935" xr:uid="{3B0AFE23-DAB9-4298-AE7E-C97094EE2BEF}"/>
    <cellStyle name="Normal 12 2 2 2" xfId="17575" xr:uid="{C573DF13-6642-4BFE-9A5E-B8C7019D1D02}"/>
    <cellStyle name="Normal 12 2 2 2 2" xfId="21192" xr:uid="{0EC1AF7D-5652-444D-A30C-00C802B3CDF3}"/>
    <cellStyle name="Normal 12 2 2 3" xfId="29668" xr:uid="{22848EA1-618C-47A9-A2FC-2D8AD381B61C}"/>
    <cellStyle name="Normal 12 2 2 4" xfId="29669" xr:uid="{0968FA69-9A0D-4F3C-8249-3BB997A1E82A}"/>
    <cellStyle name="Normal 12 2 2 5" xfId="29670" xr:uid="{7FA42060-606D-4860-8139-FC5A49119980}"/>
    <cellStyle name="Normal 12 2 2 6" xfId="29671" xr:uid="{ED44AEF2-9FED-4C90-9F6C-6C028870B27E}"/>
    <cellStyle name="Normal 12 2 3" xfId="4108" xr:uid="{1C859A7D-AED3-4A51-B861-527CDD2864B9}"/>
    <cellStyle name="Normal 12 2 3 2" xfId="21191" xr:uid="{AA6CB46B-06ED-4456-B6F8-AF083A20D822}"/>
    <cellStyle name="Normal 12 2 3 3" xfId="43951" xr:uid="{629632FC-F68E-4D7D-AAEE-042E1A7EB367}"/>
    <cellStyle name="Normal 12 2 3 4" xfId="17574" xr:uid="{0FBD36DA-64A6-4129-9F38-1867F6AF207F}"/>
    <cellStyle name="Normal 12 2 4" xfId="6174" xr:uid="{B8E5D9D2-FD50-413A-A05E-03A3D9D170F6}"/>
    <cellStyle name="Normal 12 2 4 2" xfId="45856" xr:uid="{336A10F6-7501-40A0-9D69-011613425631}"/>
    <cellStyle name="Normal 12 2 4 3" xfId="29672" xr:uid="{B22A3984-26E0-42E5-A394-7644D439DD2A}"/>
    <cellStyle name="Normal 12 2 5" xfId="8816" xr:uid="{D4AD082D-A36D-4ED3-BB23-22FBA6F0B104}"/>
    <cellStyle name="Normal 12 2 5 2" xfId="29673" xr:uid="{72E0A9AB-63B8-416D-AC86-351AF87309B7}"/>
    <cellStyle name="Normal 12 2 6" xfId="29674" xr:uid="{5BC3E509-AC18-4A41-8388-69B693551876}"/>
    <cellStyle name="Normal 12 2 7" xfId="29675" xr:uid="{CD7C435E-A2AE-497A-88D3-BC3F0208CC8D}"/>
    <cellStyle name="Normal 12 2 8" xfId="29676" xr:uid="{4FBDE687-62C8-4D12-B356-7A8394004BF3}"/>
    <cellStyle name="Normal 12 3" xfId="2802" xr:uid="{0034DF75-BF15-4534-B98D-AD0B8FB29558}"/>
    <cellStyle name="Normal 12 3 2" xfId="4936" xr:uid="{E1AFED9B-A99A-4E4C-911E-94806DFFDA58}"/>
    <cellStyle name="Normal 12 3 2 2" xfId="17577" xr:uid="{28E5AE01-7604-4400-B6A0-73353055958E}"/>
    <cellStyle name="Normal 12 3 2 2 2" xfId="21194" xr:uid="{13A0C4E8-DB87-4B6F-98D2-30454664784F}"/>
    <cellStyle name="Normal 12 3 2 3" xfId="29677" xr:uid="{EEA31D55-6C43-44E3-A88E-D790B6A7F74E}"/>
    <cellStyle name="Normal 12 3 2 4" xfId="29678" xr:uid="{B45F837C-ACA1-4020-9AA5-DD2D9924A5B1}"/>
    <cellStyle name="Normal 12 3 2 5" xfId="29679" xr:uid="{A47F38AA-4766-4092-A2F3-67B70EF20ACE}"/>
    <cellStyle name="Normal 12 3 2 6" xfId="29680" xr:uid="{0FB10730-A82D-4971-AC80-B266E93B8528}"/>
    <cellStyle name="Normal 12 3 3" xfId="4109" xr:uid="{A2208C09-BE22-45B1-B734-D92E052CCE2D}"/>
    <cellStyle name="Normal 12 3 3 2" xfId="21193" xr:uid="{5B93A11F-BE59-41F5-A4C3-166DCE0F4EF8}"/>
    <cellStyle name="Normal 12 3 3 3" xfId="43952" xr:uid="{0CE59A0C-5F02-4894-8509-A889B7EBFB7C}"/>
    <cellStyle name="Normal 12 3 3 4" xfId="17576" xr:uid="{2B9DB57B-7DD9-4E12-81B0-1391477DC530}"/>
    <cellStyle name="Normal 12 3 4" xfId="6175" xr:uid="{BE087454-D780-42E7-BBB6-54C03B2EFF88}"/>
    <cellStyle name="Normal 12 3 4 2" xfId="45857" xr:uid="{D675D762-D1B7-4E96-BE1E-83657C44FB2C}"/>
    <cellStyle name="Normal 12 3 4 3" xfId="29681" xr:uid="{FE193526-D613-43CE-9958-5B612734AF0F}"/>
    <cellStyle name="Normal 12 3 5" xfId="8817" xr:uid="{AD1732F3-29DE-46AE-9216-CA0A40D504E1}"/>
    <cellStyle name="Normal 12 3 5 2" xfId="29682" xr:uid="{41B49DA4-39A8-4E52-B77A-D9079419A703}"/>
    <cellStyle name="Normal 12 3 6" xfId="29683" xr:uid="{4B816D54-0E9F-49A9-B6D5-E1EE2424852B}"/>
    <cellStyle name="Normal 12 3 7" xfId="29684" xr:uid="{1487FD33-DB4B-4378-9049-B59F0F274C87}"/>
    <cellStyle name="Normal 12 3 8" xfId="29685" xr:uid="{22B65215-11D6-4CBE-9D8E-CD3F9A2D23F7}"/>
    <cellStyle name="Normal 12 4" xfId="2803" xr:uid="{625E59CF-ABB3-4CD7-8647-2553A0C77D37}"/>
    <cellStyle name="Normal 12 4 2" xfId="4937" xr:uid="{9007887E-80A4-483C-AA53-D48CFEDF2167}"/>
    <cellStyle name="Normal 12 4 2 2" xfId="17579" xr:uid="{EB6522E6-4BEA-4E23-AEB2-BA2BC18A8CAD}"/>
    <cellStyle name="Normal 12 4 2 2 2" xfId="21196" xr:uid="{ACB0CED8-9556-4C00-A9E2-1B5906E6EE33}"/>
    <cellStyle name="Normal 12 4 2 3" xfId="29686" xr:uid="{535F5FC7-673E-4DEA-A4AB-7939F0A12D31}"/>
    <cellStyle name="Normal 12 4 2 4" xfId="29687" xr:uid="{C2207FE1-C4F4-4CF5-A59A-F20D99C787F5}"/>
    <cellStyle name="Normal 12 4 2 5" xfId="29688" xr:uid="{FC75B959-38E3-4F91-A25E-166898325215}"/>
    <cellStyle name="Normal 12 4 2 6" xfId="29689" xr:uid="{42009B3A-D0F9-496F-8DF0-CFC4EF5820BE}"/>
    <cellStyle name="Normal 12 4 3" xfId="4110" xr:uid="{F1869694-1E59-40FB-8CB5-AE27728BBE9A}"/>
    <cellStyle name="Normal 12 4 3 2" xfId="21195" xr:uid="{234891CC-9A1C-4F88-8319-13AB9BEDBAD8}"/>
    <cellStyle name="Normal 12 4 3 3" xfId="43953" xr:uid="{2FF8BF31-596A-400F-A07B-A495DB75873A}"/>
    <cellStyle name="Normal 12 4 3 4" xfId="17578" xr:uid="{265A6E76-BC64-471E-A63C-0E87ABB5BC9D}"/>
    <cellStyle name="Normal 12 4 4" xfId="6176" xr:uid="{421A0C9C-36BD-4765-A1FB-3CDDC2CDED98}"/>
    <cellStyle name="Normal 12 4 4 2" xfId="45858" xr:uid="{2A271AD5-61ED-4B62-BA57-C4AA8EF8B6FD}"/>
    <cellStyle name="Normal 12 4 4 3" xfId="29690" xr:uid="{3407D0A0-7576-409E-953B-DF828E5DAEF4}"/>
    <cellStyle name="Normal 12 4 5" xfId="8818" xr:uid="{0E6F0F3D-0877-4038-973D-08099B025D55}"/>
    <cellStyle name="Normal 12 4 5 2" xfId="29691" xr:uid="{748EF20A-0BD1-4A44-B13C-C43599381A02}"/>
    <cellStyle name="Normal 12 4 6" xfId="29692" xr:uid="{58CEDA88-DD21-4599-AF2A-83906CE1B1D7}"/>
    <cellStyle name="Normal 12 4 7" xfId="29693" xr:uid="{E3D04A94-9158-447E-861F-14D0AE7736A0}"/>
    <cellStyle name="Normal 12 4 8" xfId="29694" xr:uid="{1973BE05-0887-4642-8A4D-0A240BC01C09}"/>
    <cellStyle name="Normal 12 5" xfId="2804" xr:uid="{E9EFDF7D-B33C-49E9-BE97-D226F8F8BE80}"/>
    <cellStyle name="Normal 12 5 2" xfId="4938" xr:uid="{3D803E1B-D11A-4D6F-B806-8FBACFC61C5C}"/>
    <cellStyle name="Normal 12 5 2 2" xfId="17581" xr:uid="{C566E4C8-E323-4AFF-BE66-C681424A2755}"/>
    <cellStyle name="Normal 12 5 2 2 2" xfId="21198" xr:uid="{D6A72B23-7CC0-47C5-A90C-677808B98F0B}"/>
    <cellStyle name="Normal 12 5 2 3" xfId="29695" xr:uid="{990E429A-4927-491A-90D1-79651B5D2088}"/>
    <cellStyle name="Normal 12 5 2 4" xfId="29696" xr:uid="{31D4D2A4-275A-45D7-9775-62FFEF905BED}"/>
    <cellStyle name="Normal 12 5 2 5" xfId="29697" xr:uid="{894452C7-8828-4C06-89EE-6224B05A56B6}"/>
    <cellStyle name="Normal 12 5 2 6" xfId="29698" xr:uid="{59C16F76-6DB4-456B-B5C8-D8832874C94E}"/>
    <cellStyle name="Normal 12 5 3" xfId="6802" xr:uid="{058418E6-246E-43CF-841A-0616CC31CE5C}"/>
    <cellStyle name="Normal 12 5 3 2" xfId="21197" xr:uid="{D69DEA48-0E33-4CEA-911E-71C47CE3BA82}"/>
    <cellStyle name="Normal 12 5 3 3" xfId="46281" xr:uid="{535FEC6C-F030-44C2-8B81-2EFF22BD6CAA}"/>
    <cellStyle name="Normal 12 5 3 4" xfId="17580" xr:uid="{206FB6A4-A6B7-4038-9A90-9D3005F38822}"/>
    <cellStyle name="Normal 12 5 4" xfId="8819" xr:uid="{D939E077-E864-4FC5-924C-FB3CEDE370A8}"/>
    <cellStyle name="Normal 12 5 4 2" xfId="29699" xr:uid="{1A2140DE-2AC6-4EE1-BF00-F74AECCE9444}"/>
    <cellStyle name="Normal 12 5 5" xfId="29700" xr:uid="{CA870DCA-C281-43E6-B4F1-CF30217BFC7A}"/>
    <cellStyle name="Normal 12 5 6" xfId="29701" xr:uid="{289BCBAE-BAE9-4A0B-B78A-772AF42E889E}"/>
    <cellStyle name="Normal 12 5 7" xfId="29702" xr:uid="{E23C0FF5-09FB-44F7-9F5B-6139DF2B935B}"/>
    <cellStyle name="Normal 12 6" xfId="2805" xr:uid="{56529A9C-90C7-4DAD-AE9C-28AA0171203E}"/>
    <cellStyle name="Normal 12 6 2" xfId="4939" xr:uid="{DC58A5BE-E3A2-4ED7-BCA2-71EADE060393}"/>
    <cellStyle name="Normal 12 6 2 2" xfId="17583" xr:uid="{4367F4D8-E0F3-4270-A262-B5B54947F2FB}"/>
    <cellStyle name="Normal 12 6 2 2 2" xfId="21200" xr:uid="{B6DF7BB7-F0F1-4A2B-9D9E-4240230D7C6B}"/>
    <cellStyle name="Normal 12 6 2 3" xfId="29703" xr:uid="{B25DDCC1-B8A1-4D57-8EB2-A562F34B4348}"/>
    <cellStyle name="Normal 12 6 2 4" xfId="29704" xr:uid="{CCEA21B2-CEA9-43C6-9009-4EA425709512}"/>
    <cellStyle name="Normal 12 6 2 5" xfId="29705" xr:uid="{8E51C3F0-2464-4C13-9189-B9D28EE55E0C}"/>
    <cellStyle name="Normal 12 6 2 6" xfId="29706" xr:uid="{536398E6-1257-40F6-B95A-63F1A24F6C42}"/>
    <cellStyle name="Normal 12 6 3" xfId="6803" xr:uid="{31EFA470-959B-4767-9F9A-83F411121B05}"/>
    <cellStyle name="Normal 12 6 3 2" xfId="21199" xr:uid="{58D1E2C7-2F40-445A-B6E8-82DBF0EBD0B4}"/>
    <cellStyle name="Normal 12 6 3 3" xfId="46282" xr:uid="{A4663D03-043D-4214-9E3F-C39BB35777DC}"/>
    <cellStyle name="Normal 12 6 3 4" xfId="17582" xr:uid="{1BB6D460-FE5E-4AD9-B7C9-7F59A9525936}"/>
    <cellStyle name="Normal 12 6 4" xfId="8820" xr:uid="{066CDE69-D566-411D-AA28-2B572EB273FF}"/>
    <cellStyle name="Normal 12 6 4 2" xfId="29707" xr:uid="{FF510EF5-CCF9-41BE-B847-59548D1E9CEE}"/>
    <cellStyle name="Normal 12 6 5" xfId="29708" xr:uid="{C7BF7EC9-3F51-41CC-95D7-95864F808B0D}"/>
    <cellStyle name="Normal 12 6 6" xfId="29709" xr:uid="{E7690F38-EDAC-4F1B-A2E5-229560517A70}"/>
    <cellStyle name="Normal 12 6 7" xfId="29710" xr:uid="{F8003955-D239-44CB-BBC8-C94E2D7BD01F}"/>
    <cellStyle name="Normal 12 7" xfId="4934" xr:uid="{295EB0C1-1C03-44E8-BEE0-443BB07D54C2}"/>
    <cellStyle name="Normal 12 7 2" xfId="17584" xr:uid="{7632F6C4-189F-4EDF-A9E8-0272D5A9BF2D}"/>
    <cellStyle name="Normal 12 7 2 2" xfId="21201" xr:uid="{6BC80DF2-794C-4A5C-80AC-A1F049C70DE9}"/>
    <cellStyle name="Normal 12 7 3" xfId="29711" xr:uid="{56B22EA2-3620-4467-BD3A-538C53FB9ADA}"/>
    <cellStyle name="Normal 12 7 4" xfId="29712" xr:uid="{5F21B466-E716-4D74-9B3D-8F0508A10ECD}"/>
    <cellStyle name="Normal 12 7 5" xfId="29713" xr:uid="{44F22471-04E9-4F1D-9FB8-3B48BD294F4C}"/>
    <cellStyle name="Normal 12 7 6" xfId="29714" xr:uid="{6BD906C7-7009-4CD3-9924-BB8A050A4145}"/>
    <cellStyle name="Normal 12 8" xfId="4107" xr:uid="{4D6B50F6-34C5-4642-933D-0DA5DB286A5B}"/>
    <cellStyle name="Normal 12 8 2" xfId="21190" xr:uid="{4E8A65B0-388C-46EA-A19F-10649AF405B4}"/>
    <cellStyle name="Normal 12 8 3" xfId="43950" xr:uid="{6AFE1319-176F-4742-8C66-D2F967C4673C}"/>
    <cellStyle name="Normal 12 8 4" xfId="17573" xr:uid="{BC37F095-046D-4705-8C7D-24BC986DC99A}"/>
    <cellStyle name="Normal 12 9" xfId="6173" xr:uid="{5E7026ED-64A7-40E8-B8BC-FB36A20C4C58}"/>
    <cellStyle name="Normal 12 9 2" xfId="45855" xr:uid="{0196DFC2-262B-4B8F-B7FB-CC9A4B64AEB3}"/>
    <cellStyle name="Normal 12 9 3" xfId="29715" xr:uid="{25A90C10-6CF0-412E-AFA3-1002ADBC6C3E}"/>
    <cellStyle name="Normal 13" xfId="2806" xr:uid="{34BC10F2-F230-4362-A777-906A77BB73A9}"/>
    <cellStyle name="Normal 13 10" xfId="15825" xr:uid="{65192118-840D-49AC-9819-F80B99A56FEC}"/>
    <cellStyle name="Normal 13 10 2" xfId="17586" xr:uid="{E6E2D1FD-B346-4F42-80B0-09A2A01DC67B}"/>
    <cellStyle name="Normal 13 10 2 2" xfId="21203" xr:uid="{FFB0CE57-F4A1-4638-B0E3-A82A0405F0DD}"/>
    <cellStyle name="Normal 13 10 3" xfId="29716" xr:uid="{5764D778-BC3C-42E1-86AC-A2D5FAB6F6F0}"/>
    <cellStyle name="Normal 13 10 4" xfId="29717" xr:uid="{052B2597-DCC8-4373-BC93-6C7641DADA16}"/>
    <cellStyle name="Normal 13 10 5" xfId="29718" xr:uid="{6BD765ED-8B89-46D1-A4FC-3087DB047BAD}"/>
    <cellStyle name="Normal 13 10 6" xfId="29719" xr:uid="{76FA1658-4759-4756-A56F-8248174741C7}"/>
    <cellStyle name="Normal 13 11" xfId="15826" xr:uid="{39773A4E-5B0D-4CBC-8A4B-6AB219670563}"/>
    <cellStyle name="Normal 13 11 2" xfId="17587" xr:uid="{41E75CEF-746C-4998-A55F-CF67BF35FE68}"/>
    <cellStyle name="Normal 13 11 2 2" xfId="21204" xr:uid="{DC6EAD7A-07DA-436F-82DF-4323427219F4}"/>
    <cellStyle name="Normal 13 11 3" xfId="29720" xr:uid="{7890B06D-8CA1-4D54-91AF-BF06E51E151D}"/>
    <cellStyle name="Normal 13 11 4" xfId="29721" xr:uid="{F1C6281B-A4E6-4CA1-90C7-7F1F5FE41F19}"/>
    <cellStyle name="Normal 13 11 5" xfId="29722" xr:uid="{4CE505ED-8688-4173-B1A1-4C1518E33248}"/>
    <cellStyle name="Normal 13 11 6" xfId="29723" xr:uid="{4A3319B9-B5DC-49F8-BA20-54BB7B45C992}"/>
    <cellStyle name="Normal 13 12" xfId="15827" xr:uid="{643BF29F-0B57-4AAF-B023-36AE28657F8B}"/>
    <cellStyle name="Normal 13 12 2" xfId="17588" xr:uid="{B228BF47-2315-4C79-A82D-6EDDA9755EAA}"/>
    <cellStyle name="Normal 13 12 2 2" xfId="21205" xr:uid="{59DF4780-7314-40B0-93DB-A72839A77809}"/>
    <cellStyle name="Normal 13 12 3" xfId="29724" xr:uid="{52FBC8CA-18EF-4B3C-9F2A-51CF2FFF409D}"/>
    <cellStyle name="Normal 13 12 4" xfId="29725" xr:uid="{036C12AF-E827-4B3D-AC6F-FBAF9E299851}"/>
    <cellStyle name="Normal 13 12 5" xfId="29726" xr:uid="{4B183D1C-CC70-4D3F-B339-28B1495A0CD9}"/>
    <cellStyle name="Normal 13 12 6" xfId="29727" xr:uid="{C69B1D8F-AAC9-4234-BD63-89C1A782C15A}"/>
    <cellStyle name="Normal 13 13" xfId="15828" xr:uid="{24AEDBF5-C984-4B1B-85F6-B73EDE1F050C}"/>
    <cellStyle name="Normal 13 13 2" xfId="17589" xr:uid="{47514D8C-2479-42E7-B70E-8EC43362E56B}"/>
    <cellStyle name="Normal 13 13 2 2" xfId="21206" xr:uid="{E5C57447-6433-4714-A325-F0A20E50A4CF}"/>
    <cellStyle name="Normal 13 13 3" xfId="29728" xr:uid="{587B11B6-B2C3-4C42-A5C3-E3BA40493BF9}"/>
    <cellStyle name="Normal 13 13 4" xfId="29729" xr:uid="{249843ED-8659-4863-A3C1-031CE04BB8FC}"/>
    <cellStyle name="Normal 13 13 5" xfId="29730" xr:uid="{E284FEE0-DBAB-4A5F-A3B3-DC0FBA9706A4}"/>
    <cellStyle name="Normal 13 13 6" xfId="29731" xr:uid="{57909D79-D93E-4A5F-AA48-272AAA553672}"/>
    <cellStyle name="Normal 13 14" xfId="15829" xr:uid="{20F21B9C-35EA-4578-B597-42302FB7F883}"/>
    <cellStyle name="Normal 13 14 2" xfId="17590" xr:uid="{2C8C4834-6C42-44DF-B2A6-69218B3775D4}"/>
    <cellStyle name="Normal 13 14 2 2" xfId="21207" xr:uid="{45F9FC86-8199-4A4B-98C4-4766B7911E23}"/>
    <cellStyle name="Normal 13 14 3" xfId="29732" xr:uid="{D10ACA74-5822-45F1-A834-95FF1EA531F9}"/>
    <cellStyle name="Normal 13 14 4" xfId="29733" xr:uid="{D0FE2D3E-2EA2-425C-AD5C-AEF4061659F3}"/>
    <cellStyle name="Normal 13 14 5" xfId="29734" xr:uid="{F314A071-1638-47BB-A878-81FB4C76F3CF}"/>
    <cellStyle name="Normal 13 14 6" xfId="29735" xr:uid="{06A3528D-3075-43C2-BAB0-816CDC91EDA1}"/>
    <cellStyle name="Normal 13 15" xfId="15830" xr:uid="{9A0F843E-4DAF-404A-B8F2-7211892CEC33}"/>
    <cellStyle name="Normal 13 15 2" xfId="17591" xr:uid="{CBBEE7E4-ABFA-45E0-BC80-89C5AF68AC2A}"/>
    <cellStyle name="Normal 13 15 2 2" xfId="21208" xr:uid="{0E6EDCFF-76CE-4236-A523-805C04BEAFCE}"/>
    <cellStyle name="Normal 13 15 3" xfId="29736" xr:uid="{B7E25D1D-EE8D-40B4-A581-6A5FC885DBF1}"/>
    <cellStyle name="Normal 13 15 4" xfId="29737" xr:uid="{1D7A5F1D-C2B5-4FEB-A536-FA8CF6F5714C}"/>
    <cellStyle name="Normal 13 15 5" xfId="29738" xr:uid="{964DDBBE-8E05-402E-B17B-032236B04150}"/>
    <cellStyle name="Normal 13 15 6" xfId="29739" xr:uid="{BF792CAA-45ED-4BF2-965A-464CB2DDA581}"/>
    <cellStyle name="Normal 13 16" xfId="15831" xr:uid="{5185621B-9A31-4664-B9E4-5FB9C3717B88}"/>
    <cellStyle name="Normal 13 16 2" xfId="17592" xr:uid="{908AC1CB-A898-476F-9A03-AB381952446A}"/>
    <cellStyle name="Normal 13 16 2 2" xfId="21209" xr:uid="{6170C388-E5AE-4765-9D04-B0C7DBF2DF9B}"/>
    <cellStyle name="Normal 13 16 3" xfId="29740" xr:uid="{D2D04AFC-5CF5-4292-84E8-99D9EEF2726F}"/>
    <cellStyle name="Normal 13 16 4" xfId="29741" xr:uid="{584FCE48-C722-4308-AAAB-A78FCBFD30EE}"/>
    <cellStyle name="Normal 13 16 5" xfId="29742" xr:uid="{DEE68791-56F4-412D-9EFB-0E30C256D845}"/>
    <cellStyle name="Normal 13 16 6" xfId="29743" xr:uid="{DC3196AF-5FE9-491E-8BD0-6B3E68154BF6}"/>
    <cellStyle name="Normal 13 17" xfId="15832" xr:uid="{3BB376B3-7AAC-4B85-9839-ABD89379402B}"/>
    <cellStyle name="Normal 13 17 2" xfId="17593" xr:uid="{529BBFBC-D19A-45E5-8610-BAEF33327687}"/>
    <cellStyle name="Normal 13 17 2 2" xfId="21210" xr:uid="{31FAC86A-57F3-4074-B9F1-36C666F1622B}"/>
    <cellStyle name="Normal 13 17 3" xfId="29744" xr:uid="{E4F67E47-49DB-492D-9B26-38A3A2D2654D}"/>
    <cellStyle name="Normal 13 17 4" xfId="29745" xr:uid="{7E8A7BF0-33A3-4E04-8395-06EDE9ECFF71}"/>
    <cellStyle name="Normal 13 17 5" xfId="29746" xr:uid="{D5A144F6-E095-4C8D-B205-8C9145E34580}"/>
    <cellStyle name="Normal 13 17 6" xfId="29747" xr:uid="{E35116A5-EB2A-4649-8684-07762FEB03EE}"/>
    <cellStyle name="Normal 13 18" xfId="17585" xr:uid="{814C39B7-1516-4E2E-A6C4-762DE660B656}"/>
    <cellStyle name="Normal 13 18 2" xfId="21202" xr:uid="{1B8683C0-500A-4FFE-AAFE-7C956F9056B7}"/>
    <cellStyle name="Normal 13 19" xfId="29748" xr:uid="{DB414278-7D31-492F-AED4-CB169E712A99}"/>
    <cellStyle name="Normal 13 2" xfId="2807" xr:uid="{064E7906-FDDA-4F92-BD6A-2F34B0167F9E}"/>
    <cellStyle name="Normal 13 2 2" xfId="17594" xr:uid="{F29FD945-CAF2-4BF4-A0E9-113014CE158B}"/>
    <cellStyle name="Normal 13 2 2 2" xfId="21211" xr:uid="{90A90321-283B-4B89-B382-3025EDCADD78}"/>
    <cellStyle name="Normal 13 2 3" xfId="29749" xr:uid="{64A397D0-CDD6-419F-8EB1-896868EFE497}"/>
    <cellStyle name="Normal 13 2 4" xfId="29750" xr:uid="{26F0555D-ABBA-43E2-AF9F-E21895A56C25}"/>
    <cellStyle name="Normal 13 2 5" xfId="29751" xr:uid="{7963691F-FB83-492B-B540-CBCA858DA2D1}"/>
    <cellStyle name="Normal 13 2 6" xfId="29752" xr:uid="{6DC49F3B-E0F1-47E4-8A7A-19C95D92A6A6}"/>
    <cellStyle name="Normal 13 2 7" xfId="29753" xr:uid="{35C78BB0-027C-4304-8CB6-E7CD57386B34}"/>
    <cellStyle name="Normal 13 20" xfId="29754" xr:uid="{35E465B4-6FD8-4D83-B8FF-FDEABC2DD2A3}"/>
    <cellStyle name="Normal 13 21" xfId="29755" xr:uid="{FA4CF733-0C15-4088-996C-87BE2BB83C70}"/>
    <cellStyle name="Normal 13 22" xfId="29756" xr:uid="{9AADDBA9-E939-4658-B0D7-6B6B3198D462}"/>
    <cellStyle name="Normal 13 23" xfId="29757" xr:uid="{7100D829-5F95-41E4-B2E8-063EBA63FB02}"/>
    <cellStyle name="Normal 13 24" xfId="29758" xr:uid="{6DB58817-1561-4E11-A3B6-9E8A109BD95D}"/>
    <cellStyle name="Normal 13 3" xfId="2808" xr:uid="{33B05AE4-F8E3-4ADC-9C45-CD7A934C42E6}"/>
    <cellStyle name="Normal 13 3 2" xfId="17595" xr:uid="{16823FF7-40B9-49F2-B202-3CC5E6B40FE0}"/>
    <cellStyle name="Normal 13 3 2 2" xfId="21212" xr:uid="{C41503E8-9BAA-4FA4-B4E5-87062C484E24}"/>
    <cellStyle name="Normal 13 3 3" xfId="29759" xr:uid="{5D4822B6-5314-4AB9-8619-353CF476AF93}"/>
    <cellStyle name="Normal 13 3 4" xfId="29760" xr:uid="{07BA1AA5-2C48-4D67-A303-6A231AABA61F}"/>
    <cellStyle name="Normal 13 3 5" xfId="29761" xr:uid="{156173DC-B9A2-4B2E-97A5-2EB3BEBC9389}"/>
    <cellStyle name="Normal 13 3 6" xfId="29762" xr:uid="{D70C1D94-A866-47D1-A009-8661FC20290E}"/>
    <cellStyle name="Normal 13 3 7" xfId="29763" xr:uid="{D94A739F-46ED-4D12-A46A-62617EED1AF1}"/>
    <cellStyle name="Normal 13 4" xfId="2809" xr:uid="{AC62AD39-BCE4-41F5-B2AA-32367173A3BA}"/>
    <cellStyle name="Normal 13 4 2" xfId="17596" xr:uid="{8DE156D3-1B35-4B91-AEBE-7172EB21FA64}"/>
    <cellStyle name="Normal 13 4 2 2" xfId="21213" xr:uid="{3B2965A3-35D6-4E59-AF93-45E98E6AE207}"/>
    <cellStyle name="Normal 13 4 3" xfId="29764" xr:uid="{296B1B62-FC8C-4AD6-90FD-7D84A7D0ACE3}"/>
    <cellStyle name="Normal 13 4 4" xfId="29765" xr:uid="{805C6CC2-24D6-45AF-AFEA-A4885108EA36}"/>
    <cellStyle name="Normal 13 4 5" xfId="29766" xr:uid="{3D37B3BE-9B61-4B56-ACE4-74EADB8124B6}"/>
    <cellStyle name="Normal 13 4 6" xfId="29767" xr:uid="{FCB7AE41-C678-44BE-BFD1-6611E751EA5B}"/>
    <cellStyle name="Normal 13 4 7" xfId="29768" xr:uid="{1DB0FD92-1F6C-4718-9726-97C3C13515B0}"/>
    <cellStyle name="Normal 13 5" xfId="2810" xr:uid="{9F40D9B5-EA5A-41B1-9745-69BF26899184}"/>
    <cellStyle name="Normal 13 5 2" xfId="17597" xr:uid="{316473A1-5A9D-4F4E-8D92-95403607342C}"/>
    <cellStyle name="Normal 13 5 2 2" xfId="21214" xr:uid="{BE3F0319-430C-4E18-A72F-EF16B219F874}"/>
    <cellStyle name="Normal 13 5 3" xfId="29769" xr:uid="{D020305D-28EC-4246-855F-E61B8282DACA}"/>
    <cellStyle name="Normal 13 5 4" xfId="29770" xr:uid="{9AE098A0-D43E-4403-A64B-0EE71B7A08C6}"/>
    <cellStyle name="Normal 13 5 5" xfId="29771" xr:uid="{16431309-5BA9-4664-B74D-7C579182D74B}"/>
    <cellStyle name="Normal 13 5 6" xfId="29772" xr:uid="{0C048754-3745-48A3-AA18-3BE1EC7775F8}"/>
    <cellStyle name="Normal 13 5 7" xfId="29773" xr:uid="{FD305CB8-69DD-4231-B596-38057A7B4909}"/>
    <cellStyle name="Normal 13 6" xfId="2811" xr:uid="{5131567C-A5FA-43B2-BC2C-5D73C99D7071}"/>
    <cellStyle name="Normal 13 6 2" xfId="17598" xr:uid="{46313C45-C0F6-4E3D-AC96-FB3E1E359E99}"/>
    <cellStyle name="Normal 13 6 2 2" xfId="21215" xr:uid="{4595EF57-84E9-4DB6-BFFF-050D79BC8449}"/>
    <cellStyle name="Normal 13 6 3" xfId="29774" xr:uid="{AC1C3E96-4ED9-42FF-888B-53B6B2493B25}"/>
    <cellStyle name="Normal 13 6 4" xfId="29775" xr:uid="{FF2F6252-4975-475D-9899-AD1180F09AD9}"/>
    <cellStyle name="Normal 13 6 5" xfId="29776" xr:uid="{70139848-4D83-418E-956A-EEE1FBA0DBED}"/>
    <cellStyle name="Normal 13 6 6" xfId="29777" xr:uid="{889DE76B-73DF-4BF6-BC43-BE5AF9213826}"/>
    <cellStyle name="Normal 13 6 7" xfId="29778" xr:uid="{CA940B26-7945-45E6-8C1F-2373F241779D}"/>
    <cellStyle name="Normal 13 7" xfId="2812" xr:uid="{E31960C7-BE24-4C56-A061-BD42F6367851}"/>
    <cellStyle name="Normal 13 7 2" xfId="17599" xr:uid="{F2F12339-664F-444C-975C-40CA7604250A}"/>
    <cellStyle name="Normal 13 7 2 2" xfId="21216" xr:uid="{1939DFF5-2820-40F2-A06A-0C8A5EFB6612}"/>
    <cellStyle name="Normal 13 7 3" xfId="29779" xr:uid="{C7E96CE3-246F-49C8-A0E4-7A812ECE6928}"/>
    <cellStyle name="Normal 13 7 4" xfId="29780" xr:uid="{1601055C-5216-4E63-B7F3-8410C9E4EC6F}"/>
    <cellStyle name="Normal 13 7 5" xfId="29781" xr:uid="{84AC31FC-BCBE-47B5-8CEC-DEC259E67D4C}"/>
    <cellStyle name="Normal 13 7 6" xfId="29782" xr:uid="{5E9F1919-FE2A-4E9C-98D4-ADCEA3432976}"/>
    <cellStyle name="Normal 13 7 7" xfId="29783" xr:uid="{82105E34-F1A3-4F52-8EEE-0B96F833A418}"/>
    <cellStyle name="Normal 13 8" xfId="2813" xr:uid="{41F61894-5441-49D2-B178-004BD1E35EFF}"/>
    <cellStyle name="Normal 13 8 2" xfId="17600" xr:uid="{3C112A25-5C5A-4DFA-B77D-30A92924F9B0}"/>
    <cellStyle name="Normal 13 8 2 2" xfId="21217" xr:uid="{675EDE4F-A407-4A9E-946D-9B8CE8BDBD50}"/>
    <cellStyle name="Normal 13 8 3" xfId="29784" xr:uid="{00589359-DEE8-4114-BEE6-7F5290D818A9}"/>
    <cellStyle name="Normal 13 8 4" xfId="29785" xr:uid="{47AC500D-EEB2-4942-B08E-9018E3313ED0}"/>
    <cellStyle name="Normal 13 8 5" xfId="29786" xr:uid="{0E252B22-C79A-4D52-864D-BA4B4FE023C5}"/>
    <cellStyle name="Normal 13 8 6" xfId="29787" xr:uid="{D11A8378-0E36-49A8-918E-1B583ECB7B41}"/>
    <cellStyle name="Normal 13 9" xfId="10636" xr:uid="{700BDF84-D56E-4D9D-A2A3-2D0B04D45091}"/>
    <cellStyle name="Normal 13 9 2" xfId="17601" xr:uid="{36FF6571-4281-410B-9DB6-58154C0ED647}"/>
    <cellStyle name="Normal 13 9 2 2" xfId="21218" xr:uid="{5DA6F220-3034-46B9-B6D4-861A89608BA3}"/>
    <cellStyle name="Normal 13 9 3" xfId="29788" xr:uid="{EBC12F2E-FE48-4C1D-B1C5-16017B2E3206}"/>
    <cellStyle name="Normal 13 9 4" xfId="29789" xr:uid="{6C10EBBB-7C96-4D01-B29C-87F079005696}"/>
    <cellStyle name="Normal 13 9 5" xfId="29790" xr:uid="{972E88A3-2E76-45F2-837A-615940088780}"/>
    <cellStyle name="Normal 13 9 6" xfId="29791" xr:uid="{F89A7280-F2E7-4479-A150-DD8D8B8808CB}"/>
    <cellStyle name="Normal 14" xfId="2814" xr:uid="{94ACF189-E6DB-414F-9FDE-9FF1AADDA2AD}"/>
    <cellStyle name="Normal 14 10" xfId="2815" xr:uid="{0D6C9BC8-A672-4C23-9F6E-DAA29A8E11E2}"/>
    <cellStyle name="Normal 14 10 10" xfId="13996" xr:uid="{446275B1-57E3-4978-8AEA-587977AEDEAB}"/>
    <cellStyle name="Normal 14 10 2" xfId="4941" xr:uid="{0BBBAB85-B816-408F-BBB3-B1CC2C1FF24A}"/>
    <cellStyle name="Normal 14 10 2 2" xfId="5773" xr:uid="{586CE986-4148-4B1D-9213-2E4FD181C7C8}"/>
    <cellStyle name="Normal 14 10 2 2 2" xfId="10367" xr:uid="{7DA57FA3-F92A-4F81-88B6-B588CC5ACB74}"/>
    <cellStyle name="Normal 14 10 2 2 2 2" xfId="13673" xr:uid="{4E12863D-888A-4D20-B76F-D45B5077D91E}"/>
    <cellStyle name="Normal 14 10 2 2 2 3" xfId="21221" xr:uid="{F736AABD-1DDA-4358-B8A9-495958C970F9}"/>
    <cellStyle name="Normal 14 10 2 2 3" xfId="7875" xr:uid="{B7C0DE66-88E8-404D-B00B-D94210F8C86A}"/>
    <cellStyle name="Normal 14 10 2 2 3 2" xfId="17604" xr:uid="{FE43A726-2A45-4A1D-AD8B-638DD78065BE}"/>
    <cellStyle name="Normal 14 10 2 2 4" xfId="12388" xr:uid="{99E51BAB-1100-4B7B-A3B6-625A8F0D9F99}"/>
    <cellStyle name="Normal 14 10 2 2 5" xfId="14802" xr:uid="{03F0F007-FAD6-4381-A9F7-2B0E1FC10F0B}"/>
    <cellStyle name="Normal 14 10 2 3" xfId="11255" xr:uid="{2C00819D-EBF2-40B1-851D-03DD6F6700CE}"/>
    <cellStyle name="Normal 14 10 2 3 2" xfId="13814" xr:uid="{06B44377-3CAA-4715-8F16-F410D53440D8}"/>
    <cellStyle name="Normal 14 10 2 3 2 2" xfId="48711" xr:uid="{20111590-7CA6-4AD1-8B19-BDD78D3AEAD1}"/>
    <cellStyle name="Normal 14 10 2 3 3" xfId="20828" xr:uid="{216D22BB-B75D-43AF-A392-62C9E129531D}"/>
    <cellStyle name="Normal 14 10 2 3 4" xfId="15117" xr:uid="{39BCFFE8-78C5-4F17-A366-9858BEB55FFE}"/>
    <cellStyle name="Normal 14 10 2 4" xfId="9873" xr:uid="{C92F885E-369F-4A5E-A089-48F479E25899}"/>
    <cellStyle name="Normal 14 10 2 4 2" xfId="13179" xr:uid="{C202CBEF-AC45-4263-B861-EEC78626DF45}"/>
    <cellStyle name="Normal 14 10 2 4 2 2" xfId="49183" xr:uid="{00F2C4BF-2F8E-4CC1-9727-A8C6A1F0A52E}"/>
    <cellStyle name="Normal 14 10 2 4 3" xfId="47600" xr:uid="{7744BD8F-E64A-44EE-B9E4-BBA81FF6C41A}"/>
    <cellStyle name="Normal 14 10 2 5" xfId="7371" xr:uid="{CC9B5E42-264C-4377-84C7-54773C6EC353}"/>
    <cellStyle name="Normal 14 10 2 5 2" xfId="47859" xr:uid="{1C1DADBA-21FE-41EF-92F4-853F79F49E73}"/>
    <cellStyle name="Normal 14 10 2 6" xfId="11894" xr:uid="{7D2E44CF-9BAD-40C5-A4A6-E40A259D426D}"/>
    <cellStyle name="Normal 14 10 2 6 2" xfId="16826" xr:uid="{B7E45CDD-95E7-43BC-A905-1AC1F2878B85}"/>
    <cellStyle name="Normal 14 10 2 7" xfId="14310" xr:uid="{AA5B4FAE-08DF-4EFF-830B-B42E08304F9F}"/>
    <cellStyle name="Normal 14 10 3" xfId="5597" xr:uid="{F6F7B930-229E-4099-A47A-950DC91A9585}"/>
    <cellStyle name="Normal 14 10 3 2" xfId="7699" xr:uid="{CB8E50A9-776B-4CF1-8B0B-B417D2C71E1B}"/>
    <cellStyle name="Normal 14 10 3 2 2" xfId="10191" xr:uid="{7DD625C3-B0E3-475B-82D7-04DA8922CCE1}"/>
    <cellStyle name="Normal 14 10 3 2 2 2" xfId="13497" xr:uid="{39BF2BB1-D30E-4FD9-ABA0-9447B7972284}"/>
    <cellStyle name="Normal 14 10 3 2 2 3" xfId="49011" xr:uid="{8CD186DB-08CB-4510-A92B-21C87934BF97}"/>
    <cellStyle name="Normal 14 10 3 2 3" xfId="12212" xr:uid="{9BFEF92E-6CF3-4362-A2A3-EAFB97346164}"/>
    <cellStyle name="Normal 14 10 3 2 3 2" xfId="21220" xr:uid="{29C90C11-3E17-445D-8D24-C967C6F66E23}"/>
    <cellStyle name="Normal 14 10 3 2 4" xfId="14626" xr:uid="{9CE69D0F-8A8B-4906-B069-DCD79F287C2D}"/>
    <cellStyle name="Normal 14 10 3 3" xfId="9697" xr:uid="{1BFA317A-8545-4B8F-ADBF-AD295F4356BA}"/>
    <cellStyle name="Normal 14 10 3 3 2" xfId="13003" xr:uid="{B76B916F-A00F-4524-8335-4DFB0750E08C}"/>
    <cellStyle name="Normal 14 10 3 3 3" xfId="48156" xr:uid="{BE7F4D99-4803-4FFC-A030-6B3A092FAF65}"/>
    <cellStyle name="Normal 14 10 3 4" xfId="7193" xr:uid="{8BC0407D-E474-46F9-8E94-B91997EAC26F}"/>
    <cellStyle name="Normal 14 10 3 4 2" xfId="17603" xr:uid="{1EA7F1D2-1315-4549-86BC-53EF43D07C98}"/>
    <cellStyle name="Normal 14 10 3 5" xfId="11718" xr:uid="{0B77AE71-4B07-4845-ADC1-9ED8C8A5D076}"/>
    <cellStyle name="Normal 14 10 3 6" xfId="14134" xr:uid="{33FD107D-45B9-4D74-AC61-F46344CC32B8}"/>
    <cellStyle name="Normal 14 10 4" xfId="6805" xr:uid="{84A8D435-3C98-49EB-9887-9365E7991933}"/>
    <cellStyle name="Normal 14 10 4 2" xfId="9559" xr:uid="{85C61983-6217-4E62-A167-434A7EC94237}"/>
    <cellStyle name="Normal 14 10 4 2 2" xfId="12865" xr:uid="{E143BE85-1F13-492D-BDCB-1AADD099D5F7}"/>
    <cellStyle name="Normal 14 10 4 2 3" xfId="48021" xr:uid="{2F1BCC32-E9A5-4686-8469-469DF4084F62}"/>
    <cellStyle name="Normal 14 10 4 3" xfId="11580" xr:uid="{E8E6CF2D-FB8A-44D5-88B5-5684E6DA8568}"/>
    <cellStyle name="Normal 14 10 4 3 2" xfId="20544" xr:uid="{4B8DF461-1E3A-457E-BB7F-D03103679FF1}"/>
    <cellStyle name="Normal 14 10 4 4" xfId="14488" xr:uid="{8C94227B-5EBA-46A0-B9DA-A2E2843CFF84}"/>
    <cellStyle name="Normal 14 10 5" xfId="7561" xr:uid="{A62BE72E-D790-4746-AC5A-2D679DC5B25A}"/>
    <cellStyle name="Normal 14 10 5 2" xfId="10053" xr:uid="{5F6F79A6-CA09-4C25-96EB-3C7D2D47850C}"/>
    <cellStyle name="Normal 14 10 5 2 2" xfId="13359" xr:uid="{3B6D9D19-84DC-4AE6-9B37-C171EB7E0693}"/>
    <cellStyle name="Normal 14 10 5 2 3" xfId="48566" xr:uid="{60559C81-BF8A-4879-A9F0-1F2746FB1F20}"/>
    <cellStyle name="Normal 14 10 5 3" xfId="12074" xr:uid="{B1FA3F35-6692-4195-992C-B2740FB55F0A}"/>
    <cellStyle name="Normal 14 10 5 3 2" xfId="47005" xr:uid="{39700F40-C15F-481D-9E5E-37D17F2205A7}"/>
    <cellStyle name="Normal 14 10 5 4" xfId="14941" xr:uid="{D698E3A4-4D9C-49D6-AA86-82D5474B0619}"/>
    <cellStyle name="Normal 14 10 6" xfId="8823" xr:uid="{ADDB8745-94AB-454B-BE63-4B04F0E41E92}"/>
    <cellStyle name="Normal 14 10 6 2" xfId="12683" xr:uid="{E4A988E9-6AB0-4FCF-92FE-4301B86D4C2C}"/>
    <cellStyle name="Normal 14 10 6 2 2" xfId="48873" xr:uid="{093C30EC-7D11-425D-A6DD-7BB6DCC3633F}"/>
    <cellStyle name="Normal 14 10 6 3" xfId="47302" xr:uid="{ACA7DC61-AB7A-4E41-8C61-3D9C56A0F538}"/>
    <cellStyle name="Normal 14 10 7" xfId="8014" xr:uid="{82B4082B-09FD-4049-8198-36AE01F0FD1B}"/>
    <cellStyle name="Normal 14 10 7 2" xfId="12527" xr:uid="{8A08AD87-969B-430C-BF47-44DB2F529C34}"/>
    <cellStyle name="Normal 14 10 7 3" xfId="47724" xr:uid="{C396294A-1561-4E87-9CFC-15E58159A957}"/>
    <cellStyle name="Normal 14 10 8" xfId="5911" xr:uid="{13F416BE-AD7D-48C1-B162-CA3A46733B74}"/>
    <cellStyle name="Normal 14 10 8 2" xfId="15833" xr:uid="{A5A86991-F8E2-4069-8188-05A7BE5F2C2C}"/>
    <cellStyle name="Normal 14 10 9" xfId="11399" xr:uid="{F9C1D2FC-D137-445B-A97A-714300A3AB42}"/>
    <cellStyle name="Normal 14 11" xfId="4940" xr:uid="{E5515405-0004-4213-A006-FE19D1C3BC2C}"/>
    <cellStyle name="Normal 14 11 2" xfId="5772" xr:uid="{326CE173-18B2-4301-8EEF-5B2328AB18D6}"/>
    <cellStyle name="Normal 14 11 2 2" xfId="7874" xr:uid="{926C9634-B49C-4E45-889C-5EB992CF28A2}"/>
    <cellStyle name="Normal 14 11 2 2 2" xfId="10366" xr:uid="{F4DBFE12-0C49-4E01-9F32-7FFB8464ACA5}"/>
    <cellStyle name="Normal 14 11 2 2 2 2" xfId="13672" xr:uid="{CA7666C1-B372-4D53-9E46-8B7C48BD0794}"/>
    <cellStyle name="Normal 14 11 2 2 2 3" xfId="49182" xr:uid="{11CA40A1-2F1E-471C-81CB-DAC23CF29D77}"/>
    <cellStyle name="Normal 14 11 2 2 3" xfId="12387" xr:uid="{F0CF3439-6669-4FE3-8101-45E4E178C81E}"/>
    <cellStyle name="Normal 14 11 2 2 3 2" xfId="47599" xr:uid="{CD3D62CE-5A5D-4ED6-8B42-5902CD74B5B1}"/>
    <cellStyle name="Normal 14 11 2 2 4" xfId="14801" xr:uid="{053BB6C3-124A-49BB-958C-1B35B104BC01}"/>
    <cellStyle name="Normal 14 11 2 3" xfId="9872" xr:uid="{D8D7AF73-309F-4EAC-8E95-CA5A2CFF95FE}"/>
    <cellStyle name="Normal 14 11 2 3 2" xfId="13178" xr:uid="{2B8CAD04-E48C-4973-9D1E-62F1BB81D2DF}"/>
    <cellStyle name="Normal 14 11 2 3 3" xfId="48326" xr:uid="{11BEA8A5-1D26-4BC2-ABCE-119A59B45CC7}"/>
    <cellStyle name="Normal 14 11 2 4" xfId="7370" xr:uid="{3B993045-1131-45FB-AD82-FEB66627C6F3}"/>
    <cellStyle name="Normal 14 11 2 4 2" xfId="21219" xr:uid="{EC747F83-9A50-43ED-B3D5-603A8CC57958}"/>
    <cellStyle name="Normal 14 11 2 5" xfId="11893" xr:uid="{D2ED04E0-DCA7-49DB-9D8F-FB7988975BEA}"/>
    <cellStyle name="Normal 14 11 2 6" xfId="14309" xr:uid="{DA1E5191-6B56-4BBD-A75C-8946C76DC51D}"/>
    <cellStyle name="Normal 14 11 3" xfId="7560" xr:uid="{8F1885EA-936A-417F-9691-83577FA9A6F0}"/>
    <cellStyle name="Normal 14 11 3 2" xfId="10052" xr:uid="{22DAB745-0B1C-4A13-93B3-EC870D09E438}"/>
    <cellStyle name="Normal 14 11 3 2 2" xfId="13358" xr:uid="{81ABF1C2-215E-4447-86F0-6CFE3E6A0279}"/>
    <cellStyle name="Normal 14 11 3 2 3" xfId="48020" xr:uid="{35D40163-8976-405B-B7D3-3EE2B79DC498}"/>
    <cellStyle name="Normal 14 11 3 3" xfId="12073" xr:uid="{15205126-B361-4A5D-B136-3EE5166941C2}"/>
    <cellStyle name="Normal 14 11 3 3 2" xfId="46283" xr:uid="{28342828-0AB1-4E29-860D-37DB969D922A}"/>
    <cellStyle name="Normal 14 11 3 4" xfId="14487" xr:uid="{B7788D18-E4CB-4A9A-89C4-70A6E4AA5F0E}"/>
    <cellStyle name="Normal 14 11 4" xfId="11180" xr:uid="{898922AE-6E8A-4F45-B773-EB4149CF450B}"/>
    <cellStyle name="Normal 14 11 4 2" xfId="13769" xr:uid="{778A9620-415C-452A-9B60-1778C18CCFDC}"/>
    <cellStyle name="Normal 14 11 4 2 2" xfId="48565" xr:uid="{5D02D551-17EF-4CFF-98E3-A214C311529F}"/>
    <cellStyle name="Normal 14 11 4 3" xfId="47004" xr:uid="{F3EED10F-1EED-4685-9113-4E50CC1A3120}"/>
    <cellStyle name="Normal 14 11 4 4" xfId="15116" xr:uid="{1F0824B8-CF16-43C9-9FBF-25391FD85C36}"/>
    <cellStyle name="Normal 14 11 5" xfId="9558" xr:uid="{018C2ECF-9425-4F59-B401-E318EB7B188E}"/>
    <cellStyle name="Normal 14 11 5 2" xfId="12864" xr:uid="{9444DD7C-5F19-4AEB-8D3B-7B22633961CB}"/>
    <cellStyle name="Normal 14 11 5 2 2" xfId="48872" xr:uid="{AEA9A7E1-512E-45B6-9913-AC07C6F8CB8F}"/>
    <cellStyle name="Normal 14 11 5 3" xfId="47301" xr:uid="{C854E889-3DF7-4C9C-86F5-5884CC52B850}"/>
    <cellStyle name="Normal 14 11 6" xfId="6804" xr:uid="{067B5C21-0D9D-4C02-8BFD-0F13DBFC6CFD}"/>
    <cellStyle name="Normal 14 11 6 2" xfId="47806" xr:uid="{1807253B-78FC-45ED-BA6E-EECDB01B2FD5}"/>
    <cellStyle name="Normal 14 11 7" xfId="11579" xr:uid="{649F64D9-1296-42A9-B08C-A0A3DE9737C4}"/>
    <cellStyle name="Normal 14 11 7 2" xfId="17602" xr:uid="{DB04B242-4982-4073-9E64-80969B0A6F4D}"/>
    <cellStyle name="Normal 14 11 8" xfId="13995" xr:uid="{51505C22-3FB2-45CC-A995-312EE7182F1B}"/>
    <cellStyle name="Normal 14 12" xfId="4111" xr:uid="{4DD0CC39-052E-4AC4-8C63-C773203215A9}"/>
    <cellStyle name="Normal 14 12 2" xfId="5645" xr:uid="{6EBDD2E0-9EE4-4414-B73F-E77ACE8DDC36}"/>
    <cellStyle name="Normal 14 12 2 2" xfId="10239" xr:uid="{5BFA76AC-EF78-415C-B0C8-5229A405C338}"/>
    <cellStyle name="Normal 14 12 2 2 2" xfId="13545" xr:uid="{C84A99B9-4EF9-453B-B07A-C59B5EAF762E}"/>
    <cellStyle name="Normal 14 12 2 2 3" xfId="48442" xr:uid="{F4607198-9A98-487C-9452-02CDD2386D0B}"/>
    <cellStyle name="Normal 14 12 2 3" xfId="7747" xr:uid="{AE09C7E8-0456-4322-B375-2309E4BC1838}"/>
    <cellStyle name="Normal 14 12 2 3 2" xfId="23399" xr:uid="{BB3739D7-5E07-4552-8DD0-95DDB6F69A99}"/>
    <cellStyle name="Normal 14 12 2 4" xfId="12260" xr:uid="{420582E1-0871-45A2-8DEA-CEC1685EFC01}"/>
    <cellStyle name="Normal 14 12 2 5" xfId="14674" xr:uid="{880F9F42-C33A-4DBF-B18A-D7F2388E0CBD}"/>
    <cellStyle name="Normal 14 12 3" xfId="9745" xr:uid="{B302D69E-906D-44B8-AD60-E944475C556E}"/>
    <cellStyle name="Normal 14 12 3 2" xfId="13051" xr:uid="{114DE0E5-E100-43D7-A3C3-C36550FEE29E}"/>
    <cellStyle name="Normal 14 12 3 2 2" xfId="49057" xr:uid="{06A817DB-59EB-4FCD-942D-AF0CC1DCE5FF}"/>
    <cellStyle name="Normal 14 12 3 3" xfId="47476" xr:uid="{3CF4DE13-A7E9-4269-8478-9BCB111A2AB3}"/>
    <cellStyle name="Normal 14 12 3 4" xfId="14989" xr:uid="{A3C17EFA-02BA-454C-9867-6113204A9D4F}"/>
    <cellStyle name="Normal 14 12 4" xfId="7241" xr:uid="{592351E9-2378-475C-BCC7-984683CD5202}"/>
    <cellStyle name="Normal 14 12 4 2" xfId="48202" xr:uid="{FA4BD5E6-8FCE-4B9C-B8F2-91CDF0E85B2D}"/>
    <cellStyle name="Normal 14 12 5" xfId="11766" xr:uid="{5C72D9D6-4393-47BD-A540-2CB960896445}"/>
    <cellStyle name="Normal 14 12 5 2" xfId="19779" xr:uid="{955FC839-2E0F-4964-8F25-E11567832588}"/>
    <cellStyle name="Normal 14 12 6" xfId="14182" xr:uid="{8579568E-01DA-42FE-8B29-4B6630121270}"/>
    <cellStyle name="Normal 14 13" xfId="5596" xr:uid="{867E9A43-3B97-427B-A56F-ADD8167E6C09}"/>
    <cellStyle name="Normal 14 13 2" xfId="7698" xr:uid="{8CF8A8CD-D681-4685-8952-3BF549D9EEAF}"/>
    <cellStyle name="Normal 14 13 2 2" xfId="10190" xr:uid="{5FB11BB6-67D9-4C14-A3CC-05B3EA75CC6D}"/>
    <cellStyle name="Normal 14 13 2 2 2" xfId="13496" xr:uid="{B7695E99-7A2E-4245-836A-A5E5CD06E25C}"/>
    <cellStyle name="Normal 14 13 2 2 3" xfId="48654" xr:uid="{72A42397-C4BA-474F-BDAC-3822EEF1CF34}"/>
    <cellStyle name="Normal 14 13 2 3" xfId="12211" xr:uid="{8E6B1C49-0E6B-4F4D-9116-8B2BD63D5976}"/>
    <cellStyle name="Normal 14 13 2 3 2" xfId="23430" xr:uid="{B9EFBCA3-E39F-43E2-8EA9-2F406593B163}"/>
    <cellStyle name="Normal 14 13 2 4" xfId="14625" xr:uid="{2CD54A40-F423-48BA-992A-DF736F225A88}"/>
    <cellStyle name="Normal 14 13 3" xfId="9696" xr:uid="{0712134A-ABBC-474D-97FD-32B3713987EF}"/>
    <cellStyle name="Normal 14 13 3 2" xfId="13002" xr:uid="{16A3A6F5-6FA4-4DC9-BE8C-3E03EB184ACA}"/>
    <cellStyle name="Normal 14 13 3 2 2" xfId="49010" xr:uid="{37E2D3CF-0DBC-44D6-A821-8C3D45BD3636}"/>
    <cellStyle name="Normal 14 13 3 3" xfId="47434" xr:uid="{CF4CB351-C542-44F2-B0A8-19EDE214BBE5}"/>
    <cellStyle name="Normal 14 13 4" xfId="7192" xr:uid="{E21D6838-B2DB-4CB1-ADB2-64ED750013B8}"/>
    <cellStyle name="Normal 14 13 4 2" xfId="48155" xr:uid="{B79158A5-BF9D-432C-983B-1C2A92F56117}"/>
    <cellStyle name="Normal 14 13 5" xfId="11717" xr:uid="{992CFB12-8693-48EE-9478-2E5A64DA38B6}"/>
    <cellStyle name="Normal 14 13 5 2" xfId="19818" xr:uid="{5FF267AB-3074-46C2-BA1F-771AFBA51FCD}"/>
    <cellStyle name="Normal 14 13 6" xfId="14133" xr:uid="{A62CE73A-0A49-452C-A271-2D712EE9E3C1}"/>
    <cellStyle name="Normal 14 14" xfId="6177" xr:uid="{3BCD4187-98D2-4E01-8F66-6B58BCD8C0FB}"/>
    <cellStyle name="Normal 14 14 2" xfId="9428" xr:uid="{1B0A4B1F-5523-47E7-BAEB-5330792B24D4}"/>
    <cellStyle name="Normal 14 14 2 2" xfId="12734" xr:uid="{52D0C908-E45D-46EE-A687-88C523B0EAF2}"/>
    <cellStyle name="Normal 14 14 2 3" xfId="47897" xr:uid="{2DE39933-68EE-484E-AF44-816DBFD3F815}"/>
    <cellStyle name="Normal 14 14 3" xfId="11449" xr:uid="{5762FFA7-ECDF-4E9E-BE42-7CFE7A2A86B1}"/>
    <cellStyle name="Normal 14 14 3 2" xfId="29792" xr:uid="{1AA26A91-D354-4329-9B13-608D94370048}"/>
    <cellStyle name="Normal 14 14 4" xfId="14360" xr:uid="{7B991B1E-B079-4272-82FB-B3A75338D7B0}"/>
    <cellStyle name="Normal 14 15" xfId="7433" xr:uid="{4BF2A2B5-5C8C-4AA3-9CC6-98FE80E1DC9A}"/>
    <cellStyle name="Normal 14 15 2" xfId="9925" xr:uid="{091DA9C0-90C6-40F9-ACF2-36F9D6D95E72}"/>
    <cellStyle name="Normal 14 15 2 2" xfId="13231" xr:uid="{D7F2223C-53BD-420C-84E9-0CF6119808F7}"/>
    <cellStyle name="Normal 14 15 2 3" xfId="48410" xr:uid="{3E1C4EAE-24E6-4A08-9B3B-416537835C65}"/>
    <cellStyle name="Normal 14 15 3" xfId="11946" xr:uid="{FEF570B1-9549-4656-924E-E504F67B1C1B}"/>
    <cellStyle name="Normal 14 15 3 2" xfId="29793" xr:uid="{7F1067C6-A80A-42D9-B955-D0FE3D68DF94}"/>
    <cellStyle name="Normal 14 15 4" xfId="14940" xr:uid="{ED596641-A40C-4504-A972-07A9D82E0E89}"/>
    <cellStyle name="Normal 14 16" xfId="8822" xr:uid="{7BBDEF78-0B9F-4994-ABD1-BE10FD90AF6B}"/>
    <cellStyle name="Normal 14 16 2" xfId="12682" xr:uid="{2E0D4FE6-9DB4-422A-B92C-F299EA0315EF}"/>
    <cellStyle name="Normal 14 16 2 2" xfId="48748" xr:uid="{E47B5360-F3E6-471D-9134-B911EA051D28}"/>
    <cellStyle name="Normal 14 16 3" xfId="29794" xr:uid="{330B5D0E-14D2-4AD4-AA5A-66B8A3E8546A}"/>
    <cellStyle name="Normal 14 17" xfId="8013" xr:uid="{DD6ED617-9ACB-434A-A14A-FAF6B4F9DB78}"/>
    <cellStyle name="Normal 14 17 2" xfId="12526" xr:uid="{4240493E-FE29-48D0-A897-2CF5A35D88AF}"/>
    <cellStyle name="Normal 14 17 3" xfId="47646" xr:uid="{BDB22499-F49D-4F4D-A6B3-2D4D704FD1C8}"/>
    <cellStyle name="Normal 14 18" xfId="11278" xr:uid="{81EC23E3-0682-4571-BF05-A4B32B3098B1}"/>
    <cellStyle name="Normal 14 18 2" xfId="13837" xr:uid="{3ACBF83B-953E-4B5C-B704-217F34BE33C1}"/>
    <cellStyle name="Normal 14 19" xfId="5910" xr:uid="{59C707EB-8093-410E-8BC2-E46226240640}"/>
    <cellStyle name="Normal 14 2" xfId="2816" xr:uid="{4E6ACEC2-38B9-4230-A5DF-E42546587C46}"/>
    <cellStyle name="Normal 14 2 10" xfId="29795" xr:uid="{F92631AB-C9B4-446B-AA2C-72E2F4BB9C09}"/>
    <cellStyle name="Normal 14 2 11" xfId="29796" xr:uid="{1FC65805-1323-4C27-A52F-8E5EEDA5ECDD}"/>
    <cellStyle name="Normal 14 2 2" xfId="15348" xr:uid="{4DAE6F1D-9FF4-484A-A32B-14E1FB280224}"/>
    <cellStyle name="Normal 14 2 2 2" xfId="17606" xr:uid="{FB67AC86-D3D0-4E97-82D1-BDB78D834020}"/>
    <cellStyle name="Normal 14 2 2 2 2" xfId="21223" xr:uid="{0DA66006-B4AA-4051-A5C0-24BB82AE4A36}"/>
    <cellStyle name="Normal 14 2 2 3" xfId="29797" xr:uid="{58363E14-21A7-47BF-8527-4F07C84CC414}"/>
    <cellStyle name="Normal 14 2 2 4" xfId="29798" xr:uid="{96A96244-720C-4442-B845-4D465B2884C3}"/>
    <cellStyle name="Normal 14 2 2 5" xfId="29799" xr:uid="{6C9F71BC-F589-4477-8887-0A3E93547B11}"/>
    <cellStyle name="Normal 14 2 2 6" xfId="29800" xr:uid="{5ABF240C-7505-4D52-A069-703DE39B0A85}"/>
    <cellStyle name="Normal 14 2 3" xfId="15834" xr:uid="{01C7E4F9-2290-4748-833A-F2A50EC908D6}"/>
    <cellStyle name="Normal 14 2 3 2" xfId="16827" xr:uid="{D23717FB-EA77-4DBB-8904-FC4845040ADC}"/>
    <cellStyle name="Normal 14 2 3 2 2" xfId="17608" xr:uid="{2E80F94A-85AF-49AE-9868-0D88125DF7CF}"/>
    <cellStyle name="Normal 14 2 3 2 2 2" xfId="21225" xr:uid="{022C3C11-E95C-4242-90B5-22BCC6F3A079}"/>
    <cellStyle name="Normal 14 2 3 2 3" xfId="20829" xr:uid="{AFEC3759-4266-4777-80E7-2B289B2791CC}"/>
    <cellStyle name="Normal 14 2 3 3" xfId="17607" xr:uid="{DE794CA7-845C-4977-8475-AF6B9120599E}"/>
    <cellStyle name="Normal 14 2 3 3 2" xfId="21224" xr:uid="{903BF658-22AB-423C-8F48-9811C85A5411}"/>
    <cellStyle name="Normal 14 2 3 4" xfId="20545" xr:uid="{B498DE03-696B-44DD-A488-04D8E1BAA18B}"/>
    <cellStyle name="Normal 14 2 4" xfId="16692" xr:uid="{BC7C7BBB-A88E-45ED-BA5B-899057ACF8C7}"/>
    <cellStyle name="Normal 14 2 4 2" xfId="17609" xr:uid="{89CE10CA-2526-43B1-870F-05CEA9E4F236}"/>
    <cellStyle name="Normal 14 2 4 2 2" xfId="21226" xr:uid="{F1A47B5B-4553-461F-820D-B02C11E9A041}"/>
    <cellStyle name="Normal 14 2 4 3" xfId="29801" xr:uid="{F5F34E7C-FB37-4DD0-BB1E-F0338B18753C}"/>
    <cellStyle name="Normal 14 2 4 4" xfId="29802" xr:uid="{6487632C-CC06-4DA3-8240-761D650E5FB2}"/>
    <cellStyle name="Normal 14 2 4 5" xfId="29803" xr:uid="{06AC1A36-26BA-4F79-B809-ACB3E9BD4B52}"/>
    <cellStyle name="Normal 14 2 4 6" xfId="29804" xr:uid="{352F911C-BEEB-4FA0-B557-30288D3B92D0}"/>
    <cellStyle name="Normal 14 2 5" xfId="16490" xr:uid="{F7EA984C-9F59-4541-B95A-0E1446CCA466}"/>
    <cellStyle name="Normal 14 2 5 2" xfId="17610" xr:uid="{D7FC6B01-EBA0-4BA9-A2F0-B014DEF4E4AA}"/>
    <cellStyle name="Normal 14 2 5 2 2" xfId="21227" xr:uid="{A6124AE7-B3DB-43EA-9688-3657E978DF0F}"/>
    <cellStyle name="Normal 14 2 5 3" xfId="20656" xr:uid="{3CDAD1CC-CF80-4947-A144-98927F922548}"/>
    <cellStyle name="Normal 14 2 6" xfId="17611" xr:uid="{D5A58169-B2DE-4F05-A43B-5EEF5DB81BD0}"/>
    <cellStyle name="Normal 14 2 6 2" xfId="21228" xr:uid="{5117E958-7AB4-4B99-9A72-6B2C0553059B}"/>
    <cellStyle name="Normal 14 2 7" xfId="17605" xr:uid="{217F1A6C-807E-4687-B6EE-E10CF43D6FE6}"/>
    <cellStyle name="Normal 14 2 7 2" xfId="21222" xr:uid="{8FC68A00-C5A2-4631-BF9B-826CB7A72D7F}"/>
    <cellStyle name="Normal 14 2 8" xfId="29805" xr:uid="{CD5039FB-2B65-40D3-BF57-525358FB4E9E}"/>
    <cellStyle name="Normal 14 2 9" xfId="29806" xr:uid="{7B0D3E86-4643-4561-9494-E04C59DA201F}"/>
    <cellStyle name="Normal 14 20" xfId="11398" xr:uid="{BB5B7D4A-6E8F-4CBC-93AC-2F9E438AACD4}"/>
    <cellStyle name="Normal 14 21" xfId="13867" xr:uid="{959EB071-D490-493C-A62A-CD562301EF83}"/>
    <cellStyle name="Normal 14 3" xfId="2817" xr:uid="{732FDDD6-0CE1-4168-BA55-85C2EF53D6E0}"/>
    <cellStyle name="Normal 14 3 10" xfId="29807" xr:uid="{D1DB8791-D74A-4C33-9EDE-3F9CE93B0C46}"/>
    <cellStyle name="Normal 14 3 2" xfId="15349" xr:uid="{65239F34-2153-43C7-B9DA-0680EC4878B4}"/>
    <cellStyle name="Normal 14 3 2 2" xfId="17613" xr:uid="{1E21ADF2-5E13-4436-8C47-95585AC60579}"/>
    <cellStyle name="Normal 14 3 2 2 2" xfId="21230" xr:uid="{8DB0BA73-6B61-454F-AE04-1E4B6BB13C56}"/>
    <cellStyle name="Normal 14 3 2 3" xfId="29808" xr:uid="{18846AC4-2166-4AD3-BB75-FD5A31E8A71B}"/>
    <cellStyle name="Normal 14 3 2 4" xfId="29809" xr:uid="{569C6D71-1259-4C60-9AFD-FE02368E8DCC}"/>
    <cellStyle name="Normal 14 3 2 5" xfId="29810" xr:uid="{9BCED380-647A-4A3B-B0EB-26205C641955}"/>
    <cellStyle name="Normal 14 3 2 6" xfId="29811" xr:uid="{7472A15E-FC38-4AF1-B3C4-3C83749196DE}"/>
    <cellStyle name="Normal 14 3 3" xfId="15835" xr:uid="{E398750F-AAFC-4807-85A2-390AC0640CFC}"/>
    <cellStyle name="Normal 14 3 3 2" xfId="16828" xr:uid="{D26FD4E2-13F5-4F7F-AB25-591A6F929B37}"/>
    <cellStyle name="Normal 14 3 3 2 2" xfId="17615" xr:uid="{6B51B9BB-4026-406D-8BE7-1AE7359D27BA}"/>
    <cellStyle name="Normal 14 3 3 2 2 2" xfId="21232" xr:uid="{A9F99768-0DF7-4711-8BF0-0D602207FD21}"/>
    <cellStyle name="Normal 14 3 3 2 3" xfId="20830" xr:uid="{7BEDC4F1-32E2-431E-B4AF-9354670F59F5}"/>
    <cellStyle name="Normal 14 3 3 3" xfId="17614" xr:uid="{1DA562F1-B565-41EF-A398-05E389C92A42}"/>
    <cellStyle name="Normal 14 3 3 3 2" xfId="21231" xr:uid="{04FCD9FD-2EC8-47FA-8611-6E5E9ACD3F2B}"/>
    <cellStyle name="Normal 14 3 3 4" xfId="20546" xr:uid="{8CD18186-06CA-4229-91BA-1565ED4A22D5}"/>
    <cellStyle name="Normal 14 3 4" xfId="16693" xr:uid="{C702CCCB-D506-414D-A5C4-1A238FC1F6C9}"/>
    <cellStyle name="Normal 14 3 4 2" xfId="17616" xr:uid="{2E72CE1A-3829-4E0D-8B38-9A916833B7D9}"/>
    <cellStyle name="Normal 14 3 4 2 2" xfId="21233" xr:uid="{64DDD209-1B29-4543-86C7-6A3D1156F21D}"/>
    <cellStyle name="Normal 14 3 4 3" xfId="29812" xr:uid="{88605B7C-9688-44F9-B860-9CC545E5FD67}"/>
    <cellStyle name="Normal 14 3 4 4" xfId="29813" xr:uid="{1249AD2A-19D6-47F8-B46B-ACE1CB5260F7}"/>
    <cellStyle name="Normal 14 3 4 5" xfId="29814" xr:uid="{0CEAB8FD-6704-4DCB-BC4C-7166C5F02BA5}"/>
    <cellStyle name="Normal 14 3 4 6" xfId="29815" xr:uid="{DC759990-0155-43F3-8A15-F730A3009E05}"/>
    <cellStyle name="Normal 14 3 5" xfId="16491" xr:uid="{C5D66638-17DE-4B9B-B103-E23C304A40D1}"/>
    <cellStyle name="Normal 14 3 5 2" xfId="17617" xr:uid="{2EE6F4AE-9882-4CF2-AE27-E2FFB9C11FD5}"/>
    <cellStyle name="Normal 14 3 5 2 2" xfId="21234" xr:uid="{32E670AB-5E84-4719-AC54-36127A2F5EDF}"/>
    <cellStyle name="Normal 14 3 5 3" xfId="20657" xr:uid="{FB0C6E2B-4351-4C8F-A1ED-127E5B4B8CE9}"/>
    <cellStyle name="Normal 14 3 6" xfId="17612" xr:uid="{900A5E56-599F-4E1C-BA03-8150C45250B6}"/>
    <cellStyle name="Normal 14 3 6 2" xfId="21229" xr:uid="{16E10B4F-4CDF-4DB2-A14A-EE77C4A7D3B5}"/>
    <cellStyle name="Normal 14 3 7" xfId="29816" xr:uid="{1D9400DB-9819-4353-AED8-0766507AE122}"/>
    <cellStyle name="Normal 14 3 8" xfId="29817" xr:uid="{074A03FA-967E-453C-B25A-1F4CF5816CE3}"/>
    <cellStyle name="Normal 14 3 9" xfId="29818" xr:uid="{88C6018E-4FBB-4B92-AFD3-305C2570081D}"/>
    <cellStyle name="Normal 14 4" xfId="2818" xr:uid="{A3EFA234-65D0-4C35-BA6A-DD0B53A631DE}"/>
    <cellStyle name="Normal 14 4 10" xfId="29819" xr:uid="{C3BFDF5E-971B-4F65-981A-1413187FB8AA}"/>
    <cellStyle name="Normal 14 4 2" xfId="15350" xr:uid="{8FECFCE1-38E7-46F4-8B70-6310E08A18F7}"/>
    <cellStyle name="Normal 14 4 2 2" xfId="17619" xr:uid="{1C3ACB74-EF5A-4E0F-8C34-1F96711DDBB2}"/>
    <cellStyle name="Normal 14 4 2 2 2" xfId="21236" xr:uid="{C01F13EB-3B1B-4943-843B-5990B8D3E0F1}"/>
    <cellStyle name="Normal 14 4 2 3" xfId="29820" xr:uid="{D1061BEC-E9B2-4093-A923-C4D56488DB58}"/>
    <cellStyle name="Normal 14 4 2 4" xfId="29821" xr:uid="{601F5B31-E956-4099-A2E7-00B81BCBE4C0}"/>
    <cellStyle name="Normal 14 4 2 5" xfId="29822" xr:uid="{65D92A01-D861-4DAB-A069-442284F16D26}"/>
    <cellStyle name="Normal 14 4 2 6" xfId="29823" xr:uid="{DB3559E9-9EA1-4B0F-BFD3-EBCFA7DBC840}"/>
    <cellStyle name="Normal 14 4 3" xfId="15836" xr:uid="{683E84FC-DDA2-4DF5-A696-12FBB5A0A0C1}"/>
    <cellStyle name="Normal 14 4 3 2" xfId="16829" xr:uid="{6597706B-E7F3-44DA-89AE-EFFD2E7916E9}"/>
    <cellStyle name="Normal 14 4 3 2 2" xfId="17621" xr:uid="{A30FEC6C-9C2E-4243-836A-82616EFF6FDE}"/>
    <cellStyle name="Normal 14 4 3 2 2 2" xfId="21238" xr:uid="{CA839172-26B8-432A-8303-F9D02B16B9ED}"/>
    <cellStyle name="Normal 14 4 3 2 3" xfId="20831" xr:uid="{F5ED75D6-1E55-45A0-BF3F-9B5097C4C27D}"/>
    <cellStyle name="Normal 14 4 3 3" xfId="17620" xr:uid="{EC4AA4CA-1CE5-4D4A-B05A-40E29C90D2AC}"/>
    <cellStyle name="Normal 14 4 3 3 2" xfId="21237" xr:uid="{02E38FAF-3015-49C1-8698-B02DBBB9C098}"/>
    <cellStyle name="Normal 14 4 3 4" xfId="20547" xr:uid="{76F1AE1C-01A0-4843-BD82-FADF9BBC87AE}"/>
    <cellStyle name="Normal 14 4 4" xfId="16694" xr:uid="{5ADB25E7-FFC3-4795-85D5-5790BA3E928C}"/>
    <cellStyle name="Normal 14 4 4 2" xfId="17622" xr:uid="{397E3DB3-97B4-4B32-811A-F95AF3883D66}"/>
    <cellStyle name="Normal 14 4 4 2 2" xfId="21239" xr:uid="{1218E5BD-1848-4BA7-A59B-0B57B9C7D0AC}"/>
    <cellStyle name="Normal 14 4 4 3" xfId="29824" xr:uid="{D4C2C1F8-911A-4C57-BC79-25AE999D1466}"/>
    <cellStyle name="Normal 14 4 4 4" xfId="29825" xr:uid="{28476374-3945-4D40-B2B1-A15EAAC0BA30}"/>
    <cellStyle name="Normal 14 4 4 5" xfId="29826" xr:uid="{F44728A0-6D3C-47A7-B40A-AEAEDEB3017F}"/>
    <cellStyle name="Normal 14 4 4 6" xfId="29827" xr:uid="{80D86C68-5672-4D93-895A-7C14BB8BC850}"/>
    <cellStyle name="Normal 14 4 5" xfId="16492" xr:uid="{DFE61C4E-34A1-499E-8C79-92429A8DF55B}"/>
    <cellStyle name="Normal 14 4 5 2" xfId="17623" xr:uid="{9D6D558A-615F-4CA5-998C-FAE34285DDC5}"/>
    <cellStyle name="Normal 14 4 5 2 2" xfId="21240" xr:uid="{FA62AD30-433B-4E50-ACFC-088F1B4FB19D}"/>
    <cellStyle name="Normal 14 4 5 3" xfId="20658" xr:uid="{F9F5E045-03D5-4335-AFDA-01F0E6F76151}"/>
    <cellStyle name="Normal 14 4 6" xfId="17618" xr:uid="{E16D5FB3-A83F-45B8-9648-8027605323BC}"/>
    <cellStyle name="Normal 14 4 6 2" xfId="21235" xr:uid="{F301AC39-3758-4850-8DD6-E3452E978A70}"/>
    <cellStyle name="Normal 14 4 7" xfId="29828" xr:uid="{BD0C7C3C-0E4A-4DCC-B3AA-157BF8BE4373}"/>
    <cellStyle name="Normal 14 4 8" xfId="29829" xr:uid="{33D7D597-8656-4552-96E3-45B9ED353E72}"/>
    <cellStyle name="Normal 14 4 9" xfId="29830" xr:uid="{A5B34476-E14F-47EE-8CC3-E6B026BA53E1}"/>
    <cellStyle name="Normal 14 5" xfId="2819" xr:uid="{9F971529-B5AE-4E0B-B9EC-95E81BAFEBEE}"/>
    <cellStyle name="Normal 14 5 10" xfId="29831" xr:uid="{32888812-0B27-43C4-B38B-02EB09DFDA2D}"/>
    <cellStyle name="Normal 14 5 2" xfId="15351" xr:uid="{2CF91034-AA86-40DC-B22B-01F0E3A33C16}"/>
    <cellStyle name="Normal 14 5 2 2" xfId="17625" xr:uid="{830AA480-3498-42CE-A4E8-36980D60A2E8}"/>
    <cellStyle name="Normal 14 5 2 2 2" xfId="21242" xr:uid="{1EB804F9-316A-4E1C-8FD3-20C74DAC15A2}"/>
    <cellStyle name="Normal 14 5 2 3" xfId="29832" xr:uid="{590017C4-2C59-4996-BE2C-061E62AAA5C9}"/>
    <cellStyle name="Normal 14 5 2 4" xfId="29833" xr:uid="{C07A8A10-FC87-4891-BD12-CA3997536A66}"/>
    <cellStyle name="Normal 14 5 2 5" xfId="29834" xr:uid="{62FD527A-C3BE-43D3-9FE7-44E22784E1A2}"/>
    <cellStyle name="Normal 14 5 2 6" xfId="29835" xr:uid="{1BEDC5A7-6343-48EE-93A0-467546D92069}"/>
    <cellStyle name="Normal 14 5 3" xfId="15837" xr:uid="{08C847AE-7814-4EAE-8455-FC6584627ECA}"/>
    <cellStyle name="Normal 14 5 3 2" xfId="16830" xr:uid="{8AE524A4-57B6-40D4-97C5-1BA0D8EE1BF9}"/>
    <cellStyle name="Normal 14 5 3 2 2" xfId="17627" xr:uid="{21EAF432-8709-4FD2-8165-EE0DD1F1E54A}"/>
    <cellStyle name="Normal 14 5 3 2 2 2" xfId="21244" xr:uid="{FC4125C4-BD33-48BD-AABE-3E9CDD2CD577}"/>
    <cellStyle name="Normal 14 5 3 2 3" xfId="20832" xr:uid="{27B1A0A5-F012-4DE0-8404-C1CBB32A1CD6}"/>
    <cellStyle name="Normal 14 5 3 3" xfId="17626" xr:uid="{1A30202B-B8CA-4CA0-8EB3-30D9E208FDC7}"/>
    <cellStyle name="Normal 14 5 3 3 2" xfId="21243" xr:uid="{B9286E00-CFD8-4C19-995F-A0050A6AE08D}"/>
    <cellStyle name="Normal 14 5 3 4" xfId="20548" xr:uid="{5F5552BB-46A1-4224-9067-91947450E24D}"/>
    <cellStyle name="Normal 14 5 4" xfId="16695" xr:uid="{5A7EEF4C-6609-4786-B560-8F8BB0E613D8}"/>
    <cellStyle name="Normal 14 5 4 2" xfId="17628" xr:uid="{194F0B26-C2D8-493D-9464-8508412AB0A8}"/>
    <cellStyle name="Normal 14 5 4 2 2" xfId="21245" xr:uid="{4185087B-55F7-49BC-8754-87A1EFF8E76B}"/>
    <cellStyle name="Normal 14 5 4 3" xfId="29836" xr:uid="{EA6833A1-49A8-4E6E-AADA-36C6ABD52D30}"/>
    <cellStyle name="Normal 14 5 4 4" xfId="29837" xr:uid="{DA285E14-785A-40B6-8829-5DE80122CA32}"/>
    <cellStyle name="Normal 14 5 4 5" xfId="29838" xr:uid="{491965A5-5C69-4AF9-B1A5-6BC901DC5A1C}"/>
    <cellStyle name="Normal 14 5 4 6" xfId="29839" xr:uid="{8E6DF962-16B1-4109-93F1-B47BD1C08ADA}"/>
    <cellStyle name="Normal 14 5 5" xfId="16493" xr:uid="{D4013182-5773-4FFB-A081-30B899D2D291}"/>
    <cellStyle name="Normal 14 5 5 2" xfId="17629" xr:uid="{8500C0DD-AEB8-4966-A69A-4227C885F306}"/>
    <cellStyle name="Normal 14 5 5 2 2" xfId="21246" xr:uid="{A8E8D123-CC4C-449A-82B1-36CF21427EB6}"/>
    <cellStyle name="Normal 14 5 5 3" xfId="20659" xr:uid="{CD426D03-D27E-4BC1-8D9E-E22E835F93E0}"/>
    <cellStyle name="Normal 14 5 6" xfId="17624" xr:uid="{439E664C-E535-4105-8A36-2F19C604EF2D}"/>
    <cellStyle name="Normal 14 5 6 2" xfId="21241" xr:uid="{48B3061C-93B4-42F0-99D2-CE2ABC170A6E}"/>
    <cellStyle name="Normal 14 5 7" xfId="29840" xr:uid="{073B3582-1FCD-43DD-B33B-F5082C8B30A6}"/>
    <cellStyle name="Normal 14 5 8" xfId="29841" xr:uid="{1800BFB7-BCD5-4DED-A889-2FC1CC390A1A}"/>
    <cellStyle name="Normal 14 5 9" xfId="29842" xr:uid="{46D33722-D76F-4F57-9B70-14FFBDAA9A3B}"/>
    <cellStyle name="Normal 14 6" xfId="2820" xr:uid="{E054F598-D2E1-4495-9DA5-D6EECF69865B}"/>
    <cellStyle name="Normal 14 6 10" xfId="29843" xr:uid="{D071A946-2941-4F70-B665-100EBFE1440F}"/>
    <cellStyle name="Normal 14 6 2" xfId="15352" xr:uid="{EAC69B21-907D-490F-A0FE-5B5503680A3D}"/>
    <cellStyle name="Normal 14 6 2 2" xfId="17631" xr:uid="{7EF9AB21-96EE-4055-AAC3-1E1508520150}"/>
    <cellStyle name="Normal 14 6 2 2 2" xfId="21248" xr:uid="{D9483047-7287-48E9-AD5D-905C957AB713}"/>
    <cellStyle name="Normal 14 6 2 3" xfId="29844" xr:uid="{0F23B81C-C485-4A2B-8825-A46A6F2B6289}"/>
    <cellStyle name="Normal 14 6 2 4" xfId="29845" xr:uid="{F019C01B-19B4-4B30-B7FB-23FE1EF710D1}"/>
    <cellStyle name="Normal 14 6 2 5" xfId="29846" xr:uid="{1382D9F1-6DD3-4606-B79E-95775A319A8C}"/>
    <cellStyle name="Normal 14 6 2 6" xfId="29847" xr:uid="{4B7923E0-9692-4E1E-B3A4-CA8C561D204A}"/>
    <cellStyle name="Normal 14 6 3" xfId="15838" xr:uid="{1CF988CC-008F-429F-BB23-BB1081EC4998}"/>
    <cellStyle name="Normal 14 6 3 2" xfId="16831" xr:uid="{6C250F00-D65E-4E85-ADCA-7D4D2C525FDA}"/>
    <cellStyle name="Normal 14 6 3 2 2" xfId="17633" xr:uid="{74324930-A70C-4E4D-BF90-98342AE19F77}"/>
    <cellStyle name="Normal 14 6 3 2 2 2" xfId="21250" xr:uid="{FE16F4CD-059C-4E8A-A0AB-28087AED04D8}"/>
    <cellStyle name="Normal 14 6 3 2 3" xfId="20833" xr:uid="{0B4E5BBF-90EC-4786-9BC7-ED4D88F2408C}"/>
    <cellStyle name="Normal 14 6 3 3" xfId="17632" xr:uid="{FC48404C-F7DB-4192-90AC-C356D840FC9D}"/>
    <cellStyle name="Normal 14 6 3 3 2" xfId="21249" xr:uid="{6169D12D-1E3B-49DE-AF47-FC7CEAD44757}"/>
    <cellStyle name="Normal 14 6 3 4" xfId="20549" xr:uid="{90AED553-7ABB-42D3-A995-2E914F9333DA}"/>
    <cellStyle name="Normal 14 6 4" xfId="16696" xr:uid="{14F1C9F6-42DB-41C3-AD5C-48BA97F14CCD}"/>
    <cellStyle name="Normal 14 6 4 2" xfId="17634" xr:uid="{90AF306C-DF4D-4FC3-B0F6-991FA143895E}"/>
    <cellStyle name="Normal 14 6 4 2 2" xfId="21251" xr:uid="{58D24AA4-E793-441B-895D-E3490ECD08E9}"/>
    <cellStyle name="Normal 14 6 4 3" xfId="29848" xr:uid="{7AE93229-8486-4B90-A24F-774F697C812C}"/>
    <cellStyle name="Normal 14 6 4 4" xfId="29849" xr:uid="{E1F53F7C-709F-40AE-BAD1-C91985EFBF6B}"/>
    <cellStyle name="Normal 14 6 4 5" xfId="29850" xr:uid="{CD960FC6-D791-4FDA-BE84-9E03AE219DBF}"/>
    <cellStyle name="Normal 14 6 4 6" xfId="29851" xr:uid="{EC96F764-FF4E-4327-9958-A3A46190BC63}"/>
    <cellStyle name="Normal 14 6 5" xfId="16494" xr:uid="{C2F9F993-50B8-4FF0-847F-77CCACB16227}"/>
    <cellStyle name="Normal 14 6 5 2" xfId="17635" xr:uid="{3831BC88-D931-4CD7-B15A-F0627049D7E0}"/>
    <cellStyle name="Normal 14 6 5 2 2" xfId="21252" xr:uid="{F538B939-3DB0-4BB9-949F-EFD22FACF8A1}"/>
    <cellStyle name="Normal 14 6 5 3" xfId="20660" xr:uid="{AD66C422-7BE0-45C5-B307-20D466338527}"/>
    <cellStyle name="Normal 14 6 6" xfId="17630" xr:uid="{3D6DD273-00BA-4DB5-A022-7D33EAAA5098}"/>
    <cellStyle name="Normal 14 6 6 2" xfId="21247" xr:uid="{A0F846EB-9E41-4653-954B-001C61A4D6D8}"/>
    <cellStyle name="Normal 14 6 7" xfId="29852" xr:uid="{52C16E2D-949F-4978-B4FE-CAB99C10EB00}"/>
    <cellStyle name="Normal 14 6 8" xfId="29853" xr:uid="{9054BBFE-EDD8-41FD-99B2-55552CEEAF17}"/>
    <cellStyle name="Normal 14 6 9" xfId="29854" xr:uid="{FF095D8B-787E-45AF-852F-B00A866F7ECB}"/>
    <cellStyle name="Normal 14 7" xfId="2821" xr:uid="{9403333F-3AE9-4A28-9E4F-7D1AF1E62F9C}"/>
    <cellStyle name="Normal 14 7 2" xfId="4942" xr:uid="{8E146465-8D33-443E-A042-BC7F9D1F9F3C}"/>
    <cellStyle name="Normal 14 7 2 2" xfId="17637" xr:uid="{03523C6B-5667-4832-83A0-3D8B9DF4582E}"/>
    <cellStyle name="Normal 14 7 2 2 2" xfId="21254" xr:uid="{AD26F231-945E-46DC-A82E-6AD37FB81887}"/>
    <cellStyle name="Normal 14 7 2 3" xfId="29855" xr:uid="{FCA5B073-19C9-495C-B7EB-B37D33EA3F3C}"/>
    <cellStyle name="Normal 14 7 2 4" xfId="29856" xr:uid="{75E6F79A-B8B7-4835-854B-2F9CEA37A49D}"/>
    <cellStyle name="Normal 14 7 2 5" xfId="29857" xr:uid="{B5A4174C-6BCC-4375-979E-0B5685174722}"/>
    <cellStyle name="Normal 14 7 2 6" xfId="29858" xr:uid="{26B6D2A2-3BC6-4E7C-957A-575DE2A53DAD}"/>
    <cellStyle name="Normal 14 7 3" xfId="6806" xr:uid="{FCFC4B18-70E5-42DE-A441-8A4051BFDE5B}"/>
    <cellStyle name="Normal 14 7 3 2" xfId="21253" xr:uid="{300350F0-02AA-416A-A499-4B968675496A}"/>
    <cellStyle name="Normal 14 7 3 3" xfId="46284" xr:uid="{BF712977-943E-4368-A4A8-D535EF4725DC}"/>
    <cellStyle name="Normal 14 7 3 4" xfId="17636" xr:uid="{ACFEACA5-3BBD-433E-98AC-D84690BB0034}"/>
    <cellStyle name="Normal 14 7 4" xfId="8826" xr:uid="{DDBAEDC3-ABBB-49EF-8653-FBB0826C7F4D}"/>
    <cellStyle name="Normal 14 7 4 2" xfId="29859" xr:uid="{A7E250D1-541E-4305-8597-914D62E72F46}"/>
    <cellStyle name="Normal 14 7 5" xfId="29860" xr:uid="{5916A1A1-C46E-4089-A735-4BA127DE3929}"/>
    <cellStyle name="Normal 14 7 6" xfId="29861" xr:uid="{9CAB5036-EA72-434C-802F-EF309EC2E59E}"/>
    <cellStyle name="Normal 14 7 7" xfId="29862" xr:uid="{70811FD5-92FC-4626-BE8B-F2F647500777}"/>
    <cellStyle name="Normal 14 8" xfId="2822" xr:uid="{60B8F0A0-BF69-427F-B070-C58A743664FE}"/>
    <cellStyle name="Normal 14 8 2" xfId="4943" xr:uid="{2DE0331F-2E2D-4CA6-9EE5-5E10E99A6D6D}"/>
    <cellStyle name="Normal 14 8 2 2" xfId="17639" xr:uid="{B71E4CB1-643C-4E6C-BE6C-8E270DEFD369}"/>
    <cellStyle name="Normal 14 8 2 2 2" xfId="21256" xr:uid="{8C2573D3-6BA9-40AA-8A1B-6A6E06F8F07D}"/>
    <cellStyle name="Normal 14 8 2 3" xfId="29863" xr:uid="{D3D93803-F073-44EF-A024-13CB90E793B6}"/>
    <cellStyle name="Normal 14 8 2 4" xfId="29864" xr:uid="{11469F8A-B918-4D90-A081-8673008B9100}"/>
    <cellStyle name="Normal 14 8 2 5" xfId="29865" xr:uid="{6F83FB70-129C-4C16-8489-55DE411EFF39}"/>
    <cellStyle name="Normal 14 8 2 6" xfId="29866" xr:uid="{BF465F40-5408-4E32-B5E6-AFF66F166DD7}"/>
    <cellStyle name="Normal 14 8 3" xfId="6807" xr:uid="{8EFA884D-A2AE-4035-B8FF-BAAAA53A58C1}"/>
    <cellStyle name="Normal 14 8 3 2" xfId="21255" xr:uid="{0840B859-C603-4465-A824-6AF3C67ADD63}"/>
    <cellStyle name="Normal 14 8 3 3" xfId="46285" xr:uid="{80B42058-D79B-43DE-86C0-03E7AFE77ADC}"/>
    <cellStyle name="Normal 14 8 3 4" xfId="17638" xr:uid="{1829C01C-7026-4702-8FF0-92A13EDFA35E}"/>
    <cellStyle name="Normal 14 8 4" xfId="8827" xr:uid="{8652C626-6976-4162-B223-0AD431A5CCEE}"/>
    <cellStyle name="Normal 14 8 4 2" xfId="29867" xr:uid="{30F3DEBD-12E9-439B-884A-7AD895CD09D1}"/>
    <cellStyle name="Normal 14 8 5" xfId="29868" xr:uid="{7326075B-1650-472B-A63F-BA73AF6C04B5}"/>
    <cellStyle name="Normal 14 8 6" xfId="29869" xr:uid="{1079CC09-7CB4-4B77-803B-A2DE7E2A8070}"/>
    <cellStyle name="Normal 14 8 7" xfId="29870" xr:uid="{2B5B12AC-DF9C-4383-B156-8E50DA5119E9}"/>
    <cellStyle name="Normal 14 9" xfId="2823" xr:uid="{1D8ECFA3-8C7A-4CCE-920C-B56ABEDF0452}"/>
    <cellStyle name="Normal 14 9 2" xfId="17640" xr:uid="{020292D7-AAC6-4D0C-82BC-7A588F98AD8F}"/>
    <cellStyle name="Normal 14 9 2 2" xfId="21257" xr:uid="{1DD9D566-A97F-4723-93A2-BB115ECB7F04}"/>
    <cellStyle name="Normal 14 9 3" xfId="29871" xr:uid="{F3D043F6-B452-4579-99A0-E8711A4766DD}"/>
    <cellStyle name="Normal 14 9 4" xfId="29872" xr:uid="{DB4676D9-27BD-478E-982C-39172C8537C8}"/>
    <cellStyle name="Normal 14 9 5" xfId="29873" xr:uid="{869F0EFC-F910-44D4-BE0C-D388C5965166}"/>
    <cellStyle name="Normal 14 9 6" xfId="29874" xr:uid="{A3C12DAB-E092-48C5-951B-C9A544370468}"/>
    <cellStyle name="Normal 14_ELC" xfId="2824" xr:uid="{D8640170-9B72-481E-A2A0-CEDB0253C31D}"/>
    <cellStyle name="Normal 15" xfId="2825" xr:uid="{70E7B267-A4EA-424F-91A3-1557513D6924}"/>
    <cellStyle name="Normal 15 10" xfId="2826" xr:uid="{4FA2F64D-02A9-4893-9F41-0490C4697939}"/>
    <cellStyle name="Normal 15 10 10" xfId="13998" xr:uid="{09FA1452-838B-4842-9F5B-A27E6D676B18}"/>
    <cellStyle name="Normal 15 10 2" xfId="4945" xr:uid="{B3CDD08F-2BA0-43C4-A532-0386FEDF5056}"/>
    <cellStyle name="Normal 15 10 2 2" xfId="5775" xr:uid="{D4AA41AC-79F2-469E-B3A0-B66F1A90BD22}"/>
    <cellStyle name="Normal 15 10 2 2 2" xfId="10369" xr:uid="{A9E0B3AC-5CB0-4379-B950-11ECA8A716CD}"/>
    <cellStyle name="Normal 15 10 2 2 2 2" xfId="13675" xr:uid="{133E989D-05FB-4B20-A5A6-59E7C8E8394E}"/>
    <cellStyle name="Normal 15 10 2 2 2 3" xfId="21260" xr:uid="{797E6E29-4ACD-43B4-A9E2-1C96E763610D}"/>
    <cellStyle name="Normal 15 10 2 2 3" xfId="7877" xr:uid="{4BDDB1AE-51C4-44C6-96F6-138396E82816}"/>
    <cellStyle name="Normal 15 10 2 2 3 2" xfId="17643" xr:uid="{15279537-2487-4CAB-983F-79675329E839}"/>
    <cellStyle name="Normal 15 10 2 2 4" xfId="12390" xr:uid="{BAB6E2D6-F219-4E94-9A19-0F8C209052A4}"/>
    <cellStyle name="Normal 15 10 2 2 5" xfId="14804" xr:uid="{E6E19AD8-06DA-4710-BF2D-A601E72A0E42}"/>
    <cellStyle name="Normal 15 10 2 3" xfId="11256" xr:uid="{45E49A03-E9F1-47CB-970E-EA96467D04BC}"/>
    <cellStyle name="Normal 15 10 2 3 2" xfId="13815" xr:uid="{057FEA3D-72E3-4F26-9422-8AB18701D008}"/>
    <cellStyle name="Normal 15 10 2 3 2 2" xfId="48712" xr:uid="{7FE46DD6-D3EE-4D51-B84D-12F6491F1AD6}"/>
    <cellStyle name="Normal 15 10 2 3 3" xfId="20834" xr:uid="{978893E6-C9CB-4492-9582-59EE15A28273}"/>
    <cellStyle name="Normal 15 10 2 3 4" xfId="15119" xr:uid="{6CB9CFFF-382C-4138-BF44-EFD4A8A699D5}"/>
    <cellStyle name="Normal 15 10 2 4" xfId="9875" xr:uid="{A6881581-9F00-4C5E-9420-6051CD2B9F9D}"/>
    <cellStyle name="Normal 15 10 2 4 2" xfId="13181" xr:uid="{2EF1CFDD-5050-4557-8BFA-22F54AF0F0EE}"/>
    <cellStyle name="Normal 15 10 2 4 2 2" xfId="49185" xr:uid="{754DCB6A-AED7-4266-B963-203D4B470E25}"/>
    <cellStyle name="Normal 15 10 2 4 3" xfId="47602" xr:uid="{5F6493F0-EE0F-4645-97F3-EFD55459CBC6}"/>
    <cellStyle name="Normal 15 10 2 5" xfId="7373" xr:uid="{22FE1DAD-55CE-44CD-857F-3CDBC3A9EEF8}"/>
    <cellStyle name="Normal 15 10 2 5 2" xfId="47860" xr:uid="{5B00A0AD-BAE4-459E-BCB1-7EEB282FD76C}"/>
    <cellStyle name="Normal 15 10 2 6" xfId="11896" xr:uid="{70A8F27A-FD3B-4D84-AA28-44BDE5368401}"/>
    <cellStyle name="Normal 15 10 2 6 2" xfId="16832" xr:uid="{84093167-72E2-4944-AC9D-0D669FF127D6}"/>
    <cellStyle name="Normal 15 10 2 7" xfId="14312" xr:uid="{4FEDA1CC-DDF4-45D4-881F-3F5EFE0686A6}"/>
    <cellStyle name="Normal 15 10 3" xfId="5599" xr:uid="{1B9A3971-1F15-4822-B35A-B53FF4A1B327}"/>
    <cellStyle name="Normal 15 10 3 2" xfId="7701" xr:uid="{82E8E199-8D74-465D-983C-8BA02BC863F6}"/>
    <cellStyle name="Normal 15 10 3 2 2" xfId="10193" xr:uid="{D70E0B3C-4911-4FA3-AD91-0E8C5CD05725}"/>
    <cellStyle name="Normal 15 10 3 2 2 2" xfId="13499" xr:uid="{EFD1B1CA-E959-4384-83BF-1ED90B7A93A8}"/>
    <cellStyle name="Normal 15 10 3 2 2 3" xfId="49013" xr:uid="{A19EA1A9-FA38-49EE-8350-7444C31345AD}"/>
    <cellStyle name="Normal 15 10 3 2 3" xfId="12214" xr:uid="{DE557AAD-112C-4591-86F6-DEBDF1362CC9}"/>
    <cellStyle name="Normal 15 10 3 2 3 2" xfId="21259" xr:uid="{312C9527-E25B-42D1-AA95-BA86F69C4A3A}"/>
    <cellStyle name="Normal 15 10 3 2 4" xfId="14628" xr:uid="{527F35E4-0331-4E9D-A91B-0F60BAFFAD19}"/>
    <cellStyle name="Normal 15 10 3 3" xfId="9699" xr:uid="{968EF55A-ABB2-4B9D-BDFF-284784D8EBFF}"/>
    <cellStyle name="Normal 15 10 3 3 2" xfId="13005" xr:uid="{11A4697D-4480-4483-BD4D-291D3576C16B}"/>
    <cellStyle name="Normal 15 10 3 3 3" xfId="48158" xr:uid="{6ED0DCEF-FE47-471E-91DB-FBCC6945C9B6}"/>
    <cellStyle name="Normal 15 10 3 4" xfId="7195" xr:uid="{35945F3B-9BE8-4BB5-AB77-1D19FA93AFCB}"/>
    <cellStyle name="Normal 15 10 3 4 2" xfId="17642" xr:uid="{C5CB60F1-AFD2-48D8-BD2D-68FF1370026D}"/>
    <cellStyle name="Normal 15 10 3 5" xfId="11720" xr:uid="{8DC1FB0B-F6DF-438E-ADD3-7E0535E6DBBC}"/>
    <cellStyle name="Normal 15 10 3 6" xfId="14136" xr:uid="{F53E21E9-4BD3-46D1-A8BA-01A857142F61}"/>
    <cellStyle name="Normal 15 10 4" xfId="6809" xr:uid="{970DCFB7-5814-449E-A203-A3BCEE226C7C}"/>
    <cellStyle name="Normal 15 10 4 2" xfId="9561" xr:uid="{930F5670-BFEF-48F9-B9C6-9E7AF5B242AD}"/>
    <cellStyle name="Normal 15 10 4 2 2" xfId="12867" xr:uid="{1702D94A-79A7-442C-9DE2-6C7A2EDA6BA0}"/>
    <cellStyle name="Normal 15 10 4 2 3" xfId="48023" xr:uid="{3566FFEA-DB01-44CA-8C6A-B24E7CD42243}"/>
    <cellStyle name="Normal 15 10 4 3" xfId="11582" xr:uid="{1FF4348D-8C6D-4532-9B68-A2581DF9B61A}"/>
    <cellStyle name="Normal 15 10 4 3 2" xfId="20550" xr:uid="{37393511-AC0E-4843-8584-4D4210CE1654}"/>
    <cellStyle name="Normal 15 10 4 4" xfId="14490" xr:uid="{446DAC81-30C6-445C-AAF4-A54614973D1A}"/>
    <cellStyle name="Normal 15 10 5" xfId="7563" xr:uid="{27880DAE-8E9D-44DE-8677-61980603979C}"/>
    <cellStyle name="Normal 15 10 5 2" xfId="10055" xr:uid="{6EC5A242-67D6-4EF5-80DB-683B92C90E2C}"/>
    <cellStyle name="Normal 15 10 5 2 2" xfId="13361" xr:uid="{278CBA80-16CE-43E1-B8C9-C6267458C2CE}"/>
    <cellStyle name="Normal 15 10 5 2 3" xfId="48568" xr:uid="{A270D5B2-0699-4614-AF16-8ED003462317}"/>
    <cellStyle name="Normal 15 10 5 3" xfId="12076" xr:uid="{6A83C1C8-814D-4AAE-92AA-241439A53667}"/>
    <cellStyle name="Normal 15 10 5 3 2" xfId="47007" xr:uid="{70DCE5DF-71B3-4097-8883-40242FEF63D6}"/>
    <cellStyle name="Normal 15 10 5 4" xfId="14943" xr:uid="{6C897BF7-1C5C-47BE-9852-C1975259F695}"/>
    <cellStyle name="Normal 15 10 6" xfId="8829" xr:uid="{669066B1-E324-4D8D-ABBA-A3BD5CE32BC2}"/>
    <cellStyle name="Normal 15 10 6 2" xfId="12685" xr:uid="{DBDAA17F-C755-4B87-9AC3-D1147B73B382}"/>
    <cellStyle name="Normal 15 10 6 2 2" xfId="48875" xr:uid="{F1D401A7-91D8-49C7-8EE6-F80BA857EE42}"/>
    <cellStyle name="Normal 15 10 6 3" xfId="47304" xr:uid="{EBBC570F-3378-4C27-BC69-0B9E03994053}"/>
    <cellStyle name="Normal 15 10 7" xfId="8016" xr:uid="{425EA0E6-D6B6-45F4-913E-886D985ED6BD}"/>
    <cellStyle name="Normal 15 10 7 2" xfId="12529" xr:uid="{FFD5F01C-2FAC-4CAD-B5E9-348DFEF9BE50}"/>
    <cellStyle name="Normal 15 10 7 3" xfId="47725" xr:uid="{347E5E91-9E3B-49F8-97E4-B11E5CF90C72}"/>
    <cellStyle name="Normal 15 10 8" xfId="5913" xr:uid="{36FC5702-C9AF-42EF-B00E-2C1099DC5310}"/>
    <cellStyle name="Normal 15 10 8 2" xfId="15839" xr:uid="{18303E29-07A5-4419-A26D-446AC28B02E1}"/>
    <cellStyle name="Normal 15 10 9" xfId="11401" xr:uid="{A95FD84D-54EE-4D0D-8558-C4093B9E367D}"/>
    <cellStyle name="Normal 15 11" xfId="4944" xr:uid="{416F935F-28A4-44EB-9CD3-C05564046221}"/>
    <cellStyle name="Normal 15 11 2" xfId="5774" xr:uid="{10A9BB8A-D95D-4CEF-A4AB-176AD5116B13}"/>
    <cellStyle name="Normal 15 11 2 2" xfId="7876" xr:uid="{C4039117-CB85-4305-BCA8-9885EA249D4C}"/>
    <cellStyle name="Normal 15 11 2 2 2" xfId="10368" xr:uid="{2804CD77-18A1-4B2A-898B-E43209772D14}"/>
    <cellStyle name="Normal 15 11 2 2 2 2" xfId="13674" xr:uid="{42A7D47F-050C-4096-AC6B-A9B5464A3629}"/>
    <cellStyle name="Normal 15 11 2 2 2 3" xfId="49184" xr:uid="{09BF6575-0294-4E00-8EC7-8C22658EDB49}"/>
    <cellStyle name="Normal 15 11 2 2 3" xfId="12389" xr:uid="{8E62F137-0B82-42F7-937C-ABDDB4A9F611}"/>
    <cellStyle name="Normal 15 11 2 2 3 2" xfId="47601" xr:uid="{2C8DB554-5E7B-4A34-9E7B-A37E5429590E}"/>
    <cellStyle name="Normal 15 11 2 2 4" xfId="14803" xr:uid="{B0DDFF17-00FF-405A-846F-926F479A8B6D}"/>
    <cellStyle name="Normal 15 11 2 3" xfId="9874" xr:uid="{F2769EEA-D1FD-476B-832E-47301ED9EC68}"/>
    <cellStyle name="Normal 15 11 2 3 2" xfId="13180" xr:uid="{06B00F4C-0982-46F2-A16A-49CED90A95D3}"/>
    <cellStyle name="Normal 15 11 2 3 3" xfId="48327" xr:uid="{CF52C346-34FF-4534-B61A-A02EFFE22018}"/>
    <cellStyle name="Normal 15 11 2 4" xfId="7372" xr:uid="{011A6F16-8777-4EF5-A24B-AFCADEB74B3F}"/>
    <cellStyle name="Normal 15 11 2 4 2" xfId="21258" xr:uid="{8C2F6B13-023B-458E-BE14-D74DB16FB592}"/>
    <cellStyle name="Normal 15 11 2 5" xfId="11895" xr:uid="{E2AC318A-E3AE-4681-A575-BB9E06688E4F}"/>
    <cellStyle name="Normal 15 11 2 6" xfId="14311" xr:uid="{9F7F2D71-F38C-4D30-84E0-C94A83013545}"/>
    <cellStyle name="Normal 15 11 3" xfId="7562" xr:uid="{9D06C5E1-DB2F-4047-A648-2EAEF4BDF6AB}"/>
    <cellStyle name="Normal 15 11 3 2" xfId="10054" xr:uid="{73AEC26C-241C-4836-9D92-DF875F67BCE0}"/>
    <cellStyle name="Normal 15 11 3 2 2" xfId="13360" xr:uid="{32F028AB-F9BA-4D28-B007-1C18092F4F77}"/>
    <cellStyle name="Normal 15 11 3 2 3" xfId="48022" xr:uid="{D9E4D2B0-29DB-48D0-8844-D371B3B1168B}"/>
    <cellStyle name="Normal 15 11 3 3" xfId="12075" xr:uid="{BD5DD380-859C-4676-A3B8-50C82DDDF8FC}"/>
    <cellStyle name="Normal 15 11 3 3 2" xfId="46286" xr:uid="{8FAD31C0-CC43-4325-A94F-7AB8685ECF54}"/>
    <cellStyle name="Normal 15 11 3 4" xfId="14489" xr:uid="{9751697B-352B-4D6A-B636-94F6F15A8C14}"/>
    <cellStyle name="Normal 15 11 4" xfId="11181" xr:uid="{E9920B52-EB1E-448B-A1FA-074E0F79350F}"/>
    <cellStyle name="Normal 15 11 4 2" xfId="13770" xr:uid="{9DD1AEDF-7591-4540-9D2A-29E4F27936F9}"/>
    <cellStyle name="Normal 15 11 4 2 2" xfId="48567" xr:uid="{14654693-ED53-4C79-8D36-E055E61B97EA}"/>
    <cellStyle name="Normal 15 11 4 3" xfId="47006" xr:uid="{B2356CE4-14D1-4D7E-BB83-516942750827}"/>
    <cellStyle name="Normal 15 11 4 4" xfId="15118" xr:uid="{8CB66203-A512-47AA-885B-2067B9B3B917}"/>
    <cellStyle name="Normal 15 11 5" xfId="9560" xr:uid="{FFFBC035-98A3-4BC7-B19E-1FA70F094D7F}"/>
    <cellStyle name="Normal 15 11 5 2" xfId="12866" xr:uid="{8CEDA1A2-2385-4F2D-A02A-B4506798AF0B}"/>
    <cellStyle name="Normal 15 11 5 2 2" xfId="48874" xr:uid="{8AC9DCA4-B5A7-4C05-B160-06555AB7F5E6}"/>
    <cellStyle name="Normal 15 11 5 3" xfId="47303" xr:uid="{0C13DFBC-2FE0-4A1A-ADD5-256BD0002CE2}"/>
    <cellStyle name="Normal 15 11 6" xfId="6808" xr:uid="{D2A661A2-31C5-4101-BE65-7F83ADA1A776}"/>
    <cellStyle name="Normal 15 11 6 2" xfId="47807" xr:uid="{DD37F807-F65B-412C-B345-7C6FB158D563}"/>
    <cellStyle name="Normal 15 11 7" xfId="11581" xr:uid="{4C86C71E-2DF2-4A5C-B386-7283DA5465B9}"/>
    <cellStyle name="Normal 15 11 7 2" xfId="17641" xr:uid="{ACC4E548-E09A-4BAE-842B-3972A10858B6}"/>
    <cellStyle name="Normal 15 11 8" xfId="13997" xr:uid="{1E9D5E47-EB5F-4DC6-AB03-DA62CE792930}"/>
    <cellStyle name="Normal 15 12" xfId="4112" xr:uid="{80D477F5-710A-45AC-91AA-207A007EE190}"/>
    <cellStyle name="Normal 15 12 2" xfId="5646" xr:uid="{9AD91548-D594-4250-9352-A3EB6906C96F}"/>
    <cellStyle name="Normal 15 12 2 2" xfId="10240" xr:uid="{C0587F26-B7DE-484B-BADE-511A44BB5879}"/>
    <cellStyle name="Normal 15 12 2 2 2" xfId="13546" xr:uid="{320DB51B-ACC8-430E-BA11-8B7CDA474769}"/>
    <cellStyle name="Normal 15 12 2 2 3" xfId="48443" xr:uid="{8279E00F-2A5C-460C-B16A-C2A0580E1ACF}"/>
    <cellStyle name="Normal 15 12 2 3" xfId="7748" xr:uid="{4DE75914-C961-466E-9682-07230ECB67C6}"/>
    <cellStyle name="Normal 15 12 2 3 2" xfId="23400" xr:uid="{2A3DD321-3028-41C5-8262-7BF06CA922F2}"/>
    <cellStyle name="Normal 15 12 2 4" xfId="12261" xr:uid="{5077EF68-1A4A-43E8-B105-2FF0649BFD59}"/>
    <cellStyle name="Normal 15 12 2 5" xfId="14675" xr:uid="{E7F24621-4E37-4A82-8B64-4331215E1893}"/>
    <cellStyle name="Normal 15 12 3" xfId="9746" xr:uid="{C0C7429A-2890-42D9-88BC-B6886FC276E8}"/>
    <cellStyle name="Normal 15 12 3 2" xfId="13052" xr:uid="{6FFB94F6-CE91-4C90-92C8-1C0B0595C051}"/>
    <cellStyle name="Normal 15 12 3 2 2" xfId="49058" xr:uid="{605FBBD6-1585-4F7A-91F1-CAB32B517C78}"/>
    <cellStyle name="Normal 15 12 3 3" xfId="47477" xr:uid="{93ABFDD3-F6E7-4869-A583-EFE51409AC43}"/>
    <cellStyle name="Normal 15 12 3 4" xfId="14990" xr:uid="{37F4336D-5B11-49CB-BDB3-B3AA7AD8BD2F}"/>
    <cellStyle name="Normal 15 12 4" xfId="7242" xr:uid="{57CAEEA7-E9E9-4C07-9114-069644A547C3}"/>
    <cellStyle name="Normal 15 12 4 2" xfId="48203" xr:uid="{F804DA79-1723-45F2-A6BF-8BDD816EF0C9}"/>
    <cellStyle name="Normal 15 12 5" xfId="11767" xr:uid="{0F2309ED-2579-4C97-A688-1B59105F6822}"/>
    <cellStyle name="Normal 15 12 5 2" xfId="19780" xr:uid="{6EBD659A-D151-4CF3-8A20-10D6D3FFBDD5}"/>
    <cellStyle name="Normal 15 12 6" xfId="14183" xr:uid="{7349D1BD-05FD-476C-8D4D-38BE76DD52E2}"/>
    <cellStyle name="Normal 15 13" xfId="5598" xr:uid="{3ADEDBEC-3FEB-4028-9031-1C8EA89CC1A5}"/>
    <cellStyle name="Normal 15 13 2" xfId="7700" xr:uid="{09D57325-3F68-47E6-90EE-D49F582104C3}"/>
    <cellStyle name="Normal 15 13 2 2" xfId="10192" xr:uid="{5AEFF637-AEE6-432E-9650-E99BFBBF99F1}"/>
    <cellStyle name="Normal 15 13 2 2 2" xfId="13498" xr:uid="{B93A0181-979A-4F7C-85B3-318C8EF34A6F}"/>
    <cellStyle name="Normal 15 13 2 2 3" xfId="48655" xr:uid="{1351007F-7B15-472F-910C-552CB5FEEBC4}"/>
    <cellStyle name="Normal 15 13 2 3" xfId="12213" xr:uid="{B7B8D19F-8E6C-4108-9699-E7C61C47A31E}"/>
    <cellStyle name="Normal 15 13 2 3 2" xfId="23431" xr:uid="{8A99E373-0FF3-4610-B366-5DCB89C1818E}"/>
    <cellStyle name="Normal 15 13 2 4" xfId="14627" xr:uid="{E94CCA54-81DA-4260-B77C-C79C5DC755F9}"/>
    <cellStyle name="Normal 15 13 3" xfId="9698" xr:uid="{31AF9E7E-7E14-4340-9FA5-C7F87F6FE0B5}"/>
    <cellStyle name="Normal 15 13 3 2" xfId="13004" xr:uid="{1961D102-6C8F-427B-9589-E2E6111ACD3C}"/>
    <cellStyle name="Normal 15 13 3 2 2" xfId="49012" xr:uid="{32B53CB4-C904-4201-A67D-A0874A74504A}"/>
    <cellStyle name="Normal 15 13 3 3" xfId="47435" xr:uid="{453AF2B5-481D-4CA1-95C9-43A57D5D4788}"/>
    <cellStyle name="Normal 15 13 4" xfId="7194" xr:uid="{6840129F-CB72-4D6C-AE41-BECA3F3C364B}"/>
    <cellStyle name="Normal 15 13 4 2" xfId="48157" xr:uid="{23B2E47E-D5EE-417F-A93F-3EBA0F8192C6}"/>
    <cellStyle name="Normal 15 13 5" xfId="11719" xr:uid="{28453EE5-487A-4FE6-85B5-79D46CA97E4A}"/>
    <cellStyle name="Normal 15 13 5 2" xfId="19819" xr:uid="{D28A5BD0-FA95-48E7-91F2-E43E50FB5234}"/>
    <cellStyle name="Normal 15 13 6" xfId="14135" xr:uid="{A13D58B9-9DD7-46E9-A4F8-6F496FD09EBF}"/>
    <cellStyle name="Normal 15 14" xfId="6178" xr:uid="{E3D3D6BC-8B1B-4D4E-A4EB-ACD81258F45D}"/>
    <cellStyle name="Normal 15 14 2" xfId="9429" xr:uid="{F27ECC8A-96A5-4B0C-9E4C-7E4F85C0A60C}"/>
    <cellStyle name="Normal 15 14 2 2" xfId="12735" xr:uid="{45145FB2-9C7B-41CC-8812-A8CF19D4A856}"/>
    <cellStyle name="Normal 15 14 2 3" xfId="47898" xr:uid="{AF82D5FE-4629-42B1-84F4-900EC374E45B}"/>
    <cellStyle name="Normal 15 14 3" xfId="11450" xr:uid="{09CC0284-8FBC-4427-A690-B693C12952D3}"/>
    <cellStyle name="Normal 15 14 3 2" xfId="29875" xr:uid="{672498FD-568D-4D9C-9946-5B3BB7055C56}"/>
    <cellStyle name="Normal 15 14 4" xfId="14361" xr:uid="{1216F7AD-C78D-41EE-91E0-7437C878F421}"/>
    <cellStyle name="Normal 15 15" xfId="7434" xr:uid="{7DCC461A-69A3-4B49-AE34-DCB57B27C045}"/>
    <cellStyle name="Normal 15 15 2" xfId="9926" xr:uid="{3A5761C6-2A27-4336-AD9D-2EC6666AD489}"/>
    <cellStyle name="Normal 15 15 2 2" xfId="13232" xr:uid="{0BCACFB5-2407-475D-B7A2-5631BA879010}"/>
    <cellStyle name="Normal 15 15 2 3" xfId="48411" xr:uid="{3DE2C326-1A77-4777-8236-743F355D2380}"/>
    <cellStyle name="Normal 15 15 3" xfId="11947" xr:uid="{E57340C4-7744-4237-A674-7FEFD58F802D}"/>
    <cellStyle name="Normal 15 15 3 2" xfId="29876" xr:uid="{98461B77-099A-4DE5-BBB2-90ABC270A88F}"/>
    <cellStyle name="Normal 15 15 4" xfId="14942" xr:uid="{D4FD6A79-29E3-4D35-A494-6D31248631EA}"/>
    <cellStyle name="Normal 15 16" xfId="8828" xr:uid="{82492808-F76C-4204-A19E-8C0F9D89A6C5}"/>
    <cellStyle name="Normal 15 16 2" xfId="12684" xr:uid="{F1EB6617-590A-474D-B376-CC6CEBBF073A}"/>
    <cellStyle name="Normal 15 16 2 2" xfId="48749" xr:uid="{19149E2E-3D78-4C09-A940-7EE2966F37CE}"/>
    <cellStyle name="Normal 15 16 3" xfId="29877" xr:uid="{C34FAE4C-F752-4012-9457-82077B2E5524}"/>
    <cellStyle name="Normal 15 17" xfId="8015" xr:uid="{034562A4-C70F-4CAE-89FA-1533D31A76F4}"/>
    <cellStyle name="Normal 15 17 2" xfId="12528" xr:uid="{59D53B00-3085-4AB4-AF9B-598BCAA656D6}"/>
    <cellStyle name="Normal 15 17 3" xfId="47647" xr:uid="{B5567CC3-FD6C-40D6-B923-48C3435C00DE}"/>
    <cellStyle name="Normal 15 18" xfId="11279" xr:uid="{7083E73B-9A65-4C81-BEFE-7453B3457BA3}"/>
    <cellStyle name="Normal 15 18 2" xfId="13838" xr:uid="{23563C56-7086-45BD-B6FC-E0DCB5761FBB}"/>
    <cellStyle name="Normal 15 19" xfId="5912" xr:uid="{BE25D46A-5444-4625-8CDD-8DEC4292A9AA}"/>
    <cellStyle name="Normal 15 2" xfId="2827" xr:uid="{259B9E68-9B13-43C7-8B57-37B957D19263}"/>
    <cellStyle name="Normal 15 2 10" xfId="29878" xr:uid="{652D2CA5-DF1A-4E9E-8ECB-5B1A73249F12}"/>
    <cellStyle name="Normal 15 2 11" xfId="29879" xr:uid="{4A0B067F-EBF0-4080-BF29-7CEA10D10C74}"/>
    <cellStyle name="Normal 15 2 2" xfId="15353" xr:uid="{D898B7B2-DC94-4443-BD5F-F3F8836803C5}"/>
    <cellStyle name="Normal 15 2 2 2" xfId="17645" xr:uid="{37796FFF-8E72-4E92-8DC0-B994168DB017}"/>
    <cellStyle name="Normal 15 2 2 2 2" xfId="21262" xr:uid="{5A19D8CA-C8D3-4C91-9F7F-388394026911}"/>
    <cellStyle name="Normal 15 2 2 3" xfId="29880" xr:uid="{B9DB0B30-B0A6-4773-9408-8A16C15FC493}"/>
    <cellStyle name="Normal 15 2 2 4" xfId="29881" xr:uid="{D8DCFED9-4B33-4781-8A03-6BB1D1796F16}"/>
    <cellStyle name="Normal 15 2 2 5" xfId="29882" xr:uid="{EBA06FAE-6EEC-4993-A074-0F61A37842B6}"/>
    <cellStyle name="Normal 15 2 2 6" xfId="29883" xr:uid="{8DD09853-FAF2-4D52-AC77-B69D3134FBB9}"/>
    <cellStyle name="Normal 15 2 3" xfId="15840" xr:uid="{D9974186-1A4F-4114-9823-78288C95FCF5}"/>
    <cellStyle name="Normal 15 2 3 2" xfId="16833" xr:uid="{ABFF36D6-81EE-458F-A474-0449C6D0E621}"/>
    <cellStyle name="Normal 15 2 3 2 2" xfId="17647" xr:uid="{534597C0-6A5F-431C-93F3-6108298C4118}"/>
    <cellStyle name="Normal 15 2 3 2 2 2" xfId="21264" xr:uid="{4BD0A346-689B-4AD2-956B-0143B5D48D67}"/>
    <cellStyle name="Normal 15 2 3 2 3" xfId="20835" xr:uid="{8F6DB3A7-344D-4645-BA63-383F1D62DC9C}"/>
    <cellStyle name="Normal 15 2 3 3" xfId="17646" xr:uid="{982042FA-FAF7-43BF-8D05-869D282C5D90}"/>
    <cellStyle name="Normal 15 2 3 3 2" xfId="21263" xr:uid="{DBC6BB09-7F1C-425A-BDED-A74EDBD5D2E4}"/>
    <cellStyle name="Normal 15 2 3 4" xfId="20551" xr:uid="{8B6E3FCD-0904-4CDB-B00D-C247D4AFC173}"/>
    <cellStyle name="Normal 15 2 4" xfId="16697" xr:uid="{BA58F290-79BB-4631-B396-52BA9E77A480}"/>
    <cellStyle name="Normal 15 2 4 2" xfId="17648" xr:uid="{0B3B3F4D-8FBC-4702-989B-FA53EC8510EC}"/>
    <cellStyle name="Normal 15 2 4 2 2" xfId="21265" xr:uid="{CF6A5084-8B0B-4AC9-A1AB-F1AB6E2F75D4}"/>
    <cellStyle name="Normal 15 2 4 3" xfId="29884" xr:uid="{A2D22A6C-32C1-477D-A95F-0E6EFBCD4410}"/>
    <cellStyle name="Normal 15 2 4 4" xfId="29885" xr:uid="{FBF684F6-4381-47F6-A725-CC5FA784013C}"/>
    <cellStyle name="Normal 15 2 4 5" xfId="29886" xr:uid="{3D024D99-FF8C-4788-AF9C-28777DCFFBC9}"/>
    <cellStyle name="Normal 15 2 4 6" xfId="29887" xr:uid="{37EFE36E-14B1-487F-9173-0DBAE429ABC0}"/>
    <cellStyle name="Normal 15 2 5" xfId="16495" xr:uid="{5F33C260-00D8-4E64-BFE3-2CE761C43A9D}"/>
    <cellStyle name="Normal 15 2 5 2" xfId="17649" xr:uid="{B08E39BF-2661-4E4B-AFDB-4EE6BAD1A6B8}"/>
    <cellStyle name="Normal 15 2 5 2 2" xfId="21266" xr:uid="{3F4AE3C5-6EEF-4173-A845-7F808373B60C}"/>
    <cellStyle name="Normal 15 2 5 3" xfId="20661" xr:uid="{8DB51911-D44E-40D3-B133-1DA86F77FBF7}"/>
    <cellStyle name="Normal 15 2 6" xfId="17650" xr:uid="{03ADF22F-6EFF-4609-B120-9181C4758509}"/>
    <cellStyle name="Normal 15 2 6 2" xfId="21267" xr:uid="{8333AF8C-B0DB-40B4-8E2D-2F8E185FFC97}"/>
    <cellStyle name="Normal 15 2 7" xfId="17644" xr:uid="{174E57EC-89A2-421D-9F68-1B7ABA119C77}"/>
    <cellStyle name="Normal 15 2 7 2" xfId="21261" xr:uid="{944B88A0-1499-4C1F-9A47-EE5C83AD9D9E}"/>
    <cellStyle name="Normal 15 2 8" xfId="29888" xr:uid="{41A02D98-062D-4E01-AEA0-74500574221F}"/>
    <cellStyle name="Normal 15 2 9" xfId="29889" xr:uid="{AF6225BF-2191-49D3-8A02-3C0789BBBCDA}"/>
    <cellStyle name="Normal 15 20" xfId="11400" xr:uid="{5EC3B308-58DD-42A6-9201-9CBF01BD90D1}"/>
    <cellStyle name="Normal 15 21" xfId="13868" xr:uid="{428D9E92-14DB-4BEB-A0B3-75EB3D63ED50}"/>
    <cellStyle name="Normal 15 3" xfId="2828" xr:uid="{EC904EFC-FA03-4938-83ED-0F350D71F0B4}"/>
    <cellStyle name="Normal 15 3 10" xfId="29890" xr:uid="{97ACDD13-1646-494A-849D-91FADFFB3399}"/>
    <cellStyle name="Normal 15 3 2" xfId="15354" xr:uid="{D6B6AF4F-8BA1-4B4A-9709-5420CA055135}"/>
    <cellStyle name="Normal 15 3 2 2" xfId="17652" xr:uid="{DF638E01-16A6-4136-B619-BCA332BB3600}"/>
    <cellStyle name="Normal 15 3 2 2 2" xfId="21269" xr:uid="{C63D8D3B-1A1B-43C5-B6EA-4CE4F17E0344}"/>
    <cellStyle name="Normal 15 3 2 3" xfId="29891" xr:uid="{F3B65617-2B88-4282-864D-16217B890452}"/>
    <cellStyle name="Normal 15 3 2 4" xfId="29892" xr:uid="{440C4495-225D-4FBA-93A4-18A6E314464C}"/>
    <cellStyle name="Normal 15 3 2 5" xfId="29893" xr:uid="{463B1CFD-4832-4D93-807F-D80F9FD214BA}"/>
    <cellStyle name="Normal 15 3 2 6" xfId="29894" xr:uid="{8F7D6405-B6F8-4C86-8D77-57A18B06EF4C}"/>
    <cellStyle name="Normal 15 3 3" xfId="15841" xr:uid="{FEAA21C3-24D0-4AA0-9FB8-B964A0270A74}"/>
    <cellStyle name="Normal 15 3 3 2" xfId="16834" xr:uid="{6A1C3ED4-8781-457F-ABA0-0B8A7839DC5D}"/>
    <cellStyle name="Normal 15 3 3 2 2" xfId="17654" xr:uid="{5CF8382C-7C91-4C3B-82C4-A0BF2BAE10B4}"/>
    <cellStyle name="Normal 15 3 3 2 2 2" xfId="21271" xr:uid="{70490532-BA9D-42F2-AD4D-C671483964DB}"/>
    <cellStyle name="Normal 15 3 3 2 3" xfId="20836" xr:uid="{9CB3E7BE-9B8D-47F1-B583-EBAD85B67805}"/>
    <cellStyle name="Normal 15 3 3 3" xfId="17653" xr:uid="{313E31B1-2EE0-49B6-A213-22C8853F0FEC}"/>
    <cellStyle name="Normal 15 3 3 3 2" xfId="21270" xr:uid="{DEA4AF4E-2600-4A17-85A7-D2CA1A44CADF}"/>
    <cellStyle name="Normal 15 3 3 4" xfId="20552" xr:uid="{093C569C-BDE3-4B79-AB6D-5F341737BBB7}"/>
    <cellStyle name="Normal 15 3 4" xfId="16698" xr:uid="{9CB30189-8EAB-4FD9-8038-79DAFA471421}"/>
    <cellStyle name="Normal 15 3 4 2" xfId="17655" xr:uid="{DB0D058F-CD31-45DF-A59C-EDDBB0CE1394}"/>
    <cellStyle name="Normal 15 3 4 2 2" xfId="21272" xr:uid="{B3EF4665-EA5D-449C-9D92-FA06A48B30F9}"/>
    <cellStyle name="Normal 15 3 4 3" xfId="29895" xr:uid="{56A3FE9B-5CE1-4A92-9525-55A18B8B430D}"/>
    <cellStyle name="Normal 15 3 4 4" xfId="29896" xr:uid="{B4054BD2-E56C-470F-85D7-265399781516}"/>
    <cellStyle name="Normal 15 3 4 5" xfId="29897" xr:uid="{49D55796-49E7-4B9B-A6C9-8F5297A272F0}"/>
    <cellStyle name="Normal 15 3 4 6" xfId="29898" xr:uid="{776587A5-9C04-4D61-9550-074FA028D31B}"/>
    <cellStyle name="Normal 15 3 5" xfId="16496" xr:uid="{67439C32-5EDF-401B-A6F3-F188F2F5F302}"/>
    <cellStyle name="Normal 15 3 5 2" xfId="17656" xr:uid="{CDBB5141-6398-437E-BCF2-EE8465BF8936}"/>
    <cellStyle name="Normal 15 3 5 2 2" xfId="21273" xr:uid="{A060380C-BDE1-4C6B-909D-2626705ECE5A}"/>
    <cellStyle name="Normal 15 3 5 3" xfId="20662" xr:uid="{64D49F0E-0FDE-4484-B600-F6DA228E62DA}"/>
    <cellStyle name="Normal 15 3 6" xfId="17651" xr:uid="{965A5F9F-8D39-4117-BAD4-5428A2934965}"/>
    <cellStyle name="Normal 15 3 6 2" xfId="21268" xr:uid="{DCF1F0ED-FC0B-4184-8930-32320B104A93}"/>
    <cellStyle name="Normal 15 3 7" xfId="29899" xr:uid="{8654DDC6-5F4B-4FEE-8BB7-C766B15FFFAA}"/>
    <cellStyle name="Normal 15 3 8" xfId="29900" xr:uid="{5F4A0F94-0E5A-4175-AEED-912B17EEBF33}"/>
    <cellStyle name="Normal 15 3 9" xfId="29901" xr:uid="{466AC2D9-0CC7-42F3-86AD-10028B4CA95D}"/>
    <cellStyle name="Normal 15 4" xfId="2829" xr:uid="{44AA9FAE-0BE3-45F6-89D9-6959D8C1AD77}"/>
    <cellStyle name="Normal 15 4 10" xfId="29902" xr:uid="{35ADBE4C-1926-431B-9C85-E239C66E7C56}"/>
    <cellStyle name="Normal 15 4 2" xfId="15355" xr:uid="{F813CB66-192A-4264-90A4-4093D70E4B59}"/>
    <cellStyle name="Normal 15 4 2 2" xfId="17658" xr:uid="{3701C5EF-80B4-431E-A9DF-306FAFAB9786}"/>
    <cellStyle name="Normal 15 4 2 2 2" xfId="21275" xr:uid="{396E107D-4B6C-4CC5-80D5-ABB18AE8E66F}"/>
    <cellStyle name="Normal 15 4 2 3" xfId="29903" xr:uid="{F9847420-5FA2-4474-A26D-1087A5A60B3F}"/>
    <cellStyle name="Normal 15 4 2 4" xfId="29904" xr:uid="{5265D8C4-C6F8-4F45-A565-B8E09063FC13}"/>
    <cellStyle name="Normal 15 4 2 5" xfId="29905" xr:uid="{7BC32DF2-C24E-4B27-8F53-CD352B46C970}"/>
    <cellStyle name="Normal 15 4 2 6" xfId="29906" xr:uid="{D65E3C36-CC65-4A9B-A7D5-8D83AA949BDB}"/>
    <cellStyle name="Normal 15 4 3" xfId="15842" xr:uid="{0B901D87-BE50-4B74-963B-C70FD0618440}"/>
    <cellStyle name="Normal 15 4 3 2" xfId="16835" xr:uid="{3341BD66-2539-4591-8977-36F67D443E05}"/>
    <cellStyle name="Normal 15 4 3 2 2" xfId="17660" xr:uid="{92ECB4A7-9F11-42C8-AC63-33E5D5AB671B}"/>
    <cellStyle name="Normal 15 4 3 2 2 2" xfId="21277" xr:uid="{1D5D475D-E4ED-4242-B60F-5DCE3ECED37C}"/>
    <cellStyle name="Normal 15 4 3 2 3" xfId="20837" xr:uid="{E086CB4D-E8AA-4BAC-93F6-0FA7F16A0150}"/>
    <cellStyle name="Normal 15 4 3 3" xfId="17659" xr:uid="{85BC3BDC-AE44-4FAC-BF6F-B2213BF8F2AE}"/>
    <cellStyle name="Normal 15 4 3 3 2" xfId="21276" xr:uid="{7F308F9C-CE1D-4C5E-B041-78B594672CBC}"/>
    <cellStyle name="Normal 15 4 3 4" xfId="20553" xr:uid="{DEB61CE2-0521-40CA-8DD6-E6B033085F28}"/>
    <cellStyle name="Normal 15 4 4" xfId="16699" xr:uid="{A470D690-50F3-4AE0-AB70-CF81B47FC9F8}"/>
    <cellStyle name="Normal 15 4 4 2" xfId="17661" xr:uid="{4F858884-52F2-48A6-930A-59AF23E4B548}"/>
    <cellStyle name="Normal 15 4 4 2 2" xfId="21278" xr:uid="{A4C37BC4-3448-47FC-9C79-0B57692DF521}"/>
    <cellStyle name="Normal 15 4 4 3" xfId="29907" xr:uid="{2578F3E3-244B-404E-A77C-86A34DF0096D}"/>
    <cellStyle name="Normal 15 4 4 4" xfId="29908" xr:uid="{E28DFE4E-7AA2-4367-A964-66A48BA7ABD8}"/>
    <cellStyle name="Normal 15 4 4 5" xfId="29909" xr:uid="{BFE0707B-A911-4E49-99ED-A8FC39909BA8}"/>
    <cellStyle name="Normal 15 4 4 6" xfId="29910" xr:uid="{DB2A28E5-F71D-4BD6-8B17-AD5F56E145B2}"/>
    <cellStyle name="Normal 15 4 5" xfId="16497" xr:uid="{E94B102B-A818-4EE1-AF50-70A34D2834E5}"/>
    <cellStyle name="Normal 15 4 5 2" xfId="17662" xr:uid="{BC3CEC93-9D89-4E39-8E31-6E34207AF0BB}"/>
    <cellStyle name="Normal 15 4 5 2 2" xfId="21279" xr:uid="{70C2ADE2-5282-4EF9-9A78-73DC40DE3444}"/>
    <cellStyle name="Normal 15 4 5 3" xfId="20663" xr:uid="{18AB954E-D609-4FF9-8CAB-237107CBFB5B}"/>
    <cellStyle name="Normal 15 4 6" xfId="17657" xr:uid="{CC7C067B-47F3-4167-8E51-35CD00338772}"/>
    <cellStyle name="Normal 15 4 6 2" xfId="21274" xr:uid="{1BBFFE8F-0215-401F-8182-DFB1A61CDED0}"/>
    <cellStyle name="Normal 15 4 7" xfId="29911" xr:uid="{A62B5EBC-02EE-4BFE-A12B-A6486ABE9A21}"/>
    <cellStyle name="Normal 15 4 8" xfId="29912" xr:uid="{FF606067-763A-419B-89CD-74AE092BDBC1}"/>
    <cellStyle name="Normal 15 4 9" xfId="29913" xr:uid="{D2E0A0F9-87E2-4B96-90F6-8333D90FB695}"/>
    <cellStyle name="Normal 15 5" xfId="2830" xr:uid="{E05DAB81-314B-4358-AD16-82DA8E5AF16E}"/>
    <cellStyle name="Normal 15 5 10" xfId="29914" xr:uid="{EA58D9CF-3708-44B4-8E70-CE0C43AC5C31}"/>
    <cellStyle name="Normal 15 5 2" xfId="15356" xr:uid="{BB13AF07-6488-4D8E-9BF4-7E9451DE7CA7}"/>
    <cellStyle name="Normal 15 5 2 2" xfId="17664" xr:uid="{30E0D9E4-7AA3-48E2-8A21-BC0440AD55EC}"/>
    <cellStyle name="Normal 15 5 2 2 2" xfId="21281" xr:uid="{30C9ED82-2E17-4C69-8C58-441DB0D9F3E0}"/>
    <cellStyle name="Normal 15 5 2 3" xfId="29915" xr:uid="{DFEDFD8C-C005-4F59-AD54-9B4CBFD8AEA1}"/>
    <cellStyle name="Normal 15 5 2 4" xfId="29916" xr:uid="{B743D1B6-EC92-4F05-99F3-2DB20CF5B250}"/>
    <cellStyle name="Normal 15 5 2 5" xfId="29917" xr:uid="{7E8E9D25-1B3A-4CF7-BCF0-055865CA97A9}"/>
    <cellStyle name="Normal 15 5 2 6" xfId="29918" xr:uid="{38D0C8E2-03AB-4AAD-B32D-BD5B93B630B7}"/>
    <cellStyle name="Normal 15 5 3" xfId="15843" xr:uid="{A5E3770C-BD7A-448C-9720-A9995B9A04AE}"/>
    <cellStyle name="Normal 15 5 3 2" xfId="16836" xr:uid="{F688C5F6-2FF2-4F42-8B46-9CE5937FF1EE}"/>
    <cellStyle name="Normal 15 5 3 2 2" xfId="17666" xr:uid="{8A2BDCC5-AB05-4D7A-87F7-6ADBBA052686}"/>
    <cellStyle name="Normal 15 5 3 2 2 2" xfId="21283" xr:uid="{F8359F7B-AA5C-451E-B652-1FCCD5A0B357}"/>
    <cellStyle name="Normal 15 5 3 2 3" xfId="20838" xr:uid="{DE8F9AE0-450C-4C3B-A813-CE3846D3F913}"/>
    <cellStyle name="Normal 15 5 3 3" xfId="17665" xr:uid="{6C215306-4C00-4130-A817-734431C4446E}"/>
    <cellStyle name="Normal 15 5 3 3 2" xfId="21282" xr:uid="{E73121FA-4509-40D7-B15B-C8FB183D8F18}"/>
    <cellStyle name="Normal 15 5 3 4" xfId="20554" xr:uid="{B39C2EE0-8954-423F-B328-2B9228C402C1}"/>
    <cellStyle name="Normal 15 5 4" xfId="16700" xr:uid="{2AB12781-9E0A-4C83-80DA-EC922A2BF322}"/>
    <cellStyle name="Normal 15 5 4 2" xfId="17667" xr:uid="{43061B8A-7CCA-43C7-93A1-98375F198AAD}"/>
    <cellStyle name="Normal 15 5 4 2 2" xfId="21284" xr:uid="{70E14240-9C8E-4F92-9999-3F5600BC350E}"/>
    <cellStyle name="Normal 15 5 4 3" xfId="29919" xr:uid="{7C7BE574-ECE4-4682-B2A0-C07F15AA511F}"/>
    <cellStyle name="Normal 15 5 4 4" xfId="29920" xr:uid="{F87D919A-29E7-42B9-95BE-A2157FE43ECA}"/>
    <cellStyle name="Normal 15 5 4 5" xfId="29921" xr:uid="{5C6F4107-138A-4769-951B-231FB716E387}"/>
    <cellStyle name="Normal 15 5 4 6" xfId="29922" xr:uid="{35F0343A-CF1C-485A-B1CA-B0F4875786A6}"/>
    <cellStyle name="Normal 15 5 5" xfId="16498" xr:uid="{C24A5C19-0D20-41ED-8EAB-54C3E822E6D1}"/>
    <cellStyle name="Normal 15 5 5 2" xfId="17668" xr:uid="{71668B88-8666-42F7-AD39-69EDB0C6CCDE}"/>
    <cellStyle name="Normal 15 5 5 2 2" xfId="21285" xr:uid="{514B5384-32D5-4DBA-AE05-EB84A0087912}"/>
    <cellStyle name="Normal 15 5 5 3" xfId="20664" xr:uid="{256EF53E-D2A2-4124-B21A-36CDE98FA885}"/>
    <cellStyle name="Normal 15 5 6" xfId="17663" xr:uid="{53B2F1C8-8DE3-43D0-B496-DDDBBEAC8532}"/>
    <cellStyle name="Normal 15 5 6 2" xfId="21280" xr:uid="{ED658F9B-87A4-4A20-ADCD-31AD394F016C}"/>
    <cellStyle name="Normal 15 5 7" xfId="29923" xr:uid="{D7B92D43-FE93-42BF-ACEC-6DF16523BFDD}"/>
    <cellStyle name="Normal 15 5 8" xfId="29924" xr:uid="{671F6DA8-BCFA-4255-B7C8-AF10733C746A}"/>
    <cellStyle name="Normal 15 5 9" xfId="29925" xr:uid="{92D1F2AF-93BF-4312-BEA9-81A809B6CB15}"/>
    <cellStyle name="Normal 15 6" xfId="2831" xr:uid="{09F5191D-6312-48E8-8A6B-2F06F9FCECDE}"/>
    <cellStyle name="Normal 15 6 10" xfId="29926" xr:uid="{AF6A1A73-FCC9-44AB-AFCB-787331DD57A4}"/>
    <cellStyle name="Normal 15 6 2" xfId="15357" xr:uid="{E8437A79-2E5F-40AA-AA40-7E833293101D}"/>
    <cellStyle name="Normal 15 6 2 2" xfId="17670" xr:uid="{AC11F208-E0FA-466B-83FC-AB82D847A4A4}"/>
    <cellStyle name="Normal 15 6 2 2 2" xfId="21287" xr:uid="{547448A3-C97C-4C34-823F-DA61C2D4B856}"/>
    <cellStyle name="Normal 15 6 2 3" xfId="29927" xr:uid="{4B3920C2-4806-4B6E-BB56-C3BCF37B6C5F}"/>
    <cellStyle name="Normal 15 6 2 4" xfId="29928" xr:uid="{034504AA-56C5-495B-91CA-3653F34493E7}"/>
    <cellStyle name="Normal 15 6 2 5" xfId="29929" xr:uid="{E68D60CC-C354-4DEA-AA33-8450EC3A994E}"/>
    <cellStyle name="Normal 15 6 2 6" xfId="29930" xr:uid="{EFF8A66C-4303-4369-977F-800EB15D920D}"/>
    <cellStyle name="Normal 15 6 3" xfId="15844" xr:uid="{510DBA15-D4E4-42A2-997A-EE1A37F72BF7}"/>
    <cellStyle name="Normal 15 6 3 2" xfId="16837" xr:uid="{71358570-9CE6-4D6D-A554-CF11B2DE2886}"/>
    <cellStyle name="Normal 15 6 3 2 2" xfId="17672" xr:uid="{DA4DAC12-A8AD-4BCF-A6D8-C4D141FBFCC5}"/>
    <cellStyle name="Normal 15 6 3 2 2 2" xfId="21289" xr:uid="{825D8264-51E5-4E1A-B2C4-16F11F849B4A}"/>
    <cellStyle name="Normal 15 6 3 2 3" xfId="20839" xr:uid="{F0B98307-215A-45F9-A50C-36460F9E2572}"/>
    <cellStyle name="Normal 15 6 3 3" xfId="17671" xr:uid="{AA951E43-62EF-4FB7-BE0A-483ABB022BC9}"/>
    <cellStyle name="Normal 15 6 3 3 2" xfId="21288" xr:uid="{99C89C26-22D0-438A-A729-C640BD335D60}"/>
    <cellStyle name="Normal 15 6 3 4" xfId="20555" xr:uid="{5D691956-478C-464F-AC30-3D82208004EF}"/>
    <cellStyle name="Normal 15 6 4" xfId="16701" xr:uid="{3CB4037F-7AFB-4114-A43A-67B28E57B931}"/>
    <cellStyle name="Normal 15 6 4 2" xfId="17673" xr:uid="{9BBB0DB4-A220-4F3D-A4C1-FC5C18065263}"/>
    <cellStyle name="Normal 15 6 4 2 2" xfId="21290" xr:uid="{898428C1-1808-4E73-AD0A-3ECECA1452B8}"/>
    <cellStyle name="Normal 15 6 4 3" xfId="29931" xr:uid="{95F72672-C788-492C-8A4D-D6372228F8BB}"/>
    <cellStyle name="Normal 15 6 4 4" xfId="29932" xr:uid="{D31E6B22-62FA-4C8E-B7E6-1904A1E6EA6E}"/>
    <cellStyle name="Normal 15 6 4 5" xfId="29933" xr:uid="{02D5ECB7-A93E-4685-AF05-9577DE497605}"/>
    <cellStyle name="Normal 15 6 4 6" xfId="29934" xr:uid="{53DA91BA-23AE-4665-9FA0-84CE40CF50CA}"/>
    <cellStyle name="Normal 15 6 5" xfId="16499" xr:uid="{E932560B-D4D6-4FA7-8BD0-74AB808E7C0E}"/>
    <cellStyle name="Normal 15 6 5 2" xfId="17674" xr:uid="{C49E3211-1592-4A27-ABEF-8A907DA88B5D}"/>
    <cellStyle name="Normal 15 6 5 2 2" xfId="21291" xr:uid="{DE50ECC5-CC10-4797-B1DD-FDA6923F3567}"/>
    <cellStyle name="Normal 15 6 5 3" xfId="20665" xr:uid="{CCF81A7B-DF75-49C0-96EC-C8B83AF073C5}"/>
    <cellStyle name="Normal 15 6 6" xfId="17669" xr:uid="{A25FAEBA-9B55-433E-B588-E429EDC7A3BE}"/>
    <cellStyle name="Normal 15 6 6 2" xfId="21286" xr:uid="{2F898BED-77CA-4DB8-924C-305812276793}"/>
    <cellStyle name="Normal 15 6 7" xfId="29935" xr:uid="{53D07EB3-84AF-4AB6-A72A-39E5D9DA77F3}"/>
    <cellStyle name="Normal 15 6 8" xfId="29936" xr:uid="{5C64645A-0CE8-4FE6-B1D2-94E323F8EF8E}"/>
    <cellStyle name="Normal 15 6 9" xfId="29937" xr:uid="{9F9E8C47-CF12-47A0-A90A-3DFD7B424ED2}"/>
    <cellStyle name="Normal 15 7" xfId="2832" xr:uid="{BFFCDF15-86F0-440B-8AAE-DFA355C39DAB}"/>
    <cellStyle name="Normal 15 7 2" xfId="4946" xr:uid="{D0D5D797-E3CB-4E35-9B18-9DB0D7CD6D26}"/>
    <cellStyle name="Normal 15 7 2 2" xfId="17676" xr:uid="{7E194887-274A-4E88-A568-6A03D302AE6C}"/>
    <cellStyle name="Normal 15 7 2 2 2" xfId="21293" xr:uid="{EFFE8719-7918-4084-88A4-E44FCA307AF7}"/>
    <cellStyle name="Normal 15 7 2 3" xfId="29938" xr:uid="{DC4A209D-E4F8-4B6A-9DA0-8B38ED09641C}"/>
    <cellStyle name="Normal 15 7 2 4" xfId="29939" xr:uid="{53D654B0-8E06-43F7-A0FA-1A1EE8035B49}"/>
    <cellStyle name="Normal 15 7 2 5" xfId="29940" xr:uid="{175F06F1-03FD-4695-BF5B-A2B9206135F6}"/>
    <cellStyle name="Normal 15 7 2 6" xfId="29941" xr:uid="{D9E5DBD1-BFC9-4EBB-B3D9-7E12EA03BC48}"/>
    <cellStyle name="Normal 15 7 3" xfId="6810" xr:uid="{83976C1B-6CB3-47D4-BC2C-FB9B6D7AA632}"/>
    <cellStyle name="Normal 15 7 3 2" xfId="21292" xr:uid="{4B1DC0C8-111D-44FC-82DE-4A87FD0600A4}"/>
    <cellStyle name="Normal 15 7 3 3" xfId="46287" xr:uid="{A13A9B21-932D-4A44-B8AA-03991B269AD5}"/>
    <cellStyle name="Normal 15 7 3 4" xfId="17675" xr:uid="{02D0FAE2-6E41-4B02-8421-4729C1EE83AA}"/>
    <cellStyle name="Normal 15 7 4" xfId="8830" xr:uid="{3A7B9A23-5C58-4730-8D6F-C2FAF48EFA88}"/>
    <cellStyle name="Normal 15 7 4 2" xfId="29942" xr:uid="{35B028CC-CBB4-4C7F-BFE5-7308FE9E41FC}"/>
    <cellStyle name="Normal 15 7 5" xfId="29943" xr:uid="{2CF842D8-730F-43CB-83D2-994D5CDE66EF}"/>
    <cellStyle name="Normal 15 7 6" xfId="29944" xr:uid="{44E33BB4-ED88-41A6-8872-6A0B7E9A9C13}"/>
    <cellStyle name="Normal 15 7 7" xfId="29945" xr:uid="{187D5EA1-BD9E-481C-8C60-E802002295FA}"/>
    <cellStyle name="Normal 15 8" xfId="2833" xr:uid="{66D2EDD1-0467-43A8-A06B-26D9048DC83D}"/>
    <cellStyle name="Normal 15 8 2" xfId="4947" xr:uid="{E79C4E00-B01A-4170-B654-B07EE649C960}"/>
    <cellStyle name="Normal 15 8 2 2" xfId="17678" xr:uid="{76CC4997-4AFF-4D3B-A85C-C58EFC9C69F3}"/>
    <cellStyle name="Normal 15 8 2 2 2" xfId="21295" xr:uid="{739FE2F5-EEE9-4EF9-9A07-B15FF8A3675D}"/>
    <cellStyle name="Normal 15 8 2 3" xfId="29946" xr:uid="{5D9AA62E-5BFE-4E9D-AF68-50542A7B0D5B}"/>
    <cellStyle name="Normal 15 8 2 4" xfId="29947" xr:uid="{037F38EF-25FF-4CAD-8E54-1D115901D7CE}"/>
    <cellStyle name="Normal 15 8 2 5" xfId="29948" xr:uid="{22215249-A957-4432-8B22-22E4F00B4114}"/>
    <cellStyle name="Normal 15 8 2 6" xfId="29949" xr:uid="{B537ED1D-42BC-4094-B5BE-D91C7CF7E6DB}"/>
    <cellStyle name="Normal 15 8 3" xfId="6811" xr:uid="{9F6CD3FF-6001-4992-8194-80EFE82E7E5B}"/>
    <cellStyle name="Normal 15 8 3 2" xfId="21294" xr:uid="{230C0F1F-D5DE-4A6A-98AF-0AED786D450D}"/>
    <cellStyle name="Normal 15 8 3 3" xfId="46288" xr:uid="{ABAA55B7-037C-4D10-A3AB-BA8F7B4DA5B4}"/>
    <cellStyle name="Normal 15 8 3 4" xfId="17677" xr:uid="{F2465D84-8303-470A-9D73-1AC860DD6184}"/>
    <cellStyle name="Normal 15 8 4" xfId="8831" xr:uid="{7340B127-6D1F-4EEA-863C-BB2D0D9B42A7}"/>
    <cellStyle name="Normal 15 8 4 2" xfId="29950" xr:uid="{AA0DF862-2106-41D6-AA92-3C2CE8D4ED9B}"/>
    <cellStyle name="Normal 15 8 5" xfId="29951" xr:uid="{712BD0F0-E682-4198-94AF-55FD51476B1F}"/>
    <cellStyle name="Normal 15 8 6" xfId="29952" xr:uid="{269A8950-5879-4B19-9113-2F768EF24444}"/>
    <cellStyle name="Normal 15 8 7" xfId="29953" xr:uid="{9A2AC597-229C-4325-AAD9-F20715A1AAF7}"/>
    <cellStyle name="Normal 15 9" xfId="2834" xr:uid="{A0F778E6-A744-4EB5-B69A-4BBD5219F1B1}"/>
    <cellStyle name="Normal 15 9 2" xfId="17679" xr:uid="{833EA308-0864-41F9-9ECE-0CE083C0CB50}"/>
    <cellStyle name="Normal 15 9 2 2" xfId="21296" xr:uid="{4D9B3799-1AC9-49FF-9269-46BA734114B6}"/>
    <cellStyle name="Normal 15 9 3" xfId="29954" xr:uid="{67976F64-5E4D-4424-8B23-CEE4486C0692}"/>
    <cellStyle name="Normal 15 9 4" xfId="29955" xr:uid="{23D9031A-3778-4B3B-B11A-C7795A584FB8}"/>
    <cellStyle name="Normal 15 9 5" xfId="29956" xr:uid="{5545E17B-F5E1-491A-8ECF-8A1B2C035ECB}"/>
    <cellStyle name="Normal 15 9 6" xfId="29957" xr:uid="{2A13BBC7-08BB-4D81-927C-D042C04019EF}"/>
    <cellStyle name="Normal 15_ELC" xfId="2835" xr:uid="{3CCA6AAE-DC39-4B24-AF40-A97CFFCE573D}"/>
    <cellStyle name="Normal 16" xfId="2836" xr:uid="{F03662C2-DBF5-48BA-8AA1-63900D5D3B42}"/>
    <cellStyle name="Normal 16 10" xfId="16702" xr:uid="{140DB8B7-389D-498F-B6FA-BA2147B604E0}"/>
    <cellStyle name="Normal 16 10 2" xfId="17681" xr:uid="{F5624B0D-DCF5-4A48-BDF4-F8A017E4B6B7}"/>
    <cellStyle name="Normal 16 10 2 2" xfId="21298" xr:uid="{02E0E6B8-E8F4-4248-BA7A-CD5AE8E4A173}"/>
    <cellStyle name="Normal 16 10 3" xfId="29958" xr:uid="{A0ADE846-F683-440A-81AE-5F05D63A532B}"/>
    <cellStyle name="Normal 16 10 4" xfId="29959" xr:uid="{11A56AF1-898F-4036-AFEA-DC503EED5EF1}"/>
    <cellStyle name="Normal 16 10 5" xfId="29960" xr:uid="{02F2A164-D86B-4EF0-B03B-BA465D0E2BC9}"/>
    <cellStyle name="Normal 16 10 6" xfId="29961" xr:uid="{23FB4019-97F6-416D-88CA-6D0AC6F7331C}"/>
    <cellStyle name="Normal 16 11" xfId="17682" xr:uid="{0A3FAC57-E433-4D3C-B638-FC556BCA037B}"/>
    <cellStyle name="Normal 16 11 2" xfId="21299" xr:uid="{565927C6-EF96-4CEA-88B0-D4F759DC9F3F}"/>
    <cellStyle name="Normal 16 12" xfId="17680" xr:uid="{D844EF84-6F50-422A-BE17-477C74C37CBF}"/>
    <cellStyle name="Normal 16 12 2" xfId="21297" xr:uid="{7F809736-B1A6-47BB-89F1-4016695C8D21}"/>
    <cellStyle name="Normal 16 13" xfId="29962" xr:uid="{0AC3CDD0-D1C0-49C4-80E4-F8A3D46C30A5}"/>
    <cellStyle name="Normal 16 14" xfId="29963" xr:uid="{FD0A4398-7DE6-4160-98F5-1481FAE481CB}"/>
    <cellStyle name="Normal 16 15" xfId="29964" xr:uid="{5CC0BAE1-F859-44F7-B0CE-DF8AC319F32D}"/>
    <cellStyle name="Normal 16 16" xfId="29965" xr:uid="{22295FDD-2CB8-4336-AEC9-0C95E73CABF9}"/>
    <cellStyle name="Normal 16 17" xfId="29966" xr:uid="{7143E995-86B9-4FDA-A4C4-68768FCCE160}"/>
    <cellStyle name="Normal 16 18" xfId="15250" xr:uid="{A66808E1-C7AD-4E16-9745-A46A5A276931}"/>
    <cellStyle name="Normal 16 2" xfId="2837" xr:uid="{3810266D-4920-4E9F-9F6C-04620561CF22}"/>
    <cellStyle name="Normal 16 2 2" xfId="2838" xr:uid="{31A88FFC-0B1D-451D-8894-3974653EBCBC}"/>
    <cellStyle name="Normal 16 2 2 2" xfId="4950" xr:uid="{0514EC87-ADEC-4E0E-B494-07C2250202B7}"/>
    <cellStyle name="Normal 16 2 2 2 2" xfId="17685" xr:uid="{AFA006FF-C442-4E92-9622-63AFD7D836FD}"/>
    <cellStyle name="Normal 16 2 2 2 2 2" xfId="21302" xr:uid="{5E9DEF58-85FA-4227-A734-207DE5268DC7}"/>
    <cellStyle name="Normal 16 2 2 2 3" xfId="29967" xr:uid="{C774A990-46E7-4EEC-8104-36C3788DFDC6}"/>
    <cellStyle name="Normal 16 2 2 2 4" xfId="29968" xr:uid="{F440C244-1F57-4CF1-BE62-4C85BF9A7649}"/>
    <cellStyle name="Normal 16 2 2 2 5" xfId="29969" xr:uid="{42BA89C4-6517-41D7-892A-FA14658312D9}"/>
    <cellStyle name="Normal 16 2 2 2 6" xfId="29970" xr:uid="{5E6D79A4-64B9-41CD-9AD6-8E900D7A1320}"/>
    <cellStyle name="Normal 16 2 2 3" xfId="6812" xr:uid="{5E2FCE86-B7AA-4BBB-A434-7944314AFF2A}"/>
    <cellStyle name="Normal 16 2 2 3 2" xfId="21301" xr:uid="{9D53AEA2-E563-44C2-B81E-2921B984E6D4}"/>
    <cellStyle name="Normal 16 2 2 3 3" xfId="46289" xr:uid="{D5CE87AD-FC28-435A-97F8-E7D9426A4FE1}"/>
    <cellStyle name="Normal 16 2 2 3 4" xfId="17684" xr:uid="{3E34D734-854E-4345-955E-ED0D4B15975B}"/>
    <cellStyle name="Normal 16 2 2 4" xfId="8834" xr:uid="{84BB547A-5E97-45A9-8B18-9CFE0002C3AF}"/>
    <cellStyle name="Normal 16 2 2 4 2" xfId="29971" xr:uid="{306DEC71-A069-4C07-A07C-10C2035B34EF}"/>
    <cellStyle name="Normal 16 2 2 5" xfId="29972" xr:uid="{7E01EA0C-1A96-46FF-800A-64588E1C56E9}"/>
    <cellStyle name="Normal 16 2 2 6" xfId="29973" xr:uid="{E949FE55-7DB5-4135-B98D-FF2DEF33753E}"/>
    <cellStyle name="Normal 16 2 2 7" xfId="29974" xr:uid="{E8BB0CCB-E5A5-488F-B4D9-0A2D8B2C9F4E}"/>
    <cellStyle name="Normal 16 2 3" xfId="4949" xr:uid="{A7450AE6-7428-43AD-8C7F-5034065E9BA8}"/>
    <cellStyle name="Normal 16 2 3 2" xfId="17686" xr:uid="{4E9DE5DC-372E-4647-AEFA-75B299FC1FE2}"/>
    <cellStyle name="Normal 16 2 3 2 2" xfId="21303" xr:uid="{AFED2320-FA15-4C09-BEF4-F67BFD9D1519}"/>
    <cellStyle name="Normal 16 2 3 3" xfId="29975" xr:uid="{28080E8F-0702-422F-8502-3A72DAB22F14}"/>
    <cellStyle name="Normal 16 2 3 4" xfId="29976" xr:uid="{BB05E84A-E481-48BB-87E1-0B1E0E76F00C}"/>
    <cellStyle name="Normal 16 2 3 5" xfId="29977" xr:uid="{CB553C8C-DB7F-4B40-A25C-990B0704279F}"/>
    <cellStyle name="Normal 16 2 3 6" xfId="29978" xr:uid="{00FF436D-C59B-40B9-BD1B-6336B4914E47}"/>
    <cellStyle name="Normal 16 2 4" xfId="4114" xr:uid="{95D33E25-B1AB-4E40-8B8C-DF865FABCFD4}"/>
    <cellStyle name="Normal 16 2 4 2" xfId="21300" xr:uid="{B878D61D-55FD-495B-9770-AC11119C42C2}"/>
    <cellStyle name="Normal 16 2 4 3" xfId="43954" xr:uid="{2B82100F-B932-4B89-9BA1-89D073763109}"/>
    <cellStyle name="Normal 16 2 4 4" xfId="17683" xr:uid="{F924AD24-13FF-443F-A032-8EFF97063BF5}"/>
    <cellStyle name="Normal 16 2 5" xfId="6180" xr:uid="{442C1F0F-A924-488D-B58C-EC98844E9D32}"/>
    <cellStyle name="Normal 16 2 5 2" xfId="45859" xr:uid="{BF68285E-9D44-4A26-A4D9-3F095D59CD8B}"/>
    <cellStyle name="Normal 16 2 5 3" xfId="29979" xr:uid="{4F3C63B5-1F44-4AF2-AAD6-2DCE77A4FC4D}"/>
    <cellStyle name="Normal 16 2 6" xfId="8833" xr:uid="{1FA76377-B36E-40D4-8D03-0E8A855D6AC3}"/>
    <cellStyle name="Normal 16 2 6 2" xfId="29980" xr:uid="{19D8AB60-D472-40B3-846B-3B15F23A18A2}"/>
    <cellStyle name="Normal 16 2 7" xfId="29981" xr:uid="{F2268B37-52B8-4277-820B-AAC3C1C1BC1E}"/>
    <cellStyle name="Normal 16 2 8" xfId="29982" xr:uid="{2611CEE1-CED5-45EC-9E2D-1C1D9C702575}"/>
    <cellStyle name="Normal 16 2 9" xfId="29983" xr:uid="{07A22368-8B37-4A93-A7B6-4C8DD660FAD7}"/>
    <cellStyle name="Normal 16 2_ELC" xfId="2839" xr:uid="{545827DA-93D7-4F0E-83E3-DE7D036B38B2}"/>
    <cellStyle name="Normal 16 3" xfId="2840" xr:uid="{49E8DCB2-D1E7-47CA-BE19-1E7C5DB4380F}"/>
    <cellStyle name="Normal 16 3 2" xfId="4951" xr:uid="{2FB2394F-503E-4386-BB9A-4E103A7D0EC5}"/>
    <cellStyle name="Normal 16 3 2 2" xfId="17688" xr:uid="{0B64BD42-720D-4140-9648-9D199A7631C7}"/>
    <cellStyle name="Normal 16 3 2 2 2" xfId="21305" xr:uid="{45F16058-2F7F-4E02-AA06-B344C54DEB22}"/>
    <cellStyle name="Normal 16 3 2 3" xfId="29984" xr:uid="{01FF8349-2A7C-4CA3-82B3-48EA0F992747}"/>
    <cellStyle name="Normal 16 3 2 4" xfId="29985" xr:uid="{2CB93976-A2FD-4709-BDD4-F0023FB798B2}"/>
    <cellStyle name="Normal 16 3 2 5" xfId="29986" xr:uid="{D366C5C1-1B4F-485B-A134-57A90DC37FFB}"/>
    <cellStyle name="Normal 16 3 2 6" xfId="29987" xr:uid="{BE61F0C3-06FA-4CB3-95A7-1464C4138019}"/>
    <cellStyle name="Normal 16 3 3" xfId="6813" xr:uid="{9B333365-2668-41AD-BE1B-8A0DBCB7FA46}"/>
    <cellStyle name="Normal 16 3 3 2" xfId="21304" xr:uid="{84BA01CD-167A-4FFC-892B-CFBFE4DA9036}"/>
    <cellStyle name="Normal 16 3 3 3" xfId="46290" xr:uid="{816C0B76-EE15-4685-B45B-78A6644E00DB}"/>
    <cellStyle name="Normal 16 3 3 4" xfId="17687" xr:uid="{4594F197-2CBA-496C-8C4C-B6D371323F37}"/>
    <cellStyle name="Normal 16 3 4" xfId="8835" xr:uid="{0EAAE25A-14D0-470E-B816-F50A4E7CB30B}"/>
    <cellStyle name="Normal 16 3 4 2" xfId="29988" xr:uid="{DC16DEC6-EAA0-4B7A-B203-CA671A69DE54}"/>
    <cellStyle name="Normal 16 3 5" xfId="29989" xr:uid="{B5C28105-81C7-4AE0-B8F0-EC014E2A6D9F}"/>
    <cellStyle name="Normal 16 3 6" xfId="29990" xr:uid="{A4A73365-CA15-40EC-B53F-1CE0F8B0AFD7}"/>
    <cellStyle name="Normal 16 3 7" xfId="29991" xr:uid="{F3230C9F-DDFE-4565-9A7C-D7992B514F4D}"/>
    <cellStyle name="Normal 16 4" xfId="2841" xr:uid="{F96B8E97-B71A-4703-A57B-DAE6A8B87C9A}"/>
    <cellStyle name="Normal 16 4 2" xfId="15845" xr:uid="{8405341E-6ACC-445F-BF62-0878107511D8}"/>
    <cellStyle name="Normal 16 4 2 2" xfId="17690" xr:uid="{C8E7EC90-0C6C-484B-9F21-BBAF8FBEFF29}"/>
    <cellStyle name="Normal 16 4 2 2 2" xfId="21307" xr:uid="{E69A2B96-1E20-4230-BAB6-EAF59EB802A2}"/>
    <cellStyle name="Normal 16 4 2 3" xfId="29992" xr:uid="{347F7CB3-9D3B-43C3-B504-04B686C9BBEF}"/>
    <cellStyle name="Normal 16 4 2 4" xfId="29993" xr:uid="{CAC1BE44-958D-47CB-88DC-2BBE05E0BD6C}"/>
    <cellStyle name="Normal 16 4 2 5" xfId="29994" xr:uid="{C142E3B3-3330-4DA0-BBD9-232F35342D47}"/>
    <cellStyle name="Normal 16 4 2 6" xfId="29995" xr:uid="{04725916-DDD0-4295-92E6-E862971FD2BE}"/>
    <cellStyle name="Normal 16 4 3" xfId="17689" xr:uid="{4A5FCDDD-3C75-4390-9836-287703C1FDD3}"/>
    <cellStyle name="Normal 16 4 3 2" xfId="21306" xr:uid="{647C4FF1-0474-4B35-88D9-E94C097374BD}"/>
    <cellStyle name="Normal 16 4 4" xfId="29996" xr:uid="{37792EEB-5D8A-47F0-9F30-620A8F9D1F11}"/>
    <cellStyle name="Normal 16 4 5" xfId="29997" xr:uid="{40D6C747-792A-47F3-AC32-4DCA0397838C}"/>
    <cellStyle name="Normal 16 4 6" xfId="29998" xr:uid="{55EB52D3-E7AE-40DE-BDA9-7C3B7B58D8D4}"/>
    <cellStyle name="Normal 16 4 7" xfId="29999" xr:uid="{9F610832-0701-49B2-A34A-E464F0B74107}"/>
    <cellStyle name="Normal 16 5" xfId="4948" xr:uid="{DA286A1F-717B-436E-A484-4093547A46E0}"/>
    <cellStyle name="Normal 16 5 2" xfId="11182" xr:uid="{CDBEFC91-2315-4DB4-AC30-9A67A7471E91}"/>
    <cellStyle name="Normal 16 5 2 2" xfId="17692" xr:uid="{C7205E8B-64AF-4526-8532-1D4AC6E128EF}"/>
    <cellStyle name="Normal 16 5 2 2 2" xfId="21309" xr:uid="{88F4241D-B13D-4B9D-AED3-0246706FC9C4}"/>
    <cellStyle name="Normal 16 5 2 3" xfId="30000" xr:uid="{2C3E6FFE-721D-442D-AF3C-12BC98C11075}"/>
    <cellStyle name="Normal 16 5 2 4" xfId="30001" xr:uid="{887D58DE-CF06-439A-A2BF-1C343C2A901E}"/>
    <cellStyle name="Normal 16 5 2 5" xfId="30002" xr:uid="{E7348D54-6BFA-4383-B16B-E389203AA800}"/>
    <cellStyle name="Normal 16 5 2 6" xfId="30003" xr:uid="{5EB14200-06B3-4007-93CA-F5C2F2C7A039}"/>
    <cellStyle name="Normal 16 5 2 7" xfId="47008" xr:uid="{426E023B-E4BC-483B-8131-538B1D503FD3}"/>
    <cellStyle name="Normal 16 5 2 8" xfId="16342" xr:uid="{843162F4-E8A9-46DB-A557-D02D83B3E687}"/>
    <cellStyle name="Normal 16 5 3" xfId="11091" xr:uid="{31491381-FC72-4ED6-8183-E8FA64938122}"/>
    <cellStyle name="Normal 16 5 3 2" xfId="21308" xr:uid="{1935A84F-5AD7-4052-8F0D-8D51FFB4C685}"/>
    <cellStyle name="Normal 16 5 3 3" xfId="46859" xr:uid="{DEC32EE1-D5C1-4708-BDF6-4CC72A5E4AD1}"/>
    <cellStyle name="Normal 16 5 3 4" xfId="17691" xr:uid="{8E597372-A1E1-45D9-B2F0-FBD76BC4EBC6}"/>
    <cellStyle name="Normal 16 5 4" xfId="30004" xr:uid="{9AC9DAEE-21F1-452B-9494-73AAA2176542}"/>
    <cellStyle name="Normal 16 5 5" xfId="30005" xr:uid="{4B014EF5-0778-4C68-8B61-54E897A7C7C7}"/>
    <cellStyle name="Normal 16 5 6" xfId="30006" xr:uid="{654FAA05-FABE-40CA-B956-90A288BC4548}"/>
    <cellStyle name="Normal 16 5 7" xfId="30007" xr:uid="{CA59F57E-DBDB-4581-B169-A6C597FD2BE2}"/>
    <cellStyle name="Normal 16 6" xfId="4113" xr:uid="{17DD87C3-D1EE-42BB-92FC-846322A7CBB5}"/>
    <cellStyle name="Normal 16 6 2" xfId="11092" xr:uid="{24A38071-268E-4B80-B32D-DF5B40C91438}"/>
    <cellStyle name="Normal 16 6 2 2" xfId="17694" xr:uid="{2C887D57-82B5-427F-B743-9160AE98D02F}"/>
    <cellStyle name="Normal 16 6 2 2 2" xfId="21311" xr:uid="{B101D350-AF43-4F91-A3C7-F5A6E960C250}"/>
    <cellStyle name="Normal 16 6 2 3" xfId="30008" xr:uid="{337BE898-DE0B-466F-B2EE-FA214CA16A21}"/>
    <cellStyle name="Normal 16 6 2 4" xfId="30009" xr:uid="{30A56C20-9392-43FF-81CD-3601854887FB}"/>
    <cellStyle name="Normal 16 6 2 5" xfId="30010" xr:uid="{0C23B5C6-D7F6-4F8A-9691-D40D1DD8FD23}"/>
    <cellStyle name="Normal 16 6 2 6" xfId="30011" xr:uid="{CC112887-F81D-4E44-8953-B71A9301732D}"/>
    <cellStyle name="Normal 16 6 3" xfId="17693" xr:uid="{227387BD-54DC-4F32-A200-71DC0F298194}"/>
    <cellStyle name="Normal 16 6 3 2" xfId="21310" xr:uid="{7870A04D-2AE4-44E7-BFCF-3B332389A2DF}"/>
    <cellStyle name="Normal 16 6 4" xfId="30012" xr:uid="{18532566-71EB-4C8B-A962-8523180A86D9}"/>
    <cellStyle name="Normal 16 6 5" xfId="30013" xr:uid="{AF11B59F-F5A7-4A75-9E2C-EC74CA1FB33B}"/>
    <cellStyle name="Normal 16 6 6" xfId="30014" xr:uid="{FC99EAA1-7807-44D0-9A64-6AD0BBC93A26}"/>
    <cellStyle name="Normal 16 6 7" xfId="30015" xr:uid="{10C5260A-A354-404A-9FB5-F22B5B606869}"/>
    <cellStyle name="Normal 16 7" xfId="6179" xr:uid="{59137710-8E91-4AB1-855C-11EDAFC083B4}"/>
    <cellStyle name="Normal 16 7 2" xfId="11093" xr:uid="{4160510D-4FAE-4B60-AF01-A1CE7FD7A947}"/>
    <cellStyle name="Normal 16 7 2 2" xfId="17696" xr:uid="{7ACADC7C-D395-4141-B54A-7852D60B90BD}"/>
    <cellStyle name="Normal 16 7 2 2 2" xfId="21313" xr:uid="{1A3BB6D0-F8FE-4A1C-8C20-B146F6E00D25}"/>
    <cellStyle name="Normal 16 7 2 3" xfId="30016" xr:uid="{88B7F736-00FC-4DFF-9B37-B7DF3D2D67A4}"/>
    <cellStyle name="Normal 16 7 2 4" xfId="30017" xr:uid="{BFA04559-5888-45B8-A883-D5F44433C29B}"/>
    <cellStyle name="Normal 16 7 2 5" xfId="30018" xr:uid="{4CE07361-89BE-4FC6-8046-AB063FC3A5FE}"/>
    <cellStyle name="Normal 16 7 2 6" xfId="30019" xr:uid="{8EAB1CCA-886B-4678-A4D8-245A9FDFDD4F}"/>
    <cellStyle name="Normal 16 7 3" xfId="17695" xr:uid="{9E2F6321-B2E3-41E3-99E2-5258BB638B43}"/>
    <cellStyle name="Normal 16 7 3 2" xfId="21312" xr:uid="{FD8D16CD-22A9-4656-8AC4-B1D8C8C73A72}"/>
    <cellStyle name="Normal 16 7 4" xfId="30020" xr:uid="{B433E6A2-EB22-44ED-9EBA-5B0F9B342502}"/>
    <cellStyle name="Normal 16 7 5" xfId="30021" xr:uid="{8ECEB916-C7A7-497E-9AD1-BC0C6D0AC34E}"/>
    <cellStyle name="Normal 16 7 6" xfId="30022" xr:uid="{BF2AD38E-696A-4602-8A1D-F1D8EEB1E176}"/>
    <cellStyle name="Normal 16 7 7" xfId="30023" xr:uid="{7E6AD39F-C7C6-4236-A178-EC4BEAE08F31}"/>
    <cellStyle name="Normal 16 8" xfId="8832" xr:uid="{26AB127D-4312-4013-BE1A-62384D3C4D54}"/>
    <cellStyle name="Normal 16 8 2" xfId="17697" xr:uid="{E2D67595-3511-4E3C-9A2C-473DF92BD98C}"/>
    <cellStyle name="Normal 16 8 2 2" xfId="21314" xr:uid="{3D948CA3-C9A4-46E4-AC79-59976B9F029E}"/>
    <cellStyle name="Normal 16 8 3" xfId="30024" xr:uid="{CCB24CD0-01A6-43FF-9A5B-C2B826A6D4B0}"/>
    <cellStyle name="Normal 16 8 4" xfId="30025" xr:uid="{595689BD-CE29-42CF-85C1-5B82250AF959}"/>
    <cellStyle name="Normal 16 8 5" xfId="30026" xr:uid="{63DCBC7C-B1AB-409C-84F1-357343B6F358}"/>
    <cellStyle name="Normal 16 8 6" xfId="30027" xr:uid="{00959D59-751E-4D70-B9C9-85F1780DB653}"/>
    <cellStyle name="Normal 16 9" xfId="15846" xr:uid="{DBF93149-15C7-45EC-B900-5FE38039A8FE}"/>
    <cellStyle name="Normal 16 9 2" xfId="17698" xr:uid="{A4760BC0-D1E8-460F-9CA2-A3E6CF947D02}"/>
    <cellStyle name="Normal 16 9 2 2" xfId="21315" xr:uid="{68A38689-6190-4655-8F32-824FC68FFDBF}"/>
    <cellStyle name="Normal 16 9 3" xfId="30028" xr:uid="{9F27893B-45E3-4375-A29F-78793B70332A}"/>
    <cellStyle name="Normal 16 9 4" xfId="30029" xr:uid="{F029AB28-505D-4741-AAEF-5C667F4AF022}"/>
    <cellStyle name="Normal 16 9 5" xfId="30030" xr:uid="{29A6E81D-CB16-4F90-8CCD-F8D8F5BFDB41}"/>
    <cellStyle name="Normal 16 9 6" xfId="30031" xr:uid="{DBA681A0-C943-4087-8FAC-8CA3B5731C61}"/>
    <cellStyle name="Normal 16_ELC" xfId="15251" xr:uid="{F355F052-75CA-486C-B3E3-24EF41B9AE74}"/>
    <cellStyle name="Normal 17" xfId="2842" xr:uid="{EC31B5E4-25A3-473A-910A-8CE5B965A803}"/>
    <cellStyle name="Normal 17 10" xfId="16703" xr:uid="{3E3D86E0-BB4D-44FE-8C7F-9F0FF3C3F685}"/>
    <cellStyle name="Normal 17 10 2" xfId="17700" xr:uid="{39B12BB0-BB0C-4E01-A92A-EA212183D471}"/>
    <cellStyle name="Normal 17 10 2 2" xfId="21317" xr:uid="{389C2FF6-2A8D-4B0C-A19A-17030DA15A4F}"/>
    <cellStyle name="Normal 17 10 3" xfId="30032" xr:uid="{4139AABD-2F1C-4B36-A3A6-D47F05739CC7}"/>
    <cellStyle name="Normal 17 10 4" xfId="30033" xr:uid="{C62383EF-5C72-408E-BDCE-8A6634C78048}"/>
    <cellStyle name="Normal 17 10 5" xfId="30034" xr:uid="{23511074-D577-4449-9EC2-B673839A6802}"/>
    <cellStyle name="Normal 17 10 6" xfId="30035" xr:uid="{189060C0-C90A-4663-BC99-2B2DA00E457A}"/>
    <cellStyle name="Normal 17 11" xfId="17701" xr:uid="{DAA7A623-79DB-46D1-8BBB-BB80270773FB}"/>
    <cellStyle name="Normal 17 11 2" xfId="21318" xr:uid="{C3C8611F-4175-487C-8E2C-EF9AF836317B}"/>
    <cellStyle name="Normal 17 12" xfId="17699" xr:uid="{C1ACF5CF-7DEC-4689-9F1E-3C3CDF0671A8}"/>
    <cellStyle name="Normal 17 12 2" xfId="21316" xr:uid="{14D8C786-9FF4-4FBF-9C0E-7AD9E50AA1F1}"/>
    <cellStyle name="Normal 17 13" xfId="30036" xr:uid="{3A484201-0DAF-4903-A510-D1E3E0AD8405}"/>
    <cellStyle name="Normal 17 14" xfId="30037" xr:uid="{81E2C5D3-2BAD-4B2B-B1AE-FFEC8A233C32}"/>
    <cellStyle name="Normal 17 15" xfId="30038" xr:uid="{72139B78-A38B-4362-9BA1-5652380637F6}"/>
    <cellStyle name="Normal 17 16" xfId="30039" xr:uid="{82339FBD-7771-495B-BBD6-1C5EE8DF372F}"/>
    <cellStyle name="Normal 17 17" xfId="30040" xr:uid="{549C83DB-9F58-40AC-81E1-4260BDBB9C4A}"/>
    <cellStyle name="Normal 17 18" xfId="15252" xr:uid="{694D1C1D-2066-4259-8532-4B1C1D4DB395}"/>
    <cellStyle name="Normal 17 2" xfId="2843" xr:uid="{347AAC5B-DB85-4636-BCDD-9A27587136E1}"/>
    <cellStyle name="Normal 17 2 2" xfId="2844" xr:uid="{D3B21D59-4327-479A-8878-C04C32391259}"/>
    <cellStyle name="Normal 17 2 2 2" xfId="4954" xr:uid="{56281EDC-D75F-4F66-A8D9-5DC8624E3DD3}"/>
    <cellStyle name="Normal 17 2 2 2 2" xfId="17704" xr:uid="{5DC9A199-12FA-4EF1-8DF5-17CCA1C60FD9}"/>
    <cellStyle name="Normal 17 2 2 2 2 2" xfId="21321" xr:uid="{86D25B22-659F-4412-90EB-4F8FFFFCB153}"/>
    <cellStyle name="Normal 17 2 2 2 3" xfId="30041" xr:uid="{3BF5C25D-EDA9-420C-9218-47983B55EECF}"/>
    <cellStyle name="Normal 17 2 2 2 4" xfId="30042" xr:uid="{89E59140-859C-4349-9B2A-098E8D59C80F}"/>
    <cellStyle name="Normal 17 2 2 2 5" xfId="30043" xr:uid="{34CE7198-D360-4C7D-A663-8B8E93AE7873}"/>
    <cellStyle name="Normal 17 2 2 2 6" xfId="30044" xr:uid="{5A58F9F0-8286-4AF0-AA87-17D9E1B0F66C}"/>
    <cellStyle name="Normal 17 2 2 3" xfId="6814" xr:uid="{2C803C2D-61DE-47F8-A32D-6F7CBB4AAB2C}"/>
    <cellStyle name="Normal 17 2 2 3 2" xfId="21320" xr:uid="{0869801F-AE38-4823-8734-F02D593893A8}"/>
    <cellStyle name="Normal 17 2 2 3 3" xfId="46291" xr:uid="{D4B2929D-6A2A-4C81-9165-9D254C2DEE16}"/>
    <cellStyle name="Normal 17 2 2 3 4" xfId="17703" xr:uid="{0C65674F-4F86-4539-A635-FAF81488D8BC}"/>
    <cellStyle name="Normal 17 2 2 4" xfId="8838" xr:uid="{84B29A9B-A42F-4449-B074-6B16E6768B29}"/>
    <cellStyle name="Normal 17 2 2 4 2" xfId="30045" xr:uid="{213FCD7E-C011-40C8-9F0C-269F6BFCF439}"/>
    <cellStyle name="Normal 17 2 2 5" xfId="30046" xr:uid="{C0628029-0F83-4BC7-BD6D-E53EE9E97257}"/>
    <cellStyle name="Normal 17 2 2 6" xfId="30047" xr:uid="{10CDF4E1-5175-4399-BB52-7F2E3AC579E9}"/>
    <cellStyle name="Normal 17 2 2 7" xfId="30048" xr:uid="{28DFF248-AF8D-42EA-8C54-B6E16CBAC7F3}"/>
    <cellStyle name="Normal 17 2 3" xfId="4953" xr:uid="{3CAEAD76-C565-432E-950A-D16143E496DA}"/>
    <cellStyle name="Normal 17 2 3 2" xfId="17705" xr:uid="{0694C30A-998B-4AB1-BEDC-B2B7F9F7878D}"/>
    <cellStyle name="Normal 17 2 3 2 2" xfId="21322" xr:uid="{CBBA1D80-E688-416C-99E1-30EDEA15D986}"/>
    <cellStyle name="Normal 17 2 3 3" xfId="30049" xr:uid="{74331DA5-0087-499E-8404-6713E272719A}"/>
    <cellStyle name="Normal 17 2 3 4" xfId="30050" xr:uid="{C46E63F8-E930-4440-92CA-81717DB17CBB}"/>
    <cellStyle name="Normal 17 2 3 5" xfId="30051" xr:uid="{6D2D4F5A-6862-4C38-9DF3-7E8E871CA06E}"/>
    <cellStyle name="Normal 17 2 3 6" xfId="30052" xr:uid="{24E212D6-BBDF-43B3-ACB1-3078EFC8D812}"/>
    <cellStyle name="Normal 17 2 4" xfId="4116" xr:uid="{CD5BC476-D8DD-415A-B272-8D091DC39E29}"/>
    <cellStyle name="Normal 17 2 4 2" xfId="21319" xr:uid="{C74E54BF-5408-428B-A359-EB94073C21AD}"/>
    <cellStyle name="Normal 17 2 4 3" xfId="43955" xr:uid="{112401A8-C27B-4343-8DF4-39C528A96F9D}"/>
    <cellStyle name="Normal 17 2 4 4" xfId="17702" xr:uid="{FF0D42AD-9A85-4267-812D-B3D9734958EB}"/>
    <cellStyle name="Normal 17 2 5" xfId="6182" xr:uid="{94BEA6F5-1235-4335-8CE6-05720C765D4D}"/>
    <cellStyle name="Normal 17 2 5 2" xfId="45860" xr:uid="{62E4725B-F1D7-4ACB-9D87-B7E55220C3D5}"/>
    <cellStyle name="Normal 17 2 5 3" xfId="30053" xr:uid="{BAD68FAA-8E5D-4CC1-B768-8BF6DE356724}"/>
    <cellStyle name="Normal 17 2 6" xfId="8837" xr:uid="{847B83DB-4FF3-42A8-90EF-25DA326B6B16}"/>
    <cellStyle name="Normal 17 2 6 2" xfId="30054" xr:uid="{BB1601DF-EAA7-4CBD-B91B-AA5B5EB0D86E}"/>
    <cellStyle name="Normal 17 2 7" xfId="30055" xr:uid="{C6CCB888-5467-4751-AAAC-D11DF8118E92}"/>
    <cellStyle name="Normal 17 2 8" xfId="30056" xr:uid="{1DCFB29B-5F3F-42E8-B657-D138E05F96FD}"/>
    <cellStyle name="Normal 17 2 9" xfId="30057" xr:uid="{D32D6C45-8779-4976-B800-2414F03FA321}"/>
    <cellStyle name="Normal 17 2_ELC" xfId="2845" xr:uid="{65DCB30D-7439-493E-B5A3-948A2B270259}"/>
    <cellStyle name="Normal 17 3" xfId="2846" xr:uid="{F5203EC7-6F8F-41DE-B247-5CE264D0CF80}"/>
    <cellStyle name="Normal 17 3 2" xfId="4955" xr:uid="{487DD6BB-A7C0-42F6-AF0C-E357CCCB3F91}"/>
    <cellStyle name="Normal 17 3 2 2" xfId="17707" xr:uid="{D199AC79-1DDA-4D0F-A79B-C8E37A15BDE7}"/>
    <cellStyle name="Normal 17 3 2 2 2" xfId="21324" xr:uid="{D7A21E6F-81B5-4ED9-920F-4B07C1530C3F}"/>
    <cellStyle name="Normal 17 3 2 3" xfId="30058" xr:uid="{763D7319-34E7-4BAC-A3A3-4F87191CA41F}"/>
    <cellStyle name="Normal 17 3 2 4" xfId="30059" xr:uid="{B895165E-7A72-484B-980F-C5750DB1FA38}"/>
    <cellStyle name="Normal 17 3 2 5" xfId="30060" xr:uid="{9C15D6D8-2222-456F-9F55-216351CC2D2A}"/>
    <cellStyle name="Normal 17 3 2 6" xfId="30061" xr:uid="{C9795DE2-C2C6-4812-A678-BA7F60B5C9E7}"/>
    <cellStyle name="Normal 17 3 3" xfId="4117" xr:uid="{5EB88E7F-3BF8-40C0-A764-C946A0A7D2FF}"/>
    <cellStyle name="Normal 17 3 3 2" xfId="21323" xr:uid="{5A0501DD-F0B2-40C7-97D8-8380E1CB7860}"/>
    <cellStyle name="Normal 17 3 3 3" xfId="43956" xr:uid="{DA314B1F-A6CC-4666-B97B-1AB1C47B6818}"/>
    <cellStyle name="Normal 17 3 3 4" xfId="17706" xr:uid="{FC3C1A83-0803-4EC5-BBD6-751BBFE52CF0}"/>
    <cellStyle name="Normal 17 3 4" xfId="6183" xr:uid="{B08185C8-25DA-4305-A7E6-1969AAFC7AD9}"/>
    <cellStyle name="Normal 17 3 4 2" xfId="45861" xr:uid="{3CEFAAB7-522B-46BD-8A23-8FB7462AA81E}"/>
    <cellStyle name="Normal 17 3 4 3" xfId="30062" xr:uid="{125DE538-50FF-4E95-8500-592921F4CA94}"/>
    <cellStyle name="Normal 17 3 5" xfId="8839" xr:uid="{EAC071AF-8A5F-4A96-BA7E-BE8C2CEA99CB}"/>
    <cellStyle name="Normal 17 3 5 2" xfId="30063" xr:uid="{885E06D2-C256-4A37-A9A1-798C2753E711}"/>
    <cellStyle name="Normal 17 3 6" xfId="30064" xr:uid="{7E29AC8C-D444-4B71-B6EC-055E353F7A1D}"/>
    <cellStyle name="Normal 17 3 7" xfId="30065" xr:uid="{2DDB6FBF-0B4D-46C4-A851-EDA20C5FC1BC}"/>
    <cellStyle name="Normal 17 3 8" xfId="30066" xr:uid="{73C53657-1D2B-4521-9A22-16FE78D365F8}"/>
    <cellStyle name="Normal 17 4" xfId="2847" xr:uid="{90DE0B10-95B0-4D77-88B3-AE7085375B9E}"/>
    <cellStyle name="Normal 17 4 2" xfId="8070" xr:uid="{DB9531E1-D399-4A4F-B666-A35EACD5E51D}"/>
    <cellStyle name="Normal 17 4 2 2" xfId="17709" xr:uid="{E80EC5D0-8447-4A2D-8C05-18C7EE40EC8B}"/>
    <cellStyle name="Normal 17 4 2 2 2" xfId="21326" xr:uid="{2F75085A-3BF2-4E19-ACAC-D545D40DEEB3}"/>
    <cellStyle name="Normal 17 4 2 3" xfId="30067" xr:uid="{66170AA9-EDD1-4F07-914D-DF0CAF4CD121}"/>
    <cellStyle name="Normal 17 4 2 4" xfId="30068" xr:uid="{51A9D547-56F0-48F2-8CD9-E0B36875ED5E}"/>
    <cellStyle name="Normal 17 4 2 5" xfId="30069" xr:uid="{497C0A20-51D8-4641-8604-E144914FD64D}"/>
    <cellStyle name="Normal 17 4 2 6" xfId="30070" xr:uid="{646EC9B2-8B10-42C8-BD7D-C73F4AE89ADC}"/>
    <cellStyle name="Normal 17 4 3" xfId="17708" xr:uid="{9938F936-7455-4704-AD47-41A35BF87DCB}"/>
    <cellStyle name="Normal 17 4 3 2" xfId="21325" xr:uid="{7DBABEA7-CF3D-4A38-BE18-FFE950C03981}"/>
    <cellStyle name="Normal 17 4 4" xfId="30071" xr:uid="{B5FDFC16-776F-4FE0-A32D-CA6B47E91993}"/>
    <cellStyle name="Normal 17 4 5" xfId="30072" xr:uid="{0C2A1108-3176-4A0E-A2C2-DD7D9FC3B022}"/>
    <cellStyle name="Normal 17 4 6" xfId="30073" xr:uid="{365CA7D8-BE4A-44DF-9A7D-DF7D2FCE2C5B}"/>
    <cellStyle name="Normal 17 4 7" xfId="30074" xr:uid="{A2B72F1B-EAF8-4524-BBF8-4D874C8B4649}"/>
    <cellStyle name="Normal 17 5" xfId="4952" xr:uid="{267C0809-F69B-48EB-8DC8-1AADFFC9450A}"/>
    <cellStyle name="Normal 17 5 2" xfId="17710" xr:uid="{B4D759AD-18E5-4AB5-ABD9-91320DED9DCC}"/>
    <cellStyle name="Normal 17 5 2 2" xfId="21327" xr:uid="{2F05D9AD-B985-4EEC-BE0E-1DFE75857795}"/>
    <cellStyle name="Normal 17 5 3" xfId="30075" xr:uid="{E54DF523-C062-460B-A562-187055F355B5}"/>
    <cellStyle name="Normal 17 5 4" xfId="30076" xr:uid="{6DF63241-6E96-46C4-B561-486A0367B534}"/>
    <cellStyle name="Normal 17 5 5" xfId="30077" xr:uid="{35603AB4-C348-46B7-A227-BA82AFDFF27F}"/>
    <cellStyle name="Normal 17 5 6" xfId="30078" xr:uid="{816E192B-577C-4EEB-8FA4-476B9A934AC0}"/>
    <cellStyle name="Normal 17 6" xfId="4115" xr:uid="{724F4602-E708-4289-9FDC-CCEDB8B71D63}"/>
    <cellStyle name="Normal 17 6 2" xfId="17711" xr:uid="{0925C582-CE50-4109-A466-3FAA44CA090C}"/>
    <cellStyle name="Normal 17 6 2 2" xfId="21328" xr:uid="{DB9507E9-1290-4E1B-935F-5794FC6EE718}"/>
    <cellStyle name="Normal 17 6 3" xfId="30079" xr:uid="{C1E381FA-6DBC-4353-932B-BFBF780A0C27}"/>
    <cellStyle name="Normal 17 6 4" xfId="30080" xr:uid="{A08B20D6-FC4D-47D5-B170-D9125C8856ED}"/>
    <cellStyle name="Normal 17 6 5" xfId="30081" xr:uid="{9B8F2F05-B6DF-4947-AC0A-32BE27BC3440}"/>
    <cellStyle name="Normal 17 6 6" xfId="30082" xr:uid="{690D29F4-8DAF-4DE0-82DD-4968FD41E41C}"/>
    <cellStyle name="Normal 17 7" xfId="6181" xr:uid="{CF6E2C0D-3EF1-42F2-81F9-436BA7585FFC}"/>
    <cellStyle name="Normal 17 7 2" xfId="17712" xr:uid="{EC48A373-2538-4BB8-98E9-D0E199AE4994}"/>
    <cellStyle name="Normal 17 7 2 2" xfId="21329" xr:uid="{891E369B-B464-466F-8C6B-3E4E71735E29}"/>
    <cellStyle name="Normal 17 7 3" xfId="30083" xr:uid="{A8BA3886-2A35-4C59-9DB7-13B8BA21AFE1}"/>
    <cellStyle name="Normal 17 7 4" xfId="30084" xr:uid="{F939B53F-5B5E-4D88-86AA-5EE5B8799B7E}"/>
    <cellStyle name="Normal 17 7 5" xfId="30085" xr:uid="{DFA683F3-9D42-44E4-9C88-82A80550739B}"/>
    <cellStyle name="Normal 17 7 6" xfId="30086" xr:uid="{8086F3AC-B006-4ECA-BC16-0E316FFDE16A}"/>
    <cellStyle name="Normal 17 8" xfId="8836" xr:uid="{F8926D73-C56A-4E2D-B3AE-9D69A17D95B7}"/>
    <cellStyle name="Normal 17 8 2" xfId="17713" xr:uid="{0AA59ACE-1DF7-440F-BE0F-D5BE18A94EDA}"/>
    <cellStyle name="Normal 17 8 2 2" xfId="21330" xr:uid="{946F0C33-DFBD-474B-AB94-15E282C0987B}"/>
    <cellStyle name="Normal 17 8 3" xfId="30087" xr:uid="{31589C02-7701-4395-8275-D6D37D5A54B9}"/>
    <cellStyle name="Normal 17 8 4" xfId="30088" xr:uid="{A9995FDE-B402-419B-8F64-3EFAA2E91535}"/>
    <cellStyle name="Normal 17 8 5" xfId="30089" xr:uid="{7AE39DF4-8BE9-4943-AC26-DD3B837F733A}"/>
    <cellStyle name="Normal 17 8 6" xfId="30090" xr:uid="{D99EC615-1993-4C12-AFB3-E35690D06B87}"/>
    <cellStyle name="Normal 17 9" xfId="15847" xr:uid="{5D61C436-4E60-420D-AB00-3BF2298BA73F}"/>
    <cellStyle name="Normal 17 9 2" xfId="17714" xr:uid="{282A8497-9127-47DF-B041-25404F013D06}"/>
    <cellStyle name="Normal 17 9 2 2" xfId="21331" xr:uid="{8539982F-8734-4930-897C-8DAC954F5E22}"/>
    <cellStyle name="Normal 17 9 3" xfId="30091" xr:uid="{28E09CD4-DE4C-4E9F-9203-359F39EF31A1}"/>
    <cellStyle name="Normal 17 9 4" xfId="30092" xr:uid="{31A668CD-5F19-48A9-80C9-AA806C0AEB6D}"/>
    <cellStyle name="Normal 17 9 5" xfId="30093" xr:uid="{5CEE0CFC-36CE-488C-A41E-E47AA078C37C}"/>
    <cellStyle name="Normal 17 9 6" xfId="30094" xr:uid="{4B5EB756-9453-47DE-A2FE-32996F681AA2}"/>
    <cellStyle name="Normal 17_ELC" xfId="2848" xr:uid="{7555FA51-0733-4EC5-99EB-0B4AF487F205}"/>
    <cellStyle name="Normal 18" xfId="2849" xr:uid="{B3E45506-EA32-4E55-83CF-A8EEA157216C}"/>
    <cellStyle name="Normal 18 10" xfId="16704" xr:uid="{CBCD21A4-D39A-4C9C-AD8A-C68DA3BCC992}"/>
    <cellStyle name="Normal 18 10 2" xfId="17716" xr:uid="{9E118A21-6580-49AF-A5E9-9DA46620E675}"/>
    <cellStyle name="Normal 18 10 2 2" xfId="21333" xr:uid="{4A691D7F-11CA-492E-8CD6-49523D9EAF5F}"/>
    <cellStyle name="Normal 18 10 3" xfId="30095" xr:uid="{D4E5BCB6-19C2-4134-931D-8263C82F5B0D}"/>
    <cellStyle name="Normal 18 10 4" xfId="30096" xr:uid="{DEE7180E-9EFA-4C23-8E69-33A7AC0967D2}"/>
    <cellStyle name="Normal 18 10 5" xfId="30097" xr:uid="{ECD77ADA-337C-4348-A5B7-92B3768B7BA2}"/>
    <cellStyle name="Normal 18 10 6" xfId="30098" xr:uid="{BAA51FB3-B1F2-45AE-82EC-57F1E5545ABE}"/>
    <cellStyle name="Normal 18 11" xfId="16799" xr:uid="{3E7398D6-CEA8-47B9-8C8F-2681FF9BEDAE}"/>
    <cellStyle name="Normal 18 11 2" xfId="17717" xr:uid="{8F6F00E7-F754-40A2-81EB-162A86DDC45B}"/>
    <cellStyle name="Normal 18 11 2 2" xfId="21334" xr:uid="{E69DD426-78B3-4714-9FCD-849497624DA7}"/>
    <cellStyle name="Normal 18 11 3" xfId="20805" xr:uid="{2411AD8B-02B7-40AF-A431-1159DAC7A8DA}"/>
    <cellStyle name="Normal 18 11 3 2" xfId="30099" xr:uid="{8FDA228A-B394-4C11-B9BC-4BD98F3D4CDA}"/>
    <cellStyle name="Normal 18 11 4" xfId="30100" xr:uid="{AE471D77-2EF1-422A-8AD1-358A1CD674EB}"/>
    <cellStyle name="Normal 18 11 5" xfId="30101" xr:uid="{8380BDC4-E0AC-498A-8150-D433B7187C14}"/>
    <cellStyle name="Normal 18 11 6" xfId="30102" xr:uid="{98080684-4F25-48F1-812F-DF50C44F2C1C}"/>
    <cellStyle name="Normal 18 11 7" xfId="30103" xr:uid="{A651AD33-935F-4787-A7F1-DB84642BDC1B}"/>
    <cellStyle name="Normal 18 12" xfId="17718" xr:uid="{53701880-7345-48A0-A310-6F173420C804}"/>
    <cellStyle name="Normal 18 12 2" xfId="21335" xr:uid="{B6B86F27-084C-4DCC-BC25-2B7575CACD81}"/>
    <cellStyle name="Normal 18 13" xfId="17715" xr:uid="{C2AF4B65-310E-4F42-AF1B-D009D3744732}"/>
    <cellStyle name="Normal 18 13 2" xfId="21332" xr:uid="{B891FA93-3C55-494A-82AE-EEF458F23FF2}"/>
    <cellStyle name="Normal 18 14" xfId="30104" xr:uid="{97549F3A-44DE-4025-9000-6D5470F23805}"/>
    <cellStyle name="Normal 18 15" xfId="30105" xr:uid="{73FB58E9-8B44-44AA-8902-B8E2E2AB4012}"/>
    <cellStyle name="Normal 18 16" xfId="30106" xr:uid="{E33D33DA-1109-416A-9CBB-A777CDF66C44}"/>
    <cellStyle name="Normal 18 17" xfId="30107" xr:uid="{4A384003-7BD4-4122-9FAA-4C599C5B0820}"/>
    <cellStyle name="Normal 18 18" xfId="30108" xr:uid="{E1C8E50C-3EC4-4B1A-BB97-D5804C02F90F}"/>
    <cellStyle name="Normal 18 19" xfId="15253" xr:uid="{E2CFBA2D-369F-4C30-B790-5350D7653084}"/>
    <cellStyle name="Normal 18 2" xfId="2850" xr:uid="{32ED8D90-B6C6-42B1-86EF-B3C0AE627296}"/>
    <cellStyle name="Normal 18 2 10" xfId="30109" xr:uid="{0194F1A9-79A8-4956-ACEA-339F4C5122F4}"/>
    <cellStyle name="Normal 18 2 2" xfId="2851" xr:uid="{2A1EC002-E3C2-42C7-8565-10C8CF27D9C1}"/>
    <cellStyle name="Normal 18 2 2 2" xfId="4958" xr:uid="{1DBA64A4-9591-4298-B040-B216FC532192}"/>
    <cellStyle name="Normal 18 2 2 2 2" xfId="17721" xr:uid="{070DC128-60A5-46F0-BEF3-CE68F02D4014}"/>
    <cellStyle name="Normal 18 2 2 2 2 2" xfId="21338" xr:uid="{D1193302-7B55-48E1-BED7-9825ABB3D7AC}"/>
    <cellStyle name="Normal 18 2 2 2 3" xfId="30110" xr:uid="{EF5C7B45-7540-477E-BC93-8ED07B8DF364}"/>
    <cellStyle name="Normal 18 2 2 2 4" xfId="30111" xr:uid="{CF02CF0C-4D9C-4008-B07A-8374D085C63E}"/>
    <cellStyle name="Normal 18 2 2 2 5" xfId="30112" xr:uid="{6A0F6B0B-798F-4BAB-86FD-F2D6F73D750F}"/>
    <cellStyle name="Normal 18 2 2 2 6" xfId="30113" xr:uid="{14E06590-E232-4896-BFF1-F53272EBF263}"/>
    <cellStyle name="Normal 18 2 2 3" xfId="6815" xr:uid="{81F7A1BA-4664-44FA-AC14-0582DB152DDC}"/>
    <cellStyle name="Normal 18 2 2 3 2" xfId="21337" xr:uid="{AB9DF1B0-CF8A-4AB5-BBE0-70605E477FCC}"/>
    <cellStyle name="Normal 18 2 2 3 3" xfId="46292" xr:uid="{C30029AF-EFDC-4B06-B069-F62484A1301B}"/>
    <cellStyle name="Normal 18 2 2 3 4" xfId="17720" xr:uid="{4BB83C20-B062-4852-BBCE-120625F2B779}"/>
    <cellStyle name="Normal 18 2 2 4" xfId="8842" xr:uid="{D98563A0-EA0E-4BC0-804F-F3CD39878F10}"/>
    <cellStyle name="Normal 18 2 2 4 2" xfId="30114" xr:uid="{10A48F4C-F2C5-48B5-B674-97F3DB1A0189}"/>
    <cellStyle name="Normal 18 2 2 5" xfId="30115" xr:uid="{9A7B04D6-CD76-4E7A-95D7-AFB922F53DC8}"/>
    <cellStyle name="Normal 18 2 2 6" xfId="30116" xr:uid="{E6F6FC12-375E-45D6-B9E5-44A9ABA1DD30}"/>
    <cellStyle name="Normal 18 2 2 7" xfId="30117" xr:uid="{3EF39EA0-9F59-4023-8ABC-A1889A8CEC99}"/>
    <cellStyle name="Normal 18 2 3" xfId="4957" xr:uid="{D5923E72-3BF7-45E3-A0D7-2CAEF6622674}"/>
    <cellStyle name="Normal 18 2 3 2" xfId="17722" xr:uid="{B00CC63B-649F-4625-8AFD-95E1386EB7FF}"/>
    <cellStyle name="Normal 18 2 3 2 2" xfId="21339" xr:uid="{2CF007EA-7576-422F-A02F-22D131006C02}"/>
    <cellStyle name="Normal 18 2 3 3" xfId="30118" xr:uid="{C08BD7B3-883C-4F06-A61B-558F2523A9F5}"/>
    <cellStyle name="Normal 18 2 3 4" xfId="30119" xr:uid="{6FC62F81-C82F-41A4-8988-A7C9E6D35348}"/>
    <cellStyle name="Normal 18 2 3 5" xfId="30120" xr:uid="{ADD87DD7-1947-4FA7-9765-2565D4645162}"/>
    <cellStyle name="Normal 18 2 3 6" xfId="30121" xr:uid="{6CF61B7A-77CB-4B83-AE19-359079CB1A65}"/>
    <cellStyle name="Normal 18 2 4" xfId="4119" xr:uid="{97E77634-F4BC-4C05-A34D-0CC82EAB31EA}"/>
    <cellStyle name="Normal 18 2 4 2" xfId="17723" xr:uid="{85441B73-85CC-4128-A599-19D68C85237E}"/>
    <cellStyle name="Normal 18 2 4 2 2" xfId="21340" xr:uid="{4E4977C5-97A0-4E20-A8BF-6A11E2F2947A}"/>
    <cellStyle name="Normal 18 2 4 3" xfId="20666" xr:uid="{48630A35-71F6-4CA6-A48D-7B1188139143}"/>
    <cellStyle name="Normal 18 2 4 4" xfId="43957" xr:uid="{A7289DDE-73DF-4ED0-95CD-74F6E8C005E3}"/>
    <cellStyle name="Normal 18 2 4 5" xfId="16500" xr:uid="{05758743-55E7-4C6E-AE2A-4D6BB4AE4E53}"/>
    <cellStyle name="Normal 18 2 5" xfId="6185" xr:uid="{83DB24AE-D142-41EA-A2B1-DE42797CB8F2}"/>
    <cellStyle name="Normal 18 2 5 2" xfId="21336" xr:uid="{52E6E222-D558-45AD-80C0-290412C74022}"/>
    <cellStyle name="Normal 18 2 5 3" xfId="45862" xr:uid="{0E39AE39-C304-4FED-BF91-719FD5CFA999}"/>
    <cellStyle name="Normal 18 2 5 4" xfId="17719" xr:uid="{399407F3-AAEA-4449-8D1C-FB78AEC3A14D}"/>
    <cellStyle name="Normal 18 2 6" xfId="8841" xr:uid="{4ECCBC46-102B-4AF9-AFD4-1148F987C61C}"/>
    <cellStyle name="Normal 18 2 6 2" xfId="30122" xr:uid="{63101C21-BB2C-45C2-AED6-67ED55FC5BEA}"/>
    <cellStyle name="Normal 18 2 7" xfId="30123" xr:uid="{45BE574E-F0BB-4E18-B5F5-7234FF5A35F9}"/>
    <cellStyle name="Normal 18 2 8" xfId="30124" xr:uid="{2001F298-8B70-4367-BBBA-44CEF87399A9}"/>
    <cellStyle name="Normal 18 2 9" xfId="30125" xr:uid="{D7C61A92-EE69-4B85-BDEB-10BCB18CB492}"/>
    <cellStyle name="Normal 18 2_ELC" xfId="2852" xr:uid="{38F996E9-B888-4508-8609-7A799A0FA88E}"/>
    <cellStyle name="Normal 18 3" xfId="2853" xr:uid="{47570F16-65BE-4FAE-BD96-79069C97D685}"/>
    <cellStyle name="Normal 18 3 2" xfId="4959" xr:uid="{1F80169C-BDA2-45B9-A232-75E41B7D3B99}"/>
    <cellStyle name="Normal 18 3 2 2" xfId="17725" xr:uid="{09E963E1-52CC-4986-B1EA-5447541DD2A0}"/>
    <cellStyle name="Normal 18 3 2 2 2" xfId="21342" xr:uid="{6DB70D73-8D1E-4D38-B42D-F5EE66D0BE3D}"/>
    <cellStyle name="Normal 18 3 2 3" xfId="30126" xr:uid="{7B22ACE2-F859-4AC2-9814-4EB88DF9A2C5}"/>
    <cellStyle name="Normal 18 3 2 4" xfId="30127" xr:uid="{F62E37EE-CE6F-4D41-BFE1-25C306B6A5B5}"/>
    <cellStyle name="Normal 18 3 2 5" xfId="30128" xr:uid="{335C70E6-6CB1-4DF3-ADDB-7C61B982B0AE}"/>
    <cellStyle name="Normal 18 3 2 6" xfId="30129" xr:uid="{DCBC05A3-91BD-4BEC-A19B-4BB2615DAD0F}"/>
    <cellStyle name="Normal 18 3 3" xfId="6816" xr:uid="{C9D23C0B-7E94-4D6B-AD61-2BFF00B362E9}"/>
    <cellStyle name="Normal 18 3 3 2" xfId="21341" xr:uid="{EE855F6D-F5CB-48BA-8667-28EB5D6BEDC5}"/>
    <cellStyle name="Normal 18 3 3 3" xfId="46293" xr:uid="{217382E5-08D1-47DE-981E-069A620CE991}"/>
    <cellStyle name="Normal 18 3 3 4" xfId="17724" xr:uid="{17C37C23-EC1F-4749-B551-3C30B4A6A380}"/>
    <cellStyle name="Normal 18 3 4" xfId="8843" xr:uid="{F20991A5-A021-416D-AE54-4C72565CC3E3}"/>
    <cellStyle name="Normal 18 3 4 2" xfId="30130" xr:uid="{C0CD551A-92CD-473F-BE6C-F91BA0F4C758}"/>
    <cellStyle name="Normal 18 3 5" xfId="30131" xr:uid="{E309E515-7C1C-4B01-96D4-E1E1F33AF0F6}"/>
    <cellStyle name="Normal 18 3 6" xfId="30132" xr:uid="{63E0B5A4-965A-4038-9283-66519E66762F}"/>
    <cellStyle name="Normal 18 3 7" xfId="30133" xr:uid="{A7ECEB63-591D-4E36-94CF-D1C21D77CC30}"/>
    <cellStyle name="Normal 18 4" xfId="2854" xr:uid="{FAF00BF7-6EBB-48C0-9815-E481E8072CE8}"/>
    <cellStyle name="Normal 18 4 2" xfId="15848" xr:uid="{008CDEA2-FE72-43EB-B30B-03F77B86F525}"/>
    <cellStyle name="Normal 18 4 2 2" xfId="17727" xr:uid="{82C24052-4983-4AD9-8590-9BEE0BAEA049}"/>
    <cellStyle name="Normal 18 4 2 2 2" xfId="21344" xr:uid="{95A4B217-D68A-414F-950C-CB57598BAF12}"/>
    <cellStyle name="Normal 18 4 2 3" xfId="30134" xr:uid="{6811EFEC-94F6-4A3A-8B2B-414FE0A8CC2F}"/>
    <cellStyle name="Normal 18 4 2 4" xfId="30135" xr:uid="{D41F8ABE-89A6-46EB-AA99-5683E589DBEC}"/>
    <cellStyle name="Normal 18 4 2 5" xfId="30136" xr:uid="{88ED7200-4B69-412B-B205-2640E7F0AA87}"/>
    <cellStyle name="Normal 18 4 2 6" xfId="30137" xr:uid="{234945D1-6991-436D-8AB5-65FA29DE2B46}"/>
    <cellStyle name="Normal 18 4 3" xfId="16785" xr:uid="{55DD6637-14AD-46C3-9591-9F42BDCBF02F}"/>
    <cellStyle name="Normal 18 4 3 2" xfId="17728" xr:uid="{AD7A080B-584F-4F2E-AA45-2ED3456E8DA3}"/>
    <cellStyle name="Normal 18 4 3 2 2" xfId="21345" xr:uid="{E811B358-4224-4F30-A970-F2754B00514E}"/>
    <cellStyle name="Normal 18 4 3 3" xfId="30138" xr:uid="{F27D4358-0E6D-4EE8-9CE0-15F9C25EFDE0}"/>
    <cellStyle name="Normal 18 4 3 4" xfId="30139" xr:uid="{AB0FEBED-9FB2-4972-B584-964F8F866B7E}"/>
    <cellStyle name="Normal 18 4 3 5" xfId="30140" xr:uid="{DD5F3445-7F58-40D4-B86C-23BD3255B7BF}"/>
    <cellStyle name="Normal 18 4 3 6" xfId="30141" xr:uid="{5620E22D-7D1C-45BC-9102-B74AF18D73EF}"/>
    <cellStyle name="Normal 18 4 4" xfId="16608" xr:uid="{2AE1DB5D-7535-4894-81B4-3144D4EB1FF5}"/>
    <cellStyle name="Normal 18 4 4 2" xfId="17729" xr:uid="{D3754E75-45B2-4A94-86CA-78185C2307E8}"/>
    <cellStyle name="Normal 18 4 4 2 2" xfId="21346" xr:uid="{DD4BC79A-EDDE-4594-937D-4899503E00EF}"/>
    <cellStyle name="Normal 18 4 4 3" xfId="20716" xr:uid="{039A161C-E1BF-4181-9372-0C2AF9623947}"/>
    <cellStyle name="Normal 18 4 4 3 2" xfId="30142" xr:uid="{C0E0F362-594C-4119-97BA-D8EB31188D35}"/>
    <cellStyle name="Normal 18 4 4 4" xfId="30143" xr:uid="{09800A20-5ABA-48ED-82CA-ED11B3CE62B8}"/>
    <cellStyle name="Normal 18 4 4 5" xfId="30144" xr:uid="{47856B2C-5638-4585-952A-33DB2037E380}"/>
    <cellStyle name="Normal 18 4 4 6" xfId="30145" xr:uid="{97843EB6-C1A0-4F3D-891E-5DB67A699A42}"/>
    <cellStyle name="Normal 18 4 4 7" xfId="30146" xr:uid="{B88EAA85-DBC0-4B0E-8675-E9CBBBBBF51F}"/>
    <cellStyle name="Normal 18 4 5" xfId="17726" xr:uid="{B6988B90-03A7-4466-ADBE-166C14E494FE}"/>
    <cellStyle name="Normal 18 4 5 2" xfId="21343" xr:uid="{BB7B8B4D-B71A-47D7-9922-D1C81AE4E996}"/>
    <cellStyle name="Normal 18 4 6" xfId="30147" xr:uid="{A68B78BD-4953-4CB9-BD32-8C5907CFB2E1}"/>
    <cellStyle name="Normal 18 4 7" xfId="30148" xr:uid="{6D82D5F1-263F-448C-A7A2-3EBB961FD36C}"/>
    <cellStyle name="Normal 18 4 8" xfId="30149" xr:uid="{C139EFBD-4E21-4C10-AE94-398FD7A9D565}"/>
    <cellStyle name="Normal 18 4 9" xfId="30150" xr:uid="{F4CF0454-8219-40B8-9301-AAA54B97010D}"/>
    <cellStyle name="Normal 18 5" xfId="4956" xr:uid="{2F586C99-0E3A-4F87-8198-E0C22A57194F}"/>
    <cellStyle name="Normal 18 5 2" xfId="17730" xr:uid="{E6EB5052-95C5-417D-8802-6D5AF2926B3E}"/>
    <cellStyle name="Normal 18 5 2 2" xfId="21347" xr:uid="{43510E01-7050-4A28-ADB9-AB338EDD0890}"/>
    <cellStyle name="Normal 18 5 3" xfId="30151" xr:uid="{121977A2-A529-4B72-AE99-F4AD0FBE3732}"/>
    <cellStyle name="Normal 18 5 4" xfId="30152" xr:uid="{74926744-C9C1-4915-AA6D-163A4C10221E}"/>
    <cellStyle name="Normal 18 5 5" xfId="30153" xr:uid="{1DF0C42E-ABB3-4EC6-8CCF-3410DA472F95}"/>
    <cellStyle name="Normal 18 5 6" xfId="30154" xr:uid="{9122584E-DDD8-4962-AFED-36F8B831AA6F}"/>
    <cellStyle name="Normal 18 6" xfId="4118" xr:uid="{B294E5F0-6C5D-4FD1-9265-E767379B1F59}"/>
    <cellStyle name="Normal 18 6 2" xfId="17731" xr:uid="{A5694BC2-A336-462F-AE24-A08BB159A710}"/>
    <cellStyle name="Normal 18 6 2 2" xfId="21348" xr:uid="{7161274C-3BE8-4BAD-92DA-69291DEBBD47}"/>
    <cellStyle name="Normal 18 6 3" xfId="30155" xr:uid="{48FDAA7B-FE11-448F-ADC7-90FFE1767353}"/>
    <cellStyle name="Normal 18 6 4" xfId="30156" xr:uid="{FBE75F18-AB9E-4BBA-8A50-FD99DC458267}"/>
    <cellStyle name="Normal 18 6 5" xfId="30157" xr:uid="{3F52D835-0262-46C7-932F-5D565094ACB3}"/>
    <cellStyle name="Normal 18 6 6" xfId="30158" xr:uid="{AF381267-A92A-4406-A2C1-B72E552C9193}"/>
    <cellStyle name="Normal 18 7" xfId="6184" xr:uid="{0CEEB4EE-17CA-400F-B454-0B5A09D8522D}"/>
    <cellStyle name="Normal 18 7 2" xfId="17732" xr:uid="{C201D663-C464-40A8-993C-6CDE09D1DBEA}"/>
    <cellStyle name="Normal 18 7 2 2" xfId="21349" xr:uid="{6680C9F5-C66B-4759-B918-906A8B8A6988}"/>
    <cellStyle name="Normal 18 7 3" xfId="30159" xr:uid="{77D27ECB-053A-4908-8A74-6A0E307EF36A}"/>
    <cellStyle name="Normal 18 7 4" xfId="30160" xr:uid="{AB51D8C2-9A59-416C-9AAE-3E0D897A8111}"/>
    <cellStyle name="Normal 18 7 5" xfId="30161" xr:uid="{2ADD3D04-099C-412B-8175-0D05AF2E90EC}"/>
    <cellStyle name="Normal 18 7 6" xfId="30162" xr:uid="{579A973C-0FB0-485C-A14B-C3A7ED3BE90B}"/>
    <cellStyle name="Normal 18 8" xfId="8840" xr:uid="{A5C7920E-6614-4970-BE9C-0C119520608E}"/>
    <cellStyle name="Normal 18 8 2" xfId="17733" xr:uid="{7607DA93-E11A-4901-B18B-4BD099B2786C}"/>
    <cellStyle name="Normal 18 8 2 2" xfId="21350" xr:uid="{E1629412-B984-4A21-90C4-B78B4B6FD25D}"/>
    <cellStyle name="Normal 18 8 3" xfId="30163" xr:uid="{88F894BD-6F2D-421B-B1F2-4EBB8019E91A}"/>
    <cellStyle name="Normal 18 8 4" xfId="30164" xr:uid="{A8A528C3-F833-4537-815C-9CCDC0D1985D}"/>
    <cellStyle name="Normal 18 8 5" xfId="30165" xr:uid="{1178D3F1-3F62-435D-B985-6AC2C7BC60E2}"/>
    <cellStyle name="Normal 18 8 6" xfId="30166" xr:uid="{B171D917-9783-4619-9ADA-73EF0D1B9BF4}"/>
    <cellStyle name="Normal 18 9" xfId="15849" xr:uid="{D3A94686-6C29-41B4-AD83-CD881C9239E3}"/>
    <cellStyle name="Normal 18 9 2" xfId="17734" xr:uid="{35B3AE7C-A88D-457C-BBF8-494ABC33EA6F}"/>
    <cellStyle name="Normal 18 9 2 2" xfId="21351" xr:uid="{0F2E569E-F76F-4F7F-8C79-B2B161C812D6}"/>
    <cellStyle name="Normal 18 9 3" xfId="30167" xr:uid="{316E63C3-95C7-4432-816C-24A0BE82E3A6}"/>
    <cellStyle name="Normal 18 9 4" xfId="30168" xr:uid="{82247C98-D667-4419-A281-06E770983016}"/>
    <cellStyle name="Normal 18 9 5" xfId="30169" xr:uid="{F243BCDE-C975-408F-98AC-DFCDD62BEC4E}"/>
    <cellStyle name="Normal 18 9 6" xfId="30170" xr:uid="{7C8DB97B-78BB-4357-BD82-F724C0A9C602}"/>
    <cellStyle name="Normal 18_ELC" xfId="2855" xr:uid="{C2B6B82D-4BB3-49E5-9BA0-C4783227E41C}"/>
    <cellStyle name="Normal 19" xfId="2856" xr:uid="{B405A533-3C00-4A03-BBF6-D3BB8E567B42}"/>
    <cellStyle name="Normal 19 10" xfId="16705" xr:uid="{DB265B71-402C-4C2A-B8EF-3641AF024196}"/>
    <cellStyle name="Normal 19 10 2" xfId="17736" xr:uid="{6682C0F7-5DE2-408B-840E-6276CF7C6EEF}"/>
    <cellStyle name="Normal 19 10 2 2" xfId="21353" xr:uid="{92BCBDD6-DD6B-4742-9949-F77A6D0F461B}"/>
    <cellStyle name="Normal 19 10 3" xfId="30171" xr:uid="{EFC24AFB-D7C5-480B-8E48-95F8C86DA951}"/>
    <cellStyle name="Normal 19 10 4" xfId="30172" xr:uid="{A46DAEF3-C459-4BE9-BA8A-A1F6B5D89EF5}"/>
    <cellStyle name="Normal 19 10 5" xfId="30173" xr:uid="{58C87F70-7C08-48CA-B194-216365A58724}"/>
    <cellStyle name="Normal 19 10 6" xfId="30174" xr:uid="{32B2E353-B7AA-4C50-AE01-B21DEA554F39}"/>
    <cellStyle name="Normal 19 11" xfId="17737" xr:uid="{E2812210-7921-4973-811A-006CBC085942}"/>
    <cellStyle name="Normal 19 11 2" xfId="21354" xr:uid="{275A562A-66B3-48A1-98CC-B6108A2B2154}"/>
    <cellStyle name="Normal 19 12" xfId="17735" xr:uid="{146645F2-E6BC-49C3-9D13-B395B2D0CD89}"/>
    <cellStyle name="Normal 19 12 2" xfId="21352" xr:uid="{A0B45245-586F-4698-B208-D5C2C1355A85}"/>
    <cellStyle name="Normal 19 13" xfId="30175" xr:uid="{92875C2D-BB19-4332-940E-86EA201B9779}"/>
    <cellStyle name="Normal 19 14" xfId="30176" xr:uid="{541B3441-34FC-4EC2-8AF2-67E88F2E9BE9}"/>
    <cellStyle name="Normal 19 15" xfId="30177" xr:uid="{111D52EA-A9D8-4BE8-806A-F0478CF006AB}"/>
    <cellStyle name="Normal 19 16" xfId="30178" xr:uid="{54AA3ED8-BAE4-4BF7-AAC7-450A11F561C3}"/>
    <cellStyle name="Normal 19 17" xfId="30179" xr:uid="{FF067970-87B9-4B85-8789-D5899CCD34A4}"/>
    <cellStyle name="Normal 19 2" xfId="2857" xr:uid="{2D479E3D-8FCF-466D-8A2C-B030AC24CE65}"/>
    <cellStyle name="Normal 19 2 2" xfId="2858" xr:uid="{744FF768-4C05-422E-9D1D-1E181FADA449}"/>
    <cellStyle name="Normal 19 2 2 2" xfId="4962" xr:uid="{F27822F5-CB8B-498D-8040-AC823CCAED37}"/>
    <cellStyle name="Normal 19 2 2 2 2" xfId="17740" xr:uid="{472870AA-FCED-4B39-9F33-49888B36ADE9}"/>
    <cellStyle name="Normal 19 2 2 2 2 2" xfId="21357" xr:uid="{5C0627F6-B056-4AAC-9FEC-0958D44EF031}"/>
    <cellStyle name="Normal 19 2 2 2 3" xfId="30180" xr:uid="{35912C74-A371-4A29-862A-9715D34D0C3F}"/>
    <cellStyle name="Normal 19 2 2 2 4" xfId="30181" xr:uid="{E94FA74B-16C6-4DA3-8075-F9687A0F635F}"/>
    <cellStyle name="Normal 19 2 2 2 5" xfId="30182" xr:uid="{6DB0C65B-7E84-4BDE-8E3C-319D25A1A8C8}"/>
    <cellStyle name="Normal 19 2 2 2 6" xfId="30183" xr:uid="{E165EA8B-F643-466E-B1A3-B2C91B7DED03}"/>
    <cellStyle name="Normal 19 2 2 3" xfId="6817" xr:uid="{B22BB42D-E0E4-4E29-AC74-939247AC32B8}"/>
    <cellStyle name="Normal 19 2 2 3 2" xfId="21356" xr:uid="{2F027DF2-FEFB-4E8D-ABD3-A2D3D7E3E00A}"/>
    <cellStyle name="Normal 19 2 2 3 3" xfId="46294" xr:uid="{934A2430-9857-4E7D-A51C-139B85BC99D6}"/>
    <cellStyle name="Normal 19 2 2 3 4" xfId="17739" xr:uid="{4F91A146-753D-4DC8-93D9-7F04749B28D7}"/>
    <cellStyle name="Normal 19 2 2 4" xfId="8846" xr:uid="{A4DFB9AB-5D8B-4E0E-B3F8-822950DFCD0C}"/>
    <cellStyle name="Normal 19 2 2 4 2" xfId="30184" xr:uid="{8143F1FB-2A0A-4D37-968E-2791E815660C}"/>
    <cellStyle name="Normal 19 2 2 5" xfId="30185" xr:uid="{B18A653A-0C69-4B65-8ADB-E7D3F612AF28}"/>
    <cellStyle name="Normal 19 2 2 6" xfId="30186" xr:uid="{B9A67ED2-7C3B-445E-A8A6-070DE62ED92C}"/>
    <cellStyle name="Normal 19 2 2 7" xfId="30187" xr:uid="{3435F9A7-3A5E-4765-8D11-CDD1A8EB4660}"/>
    <cellStyle name="Normal 19 2 3" xfId="2859" xr:uid="{8428F0E0-A92E-44AD-BCDB-6FF369087F86}"/>
    <cellStyle name="Normal 19 2 3 2" xfId="4963" xr:uid="{282998D5-3067-4CFB-B543-8594F6240A81}"/>
    <cellStyle name="Normal 19 2 3 2 2" xfId="21358" xr:uid="{2BC158BA-E83D-457D-A65F-C607682EC326}"/>
    <cellStyle name="Normal 19 2 3 2 3" xfId="44321" xr:uid="{FD72C84A-32A0-469E-AA78-0F40006B8A2B}"/>
    <cellStyle name="Normal 19 2 3 2 4" xfId="17741" xr:uid="{28CF441A-41FC-43A3-853C-7B8A223C580F}"/>
    <cellStyle name="Normal 19 2 3 3" xfId="6818" xr:uid="{3CF61A03-0B64-4DB6-A5AB-14518E059BB8}"/>
    <cellStyle name="Normal 19 2 3 3 2" xfId="46295" xr:uid="{0DA3281D-65D5-4153-AE30-78E776AACC88}"/>
    <cellStyle name="Normal 19 2 3 3 3" xfId="30188" xr:uid="{2BDBDAD9-36D1-46F9-B77A-0AF7F9AEA4BE}"/>
    <cellStyle name="Normal 19 2 3 4" xfId="8847" xr:uid="{4FB58252-9CAD-4166-AAC1-D57698DED334}"/>
    <cellStyle name="Normal 19 2 3 4 2" xfId="30189" xr:uid="{3D10A29E-8BE8-4FB8-840A-9CB0BC0A7636}"/>
    <cellStyle name="Normal 19 2 3 5" xfId="30190" xr:uid="{EFAA508D-090F-4716-BC6E-1BF7769CAFB4}"/>
    <cellStyle name="Normal 19 2 3 6" xfId="30191" xr:uid="{ED933CA6-B1A0-4352-A6BE-DF93B23C641C}"/>
    <cellStyle name="Normal 19 2 4" xfId="4961" xr:uid="{16C2CD3C-3DEC-4282-BD2A-565A8125330E}"/>
    <cellStyle name="Normal 19 2 4 2" xfId="21355" xr:uid="{BFE0CDDD-9D6D-4A4B-B978-A65F183555DF}"/>
    <cellStyle name="Normal 19 2 4 3" xfId="43621" xr:uid="{A9292BD1-031C-4D82-BA59-01C16149460D}"/>
    <cellStyle name="Normal 19 2 4 4" xfId="17738" xr:uid="{5B2F0FC9-783A-4151-80C3-4206AA1A9BF4}"/>
    <cellStyle name="Normal 19 2 5" xfId="4121" xr:uid="{E6FC022F-8C89-4935-8657-0A7E4677D089}"/>
    <cellStyle name="Normal 19 2 5 2" xfId="43958" xr:uid="{8D183FE2-0320-4EED-B674-F85C3AE31200}"/>
    <cellStyle name="Normal 19 2 5 3" xfId="30192" xr:uid="{770C3DBD-0C04-4E1E-80BA-6E7D8AE558B1}"/>
    <cellStyle name="Normal 19 2 6" xfId="6187" xr:uid="{53A5F989-C9AE-404A-8ED3-A3BBCBA98A13}"/>
    <cellStyle name="Normal 19 2 6 2" xfId="45863" xr:uid="{89DED0C3-D915-4606-833F-5CAE1296C9AF}"/>
    <cellStyle name="Normal 19 2 6 3" xfId="30193" xr:uid="{CD90AB9F-E6B3-48AD-A26F-E8274C5EDB06}"/>
    <cellStyle name="Normal 19 2 7" xfId="8845" xr:uid="{EE60A52F-713D-4A67-B72F-01D85D4CD52F}"/>
    <cellStyle name="Normal 19 2 7 2" xfId="30194" xr:uid="{08440EB0-3975-48E4-A1E3-F2FE28672CE5}"/>
    <cellStyle name="Normal 19 2 8" xfId="30195" xr:uid="{5DAAA95E-BBC0-4526-97F1-0E558602262D}"/>
    <cellStyle name="Normal 19 2 9" xfId="30196" xr:uid="{99C177FC-2174-4999-BAAF-719BC5E3E22E}"/>
    <cellStyle name="Normal 19 3" xfId="2860" xr:uid="{56886759-17A2-43C8-A23A-340EEA4E74AE}"/>
    <cellStyle name="Normal 19 3 2" xfId="4964" xr:uid="{CA7768C9-79D9-4D9A-AA6F-58FC46A57702}"/>
    <cellStyle name="Normal 19 3 2 2" xfId="17743" xr:uid="{BDBE417C-98F7-4E57-AA98-CAA0E910E7EA}"/>
    <cellStyle name="Normal 19 3 2 2 2" xfId="21360" xr:uid="{A2698AF0-D662-42BB-84BD-536B584C1550}"/>
    <cellStyle name="Normal 19 3 2 3" xfId="30197" xr:uid="{84720A8F-405F-45DA-A91B-A8D905A5BB92}"/>
    <cellStyle name="Normal 19 3 2 4" xfId="30198" xr:uid="{DA477460-4B59-4390-BC32-BB21B8A6E602}"/>
    <cellStyle name="Normal 19 3 2 5" xfId="30199" xr:uid="{8DEEA4AE-1D43-4A75-8401-F84D36E5218A}"/>
    <cellStyle name="Normal 19 3 2 6" xfId="30200" xr:uid="{CB3ACA08-0020-4DC9-ADB4-CDC3383A669A}"/>
    <cellStyle name="Normal 19 3 3" xfId="6819" xr:uid="{E24B2BD0-28AD-4EC0-A579-FA3C1B5AF213}"/>
    <cellStyle name="Normal 19 3 3 2" xfId="21359" xr:uid="{F1E81425-87FF-47C7-BBE4-23B2AB005934}"/>
    <cellStyle name="Normal 19 3 3 3" xfId="46296" xr:uid="{52E9F84F-00D2-4AE2-A6B7-A960A97E7D5C}"/>
    <cellStyle name="Normal 19 3 3 4" xfId="17742" xr:uid="{8620ED68-6FC4-42A6-8940-A66D1477B78D}"/>
    <cellStyle name="Normal 19 3 4" xfId="8848" xr:uid="{F0CBBF8F-88A1-4398-AC0C-6F2FCC510136}"/>
    <cellStyle name="Normal 19 3 4 2" xfId="30201" xr:uid="{043661C6-6EE1-4F74-BD24-0EFC6EF9C812}"/>
    <cellStyle name="Normal 19 3 5" xfId="30202" xr:uid="{BE3A0E3D-F791-4ACD-8478-6E550027A1E3}"/>
    <cellStyle name="Normal 19 3 6" xfId="30203" xr:uid="{F66E265C-9C02-4D6D-A771-6AA4A543E367}"/>
    <cellStyle name="Normal 19 3 7" xfId="30204" xr:uid="{D5937744-951C-478B-8923-AC19389BCAF8}"/>
    <cellStyle name="Normal 19 4" xfId="2861" xr:uid="{7710C8D9-EED7-4D05-AF11-6985BB4F39B6}"/>
    <cellStyle name="Normal 19 4 2" xfId="15850" xr:uid="{1EBDB9A8-099C-4590-B3C7-966267E466B7}"/>
    <cellStyle name="Normal 19 4 2 2" xfId="17745" xr:uid="{48841A4F-89F6-470C-85C9-4E016E9EF880}"/>
    <cellStyle name="Normal 19 4 2 2 2" xfId="21362" xr:uid="{D4228E0F-E067-4CC5-BFEB-3BC612833957}"/>
    <cellStyle name="Normal 19 4 2 3" xfId="30205" xr:uid="{4007753D-B490-4C09-9CCC-AB3EBD995EF2}"/>
    <cellStyle name="Normal 19 4 2 4" xfId="30206" xr:uid="{25B08DBF-55A3-4E90-AC08-2E3C75CA0F94}"/>
    <cellStyle name="Normal 19 4 2 5" xfId="30207" xr:uid="{FBCA49F2-28A1-481D-83A8-957C50A78ABC}"/>
    <cellStyle name="Normal 19 4 2 6" xfId="30208" xr:uid="{C52BCCA2-1198-4C99-B42B-4CB106E7D8C9}"/>
    <cellStyle name="Normal 19 4 3" xfId="16786" xr:uid="{49E9CA08-CF54-4B55-AF0E-9BCC8B17B877}"/>
    <cellStyle name="Normal 19 4 3 2" xfId="17746" xr:uid="{561DB623-9F3F-44E3-A627-82522601ED84}"/>
    <cellStyle name="Normal 19 4 3 2 2" xfId="21363" xr:uid="{A70ED4EC-C4E6-4329-8850-4CEC014770AB}"/>
    <cellStyle name="Normal 19 4 3 3" xfId="30209" xr:uid="{0C979D45-D7E5-480D-8278-BF158ED2176C}"/>
    <cellStyle name="Normal 19 4 3 4" xfId="30210" xr:uid="{1A367F11-0888-47DA-A11B-3DFDA2964123}"/>
    <cellStyle name="Normal 19 4 3 5" xfId="30211" xr:uid="{2883827E-11D1-4154-A927-9C1736093D0B}"/>
    <cellStyle name="Normal 19 4 3 6" xfId="30212" xr:uid="{15B280AF-C0F2-40F1-A8DC-006DEE1D01C3}"/>
    <cellStyle name="Normal 19 4 4" xfId="16609" xr:uid="{4B0EADF0-E789-4270-9498-9B1BBB29D526}"/>
    <cellStyle name="Normal 19 4 4 2" xfId="17747" xr:uid="{CFC67EBF-0B95-474F-950E-71E90230B856}"/>
    <cellStyle name="Normal 19 4 4 2 2" xfId="21364" xr:uid="{23726DF7-F8B5-40EE-86EF-FD904D468800}"/>
    <cellStyle name="Normal 19 4 4 3" xfId="20717" xr:uid="{C089F850-49C4-4ABB-9720-09B1F12362B1}"/>
    <cellStyle name="Normal 19 4 4 3 2" xfId="30213" xr:uid="{9A1400B2-2367-4C06-914A-1AED7F11AF24}"/>
    <cellStyle name="Normal 19 4 4 4" xfId="30214" xr:uid="{6CF17983-2174-494C-B52A-9CDDF4A32473}"/>
    <cellStyle name="Normal 19 4 4 5" xfId="30215" xr:uid="{473EEA59-5416-46B5-8CC2-9BED7253256A}"/>
    <cellStyle name="Normal 19 4 4 6" xfId="30216" xr:uid="{918DCCF5-2D2E-49AB-B042-7100D3B1D143}"/>
    <cellStyle name="Normal 19 4 4 7" xfId="30217" xr:uid="{879A8E0A-94C1-4B9D-92AC-EBA2165238E2}"/>
    <cellStyle name="Normal 19 4 5" xfId="17744" xr:uid="{49E2D271-461D-429B-8584-89FC0EA99609}"/>
    <cellStyle name="Normal 19 4 5 2" xfId="21361" xr:uid="{C2EDFC05-9B23-4C47-8595-8CE24F9BCCD2}"/>
    <cellStyle name="Normal 19 4 6" xfId="30218" xr:uid="{001BD1AF-F34B-4C3F-8808-A75B929BEE23}"/>
    <cellStyle name="Normal 19 4 7" xfId="30219" xr:uid="{02EA69D5-0FA5-4C6B-8B6E-4700EA6225EC}"/>
    <cellStyle name="Normal 19 4 8" xfId="30220" xr:uid="{A02EE003-13C0-44D4-AAE7-E295BE008E43}"/>
    <cellStyle name="Normal 19 4 9" xfId="30221" xr:uid="{B4BFD716-1E53-4AF2-BF76-AF0CF060967B}"/>
    <cellStyle name="Normal 19 5" xfId="4960" xr:uid="{BA88BF34-7904-487A-996F-0C222B0B4C46}"/>
    <cellStyle name="Normal 19 5 2" xfId="17748" xr:uid="{2F133DDA-73C0-4951-9013-7897D894450B}"/>
    <cellStyle name="Normal 19 5 2 2" xfId="21365" xr:uid="{B795FE1D-CEDD-44EF-8A8E-C6C01A004CAD}"/>
    <cellStyle name="Normal 19 5 3" xfId="30222" xr:uid="{9E8E1625-947E-4B57-8F5C-F800FDCDE96A}"/>
    <cellStyle name="Normal 19 5 4" xfId="30223" xr:uid="{7ECC517D-13AB-48D6-B7FE-B929634C6FDC}"/>
    <cellStyle name="Normal 19 5 5" xfId="30224" xr:uid="{7A69283D-C39D-436C-92CC-EA57D90682D1}"/>
    <cellStyle name="Normal 19 5 6" xfId="30225" xr:uid="{00995F42-3A7D-4C04-8FD4-F09D8CC75EE3}"/>
    <cellStyle name="Normal 19 6" xfId="4120" xr:uid="{1AC5402F-7490-451D-8E1C-EC963095FFAF}"/>
    <cellStyle name="Normal 19 6 2" xfId="17749" xr:uid="{9077CE3E-55EA-4CBB-B5BD-3F35B0EAA063}"/>
    <cellStyle name="Normal 19 6 2 2" xfId="21366" xr:uid="{276814F0-F345-42EA-9637-631F699B5AA1}"/>
    <cellStyle name="Normal 19 6 3" xfId="30226" xr:uid="{4E822D62-6720-49AA-B6AF-C0B549228FC2}"/>
    <cellStyle name="Normal 19 6 4" xfId="30227" xr:uid="{22D95761-CEE2-4B93-9634-CBCCCA7FF8B1}"/>
    <cellStyle name="Normal 19 6 5" xfId="30228" xr:uid="{81434234-AA3D-4527-BE26-25D448F3768E}"/>
    <cellStyle name="Normal 19 6 6" xfId="30229" xr:uid="{C810572E-2E78-4FD5-A327-CD8FA590AA4F}"/>
    <cellStyle name="Normal 19 7" xfId="6186" xr:uid="{2383F60E-664D-4552-8BD3-3604BFECAB0A}"/>
    <cellStyle name="Normal 19 7 2" xfId="17750" xr:uid="{0511B507-AA33-42F0-B0AD-D3D75CCE58A3}"/>
    <cellStyle name="Normal 19 7 2 2" xfId="21367" xr:uid="{9DA9E52F-A479-416D-AEEA-80DB70DB2043}"/>
    <cellStyle name="Normal 19 7 3" xfId="30230" xr:uid="{8F034D92-8A08-430B-B91E-EC2C04330735}"/>
    <cellStyle name="Normal 19 7 4" xfId="30231" xr:uid="{E43079BC-662B-4851-B193-F86EFAEF842C}"/>
    <cellStyle name="Normal 19 7 5" xfId="30232" xr:uid="{5508A25E-5DB7-4F2C-AE7C-DF7DB56C76AA}"/>
    <cellStyle name="Normal 19 7 6" xfId="30233" xr:uid="{25143A21-DC36-453A-86E2-A9F816730B40}"/>
    <cellStyle name="Normal 19 8" xfId="8844" xr:uid="{C28B3FD2-D421-4CE0-B31A-22401BF67B5F}"/>
    <cellStyle name="Normal 19 8 2" xfId="17751" xr:uid="{F3FBAEBE-3A4F-436E-9D7B-CB86D54FF866}"/>
    <cellStyle name="Normal 19 8 2 2" xfId="21368" xr:uid="{7838AEBE-E773-487A-B8F5-2813A87DB089}"/>
    <cellStyle name="Normal 19 8 3" xfId="30234" xr:uid="{099008EB-D42C-492B-8D58-189B6BF8F6A3}"/>
    <cellStyle name="Normal 19 8 4" xfId="30235" xr:uid="{D58216D9-BEB7-47A1-BF80-22B4756BC1D3}"/>
    <cellStyle name="Normal 19 8 5" xfId="30236" xr:uid="{91AFCE0E-5C0F-448F-8CF7-6BEA6604DC84}"/>
    <cellStyle name="Normal 19 8 6" xfId="30237" xr:uid="{5C82F98C-EF5E-4EF0-AFE8-E71AFBE43762}"/>
    <cellStyle name="Normal 19 9" xfId="15851" xr:uid="{7BD06334-CB34-446A-9561-4CBC58485A2D}"/>
    <cellStyle name="Normal 19 9 2" xfId="17752" xr:uid="{18B60129-0250-45AD-B64E-3E9E71CDAE40}"/>
    <cellStyle name="Normal 19 9 2 2" xfId="21369" xr:uid="{DE46A2BB-A95C-4191-898A-9379961C2712}"/>
    <cellStyle name="Normal 19 9 3" xfId="30238" xr:uid="{7D44BC6D-8028-4FBE-A657-B1E466DC788E}"/>
    <cellStyle name="Normal 19 9 4" xfId="30239" xr:uid="{319D50A9-5E93-4C97-A59A-A7FCE0DB99B8}"/>
    <cellStyle name="Normal 19 9 5" xfId="30240" xr:uid="{A1D69A35-E327-4E3F-8267-51C8DA648E3F}"/>
    <cellStyle name="Normal 19 9 6" xfId="30241" xr:uid="{3221D5E3-8242-4681-86C2-657E98226C74}"/>
    <cellStyle name="Normal 19_ELC" xfId="2862" xr:uid="{DABE7BBA-C970-4DEA-8C56-B8BEF6795D70}"/>
    <cellStyle name="Normal 2" xfId="1" xr:uid="{00000000-0005-0000-0000-000004000000}"/>
    <cellStyle name="Normal 2 10" xfId="2863" xr:uid="{8C58571F-31F6-4F57-9956-23F1D5CD303A}"/>
    <cellStyle name="Normal 2 10 2" xfId="4966" xr:uid="{874EE376-CE3E-4B14-B474-139B16477F27}"/>
    <cellStyle name="Normal 2 10 2 2" xfId="17755" xr:uid="{5121D599-589D-41BE-8A95-B7C3D00F1DDD}"/>
    <cellStyle name="Normal 2 10 2 2 2" xfId="21372" xr:uid="{4097E69A-0762-4CBD-877C-4CF65976495B}"/>
    <cellStyle name="Normal 2 10 2 3" xfId="30242" xr:uid="{D4DB3699-AC42-4B39-BD5F-34D93EA3561C}"/>
    <cellStyle name="Normal 2 10 2 4" xfId="30243" xr:uid="{D8A267F4-3A1E-4920-A42F-6598378593B7}"/>
    <cellStyle name="Normal 2 10 2 5" xfId="30244" xr:uid="{5BC90D3C-4E4D-43D8-8FBE-F2671B6FE8CC}"/>
    <cellStyle name="Normal 2 10 2 6" xfId="30245" xr:uid="{8ED26F61-164D-484A-807E-D00EEB3328B5}"/>
    <cellStyle name="Normal 2 10 3" xfId="4123" xr:uid="{5756ECE5-1505-40C8-9429-D5CBC30A464B}"/>
    <cellStyle name="Normal 2 10 3 2" xfId="21371" xr:uid="{F8A8B658-73E1-4636-A39D-3946C45FC250}"/>
    <cellStyle name="Normal 2 10 3 3" xfId="43959" xr:uid="{96ABCDCE-417E-40DC-BFA5-600D43DEC813}"/>
    <cellStyle name="Normal 2 10 3 4" xfId="17754" xr:uid="{5C52A022-FD24-4F8A-BA57-F20EEA0BA28D}"/>
    <cellStyle name="Normal 2 10 4" xfId="6189" xr:uid="{A86512D1-3C6B-432E-ABE0-7183E2F7C95E}"/>
    <cellStyle name="Normal 2 10 4 2" xfId="45864" xr:uid="{0BD34CED-EBC8-4A72-9D97-0A35181FB2D8}"/>
    <cellStyle name="Normal 2 10 4 3" xfId="30246" xr:uid="{DBA14EF6-B502-407D-8135-87B40B0F200C}"/>
    <cellStyle name="Normal 2 10 5" xfId="8850" xr:uid="{55509B64-CCB2-44FF-B0A1-3AF9DB061D3D}"/>
    <cellStyle name="Normal 2 10 5 2" xfId="30247" xr:uid="{69664FFD-71C6-4315-B87C-770173361BCB}"/>
    <cellStyle name="Normal 2 10 6" xfId="30248" xr:uid="{F0007E3D-4EB7-4D50-9851-71C7921D498A}"/>
    <cellStyle name="Normal 2 10 7" xfId="30249" xr:uid="{0EA6E826-508D-4223-A4F0-E033899F5B93}"/>
    <cellStyle name="Normal 2 10 8" xfId="30250" xr:uid="{9232E320-E7EF-4589-82B0-1ECE604C9F81}"/>
    <cellStyle name="Normal 2 11" xfId="2864" xr:uid="{7E98CD06-2747-48A4-B11D-89D9BB86A1E0}"/>
    <cellStyle name="Normal 2 11 10" xfId="8017" xr:uid="{98C8746F-F9A6-41F4-A4FE-E60999AC9F7E}"/>
    <cellStyle name="Normal 2 11 10 2" xfId="12530" xr:uid="{54DE54EE-C5B2-4740-9E63-7EE0C7A3430E}"/>
    <cellStyle name="Normal 2 11 10 3" xfId="47648" xr:uid="{5EA29E3F-9035-4DBA-98BF-4935C787F322}"/>
    <cellStyle name="Normal 2 11 11" xfId="11280" xr:uid="{20E1399A-1B43-4071-80F8-0D6F07B850D6}"/>
    <cellStyle name="Normal 2 11 11 2" xfId="13839" xr:uid="{0F62EE2D-01F4-4B45-8CB4-283547CE4683}"/>
    <cellStyle name="Normal 2 11 12" xfId="5914" xr:uid="{39FA1C06-A620-42C8-9797-02E2D8B4B692}"/>
    <cellStyle name="Normal 2 11 13" xfId="11402" xr:uid="{5C2DB8B0-A3D2-4422-9A1B-EA489EF073F0}"/>
    <cellStyle name="Normal 2 11 14" xfId="13870" xr:uid="{135352B0-55CF-4798-BBC9-DA8C6B91E74B}"/>
    <cellStyle name="Normal 2 11 2" xfId="2865" xr:uid="{71FF52E1-1EC6-4CAC-A804-B5639440476E}"/>
    <cellStyle name="Normal 2 11 2 2" xfId="4968" xr:uid="{3E8701D6-8DAD-4E5E-A5B1-46E582C986A7}"/>
    <cellStyle name="Normal 2 11 2 2 2" xfId="10505" xr:uid="{6C820410-7B7D-43C6-B54C-BFC32302AD48}"/>
    <cellStyle name="Normal 2 11 2 2 2 2" xfId="13696" xr:uid="{8B318693-CF60-42F0-BD73-24EF2E5CF447}"/>
    <cellStyle name="Normal 2 11 2 2 2 2 2" xfId="21375" xr:uid="{82489686-4C47-4052-A962-A4E7E8438BBF}"/>
    <cellStyle name="Normal 2 11 2 2 2 3" xfId="17758" xr:uid="{A8F4D792-2888-46F7-939D-087938331E1F}"/>
    <cellStyle name="Normal 2 11 2 2 3" xfId="30251" xr:uid="{80A8F7B5-1C29-4324-AAD1-C4E15D5422FA}"/>
    <cellStyle name="Normal 2 11 2 2 4" xfId="30252" xr:uid="{CF9E6B6A-FA5A-4D80-8D8E-43202F95603C}"/>
    <cellStyle name="Normal 2 11 2 2 5" xfId="30253" xr:uid="{078B29C0-334B-4244-8B87-37409515A978}"/>
    <cellStyle name="Normal 2 11 2 2 6" xfId="30254" xr:uid="{CCA740BE-DC5B-4F16-B97D-BD660D154D7A}"/>
    <cellStyle name="Normal 2 11 2 3" xfId="6821" xr:uid="{794B00AE-D9D8-4FEF-9615-E930E369404C}"/>
    <cellStyle name="Normal 2 11 2 3 2" xfId="17759" xr:uid="{88D55EA3-FB82-4C0B-ACDA-F5453961BBF6}"/>
    <cellStyle name="Normal 2 11 2 3 2 2" xfId="21376" xr:uid="{1982926A-953B-41AE-8FA9-E05054E8BE6C}"/>
    <cellStyle name="Normal 2 11 2 3 3" xfId="20667" xr:uid="{6673C46B-6F63-4A2B-A79A-CE20DA08E026}"/>
    <cellStyle name="Normal 2 11 2 3 4" xfId="46299" xr:uid="{B3BF028D-2AF5-4304-BA84-3E5E796E1AE0}"/>
    <cellStyle name="Normal 2 11 2 3 5" xfId="16501" xr:uid="{E615E4F2-7AAA-4F99-A2D7-793EED742922}"/>
    <cellStyle name="Normal 2 11 2 4" xfId="8852" xr:uid="{650143E3-0C95-44B8-A42B-3BFB72B59E87}"/>
    <cellStyle name="Normal 2 11 2 4 2" xfId="21374" xr:uid="{CB963A93-B092-4FEE-B168-CD2C76FE784E}"/>
    <cellStyle name="Normal 2 11 2 4 3" xfId="17757" xr:uid="{E41694F2-9562-4FFF-A196-E1611CB9BFCA}"/>
    <cellStyle name="Normal 2 11 2 5" xfId="30255" xr:uid="{20822A96-A55F-478D-AE00-E0B3CA8FADB4}"/>
    <cellStyle name="Normal 2 11 2 6" xfId="30256" xr:uid="{4EB829B1-DD00-4238-ADC9-DF1DEC0018AF}"/>
    <cellStyle name="Normal 2 11 2 7" xfId="30257" xr:uid="{B1BD8128-96EA-48AB-B65D-52FED00827C0}"/>
    <cellStyle name="Normal 2 11 2 8" xfId="30258" xr:uid="{299C01C2-522F-43FD-B27E-AA059711C39D}"/>
    <cellStyle name="Normal 2 11 3" xfId="2866" xr:uid="{DA8F208B-A8FD-4938-A466-95007D7C9F57}"/>
    <cellStyle name="Normal 2 11 3 10" xfId="14000" xr:uid="{2B199E46-0ACA-4AE0-90BC-89AC5226FD70}"/>
    <cellStyle name="Normal 2 11 3 2" xfId="4969" xr:uid="{B5CBCA28-1E31-4A53-902C-1BD141B55E17}"/>
    <cellStyle name="Normal 2 11 3 2 2" xfId="5777" xr:uid="{F8FD8373-52E1-4F93-8AC2-C026BE46A4F8}"/>
    <cellStyle name="Normal 2 11 3 2 2 2" xfId="10371" xr:uid="{F3D6DBD5-AAEF-4AAB-BC94-5F8E1EF92958}"/>
    <cellStyle name="Normal 2 11 3 2 2 2 2" xfId="13677" xr:uid="{ADD3F7B7-C06F-4FD5-A3F7-60BED6660673}"/>
    <cellStyle name="Normal 2 11 3 2 2 2 3" xfId="48329" xr:uid="{452DDA2D-1451-49EF-AF89-56A17FE68592}"/>
    <cellStyle name="Normal 2 11 3 2 2 3" xfId="7879" xr:uid="{0336282F-DF59-48E0-98EE-A95AF41BC426}"/>
    <cellStyle name="Normal 2 11 3 2 2 3 2" xfId="46785" xr:uid="{B2923BE6-E708-4163-B404-2C1018C75FB5}"/>
    <cellStyle name="Normal 2 11 3 2 2 4" xfId="12392" xr:uid="{54241281-99EA-437F-AB7E-95C228B2FAFE}"/>
    <cellStyle name="Normal 2 11 3 2 2 5" xfId="14806" xr:uid="{903EFB74-D221-44E8-9F6E-DAEA460633B9}"/>
    <cellStyle name="Normal 2 11 3 2 3" xfId="11257" xr:uid="{14C9D770-6366-4397-9AA8-75FCF4A76D3F}"/>
    <cellStyle name="Normal 2 11 3 2 3 2" xfId="13816" xr:uid="{762A7A05-E2E9-478E-8C02-7259287DB12C}"/>
    <cellStyle name="Normal 2 11 3 2 3 2 2" xfId="48713" xr:uid="{4D939D36-6CBD-4629-92FA-917A3BC6ABD4}"/>
    <cellStyle name="Normal 2 11 3 2 3 3" xfId="47148" xr:uid="{FE19FD4A-C1BA-40DB-9E15-C989DE37977E}"/>
    <cellStyle name="Normal 2 11 3 2 3 4" xfId="15121" xr:uid="{5557A63F-C4F3-4462-856E-D4C5A169EEE6}"/>
    <cellStyle name="Normal 2 11 3 2 4" xfId="9877" xr:uid="{6AD0AE0D-72B3-4045-9E80-27E447120AE7}"/>
    <cellStyle name="Normal 2 11 3 2 4 2" xfId="13183" xr:uid="{9E6F42F2-24BE-46EC-B85B-3D1EAA36217F}"/>
    <cellStyle name="Normal 2 11 3 2 4 2 2" xfId="49187" xr:uid="{5CBBF8B3-D8BF-4940-A04B-81E7FAFA7785}"/>
    <cellStyle name="Normal 2 11 3 2 4 3" xfId="47604" xr:uid="{77A929F2-C204-4BD6-A008-F589888A7393}"/>
    <cellStyle name="Normal 2 11 3 2 5" xfId="7375" xr:uid="{F6FDD316-BC89-4BD9-9C4F-C7CC6D41AA23}"/>
    <cellStyle name="Normal 2 11 3 2 5 2" xfId="47861" xr:uid="{7E0666D5-3B15-47EF-AF01-C31273C033A0}"/>
    <cellStyle name="Normal 2 11 3 2 6" xfId="11898" xr:uid="{3672FAAC-3658-473C-A70C-8B3B71401489}"/>
    <cellStyle name="Normal 2 11 3 2 6 2" xfId="21373" xr:uid="{BACD91C2-7222-4383-AD2F-14B705734E6C}"/>
    <cellStyle name="Normal 2 11 3 2 7" xfId="14314" xr:uid="{287F71B6-8AC0-43F5-8965-456B6BA0DE5E}"/>
    <cellStyle name="Normal 2 11 3 3" xfId="5601" xr:uid="{B0268387-AF09-4EEF-AC65-B2E52C58C599}"/>
    <cellStyle name="Normal 2 11 3 3 2" xfId="7703" xr:uid="{AF1859B7-9183-46E0-AE5A-D6DE634ACAA7}"/>
    <cellStyle name="Normal 2 11 3 3 2 2" xfId="10195" xr:uid="{A280DD0D-D179-4209-95CB-8A54D99242B5}"/>
    <cellStyle name="Normal 2 11 3 3 2 2 2" xfId="13501" xr:uid="{E72204DB-5249-42A3-9B28-D8489F365DF5}"/>
    <cellStyle name="Normal 2 11 3 3 2 2 3" xfId="49015" xr:uid="{04BFC744-3996-4266-8970-7C2463F7A3CE}"/>
    <cellStyle name="Normal 2 11 3 3 2 3" xfId="12216" xr:uid="{EE6DDDA3-74A5-4339-8122-1E6A7E48A6BA}"/>
    <cellStyle name="Normal 2 11 3 3 2 3 2" xfId="47437" xr:uid="{EAE34321-B27B-4F82-B72D-F70BE21170C4}"/>
    <cellStyle name="Normal 2 11 3 3 2 4" xfId="14630" xr:uid="{621246F3-76C8-4289-9C38-A99F63DE57C6}"/>
    <cellStyle name="Normal 2 11 3 3 3" xfId="9701" xr:uid="{B283314D-2590-499F-9F54-E57EBCC7497B}"/>
    <cellStyle name="Normal 2 11 3 3 3 2" xfId="13007" xr:uid="{5F1F6510-58A3-4779-A0FC-8C60DC5AE0EA}"/>
    <cellStyle name="Normal 2 11 3 3 3 3" xfId="48160" xr:uid="{40D47ECB-AAE2-4983-805F-AFCD6EDFC954}"/>
    <cellStyle name="Normal 2 11 3 3 4" xfId="7197" xr:uid="{261935EF-4222-4240-9F09-35D80C910DE2}"/>
    <cellStyle name="Normal 2 11 3 3 4 2" xfId="43885" xr:uid="{3B1FB84F-BFB6-45F8-BB5A-81C9D62B7945}"/>
    <cellStyle name="Normal 2 11 3 3 5" xfId="11722" xr:uid="{84F4EC3A-D157-466E-970A-50EA100874D6}"/>
    <cellStyle name="Normal 2 11 3 3 6" xfId="14138" xr:uid="{DEAFEA10-FB16-4B54-91F8-B8CA63E85C61}"/>
    <cellStyle name="Normal 2 11 3 4" xfId="6822" xr:uid="{445AB528-B01F-475D-AF72-F19C67CA9DEB}"/>
    <cellStyle name="Normal 2 11 3 4 2" xfId="9563" xr:uid="{61036235-519D-4967-933B-2AB33CC64AEC}"/>
    <cellStyle name="Normal 2 11 3 4 2 2" xfId="12869" xr:uid="{FA44B560-6EB4-4CC5-9C90-431139926E84}"/>
    <cellStyle name="Normal 2 11 3 4 2 3" xfId="48025" xr:uid="{6D3CE887-9D77-45D6-9EF7-786DF43AC787}"/>
    <cellStyle name="Normal 2 11 3 4 3" xfId="11584" xr:uid="{F275B7F5-1674-453A-8923-B85565438CEB}"/>
    <cellStyle name="Normal 2 11 3 4 3 2" xfId="46300" xr:uid="{6EA5FABA-9E2C-4B67-9C5A-482491B2E9B9}"/>
    <cellStyle name="Normal 2 11 3 4 4" xfId="14492" xr:uid="{AB4BE80F-CD23-4D84-A90D-FBB6876B62AB}"/>
    <cellStyle name="Normal 2 11 3 5" xfId="7565" xr:uid="{6D29461E-EB28-43BF-A1D7-C7FE8570E4BC}"/>
    <cellStyle name="Normal 2 11 3 5 2" xfId="10057" xr:uid="{B30F4E69-4338-49BE-A05D-705CC2D8C739}"/>
    <cellStyle name="Normal 2 11 3 5 2 2" xfId="13363" xr:uid="{3C3D54B9-7511-4521-85B6-50E79E3E05B5}"/>
    <cellStyle name="Normal 2 11 3 5 2 3" xfId="48570" xr:uid="{634F58AB-A5BF-4D6F-B988-10C3BAA7E22D}"/>
    <cellStyle name="Normal 2 11 3 5 3" xfId="12078" xr:uid="{A5D03240-6BD1-4FAC-93D8-9146DCAC4FE1}"/>
    <cellStyle name="Normal 2 11 3 5 3 2" xfId="47010" xr:uid="{2A8BD991-3475-43F2-BE05-20FD1AA7020F}"/>
    <cellStyle name="Normal 2 11 3 5 4" xfId="14945" xr:uid="{69265B8C-51E5-4D05-9B9E-03D6DB97E7C5}"/>
    <cellStyle name="Normal 2 11 3 6" xfId="8853" xr:uid="{A3BAFEB3-52D8-4AC6-B806-F0B0E2C90956}"/>
    <cellStyle name="Normal 2 11 3 6 2" xfId="12687" xr:uid="{99DB2AF7-434E-4A37-A390-693814936DDB}"/>
    <cellStyle name="Normal 2 11 3 6 2 2" xfId="48877" xr:uid="{7DBAA279-0C0F-4FF4-ADD7-EB15EB0989F1}"/>
    <cellStyle name="Normal 2 11 3 6 3" xfId="47306" xr:uid="{486CC527-0DA2-4841-9ABA-7BE0A01457E9}"/>
    <cellStyle name="Normal 2 11 3 7" xfId="8018" xr:uid="{CC3CA317-EB65-41A7-9AA7-3F9FE29E1FE6}"/>
    <cellStyle name="Normal 2 11 3 7 2" xfId="12531" xr:uid="{EE91516D-CC9A-435D-B4B9-DEC84E94EE13}"/>
    <cellStyle name="Normal 2 11 3 7 3" xfId="47726" xr:uid="{7E4D8278-8A76-4352-AD53-205094E14231}"/>
    <cellStyle name="Normal 2 11 3 8" xfId="5915" xr:uid="{4D267715-9C67-4223-A968-90EAEC1DC634}"/>
    <cellStyle name="Normal 2 11 3 8 2" xfId="17756" xr:uid="{B269442D-086D-40B3-88D8-300F2C7F1734}"/>
    <cellStyle name="Normal 2 11 3 9" xfId="11403" xr:uid="{2B355FB8-591B-4E42-A116-2079168429D8}"/>
    <cellStyle name="Normal 2 11 4" xfId="4967" xr:uid="{293D81EE-350B-4153-8104-FC8A19CB09A1}"/>
    <cellStyle name="Normal 2 11 4 2" xfId="5776" xr:uid="{CA315A40-55C5-4092-9EFF-05DF1527F89B}"/>
    <cellStyle name="Normal 2 11 4 2 2" xfId="7878" xr:uid="{23E4A0DB-4FFD-466E-828B-E08A6B4D52ED}"/>
    <cellStyle name="Normal 2 11 4 2 2 2" xfId="10370" xr:uid="{ECA53664-92DE-4945-AE96-7DBA6A6A9A3C}"/>
    <cellStyle name="Normal 2 11 4 2 2 2 2" xfId="13676" xr:uid="{6A974342-D06F-468B-92D3-343FC2D429F2}"/>
    <cellStyle name="Normal 2 11 4 2 2 2 3" xfId="49186" xr:uid="{FA478F78-FB0E-45F3-9A0A-5B8D79348DEE}"/>
    <cellStyle name="Normal 2 11 4 2 2 3" xfId="12391" xr:uid="{B2024C72-9C85-45A8-B41F-C5D51E33DF7E}"/>
    <cellStyle name="Normal 2 11 4 2 2 3 2" xfId="47603" xr:uid="{5CAC19DA-2155-427A-ADBF-8182F780FCC1}"/>
    <cellStyle name="Normal 2 11 4 2 2 4" xfId="14805" xr:uid="{F2FCC798-CC9E-4CC8-A1DA-3B32AC87D34B}"/>
    <cellStyle name="Normal 2 11 4 2 3" xfId="9876" xr:uid="{97B636ED-0573-4ECF-9614-E0AED3CFEAA8}"/>
    <cellStyle name="Normal 2 11 4 2 3 2" xfId="13182" xr:uid="{494E417B-DA19-4B05-838C-3D800A1384DA}"/>
    <cellStyle name="Normal 2 11 4 2 3 3" xfId="48328" xr:uid="{3C80818A-1739-44F3-8DE3-B570F3AA0A26}"/>
    <cellStyle name="Normal 2 11 4 2 4" xfId="7374" xr:uid="{B2E9ED1C-A627-471A-8DEA-C33012FA738B}"/>
    <cellStyle name="Normal 2 11 4 2 4 2" xfId="23401" xr:uid="{E64DB373-0CEF-4239-8689-FAC118C411AD}"/>
    <cellStyle name="Normal 2 11 4 2 5" xfId="11897" xr:uid="{95952611-5F86-4284-8B13-2CAC2C2CB9D1}"/>
    <cellStyle name="Normal 2 11 4 2 6" xfId="14313" xr:uid="{A8B3F76B-B112-4FFA-8A23-EBEE54A37179}"/>
    <cellStyle name="Normal 2 11 4 3" xfId="7564" xr:uid="{5AA2CEF6-2BB0-40AC-8257-D24B6618AB00}"/>
    <cellStyle name="Normal 2 11 4 3 2" xfId="10056" xr:uid="{7FC8086F-ECAB-4980-BD6B-28C144C17646}"/>
    <cellStyle name="Normal 2 11 4 3 2 2" xfId="13362" xr:uid="{5BC3A662-BAA0-422B-8743-A003FE22FCCB}"/>
    <cellStyle name="Normal 2 11 4 3 2 3" xfId="48024" xr:uid="{EE71F36B-0A6A-4890-A991-A186C97FFD62}"/>
    <cellStyle name="Normal 2 11 4 3 3" xfId="12077" xr:uid="{E448E3AC-54F3-4AB7-9084-A914C87A40E4}"/>
    <cellStyle name="Normal 2 11 4 3 3 2" xfId="46298" xr:uid="{5106B813-4FB1-4EA7-9AE7-DB108480FC62}"/>
    <cellStyle name="Normal 2 11 4 3 4" xfId="14491" xr:uid="{8B6B43EF-085E-4742-B6CE-B520217488E6}"/>
    <cellStyle name="Normal 2 11 4 4" xfId="11183" xr:uid="{ADADD508-6427-48C3-A04B-675EBD4B1E8E}"/>
    <cellStyle name="Normal 2 11 4 4 2" xfId="13771" xr:uid="{6B60E5FF-D966-4AA7-AAB4-76219C118152}"/>
    <cellStyle name="Normal 2 11 4 4 2 2" xfId="48569" xr:uid="{95E2ADE3-A995-468E-8835-56D8D1C9304E}"/>
    <cellStyle name="Normal 2 11 4 4 3" xfId="47009" xr:uid="{A6C4128F-5A8B-4931-A334-08F7648FE552}"/>
    <cellStyle name="Normal 2 11 4 4 4" xfId="15120" xr:uid="{770DE940-0F82-4C10-9D29-3AF7C04EEF53}"/>
    <cellStyle name="Normal 2 11 4 5" xfId="10970" xr:uid="{9B94E478-2741-4FFE-8463-91BAE32635AC}"/>
    <cellStyle name="Normal 2 11 4 5 2" xfId="48876" xr:uid="{F1325EF0-E6DC-48BD-B725-0766E0CB8423}"/>
    <cellStyle name="Normal 2 11 4 5 3" xfId="47305" xr:uid="{F1D5C630-FBED-4F45-8C95-F344D3BD5E00}"/>
    <cellStyle name="Normal 2 11 4 6" xfId="9562" xr:uid="{704F0F9E-05BE-4AB1-8886-56A9F7A9F11D}"/>
    <cellStyle name="Normal 2 11 4 6 2" xfId="12868" xr:uid="{3C70E2D3-EA42-4A9F-94A0-4F6C5AA66369}"/>
    <cellStyle name="Normal 2 11 4 6 3" xfId="47808" xr:uid="{9B7F3B5F-6B9B-40A7-8F15-A18B94370AF6}"/>
    <cellStyle name="Normal 2 11 4 7" xfId="6820" xr:uid="{2C89CF3F-B880-435E-9C5E-27E5C4789A93}"/>
    <cellStyle name="Normal 2 11 4 7 2" xfId="19781" xr:uid="{E1611C0C-FC98-4B94-8E04-2E955B661CEF}"/>
    <cellStyle name="Normal 2 11 4 8" xfId="11583" xr:uid="{A7EEEB9A-AF35-41FE-8A41-812AC3F91D59}"/>
    <cellStyle name="Normal 2 11 4 9" xfId="13999" xr:uid="{CA82862C-1172-4820-9D84-F390AAB33A3A}"/>
    <cellStyle name="Normal 2 11 5" xfId="4124" xr:uid="{0DEDAEE8-2DAB-451B-98E7-107420EC8A11}"/>
    <cellStyle name="Normal 2 11 5 2" xfId="5648" xr:uid="{7D7B836B-D90E-4211-BAEA-722D13CCBA4C}"/>
    <cellStyle name="Normal 2 11 5 2 2" xfId="10242" xr:uid="{9A644DAB-6DDC-4D22-BBE8-2D30F334AF7C}"/>
    <cellStyle name="Normal 2 11 5 2 2 2" xfId="13548" xr:uid="{F14162E9-FD1B-4BA2-A565-40699451032A}"/>
    <cellStyle name="Normal 2 11 5 2 2 3" xfId="48444" xr:uid="{3066D0FF-1F07-4FED-ADEF-DEF7D038085D}"/>
    <cellStyle name="Normal 2 11 5 2 3" xfId="7750" xr:uid="{CA8B64E2-B947-44D8-A3BA-63F461F9FB8F}"/>
    <cellStyle name="Normal 2 11 5 2 3 2" xfId="46886" xr:uid="{450769F5-3334-4740-9AAD-C840F6B6140F}"/>
    <cellStyle name="Normal 2 11 5 2 4" xfId="12263" xr:uid="{64C04D32-5C12-4A77-90C9-F93A4E987407}"/>
    <cellStyle name="Normal 2 11 5 2 5" xfId="14677" xr:uid="{0DD36B51-0C31-40C2-8190-6ACA53C14124}"/>
    <cellStyle name="Normal 2 11 5 3" xfId="9748" xr:uid="{0D5D2DA8-325A-4D14-A450-63B8FAF20D99}"/>
    <cellStyle name="Normal 2 11 5 3 2" xfId="13054" xr:uid="{06327C5F-3C48-4774-8367-46F3AF5D5309}"/>
    <cellStyle name="Normal 2 11 5 3 2 2" xfId="49059" xr:uid="{B32D4BD0-B750-4C8F-834A-41A842C613C3}"/>
    <cellStyle name="Normal 2 11 5 3 3" xfId="47478" xr:uid="{E93DA3E0-B773-4D8B-88B3-2FDDD7CA7FC2}"/>
    <cellStyle name="Normal 2 11 5 3 4" xfId="14992" xr:uid="{55A38180-E3A1-4172-B24F-8C34282010D7}"/>
    <cellStyle name="Normal 2 11 5 4" xfId="7244" xr:uid="{D9784875-FA85-498B-B3C1-F71B2C1DD07B}"/>
    <cellStyle name="Normal 2 11 5 4 2" xfId="48204" xr:uid="{5C5B55CE-36FC-447A-BA08-686A52BFD529}"/>
    <cellStyle name="Normal 2 11 5 5" xfId="11769" xr:uid="{6CA991EF-B437-40D7-9C6B-70BB925F020E}"/>
    <cellStyle name="Normal 2 11 5 5 2" xfId="30259" xr:uid="{CDFBB334-4ACB-4E08-AD18-67F5982DC0E3}"/>
    <cellStyle name="Normal 2 11 5 6" xfId="14185" xr:uid="{391F3E19-99F8-4294-8FA8-D7526C162200}"/>
    <cellStyle name="Normal 2 11 6" xfId="5600" xr:uid="{75188D48-DDBA-4FA9-BE99-35667D502261}"/>
    <cellStyle name="Normal 2 11 6 2" xfId="7702" xr:uid="{6340436D-8E02-4A23-8A4E-F2C88D6DD00A}"/>
    <cellStyle name="Normal 2 11 6 2 2" xfId="10194" xr:uid="{38A49CCD-EE04-4CFA-A39F-CCD1FB05590D}"/>
    <cellStyle name="Normal 2 11 6 2 2 2" xfId="13500" xr:uid="{B78B2307-2DEB-4BD1-AFC3-2084B1F2361E}"/>
    <cellStyle name="Normal 2 11 6 2 2 3" xfId="48656" xr:uid="{EA11243C-FD22-4DA1-B78D-264ED3831BE3}"/>
    <cellStyle name="Normal 2 11 6 2 3" xfId="12215" xr:uid="{21FF8755-94EF-4913-90E6-EE663706EEE0}"/>
    <cellStyle name="Normal 2 11 6 2 3 2" xfId="47090" xr:uid="{2ED2D85C-16A9-44AA-A708-D5510C504CCD}"/>
    <cellStyle name="Normal 2 11 6 2 4" xfId="14629" xr:uid="{69C7757B-7856-4B5F-8176-8CD684C316EA}"/>
    <cellStyle name="Normal 2 11 6 3" xfId="9700" xr:uid="{6D1F7AF1-E28E-42C1-BBD8-1A3B02D7A83B}"/>
    <cellStyle name="Normal 2 11 6 3 2" xfId="13006" xr:uid="{190A2C55-2F89-4575-BEF9-031EB1A8587D}"/>
    <cellStyle name="Normal 2 11 6 3 2 2" xfId="49014" xr:uid="{0011FBCC-CF02-4573-91EC-C8A43293FF67}"/>
    <cellStyle name="Normal 2 11 6 3 3" xfId="47436" xr:uid="{1206AA9E-675A-4D80-BA83-E88FF8935FCB}"/>
    <cellStyle name="Normal 2 11 6 4" xfId="7196" xr:uid="{73943CEB-0CFB-4936-9410-10E5AB6128E0}"/>
    <cellStyle name="Normal 2 11 6 4 2" xfId="48159" xr:uid="{E71D8936-87A2-49A7-AEB0-B18E4E8E4D09}"/>
    <cellStyle name="Normal 2 11 6 5" xfId="11721" xr:uid="{DCDF5496-29BD-482C-9EA4-878B95BE53FC}"/>
    <cellStyle name="Normal 2 11 6 5 2" xfId="30260" xr:uid="{97CBB675-2BDE-4381-9706-917CDB2832F4}"/>
    <cellStyle name="Normal 2 11 6 6" xfId="14137" xr:uid="{B08469F9-9D1A-4F8B-A6A4-C9FA09C6C2E5}"/>
    <cellStyle name="Normal 2 11 7" xfId="6190" xr:uid="{F9F3C817-DF50-465B-9962-1F21AB0654D8}"/>
    <cellStyle name="Normal 2 11 7 2" xfId="9431" xr:uid="{6EF80AB3-A763-434D-BA81-5EB5AF1C4F69}"/>
    <cellStyle name="Normal 2 11 7 2 2" xfId="12737" xr:uid="{8E708C66-0BB3-4D50-B40F-FA4FC621E89C}"/>
    <cellStyle name="Normal 2 11 7 2 3" xfId="47899" xr:uid="{7EEB2A0C-9CB9-418D-B29D-CD37B4E3E47E}"/>
    <cellStyle name="Normal 2 11 7 3" xfId="11452" xr:uid="{03A74FAF-85A2-4D55-8820-24B522861422}"/>
    <cellStyle name="Normal 2 11 7 3 2" xfId="30261" xr:uid="{62C60A36-3026-4B59-9FC8-EA4DAC93FDFA}"/>
    <cellStyle name="Normal 2 11 7 4" xfId="14363" xr:uid="{85D41675-0856-4E90-9931-52D40C35697A}"/>
    <cellStyle name="Normal 2 11 8" xfId="7436" xr:uid="{1B64B171-C07F-43AB-A1A4-81F250C42B85}"/>
    <cellStyle name="Normal 2 11 8 2" xfId="9928" xr:uid="{CACA9042-C219-44BB-BB1A-75DCF568B1A0}"/>
    <cellStyle name="Normal 2 11 8 2 2" xfId="13234" xr:uid="{896E29C6-FCBD-43B4-9537-0E77228AFE4F}"/>
    <cellStyle name="Normal 2 11 8 2 3" xfId="48412" xr:uid="{E13246A5-41CF-4463-A85B-4E506D335E22}"/>
    <cellStyle name="Normal 2 11 8 3" xfId="11949" xr:uid="{935CD07B-55BA-4EE3-AE48-52E91E411DE3}"/>
    <cellStyle name="Normal 2 11 8 3 2" xfId="30262" xr:uid="{C335ABC7-4A23-4827-9E8D-D1B646798BB1}"/>
    <cellStyle name="Normal 2 11 8 4" xfId="14944" xr:uid="{EC51DA23-B299-406C-AB7E-EEB055A2B24B}"/>
    <cellStyle name="Normal 2 11 9" xfId="8851" xr:uid="{B312FD25-D097-4389-A870-359CD4CA851C}"/>
    <cellStyle name="Normal 2 11 9 2" xfId="12686" xr:uid="{F30EF136-179F-48AE-BBA5-3AB42DA1B72F}"/>
    <cellStyle name="Normal 2 11 9 2 2" xfId="48750" xr:uid="{882B155F-96D6-4D43-B861-096DCB4740B5}"/>
    <cellStyle name="Normal 2 11 9 3" xfId="47183" xr:uid="{4C79681F-A84E-4305-8A1D-65C8DE48CAB0}"/>
    <cellStyle name="Normal 2 12" xfId="2867" xr:uid="{B1A519C4-080A-457A-B16C-14CC9E3104E1}"/>
    <cellStyle name="Normal 2 12 10" xfId="30263" xr:uid="{0596151B-5104-445F-BA2D-1BFBB2E5E53E}"/>
    <cellStyle name="Normal 2 12 11" xfId="30264" xr:uid="{3BACFA00-9EAF-441C-BD63-50EF092ADDE6}"/>
    <cellStyle name="Normal 2 12 2" xfId="2868" xr:uid="{8EA6C17C-C630-45ED-BA61-8CDB96DAD4ED}"/>
    <cellStyle name="Normal 2 12 2 2" xfId="16787" xr:uid="{F9911AA9-AAFF-43EF-B2E6-044BCE43C22E}"/>
    <cellStyle name="Normal 2 12 2 2 2" xfId="17762" xr:uid="{594B0CF8-1AA7-488C-97D4-304EA70B5F35}"/>
    <cellStyle name="Normal 2 12 2 2 2 2" xfId="21379" xr:uid="{794DAAAF-8D69-400F-B6D7-AA002DE02BC4}"/>
    <cellStyle name="Normal 2 12 2 2 3" xfId="30265" xr:uid="{D0874BC5-70AC-4BB8-8A56-C1EA623A8A74}"/>
    <cellStyle name="Normal 2 12 2 2 4" xfId="30266" xr:uid="{A7205697-380F-470A-B90C-F1FBF2DCA759}"/>
    <cellStyle name="Normal 2 12 2 2 5" xfId="30267" xr:uid="{A0C43C23-FFCB-4CC0-8945-6DFBBE881EA7}"/>
    <cellStyle name="Normal 2 12 2 2 6" xfId="30268" xr:uid="{D4060B64-ABA7-425A-9AC4-E019B2304F49}"/>
    <cellStyle name="Normal 2 12 2 3" xfId="16503" xr:uid="{D7D7B438-1F27-4397-B2F0-B864927C2327}"/>
    <cellStyle name="Normal 2 12 2 3 2" xfId="17763" xr:uid="{9D6043E0-DC14-4B94-9051-21D7C27AEEBD}"/>
    <cellStyle name="Normal 2 12 2 3 2 2" xfId="21380" xr:uid="{FAFB6FFF-4F9B-45AB-A302-C6B810FF9D35}"/>
    <cellStyle name="Normal 2 12 2 3 3" xfId="30269" xr:uid="{894DFFE7-5C5D-4FFB-82F3-1CFF29C63754}"/>
    <cellStyle name="Normal 2 12 2 3 4" xfId="30270" xr:uid="{FCF52B8F-04D0-48A8-8BF5-682D9B9545F9}"/>
    <cellStyle name="Normal 2 12 2 3 5" xfId="30271" xr:uid="{F7159AC6-FAC1-4AD5-88DC-AF5D0EFCE316}"/>
    <cellStyle name="Normal 2 12 2 3 6" xfId="30272" xr:uid="{905608E8-8957-4997-99DE-430B483E575E}"/>
    <cellStyle name="Normal 2 12 2 4" xfId="17761" xr:uid="{5E9AA0BB-9543-4409-BC65-72297F29AC94}"/>
    <cellStyle name="Normal 2 12 2 4 2" xfId="21378" xr:uid="{B81DDC86-D718-477E-9E53-C7C440B4255E}"/>
    <cellStyle name="Normal 2 12 2 5" xfId="30273" xr:uid="{3243C505-2DDC-43BC-9274-BA4720B9967E}"/>
    <cellStyle name="Normal 2 12 2 6" xfId="30274" xr:uid="{1BEDDD6E-C41A-4039-BFAF-6FE94F1551B8}"/>
    <cellStyle name="Normal 2 12 2 7" xfId="30275" xr:uid="{C153EF43-1BA3-4CD6-983F-3BF46B90C266}"/>
    <cellStyle name="Normal 2 12 2 8" xfId="30276" xr:uid="{B2595385-B3D1-4691-8BA6-8015A1807CCD}"/>
    <cellStyle name="Normal 2 12 3" xfId="4970" xr:uid="{3BAF8EC4-7F52-4B14-B4F7-54147E20BEBB}"/>
    <cellStyle name="Normal 2 12 3 2" xfId="17764" xr:uid="{65C00B8E-B129-47C4-8F82-8A78EDE31082}"/>
    <cellStyle name="Normal 2 12 3 2 2" xfId="21381" xr:uid="{9F9F2125-481E-49B5-81A5-7C91D301AD1F}"/>
    <cellStyle name="Normal 2 12 3 3" xfId="30277" xr:uid="{962EED00-E4A0-4C63-9014-758842F07C1B}"/>
    <cellStyle name="Normal 2 12 3 4" xfId="30278" xr:uid="{0CD0215E-CD50-4219-8BC6-A64B9726E005}"/>
    <cellStyle name="Normal 2 12 3 5" xfId="30279" xr:uid="{8AE8A50C-DED4-45BE-92FE-1CBFA2CC120A}"/>
    <cellStyle name="Normal 2 12 3 6" xfId="30280" xr:uid="{490B1F51-4E61-4C8E-AC23-440A08ED5689}"/>
    <cellStyle name="Normal 2 12 4" xfId="4125" xr:uid="{D80E2F62-D59C-4721-B298-D4998723766E}"/>
    <cellStyle name="Normal 2 12 4 2" xfId="17765" xr:uid="{05EC1E4F-5F81-4211-961C-17A8B7FDD9C3}"/>
    <cellStyle name="Normal 2 12 4 2 2" xfId="21382" xr:uid="{470CA1D3-B116-47F7-AC5C-C070607576D6}"/>
    <cellStyle name="Normal 2 12 4 3" xfId="30281" xr:uid="{E970E317-22F9-4F5B-93DA-F91F0784F977}"/>
    <cellStyle name="Normal 2 12 4 4" xfId="30282" xr:uid="{71C78E97-3595-4D2D-903B-6BE7E8D51CCC}"/>
    <cellStyle name="Normal 2 12 4 5" xfId="30283" xr:uid="{FDFECA9C-643E-4B3F-B1CB-3AC80CBBE5E7}"/>
    <cellStyle name="Normal 2 12 4 6" xfId="30284" xr:uid="{7B54250F-6662-4CC0-B655-855DF995FC5A}"/>
    <cellStyle name="Normal 2 12 4 7" xfId="43960" xr:uid="{117DF43B-4530-4223-8148-B8619F1079F3}"/>
    <cellStyle name="Normal 2 12 4 8" xfId="16706" xr:uid="{6E9C7F38-DFA5-4E0A-BA82-BCF95C0955B3}"/>
    <cellStyle name="Normal 2 12 5" xfId="6191" xr:uid="{A0576963-1CC2-4A4A-AFB9-911ADC3E658E}"/>
    <cellStyle name="Normal 2 12 5 2" xfId="17766" xr:uid="{E4554806-8A7C-49BC-BC90-35C5320D3A45}"/>
    <cellStyle name="Normal 2 12 5 2 2" xfId="21383" xr:uid="{A64D23CD-44B5-4832-9370-31474C7FB6B4}"/>
    <cellStyle name="Normal 2 12 5 3" xfId="20668" xr:uid="{4E5C5AC5-492E-43D9-AA9D-B9FCA87B98AA}"/>
    <cellStyle name="Normal 2 12 5 4" xfId="45865" xr:uid="{01D0468E-E754-4977-8AD0-6ECE0EB73A61}"/>
    <cellStyle name="Normal 2 12 5 5" xfId="16502" xr:uid="{4AE73CAE-495B-4891-8869-AECE32B1C9DD}"/>
    <cellStyle name="Normal 2 12 6" xfId="8854" xr:uid="{7FAF8F45-7D74-4AAA-B482-1D6B6F390056}"/>
    <cellStyle name="Normal 2 12 6 2" xfId="21377" xr:uid="{C7411D08-A7A3-4AF9-9B24-69D909F4083E}"/>
    <cellStyle name="Normal 2 12 6 3" xfId="17760" xr:uid="{F2483CD0-A6A7-4040-99B8-1366DB46F4F1}"/>
    <cellStyle name="Normal 2 12 7" xfId="30285" xr:uid="{8C255711-596C-4338-AF8A-FA3E3552265F}"/>
    <cellStyle name="Normal 2 12 8" xfId="30286" xr:uid="{A866BEDD-98D4-402A-8F74-C121026EC7BD}"/>
    <cellStyle name="Normal 2 12 9" xfId="30287" xr:uid="{059B3658-C574-48BB-B32F-3710C3AA9298}"/>
    <cellStyle name="Normal 2 13" xfId="2869" xr:uid="{23C7D771-7467-4383-98D1-4E7DBD2783AD}"/>
    <cellStyle name="Normal 2 13 10" xfId="30288" xr:uid="{930E5482-F36A-491F-B6CD-75D5C68C05F7}"/>
    <cellStyle name="Normal 2 13 11" xfId="30289" xr:uid="{94ED33A0-6B0B-4C18-B6FB-447CA9B34BE4}"/>
    <cellStyle name="Normal 2 13 2" xfId="4971" xr:uid="{0F6EC7AE-3256-41DD-97A0-ADFF0CA2FB14}"/>
    <cellStyle name="Normal 2 13 2 2" xfId="17768" xr:uid="{48B89554-3115-4E16-A061-A5A09D82DA12}"/>
    <cellStyle name="Normal 2 13 2 2 2" xfId="21385" xr:uid="{0EC3A2D7-E68B-4E07-B8B7-958DBC144C9B}"/>
    <cellStyle name="Normal 2 13 2 3" xfId="30290" xr:uid="{4861C265-4F1C-40E7-8015-F67CEA6AC33B}"/>
    <cellStyle name="Normal 2 13 2 4" xfId="30291" xr:uid="{384C84CA-A181-4FDA-AB6F-B12A81788880}"/>
    <cellStyle name="Normal 2 13 2 5" xfId="30292" xr:uid="{F6D14B62-20ED-4302-A40E-24AE554DA674}"/>
    <cellStyle name="Normal 2 13 2 6" xfId="30293" xr:uid="{2CD96A55-A59E-4DF8-B9D9-C1A915B95445}"/>
    <cellStyle name="Normal 2 13 3" xfId="4126" xr:uid="{12AE178B-E904-4EE5-94AF-EC28692E80A5}"/>
    <cellStyle name="Normal 2 13 3 2" xfId="17769" xr:uid="{3C48BA76-CD73-48A1-8E1E-D66BBEE88214}"/>
    <cellStyle name="Normal 2 13 3 2 2" xfId="21386" xr:uid="{DB58444B-221D-4265-B171-21B686E78FF4}"/>
    <cellStyle name="Normal 2 13 3 3" xfId="30294" xr:uid="{7F6DAB31-3F7A-449A-BE91-D2321F904482}"/>
    <cellStyle name="Normal 2 13 3 4" xfId="30295" xr:uid="{2723119C-C12C-43AC-99CA-1737434ADDF7}"/>
    <cellStyle name="Normal 2 13 3 5" xfId="30296" xr:uid="{34BE2F1C-3D82-4357-B29F-449000CD539F}"/>
    <cellStyle name="Normal 2 13 3 6" xfId="30297" xr:uid="{1A2D4BA1-1C0C-4023-A1BB-90C8D12CEE8B}"/>
    <cellStyle name="Normal 2 13 4" xfId="6192" xr:uid="{94B75179-6F27-404C-8038-500FDB2B286B}"/>
    <cellStyle name="Normal 2 13 4 2" xfId="17770" xr:uid="{CBC17D16-FAD2-4E9B-91A0-B20FB3A96029}"/>
    <cellStyle name="Normal 2 13 4 2 2" xfId="21387" xr:uid="{FE7CD354-2415-4851-AF1E-C84B172808EB}"/>
    <cellStyle name="Normal 2 13 4 3" xfId="30298" xr:uid="{BE024EE0-5238-42FF-94FF-0FEEE7047A63}"/>
    <cellStyle name="Normal 2 13 4 4" xfId="30299" xr:uid="{27697A1D-30EF-4DC7-86DA-B63993D864BF}"/>
    <cellStyle name="Normal 2 13 4 5" xfId="30300" xr:uid="{9D9CF282-17C0-40C1-B871-C429B2CED503}"/>
    <cellStyle name="Normal 2 13 4 6" xfId="30301" xr:uid="{B80C781C-B8EB-4BFC-A88B-666AC8762B17}"/>
    <cellStyle name="Normal 2 13 4 7" xfId="45866" xr:uid="{A3E784DE-89CE-4B0C-AB3E-43D76D8AE4D2}"/>
    <cellStyle name="Normal 2 13 4 8" xfId="16707" xr:uid="{64E496F5-921F-488B-AB34-9C9F89573E5C}"/>
    <cellStyle name="Normal 2 13 5" xfId="16504" xr:uid="{38E76A82-867B-4549-9DA7-1F30E2DF441D}"/>
    <cellStyle name="Normal 2 13 5 2" xfId="17771" xr:uid="{18AF7C77-C9A5-4948-8B40-E78DEC84A904}"/>
    <cellStyle name="Normal 2 13 5 2 2" xfId="21388" xr:uid="{6E03D600-A309-43EB-9E01-A38761240A62}"/>
    <cellStyle name="Normal 2 13 5 3" xfId="20669" xr:uid="{F1E1603C-FC9E-4E97-A670-240BA4D48838}"/>
    <cellStyle name="Normal 2 13 6" xfId="17767" xr:uid="{9B162739-15D6-4663-B763-0DCAE104C9CB}"/>
    <cellStyle name="Normal 2 13 6 2" xfId="21384" xr:uid="{A9D9BA68-67EC-4058-8DDA-B0E941A6B254}"/>
    <cellStyle name="Normal 2 13 7" xfId="30302" xr:uid="{1C1B9A1A-4AF4-42B8-9D12-D76529BC599A}"/>
    <cellStyle name="Normal 2 13 8" xfId="30303" xr:uid="{30103877-C5FF-4525-AC18-1A50D1FA5A85}"/>
    <cellStyle name="Normal 2 13 9" xfId="30304" xr:uid="{9327A64F-9135-47C2-8B45-41334113C0B0}"/>
    <cellStyle name="Normal 2 14" xfId="2870" xr:uid="{5110949C-7CEE-4161-9278-97DB2CA45B16}"/>
    <cellStyle name="Normal 2 14 10" xfId="30305" xr:uid="{CF00CB09-FCC9-4A3F-86BD-4D20FB03A615}"/>
    <cellStyle name="Normal 2 14 2" xfId="15358" xr:uid="{C4D5DC81-DFD4-472B-9020-3C6B42C84E2E}"/>
    <cellStyle name="Normal 2 14 2 2" xfId="17773" xr:uid="{70E4F7E8-31E8-4186-991E-BD9266635114}"/>
    <cellStyle name="Normal 2 14 2 2 2" xfId="21390" xr:uid="{3AD0BD43-F136-4077-910C-861CCB421741}"/>
    <cellStyle name="Normal 2 14 2 3" xfId="30306" xr:uid="{820348BF-BDE4-4D83-84AE-2491ED5E8796}"/>
    <cellStyle name="Normal 2 14 2 4" xfId="30307" xr:uid="{ADF5C612-FE5F-4C2E-98BC-094CE394AE97}"/>
    <cellStyle name="Normal 2 14 2 5" xfId="30308" xr:uid="{7C4C3100-66AE-49E4-ACB7-0265DC27337D}"/>
    <cellStyle name="Normal 2 14 2 6" xfId="30309" xr:uid="{0870DA31-7DA9-4735-8E15-86307781A6A0}"/>
    <cellStyle name="Normal 2 14 3" xfId="15852" xr:uid="{33CE9AA3-FD3A-4D4D-9142-5AA20456003F}"/>
    <cellStyle name="Normal 2 14 3 2" xfId="17774" xr:uid="{6D9EA3A9-7417-46FB-BEC6-AF3B2CC7D320}"/>
    <cellStyle name="Normal 2 14 3 2 2" xfId="21391" xr:uid="{7ACC9FDD-6954-4F1B-9B76-1DFA7E28A7C3}"/>
    <cellStyle name="Normal 2 14 3 3" xfId="30310" xr:uid="{78D1C7F5-D142-4DBC-B3A5-5F192C0A7921}"/>
    <cellStyle name="Normal 2 14 3 4" xfId="30311" xr:uid="{39B87A86-63E5-4B6C-92CD-F876434FB648}"/>
    <cellStyle name="Normal 2 14 3 5" xfId="30312" xr:uid="{771C9D6F-8897-4A85-AC05-7B37D33DCA94}"/>
    <cellStyle name="Normal 2 14 3 6" xfId="30313" xr:uid="{22E01245-7B59-434F-A1DC-0758EA64E9EA}"/>
    <cellStyle name="Normal 2 14 4" xfId="16708" xr:uid="{6A6B10F9-1F7D-49CC-9B1D-949B20015015}"/>
    <cellStyle name="Normal 2 14 4 2" xfId="17775" xr:uid="{262BBA17-DC94-4467-A9E0-3DB324DC6024}"/>
    <cellStyle name="Normal 2 14 4 2 2" xfId="21392" xr:uid="{D0E73B70-78E6-44DA-A691-BAB67653918C}"/>
    <cellStyle name="Normal 2 14 4 3" xfId="30314" xr:uid="{F8044D7A-92A8-40A3-AD2F-D3F2E1C1DDDD}"/>
    <cellStyle name="Normal 2 14 4 4" xfId="30315" xr:uid="{54A5CD63-CC0F-42D6-A6DE-BDE60338936B}"/>
    <cellStyle name="Normal 2 14 4 5" xfId="30316" xr:uid="{5C8FA78E-E0F7-44BE-A432-E53C1E98E2CA}"/>
    <cellStyle name="Normal 2 14 4 6" xfId="30317" xr:uid="{D9A2C7F8-C4CD-4032-B825-844F01F5DA11}"/>
    <cellStyle name="Normal 2 14 5" xfId="16505" xr:uid="{5B017743-0EFA-4500-AF1D-23B8656DA35A}"/>
    <cellStyle name="Normal 2 14 5 2" xfId="17776" xr:uid="{740B3F89-9117-4D4F-B566-98709309796F}"/>
    <cellStyle name="Normal 2 14 5 2 2" xfId="21393" xr:uid="{ED4FBF3C-A9AD-40BB-9EC9-C047ED19189B}"/>
    <cellStyle name="Normal 2 14 5 3" xfId="20670" xr:uid="{C3987E6D-2060-4BCE-8945-C90A5B16BC8B}"/>
    <cellStyle name="Normal 2 14 6" xfId="17772" xr:uid="{2A9513A9-729C-448B-8AC5-455F0EE28F4C}"/>
    <cellStyle name="Normal 2 14 6 2" xfId="21389" xr:uid="{8B6CC180-9F6D-46FF-B258-D562790E325D}"/>
    <cellStyle name="Normal 2 14 7" xfId="30318" xr:uid="{799D66AF-62BD-4262-9426-8E9FA020E273}"/>
    <cellStyle name="Normal 2 14 8" xfId="30319" xr:uid="{D71761F3-6751-468D-AF02-7E8DC2B355B1}"/>
    <cellStyle name="Normal 2 14 9" xfId="30320" xr:uid="{5ED17FE5-1C50-4416-B277-908CEEAFDE9C}"/>
    <cellStyle name="Normal 2 15" xfId="2871" xr:uid="{7A9C1EE8-F138-4B04-92F9-139BA31B0FC8}"/>
    <cellStyle name="Normal 2 15 2" xfId="4972" xr:uid="{D00EB4F1-0539-44EE-84BE-09CF76A23294}"/>
    <cellStyle name="Normal 2 15 2 2" xfId="17778" xr:uid="{0F5EC07D-0A8C-40FE-AEF3-481D4FAF8F65}"/>
    <cellStyle name="Normal 2 15 2 2 2" xfId="21395" xr:uid="{ADD4125A-2510-4BAE-8761-01C820A65EDE}"/>
    <cellStyle name="Normal 2 15 2 3" xfId="30321" xr:uid="{17CB63B2-1C0E-4D7E-910C-011081A29A7A}"/>
    <cellStyle name="Normal 2 15 2 4" xfId="30322" xr:uid="{31ADD9A9-DC42-40AE-87A7-99838D4E69B7}"/>
    <cellStyle name="Normal 2 15 2 5" xfId="30323" xr:uid="{31E7C4D4-4C92-4AFD-8EE9-A80F504C3D15}"/>
    <cellStyle name="Normal 2 15 2 6" xfId="30324" xr:uid="{744A59AF-2FF0-4462-B961-9A7FBBBCFA03}"/>
    <cellStyle name="Normal 2 15 3" xfId="6823" xr:uid="{D1192C2A-DDCE-45C0-BC69-CC584A3153B3}"/>
    <cellStyle name="Normal 2 15 3 2" xfId="21394" xr:uid="{3CE3FA0A-35BB-46EF-89E0-761BBA788B83}"/>
    <cellStyle name="Normal 2 15 3 3" xfId="46301" xr:uid="{1D35A84C-13E4-4555-BB99-26E18B394A4B}"/>
    <cellStyle name="Normal 2 15 3 4" xfId="17777" xr:uid="{42722B55-4428-4F04-8E23-B79BE1918F97}"/>
    <cellStyle name="Normal 2 15 4" xfId="8855" xr:uid="{999CDEB9-91DA-41C9-9608-1C01FCDB87AC}"/>
    <cellStyle name="Normal 2 15 4 2" xfId="30325" xr:uid="{CE81C553-2686-4EFB-8F3F-1BAB8DF2A206}"/>
    <cellStyle name="Normal 2 15 5" xfId="30326" xr:uid="{0C1284C0-73E5-431A-A6D7-CB95702964E4}"/>
    <cellStyle name="Normal 2 15 6" xfId="30327" xr:uid="{D95840DB-1F49-4099-B748-ED3BF98E0BDD}"/>
    <cellStyle name="Normal 2 15 7" xfId="30328" xr:uid="{F018330C-A717-4AB2-BB48-F62F99998C45}"/>
    <cellStyle name="Normal 2 16" xfId="2872" xr:uid="{5F2C405A-43DD-4CDF-B4C0-2B8321F60566}"/>
    <cellStyle name="Normal 2 16 2" xfId="4973" xr:uid="{9DE60B2A-A76E-4956-9B6F-8B8F958A1336}"/>
    <cellStyle name="Normal 2 16 2 2" xfId="17780" xr:uid="{2D0E45B5-A832-4990-8E38-180F270E97AF}"/>
    <cellStyle name="Normal 2 16 2 2 2" xfId="21397" xr:uid="{D7E1D7E6-3615-4D53-949D-05B5DE199A51}"/>
    <cellStyle name="Normal 2 16 2 3" xfId="30329" xr:uid="{9D8A6FA5-FB83-4EE8-8C2A-0884DF757E0D}"/>
    <cellStyle name="Normal 2 16 2 4" xfId="30330" xr:uid="{490FFD66-36E2-4B89-955E-E9DFC2FFA366}"/>
    <cellStyle name="Normal 2 16 2 5" xfId="30331" xr:uid="{B1C92F44-F76B-482D-A6BA-281DF99EE191}"/>
    <cellStyle name="Normal 2 16 2 6" xfId="30332" xr:uid="{E81859A3-3B4A-46D3-94F0-0A698FA949F4}"/>
    <cellStyle name="Normal 2 16 3" xfId="6824" xr:uid="{557BCC6A-716A-4CE0-9743-3512FAAA817C}"/>
    <cellStyle name="Normal 2 16 3 2" xfId="21396" xr:uid="{AD9C571D-5222-4BA5-B971-39C1782858A5}"/>
    <cellStyle name="Normal 2 16 3 3" xfId="46302" xr:uid="{7913673A-8A38-4123-BE33-955C369D411C}"/>
    <cellStyle name="Normal 2 16 3 4" xfId="17779" xr:uid="{51C0EA54-D076-4FEC-9DB6-663EEF3E79C4}"/>
    <cellStyle name="Normal 2 16 4" xfId="8856" xr:uid="{1A407054-D552-4EF0-AEDC-9E680B872393}"/>
    <cellStyle name="Normal 2 16 4 2" xfId="30333" xr:uid="{D2325237-DB80-4BA9-BE66-7065ECE9995C}"/>
    <cellStyle name="Normal 2 16 5" xfId="30334" xr:uid="{5E2B49D5-FB0D-4725-A5A4-CDF5AF273977}"/>
    <cellStyle name="Normal 2 16 6" xfId="30335" xr:uid="{7EEB33DA-559A-4EF3-BA3E-017CBFF65BE2}"/>
    <cellStyle name="Normal 2 16 7" xfId="30336" xr:uid="{B458A7AE-023B-414D-AB31-E0D8632F9C87}"/>
    <cellStyle name="Normal 2 17" xfId="2873" xr:uid="{5293F3DF-6973-42B3-AC6E-B59C8E164F33}"/>
    <cellStyle name="Normal 2 17 2" xfId="4974" xr:uid="{F1A0570F-A379-4B0E-885E-2F20BC981CC8}"/>
    <cellStyle name="Normal 2 17 2 2" xfId="17782" xr:uid="{E17BD53E-5C43-44CE-A6DA-8BBDA65D175D}"/>
    <cellStyle name="Normal 2 17 2 2 2" xfId="21399" xr:uid="{9E9BBAB7-9CD0-4414-81DA-6C2BAED1E0DF}"/>
    <cellStyle name="Normal 2 17 2 3" xfId="30337" xr:uid="{8C444C58-8E44-42A9-9A97-571268490275}"/>
    <cellStyle name="Normal 2 17 2 4" xfId="30338" xr:uid="{F475C86A-53DA-4AF4-B465-A192C4DFB071}"/>
    <cellStyle name="Normal 2 17 2 5" xfId="30339" xr:uid="{D36F0863-938D-4FE9-85F7-3364C64BD86C}"/>
    <cellStyle name="Normal 2 17 2 6" xfId="30340" xr:uid="{33FCFF16-BD3C-41E1-B45E-90A2D1E5B497}"/>
    <cellStyle name="Normal 2 17 3" xfId="6825" xr:uid="{A30ABE31-7CC8-4BDD-A6B5-69A609B9000C}"/>
    <cellStyle name="Normal 2 17 3 2" xfId="21398" xr:uid="{A714A78E-BFED-4219-B53A-E7D8995EC565}"/>
    <cellStyle name="Normal 2 17 3 3" xfId="46303" xr:uid="{28A5D44A-51D5-4434-B02B-CC51B45FD1D6}"/>
    <cellStyle name="Normal 2 17 3 4" xfId="17781" xr:uid="{F8990A93-2DF6-4ABB-9DD5-7945F9DA5D7E}"/>
    <cellStyle name="Normal 2 17 4" xfId="8857" xr:uid="{8CCA6A00-2D89-43A1-ADB4-DF8CEFA1CCB4}"/>
    <cellStyle name="Normal 2 17 4 2" xfId="30341" xr:uid="{CEED3D2C-0357-487E-8159-218828A20489}"/>
    <cellStyle name="Normal 2 17 5" xfId="30342" xr:uid="{C694D8DC-36C9-45CE-9804-9EF29F0FB24C}"/>
    <cellStyle name="Normal 2 17 6" xfId="30343" xr:uid="{418AE96A-2958-4499-8143-3E40A6786B85}"/>
    <cellStyle name="Normal 2 17 7" xfId="30344" xr:uid="{E96E0D4D-A4A4-487D-94FD-E6CE7B049A39}"/>
    <cellStyle name="Normal 2 18" xfId="2874" xr:uid="{D22E78FC-C3DF-42F7-83E4-CB1D78D4DB66}"/>
    <cellStyle name="Normal 2 18 2" xfId="4975" xr:uid="{940030AA-DBF1-4238-9BF6-F82EA8325469}"/>
    <cellStyle name="Normal 2 18 2 2" xfId="17784" xr:uid="{5AC645EA-6A8B-4C55-AF54-B10F2334FCB6}"/>
    <cellStyle name="Normal 2 18 2 2 2" xfId="21401" xr:uid="{6660057B-D70E-42C5-B412-DD38ACE9AE60}"/>
    <cellStyle name="Normal 2 18 2 3" xfId="30345" xr:uid="{AF874C29-4B45-4321-BE42-C90424BD556A}"/>
    <cellStyle name="Normal 2 18 2 4" xfId="30346" xr:uid="{CBB498D4-58C5-4007-9F89-80CAD21536D9}"/>
    <cellStyle name="Normal 2 18 2 5" xfId="30347" xr:uid="{63C3238B-6878-4D2F-930B-3E8A844ABB2F}"/>
    <cellStyle name="Normal 2 18 2 6" xfId="30348" xr:uid="{A926A14E-50D4-4338-BBF9-6744B692F3F6}"/>
    <cellStyle name="Normal 2 18 3" xfId="6826" xr:uid="{95371CBE-A162-415A-8375-757EA066E1DC}"/>
    <cellStyle name="Normal 2 18 3 2" xfId="21400" xr:uid="{695810A9-E112-4F2B-B62E-69FB03BB83A5}"/>
    <cellStyle name="Normal 2 18 3 3" xfId="46304" xr:uid="{7BF6CD34-74C8-45FD-B549-8C49C4102223}"/>
    <cellStyle name="Normal 2 18 3 4" xfId="17783" xr:uid="{5CEA47C9-9BAA-4A33-B755-1B544C6107C0}"/>
    <cellStyle name="Normal 2 18 4" xfId="8858" xr:uid="{F4266993-71CA-4635-91B4-F087F0EA6629}"/>
    <cellStyle name="Normal 2 18 4 2" xfId="30349" xr:uid="{F8EC998E-0FF4-4299-AD75-D55B34B5B493}"/>
    <cellStyle name="Normal 2 18 5" xfId="30350" xr:uid="{CB80128F-86C0-4139-A214-E60523B5C4FD}"/>
    <cellStyle name="Normal 2 18 6" xfId="30351" xr:uid="{450A527F-8D7C-4CF1-B292-ACE95F814FC4}"/>
    <cellStyle name="Normal 2 18 7" xfId="30352" xr:uid="{08D97398-35FA-4DD8-A2BD-4C4BA720FB58}"/>
    <cellStyle name="Normal 2 19" xfId="2875" xr:uid="{9F2257FE-1E42-4A59-8EC8-9DD4398E1F7A}"/>
    <cellStyle name="Normal 2 19 2" xfId="4976" xr:uid="{DFC908AE-A105-4EB2-AD58-EE7626A8A083}"/>
    <cellStyle name="Normal 2 19 2 2" xfId="17786" xr:uid="{E06F3C6D-AC3C-4C01-8C46-A2474DD914BF}"/>
    <cellStyle name="Normal 2 19 2 2 2" xfId="21403" xr:uid="{51FCF3DC-6E28-4C08-B045-152955B579BF}"/>
    <cellStyle name="Normal 2 19 2 3" xfId="30353" xr:uid="{953E2AD9-54E8-4A1E-A486-F6EE813B18DC}"/>
    <cellStyle name="Normal 2 19 2 4" xfId="30354" xr:uid="{D9AC6DDC-AFEF-4B24-977D-C257F972BEC2}"/>
    <cellStyle name="Normal 2 19 2 5" xfId="30355" xr:uid="{E8D29E0F-89C9-4D92-929B-3A82592DE5E3}"/>
    <cellStyle name="Normal 2 19 2 6" xfId="30356" xr:uid="{CF9E2CDA-F5CF-496C-8E9B-1D198DA30303}"/>
    <cellStyle name="Normal 2 19 3" xfId="6827" xr:uid="{48DEDEF3-6660-4725-ABF3-CC38781E89E3}"/>
    <cellStyle name="Normal 2 19 3 2" xfId="21402" xr:uid="{5A7A0178-08DC-4873-A955-76F8D4D0E188}"/>
    <cellStyle name="Normal 2 19 3 3" xfId="46305" xr:uid="{62170D60-7BC3-4DC9-AD15-535A0FAA5DA1}"/>
    <cellStyle name="Normal 2 19 3 4" xfId="17785" xr:uid="{80A87397-7BFB-43BF-A119-AB0585A06EAE}"/>
    <cellStyle name="Normal 2 19 4" xfId="8859" xr:uid="{19F65B3F-BB06-4D8D-A585-97784FDA3CB6}"/>
    <cellStyle name="Normal 2 19 4 2" xfId="30357" xr:uid="{536CC9DE-4D9A-4F70-ACEF-7B88225EB2CE}"/>
    <cellStyle name="Normal 2 19 5" xfId="30358" xr:uid="{8B741DB2-6A82-4754-A0B7-9E1A133536B2}"/>
    <cellStyle name="Normal 2 19 6" xfId="30359" xr:uid="{DE9D6CF7-DB26-4654-83B3-FEDC5ACCF29A}"/>
    <cellStyle name="Normal 2 19 7" xfId="30360" xr:uid="{0E06BA49-763F-4F78-B312-E644FC69B98F}"/>
    <cellStyle name="Normal 2 2" xfId="5" xr:uid="{00000000-0005-0000-0000-000005000000}"/>
    <cellStyle name="Normal 2 2 10" xfId="2877" xr:uid="{631CC162-DC26-4903-A080-51DA1845C07C}"/>
    <cellStyle name="Normal 2 2 10 10" xfId="16506" xr:uid="{13400D67-636A-4431-97AF-6526692FBCCD}"/>
    <cellStyle name="Normal 2 2 10 10 2" xfId="17789" xr:uid="{A955FFBF-8983-4C5D-87AA-7F512F0009DF}"/>
    <cellStyle name="Normal 2 2 10 10 2 2" xfId="21406" xr:uid="{9BA02D68-63B2-41E3-8D54-7AE704A44A57}"/>
    <cellStyle name="Normal 2 2 10 10 3" xfId="20671" xr:uid="{CE3F14E9-9F13-48C2-89F6-4A7FCE825113}"/>
    <cellStyle name="Normal 2 2 10 11" xfId="17788" xr:uid="{140C12D8-075B-4297-9959-44EBE5F55CFA}"/>
    <cellStyle name="Normal 2 2 10 11 2" xfId="21405" xr:uid="{AF5780BD-E89F-40DE-A0B8-C68E2EBF6D0D}"/>
    <cellStyle name="Normal 2 2 10 12" xfId="30361" xr:uid="{ABAB8464-0D2A-4A56-BD54-F2B6B0AC5881}"/>
    <cellStyle name="Normal 2 2 10 13" xfId="30362" xr:uid="{9D77ACDB-B737-431F-81B2-CE9881457CB0}"/>
    <cellStyle name="Normal 2 2 10 14" xfId="30363" xr:uid="{71AAE78E-A8EC-4250-BB07-E196A51C16D9}"/>
    <cellStyle name="Normal 2 2 10 15" xfId="30364" xr:uid="{4DBCE443-E44C-43D6-9A3B-488323FC88A1}"/>
    <cellStyle name="Normal 2 2 10 16" xfId="30365" xr:uid="{829C367B-2953-472A-B6A1-923A7F39AEE3}"/>
    <cellStyle name="Normal 2 2 10 2" xfId="2878" xr:uid="{007A3376-4AF6-4230-847F-0B84A1C8BFA1}"/>
    <cellStyle name="Normal 2 2 10 2 2" xfId="11203" xr:uid="{293311B5-0333-4C99-BC1C-10BC0BCB18E8}"/>
    <cellStyle name="Normal 2 2 10 2 2 2" xfId="17791" xr:uid="{384A0C78-F93E-4618-87CE-1DE4280F462C}"/>
    <cellStyle name="Normal 2 2 10 2 2 2 2" xfId="21408" xr:uid="{F102D1C4-FE59-48E2-8E33-1036D8C05F53}"/>
    <cellStyle name="Normal 2 2 10 2 2 3" xfId="30366" xr:uid="{409E63FE-C779-4686-9FEC-12C7B7248FDF}"/>
    <cellStyle name="Normal 2 2 10 2 2 4" xfId="30367" xr:uid="{A8548500-E978-4D68-A920-19B9B4E48158}"/>
    <cellStyle name="Normal 2 2 10 2 2 5" xfId="30368" xr:uid="{2EC0A385-4EF5-4424-AE6D-41862E85EC13}"/>
    <cellStyle name="Normal 2 2 10 2 2 6" xfId="30369" xr:uid="{8C5B46B1-EC1F-43DE-B11D-C6528B24F641}"/>
    <cellStyle name="Normal 2 2 10 2 2 7" xfId="15853" xr:uid="{7084AF01-150E-4A47-B122-E0A205B4FF68}"/>
    <cellStyle name="Normal 2 2 10 2 3" xfId="10518" xr:uid="{DE0F04E2-A08D-450F-8302-B5399F4A0DCC}"/>
    <cellStyle name="Normal 2 2 10 2 3 2" xfId="21407" xr:uid="{9F5CF23B-851C-4AA2-ADDE-107984D31BC5}"/>
    <cellStyle name="Normal 2 2 10 2 3 3" xfId="17790" xr:uid="{3EB75DFD-35F7-4007-A31C-F3DEB6A56E1C}"/>
    <cellStyle name="Normal 2 2 10 2 4" xfId="30370" xr:uid="{2A7FE1EF-1D2F-489C-B65B-2BB858C1FE89}"/>
    <cellStyle name="Normal 2 2 10 2 5" xfId="30371" xr:uid="{C2FED572-81F1-4BFF-B356-C389031DC6C6}"/>
    <cellStyle name="Normal 2 2 10 2 6" xfId="30372" xr:uid="{7F157E81-5128-4A89-A584-11FB7EACD9E5}"/>
    <cellStyle name="Normal 2 2 10 2 7" xfId="30373" xr:uid="{F9619975-557C-4410-A8BE-375965ECF869}"/>
    <cellStyle name="Normal 2 2 10 2 8" xfId="30374" xr:uid="{55C6995D-20EA-4193-AE16-11AF7C94733E}"/>
    <cellStyle name="Normal 2 2 10 3" xfId="4977" xr:uid="{B8C7AD3C-E1EC-490D-86CA-AF04D113FD39}"/>
    <cellStyle name="Normal 2 2 10 3 2" xfId="17792" xr:uid="{921D2FAA-5620-42D4-A2F5-D6111D56F5B0}"/>
    <cellStyle name="Normal 2 2 10 3 2 2" xfId="21409" xr:uid="{9F62792B-30F1-41D1-B1AA-EA065D431F49}"/>
    <cellStyle name="Normal 2 2 10 3 3" xfId="30375" xr:uid="{7F2D2572-9A90-416D-A1F1-37FB145BE76D}"/>
    <cellStyle name="Normal 2 2 10 3 4" xfId="30376" xr:uid="{4D9CDD5A-3C86-476D-9E72-6A53C3D68669}"/>
    <cellStyle name="Normal 2 2 10 3 5" xfId="30377" xr:uid="{CB3BCA36-6CF8-4997-92DE-C7589F72C8E9}"/>
    <cellStyle name="Normal 2 2 10 3 6" xfId="30378" xr:uid="{D734C2AB-6619-4F69-BEAB-5DF08A8EEE31}"/>
    <cellStyle name="Normal 2 2 10 4" xfId="4128" xr:uid="{64E84555-3172-48D6-BCEF-EE71AB67A08F}"/>
    <cellStyle name="Normal 2 2 10 4 2" xfId="17793" xr:uid="{0244EF5B-DDA9-49EE-BD9A-EAC12F61B857}"/>
    <cellStyle name="Normal 2 2 10 4 2 2" xfId="21410" xr:uid="{A8FBA439-DFC3-423B-8671-3E5632F16B12}"/>
    <cellStyle name="Normal 2 2 10 4 3" xfId="30379" xr:uid="{19627515-17FE-42D5-9CEC-B8A73B21385B}"/>
    <cellStyle name="Normal 2 2 10 4 4" xfId="30380" xr:uid="{1AC29FAA-C1B1-43FC-9E80-0341D505C860}"/>
    <cellStyle name="Normal 2 2 10 4 5" xfId="30381" xr:uid="{2C9B1007-E0C3-4945-BD93-093CBA7C9C4B}"/>
    <cellStyle name="Normal 2 2 10 4 6" xfId="30382" xr:uid="{F3057728-5FA4-40CC-A2D2-5BDDAA0109E7}"/>
    <cellStyle name="Normal 2 2 10 5" xfId="6194" xr:uid="{721D1C26-46FD-4A45-AA71-9BBBFF8D2EEE}"/>
    <cellStyle name="Normal 2 2 10 5 2" xfId="17794" xr:uid="{F3ABD25F-A251-43D7-8E1A-2F06FD271D2E}"/>
    <cellStyle name="Normal 2 2 10 5 2 2" xfId="21411" xr:uid="{9B4C6A3F-CFBC-4CDC-B01A-80A43693154D}"/>
    <cellStyle name="Normal 2 2 10 5 3" xfId="30383" xr:uid="{4D9B57B7-B9BD-48C6-8A9A-556131ED4E4C}"/>
    <cellStyle name="Normal 2 2 10 5 4" xfId="30384" xr:uid="{B93A514D-F993-4936-927E-7642964DD95B}"/>
    <cellStyle name="Normal 2 2 10 5 5" xfId="30385" xr:uid="{DC60F3ED-3FD8-479E-BCFB-5153602F7D4C}"/>
    <cellStyle name="Normal 2 2 10 5 6" xfId="30386" xr:uid="{CD249DCA-F804-4578-BF1F-81F7699A828C}"/>
    <cellStyle name="Normal 2 2 10 6" xfId="8860" xr:uid="{B11BD3D8-B4BB-4B10-851E-FC13FC2975A2}"/>
    <cellStyle name="Normal 2 2 10 6 2" xfId="17795" xr:uid="{15E71113-B9C3-4105-A9F6-27F760665DEB}"/>
    <cellStyle name="Normal 2 2 10 6 2 2" xfId="21412" xr:uid="{274569EC-E2A5-4162-BC2A-7AA2E43FE6BC}"/>
    <cellStyle name="Normal 2 2 10 6 3" xfId="30387" xr:uid="{918C0DB2-7698-4E15-A097-DBCE6AF3645E}"/>
    <cellStyle name="Normal 2 2 10 6 4" xfId="30388" xr:uid="{A2AA68A1-23AD-4711-9F12-46F78E3B9911}"/>
    <cellStyle name="Normal 2 2 10 6 5" xfId="30389" xr:uid="{CA3E9E20-A12E-4FCA-BA10-E763D4E70875}"/>
    <cellStyle name="Normal 2 2 10 6 6" xfId="30390" xr:uid="{08D1CC4E-F772-4A3E-BFBC-85784B3E747B}"/>
    <cellStyle name="Normal 2 2 10 7" xfId="15854" xr:uid="{BF09107B-5109-4BD9-92A0-3DBE90E6A74F}"/>
    <cellStyle name="Normal 2 2 10 7 2" xfId="17796" xr:uid="{BA5FC773-8EA1-4043-B55D-472222FA9F64}"/>
    <cellStyle name="Normal 2 2 10 7 2 2" xfId="21413" xr:uid="{1E7F0943-A409-4121-834C-237D08F92397}"/>
    <cellStyle name="Normal 2 2 10 7 3" xfId="30391" xr:uid="{232E84A6-9068-4BB3-8525-A27E5FE4D248}"/>
    <cellStyle name="Normal 2 2 10 7 4" xfId="30392" xr:uid="{73A117A5-2DE5-4B3F-AC7C-E1756BC3818E}"/>
    <cellStyle name="Normal 2 2 10 7 5" xfId="30393" xr:uid="{4D4A296D-8A0F-41F4-9A43-FAAF5B724D27}"/>
    <cellStyle name="Normal 2 2 10 7 6" xfId="30394" xr:uid="{169B628D-A50C-4F48-AE09-F37123089B60}"/>
    <cellStyle name="Normal 2 2 10 8" xfId="15855" xr:uid="{BBDBBBFD-4B7C-49CC-A2F1-8B109422419A}"/>
    <cellStyle name="Normal 2 2 10 8 2" xfId="17797" xr:uid="{D3572012-8E77-425A-A8E8-CACB66D21BC0}"/>
    <cellStyle name="Normal 2 2 10 8 2 2" xfId="21414" xr:uid="{C7144A24-112B-46FA-AC85-9375D94EC1D6}"/>
    <cellStyle name="Normal 2 2 10 8 3" xfId="30395" xr:uid="{86F22C8C-90A0-443C-9D6A-7CCC895964F5}"/>
    <cellStyle name="Normal 2 2 10 8 4" xfId="30396" xr:uid="{3B369E48-A96E-4EB7-AC5F-8C6278CD75F8}"/>
    <cellStyle name="Normal 2 2 10 8 5" xfId="30397" xr:uid="{229ABCE0-FC4D-4702-A9DA-EDCF83383FF3}"/>
    <cellStyle name="Normal 2 2 10 8 6" xfId="30398" xr:uid="{5220B74D-5DAB-4E9B-815A-C8AC92F5AEA2}"/>
    <cellStyle name="Normal 2 2 10 9" xfId="15856" xr:uid="{1073141B-DD34-42E2-B363-E054C8979AE6}"/>
    <cellStyle name="Normal 2 2 10 9 2" xfId="17798" xr:uid="{924F37B5-8104-4446-B6B6-BF57233DBACB}"/>
    <cellStyle name="Normal 2 2 10 9 2 2" xfId="21415" xr:uid="{A69A86E7-6A7C-46DC-8394-C7CB8EE21B99}"/>
    <cellStyle name="Normal 2 2 10 9 3" xfId="30399" xr:uid="{065559FE-171A-48E8-9515-F95C98AB9E28}"/>
    <cellStyle name="Normal 2 2 10 9 4" xfId="30400" xr:uid="{758D71F4-D987-4DEF-9B3C-183D9222DC6A}"/>
    <cellStyle name="Normal 2 2 10 9 5" xfId="30401" xr:uid="{C4A1DE8C-AE78-45B7-82F8-EA61ADDC4515}"/>
    <cellStyle name="Normal 2 2 10 9 6" xfId="30402" xr:uid="{D878DE88-49F8-43C4-BCBA-C612746A6A99}"/>
    <cellStyle name="Normal 2 2 11" xfId="2879" xr:uid="{00C47DCB-CA27-4371-BE20-D1FDCD798CC9}"/>
    <cellStyle name="Normal 2 2 11 10" xfId="16507" xr:uid="{F9A0F79D-CFED-4694-8835-94839763E91A}"/>
    <cellStyle name="Normal 2 2 11 10 2" xfId="17800" xr:uid="{1D9F5CA8-A29A-4361-81A4-10474AA9EEA9}"/>
    <cellStyle name="Normal 2 2 11 10 2 2" xfId="21417" xr:uid="{E2C60F3F-6EA9-4E77-81BA-D48FAEE2B91F}"/>
    <cellStyle name="Normal 2 2 11 10 3" xfId="20672" xr:uid="{2C1CC582-2AFB-4B5B-B6D1-02E2FB02CDC2}"/>
    <cellStyle name="Normal 2 2 11 11" xfId="17799" xr:uid="{FBD94B5A-071C-4561-8640-C55C03E44D94}"/>
    <cellStyle name="Normal 2 2 11 11 2" xfId="21416" xr:uid="{26EA90D7-1576-4D3F-B169-7CC57A8603AF}"/>
    <cellStyle name="Normal 2 2 11 12" xfId="30403" xr:uid="{CFBE9DC6-F72C-4ABA-9706-CAF36272A03E}"/>
    <cellStyle name="Normal 2 2 11 13" xfId="30404" xr:uid="{D1C29091-7EF9-4C0C-BD90-C7F87339CBC8}"/>
    <cellStyle name="Normal 2 2 11 14" xfId="30405" xr:uid="{A13D6816-E1B5-446F-98B7-3CEF46377A9B}"/>
    <cellStyle name="Normal 2 2 11 15" xfId="30406" xr:uid="{EE20327B-7BA7-4FF1-9C77-35012D8EAD48}"/>
    <cellStyle name="Normal 2 2 11 16" xfId="30407" xr:uid="{319197B4-8F14-4247-A303-EAD0AEE78FB8}"/>
    <cellStyle name="Normal 2 2 11 2" xfId="15359" xr:uid="{4471AB34-0718-41E2-AC2E-BAF29E21235A}"/>
    <cellStyle name="Normal 2 2 11 2 2" xfId="15857" xr:uid="{0E5BA910-55D4-4A2E-92C2-9252944F7190}"/>
    <cellStyle name="Normal 2 2 11 2 2 2" xfId="17802" xr:uid="{3181E696-400A-4AA8-AF4C-35C1BB5CB9FA}"/>
    <cellStyle name="Normal 2 2 11 2 2 2 2" xfId="21419" xr:uid="{0C731C69-85C7-4622-AA94-1A446A1711DD}"/>
    <cellStyle name="Normal 2 2 11 2 2 3" xfId="30408" xr:uid="{26206B1E-B282-43BB-AEA1-45A5D1C6018F}"/>
    <cellStyle name="Normal 2 2 11 2 2 4" xfId="30409" xr:uid="{654D2383-245E-4FAC-8E59-240C2AA18AC5}"/>
    <cellStyle name="Normal 2 2 11 2 2 5" xfId="30410" xr:uid="{43F12D21-BB67-46B9-BE4F-9C193A0960B8}"/>
    <cellStyle name="Normal 2 2 11 2 2 6" xfId="30411" xr:uid="{B3400D65-4602-499A-BB13-0DCA59EF9906}"/>
    <cellStyle name="Normal 2 2 11 2 3" xfId="17801" xr:uid="{0896B1CB-6FB1-488E-8B2C-80CE2B7CEB5A}"/>
    <cellStyle name="Normal 2 2 11 2 3 2" xfId="21418" xr:uid="{8997DE85-7BE5-45B8-B7D5-8D169AF0F6EF}"/>
    <cellStyle name="Normal 2 2 11 2 4" xfId="30412" xr:uid="{CB4A791E-49A8-4C08-841B-15B13E1A95CF}"/>
    <cellStyle name="Normal 2 2 11 2 5" xfId="30413" xr:uid="{1FD77563-8A52-45DE-8C34-A697FC5561D4}"/>
    <cellStyle name="Normal 2 2 11 2 6" xfId="30414" xr:uid="{AACDB01B-3C40-4610-BAAC-EABABF06EF56}"/>
    <cellStyle name="Normal 2 2 11 2 7" xfId="30415" xr:uid="{33275032-7B95-4AF6-9324-5F12B443DDBC}"/>
    <cellStyle name="Normal 2 2 11 3" xfId="15858" xr:uid="{C83689D7-011D-489A-934A-124AC1003D3B}"/>
    <cellStyle name="Normal 2 2 11 3 2" xfId="17803" xr:uid="{35D417EB-2B7B-4E8F-A8F4-49721ADB7494}"/>
    <cellStyle name="Normal 2 2 11 3 2 2" xfId="21420" xr:uid="{585C2E05-87D0-4656-913E-3A00746F1041}"/>
    <cellStyle name="Normal 2 2 11 3 3" xfId="30416" xr:uid="{7F0B716E-6E89-446C-A61F-345F4B68FDED}"/>
    <cellStyle name="Normal 2 2 11 3 4" xfId="30417" xr:uid="{8949A19E-77F7-468A-A32D-78BD840DF5E3}"/>
    <cellStyle name="Normal 2 2 11 3 5" xfId="30418" xr:uid="{AE4F987C-913F-4BA6-BEE3-7116265DBC11}"/>
    <cellStyle name="Normal 2 2 11 3 6" xfId="30419" xr:uid="{EC10A682-E3D3-40DB-A022-9BE980E28AE6}"/>
    <cellStyle name="Normal 2 2 11 4" xfId="15859" xr:uid="{7A7F216F-CE9D-44FB-844C-B0C6D864A1DE}"/>
    <cellStyle name="Normal 2 2 11 4 2" xfId="17804" xr:uid="{B97ABD6F-1C90-4312-97F0-9CCDF38F096C}"/>
    <cellStyle name="Normal 2 2 11 4 2 2" xfId="21421" xr:uid="{87B14FEC-7BF5-44A8-B2B6-A7F00801B3C6}"/>
    <cellStyle name="Normal 2 2 11 4 3" xfId="30420" xr:uid="{C6245490-A653-4E0F-8E26-080C4A25CAEB}"/>
    <cellStyle name="Normal 2 2 11 4 4" xfId="30421" xr:uid="{032F9D01-1FE3-4085-A8ED-EDAA9525220C}"/>
    <cellStyle name="Normal 2 2 11 4 5" xfId="30422" xr:uid="{81077F09-E648-4763-BDB5-3D2FD581BE7B}"/>
    <cellStyle name="Normal 2 2 11 4 6" xfId="30423" xr:uid="{9E34B70F-E017-461A-9EEA-8A637D0ACB32}"/>
    <cellStyle name="Normal 2 2 11 5" xfId="15860" xr:uid="{B9890D35-1438-4A50-94E1-434ABF60982C}"/>
    <cellStyle name="Normal 2 2 11 5 2" xfId="17805" xr:uid="{0489065F-B5CB-4D91-B789-7DD36BA0B63E}"/>
    <cellStyle name="Normal 2 2 11 5 2 2" xfId="21422" xr:uid="{A1F1A463-C090-4CD2-BFB4-A8F33DA748E9}"/>
    <cellStyle name="Normal 2 2 11 5 3" xfId="30424" xr:uid="{BC74022D-0D9F-4AD3-9542-F0C1FE443883}"/>
    <cellStyle name="Normal 2 2 11 5 4" xfId="30425" xr:uid="{A74B1A85-E8DB-4188-B2B4-B5733C19EE08}"/>
    <cellStyle name="Normal 2 2 11 5 5" xfId="30426" xr:uid="{F23E91ED-3125-4515-A383-3BE3B825073F}"/>
    <cellStyle name="Normal 2 2 11 5 6" xfId="30427" xr:uid="{17229206-F103-4A40-8ECD-463FA5B5F26D}"/>
    <cellStyle name="Normal 2 2 11 6" xfId="15861" xr:uid="{69420FE4-C327-4F2C-B576-F0CB6EBCD893}"/>
    <cellStyle name="Normal 2 2 11 6 2" xfId="17806" xr:uid="{48349063-F8A2-47A2-BC27-8F4238D1B30D}"/>
    <cellStyle name="Normal 2 2 11 6 2 2" xfId="21423" xr:uid="{867B4DE0-B194-4159-AE79-2065F5D3D9A2}"/>
    <cellStyle name="Normal 2 2 11 6 3" xfId="30428" xr:uid="{5A0B0F09-E4A5-4B7C-8DA6-0705848C1D11}"/>
    <cellStyle name="Normal 2 2 11 6 4" xfId="30429" xr:uid="{561ACC73-CA8A-43B8-9615-55A4B12C4EDC}"/>
    <cellStyle name="Normal 2 2 11 6 5" xfId="30430" xr:uid="{39DAAF0E-0114-4817-98A3-5FE4285587AE}"/>
    <cellStyle name="Normal 2 2 11 6 6" xfId="30431" xr:uid="{69210E91-A655-4C55-BD8C-C240E62F1E9D}"/>
    <cellStyle name="Normal 2 2 11 7" xfId="15862" xr:uid="{BDBC2313-5813-4073-B0D1-127D8675604A}"/>
    <cellStyle name="Normal 2 2 11 7 2" xfId="17807" xr:uid="{FB436A52-D68C-418A-984C-F0916E8DBA35}"/>
    <cellStyle name="Normal 2 2 11 7 2 2" xfId="21424" xr:uid="{F3C50514-C415-4506-B521-5C0257DA0DEE}"/>
    <cellStyle name="Normal 2 2 11 7 3" xfId="30432" xr:uid="{1D662DE6-100A-4D9D-91A9-EB5E4C30A59A}"/>
    <cellStyle name="Normal 2 2 11 7 4" xfId="30433" xr:uid="{4B05F252-C046-4489-A518-D21903A360E5}"/>
    <cellStyle name="Normal 2 2 11 7 5" xfId="30434" xr:uid="{C9DE9C9B-2E5B-446D-A8FB-2C1BD57EBD39}"/>
    <cellStyle name="Normal 2 2 11 7 6" xfId="30435" xr:uid="{1C11DFF3-697C-4B40-B4FA-B2EAF76DB7E8}"/>
    <cellStyle name="Normal 2 2 11 8" xfId="15863" xr:uid="{D147045D-BA03-4912-8266-73D43E6EDC23}"/>
    <cellStyle name="Normal 2 2 11 8 2" xfId="17808" xr:uid="{0F63C138-3E88-4D79-AF64-A53DD8BC4FEA}"/>
    <cellStyle name="Normal 2 2 11 8 2 2" xfId="21425" xr:uid="{09675CD9-94BF-4868-B638-F21AD3648851}"/>
    <cellStyle name="Normal 2 2 11 8 3" xfId="30436" xr:uid="{0784C22C-9269-467A-A257-C5F88FD291DF}"/>
    <cellStyle name="Normal 2 2 11 8 4" xfId="30437" xr:uid="{EE705C7C-E5A8-43A5-80C2-7431C6397D2F}"/>
    <cellStyle name="Normal 2 2 11 8 5" xfId="30438" xr:uid="{6678EF77-B456-4344-A5E9-6084DFB28B88}"/>
    <cellStyle name="Normal 2 2 11 8 6" xfId="30439" xr:uid="{EEC6264E-82BC-4914-AEB6-18C557D61F74}"/>
    <cellStyle name="Normal 2 2 11 9" xfId="15864" xr:uid="{45574717-62E6-4C6C-AAFD-F2D31880C6AF}"/>
    <cellStyle name="Normal 2 2 11 9 2" xfId="17809" xr:uid="{851BAE5B-490D-4564-982D-3AD9B76B9186}"/>
    <cellStyle name="Normal 2 2 11 9 2 2" xfId="21426" xr:uid="{D04290BB-055D-4FD5-8363-6B58A8B5641F}"/>
    <cellStyle name="Normal 2 2 11 9 3" xfId="30440" xr:uid="{F4853F10-B10A-41A6-99DC-F5A8A9ED6AC3}"/>
    <cellStyle name="Normal 2 2 11 9 4" xfId="30441" xr:uid="{D7B6C616-4D58-4A16-ADFB-458D38909D6C}"/>
    <cellStyle name="Normal 2 2 11 9 5" xfId="30442" xr:uid="{06BC2926-42C3-4544-97DA-CA04DDAFFD10}"/>
    <cellStyle name="Normal 2 2 11 9 6" xfId="30443" xr:uid="{234031E5-6499-456E-A5A8-C6E6DAD489FB}"/>
    <cellStyle name="Normal 2 2 12" xfId="2880" xr:uid="{AA50B41F-E253-4870-86C3-E93FEB652815}"/>
    <cellStyle name="Normal 2 2 12 10" xfId="16709" xr:uid="{5B5644DB-EB03-491E-9FC6-C29DDF6BF152}"/>
    <cellStyle name="Normal 2 2 12 10 2" xfId="17811" xr:uid="{26C52EE1-A76B-47C1-BA7F-A8D913531A26}"/>
    <cellStyle name="Normal 2 2 12 10 2 2" xfId="21428" xr:uid="{BC397472-FDB5-4DC2-A892-F00213167C1E}"/>
    <cellStyle name="Normal 2 2 12 10 3" xfId="30444" xr:uid="{BD8C93D7-1194-41F6-AC66-3C97339DB606}"/>
    <cellStyle name="Normal 2 2 12 10 4" xfId="30445" xr:uid="{D33A0809-ADA6-4E03-A059-304233802E5D}"/>
    <cellStyle name="Normal 2 2 12 10 5" xfId="30446" xr:uid="{7F0BBAA8-0F6A-4E93-9ED6-D7FD050C2D50}"/>
    <cellStyle name="Normal 2 2 12 10 6" xfId="30447" xr:uid="{2BEE46E2-C028-45DA-B996-F7D0E642F614}"/>
    <cellStyle name="Normal 2 2 12 11" xfId="16508" xr:uid="{BE143951-FB92-46F8-A4E4-A1E30D396451}"/>
    <cellStyle name="Normal 2 2 12 11 2" xfId="17812" xr:uid="{17497767-0063-4E79-8DFA-40A6F0960F0C}"/>
    <cellStyle name="Normal 2 2 12 11 2 2" xfId="21429" xr:uid="{8F1209D1-85DB-45B6-A656-E5A32AA51C2E}"/>
    <cellStyle name="Normal 2 2 12 11 3" xfId="20673" xr:uid="{D711D999-084D-4362-9784-F049B61D21CA}"/>
    <cellStyle name="Normal 2 2 12 12" xfId="17810" xr:uid="{912C8978-B57C-4D9F-92E6-C422AE9674DB}"/>
    <cellStyle name="Normal 2 2 12 12 2" xfId="21427" xr:uid="{8E6B262C-9AE8-4B91-A40F-1F757AFBF908}"/>
    <cellStyle name="Normal 2 2 12 13" xfId="30448" xr:uid="{89C1AF8F-B7E1-48EC-A601-8077AE1FA729}"/>
    <cellStyle name="Normal 2 2 12 14" xfId="30449" xr:uid="{68ABFDC7-45BA-4CAC-A298-BD67FE0C6F60}"/>
    <cellStyle name="Normal 2 2 12 15" xfId="30450" xr:uid="{04D92BB2-6109-4C40-93E6-011376922E27}"/>
    <cellStyle name="Normal 2 2 12 16" xfId="30451" xr:uid="{F5D5A2D0-F48A-4A66-90FF-D2EDF5CC4FD8}"/>
    <cellStyle name="Normal 2 2 12 17" xfId="30452" xr:uid="{B7E691C0-BD0A-4E50-967E-DDEB05D592CB}"/>
    <cellStyle name="Normal 2 2 12 2" xfId="2881" xr:uid="{B765CFB3-412A-43F6-9DFE-1E1BC4BE31C4}"/>
    <cellStyle name="Normal 2 2 12 2 2" xfId="15865" xr:uid="{D0E50BE8-B5A3-4658-842D-45D26521F598}"/>
    <cellStyle name="Normal 2 2 12 2 2 2" xfId="17814" xr:uid="{BB25E9A2-BB4A-49A5-BB78-1DAC8FEB88EF}"/>
    <cellStyle name="Normal 2 2 12 2 2 2 2" xfId="21431" xr:uid="{D91AADA5-861E-45CF-B4D7-21763D23C7F9}"/>
    <cellStyle name="Normal 2 2 12 2 2 3" xfId="30453" xr:uid="{B33E2E13-42A8-4D4C-B6B5-078349B12AFD}"/>
    <cellStyle name="Normal 2 2 12 2 2 4" xfId="30454" xr:uid="{6061A461-58A9-470D-A7B5-BFFC76BDBEB2}"/>
    <cellStyle name="Normal 2 2 12 2 2 5" xfId="30455" xr:uid="{77248A28-7140-4226-87F2-84A677809ECF}"/>
    <cellStyle name="Normal 2 2 12 2 2 6" xfId="30456" xr:uid="{E30941FB-D31C-411F-B14D-747CE3F970A6}"/>
    <cellStyle name="Normal 2 2 12 2 3" xfId="16788" xr:uid="{7DAC2717-741F-4BC0-84C5-13D18B20EF16}"/>
    <cellStyle name="Normal 2 2 12 2 3 2" xfId="17815" xr:uid="{C97D4728-75DA-47E6-9184-AD366510484E}"/>
    <cellStyle name="Normal 2 2 12 2 3 2 2" xfId="21432" xr:uid="{6CB50012-E009-44F1-A628-D852C0C6478F}"/>
    <cellStyle name="Normal 2 2 12 2 3 3" xfId="30457" xr:uid="{62709F29-0ACF-4D1C-A949-53C33A9B4CD4}"/>
    <cellStyle name="Normal 2 2 12 2 3 4" xfId="30458" xr:uid="{9153088C-64D3-4BE7-AA5A-57FF3939D7F8}"/>
    <cellStyle name="Normal 2 2 12 2 3 5" xfId="30459" xr:uid="{023D4311-B84F-412A-8A2A-79346D729E85}"/>
    <cellStyle name="Normal 2 2 12 2 3 6" xfId="30460" xr:uid="{5652EDF7-B08A-435C-BFF3-D455CA8419E6}"/>
    <cellStyle name="Normal 2 2 12 2 4" xfId="17813" xr:uid="{E9BB0A31-7AE6-4FF5-9A6D-6923EB936658}"/>
    <cellStyle name="Normal 2 2 12 2 4 2" xfId="21430" xr:uid="{E60AAF15-5906-4B55-8171-ED15C83692B8}"/>
    <cellStyle name="Normal 2 2 12 2 5" xfId="30461" xr:uid="{FE1E0D72-A9F1-45CC-AB8E-1CE997414426}"/>
    <cellStyle name="Normal 2 2 12 2 6" xfId="30462" xr:uid="{CCFAD2D6-27A8-4E15-86AE-E3BE47FAA25D}"/>
    <cellStyle name="Normal 2 2 12 2 7" xfId="30463" xr:uid="{4DA708FB-0604-4D5A-80C2-9D45DE42F8CB}"/>
    <cellStyle name="Normal 2 2 12 2 8" xfId="30464" xr:uid="{8B3DCDD4-D026-4B8D-A39B-A2841DFF17AE}"/>
    <cellStyle name="Normal 2 2 12 3" xfId="4978" xr:uid="{EEA4F3B9-5AFD-4034-A7D8-3C53986585F4}"/>
    <cellStyle name="Normal 2 2 12 3 2" xfId="17816" xr:uid="{5C217BE9-3681-4B9C-8527-1C70A1AEAE27}"/>
    <cellStyle name="Normal 2 2 12 3 2 2" xfId="21433" xr:uid="{08ED6C50-E50B-482C-AB7E-CC8F3FAC4051}"/>
    <cellStyle name="Normal 2 2 12 3 3" xfId="30465" xr:uid="{D991BBB8-2A72-448E-A853-2280CBF9E5EB}"/>
    <cellStyle name="Normal 2 2 12 3 4" xfId="30466" xr:uid="{CE145816-F386-43E5-A3C7-29ADD723E990}"/>
    <cellStyle name="Normal 2 2 12 3 5" xfId="30467" xr:uid="{5C6CF1A6-2604-44D7-82D8-9A4C654EB5B6}"/>
    <cellStyle name="Normal 2 2 12 3 6" xfId="30468" xr:uid="{1E65110C-F076-411E-874C-6B8F99B1E4E0}"/>
    <cellStyle name="Normal 2 2 12 4" xfId="4129" xr:uid="{20459DC0-007E-4E7E-8ABC-EDA09054F700}"/>
    <cellStyle name="Normal 2 2 12 4 2" xfId="17817" xr:uid="{856A533A-A4C0-4B4B-ACEB-44ADF57ACFE7}"/>
    <cellStyle name="Normal 2 2 12 4 2 2" xfId="21434" xr:uid="{0CD1604D-77B9-4900-882D-A7867F5F1076}"/>
    <cellStyle name="Normal 2 2 12 4 3" xfId="30469" xr:uid="{774B002C-5D47-4009-86BB-14F717669277}"/>
    <cellStyle name="Normal 2 2 12 4 4" xfId="30470" xr:uid="{A44E7043-DD5E-4381-B1F3-81F764D2459A}"/>
    <cellStyle name="Normal 2 2 12 4 5" xfId="30471" xr:uid="{E51A83B7-CA22-4BE4-A028-69F1251A91F7}"/>
    <cellStyle name="Normal 2 2 12 4 6" xfId="30472" xr:uid="{958CB714-DB1B-4635-97D9-85CC15DA9121}"/>
    <cellStyle name="Normal 2 2 12 5" xfId="6195" xr:uid="{3111CC9D-F0DA-43B6-95D1-E1C69DACE2EC}"/>
    <cellStyle name="Normal 2 2 12 5 2" xfId="17818" xr:uid="{37B0757D-72CE-4B91-9A20-538147030BDF}"/>
    <cellStyle name="Normal 2 2 12 5 2 2" xfId="21435" xr:uid="{D4138C4C-73E2-4694-96E7-B293924B9E5B}"/>
    <cellStyle name="Normal 2 2 12 5 3" xfId="30473" xr:uid="{E5E22381-D84C-4341-BC9C-3D4E9223C1AC}"/>
    <cellStyle name="Normal 2 2 12 5 4" xfId="30474" xr:uid="{6A151B9C-CAD4-4FE1-9C98-05620754C2DA}"/>
    <cellStyle name="Normal 2 2 12 5 5" xfId="30475" xr:uid="{B8D690BD-6184-4B1A-AFA7-4AEFCC73ED61}"/>
    <cellStyle name="Normal 2 2 12 5 6" xfId="30476" xr:uid="{68F56F8C-E91A-4914-9B4E-FF537966B523}"/>
    <cellStyle name="Normal 2 2 12 6" xfId="8861" xr:uid="{71A3130D-5653-43DF-AB9E-E24A9378EE21}"/>
    <cellStyle name="Normal 2 2 12 6 2" xfId="17819" xr:uid="{BB71F524-C881-44E5-A7D5-28668186F246}"/>
    <cellStyle name="Normal 2 2 12 6 2 2" xfId="21436" xr:uid="{8C762CD1-EE72-4BAE-A6CB-A97445758F45}"/>
    <cellStyle name="Normal 2 2 12 6 3" xfId="30477" xr:uid="{B3FF61EC-C885-47E2-8C74-2C10E94BB707}"/>
    <cellStyle name="Normal 2 2 12 6 4" xfId="30478" xr:uid="{B0E7A472-14F8-48F3-92CB-D7B07E7A678B}"/>
    <cellStyle name="Normal 2 2 12 6 5" xfId="30479" xr:uid="{3B9D9CAF-010C-4712-9453-04C603DBC74F}"/>
    <cellStyle name="Normal 2 2 12 6 6" xfId="30480" xr:uid="{8CA66678-4BCC-472F-9E49-3228E8461FB3}"/>
    <cellStyle name="Normal 2 2 12 7" xfId="15866" xr:uid="{57DA009A-1F8E-45A0-B858-502F3EF9CCDB}"/>
    <cellStyle name="Normal 2 2 12 7 2" xfId="17820" xr:uid="{699D5EA1-D44E-44CF-B976-05F72C0744AC}"/>
    <cellStyle name="Normal 2 2 12 7 2 2" xfId="21437" xr:uid="{C7910608-6516-491B-A5C6-ED2D5FF3E676}"/>
    <cellStyle name="Normal 2 2 12 7 3" xfId="30481" xr:uid="{AB173FEB-DA1D-4B94-B039-3F5102A19745}"/>
    <cellStyle name="Normal 2 2 12 7 4" xfId="30482" xr:uid="{2D39CF35-9BE9-48B7-A981-75AD34EC8DA8}"/>
    <cellStyle name="Normal 2 2 12 7 5" xfId="30483" xr:uid="{F1B242A2-F084-4882-A7B7-A8AAB95C6201}"/>
    <cellStyle name="Normal 2 2 12 7 6" xfId="30484" xr:uid="{1FBE5BA7-7B95-4362-A643-82D65C921BDE}"/>
    <cellStyle name="Normal 2 2 12 8" xfId="15867" xr:uid="{AF2F3C85-CA24-43BB-A594-0B4B823AFBC0}"/>
    <cellStyle name="Normal 2 2 12 8 2" xfId="17821" xr:uid="{F3213012-1A44-4A65-9326-8AD5A7038604}"/>
    <cellStyle name="Normal 2 2 12 8 2 2" xfId="21438" xr:uid="{8DDB1D83-5734-4872-9E83-E7FED60F8904}"/>
    <cellStyle name="Normal 2 2 12 8 3" xfId="30485" xr:uid="{C2CDC0C9-F9A2-475A-9A4B-6221D405AC96}"/>
    <cellStyle name="Normal 2 2 12 8 4" xfId="30486" xr:uid="{D673A16B-910F-4770-B842-6B7A8A03CFF7}"/>
    <cellStyle name="Normal 2 2 12 8 5" xfId="30487" xr:uid="{31EB40B5-FD7D-4149-AA79-C515C1AED45E}"/>
    <cellStyle name="Normal 2 2 12 8 6" xfId="30488" xr:uid="{57FB8C64-0874-41E6-A1C5-A3982AE6E75B}"/>
    <cellStyle name="Normal 2 2 12 9" xfId="15868" xr:uid="{0218585A-1426-4CE0-82DB-8FD6B4D933CB}"/>
    <cellStyle name="Normal 2 2 12 9 2" xfId="17822" xr:uid="{E03E466D-DFCB-45F2-883E-41C28A5FB6AA}"/>
    <cellStyle name="Normal 2 2 12 9 2 2" xfId="21439" xr:uid="{893E5BC0-8F9C-4B3E-B494-55A1C4217B99}"/>
    <cellStyle name="Normal 2 2 12 9 3" xfId="30489" xr:uid="{FA89ECC9-281B-4136-ABFA-0248A2484D15}"/>
    <cellStyle name="Normal 2 2 12 9 4" xfId="30490" xr:uid="{C17FD202-DB7A-4993-A849-939EABFDE628}"/>
    <cellStyle name="Normal 2 2 12 9 5" xfId="30491" xr:uid="{5D71DF89-84A8-434A-AA7D-D5DD004F3179}"/>
    <cellStyle name="Normal 2 2 12 9 6" xfId="30492" xr:uid="{C507DBAE-1F7B-468D-AA59-B239C385548E}"/>
    <cellStyle name="Normal 2 2 13" xfId="2882" xr:uid="{F05C7FF1-B21E-4B29-88C6-C851EEE93991}"/>
    <cellStyle name="Normal 2 2 13 10" xfId="15869" xr:uid="{AE55775F-04C9-4198-A30B-8247F9EF76CF}"/>
    <cellStyle name="Normal 2 2 13 2" xfId="4979" xr:uid="{DD762133-3D72-4FA4-8BBE-3275B857322C}"/>
    <cellStyle name="Normal 2 2 13 2 2" xfId="5778" xr:uid="{14E77FDE-2E31-41CB-A079-128BF26554A1}"/>
    <cellStyle name="Normal 2 2 13 2 2 2" xfId="7880" xr:uid="{EF57CBCF-5A8E-4F0E-A010-822B7DB2EFE1}"/>
    <cellStyle name="Normal 2 2 13 2 2 2 2" xfId="10372" xr:uid="{47B2ED98-8ACB-470F-A4F6-9CB16F003045}"/>
    <cellStyle name="Normal 2 2 13 2 2 2 2 2" xfId="13678" xr:uid="{FC909A44-FBE1-4F30-993B-2E72568B5E79}"/>
    <cellStyle name="Normal 2 2 13 2 2 2 2 3" xfId="49188" xr:uid="{E4F38AAD-5D2D-40FB-B711-E8D01E8D94CF}"/>
    <cellStyle name="Normal 2 2 13 2 2 2 3" xfId="12393" xr:uid="{80E001A0-ACF9-4F54-A49C-6730FB075E04}"/>
    <cellStyle name="Normal 2 2 13 2 2 2 3 2" xfId="47605" xr:uid="{421DEC3F-D850-47FB-8F23-7BBAE100512D}"/>
    <cellStyle name="Normal 2 2 13 2 2 2 4" xfId="14807" xr:uid="{CE67DCF9-0A0F-4778-9539-0B47B2EEE32A}"/>
    <cellStyle name="Normal 2 2 13 2 2 3" xfId="9878" xr:uid="{F0DDBDE0-5C7A-427B-98BE-C4FB97965426}"/>
    <cellStyle name="Normal 2 2 13 2 2 3 2" xfId="13184" xr:uid="{653941B6-AD37-48DF-9548-099E23CC07A2}"/>
    <cellStyle name="Normal 2 2 13 2 2 3 3" xfId="48330" xr:uid="{8ACAAC90-A209-4E4B-B30C-EF346B24565A}"/>
    <cellStyle name="Normal 2 2 13 2 2 4" xfId="7376" xr:uid="{EAADD72A-DCBD-483A-AACB-D79B5ACA2953}"/>
    <cellStyle name="Normal 2 2 13 2 2 4 2" xfId="21440" xr:uid="{FE461750-AE51-4B4E-9E97-45E39D32D244}"/>
    <cellStyle name="Normal 2 2 13 2 2 5" xfId="11899" xr:uid="{188973FE-9A95-4F97-8353-E3D93B881FE6}"/>
    <cellStyle name="Normal 2 2 13 2 2 6" xfId="14315" xr:uid="{60B65C41-9EEB-4CB5-851B-010AC318CD49}"/>
    <cellStyle name="Normal 2 2 13 2 3" xfId="7566" xr:uid="{A69B9A4A-A977-406A-9A13-CA1B54531416}"/>
    <cellStyle name="Normal 2 2 13 2 3 2" xfId="10058" xr:uid="{C2FEFD70-606B-4FC5-989D-87164E7809B8}"/>
    <cellStyle name="Normal 2 2 13 2 3 2 2" xfId="13364" xr:uid="{259CC01A-7520-480E-AFEC-C8E93653235B}"/>
    <cellStyle name="Normal 2 2 13 2 3 2 3" xfId="48026" xr:uid="{9F03683D-F84B-4651-A759-7F7D25F852F7}"/>
    <cellStyle name="Normal 2 2 13 2 3 3" xfId="12079" xr:uid="{078C31BE-9BC8-48E9-B241-D60C9E53CB43}"/>
    <cellStyle name="Normal 2 2 13 2 3 3 2" xfId="46306" xr:uid="{F905AE9D-0204-4995-AEA6-721197092091}"/>
    <cellStyle name="Normal 2 2 13 2 3 4" xfId="14493" xr:uid="{24AFF285-A950-40D3-A531-A848951FB012}"/>
    <cellStyle name="Normal 2 2 13 2 4" xfId="11184" xr:uid="{07359106-9B0A-4D55-A133-808A973B770C}"/>
    <cellStyle name="Normal 2 2 13 2 4 2" xfId="13772" xr:uid="{6FDE329E-D3F6-4C10-9C07-58CAF6A0FA14}"/>
    <cellStyle name="Normal 2 2 13 2 4 2 2" xfId="48571" xr:uid="{3EDE011D-87C0-4DAF-A537-4A7523022CAB}"/>
    <cellStyle name="Normal 2 2 13 2 4 3" xfId="47011" xr:uid="{0251D6AE-66DC-4CEC-90BA-A7BEB2F30C9B}"/>
    <cellStyle name="Normal 2 2 13 2 4 4" xfId="15122" xr:uid="{95766F91-8B14-4506-A119-61793F9552DB}"/>
    <cellStyle name="Normal 2 2 13 2 5" xfId="9564" xr:uid="{C7BA5E60-5B22-41A9-A448-817AE9EB331A}"/>
    <cellStyle name="Normal 2 2 13 2 5 2" xfId="12870" xr:uid="{C26D51F4-D8FF-47E4-81A4-2B79F02A008E}"/>
    <cellStyle name="Normal 2 2 13 2 5 2 2" xfId="48878" xr:uid="{92EAE5A4-F327-4647-BCC5-EA19914407E2}"/>
    <cellStyle name="Normal 2 2 13 2 5 3" xfId="47307" xr:uid="{891BE45B-37F8-43F0-825C-F5DD1395ECD9}"/>
    <cellStyle name="Normal 2 2 13 2 6" xfId="6828" xr:uid="{D19D98DE-1456-4DED-B970-9F1EF9496F6C}"/>
    <cellStyle name="Normal 2 2 13 2 6 2" xfId="47809" xr:uid="{6CB23934-7C54-4461-8C5D-95074C77730C}"/>
    <cellStyle name="Normal 2 2 13 2 7" xfId="11585" xr:uid="{263A4401-6154-40C6-BF00-0EF8F9694682}"/>
    <cellStyle name="Normal 2 2 13 2 7 2" xfId="17823" xr:uid="{E6104B48-A2AD-4EEB-99CC-F0D2E88AB445}"/>
    <cellStyle name="Normal 2 2 13 2 8" xfId="14001" xr:uid="{EF884DFB-048C-4DBD-8E81-CE335D6A6C90}"/>
    <cellStyle name="Normal 2 2 13 3" xfId="4130" xr:uid="{90BE21AA-EEA6-4003-A056-A33DC087F688}"/>
    <cellStyle name="Normal 2 2 13 3 2" xfId="23402" xr:uid="{5F453082-932E-483C-AE1A-5D3961D98F08}"/>
    <cellStyle name="Normal 2 2 13 3 3" xfId="43961" xr:uid="{B8A89D70-6D88-474C-8F35-AB64373694BD}"/>
    <cellStyle name="Normal 2 2 13 3 4" xfId="19782" xr:uid="{6C9C8423-0A7C-4BDC-9CEB-F113A3EE1CAD}"/>
    <cellStyle name="Normal 2 2 13 4" xfId="5602" xr:uid="{A450B701-DF09-40F9-9A5F-B3CA373FCE0A}"/>
    <cellStyle name="Normal 2 2 13 4 2" xfId="7704" xr:uid="{82DF1E5C-8FAD-403D-9158-564E81B6ECF8}"/>
    <cellStyle name="Normal 2 2 13 4 2 2" xfId="10196" xr:uid="{48FDD1B9-1C73-4B05-9D75-82189953AA41}"/>
    <cellStyle name="Normal 2 2 13 4 2 2 2" xfId="13502" xr:uid="{7D9424D0-FAD0-4FE8-B976-250D369046D6}"/>
    <cellStyle name="Normal 2 2 13 4 2 2 3" xfId="49016" xr:uid="{A834601C-87F8-4513-A954-6C3A3E77223D}"/>
    <cellStyle name="Normal 2 2 13 4 2 3" xfId="12217" xr:uid="{7E2AA7BA-C0D3-46B1-9F06-C04B2289A804}"/>
    <cellStyle name="Normal 2 2 13 4 2 3 2" xfId="47438" xr:uid="{E27EDBD2-982D-4F75-88D9-E19C68EDE1F3}"/>
    <cellStyle name="Normal 2 2 13 4 2 4" xfId="14631" xr:uid="{0027E73F-C8F5-4146-8218-11A0175103C5}"/>
    <cellStyle name="Normal 2 2 13 4 3" xfId="9702" xr:uid="{885C8252-0A40-4639-AF85-85F5F2BBF6DB}"/>
    <cellStyle name="Normal 2 2 13 4 3 2" xfId="13008" xr:uid="{F76B3BBD-02EC-4168-BC8D-79060470575F}"/>
    <cellStyle name="Normal 2 2 13 4 3 3" xfId="48161" xr:uid="{B81E298A-0F56-45DC-ACA8-AFE3B3A43AA4}"/>
    <cellStyle name="Normal 2 2 13 4 4" xfId="7198" xr:uid="{C216B7D1-7ED7-4AE9-83EE-C14F7D27BBDE}"/>
    <cellStyle name="Normal 2 2 13 4 4 2" xfId="30493" xr:uid="{73358440-8649-4202-89AA-EBD8C2593838}"/>
    <cellStyle name="Normal 2 2 13 4 5" xfId="11723" xr:uid="{0A1877DE-C093-4D79-B96C-6E929A02ED33}"/>
    <cellStyle name="Normal 2 2 13 4 6" xfId="14139" xr:uid="{0BFD9724-EE9B-4F5F-BE8D-9CE5C432449A}"/>
    <cellStyle name="Normal 2 2 13 5" xfId="6196" xr:uid="{0E22AC67-86DE-4DA4-A820-63C7A099C1B1}"/>
    <cellStyle name="Normal 2 2 13 5 2" xfId="45867" xr:uid="{68208BED-8703-4DBF-B2B0-C1DBF4C07790}"/>
    <cellStyle name="Normal 2 2 13 5 3" xfId="30494" xr:uid="{87EC7096-30F5-4C44-B30F-FDB67734675D}"/>
    <cellStyle name="Normal 2 2 13 5 4" xfId="14946" xr:uid="{296B80A7-0881-4ADA-809E-6A071C52DA6B}"/>
    <cellStyle name="Normal 2 2 13 6" xfId="8862" xr:uid="{8F2D2E47-0957-49AA-8331-3F98011F6ED4}"/>
    <cellStyle name="Normal 2 2 13 6 2" xfId="12688" xr:uid="{CEBCA547-38C0-4E7D-A2DB-11EFAF2FC5DA}"/>
    <cellStyle name="Normal 2 2 13 6 3" xfId="30495" xr:uid="{1137A0EC-94AB-4EF0-BF54-195ECDCE589E}"/>
    <cellStyle name="Normal 2 2 13 7" xfId="8019" xr:uid="{AC90E35D-271D-4D81-89BD-64617F85DAF3}"/>
    <cellStyle name="Normal 2 2 13 7 2" xfId="12532" xr:uid="{46CF4547-6326-4912-AB07-D69848295F4A}"/>
    <cellStyle name="Normal 2 2 13 7 3" xfId="30496" xr:uid="{75C7C49C-C4AF-45B3-959B-70BB4C2EDB69}"/>
    <cellStyle name="Normal 2 2 13 8" xfId="5916" xr:uid="{4B324FF1-98F0-4239-9323-85ECDC014E32}"/>
    <cellStyle name="Normal 2 2 13 8 2" xfId="30497" xr:uid="{5EF141E8-C00B-49C2-A044-67561D0396A2}"/>
    <cellStyle name="Normal 2 2 13 9" xfId="11404" xr:uid="{345A001C-7039-40CA-9794-1D2908A56345}"/>
    <cellStyle name="Normal 2 2 13 9 2" xfId="43495" xr:uid="{63ED9AE1-E3D5-40F4-AA67-3FB2260CA92D}"/>
    <cellStyle name="Normal 2 2 14" xfId="4127" xr:uid="{87C50927-C6C4-4BC9-A8B0-EC50E2AC6233}"/>
    <cellStyle name="Normal 2 2 14 2" xfId="5649" xr:uid="{8E782E27-C98F-467B-9A4E-4ACED13C2476}"/>
    <cellStyle name="Normal 2 2 14 2 2" xfId="10243" xr:uid="{C5312CDE-1C86-4F6F-9125-A8F3AAC8DD51}"/>
    <cellStyle name="Normal 2 2 14 2 2 2" xfId="13549" xr:uid="{086CA8D3-2846-4719-B467-9101C787A39E}"/>
    <cellStyle name="Normal 2 2 14 2 2 3" xfId="21441" xr:uid="{7CC0FCB5-EE09-48A1-A00D-2719882D3681}"/>
    <cellStyle name="Normal 2 2 14 2 3" xfId="7751" xr:uid="{04724F9A-B266-403B-A932-A7BB9D69FEF9}"/>
    <cellStyle name="Normal 2 2 14 2 3 2" xfId="17824" xr:uid="{43137A57-267B-45A8-B634-90C5430CF47C}"/>
    <cellStyle name="Normal 2 2 14 2 4" xfId="12264" xr:uid="{8BC59E80-DF1E-45C3-8463-7BADE3940780}"/>
    <cellStyle name="Normal 2 2 14 2 5" xfId="14678" xr:uid="{E226CFD7-713D-4325-BF7F-F63B6469E4AB}"/>
    <cellStyle name="Normal 2 2 14 3" xfId="11080" xr:uid="{8F54374B-228D-4E7F-B915-81F0A7CC4976}"/>
    <cellStyle name="Normal 2 2 14 3 2" xfId="49060" xr:uid="{FC6A2397-4515-4987-BF1C-1EF4F3FE06A0}"/>
    <cellStyle name="Normal 2 2 14 3 3" xfId="30498" xr:uid="{921F926F-F67F-4E8D-8A39-EB70215F351D}"/>
    <cellStyle name="Normal 2 2 14 3 4" xfId="14993" xr:uid="{61BCD34F-21CB-4846-963F-B4EACFDB913E}"/>
    <cellStyle name="Normal 2 2 14 4" xfId="9749" xr:uid="{32C08434-B6E0-4DF0-B556-BBE7C51E409D}"/>
    <cellStyle name="Normal 2 2 14 4 2" xfId="13055" xr:uid="{4B228C5F-C087-43A8-8930-5FEA283DA777}"/>
    <cellStyle name="Normal 2 2 14 4 3" xfId="30499" xr:uid="{51713B6A-25E5-4B13-994B-3EDD98310625}"/>
    <cellStyle name="Normal 2 2 14 5" xfId="7245" xr:uid="{CA838097-EDCB-47B3-B9D9-9CC227A37AB0}"/>
    <cellStyle name="Normal 2 2 14 5 2" xfId="30500" xr:uid="{0A524EAE-1237-4C58-B0FF-D0DA6612D9AD}"/>
    <cellStyle name="Normal 2 2 14 6" xfId="11770" xr:uid="{B09B3640-04DB-41F8-BB93-8D53F01398EA}"/>
    <cellStyle name="Normal 2 2 14 6 2" xfId="30501" xr:uid="{90BB333A-7509-4C16-A200-3CDC34D3211E}"/>
    <cellStyle name="Normal 2 2 14 7" xfId="15870" xr:uid="{2F0CD69D-C79E-4A80-BAC1-1531B93CF708}"/>
    <cellStyle name="Normal 2 2 14 8" xfId="14186" xr:uid="{E9328009-460E-48A6-B50F-9F7BA9867DF5}"/>
    <cellStyle name="Normal 2 2 15" xfId="6193" xr:uid="{5715698E-0F37-4A94-8FE8-C809C88526B7}"/>
    <cellStyle name="Normal 2 2 15 2" xfId="9432" xr:uid="{7D2AA9EA-ECE6-43BF-A4B5-371BB94BB982}"/>
    <cellStyle name="Normal 2 2 15 2 2" xfId="12738" xr:uid="{11E7F015-D57D-4EC7-855C-001FECDE736D}"/>
    <cellStyle name="Normal 2 2 15 2 2 2" xfId="21442" xr:uid="{0B6886C3-4404-4E4C-855B-F78972B4B391}"/>
    <cellStyle name="Normal 2 2 15 2 3" xfId="17825" xr:uid="{102EE3DE-242E-4B33-BC8A-DBB200148B55}"/>
    <cellStyle name="Normal 2 2 15 3" xfId="11453" xr:uid="{7554E61E-FD23-46AF-A719-C296EE9A7AB4}"/>
    <cellStyle name="Normal 2 2 15 3 2" xfId="30502" xr:uid="{AA3B2D5D-AD0D-4DC9-AFFB-906239CF0D72}"/>
    <cellStyle name="Normal 2 2 15 4" xfId="30503" xr:uid="{9BF46EC9-FA6C-460F-995A-6A49561551CA}"/>
    <cellStyle name="Normal 2 2 15 5" xfId="30504" xr:uid="{936F05FD-2EC7-4EA1-A9F7-8DCF6CC21BA9}"/>
    <cellStyle name="Normal 2 2 15 6" xfId="30505" xr:uid="{5EF73693-2E16-471C-97FD-DCCE5CF785B4}"/>
    <cellStyle name="Normal 2 2 15 7" xfId="15871" xr:uid="{1009B45C-E52C-47E0-9C72-ED1F844D3FCD}"/>
    <cellStyle name="Normal 2 2 15 8" xfId="14364" xr:uid="{665C2EB8-187F-4EC5-B064-0976D4AB3D1E}"/>
    <cellStyle name="Normal 2 2 16" xfId="7437" xr:uid="{26C36BBB-B639-4A5A-B53F-70F0B7D88F55}"/>
    <cellStyle name="Normal 2 2 16 2" xfId="9929" xr:uid="{CFEF77C2-8E4C-4E02-AD32-0AC74FE76A18}"/>
    <cellStyle name="Normal 2 2 16 2 2" xfId="13235" xr:uid="{93B4C82B-BAEC-4B6B-8C9A-B59F51D87557}"/>
    <cellStyle name="Normal 2 2 16 2 2 2" xfId="21443" xr:uid="{9914E201-97B0-432C-A837-D2A24A6EA0D5}"/>
    <cellStyle name="Normal 2 2 16 2 3" xfId="17826" xr:uid="{6C93A6EA-153B-4D4B-995B-5708CA4F5F82}"/>
    <cellStyle name="Normal 2 2 16 3" xfId="11950" xr:uid="{1C10858B-7FE0-47AB-BC67-BF211065181A}"/>
    <cellStyle name="Normal 2 2 16 3 2" xfId="30506" xr:uid="{5726274C-CECC-4ACE-B899-0416CB320D8A}"/>
    <cellStyle name="Normal 2 2 16 4" xfId="30507" xr:uid="{1270CE58-D0AF-44EC-9A38-925E2745D658}"/>
    <cellStyle name="Normal 2 2 16 5" xfId="30508" xr:uid="{9002943C-3A08-4338-B2F1-380D34E62889}"/>
    <cellStyle name="Normal 2 2 16 6" xfId="30509" xr:uid="{BB362BD9-D0C3-4504-BC91-F057EEB0B508}"/>
    <cellStyle name="Normal 2 2 16 7" xfId="15872" xr:uid="{2151650B-B511-4992-84AB-D66F02062F76}"/>
    <cellStyle name="Normal 2 2 17" xfId="15873" xr:uid="{A7BBA14C-F035-45F9-94B2-C95E838E4181}"/>
    <cellStyle name="Normal 2 2 17 2" xfId="17827" xr:uid="{D757D034-384A-4033-95E5-72B870383C16}"/>
    <cellStyle name="Normal 2 2 17 2 2" xfId="21444" xr:uid="{0360FA93-C8C2-496D-9804-B562BAC55500}"/>
    <cellStyle name="Normal 2 2 17 3" xfId="30510" xr:uid="{7577C23A-3544-4460-8577-1214194949E0}"/>
    <cellStyle name="Normal 2 2 17 4" xfId="30511" xr:uid="{9B54D276-2BEA-416B-9140-81D826E011EE}"/>
    <cellStyle name="Normal 2 2 17 5" xfId="30512" xr:uid="{88EB9B7B-7D65-4D56-9286-4168C33B4944}"/>
    <cellStyle name="Normal 2 2 17 6" xfId="30513" xr:uid="{C6170CC9-AA3E-4C0F-869C-0B4B48441408}"/>
    <cellStyle name="Normal 2 2 18" xfId="15874" xr:uid="{27248F0E-7DFA-415A-B90C-2B30D7DA0DBB}"/>
    <cellStyle name="Normal 2 2 18 2" xfId="17828" xr:uid="{03801F49-ED79-4247-80EC-B913E41A40BC}"/>
    <cellStyle name="Normal 2 2 18 2 2" xfId="21445" xr:uid="{2666DA3D-B18A-4122-AEFF-171EF2FD6AC6}"/>
    <cellStyle name="Normal 2 2 18 3" xfId="30514" xr:uid="{D242DC6E-03B0-4A94-9797-3D14E3F37126}"/>
    <cellStyle name="Normal 2 2 18 4" xfId="30515" xr:uid="{AC55CC33-D5E2-4F23-BAEB-475BF8AA4C2D}"/>
    <cellStyle name="Normal 2 2 18 5" xfId="30516" xr:uid="{34A0A8B4-F187-46D5-AC9A-A97AD632C8C9}"/>
    <cellStyle name="Normal 2 2 18 6" xfId="30517" xr:uid="{126713DF-28B8-40EC-9102-0DA9006E5C0E}"/>
    <cellStyle name="Normal 2 2 19" xfId="15875" xr:uid="{4F758F82-A26A-473A-B338-78235561E5BB}"/>
    <cellStyle name="Normal 2 2 19 2" xfId="17829" xr:uid="{DE5A37A4-7C20-449A-BEEC-FA96BC1CCC31}"/>
    <cellStyle name="Normal 2 2 19 2 2" xfId="21446" xr:uid="{ADA2B636-D050-4776-ADF6-EEFE6220D14B}"/>
    <cellStyle name="Normal 2 2 19 3" xfId="30518" xr:uid="{A56615D0-2074-41BC-B9F0-2E4AF09BA042}"/>
    <cellStyle name="Normal 2 2 19 4" xfId="30519" xr:uid="{E7E929A1-CE9B-45BE-B946-B465194CB710}"/>
    <cellStyle name="Normal 2 2 19 5" xfId="30520" xr:uid="{6D752E78-D3DA-4334-9FB4-8E1EB66C8EE8}"/>
    <cellStyle name="Normal 2 2 19 6" xfId="30521" xr:uid="{99A6C17F-6292-473F-8C7D-66BECC10AF0E}"/>
    <cellStyle name="Normal 2 2 2" xfId="2883" xr:uid="{645EFCDC-1DEF-4EF1-A046-E71F11967787}"/>
    <cellStyle name="Normal 2 2 2 10" xfId="15876" xr:uid="{0D9E029A-910B-4F08-BE6B-5C00B3250DD7}"/>
    <cellStyle name="Normal 2 2 2 10 2" xfId="17831" xr:uid="{6D21E673-AC25-4729-99B3-0176ED289651}"/>
    <cellStyle name="Normal 2 2 2 10 2 2" xfId="21448" xr:uid="{3E924663-874A-4B21-A8C5-B6A3834E3B05}"/>
    <cellStyle name="Normal 2 2 2 10 3" xfId="30522" xr:uid="{53EE7F37-EA89-4AF9-833A-1D6B36F86986}"/>
    <cellStyle name="Normal 2 2 2 10 4" xfId="30523" xr:uid="{7DF82019-DE09-4A3D-B016-21B015825EFE}"/>
    <cellStyle name="Normal 2 2 2 10 5" xfId="30524" xr:uid="{25076677-CC5C-4595-BC60-099A7736DCE5}"/>
    <cellStyle name="Normal 2 2 2 10 6" xfId="30525" xr:uid="{8DA62027-985C-48EB-BFE1-2AD92B3FF43E}"/>
    <cellStyle name="Normal 2 2 2 11" xfId="15877" xr:uid="{6803577F-8E90-4000-8B4F-C4D3EB0FAD12}"/>
    <cellStyle name="Normal 2 2 2 11 2" xfId="17832" xr:uid="{566EB51B-F956-4D0E-82CA-67B7F03FB0DE}"/>
    <cellStyle name="Normal 2 2 2 11 2 2" xfId="21449" xr:uid="{7559520B-6BCA-42AF-9254-44261853771C}"/>
    <cellStyle name="Normal 2 2 2 11 3" xfId="30526" xr:uid="{57E63D43-0B26-422A-9899-C1B25555B4C0}"/>
    <cellStyle name="Normal 2 2 2 11 4" xfId="30527" xr:uid="{1263F592-EDE2-4F15-B1DC-4CDC05542E9E}"/>
    <cellStyle name="Normal 2 2 2 11 5" xfId="30528" xr:uid="{4FDCAF00-B5F6-45B0-858E-BB6D578414BD}"/>
    <cellStyle name="Normal 2 2 2 11 6" xfId="30529" xr:uid="{4F943F87-605B-4F87-8860-F0AACC3A3594}"/>
    <cellStyle name="Normal 2 2 2 12" xfId="15878" xr:uid="{6AC11AC2-26C6-4AC5-BE68-EA69A7B60775}"/>
    <cellStyle name="Normal 2 2 2 12 2" xfId="17833" xr:uid="{3ACF8EC5-7846-4084-BD7E-46D3D5E8741D}"/>
    <cellStyle name="Normal 2 2 2 12 2 2" xfId="21450" xr:uid="{4C255061-0771-4163-87C1-1DF5280893EF}"/>
    <cellStyle name="Normal 2 2 2 12 3" xfId="30530" xr:uid="{5819C4AF-D17E-49AC-86C3-D0A44C96E47E}"/>
    <cellStyle name="Normal 2 2 2 12 4" xfId="30531" xr:uid="{A80EAEB4-9C36-4634-AD30-1A0E3ED167C6}"/>
    <cellStyle name="Normal 2 2 2 12 5" xfId="30532" xr:uid="{4DD05DA2-B797-4825-8D93-C96FB8319E0D}"/>
    <cellStyle name="Normal 2 2 2 12 6" xfId="30533" xr:uid="{3FC46CCA-0FA9-485E-9E4E-2C15C2EF8A17}"/>
    <cellStyle name="Normal 2 2 2 13" xfId="15879" xr:uid="{CA84F032-D3C5-401F-B92D-B46A5C42D494}"/>
    <cellStyle name="Normal 2 2 2 13 2" xfId="17834" xr:uid="{9D6A6FF1-9B34-483B-A966-B01CB7A29639}"/>
    <cellStyle name="Normal 2 2 2 13 2 2" xfId="21451" xr:uid="{D23D87B2-1BF3-45E1-9DCA-78286820072C}"/>
    <cellStyle name="Normal 2 2 2 13 3" xfId="30534" xr:uid="{FC82AD29-0420-423D-8C51-B26F381D6847}"/>
    <cellStyle name="Normal 2 2 2 13 4" xfId="30535" xr:uid="{400B300D-1273-4EB9-8263-611A80541CB1}"/>
    <cellStyle name="Normal 2 2 2 13 5" xfId="30536" xr:uid="{DEB9E7CC-0C51-4190-83B8-0394AD51AA26}"/>
    <cellStyle name="Normal 2 2 2 13 6" xfId="30537" xr:uid="{581276AB-58C5-440C-B5E4-18DF7FD695B6}"/>
    <cellStyle name="Normal 2 2 2 14" xfId="15880" xr:uid="{B1268A1D-2D8E-4F53-B74D-7B466D0E8E31}"/>
    <cellStyle name="Normal 2 2 2 14 2" xfId="17835" xr:uid="{8906FBBB-3E77-460F-8AD7-BE95CDB02421}"/>
    <cellStyle name="Normal 2 2 2 14 2 2" xfId="21452" xr:uid="{F6AF68A4-51FD-452C-BA1D-F909BE651EE5}"/>
    <cellStyle name="Normal 2 2 2 14 3" xfId="30538" xr:uid="{0C308E01-5550-4B26-B266-23010DB98D29}"/>
    <cellStyle name="Normal 2 2 2 14 4" xfId="30539" xr:uid="{363E4DA2-746A-4D61-916C-1EA1FE0BB501}"/>
    <cellStyle name="Normal 2 2 2 14 5" xfId="30540" xr:uid="{259A0375-7963-4DE8-B965-8EA03180F07D}"/>
    <cellStyle name="Normal 2 2 2 14 6" xfId="30541" xr:uid="{EE172F98-2448-4341-A30F-0787583AE032}"/>
    <cellStyle name="Normal 2 2 2 15" xfId="15881" xr:uid="{5AD614D8-91E0-4055-ADFE-BCE01CEAE8EC}"/>
    <cellStyle name="Normal 2 2 2 15 2" xfId="17836" xr:uid="{C17FD40C-9110-4838-8B16-825DB206E7F7}"/>
    <cellStyle name="Normal 2 2 2 15 2 2" xfId="21453" xr:uid="{5CF73332-9E5D-4028-8ABB-34A3FF85EA79}"/>
    <cellStyle name="Normal 2 2 2 15 3" xfId="30542" xr:uid="{23BBCB3B-E1FD-4533-AE79-25F9A28F0C11}"/>
    <cellStyle name="Normal 2 2 2 15 4" xfId="30543" xr:uid="{0B6E9789-5989-477C-A28A-1798D095A467}"/>
    <cellStyle name="Normal 2 2 2 15 5" xfId="30544" xr:uid="{2781FCFA-405E-46C3-9FBC-52F512867226}"/>
    <cellStyle name="Normal 2 2 2 15 6" xfId="30545" xr:uid="{1CECC900-12E7-4A3F-AB8A-FD610FF3FC5F}"/>
    <cellStyle name="Normal 2 2 2 16" xfId="17837" xr:uid="{337DF71B-9B35-4374-967D-ADD564AF3A81}"/>
    <cellStyle name="Normal 2 2 2 16 2" xfId="21454" xr:uid="{8DAE81B8-2FF7-4C23-A4E9-00C3BFF1AF3D}"/>
    <cellStyle name="Normal 2 2 2 17" xfId="17830" xr:uid="{AA964947-3F0C-421D-A644-845E6B6CDF3F}"/>
    <cellStyle name="Normal 2 2 2 17 2" xfId="21447" xr:uid="{930FCD95-9F4D-4C58-8B37-D8CA601CFCF6}"/>
    <cellStyle name="Normal 2 2 2 18" xfId="30546" xr:uid="{01B4F1F3-6EE5-4D57-8C7C-61EBBD5BC91D}"/>
    <cellStyle name="Normal 2 2 2 19" xfId="30547" xr:uid="{C20E9EB8-46F5-4F66-922E-6E8CDCE50F3F}"/>
    <cellStyle name="Normal 2 2 2 2" xfId="2884" xr:uid="{1FE5E64A-B924-426F-B842-DDBCB64D2AB9}"/>
    <cellStyle name="Normal 2 2 2 2 10" xfId="15883" xr:uid="{95D7F87B-F375-4858-BAF7-8EAA3B20A53D}"/>
    <cellStyle name="Normal 2 2 2 2 10 2" xfId="17839" xr:uid="{3764BD46-F263-46EA-8D32-C74D2ECBCD17}"/>
    <cellStyle name="Normal 2 2 2 2 10 2 2" xfId="21456" xr:uid="{3ECA1CAB-7C12-4097-8637-A11EE1FD7288}"/>
    <cellStyle name="Normal 2 2 2 2 10 3" xfId="30548" xr:uid="{09FD7366-7C3B-474F-9D74-929998D4F635}"/>
    <cellStyle name="Normal 2 2 2 2 10 4" xfId="30549" xr:uid="{A68DBAE5-D3B9-422D-B892-CB03C5ADB07D}"/>
    <cellStyle name="Normal 2 2 2 2 10 5" xfId="30550" xr:uid="{7969B82F-16E6-4E5F-93FF-1BBF44F65D69}"/>
    <cellStyle name="Normal 2 2 2 2 10 6" xfId="30551" xr:uid="{094781CF-10DB-47D6-ACF8-A582F450AEFA}"/>
    <cellStyle name="Normal 2 2 2 2 11" xfId="15884" xr:uid="{AA7F2EE8-A5E1-4BCF-97F3-F734BB8F07D8}"/>
    <cellStyle name="Normal 2 2 2 2 11 2" xfId="17840" xr:uid="{CDDB47EC-87CC-44BC-9C95-8A1371096EB0}"/>
    <cellStyle name="Normal 2 2 2 2 11 2 2" xfId="21457" xr:uid="{518EC945-C0FA-4AF5-9E44-86F0E782D233}"/>
    <cellStyle name="Normal 2 2 2 2 11 3" xfId="30552" xr:uid="{FC892740-0D95-4B2D-9F5A-58AF2776D998}"/>
    <cellStyle name="Normal 2 2 2 2 11 4" xfId="30553" xr:uid="{5D5C1018-5771-4500-8FB0-0F65299EAE65}"/>
    <cellStyle name="Normal 2 2 2 2 11 5" xfId="30554" xr:uid="{1BD0ED77-ED43-4D89-9B84-75891C594A18}"/>
    <cellStyle name="Normal 2 2 2 2 11 6" xfId="30555" xr:uid="{0CDE488B-A507-4779-87DA-8DCD72961DAD}"/>
    <cellStyle name="Normal 2 2 2 2 12" xfId="15885" xr:uid="{8B7A1CD6-9F02-4202-AD23-6AC721A56E5F}"/>
    <cellStyle name="Normal 2 2 2 2 12 2" xfId="17841" xr:uid="{1C3119CC-D929-467F-822C-C1491164A699}"/>
    <cellStyle name="Normal 2 2 2 2 12 2 2" xfId="21458" xr:uid="{618EFD9D-E7AB-4167-B05E-459B1187F232}"/>
    <cellStyle name="Normal 2 2 2 2 12 3" xfId="30556" xr:uid="{D3BE64A3-3E40-4390-8C15-874C0E452890}"/>
    <cellStyle name="Normal 2 2 2 2 12 4" xfId="30557" xr:uid="{A3AAE14A-7542-4076-93F2-CFBD6E2A3109}"/>
    <cellStyle name="Normal 2 2 2 2 12 5" xfId="30558" xr:uid="{4FCAE680-F961-4C4E-B590-DEA889F96CCA}"/>
    <cellStyle name="Normal 2 2 2 2 12 6" xfId="30559" xr:uid="{0ADDA768-1AA5-4F75-B989-AA57FE70CD0F}"/>
    <cellStyle name="Normal 2 2 2 2 13" xfId="15882" xr:uid="{49E24A44-B6A2-440C-A78D-312AA9C6511B}"/>
    <cellStyle name="Normal 2 2 2 2 13 2" xfId="17842" xr:uid="{A2631062-ACA3-4EE7-918E-72FC765C8164}"/>
    <cellStyle name="Normal 2 2 2 2 13 2 2" xfId="21459" xr:uid="{86BC8E9D-8671-415E-B3F7-9DA5EF61CF73}"/>
    <cellStyle name="Normal 2 2 2 2 13 3" xfId="30560" xr:uid="{605D6A1B-3743-4A70-A7B7-42CB19D72FDC}"/>
    <cellStyle name="Normal 2 2 2 2 13 4" xfId="30561" xr:uid="{ED1E1BF3-0AB0-45AB-9E7B-02E8BA0713A5}"/>
    <cellStyle name="Normal 2 2 2 2 13 5" xfId="30562" xr:uid="{AF6D2472-A68D-412A-A3C3-E4ABF8DCB254}"/>
    <cellStyle name="Normal 2 2 2 2 13 6" xfId="30563" xr:uid="{777E4D96-4E80-4805-BACA-1622659147F6}"/>
    <cellStyle name="Normal 2 2 2 2 14" xfId="17838" xr:uid="{1D42D499-0657-45D3-B57B-E34D3E050CEF}"/>
    <cellStyle name="Normal 2 2 2 2 14 2" xfId="21455" xr:uid="{05A2D726-1866-43FE-866D-0EF4B7F7D277}"/>
    <cellStyle name="Normal 2 2 2 2 15" xfId="30564" xr:uid="{7DA016B9-0A7D-4CBB-9A67-639368FA771D}"/>
    <cellStyle name="Normal 2 2 2 2 16" xfId="30565" xr:uid="{84E4DADE-2532-454A-A0CB-3B4C0EBC68B9}"/>
    <cellStyle name="Normal 2 2 2 2 17" xfId="30566" xr:uid="{7203BD48-E759-47DB-BCE3-18423CCDEFB4}"/>
    <cellStyle name="Normal 2 2 2 2 18" xfId="30567" xr:uid="{3DB90AF5-AFDB-4E67-867B-8CE62335227B}"/>
    <cellStyle name="Normal 2 2 2 2 19" xfId="30568" xr:uid="{E3D4F694-70F9-4B63-B3A1-3FAD63C1F581}"/>
    <cellStyle name="Normal 2 2 2 2 2" xfId="2885" xr:uid="{F254EB85-6F58-4075-9220-6D1E20C4A6C0}"/>
    <cellStyle name="Normal 2 2 2 2 2 2" xfId="17843" xr:uid="{82BD7B2A-0132-4D00-A093-9FD7D0BEE0A8}"/>
    <cellStyle name="Normal 2 2 2 2 2 2 2" xfId="21460" xr:uid="{98E46751-25F7-40FD-86CA-7C63D7BA5104}"/>
    <cellStyle name="Normal 2 2 2 2 2 3" xfId="30569" xr:uid="{9CE0C04E-0165-4502-9A5D-108F33D5014F}"/>
    <cellStyle name="Normal 2 2 2 2 2 4" xfId="30570" xr:uid="{EF169AFB-A738-4531-8EBA-B78249AB1B12}"/>
    <cellStyle name="Normal 2 2 2 2 2 5" xfId="30571" xr:uid="{74F1C3CD-592A-4198-BDE7-C8DF82EA56EE}"/>
    <cellStyle name="Normal 2 2 2 2 2 6" xfId="30572" xr:uid="{2A6A3527-2A1C-4A3B-9D28-213423454005}"/>
    <cellStyle name="Normal 2 2 2 2 3" xfId="15886" xr:uid="{135D67AF-A9CF-448C-90FA-96AB32EB81BE}"/>
    <cellStyle name="Normal 2 2 2 2 3 2" xfId="17844" xr:uid="{D40322BE-8ED4-4068-9A53-155DC9586F4B}"/>
    <cellStyle name="Normal 2 2 2 2 3 2 2" xfId="21461" xr:uid="{92CE79B1-B9BE-434A-A244-342BE259E7E3}"/>
    <cellStyle name="Normal 2 2 2 2 3 3" xfId="30573" xr:uid="{30BC7292-9C3A-4B15-A47F-377280A81F0D}"/>
    <cellStyle name="Normal 2 2 2 2 3 4" xfId="30574" xr:uid="{4122C68D-50DB-446E-9F7F-EBEDA88EDECC}"/>
    <cellStyle name="Normal 2 2 2 2 3 5" xfId="30575" xr:uid="{10B00517-675B-4BF6-A59F-9EC3FEA819D7}"/>
    <cellStyle name="Normal 2 2 2 2 3 6" xfId="30576" xr:uid="{B849F808-1857-4AE1-A7B7-20CDBDBDAC4C}"/>
    <cellStyle name="Normal 2 2 2 2 4" xfId="15887" xr:uid="{E996083F-7DB1-43FF-A35E-69435A71C6B9}"/>
    <cellStyle name="Normal 2 2 2 2 4 2" xfId="17845" xr:uid="{FF0C47D0-DAA1-41D4-AE09-2F013341612A}"/>
    <cellStyle name="Normal 2 2 2 2 4 2 2" xfId="21462" xr:uid="{BA2A72E1-7EAD-4475-92B0-70777AA9DB62}"/>
    <cellStyle name="Normal 2 2 2 2 4 3" xfId="30577" xr:uid="{0F0CF290-3089-4BD1-BA8F-0EEC1736B5A1}"/>
    <cellStyle name="Normal 2 2 2 2 4 4" xfId="30578" xr:uid="{A393EEF5-2CCA-4A0B-8E49-80AAE6057748}"/>
    <cellStyle name="Normal 2 2 2 2 4 5" xfId="30579" xr:uid="{D075C6BD-8501-41C3-8346-8452E7707B6B}"/>
    <cellStyle name="Normal 2 2 2 2 4 6" xfId="30580" xr:uid="{28A0D3E6-EC35-47D3-96A2-E355440589DC}"/>
    <cellStyle name="Normal 2 2 2 2 5" xfId="15888" xr:uid="{5C8A0D48-275D-4A91-971B-BA7B3E4366E6}"/>
    <cellStyle name="Normal 2 2 2 2 5 2" xfId="17846" xr:uid="{C73D24E8-D76A-4E57-8B43-1D64FE3AE487}"/>
    <cellStyle name="Normal 2 2 2 2 5 2 2" xfId="21463" xr:uid="{F938FF96-EC4E-4B45-9EF2-88EB998B6E31}"/>
    <cellStyle name="Normal 2 2 2 2 5 3" xfId="30581" xr:uid="{CBBA798C-4036-4D12-96E1-269A1A32831B}"/>
    <cellStyle name="Normal 2 2 2 2 5 4" xfId="30582" xr:uid="{F4101E5E-EAE6-426D-8208-0859EBB9B311}"/>
    <cellStyle name="Normal 2 2 2 2 5 5" xfId="30583" xr:uid="{D3885293-A7E8-4030-A211-3A839DE7CA62}"/>
    <cellStyle name="Normal 2 2 2 2 5 6" xfId="30584" xr:uid="{06D4B31E-561D-4041-8154-AC3354B82E77}"/>
    <cellStyle name="Normal 2 2 2 2 6" xfId="15889" xr:uid="{DEE872C5-B37E-4C81-A7A6-8A8524209A41}"/>
    <cellStyle name="Normal 2 2 2 2 6 2" xfId="17847" xr:uid="{F6B33207-8EF3-4CFF-80E4-C073C04FAEE6}"/>
    <cellStyle name="Normal 2 2 2 2 6 2 2" xfId="21464" xr:uid="{9674B24B-A25E-48B4-826E-7FE5EC2B7962}"/>
    <cellStyle name="Normal 2 2 2 2 6 3" xfId="30585" xr:uid="{0F061D7C-CE6F-4274-B219-45F83E75F8E7}"/>
    <cellStyle name="Normal 2 2 2 2 6 4" xfId="30586" xr:uid="{A90F278D-12EA-4F8D-B26B-8492BA492A2F}"/>
    <cellStyle name="Normal 2 2 2 2 6 5" xfId="30587" xr:uid="{4ED6BB00-937C-4CA2-A7C1-5C72C8FB141C}"/>
    <cellStyle name="Normal 2 2 2 2 6 6" xfId="30588" xr:uid="{F45E1E41-F6CD-4417-AA5C-80CD455585F0}"/>
    <cellStyle name="Normal 2 2 2 2 7" xfId="15890" xr:uid="{162E70CA-D473-45B5-ADBE-28235EC78BBA}"/>
    <cellStyle name="Normal 2 2 2 2 7 2" xfId="17848" xr:uid="{EF4E927A-13F1-46A4-BCAD-C98D6A3B64FE}"/>
    <cellStyle name="Normal 2 2 2 2 7 2 2" xfId="21465" xr:uid="{44381B64-E624-47D1-A042-9B70CDA005DC}"/>
    <cellStyle name="Normal 2 2 2 2 7 3" xfId="30589" xr:uid="{77CEBBF1-7EFF-401A-84FD-6C1C524081F1}"/>
    <cellStyle name="Normal 2 2 2 2 7 4" xfId="30590" xr:uid="{CDB94A9C-3D70-4495-B527-9676DB35EA5E}"/>
    <cellStyle name="Normal 2 2 2 2 7 5" xfId="30591" xr:uid="{2F2AAF05-588D-4D18-BD2B-8F6BDFCA3627}"/>
    <cellStyle name="Normal 2 2 2 2 7 6" xfId="30592" xr:uid="{F4F9B1AF-1A37-428B-A833-0F12915ED64C}"/>
    <cellStyle name="Normal 2 2 2 2 8" xfId="15891" xr:uid="{C17B2639-CC60-4B6E-89EB-C0F9E32399BE}"/>
    <cellStyle name="Normal 2 2 2 2 8 2" xfId="17849" xr:uid="{DB4113CB-25CC-4758-A589-4B7BCBE80B28}"/>
    <cellStyle name="Normal 2 2 2 2 8 2 2" xfId="21466" xr:uid="{28A79DCB-240E-449F-80D2-F2FA929497D1}"/>
    <cellStyle name="Normal 2 2 2 2 8 3" xfId="30593" xr:uid="{2D732174-4D00-4D89-B582-0DA1F9B2E508}"/>
    <cellStyle name="Normal 2 2 2 2 8 4" xfId="30594" xr:uid="{BD561C4F-34C5-4E85-BCEA-B75096C5B6CA}"/>
    <cellStyle name="Normal 2 2 2 2 8 5" xfId="30595" xr:uid="{4D4B6CF9-C58E-49A1-914C-5C6549C61633}"/>
    <cellStyle name="Normal 2 2 2 2 8 6" xfId="30596" xr:uid="{26385DFE-86AD-49E6-94F5-19B45F832E4A}"/>
    <cellStyle name="Normal 2 2 2 2 9" xfId="15892" xr:uid="{FD4312EF-B845-4C11-B08A-D78DC20BF164}"/>
    <cellStyle name="Normal 2 2 2 2 9 2" xfId="17850" xr:uid="{6C743BCA-061F-47D0-A33D-A737A45F0686}"/>
    <cellStyle name="Normal 2 2 2 2 9 2 2" xfId="21467" xr:uid="{6E60BCAE-71DB-4B48-9E8D-5A3255944BCF}"/>
    <cellStyle name="Normal 2 2 2 2 9 3" xfId="30597" xr:uid="{EA1302E2-2B36-4362-9029-63C615AD5660}"/>
    <cellStyle name="Normal 2 2 2 2 9 4" xfId="30598" xr:uid="{1696465C-16FE-41A2-88A3-00A5DA0D17DA}"/>
    <cellStyle name="Normal 2 2 2 2 9 5" xfId="30599" xr:uid="{179ABC7C-9694-4BD9-A9F4-5CF33D512B27}"/>
    <cellStyle name="Normal 2 2 2 2 9 6" xfId="30600" xr:uid="{9B9BA4A9-B012-41A3-9197-7CEC7F51A760}"/>
    <cellStyle name="Normal 2 2 2 20" xfId="30601" xr:uid="{6008161A-E653-426A-89CC-43441AE77FA4}"/>
    <cellStyle name="Normal 2 2 2 21" xfId="30602" xr:uid="{89C3969A-195F-4E55-BE03-BA4155E61F55}"/>
    <cellStyle name="Normal 2 2 2 22" xfId="30603" xr:uid="{6A1C5151-B28B-441F-A960-9AFAACBBBF28}"/>
    <cellStyle name="Normal 2 2 2 23" xfId="30604" xr:uid="{513F026B-DE35-4720-90CC-6E9CADC23D82}"/>
    <cellStyle name="Normal 2 2 2 3" xfId="2886" xr:uid="{C9E2B9F2-C4AA-406C-9518-EFD1A7A6285B}"/>
    <cellStyle name="Normal 2 2 2 3 2" xfId="16610" xr:uid="{4573C9A1-2979-434C-B4A9-8C6DBB27523F}"/>
    <cellStyle name="Normal 2 2 2 3 2 2" xfId="17852" xr:uid="{9C22FE64-D0ED-47E7-8AA5-3EE63A7B9D65}"/>
    <cellStyle name="Normal 2 2 2 3 2 2 2" xfId="21469" xr:uid="{D0516726-C0F5-4F32-AE22-BD3F5F4217C1}"/>
    <cellStyle name="Normal 2 2 2 3 2 3" xfId="20718" xr:uid="{AEF43843-B996-4F54-8378-C3B4FDD57A56}"/>
    <cellStyle name="Normal 2 2 2 3 3" xfId="17853" xr:uid="{AE851B08-9CE5-473A-8BC6-AE0298783A53}"/>
    <cellStyle name="Normal 2 2 2 3 3 2" xfId="21470" xr:uid="{7966E45E-1F8E-4537-BCEE-CAB744D05FC3}"/>
    <cellStyle name="Normal 2 2 2 3 4" xfId="17851" xr:uid="{EA5BD397-AD61-425C-9DF6-B01855907AEE}"/>
    <cellStyle name="Normal 2 2 2 3 4 2" xfId="21468" xr:uid="{6CC7C6CB-EF78-4197-9FD3-9A534FF63C3D}"/>
    <cellStyle name="Normal 2 2 2 3 5" xfId="30605" xr:uid="{3ADD9473-86D8-496A-B2C5-93814CFB8922}"/>
    <cellStyle name="Normal 2 2 2 3 6" xfId="30606" xr:uid="{842743E8-71C0-4A28-A2F0-68B10C749DE1}"/>
    <cellStyle name="Normal 2 2 2 3 7" xfId="30607" xr:uid="{A52D4DDF-425F-4FEA-8187-3FD07170FC07}"/>
    <cellStyle name="Normal 2 2 2 3 8" xfId="30608" xr:uid="{2A718BA4-8FCE-4975-A32F-CE479478FC6B}"/>
    <cellStyle name="Normal 2 2 2 4" xfId="2887" xr:uid="{5C01E574-B9C5-4C14-AD0D-CC1E9516E0E6}"/>
    <cellStyle name="Normal 2 2 2 4 2" xfId="17854" xr:uid="{996988D5-712A-4530-BE4B-792E9F1849E7}"/>
    <cellStyle name="Normal 2 2 2 4 2 2" xfId="21471" xr:uid="{C2949D5C-70E6-4C07-8FAE-DC0B4AF0D8FC}"/>
    <cellStyle name="Normal 2 2 2 4 3" xfId="30609" xr:uid="{8D0EA1DC-5B2B-40B3-B1BF-915BB79851E9}"/>
    <cellStyle name="Normal 2 2 2 4 4" xfId="30610" xr:uid="{2F5BCB7F-A9EB-4787-B1C1-A27028438861}"/>
    <cellStyle name="Normal 2 2 2 4 5" xfId="30611" xr:uid="{C8B5F1AC-E0FE-4A72-8583-80EC12D25A38}"/>
    <cellStyle name="Normal 2 2 2 4 6" xfId="30612" xr:uid="{BBA2E6D5-6D98-4CD2-8946-F086A3B518ED}"/>
    <cellStyle name="Normal 2 2 2 5" xfId="2888" xr:uid="{7794405B-FD9F-4149-ADBD-1B06BEBB2D16}"/>
    <cellStyle name="Normal 2 2 2 5 2" xfId="17855" xr:uid="{9C133016-C00A-4501-B1E5-702E1BF46496}"/>
    <cellStyle name="Normal 2 2 2 5 2 2" xfId="21472" xr:uid="{61D09776-8C05-453E-9935-4928595B818D}"/>
    <cellStyle name="Normal 2 2 2 5 3" xfId="30613" xr:uid="{C1635A9E-BF5D-4CC3-85D0-0F5AA34A037F}"/>
    <cellStyle name="Normal 2 2 2 5 4" xfId="30614" xr:uid="{7DAC91A7-62E9-48BE-B403-DD9AFDB5D168}"/>
    <cellStyle name="Normal 2 2 2 5 5" xfId="30615" xr:uid="{12D46B37-A49C-4739-8351-BC1A6A6D5571}"/>
    <cellStyle name="Normal 2 2 2 5 6" xfId="30616" xr:uid="{8E14FD64-5493-4779-957C-55BB6A5F090F}"/>
    <cellStyle name="Normal 2 2 2 6" xfId="2889" xr:uid="{D76B2435-50B9-4196-90D1-ACD234C7A900}"/>
    <cellStyle name="Normal 2 2 2 6 2" xfId="15893" xr:uid="{C6B8B5C1-0E5C-4D08-A3ED-4B00C15D4957}"/>
    <cellStyle name="Normal 2 2 2 6 2 2" xfId="17857" xr:uid="{C5DEF7F1-EA07-4163-8D35-9E8F8E251DD6}"/>
    <cellStyle name="Normal 2 2 2 6 2 2 2" xfId="21474" xr:uid="{09B508FA-10A5-4D40-BE04-59AEE51E8AC7}"/>
    <cellStyle name="Normal 2 2 2 6 2 3" xfId="30617" xr:uid="{86D99F1D-9A20-446D-8D23-E2D39E74A840}"/>
    <cellStyle name="Normal 2 2 2 6 2 4" xfId="30618" xr:uid="{D23CA40D-2BD5-4EB3-B6AB-04155192DA71}"/>
    <cellStyle name="Normal 2 2 2 6 2 5" xfId="30619" xr:uid="{4FCE7963-2FD4-470B-9E9D-305F1CC41838}"/>
    <cellStyle name="Normal 2 2 2 6 2 6" xfId="30620" xr:uid="{432BDD63-025E-4BD9-9018-340BBC7D7569}"/>
    <cellStyle name="Normal 2 2 2 6 3" xfId="17856" xr:uid="{F513E986-2167-4075-8E5D-9D8E976A4064}"/>
    <cellStyle name="Normal 2 2 2 6 3 2" xfId="21473" xr:uid="{F1F1C8E9-7253-46BC-8C86-EC573232E6A6}"/>
    <cellStyle name="Normal 2 2 2 6 4" xfId="30621" xr:uid="{9B62066F-516F-4281-BE9C-979345A5D0E5}"/>
    <cellStyle name="Normal 2 2 2 6 5" xfId="30622" xr:uid="{42267C4D-E836-47C7-B7CB-B619E73E6FF9}"/>
    <cellStyle name="Normal 2 2 2 6 6" xfId="30623" xr:uid="{E54C8FBF-2F3F-45F0-835B-07F5DD18514D}"/>
    <cellStyle name="Normal 2 2 2 6 7" xfId="30624" xr:uid="{4DF06470-4356-4CF8-814F-F4CA9C2482BA}"/>
    <cellStyle name="Normal 2 2 2 7" xfId="2890" xr:uid="{21D1CBBA-339C-43EC-AD86-36E5CD43AA0D}"/>
    <cellStyle name="Normal 2 2 2 7 2" xfId="15894" xr:uid="{C70088AF-AF52-4B14-8F54-B566881F4CF7}"/>
    <cellStyle name="Normal 2 2 2 7 2 2" xfId="17859" xr:uid="{5465BE26-99FC-422B-A05A-107BFA30D81A}"/>
    <cellStyle name="Normal 2 2 2 7 2 2 2" xfId="21476" xr:uid="{648ACC3D-2436-4B2D-8684-A4B95A1B116B}"/>
    <cellStyle name="Normal 2 2 2 7 2 3" xfId="30625" xr:uid="{106C736D-5DA6-402C-8BDD-D66733B8D2BA}"/>
    <cellStyle name="Normal 2 2 2 7 2 4" xfId="30626" xr:uid="{0506C180-C84B-45B5-9D01-EF0DAD6669BD}"/>
    <cellStyle name="Normal 2 2 2 7 2 5" xfId="30627" xr:uid="{B6E4C743-7F06-41CB-92D7-97800246EA25}"/>
    <cellStyle name="Normal 2 2 2 7 2 6" xfId="30628" xr:uid="{49448FBC-3C00-4660-A6FF-A1BA45E5BDAB}"/>
    <cellStyle name="Normal 2 2 2 7 3" xfId="17858" xr:uid="{2CA9FC03-DC9A-47B0-93D4-1CA753F2343F}"/>
    <cellStyle name="Normal 2 2 2 7 3 2" xfId="21475" xr:uid="{D978B0BD-9311-43B9-932D-B1E7C1CEB6D2}"/>
    <cellStyle name="Normal 2 2 2 7 4" xfId="30629" xr:uid="{81E99E5D-6C34-45D4-987E-84A0C828BDB6}"/>
    <cellStyle name="Normal 2 2 2 7 5" xfId="30630" xr:uid="{0A4A31FC-0D06-4701-A506-4525381F0AB9}"/>
    <cellStyle name="Normal 2 2 2 7 6" xfId="30631" xr:uid="{69E37F72-6945-4A82-827A-9A9D4E3CCE7B}"/>
    <cellStyle name="Normal 2 2 2 7 7" xfId="30632" xr:uid="{B563D38E-EB5E-42DB-A51D-B9AB93458645}"/>
    <cellStyle name="Normal 2 2 2 8" xfId="2891" xr:uid="{B557C2D0-C0F1-411E-A14F-D6153DFAF56C}"/>
    <cellStyle name="Normal 2 2 2 8 2" xfId="4980" xr:uid="{8CC96908-C9A8-42D9-9BB9-5F998E165201}"/>
    <cellStyle name="Normal 2 2 2 8 2 2" xfId="21477" xr:uid="{457ADF8C-D269-423D-B461-87B4F5734E88}"/>
    <cellStyle name="Normal 2 2 2 8 2 3" xfId="44322" xr:uid="{CB8C31C8-7742-4F67-85D9-E18532C8AD67}"/>
    <cellStyle name="Normal 2 2 2 8 2 4" xfId="17860" xr:uid="{24A6288B-4FB0-41F5-B657-D82963840ECC}"/>
    <cellStyle name="Normal 2 2 2 8 3" xfId="6829" xr:uid="{BAADF34D-7BA4-4404-9C90-AD6387CD3343}"/>
    <cellStyle name="Normal 2 2 2 8 3 2" xfId="46307" xr:uid="{D862E3E3-9FF3-4212-BC32-A4FE5784D25E}"/>
    <cellStyle name="Normal 2 2 2 8 3 3" xfId="30633" xr:uid="{175E90DA-4890-4552-BFA6-0899A362064D}"/>
    <cellStyle name="Normal 2 2 2 8 4" xfId="8863" xr:uid="{C35BB66C-7FEB-4B1B-B868-C5060B6B82DA}"/>
    <cellStyle name="Normal 2 2 2 8 4 2" xfId="30634" xr:uid="{D644DB03-B1AF-4BAF-9AF2-8B26E8EC6604}"/>
    <cellStyle name="Normal 2 2 2 8 5" xfId="30635" xr:uid="{448824E0-5571-4D4C-8C1E-8D7F5F3971BB}"/>
    <cellStyle name="Normal 2 2 2 8 6" xfId="30636" xr:uid="{4D21C99A-886E-4885-B955-2D596A95078E}"/>
    <cellStyle name="Normal 2 2 2 9" xfId="15895" xr:uid="{F55DC507-D499-4CD5-B95B-02EC66070010}"/>
    <cellStyle name="Normal 2 2 2 9 2" xfId="17861" xr:uid="{27E6D6D3-1288-42FC-B171-BC17C1BF3629}"/>
    <cellStyle name="Normal 2 2 2 9 2 2" xfId="21478" xr:uid="{057795B7-DB88-450B-AFDE-8AAED17EF546}"/>
    <cellStyle name="Normal 2 2 2 9 3" xfId="30637" xr:uid="{310EE820-6CC4-4F8E-8D03-0EECE73549D9}"/>
    <cellStyle name="Normal 2 2 2 9 4" xfId="30638" xr:uid="{2F5B327D-D13B-4973-9E29-4A106E187101}"/>
    <cellStyle name="Normal 2 2 2 9 5" xfId="30639" xr:uid="{19B0CDB8-6386-406E-8FE2-3FC1D6689A94}"/>
    <cellStyle name="Normal 2 2 2 9 6" xfId="30640" xr:uid="{4B8EC296-F5AC-4AB6-959E-94E4C23FF908}"/>
    <cellStyle name="Normal 2 2 2_ELC" xfId="2892" xr:uid="{7D957D26-16B6-49B5-9B24-55BFD3C78F2D}"/>
    <cellStyle name="Normal 2 2 20" xfId="15896" xr:uid="{C3D332E6-0431-44A4-9AE3-31F77F057D21}"/>
    <cellStyle name="Normal 2 2 20 2" xfId="17862" xr:uid="{B6E7040C-B3F6-419B-BBA9-FFF5A54A2B07}"/>
    <cellStyle name="Normal 2 2 20 2 2" xfId="21479" xr:uid="{89342C78-F246-4491-A925-CF39528A3ACB}"/>
    <cellStyle name="Normal 2 2 20 3" xfId="30641" xr:uid="{CB3ADDCA-0C3D-4500-818A-F9C1337728D3}"/>
    <cellStyle name="Normal 2 2 20 4" xfId="30642" xr:uid="{580C6BE0-2BF3-486D-984D-0A047F9B858B}"/>
    <cellStyle name="Normal 2 2 20 5" xfId="30643" xr:uid="{2BDA2A31-1B34-4C21-BB73-9365FF88834C}"/>
    <cellStyle name="Normal 2 2 20 6" xfId="30644" xr:uid="{82B98D41-BBD0-4400-BB43-303D93CCEFB0}"/>
    <cellStyle name="Normal 2 2 21" xfId="15897" xr:uid="{DCC2BBED-16AA-4B97-91E4-0C47D77DC9A2}"/>
    <cellStyle name="Normal 2 2 21 2" xfId="17863" xr:uid="{ED75EBD7-F2ED-4F9E-AC99-194BEF4A327C}"/>
    <cellStyle name="Normal 2 2 21 2 2" xfId="21480" xr:uid="{953F5724-DD93-4E75-8A99-B36B33359FF6}"/>
    <cellStyle name="Normal 2 2 21 3" xfId="30645" xr:uid="{93B28C93-CD9F-46B2-9F75-17C21AFECCAE}"/>
    <cellStyle name="Normal 2 2 21 4" xfId="30646" xr:uid="{B659253B-75CB-4CA4-A3D1-BD9904354220}"/>
    <cellStyle name="Normal 2 2 21 5" xfId="30647" xr:uid="{C359988E-1F01-444F-A645-0B628533F526}"/>
    <cellStyle name="Normal 2 2 21 6" xfId="30648" xr:uid="{AC879724-AAA7-426C-901A-40EF7869040E}"/>
    <cellStyle name="Normal 2 2 22" xfId="15898" xr:uid="{8733BC1A-008F-4FA1-BBBA-C2796C922C84}"/>
    <cellStyle name="Normal 2 2 22 2" xfId="17864" xr:uid="{58B10E97-5A9D-4790-A8D8-88F6F50343AA}"/>
    <cellStyle name="Normal 2 2 22 2 2" xfId="21481" xr:uid="{19A2C72B-77B6-47F6-874B-92FDE74B92FE}"/>
    <cellStyle name="Normal 2 2 22 3" xfId="30649" xr:uid="{275CF291-CE38-490F-8F20-668BF3097826}"/>
    <cellStyle name="Normal 2 2 22 4" xfId="30650" xr:uid="{4C0D333C-0C8F-4F9B-87CD-6E8C636337D5}"/>
    <cellStyle name="Normal 2 2 22 5" xfId="30651" xr:uid="{8AC1CD8D-6D75-4617-8D5E-D7FBA4693B57}"/>
    <cellStyle name="Normal 2 2 22 6" xfId="30652" xr:uid="{066C06C0-1509-4B0D-9787-2468CF142D11}"/>
    <cellStyle name="Normal 2 2 23" xfId="15899" xr:uid="{001F4BAF-53AB-47FE-B7C0-A0580FFA2400}"/>
    <cellStyle name="Normal 2 2 23 2" xfId="17865" xr:uid="{26744D4D-DD6B-436A-95D8-C6745B80BA95}"/>
    <cellStyle name="Normal 2 2 23 2 2" xfId="21482" xr:uid="{174DBEB0-1264-46DC-BD50-96BFABBFE5D5}"/>
    <cellStyle name="Normal 2 2 23 3" xfId="30653" xr:uid="{C5DFBF41-6565-49D5-8A39-778521E9304F}"/>
    <cellStyle name="Normal 2 2 23 4" xfId="30654" xr:uid="{B84E8510-7547-417D-8618-6EC390150DEF}"/>
    <cellStyle name="Normal 2 2 23 5" xfId="30655" xr:uid="{05874982-1439-4755-87A8-3101BECE1991}"/>
    <cellStyle name="Normal 2 2 23 6" xfId="30656" xr:uid="{FC0B76D9-1BA9-48A0-85D2-AC95ED8138BA}"/>
    <cellStyle name="Normal 2 2 24" xfId="15900" xr:uid="{3315ABDF-14DF-4331-A04B-5EFAE0805194}"/>
    <cellStyle name="Normal 2 2 24 2" xfId="17866" xr:uid="{83D48A6D-C6F9-4976-9196-71E58C946F09}"/>
    <cellStyle name="Normal 2 2 24 2 2" xfId="21483" xr:uid="{F347AFC3-577B-4CAE-83A5-7D8E34FFB345}"/>
    <cellStyle name="Normal 2 2 24 3" xfId="30657" xr:uid="{38EFD25D-7BE9-4D37-A81F-ECBC4B118605}"/>
    <cellStyle name="Normal 2 2 24 4" xfId="30658" xr:uid="{F3BAEE77-6065-433D-9BD1-DCAF4F7C2EB2}"/>
    <cellStyle name="Normal 2 2 24 5" xfId="30659" xr:uid="{11AB4A2B-A289-4E1B-8AC7-E424D61FA65B}"/>
    <cellStyle name="Normal 2 2 24 6" xfId="30660" xr:uid="{765493E1-03F7-475B-A691-52ABAECD565C}"/>
    <cellStyle name="Normal 2 2 25" xfId="15901" xr:uid="{F4896373-6C91-4551-8378-A50D0BB06CF9}"/>
    <cellStyle name="Normal 2 2 25 2" xfId="17867" xr:uid="{38A30BAD-5603-4163-9A41-0DF845947E73}"/>
    <cellStyle name="Normal 2 2 25 2 2" xfId="21484" xr:uid="{BC558E42-1E65-4815-85CB-9D5302A0623D}"/>
    <cellStyle name="Normal 2 2 25 3" xfId="30661" xr:uid="{489395B4-6C10-4A44-93ED-97837FF99A6A}"/>
    <cellStyle name="Normal 2 2 25 4" xfId="30662" xr:uid="{3F116477-3D34-4F8A-B4D2-8AAAA79EE596}"/>
    <cellStyle name="Normal 2 2 25 5" xfId="30663" xr:uid="{938ACC24-817E-470B-BEAD-1EF4C2C82064}"/>
    <cellStyle name="Normal 2 2 25 6" xfId="30664" xr:uid="{D772C6F4-F479-4FB1-A423-2C845148BE96}"/>
    <cellStyle name="Normal 2 2 26" xfId="15902" xr:uid="{98B34935-7B09-4D8C-88E1-D16628C0833C}"/>
    <cellStyle name="Normal 2 2 26 2" xfId="17868" xr:uid="{E721FB3E-A002-4C72-90E4-92F6AD2380FE}"/>
    <cellStyle name="Normal 2 2 26 2 2" xfId="21485" xr:uid="{B71643AF-9015-427F-BDC2-764B3279122C}"/>
    <cellStyle name="Normal 2 2 26 3" xfId="30665" xr:uid="{5389BBFB-EC89-4FB3-A295-409EBAD360BC}"/>
    <cellStyle name="Normal 2 2 26 4" xfId="30666" xr:uid="{B56F8CA8-2AC2-4ACD-BC1F-C10A52D83F80}"/>
    <cellStyle name="Normal 2 2 26 5" xfId="30667" xr:uid="{73DEFEEE-DEC0-4BCD-AF91-013FBF0A705B}"/>
    <cellStyle name="Normal 2 2 26 6" xfId="30668" xr:uid="{62AB7F17-0016-4AC5-8559-C0526C1381B6}"/>
    <cellStyle name="Normal 2 2 27" xfId="15903" xr:uid="{79C4CDB1-966A-4C82-BB9B-B8B87E015ED4}"/>
    <cellStyle name="Normal 2 2 27 2" xfId="17869" xr:uid="{E0387029-47F4-48C0-B78A-FA78EA80A3EF}"/>
    <cellStyle name="Normal 2 2 27 2 2" xfId="21486" xr:uid="{C9FF8329-4164-4FE4-96F0-3A06E7EA1A1C}"/>
    <cellStyle name="Normal 2 2 27 3" xfId="30669" xr:uid="{27B6292B-EB14-4031-859D-2CCE0C4FF218}"/>
    <cellStyle name="Normal 2 2 27 4" xfId="30670" xr:uid="{6BCD57C2-A039-4837-9E77-292721CA9A81}"/>
    <cellStyle name="Normal 2 2 27 5" xfId="30671" xr:uid="{97368860-05DE-4186-B2C8-74543D88D344}"/>
    <cellStyle name="Normal 2 2 27 6" xfId="30672" xr:uid="{0AFCDC05-C439-4E31-A523-360D67AE7103}"/>
    <cellStyle name="Normal 2 2 28" xfId="15904" xr:uid="{970BA819-EF1C-4279-9204-69FE36113909}"/>
    <cellStyle name="Normal 2 2 28 2" xfId="17870" xr:uid="{C32F01FC-B649-413C-BF63-7B37BEE204A5}"/>
    <cellStyle name="Normal 2 2 28 2 2" xfId="21487" xr:uid="{E271DDBF-B826-4E79-854B-FB8AC9C76B70}"/>
    <cellStyle name="Normal 2 2 28 3" xfId="30673" xr:uid="{68C73505-E575-426C-BEB8-1F74477A41B5}"/>
    <cellStyle name="Normal 2 2 28 4" xfId="30674" xr:uid="{9A40ED2A-8CC8-401A-9FFB-AA5C763EB073}"/>
    <cellStyle name="Normal 2 2 28 5" xfId="30675" xr:uid="{8D6625FB-8623-459E-9F0A-0D2A417B2CD0}"/>
    <cellStyle name="Normal 2 2 28 6" xfId="30676" xr:uid="{A6939EF6-46F6-4DE9-BF03-2AAED585DDC4}"/>
    <cellStyle name="Normal 2 2 29" xfId="15905" xr:uid="{40C6ECF4-88EE-459B-A102-101640761A59}"/>
    <cellStyle name="Normal 2 2 29 2" xfId="17871" xr:uid="{BE84D5C8-B235-418B-B1D6-EEF06B632B8A}"/>
    <cellStyle name="Normal 2 2 29 2 2" xfId="21488" xr:uid="{A1E68D58-71BC-4358-95F6-E9AACA142144}"/>
    <cellStyle name="Normal 2 2 29 3" xfId="30677" xr:uid="{560985CD-82D4-4642-82DE-BE6297E37290}"/>
    <cellStyle name="Normal 2 2 29 4" xfId="30678" xr:uid="{000C7141-6B43-48AA-9124-73DBEC76A480}"/>
    <cellStyle name="Normal 2 2 29 5" xfId="30679" xr:uid="{5143E2F0-7138-4350-9286-DAFC89BD7814}"/>
    <cellStyle name="Normal 2 2 29 6" xfId="30680" xr:uid="{F46F8064-F7CD-4231-AE57-44576201B2D7}"/>
    <cellStyle name="Normal 2 2 3" xfId="2893" xr:uid="{6F467F42-A33A-4205-BD1C-D38DD57DCA85}"/>
    <cellStyle name="Normal 2 2 3 10" xfId="15906" xr:uid="{D48232DB-BF8D-46F1-B516-FBBC25EBC19C}"/>
    <cellStyle name="Normal 2 2 3 10 2" xfId="17873" xr:uid="{7ECC13AB-6425-4A88-96A5-D7028917DAAA}"/>
    <cellStyle name="Normal 2 2 3 10 2 2" xfId="21490" xr:uid="{7602DAFD-945B-44D6-9A1E-2334E735CF9C}"/>
    <cellStyle name="Normal 2 2 3 10 3" xfId="30681" xr:uid="{B772929C-A070-4DA4-B652-62FC8670A9AA}"/>
    <cellStyle name="Normal 2 2 3 10 4" xfId="30682" xr:uid="{B0FB29D3-7C1C-41C1-9F2E-8C575949DCE2}"/>
    <cellStyle name="Normal 2 2 3 10 5" xfId="30683" xr:uid="{D24138C7-53C6-4663-A23A-E112D9555DAA}"/>
    <cellStyle name="Normal 2 2 3 10 6" xfId="30684" xr:uid="{0075AB13-950B-4B58-BC79-6180F2844BDC}"/>
    <cellStyle name="Normal 2 2 3 11" xfId="15907" xr:uid="{4C2D5BFA-97BA-47ED-B945-7677CD5AAB3B}"/>
    <cellStyle name="Normal 2 2 3 11 2" xfId="17874" xr:uid="{CF542D80-2DC1-4946-84AC-39F3BEE0F79F}"/>
    <cellStyle name="Normal 2 2 3 11 2 2" xfId="21491" xr:uid="{23B8B310-A6C3-4B23-8E1A-B48E356CCF01}"/>
    <cellStyle name="Normal 2 2 3 11 3" xfId="30685" xr:uid="{437CAE33-1109-4558-99BB-58EC39AFB7BF}"/>
    <cellStyle name="Normal 2 2 3 11 4" xfId="30686" xr:uid="{FB94B968-5841-4603-8E2E-BE78D8A5E44F}"/>
    <cellStyle name="Normal 2 2 3 11 5" xfId="30687" xr:uid="{4D8E300B-10DB-4AD0-A2E6-71C1D405667B}"/>
    <cellStyle name="Normal 2 2 3 11 6" xfId="30688" xr:uid="{4EA213FE-5593-4FA6-AB40-5E0BEE51CEA3}"/>
    <cellStyle name="Normal 2 2 3 12" xfId="15908" xr:uid="{5FCD8827-BF7B-4913-A0F1-0B30BCDCC2A6}"/>
    <cellStyle name="Normal 2 2 3 12 2" xfId="17875" xr:uid="{C8E5F865-79D8-4C14-93BA-8F5860D3B622}"/>
    <cellStyle name="Normal 2 2 3 12 2 2" xfId="21492" xr:uid="{0A81D7B1-049B-490B-BD6C-3525B7030500}"/>
    <cellStyle name="Normal 2 2 3 12 3" xfId="30689" xr:uid="{4DB7C9C5-7AA8-4041-9C5E-D19210FBAC4F}"/>
    <cellStyle name="Normal 2 2 3 12 4" xfId="30690" xr:uid="{FBA60B64-D7B8-49D4-BD54-F6303EEE2EBF}"/>
    <cellStyle name="Normal 2 2 3 12 5" xfId="30691" xr:uid="{1A4805A6-FA68-44F6-B9FC-BCF06FE58E4F}"/>
    <cellStyle name="Normal 2 2 3 12 6" xfId="30692" xr:uid="{D835FD08-95C1-459C-8F28-4349B8855EC0}"/>
    <cellStyle name="Normal 2 2 3 13" xfId="17876" xr:uid="{2B01AF70-A9A0-41BB-8FE6-21533703E679}"/>
    <cellStyle name="Normal 2 2 3 13 2" xfId="21493" xr:uid="{648E9058-A007-460C-8473-119B53EE1EE6}"/>
    <cellStyle name="Normal 2 2 3 14" xfId="17872" xr:uid="{464D9032-5621-4D8B-9C9F-F19E2C2FB134}"/>
    <cellStyle name="Normal 2 2 3 14 2" xfId="21489" xr:uid="{48173313-79CA-4B30-8B60-6E0C120F107C}"/>
    <cellStyle name="Normal 2 2 3 15" xfId="30693" xr:uid="{91D31949-B98C-484E-889B-498A98D617FD}"/>
    <cellStyle name="Normal 2 2 3 16" xfId="30694" xr:uid="{27F9CC9F-9001-4FB8-8F95-4EEF8EF892BE}"/>
    <cellStyle name="Normal 2 2 3 17" xfId="30695" xr:uid="{03D5B14C-CDDD-4966-A578-91FFFD9DBA1B}"/>
    <cellStyle name="Normal 2 2 3 18" xfId="30696" xr:uid="{B0D298B9-AF45-40F4-9A77-E2C560260AE6}"/>
    <cellStyle name="Normal 2 2 3 19" xfId="30697" xr:uid="{0227C1E5-968F-40BE-92CD-3707B6BC467B}"/>
    <cellStyle name="Normal 2 2 3 2" xfId="2894" xr:uid="{3F983382-03A3-4BFC-94CE-D05CC3FF0278}"/>
    <cellStyle name="Normal 2 2 3 2 2" xfId="10849" xr:uid="{F027AC18-4145-42FB-A0DA-317D3EDB5FB4}"/>
    <cellStyle name="Normal 2 2 3 2 2 2" xfId="17878" xr:uid="{2AE5CF3D-DD64-4475-9147-DBBEE20AE0C1}"/>
    <cellStyle name="Normal 2 2 3 2 2 2 2" xfId="21495" xr:uid="{0DDB10ED-E6BB-437F-A064-F46401E25327}"/>
    <cellStyle name="Normal 2 2 3 2 2 3" xfId="30698" xr:uid="{47921F2D-2418-49C2-8C22-176601536635}"/>
    <cellStyle name="Normal 2 2 3 2 2 4" xfId="30699" xr:uid="{D47F3F3C-E401-456D-890A-9B8137636274}"/>
    <cellStyle name="Normal 2 2 3 2 2 5" xfId="30700" xr:uid="{FB13F1E9-B683-4F23-ACC7-A429B0539E65}"/>
    <cellStyle name="Normal 2 2 3 2 2 6" xfId="30701" xr:uid="{1E1A7DB7-08E4-427D-A9A5-6931D05896C3}"/>
    <cellStyle name="Normal 2 2 3 2 3" xfId="11101" xr:uid="{EE339D1E-C658-44CE-AC7C-1A444AC3F439}"/>
    <cellStyle name="Normal 2 2 3 2 3 2" xfId="17879" xr:uid="{BC4ABC09-2D8F-4A91-BD64-FDAF5CF1E8F2}"/>
    <cellStyle name="Normal 2 2 3 2 3 2 2" xfId="21496" xr:uid="{E0D24060-75DA-48D5-A489-041EF993C5F7}"/>
    <cellStyle name="Normal 2 2 3 2 3 3" xfId="30702" xr:uid="{76D6B128-E709-4F06-9CBC-FFE1E9378E06}"/>
    <cellStyle name="Normal 2 2 3 2 3 4" xfId="30703" xr:uid="{D24D4D65-F121-4660-B0CF-0D4DCD9C092D}"/>
    <cellStyle name="Normal 2 2 3 2 3 5" xfId="30704" xr:uid="{5E379A7A-C05C-4215-98D9-7947BFFD2B06}"/>
    <cellStyle name="Normal 2 2 3 2 3 6" xfId="30705" xr:uid="{D7407853-C152-48CD-AE79-ACCAF4C02236}"/>
    <cellStyle name="Normal 2 2 3 2 4" xfId="17877" xr:uid="{280F7B20-0B06-44CE-BCE1-86A7C5F360DE}"/>
    <cellStyle name="Normal 2 2 3 2 4 2" xfId="21494" xr:uid="{802AD787-3BFE-46A8-9681-DC731E6713CA}"/>
    <cellStyle name="Normal 2 2 3 2 5" xfId="30706" xr:uid="{662C6961-B745-4265-9C30-319F759C9314}"/>
    <cellStyle name="Normal 2 2 3 2 6" xfId="30707" xr:uid="{31B58945-3A61-4B87-9A9E-17F866DBB3A0}"/>
    <cellStyle name="Normal 2 2 3 2 7" xfId="30708" xr:uid="{B86A28A4-386B-4BD5-A788-307A6B38151A}"/>
    <cellStyle name="Normal 2 2 3 2 8" xfId="30709" xr:uid="{6E28C1C4-0D26-4A6A-8222-33E5C6CD26CE}"/>
    <cellStyle name="Normal 2 2 3 2 9" xfId="30710" xr:uid="{8FDE6E0B-D3C5-4F57-B894-62104AADA4E2}"/>
    <cellStyle name="Normal 2 2 3 3" xfId="2895" xr:uid="{44CE1961-A381-4CF4-B84D-B0D827DCB2AC}"/>
    <cellStyle name="Normal 2 2 3 3 2" xfId="17880" xr:uid="{DCEFF605-5609-4B6E-BAB6-330599B7B628}"/>
    <cellStyle name="Normal 2 2 3 3 2 2" xfId="21497" xr:uid="{E73791A4-F0AD-43E0-AFCA-04E4060DDC8C}"/>
    <cellStyle name="Normal 2 2 3 3 3" xfId="30711" xr:uid="{D7A461AE-42F8-4C97-86B3-AC1A816C96AC}"/>
    <cellStyle name="Normal 2 2 3 3 4" xfId="30712" xr:uid="{D8B94ECD-F288-467A-8D52-DA3EC03B51BA}"/>
    <cellStyle name="Normal 2 2 3 3 5" xfId="30713" xr:uid="{2E312F25-64CE-4B19-9968-486275D7CF80}"/>
    <cellStyle name="Normal 2 2 3 3 6" xfId="30714" xr:uid="{F955BB9C-94F5-4B67-AAE1-FDD556A69503}"/>
    <cellStyle name="Normal 2 2 3 4" xfId="4981" xr:uid="{BCBC59DB-AFC7-40FA-A443-2B1BCA34D2DB}"/>
    <cellStyle name="Normal 2 2 3 4 2" xfId="15909" xr:uid="{9FF87723-ED5D-44A5-82E3-0EA5A86BB557}"/>
    <cellStyle name="Normal 2 2 3 4 2 2" xfId="17882" xr:uid="{FEE0F056-ED3D-49FD-BF46-D522F3EC7C72}"/>
    <cellStyle name="Normal 2 2 3 4 2 2 2" xfId="21499" xr:uid="{2792E87B-9AFD-4800-83F5-32ABA032B94F}"/>
    <cellStyle name="Normal 2 2 3 4 2 3" xfId="30715" xr:uid="{1E9A82E3-330C-45AC-8CD5-FB3100A02974}"/>
    <cellStyle name="Normal 2 2 3 4 2 4" xfId="30716" xr:uid="{DF319DD0-43D4-4D08-BF4D-5C4E0A923033}"/>
    <cellStyle name="Normal 2 2 3 4 2 5" xfId="30717" xr:uid="{8859B10F-C9DD-463D-8A4F-60BC3377FAFE}"/>
    <cellStyle name="Normal 2 2 3 4 2 6" xfId="30718" xr:uid="{02AC4A5C-1815-49E3-8BDB-17368EE67DF4}"/>
    <cellStyle name="Normal 2 2 3 4 3" xfId="17881" xr:uid="{AE65834A-7E6B-44AE-BC28-F79D045F156E}"/>
    <cellStyle name="Normal 2 2 3 4 3 2" xfId="21498" xr:uid="{430D724E-AD1F-487C-A886-99C48FCFCDF3}"/>
    <cellStyle name="Normal 2 2 3 4 4" xfId="30719" xr:uid="{45927830-8EC8-4E22-97A0-C2248D4CFB61}"/>
    <cellStyle name="Normal 2 2 3 4 5" xfId="30720" xr:uid="{3DB3917C-1F82-47CB-ADB8-8AC536A497B8}"/>
    <cellStyle name="Normal 2 2 3 4 6" xfId="30721" xr:uid="{CEA4592A-5FAB-4C93-B5FD-0393B30E05BA}"/>
    <cellStyle name="Normal 2 2 3 4 7" xfId="30722" xr:uid="{D3346F5F-F473-42BF-A7B9-A62FCCFE4FA1}"/>
    <cellStyle name="Normal 2 2 3 5" xfId="4131" xr:uid="{C93FDABE-BF8E-4EBF-B105-2A2B6707B730}"/>
    <cellStyle name="Normal 2 2 3 5 2" xfId="17883" xr:uid="{751D433C-A570-428F-8737-58FA3208B3AD}"/>
    <cellStyle name="Normal 2 2 3 5 2 2" xfId="21500" xr:uid="{6942E9F1-FFFC-43A9-BCC7-E360BECE69D3}"/>
    <cellStyle name="Normal 2 2 3 5 3" xfId="30723" xr:uid="{9BEF092B-C3B3-41A9-84E5-415F603CD256}"/>
    <cellStyle name="Normal 2 2 3 5 4" xfId="30724" xr:uid="{431AF6ED-C781-412A-A717-D906E009B2B2}"/>
    <cellStyle name="Normal 2 2 3 5 5" xfId="30725" xr:uid="{F64B2966-1961-4542-8064-7268B4E87178}"/>
    <cellStyle name="Normal 2 2 3 5 6" xfId="30726" xr:uid="{0A1CD62F-7C5A-4239-BE3E-B181353F1BE3}"/>
    <cellStyle name="Normal 2 2 3 5 7" xfId="43962" xr:uid="{E56329AF-0180-400D-B01F-0025101BC245}"/>
    <cellStyle name="Normal 2 2 3 5 8" xfId="15910" xr:uid="{C65FB135-4949-44F1-972B-40CE7C2511CC}"/>
    <cellStyle name="Normal 2 2 3 6" xfId="6197" xr:uid="{04CE5B52-6FCB-4B81-AAA2-90E9D4407870}"/>
    <cellStyle name="Normal 2 2 3 6 2" xfId="17884" xr:uid="{58027C1B-2CF4-4B06-ACB0-5F28064E4541}"/>
    <cellStyle name="Normal 2 2 3 6 2 2" xfId="21501" xr:uid="{07A81ADC-3027-467F-BC66-E7C75C1B7F3A}"/>
    <cellStyle name="Normal 2 2 3 6 3" xfId="30727" xr:uid="{075209E7-844C-4F8E-8C56-D2C4032022CC}"/>
    <cellStyle name="Normal 2 2 3 6 4" xfId="30728" xr:uid="{0DB19EF0-FE14-4C17-AC8D-8EAFE99A12C9}"/>
    <cellStyle name="Normal 2 2 3 6 5" xfId="30729" xr:uid="{9F50F48D-6328-458D-A8E1-1F667691DD86}"/>
    <cellStyle name="Normal 2 2 3 6 6" xfId="30730" xr:uid="{B8B848ED-31C5-4D44-B508-B410082F929F}"/>
    <cellStyle name="Normal 2 2 3 6 7" xfId="45868" xr:uid="{14E5C4DF-2FC3-48DE-B8D8-D678BE66FC3D}"/>
    <cellStyle name="Normal 2 2 3 6 8" xfId="15911" xr:uid="{E87992B4-ABC7-4B2C-A325-DA7E63BEA185}"/>
    <cellStyle name="Normal 2 2 3 7" xfId="8864" xr:uid="{1C357D9C-E9E7-411D-B88B-183DE2A2ACBE}"/>
    <cellStyle name="Normal 2 2 3 7 2" xfId="17885" xr:uid="{8CC5B525-94C4-4FD0-BC2F-E12068CD80DF}"/>
    <cellStyle name="Normal 2 2 3 7 2 2" xfId="21502" xr:uid="{4AF4FA1C-665F-4743-8B8B-E6882AFA4D9F}"/>
    <cellStyle name="Normal 2 2 3 7 3" xfId="30731" xr:uid="{B93B22F3-F4AC-49BB-B1C7-2DA58D74C1FE}"/>
    <cellStyle name="Normal 2 2 3 7 4" xfId="30732" xr:uid="{3EEAC55C-74D9-424D-9060-76C1F9DE6C65}"/>
    <cellStyle name="Normal 2 2 3 7 5" xfId="30733" xr:uid="{284B174F-2D8E-4F1B-BF2F-48890A577D4E}"/>
    <cellStyle name="Normal 2 2 3 7 6" xfId="30734" xr:uid="{6A255DA5-17B6-46CC-A3CA-6E6502E28C14}"/>
    <cellStyle name="Normal 2 2 3 7 7" xfId="15912" xr:uid="{BAAB969F-BB0C-4CF4-98C6-2655DA599BC0}"/>
    <cellStyle name="Normal 2 2 3 8" xfId="15913" xr:uid="{EA39CDD9-BB2A-4880-A601-0F3AC6B33F37}"/>
    <cellStyle name="Normal 2 2 3 8 2" xfId="17886" xr:uid="{B9A0576A-2E02-416C-A302-5592BF515B95}"/>
    <cellStyle name="Normal 2 2 3 8 2 2" xfId="21503" xr:uid="{FB47644B-D82A-4711-9628-1F778D81B7A3}"/>
    <cellStyle name="Normal 2 2 3 8 3" xfId="30735" xr:uid="{617020E5-814A-4F1D-8EDA-C3B8E4860C86}"/>
    <cellStyle name="Normal 2 2 3 8 4" xfId="30736" xr:uid="{C0664D64-80FA-41E3-8FD4-F14B3957EFD0}"/>
    <cellStyle name="Normal 2 2 3 8 5" xfId="30737" xr:uid="{B328613E-CFB6-4EE2-AE2D-ED011E949764}"/>
    <cellStyle name="Normal 2 2 3 8 6" xfId="30738" xr:uid="{2CAF6FE7-5442-4922-BA91-5BBD2EF25F3B}"/>
    <cellStyle name="Normal 2 2 3 9" xfId="15914" xr:uid="{64A19C95-5B4C-4B77-9EAF-669AF0377A03}"/>
    <cellStyle name="Normal 2 2 3 9 2" xfId="17887" xr:uid="{D40FED9E-2224-442F-B367-325FAB9BBF52}"/>
    <cellStyle name="Normal 2 2 3 9 2 2" xfId="21504" xr:uid="{A8D100AD-8A2F-402D-A830-DDC7357844C4}"/>
    <cellStyle name="Normal 2 2 3 9 3" xfId="30739" xr:uid="{28CBA6FB-DFC4-458B-A85F-529954C355FD}"/>
    <cellStyle name="Normal 2 2 3 9 4" xfId="30740" xr:uid="{86038777-10F9-4669-9199-68B8BEC773BB}"/>
    <cellStyle name="Normal 2 2 3 9 5" xfId="30741" xr:uid="{5B124598-A359-465F-8EB0-4BA08DEB1BA0}"/>
    <cellStyle name="Normal 2 2 3 9 6" xfId="30742" xr:uid="{ADBC9A92-CBEE-4211-BA14-061E8E7C31CF}"/>
    <cellStyle name="Normal 2 2 3_ELC" xfId="2896" xr:uid="{D35F521C-152A-4935-A746-3AAD2288B0FA}"/>
    <cellStyle name="Normal 2 2 30" xfId="15915" xr:uid="{0A1E139C-107F-4594-970F-8F642E2F80F4}"/>
    <cellStyle name="Normal 2 2 30 2" xfId="17888" xr:uid="{38861889-BF6C-4071-931D-21E8B9EFB9BC}"/>
    <cellStyle name="Normal 2 2 30 2 2" xfId="21505" xr:uid="{470193EB-3E64-449C-9508-29172B6B14BC}"/>
    <cellStyle name="Normal 2 2 30 3" xfId="30743" xr:uid="{B991BF2F-39E1-4042-B4EE-E3C05427DF58}"/>
    <cellStyle name="Normal 2 2 30 4" xfId="30744" xr:uid="{0F282716-122A-4C5D-8963-EA833E7992C0}"/>
    <cellStyle name="Normal 2 2 30 5" xfId="30745" xr:uid="{ACF8871C-195A-455B-B268-4C649EDA8AF1}"/>
    <cellStyle name="Normal 2 2 30 6" xfId="30746" xr:uid="{0A9027D3-EAC7-4B33-B70A-913CC58ECF0F}"/>
    <cellStyle name="Normal 2 2 31" xfId="15916" xr:uid="{C040D17B-BFBA-42C0-9165-F77E5E38906F}"/>
    <cellStyle name="Normal 2 2 31 2" xfId="17889" xr:uid="{21CDFE77-F8CF-4934-8402-604F898D2C55}"/>
    <cellStyle name="Normal 2 2 31 2 2" xfId="21506" xr:uid="{9DC4651A-1051-48E1-95D0-7E189FEA1715}"/>
    <cellStyle name="Normal 2 2 31 3" xfId="30747" xr:uid="{72434833-B23C-4F2E-980E-73B5EF9B9F87}"/>
    <cellStyle name="Normal 2 2 31 4" xfId="30748" xr:uid="{5741078A-5E73-4F8A-8F8A-A0B4C4521021}"/>
    <cellStyle name="Normal 2 2 31 5" xfId="30749" xr:uid="{F3B70D58-16FB-4087-A116-E51C8F3283FB}"/>
    <cellStyle name="Normal 2 2 31 6" xfId="30750" xr:uid="{E9911611-25FC-44A4-83AF-5FC469C3AE2C}"/>
    <cellStyle name="Normal 2 2 32" xfId="15917" xr:uid="{9CCE22BC-FCEB-4880-A19E-835F985D9B47}"/>
    <cellStyle name="Normal 2 2 32 2" xfId="16838" xr:uid="{F79D31EB-9F34-4657-AEFF-E641045137ED}"/>
    <cellStyle name="Normal 2 2 32 2 2" xfId="17891" xr:uid="{6970AC14-6D73-47B5-9196-21E8545A978A}"/>
    <cellStyle name="Normal 2 2 32 2 2 2" xfId="21508" xr:uid="{75EFAD7F-F24A-49F8-8E0E-E217F2905784}"/>
    <cellStyle name="Normal 2 2 32 2 3" xfId="20840" xr:uid="{FCA2DC24-0EFA-4188-ACB7-7D26D98D065E}"/>
    <cellStyle name="Normal 2 2 32 3" xfId="17890" xr:uid="{C1609C41-E90F-4729-8714-7C7A800459C8}"/>
    <cellStyle name="Normal 2 2 32 3 2" xfId="21507" xr:uid="{97777200-E110-4D2C-925D-8CEA75215FA3}"/>
    <cellStyle name="Normal 2 2 32 4" xfId="20556" xr:uid="{0DE75282-832E-4692-9765-0609396CC30B}"/>
    <cellStyle name="Normal 2 2 33" xfId="15918" xr:uid="{A72344DD-730F-458F-A076-1055A05F1D77}"/>
    <cellStyle name="Normal 2 2 33 2" xfId="16839" xr:uid="{6E1615B0-F094-4172-8709-6A71475F14FE}"/>
    <cellStyle name="Normal 2 2 33 2 2" xfId="17893" xr:uid="{53A8508C-8C19-42CE-B869-F6E9A16D63A3}"/>
    <cellStyle name="Normal 2 2 33 2 2 2" xfId="21510" xr:uid="{A4411FD6-E095-4705-9407-81DEEBE388A5}"/>
    <cellStyle name="Normal 2 2 33 2 3" xfId="20841" xr:uid="{E7A9401E-028B-4254-9A05-8F1E810B0E93}"/>
    <cellStyle name="Normal 2 2 33 3" xfId="17892" xr:uid="{41D3580B-833E-4355-9EA5-47B3C8124FE4}"/>
    <cellStyle name="Normal 2 2 33 3 2" xfId="21509" xr:uid="{BBAA4429-2860-45ED-B34F-A475A9AFCA87}"/>
    <cellStyle name="Normal 2 2 33 4" xfId="20557" xr:uid="{070D230F-53B6-4484-9F12-EF25CFDEBB00}"/>
    <cellStyle name="Normal 2 2 34" xfId="15919" xr:uid="{A6D624C7-E5DC-45B2-BFAA-4ACD27F3FBC4}"/>
    <cellStyle name="Normal 2 2 34 2" xfId="16840" xr:uid="{351D0749-9D60-491E-872E-D3D1C2F9ECF0}"/>
    <cellStyle name="Normal 2 2 34 2 2" xfId="17895" xr:uid="{EE825795-FBB8-4092-B1D2-CA11C730E93F}"/>
    <cellStyle name="Normal 2 2 34 2 2 2" xfId="21512" xr:uid="{F01A47D6-BD18-49F3-8024-4E62FBDBB469}"/>
    <cellStyle name="Normal 2 2 34 2 3" xfId="20842" xr:uid="{70E90B80-045D-4350-8B09-97FA0F38E6AB}"/>
    <cellStyle name="Normal 2 2 34 3" xfId="17894" xr:uid="{CDFC7562-4796-43B4-B6E6-367B613244EA}"/>
    <cellStyle name="Normal 2 2 34 3 2" xfId="21511" xr:uid="{45F8E617-2A03-4D19-B2C7-D568076FA6C5}"/>
    <cellStyle name="Normal 2 2 34 4" xfId="20558" xr:uid="{BE66EB62-8B45-4AC7-932A-B3F248AD6D2C}"/>
    <cellStyle name="Normal 2 2 35" xfId="15920" xr:uid="{DD8FAEDD-60BD-454A-A464-66BC144FE047}"/>
    <cellStyle name="Normal 2 2 35 2" xfId="16841" xr:uid="{5AC5F9FC-EE9B-4CD8-8760-BB1ABA00B762}"/>
    <cellStyle name="Normal 2 2 35 2 2" xfId="17897" xr:uid="{49454D15-1BF8-41EA-A798-BB26ED3BE8FE}"/>
    <cellStyle name="Normal 2 2 35 2 2 2" xfId="21514" xr:uid="{F4B5FBC6-955C-4BF8-BFEA-27F591C72520}"/>
    <cellStyle name="Normal 2 2 35 2 3" xfId="20843" xr:uid="{3A9CB910-9E75-41C2-956E-24630D93E722}"/>
    <cellStyle name="Normal 2 2 35 3" xfId="17896" xr:uid="{1CD363BF-6FB9-4918-8A84-64E7E8E02E98}"/>
    <cellStyle name="Normal 2 2 35 3 2" xfId="21513" xr:uid="{E3BF3CCD-A53E-431B-928E-DA6BADBB1CDB}"/>
    <cellStyle name="Normal 2 2 35 4" xfId="20559" xr:uid="{58D8C3E0-D41F-400B-8D66-DE0AB63F2405}"/>
    <cellStyle name="Normal 2 2 36" xfId="17787" xr:uid="{6F4FEC5B-8DE6-4E8C-819B-9828E6F71DE2}"/>
    <cellStyle name="Normal 2 2 36 2" xfId="21404" xr:uid="{BEC7D7B4-53E6-4FC3-82E5-69A483610C58}"/>
    <cellStyle name="Normal 2 2 37" xfId="30751" xr:uid="{012DD3DE-F8C7-4D84-B634-F570E8D84158}"/>
    <cellStyle name="Normal 2 2 38" xfId="30752" xr:uid="{2C7370CE-01AF-4FCA-987E-0C2E6D29FCD4}"/>
    <cellStyle name="Normal 2 2 39" xfId="30753" xr:uid="{F1E6F15B-3A89-4A18-9F9E-B83AEA99E026}"/>
    <cellStyle name="Normal 2 2 4" xfId="2897" xr:uid="{FD3C7258-F1C9-4E6A-B7B5-DBE13D0A3A61}"/>
    <cellStyle name="Normal 2 2 4 10" xfId="17898" xr:uid="{502273CB-4934-4AED-863E-75196B811866}"/>
    <cellStyle name="Normal 2 2 4 10 2" xfId="21515" xr:uid="{2F742BED-EC56-4634-8F1F-FE9A2D64F379}"/>
    <cellStyle name="Normal 2 2 4 11" xfId="30754" xr:uid="{395A84FC-C40E-4368-858F-B761D91AE5AE}"/>
    <cellStyle name="Normal 2 2 4 12" xfId="30755" xr:uid="{A77175F2-95B4-46D8-8611-57820264EBA5}"/>
    <cellStyle name="Normal 2 2 4 13" xfId="30756" xr:uid="{F935A115-119D-45A5-BF01-603D92E096DB}"/>
    <cellStyle name="Normal 2 2 4 14" xfId="30757" xr:uid="{6082B7E5-D85E-4F68-97DC-DEA06A34B233}"/>
    <cellStyle name="Normal 2 2 4 15" xfId="30758" xr:uid="{B8811556-2AC9-4747-8D54-6EB9DBCA111F}"/>
    <cellStyle name="Normal 2 2 4 2" xfId="10635" xr:uid="{5BFC6B08-F151-4400-9908-C7ADE82E507A}"/>
    <cellStyle name="Normal 2 2 4 2 2" xfId="17899" xr:uid="{A38BE336-3315-4B86-B578-57A21F51A9E4}"/>
    <cellStyle name="Normal 2 2 4 2 2 2" xfId="21516" xr:uid="{0AF1F3A5-18CC-4048-A360-3BCC7317B32B}"/>
    <cellStyle name="Normal 2 2 4 2 3" xfId="30759" xr:uid="{82B648E1-B51C-4908-A712-180F3E15332B}"/>
    <cellStyle name="Normal 2 2 4 2 4" xfId="30760" xr:uid="{E31B510B-4BDB-472B-88B0-A2E13D93C6F8}"/>
    <cellStyle name="Normal 2 2 4 2 5" xfId="30761" xr:uid="{DF98572E-EDA9-4FE0-81BF-6DFF8C623E87}"/>
    <cellStyle name="Normal 2 2 4 2 6" xfId="30762" xr:uid="{CEE090C1-C210-47F1-85AD-DD325C0FE2F7}"/>
    <cellStyle name="Normal 2 2 4 3" xfId="15921" xr:uid="{EB448721-7870-4F62-B4B2-603F64FEEF1E}"/>
    <cellStyle name="Normal 2 2 4 3 2" xfId="17900" xr:uid="{51EEAEE5-1C3E-4D7E-AEA9-2F6AE5B73659}"/>
    <cellStyle name="Normal 2 2 4 3 2 2" xfId="21517" xr:uid="{B3AAB188-2E6E-4C35-BE53-48D246BBCA26}"/>
    <cellStyle name="Normal 2 2 4 3 3" xfId="30763" xr:uid="{CE015541-7B33-4AFC-9555-9159CCFEA2AE}"/>
    <cellStyle name="Normal 2 2 4 3 4" xfId="30764" xr:uid="{679FBDDC-963D-497A-82F2-241A10EAB244}"/>
    <cellStyle name="Normal 2 2 4 3 5" xfId="30765" xr:uid="{F6132658-19B7-43FE-A3B9-6235227A2866}"/>
    <cellStyle name="Normal 2 2 4 3 6" xfId="30766" xr:uid="{9B85019A-CB13-4B8C-8CF2-98C57EFE6F48}"/>
    <cellStyle name="Normal 2 2 4 4" xfId="15922" xr:uid="{EA552EA4-6770-40B7-A790-66B88D127289}"/>
    <cellStyle name="Normal 2 2 4 4 2" xfId="17901" xr:uid="{1422C24A-C6AB-4646-894A-F769C2A1F791}"/>
    <cellStyle name="Normal 2 2 4 4 2 2" xfId="21518" xr:uid="{1C264786-A5D8-4AE9-B27E-79EE4557567A}"/>
    <cellStyle name="Normal 2 2 4 4 3" xfId="30767" xr:uid="{11B97850-55AD-4758-93C8-61AC1B571CB2}"/>
    <cellStyle name="Normal 2 2 4 4 4" xfId="30768" xr:uid="{531B3159-100C-4CAE-B3A5-1F4C39AA8E5F}"/>
    <cellStyle name="Normal 2 2 4 4 5" xfId="30769" xr:uid="{960712D3-C5FE-40A2-8642-60A350E7D8B6}"/>
    <cellStyle name="Normal 2 2 4 4 6" xfId="30770" xr:uid="{240871EE-0580-472C-8D0C-6B9C67C961D5}"/>
    <cellStyle name="Normal 2 2 4 5" xfId="15923" xr:uid="{69E4C0D4-018C-4C38-ACD5-929A6FFDA8FF}"/>
    <cellStyle name="Normal 2 2 4 5 2" xfId="17902" xr:uid="{8B500E42-4AB9-4C51-80C3-7100263B936D}"/>
    <cellStyle name="Normal 2 2 4 5 2 2" xfId="21519" xr:uid="{45832F66-D654-4DA3-99E5-884E14675F40}"/>
    <cellStyle name="Normal 2 2 4 5 3" xfId="30771" xr:uid="{31470E8A-B1CB-4289-8B9C-1E063A56F615}"/>
    <cellStyle name="Normal 2 2 4 5 4" xfId="30772" xr:uid="{A1A0EE21-CE1B-4020-99ED-C8DFD2C99BAE}"/>
    <cellStyle name="Normal 2 2 4 5 5" xfId="30773" xr:uid="{534CE6E3-CD39-4BD1-9C50-FCFE167E5F42}"/>
    <cellStyle name="Normal 2 2 4 5 6" xfId="30774" xr:uid="{3B167F2E-A973-4901-9A02-65A0E951F596}"/>
    <cellStyle name="Normal 2 2 4 6" xfId="15924" xr:uid="{81A3B01A-904C-4901-A20D-E58DF6803E21}"/>
    <cellStyle name="Normal 2 2 4 6 2" xfId="17903" xr:uid="{9E7AAE28-8734-4757-9338-58ADE3D94750}"/>
    <cellStyle name="Normal 2 2 4 6 2 2" xfId="21520" xr:uid="{D9E4F71C-98BA-404A-8A73-7E342318AC18}"/>
    <cellStyle name="Normal 2 2 4 6 3" xfId="30775" xr:uid="{BBFDD02A-B9A3-490B-A293-CE687BE91C99}"/>
    <cellStyle name="Normal 2 2 4 6 4" xfId="30776" xr:uid="{73792FB4-BF0E-4676-9FEF-CDA3EC393CB3}"/>
    <cellStyle name="Normal 2 2 4 6 5" xfId="30777" xr:uid="{D2693C6C-74D1-40D1-8B1A-0ACE8A4437C6}"/>
    <cellStyle name="Normal 2 2 4 6 6" xfId="30778" xr:uid="{00295D4B-0CE1-4750-AF70-6328474835E0}"/>
    <cellStyle name="Normal 2 2 4 7" xfId="15925" xr:uid="{7280A4E1-E2C2-4A8B-9908-75C619B6B714}"/>
    <cellStyle name="Normal 2 2 4 7 2" xfId="17904" xr:uid="{0D52AAB5-A700-4759-BBC9-4E3AA700E31F}"/>
    <cellStyle name="Normal 2 2 4 7 2 2" xfId="21521" xr:uid="{79CC6194-91C6-43D3-B3C2-D5D2D7D0F11D}"/>
    <cellStyle name="Normal 2 2 4 7 3" xfId="30779" xr:uid="{4E71D5F3-B339-4E8F-8C3B-125C6FB1AF49}"/>
    <cellStyle name="Normal 2 2 4 7 4" xfId="30780" xr:uid="{355459E8-DA6B-4094-990C-1B474C2B7EF4}"/>
    <cellStyle name="Normal 2 2 4 7 5" xfId="30781" xr:uid="{80926E04-DA53-4F0D-B9F0-730DBFCA4D05}"/>
    <cellStyle name="Normal 2 2 4 7 6" xfId="30782" xr:uid="{6434C60B-ED86-48D9-89A7-43F3CA6D4A38}"/>
    <cellStyle name="Normal 2 2 4 8" xfId="15926" xr:uid="{9E852691-7451-4754-8A4A-3729620EDDC3}"/>
    <cellStyle name="Normal 2 2 4 8 2" xfId="17905" xr:uid="{3DB56DC5-B28C-4AF2-A645-6EE8E7128D2D}"/>
    <cellStyle name="Normal 2 2 4 8 2 2" xfId="21522" xr:uid="{8DA0A4D8-4674-498A-AAB1-A624A0056C31}"/>
    <cellStyle name="Normal 2 2 4 8 3" xfId="30783" xr:uid="{AB6FAA14-3640-4E32-9CFA-5F98B8CBFD2C}"/>
    <cellStyle name="Normal 2 2 4 8 4" xfId="30784" xr:uid="{620D4A3B-7D45-4EEF-8F0F-6971B1F69EFF}"/>
    <cellStyle name="Normal 2 2 4 8 5" xfId="30785" xr:uid="{D139E626-5B8F-4A24-B311-7B9CB784071B}"/>
    <cellStyle name="Normal 2 2 4 8 6" xfId="30786" xr:uid="{FEB781D7-8D4A-4E7C-B5A0-A9876DF3FEA6}"/>
    <cellStyle name="Normal 2 2 4 9" xfId="15927" xr:uid="{90C0EB64-8CF0-46E5-A140-A679B1C39717}"/>
    <cellStyle name="Normal 2 2 4 9 2" xfId="17906" xr:uid="{02193AC4-0311-4018-BBEA-27D9AF30E714}"/>
    <cellStyle name="Normal 2 2 4 9 2 2" xfId="21523" xr:uid="{4E7E7C5A-9D36-40CE-BC96-ADCD4A9D0B9C}"/>
    <cellStyle name="Normal 2 2 4 9 3" xfId="30787" xr:uid="{838D0526-00B5-48AD-828D-5A59AC42B288}"/>
    <cellStyle name="Normal 2 2 4 9 4" xfId="30788" xr:uid="{C11C7EBF-0742-4CB9-8109-D6FFF4106F6B}"/>
    <cellStyle name="Normal 2 2 4 9 5" xfId="30789" xr:uid="{F5EDD12F-4982-47E3-93F1-C42DABC1E7EF}"/>
    <cellStyle name="Normal 2 2 4 9 6" xfId="30790" xr:uid="{7F48A8B9-9D33-4784-ADE6-F2009F8B074C}"/>
    <cellStyle name="Normal 2 2 40" xfId="30791" xr:uid="{98AA0929-D20E-4781-934A-2CC780D3B333}"/>
    <cellStyle name="Normal 2 2 41" xfId="30792" xr:uid="{9A10262E-4B99-43CD-BE51-E8BEA2A6196E}"/>
    <cellStyle name="Normal 2 2 42" xfId="13871" xr:uid="{3BED498A-A0F9-4875-A4EF-FCF5BA816EDF}"/>
    <cellStyle name="Normal 2 2 43" xfId="2876" xr:uid="{B34123B6-F794-4DFA-88C8-3D6505E342DC}"/>
    <cellStyle name="Normal 2 2 5" xfId="2898" xr:uid="{4186779F-7C5D-4B8F-A360-DC242CB99AC0}"/>
    <cellStyle name="Normal 2 2 5 10" xfId="15928" xr:uid="{1BDA7AC8-FE8B-42AF-BE89-8A65872A5E44}"/>
    <cellStyle name="Normal 2 2 5 10 2" xfId="17908" xr:uid="{938D12F4-8ED3-4F77-BE16-8CD90745C346}"/>
    <cellStyle name="Normal 2 2 5 10 2 2" xfId="21525" xr:uid="{FF537C83-E2E3-40AE-97D2-D3ED35A403B8}"/>
    <cellStyle name="Normal 2 2 5 10 3" xfId="30793" xr:uid="{C7ECB096-AF2B-43C5-A12D-21DD17165605}"/>
    <cellStyle name="Normal 2 2 5 10 4" xfId="30794" xr:uid="{9221EFDC-8DC6-4AF6-934C-2D3A7C8C5174}"/>
    <cellStyle name="Normal 2 2 5 10 5" xfId="30795" xr:uid="{F16F0184-D62D-448A-924F-11DA99EB57E4}"/>
    <cellStyle name="Normal 2 2 5 10 6" xfId="30796" xr:uid="{E9AE8C62-1B54-4711-B47F-565092707B19}"/>
    <cellStyle name="Normal 2 2 5 11" xfId="17907" xr:uid="{744908E7-356E-4EB9-A200-B76C808F05C3}"/>
    <cellStyle name="Normal 2 2 5 11 2" xfId="21524" xr:uid="{E057C281-1BFE-41A8-81AC-31702394BC04}"/>
    <cellStyle name="Normal 2 2 5 12" xfId="30797" xr:uid="{A113FD78-CC28-4B6A-81A2-FB8AFA1B2D25}"/>
    <cellStyle name="Normal 2 2 5 13" xfId="30798" xr:uid="{FDFAC31E-CD17-46B0-816F-8640ACD89437}"/>
    <cellStyle name="Normal 2 2 5 14" xfId="30799" xr:uid="{B693F904-9ABA-493C-A506-0FBB6EBD9A9E}"/>
    <cellStyle name="Normal 2 2 5 15" xfId="30800" xr:uid="{3CAC3056-917E-4126-8D56-C5E0DA7363B4}"/>
    <cellStyle name="Normal 2 2 5 16" xfId="30801" xr:uid="{C701BDFC-71D2-47BE-AD8D-C80B1CFEC326}"/>
    <cellStyle name="Normal 2 2 5 2" xfId="2899" xr:uid="{C450607F-8836-4B4C-9074-FA78BEC0AC46}"/>
    <cellStyle name="Normal 2 2 5 2 2" xfId="4982" xr:uid="{8DC58869-F1B7-489A-87B9-77FD32AB0515}"/>
    <cellStyle name="Normal 2 2 5 2 2 2" xfId="17910" xr:uid="{56913692-ACA9-416B-87B2-98FCE0A96446}"/>
    <cellStyle name="Normal 2 2 5 2 2 2 2" xfId="21527" xr:uid="{6BD02351-DB34-4D77-9210-04FDF356026E}"/>
    <cellStyle name="Normal 2 2 5 2 2 3" xfId="30802" xr:uid="{FB764572-6BE1-4FEF-9B22-B4F53F72AE80}"/>
    <cellStyle name="Normal 2 2 5 2 2 4" xfId="30803" xr:uid="{20BAE0F2-AD3C-450C-89CA-865789C72225}"/>
    <cellStyle name="Normal 2 2 5 2 2 5" xfId="30804" xr:uid="{4B68694A-2212-4788-AF3A-F97C7982A946}"/>
    <cellStyle name="Normal 2 2 5 2 2 6" xfId="30805" xr:uid="{EAFD690B-3C03-4601-9FD3-FF5EEC08A50A}"/>
    <cellStyle name="Normal 2 2 5 2 2 7" xfId="44323" xr:uid="{ABA57448-7E9F-480D-9510-C153F995FE5F}"/>
    <cellStyle name="Normal 2 2 5 2 2 8" xfId="15929" xr:uid="{6B0DB39B-BC5C-4A63-9A43-783947121F96}"/>
    <cellStyle name="Normal 2 2 5 2 3" xfId="6830" xr:uid="{3565CF10-7CD4-4FCF-B188-EE5F6CE4A347}"/>
    <cellStyle name="Normal 2 2 5 2 3 2" xfId="17911" xr:uid="{49C9A31D-08D3-4ACE-8DB0-7D9736277273}"/>
    <cellStyle name="Normal 2 2 5 2 3 2 2" xfId="21528" xr:uid="{BB62B9DC-0CD8-4434-A547-64C3A301F61D}"/>
    <cellStyle name="Normal 2 2 5 2 3 3" xfId="30806" xr:uid="{DAD6D497-A0F4-433A-8D91-321E3C65B8F6}"/>
    <cellStyle name="Normal 2 2 5 2 3 4" xfId="30807" xr:uid="{2B2D2F08-C6BA-4ED2-8C6C-DE990335D974}"/>
    <cellStyle name="Normal 2 2 5 2 3 5" xfId="30808" xr:uid="{02B11CFE-863B-4E24-97FD-0087D087AE7C}"/>
    <cellStyle name="Normal 2 2 5 2 3 6" xfId="30809" xr:uid="{0D41F0C0-C7F8-4B78-B8AB-2A872D1BF78E}"/>
    <cellStyle name="Normal 2 2 5 2 4" xfId="8866" xr:uid="{75E086F1-D0FD-4CF7-92F8-8422DF82708F}"/>
    <cellStyle name="Normal 2 2 5 2 4 2" xfId="21526" xr:uid="{83F3351F-FD72-4619-8E7F-1759A4B3844D}"/>
    <cellStyle name="Normal 2 2 5 2 4 3" xfId="17909" xr:uid="{83F4A9DC-CD9E-4E9B-9492-A43C2D259F50}"/>
    <cellStyle name="Normal 2 2 5 2 5" xfId="30810" xr:uid="{FBA189BB-399E-4E53-B364-503CC4C44968}"/>
    <cellStyle name="Normal 2 2 5 2 6" xfId="30811" xr:uid="{DABF82BB-C522-4261-B2D2-CDDF5622518C}"/>
    <cellStyle name="Normal 2 2 5 2 7" xfId="30812" xr:uid="{5A3E247D-762A-41F7-ABB9-3BBC8FBF6104}"/>
    <cellStyle name="Normal 2 2 5 2 8" xfId="30813" xr:uid="{865D395D-1A0F-4B9D-9FF3-A9420A80CBE7}"/>
    <cellStyle name="Normal 2 2 5 3" xfId="15930" xr:uid="{E73E7D01-7E0F-4DC3-B9A9-030D29AF547F}"/>
    <cellStyle name="Normal 2 2 5 3 2" xfId="17912" xr:uid="{FE1D0076-C2FF-4B5D-95E8-938EC04DBFE9}"/>
    <cellStyle name="Normal 2 2 5 3 2 2" xfId="21529" xr:uid="{8E2E7E0F-00CA-46AC-BF38-BD7DC6B99E47}"/>
    <cellStyle name="Normal 2 2 5 3 3" xfId="30814" xr:uid="{13A1CC66-C9D5-4214-ADFF-165C2C173F7F}"/>
    <cellStyle name="Normal 2 2 5 3 4" xfId="30815" xr:uid="{AB39EE5C-E84E-4A71-87AB-5B7EFA9EA2EE}"/>
    <cellStyle name="Normal 2 2 5 3 5" xfId="30816" xr:uid="{D914DAFC-337A-4713-9D10-F570B71D07A6}"/>
    <cellStyle name="Normal 2 2 5 3 6" xfId="30817" xr:uid="{82D27784-CDF0-4EF5-B95C-72F5A45DDA9A}"/>
    <cellStyle name="Normal 2 2 5 4" xfId="15931" xr:uid="{9DA3E76E-F272-4074-9638-635B779B22FD}"/>
    <cellStyle name="Normal 2 2 5 4 2" xfId="17913" xr:uid="{2F67F3B1-C68A-49D1-8E64-6B963266E98A}"/>
    <cellStyle name="Normal 2 2 5 4 2 2" xfId="21530" xr:uid="{0DF6A040-834B-46DF-963A-0FDB575CEE29}"/>
    <cellStyle name="Normal 2 2 5 4 3" xfId="30818" xr:uid="{C514AC8A-B853-4E08-BA24-D8B042D102E7}"/>
    <cellStyle name="Normal 2 2 5 4 4" xfId="30819" xr:uid="{E7CEF18C-61E7-451C-8625-2D1E6E767D51}"/>
    <cellStyle name="Normal 2 2 5 4 5" xfId="30820" xr:uid="{D0B9972D-4C23-498B-8B7A-C247C0BD7805}"/>
    <cellStyle name="Normal 2 2 5 4 6" xfId="30821" xr:uid="{4A89E110-DE04-43F9-A72B-5935F3FB1BEE}"/>
    <cellStyle name="Normal 2 2 5 5" xfId="15932" xr:uid="{C4836C0E-E7F4-4057-8B53-F72680B9CFCC}"/>
    <cellStyle name="Normal 2 2 5 5 2" xfId="17914" xr:uid="{E423C41D-D407-4814-BD84-C65E8C657079}"/>
    <cellStyle name="Normal 2 2 5 5 2 2" xfId="21531" xr:uid="{459FFC92-FB15-46F6-B17E-590415883D44}"/>
    <cellStyle name="Normal 2 2 5 5 3" xfId="30822" xr:uid="{FB67D714-D3A0-43CF-B773-DEBDC52D57D5}"/>
    <cellStyle name="Normal 2 2 5 5 4" xfId="30823" xr:uid="{315CA6DB-8FC9-4162-882C-747EC3915E84}"/>
    <cellStyle name="Normal 2 2 5 5 5" xfId="30824" xr:uid="{B3192161-9F27-4DAD-9BC5-9BE6D864A436}"/>
    <cellStyle name="Normal 2 2 5 5 6" xfId="30825" xr:uid="{6A142CC5-BB0E-4D7A-8E2B-81F588CDFCF6}"/>
    <cellStyle name="Normal 2 2 5 6" xfId="15933" xr:uid="{00B1F7D7-3BF7-4619-BD69-7AE3527FCB61}"/>
    <cellStyle name="Normal 2 2 5 6 2" xfId="17915" xr:uid="{B117F706-1019-491A-8A54-DA3250CB46EA}"/>
    <cellStyle name="Normal 2 2 5 6 2 2" xfId="21532" xr:uid="{90817171-94DD-476E-9C2A-CD0C8088AED7}"/>
    <cellStyle name="Normal 2 2 5 6 3" xfId="30826" xr:uid="{FDCEAF40-BAE1-44AF-BDEE-479DD06E954F}"/>
    <cellStyle name="Normal 2 2 5 6 4" xfId="30827" xr:uid="{DF56AB0E-7D8F-4905-AAB6-2B58479AEE25}"/>
    <cellStyle name="Normal 2 2 5 6 5" xfId="30828" xr:uid="{C4063EE3-7E0F-47D1-B639-6FA8AB4FC480}"/>
    <cellStyle name="Normal 2 2 5 6 6" xfId="30829" xr:uid="{10CFD227-E228-4E37-8636-4A49F0F6E054}"/>
    <cellStyle name="Normal 2 2 5 7" xfId="15934" xr:uid="{4B6A5950-FFE2-4879-8968-2F02BA67638D}"/>
    <cellStyle name="Normal 2 2 5 7 2" xfId="17916" xr:uid="{EF61DEB9-88A1-43B4-A768-BD5F1537ABC0}"/>
    <cellStyle name="Normal 2 2 5 7 2 2" xfId="21533" xr:uid="{BFF4E27B-B49F-43CA-97C0-4F6E4D877FFB}"/>
    <cellStyle name="Normal 2 2 5 7 3" xfId="30830" xr:uid="{4C768B50-DFDD-42F7-BBF7-D9446F782FBB}"/>
    <cellStyle name="Normal 2 2 5 7 4" xfId="30831" xr:uid="{7FE6CE0F-594F-4A2C-B7A3-FFAC82B2EB0B}"/>
    <cellStyle name="Normal 2 2 5 7 5" xfId="30832" xr:uid="{24C177D9-29E9-4B8D-BF85-9C2992BA4A6F}"/>
    <cellStyle name="Normal 2 2 5 7 6" xfId="30833" xr:uid="{CDEE86DA-A809-4D8E-B54A-002A02AFA2B1}"/>
    <cellStyle name="Normal 2 2 5 8" xfId="15935" xr:uid="{D8D441F6-9713-4CFB-9C44-2F83932B16F4}"/>
    <cellStyle name="Normal 2 2 5 8 2" xfId="17917" xr:uid="{9D812C46-D910-442B-B63D-2918132AC31F}"/>
    <cellStyle name="Normal 2 2 5 8 2 2" xfId="21534" xr:uid="{2B0C61C8-9364-4CBD-BE73-42CE584ED9A5}"/>
    <cellStyle name="Normal 2 2 5 8 3" xfId="30834" xr:uid="{E41428DA-50D1-4C42-BCA4-FD47D4F1BCE4}"/>
    <cellStyle name="Normal 2 2 5 8 4" xfId="30835" xr:uid="{353FC826-E025-4E17-97E5-B9E35745DC7D}"/>
    <cellStyle name="Normal 2 2 5 8 5" xfId="30836" xr:uid="{2A99493D-8A93-4A2C-A498-1B341C3D9A39}"/>
    <cellStyle name="Normal 2 2 5 8 6" xfId="30837" xr:uid="{BD9BA228-A3FA-47D0-B104-9B126648A622}"/>
    <cellStyle name="Normal 2 2 5 9" xfId="15936" xr:uid="{EAD8BF64-2ADB-4A33-B26E-2444B02085E6}"/>
    <cellStyle name="Normal 2 2 5 9 2" xfId="17918" xr:uid="{5966F5B2-8D52-4F4A-BDCC-9A4D75C0B2BA}"/>
    <cellStyle name="Normal 2 2 5 9 2 2" xfId="21535" xr:uid="{F157638A-A118-4BF4-A840-35AB46C6BDD4}"/>
    <cellStyle name="Normal 2 2 5 9 3" xfId="30838" xr:uid="{3866443B-BB72-40F1-9564-CF272BC179D8}"/>
    <cellStyle name="Normal 2 2 5 9 4" xfId="30839" xr:uid="{853C5FD5-CDA2-40DF-9CEB-D3860147BCFD}"/>
    <cellStyle name="Normal 2 2 5 9 5" xfId="30840" xr:uid="{B195FF87-63A4-4ABC-A01B-5F3201203BCA}"/>
    <cellStyle name="Normal 2 2 5 9 6" xfId="30841" xr:uid="{288DE723-AB15-410B-9D9E-BF89C68DC6CC}"/>
    <cellStyle name="Normal 2 2 6" xfId="2900" xr:uid="{BE380C6C-F5E3-45C2-B01B-3F61F95348A8}"/>
    <cellStyle name="Normal 2 2 6 10" xfId="15937" xr:uid="{E7E260C2-CCE7-4233-84F0-479DFD2488CC}"/>
    <cellStyle name="Normal 2 2 6 10 2" xfId="17920" xr:uid="{E248275F-4054-4F50-92EB-0E019F475351}"/>
    <cellStyle name="Normal 2 2 6 10 2 2" xfId="21537" xr:uid="{CECFE03C-0B8F-4AD3-8A0D-FFD4A505A39B}"/>
    <cellStyle name="Normal 2 2 6 10 3" xfId="30842" xr:uid="{30497CF4-3663-48C4-A08F-EAF51C45C6C1}"/>
    <cellStyle name="Normal 2 2 6 10 4" xfId="30843" xr:uid="{8DC4E194-864B-4169-9A0C-A1E4FA927633}"/>
    <cellStyle name="Normal 2 2 6 10 5" xfId="30844" xr:uid="{397869F6-578F-4743-8E45-EEC132D62F4C}"/>
    <cellStyle name="Normal 2 2 6 10 6" xfId="30845" xr:uid="{398428D8-F65B-45A2-B228-3F35C613E3AF}"/>
    <cellStyle name="Normal 2 2 6 11" xfId="17919" xr:uid="{1E0236CC-77F5-4F71-93CA-A3EA77BFB145}"/>
    <cellStyle name="Normal 2 2 6 11 2" xfId="21536" xr:uid="{3CD6A8AE-34E6-40E1-A1C4-4D7E25E110EC}"/>
    <cellStyle name="Normal 2 2 6 12" xfId="30846" xr:uid="{50356009-A3D6-4A5C-A9D6-3FC0BFE752C5}"/>
    <cellStyle name="Normal 2 2 6 13" xfId="30847" xr:uid="{B7826810-D058-4D9A-81A4-F6B332691F51}"/>
    <cellStyle name="Normal 2 2 6 14" xfId="30848" xr:uid="{BA93DB89-1785-4734-9854-4F8313B615A7}"/>
    <cellStyle name="Normal 2 2 6 15" xfId="30849" xr:uid="{F28013BE-ECE0-4093-85CF-C5BC61A82494}"/>
    <cellStyle name="Normal 2 2 6 16" xfId="30850" xr:uid="{443B3A75-88A9-45B2-8B21-483C64A7C0B5}"/>
    <cellStyle name="Normal 2 2 6 2" xfId="2901" xr:uid="{EFC0CE7A-5F1C-4734-A5B0-4918D91F2CAA}"/>
    <cellStyle name="Normal 2 2 6 2 2" xfId="4983" xr:uid="{1A90CDD1-EA47-4018-921C-9BDDA2700A40}"/>
    <cellStyle name="Normal 2 2 6 2 2 2" xfId="17922" xr:uid="{20C3D2AF-EC5F-47F5-A353-CA821EAA29E1}"/>
    <cellStyle name="Normal 2 2 6 2 2 2 2" xfId="21539" xr:uid="{DBB9ADF7-04A9-4BC1-9ED0-192054EE2A27}"/>
    <cellStyle name="Normal 2 2 6 2 2 3" xfId="30851" xr:uid="{89802DF2-1E07-4494-9919-41C686B581AB}"/>
    <cellStyle name="Normal 2 2 6 2 2 4" xfId="30852" xr:uid="{FF8100AB-CAD8-407B-932C-A95B965C34E6}"/>
    <cellStyle name="Normal 2 2 6 2 2 5" xfId="30853" xr:uid="{5309C794-4E92-49FE-9C92-D762BF4282BB}"/>
    <cellStyle name="Normal 2 2 6 2 2 6" xfId="30854" xr:uid="{96CDDE61-60E7-45A7-A29C-4FBAF06D6D6B}"/>
    <cellStyle name="Normal 2 2 6 2 2 7" xfId="44324" xr:uid="{ABF022DB-3A10-4932-80EE-426D332FAB47}"/>
    <cellStyle name="Normal 2 2 6 2 2 8" xfId="15938" xr:uid="{0605AF24-14DA-4CCD-B221-BF291A61C71D}"/>
    <cellStyle name="Normal 2 2 6 2 3" xfId="6831" xr:uid="{90067C7A-430B-48C5-9CF7-EE65EBC158F6}"/>
    <cellStyle name="Normal 2 2 6 2 3 2" xfId="17923" xr:uid="{E1EB4E05-4BF6-4DD3-8B11-DF67C1DD200C}"/>
    <cellStyle name="Normal 2 2 6 2 3 2 2" xfId="21540" xr:uid="{069CBCAB-8D81-4BC1-9458-D5AB94BE5B01}"/>
    <cellStyle name="Normal 2 2 6 2 3 3" xfId="30855" xr:uid="{A5F2A481-3616-4D6A-9D66-723B731B31C4}"/>
    <cellStyle name="Normal 2 2 6 2 3 4" xfId="30856" xr:uid="{404A3901-0381-4182-975D-5B20E441761A}"/>
    <cellStyle name="Normal 2 2 6 2 3 5" xfId="30857" xr:uid="{F82A6B13-FA4D-4B8A-8F2B-B8E9B26ECFFB}"/>
    <cellStyle name="Normal 2 2 6 2 3 6" xfId="30858" xr:uid="{6704BD83-A48C-4D01-A017-924EAAB54F7C}"/>
    <cellStyle name="Normal 2 2 6 2 4" xfId="8867" xr:uid="{EA067A8B-44DC-4E83-9C6D-E18A13516829}"/>
    <cellStyle name="Normal 2 2 6 2 4 2" xfId="21538" xr:uid="{3DF577C9-C710-41B8-956D-9D922C4930F6}"/>
    <cellStyle name="Normal 2 2 6 2 4 3" xfId="17921" xr:uid="{2A1B0134-C232-48AA-8DAA-4F1FAF93D0B0}"/>
    <cellStyle name="Normal 2 2 6 2 5" xfId="30859" xr:uid="{2FF10C9B-7286-45B8-B2B5-A68ACC26CDE0}"/>
    <cellStyle name="Normal 2 2 6 2 6" xfId="30860" xr:uid="{FCC48B64-D577-42A0-80FD-F43429663934}"/>
    <cellStyle name="Normal 2 2 6 2 7" xfId="30861" xr:uid="{E8435574-868B-48C1-AABD-58C900083FC1}"/>
    <cellStyle name="Normal 2 2 6 2 8" xfId="30862" xr:uid="{019A5C29-7F07-42C8-8D9D-CC78DF45BAC7}"/>
    <cellStyle name="Normal 2 2 6 3" xfId="15939" xr:uid="{31B73D53-7C57-4471-B96E-662BF1EB2215}"/>
    <cellStyle name="Normal 2 2 6 3 2" xfId="17924" xr:uid="{C3F054BE-513D-4A86-9C59-974946076310}"/>
    <cellStyle name="Normal 2 2 6 3 2 2" xfId="21541" xr:uid="{CE67F641-2A3F-41AF-8CB2-4EE1461F7E10}"/>
    <cellStyle name="Normal 2 2 6 3 3" xfId="30863" xr:uid="{0D4481BE-137A-4DF8-9427-B9A9CB7C833C}"/>
    <cellStyle name="Normal 2 2 6 3 4" xfId="30864" xr:uid="{B9EAA7A3-774E-4386-B58F-C255410B2B7D}"/>
    <cellStyle name="Normal 2 2 6 3 5" xfId="30865" xr:uid="{5DC574DF-BBD0-453C-A515-307AE55DCD39}"/>
    <cellStyle name="Normal 2 2 6 3 6" xfId="30866" xr:uid="{5C0E9C2D-9BC7-4D46-9B74-3C57D923803A}"/>
    <cellStyle name="Normal 2 2 6 4" xfId="15940" xr:uid="{8841D1CF-46EA-4464-8FFB-79D5AF3CBCCC}"/>
    <cellStyle name="Normal 2 2 6 4 2" xfId="17925" xr:uid="{B5DBB3E8-115A-405F-87E8-AD19F4FD7F2B}"/>
    <cellStyle name="Normal 2 2 6 4 2 2" xfId="21542" xr:uid="{035493E9-4566-45D6-9C36-4A7083773D9A}"/>
    <cellStyle name="Normal 2 2 6 4 3" xfId="30867" xr:uid="{66FD78CC-FB96-4FB1-B570-E144E1109F37}"/>
    <cellStyle name="Normal 2 2 6 4 4" xfId="30868" xr:uid="{9E746CD4-51FE-4711-A6FB-2EBBE9819025}"/>
    <cellStyle name="Normal 2 2 6 4 5" xfId="30869" xr:uid="{FAF53D55-CDFE-4674-A9E1-6BBC2DD1A9A7}"/>
    <cellStyle name="Normal 2 2 6 4 6" xfId="30870" xr:uid="{710EA6CB-8465-4326-82B7-831F1E85BE96}"/>
    <cellStyle name="Normal 2 2 6 5" xfId="15941" xr:uid="{E94F19FE-3505-46E1-875A-DE4297FA1F0A}"/>
    <cellStyle name="Normal 2 2 6 5 2" xfId="17926" xr:uid="{C203ED76-7F1C-4A2B-8CFC-29BFFA88BDF5}"/>
    <cellStyle name="Normal 2 2 6 5 2 2" xfId="21543" xr:uid="{F33A14E9-B99F-43C6-8227-445CF0BC46D2}"/>
    <cellStyle name="Normal 2 2 6 5 3" xfId="30871" xr:uid="{1EBCA77A-DEA8-4F3D-A0CC-10AEF6DA9035}"/>
    <cellStyle name="Normal 2 2 6 5 4" xfId="30872" xr:uid="{9C1EB1AD-5DCB-4552-AA8A-A49777E52000}"/>
    <cellStyle name="Normal 2 2 6 5 5" xfId="30873" xr:uid="{6418B2E7-0FC8-4DF3-8BE8-3A3602F99EB1}"/>
    <cellStyle name="Normal 2 2 6 5 6" xfId="30874" xr:uid="{8EF7ACB9-E4DE-4CD9-9D4B-90C341E105A1}"/>
    <cellStyle name="Normal 2 2 6 6" xfId="15942" xr:uid="{4723DC05-C9EF-4F8B-9251-AC359F023B63}"/>
    <cellStyle name="Normal 2 2 6 6 2" xfId="17927" xr:uid="{05F6E9A4-5CFB-4898-AAE1-AF880A7BB16E}"/>
    <cellStyle name="Normal 2 2 6 6 2 2" xfId="21544" xr:uid="{B794578D-1361-4740-9E5D-818D52428E5E}"/>
    <cellStyle name="Normal 2 2 6 6 3" xfId="30875" xr:uid="{E9DFF03A-EB19-411B-99DB-E54C26CC8E2C}"/>
    <cellStyle name="Normal 2 2 6 6 4" xfId="30876" xr:uid="{C8FDD6C4-3D35-4328-9931-2124E5AC7A07}"/>
    <cellStyle name="Normal 2 2 6 6 5" xfId="30877" xr:uid="{CCB55DE0-2F8A-4D12-98B4-5C7F7AECE8B7}"/>
    <cellStyle name="Normal 2 2 6 6 6" xfId="30878" xr:uid="{DF49EA93-F7FF-44BF-AFEC-002B4B6D3268}"/>
    <cellStyle name="Normal 2 2 6 7" xfId="15943" xr:uid="{41A2A7E0-710C-41FB-9419-FA5CCDC88139}"/>
    <cellStyle name="Normal 2 2 6 7 2" xfId="17928" xr:uid="{1F40D77F-D888-4312-93C2-21AF78B733D2}"/>
    <cellStyle name="Normal 2 2 6 7 2 2" xfId="21545" xr:uid="{79F40BF4-61F4-4892-B3D1-0A69CD0773F7}"/>
    <cellStyle name="Normal 2 2 6 7 3" xfId="30879" xr:uid="{9B49310F-FEEB-4A4A-869D-4BB6B7C2ECB3}"/>
    <cellStyle name="Normal 2 2 6 7 4" xfId="30880" xr:uid="{98CA9D81-9188-4C93-8420-08BB99E5179F}"/>
    <cellStyle name="Normal 2 2 6 7 5" xfId="30881" xr:uid="{C6E6F080-78E7-45F5-B006-1C61231009E3}"/>
    <cellStyle name="Normal 2 2 6 7 6" xfId="30882" xr:uid="{5F9E368C-26FA-44F8-85AF-1A4613DDDC52}"/>
    <cellStyle name="Normal 2 2 6 8" xfId="15944" xr:uid="{AA9A95C7-A074-47D0-8EDB-18EA5641BFDA}"/>
    <cellStyle name="Normal 2 2 6 8 2" xfId="17929" xr:uid="{6C6BC34B-47D4-4BDA-86A5-B92723D5FFCA}"/>
    <cellStyle name="Normal 2 2 6 8 2 2" xfId="21546" xr:uid="{B1BDCBC4-CB3C-4B03-A3BC-5C61AC7CB847}"/>
    <cellStyle name="Normal 2 2 6 8 3" xfId="30883" xr:uid="{11677586-B78D-490A-B4BC-66CEB4CCC1CC}"/>
    <cellStyle name="Normal 2 2 6 8 4" xfId="30884" xr:uid="{02551A2E-85B4-427C-B000-07F4CAA867FC}"/>
    <cellStyle name="Normal 2 2 6 8 5" xfId="30885" xr:uid="{5C8B12BC-588B-424A-99BB-4F8500147DD3}"/>
    <cellStyle name="Normal 2 2 6 8 6" xfId="30886" xr:uid="{445F1C10-D4A6-464A-B2FF-6F28EFD10590}"/>
    <cellStyle name="Normal 2 2 6 9" xfId="15945" xr:uid="{AAFE58A5-9163-40BD-AF9D-DF48FBDCE968}"/>
    <cellStyle name="Normal 2 2 6 9 2" xfId="17930" xr:uid="{18C84560-ABEC-47D2-ACB8-F0C08DAD3A47}"/>
    <cellStyle name="Normal 2 2 6 9 2 2" xfId="21547" xr:uid="{4D5E5328-0967-4D3A-AAC7-A95015CB62E4}"/>
    <cellStyle name="Normal 2 2 6 9 3" xfId="30887" xr:uid="{864F025C-9F91-4F89-B9D5-642BAE3EAAB9}"/>
    <cellStyle name="Normal 2 2 6 9 4" xfId="30888" xr:uid="{A52FE1FA-19DB-43CF-8797-6DBC754CD2A6}"/>
    <cellStyle name="Normal 2 2 6 9 5" xfId="30889" xr:uid="{84CE3788-5E0B-4888-AABD-CF146ABD6A65}"/>
    <cellStyle name="Normal 2 2 6 9 6" xfId="30890" xr:uid="{2D02ADFF-98E1-44BD-9DF4-8844FD6A2F5F}"/>
    <cellStyle name="Normal 2 2 7" xfId="2902" xr:uid="{8A7F24B6-B42F-4D27-98FA-E4BA99E5E3BE}"/>
    <cellStyle name="Normal 2 2 7 10" xfId="15946" xr:uid="{1DCB17E3-A3B4-4585-8698-50A5C0EAF9C0}"/>
    <cellStyle name="Normal 2 2 7 10 2" xfId="17932" xr:uid="{7569CC80-2344-4D26-A94C-390BC6520FD0}"/>
    <cellStyle name="Normal 2 2 7 10 2 2" xfId="21549" xr:uid="{6878763B-3352-4858-8B0C-B03CF0753590}"/>
    <cellStyle name="Normal 2 2 7 10 3" xfId="30891" xr:uid="{2DC54FB4-11A1-4BCB-864D-1BA8DA052A7D}"/>
    <cellStyle name="Normal 2 2 7 10 4" xfId="30892" xr:uid="{D7A128D9-9172-4DEF-9470-0B4012DFE4CB}"/>
    <cellStyle name="Normal 2 2 7 10 5" xfId="30893" xr:uid="{A14D645F-337A-496F-8ACA-0DB61EEDF0B9}"/>
    <cellStyle name="Normal 2 2 7 10 6" xfId="30894" xr:uid="{A6CCDC29-114F-4391-91EE-930DA647774A}"/>
    <cellStyle name="Normal 2 2 7 11" xfId="17931" xr:uid="{2CD25734-1277-45C2-8979-BF89B6A23D08}"/>
    <cellStyle name="Normal 2 2 7 11 2" xfId="21548" xr:uid="{E429F6B1-AA89-4D28-83B3-805C0C29B06E}"/>
    <cellStyle name="Normal 2 2 7 12" xfId="30895" xr:uid="{436BB1D2-9FB7-458D-84C6-A907B341931F}"/>
    <cellStyle name="Normal 2 2 7 13" xfId="30896" xr:uid="{41110724-EFCA-438B-86E9-49AC1145FC99}"/>
    <cellStyle name="Normal 2 2 7 14" xfId="30897" xr:uid="{DFD4EA7C-A58B-47EA-B4A3-F22F7990399C}"/>
    <cellStyle name="Normal 2 2 7 15" xfId="30898" xr:uid="{7958E4FC-7DB0-419C-8C7A-0E63571D0243}"/>
    <cellStyle name="Normal 2 2 7 16" xfId="30899" xr:uid="{DF26157D-EFDB-4434-BE8F-B1A0186CCB63}"/>
    <cellStyle name="Normal 2 2 7 2" xfId="2903" xr:uid="{CB71D545-E2EE-44E8-8214-F100FFE914CD}"/>
    <cellStyle name="Normal 2 2 7 2 2" xfId="4984" xr:uid="{4064564A-D6F9-43B3-A2AA-CEE2785BE167}"/>
    <cellStyle name="Normal 2 2 7 2 2 2" xfId="17934" xr:uid="{A931C804-7061-4E82-8220-395926DF6BAA}"/>
    <cellStyle name="Normal 2 2 7 2 2 2 2" xfId="21551" xr:uid="{1AF36229-C19A-48AD-8120-78F558E6AB7F}"/>
    <cellStyle name="Normal 2 2 7 2 2 3" xfId="30900" xr:uid="{DF5B9834-226E-4903-8664-2322E8665438}"/>
    <cellStyle name="Normal 2 2 7 2 2 4" xfId="30901" xr:uid="{EB2780E9-4C27-437A-AC5B-C99E007817EB}"/>
    <cellStyle name="Normal 2 2 7 2 2 5" xfId="30902" xr:uid="{67E7AF42-B15D-4BB0-B577-2D074341A23B}"/>
    <cellStyle name="Normal 2 2 7 2 2 6" xfId="30903" xr:uid="{A740E3CC-1BB1-4578-8FB9-9F067EB01602}"/>
    <cellStyle name="Normal 2 2 7 2 2 7" xfId="44325" xr:uid="{F4058FAF-8E8A-4AFD-AB38-A7845FA2106D}"/>
    <cellStyle name="Normal 2 2 7 2 2 8" xfId="15947" xr:uid="{CEAF2DFB-A4E5-4967-8833-8C5DDE0B3045}"/>
    <cellStyle name="Normal 2 2 7 2 3" xfId="6832" xr:uid="{50B1BD55-E613-4552-AD35-C0B1D43A4293}"/>
    <cellStyle name="Normal 2 2 7 2 3 2" xfId="17935" xr:uid="{DC720008-1F5F-4E3D-86A7-76369CB7064A}"/>
    <cellStyle name="Normal 2 2 7 2 3 2 2" xfId="21552" xr:uid="{C36176C8-AB38-474B-AFEA-4B02D0657A1B}"/>
    <cellStyle name="Normal 2 2 7 2 3 3" xfId="30904" xr:uid="{A389CA32-D6C0-4384-B11E-42C7676BC63D}"/>
    <cellStyle name="Normal 2 2 7 2 3 4" xfId="30905" xr:uid="{54B60D72-5B54-43CA-ADAA-8632D51438D4}"/>
    <cellStyle name="Normal 2 2 7 2 3 5" xfId="30906" xr:uid="{9AE30041-C816-4D95-9B5A-40751A56B031}"/>
    <cellStyle name="Normal 2 2 7 2 3 6" xfId="30907" xr:uid="{30E0FB5F-C30A-44FB-84A8-6C35BE01EE78}"/>
    <cellStyle name="Normal 2 2 7 2 4" xfId="8869" xr:uid="{D99B0770-7E6F-4915-9CB7-C89CB3D80781}"/>
    <cellStyle name="Normal 2 2 7 2 4 2" xfId="21550" xr:uid="{34E257D0-EB2E-41DB-9487-23468382498A}"/>
    <cellStyle name="Normal 2 2 7 2 4 3" xfId="17933" xr:uid="{29D64108-C9F1-4A8E-8D04-F357AFDDCFC9}"/>
    <cellStyle name="Normal 2 2 7 2 5" xfId="30908" xr:uid="{F4F619ED-6DE1-400B-8250-47C4994CDBD0}"/>
    <cellStyle name="Normal 2 2 7 2 6" xfId="30909" xr:uid="{8C39A2A1-B220-4DF3-A35F-5AABE7EA0669}"/>
    <cellStyle name="Normal 2 2 7 2 7" xfId="30910" xr:uid="{F9FD9B59-A94F-4FB0-98F1-77FD2827E6F9}"/>
    <cellStyle name="Normal 2 2 7 2 8" xfId="30911" xr:uid="{BA2EDE38-7C3A-4D0D-BD74-05F01E6B883E}"/>
    <cellStyle name="Normal 2 2 7 3" xfId="15948" xr:uid="{4CBC78F1-D0A2-41D2-A76A-B6486BC82D17}"/>
    <cellStyle name="Normal 2 2 7 3 2" xfId="17936" xr:uid="{E07D047E-BA37-4C74-AC3E-B73E01283BD3}"/>
    <cellStyle name="Normal 2 2 7 3 2 2" xfId="21553" xr:uid="{D4A314D3-20C2-4DC0-9D16-F99A51F66FFF}"/>
    <cellStyle name="Normal 2 2 7 3 3" xfId="30912" xr:uid="{FBF29A26-8FEE-435F-9E83-AAC115B2B212}"/>
    <cellStyle name="Normal 2 2 7 3 4" xfId="30913" xr:uid="{4E5815CB-B62C-4513-9AC6-3155705B1417}"/>
    <cellStyle name="Normal 2 2 7 3 5" xfId="30914" xr:uid="{D3C25627-E234-4562-98AD-3DA63AAECD7C}"/>
    <cellStyle name="Normal 2 2 7 3 6" xfId="30915" xr:uid="{C18B316B-F20A-405E-9CB5-8BBAD42B9D0D}"/>
    <cellStyle name="Normal 2 2 7 4" xfId="15949" xr:uid="{F5E71256-14CE-4A4E-A01E-A9623A14215F}"/>
    <cellStyle name="Normal 2 2 7 4 2" xfId="17937" xr:uid="{BBA1BC4D-3972-4B69-A463-19DEEAC20452}"/>
    <cellStyle name="Normal 2 2 7 4 2 2" xfId="21554" xr:uid="{7F68291D-9032-4902-9196-D12E7E2FC7AE}"/>
    <cellStyle name="Normal 2 2 7 4 3" xfId="30916" xr:uid="{00C6ED4B-CA61-4D48-8497-831E51E67787}"/>
    <cellStyle name="Normal 2 2 7 4 4" xfId="30917" xr:uid="{EBFAB0CF-C13F-4569-A2BF-CDF4A85070BD}"/>
    <cellStyle name="Normal 2 2 7 4 5" xfId="30918" xr:uid="{5FB7A61E-5E8A-40B5-A96F-03E49174CE30}"/>
    <cellStyle name="Normal 2 2 7 4 6" xfId="30919" xr:uid="{D49622AE-E768-4913-A88B-39F46310C000}"/>
    <cellStyle name="Normal 2 2 7 5" xfId="15950" xr:uid="{407F122B-606C-4AAB-8219-B9EFA83489B3}"/>
    <cellStyle name="Normal 2 2 7 5 2" xfId="17938" xr:uid="{B6299CEE-1120-4874-8C17-9A9E3A1D34AB}"/>
    <cellStyle name="Normal 2 2 7 5 2 2" xfId="21555" xr:uid="{F04E608A-02FA-4AFE-828F-2164D3787EA2}"/>
    <cellStyle name="Normal 2 2 7 5 3" xfId="30920" xr:uid="{D0F2B326-8DFD-454E-ACFA-5418053ECF6B}"/>
    <cellStyle name="Normal 2 2 7 5 4" xfId="30921" xr:uid="{262A0B89-7DFB-4682-B47A-C90FD9351F5D}"/>
    <cellStyle name="Normal 2 2 7 5 5" xfId="30922" xr:uid="{E025B30E-764A-480F-A824-4227523077C7}"/>
    <cellStyle name="Normal 2 2 7 5 6" xfId="30923" xr:uid="{B935C639-5EA7-4F57-8C2C-9CA71ED65A2A}"/>
    <cellStyle name="Normal 2 2 7 6" xfId="15951" xr:uid="{00E714E1-AEC1-43DF-9DCB-A249DE152C23}"/>
    <cellStyle name="Normal 2 2 7 6 2" xfId="17939" xr:uid="{68012B20-EDB9-493B-9845-38472E95B9DF}"/>
    <cellStyle name="Normal 2 2 7 6 2 2" xfId="21556" xr:uid="{A27FE4DD-FD34-4A7E-AA8C-96FBEE8CA705}"/>
    <cellStyle name="Normal 2 2 7 6 3" xfId="30924" xr:uid="{5F0A1297-1286-4300-B5DA-29D35F2C5AC8}"/>
    <cellStyle name="Normal 2 2 7 6 4" xfId="30925" xr:uid="{90483F0B-E338-4142-93CE-280EB20047F7}"/>
    <cellStyle name="Normal 2 2 7 6 5" xfId="30926" xr:uid="{89D171D0-00EF-4487-B598-BD129D966C99}"/>
    <cellStyle name="Normal 2 2 7 6 6" xfId="30927" xr:uid="{AAC50C5D-C12A-4DEC-87C4-E00BD902BF84}"/>
    <cellStyle name="Normal 2 2 7 7" xfId="15952" xr:uid="{B31479D8-F1E1-406B-BB70-BD4E14362A1A}"/>
    <cellStyle name="Normal 2 2 7 7 2" xfId="17940" xr:uid="{B9677CD6-C446-4A93-BA47-0586EE54558F}"/>
    <cellStyle name="Normal 2 2 7 7 2 2" xfId="21557" xr:uid="{E7C66DAF-4A26-4948-AE3A-29A18787B063}"/>
    <cellStyle name="Normal 2 2 7 7 3" xfId="30928" xr:uid="{BE7C5D04-39CD-42E5-84F8-D799B5B20B86}"/>
    <cellStyle name="Normal 2 2 7 7 4" xfId="30929" xr:uid="{F2861A95-2B36-40B2-B875-7044D0BA3C4A}"/>
    <cellStyle name="Normal 2 2 7 7 5" xfId="30930" xr:uid="{8EA820AA-7C3D-4539-9D7F-85573AFAB028}"/>
    <cellStyle name="Normal 2 2 7 7 6" xfId="30931" xr:uid="{00EAC8A6-0BF3-403C-9AEB-2778AABAAC0A}"/>
    <cellStyle name="Normal 2 2 7 8" xfId="15953" xr:uid="{122664D9-9BC6-4250-B548-FA0B5E2ED73E}"/>
    <cellStyle name="Normal 2 2 7 8 2" xfId="17941" xr:uid="{3D4C9E6F-F7A7-4F35-8BC0-D811B2B20758}"/>
    <cellStyle name="Normal 2 2 7 8 2 2" xfId="21558" xr:uid="{FB800849-7801-43EE-98BA-103CD53624D5}"/>
    <cellStyle name="Normal 2 2 7 8 3" xfId="30932" xr:uid="{CA51C1AC-7618-4AC6-B1B9-9485C0367353}"/>
    <cellStyle name="Normal 2 2 7 8 4" xfId="30933" xr:uid="{512C2BA8-8F10-4A85-88F9-9C376AAC38AF}"/>
    <cellStyle name="Normal 2 2 7 8 5" xfId="30934" xr:uid="{025885FA-3337-4C74-A75F-38CA1BEBD616}"/>
    <cellStyle name="Normal 2 2 7 8 6" xfId="30935" xr:uid="{38628EC3-60BE-4CE0-94DC-73EF4DE7644C}"/>
    <cellStyle name="Normal 2 2 7 9" xfId="15954" xr:uid="{6CEA9F47-CB65-4515-9CDA-F03CF18F82B1}"/>
    <cellStyle name="Normal 2 2 7 9 2" xfId="17942" xr:uid="{F8E4FC4E-4C34-4D5F-8B66-C7446316F7C5}"/>
    <cellStyle name="Normal 2 2 7 9 2 2" xfId="21559" xr:uid="{D33DE380-4ECB-40F8-8687-D4AADDDD4078}"/>
    <cellStyle name="Normal 2 2 7 9 3" xfId="30936" xr:uid="{10EFACAB-7AFB-47F8-A840-AF97D886902D}"/>
    <cellStyle name="Normal 2 2 7 9 4" xfId="30937" xr:uid="{D934FAD4-67FE-47A0-8EAF-3E6D638C28CE}"/>
    <cellStyle name="Normal 2 2 7 9 5" xfId="30938" xr:uid="{859BAE1F-85F4-47E4-8FAC-5800F7B1463B}"/>
    <cellStyle name="Normal 2 2 7 9 6" xfId="30939" xr:uid="{C6929302-B980-49B8-BCAC-35A8DF3541BF}"/>
    <cellStyle name="Normal 2 2 8" xfId="2904" xr:uid="{A19FC18E-C2CF-4F2C-B0CB-AB6CFEE48B2D}"/>
    <cellStyle name="Normal 2 2 8 10" xfId="15955" xr:uid="{0778A611-201C-4B8D-AC01-CDA81458A931}"/>
    <cellStyle name="Normal 2 2 8 10 2" xfId="17944" xr:uid="{7038AD87-D891-4B52-B89C-C9286ADC38CE}"/>
    <cellStyle name="Normal 2 2 8 10 2 2" xfId="21561" xr:uid="{E15AD206-365B-41FA-8F81-6E023BC716E0}"/>
    <cellStyle name="Normal 2 2 8 10 3" xfId="30940" xr:uid="{EF5F4424-C3F7-4E83-B4EA-E30470779EAF}"/>
    <cellStyle name="Normal 2 2 8 10 4" xfId="30941" xr:uid="{7C7FA669-4A87-4241-BA10-40740293F133}"/>
    <cellStyle name="Normal 2 2 8 10 5" xfId="30942" xr:uid="{EF1AEE62-F973-45A5-ACEC-E3A450B893AE}"/>
    <cellStyle name="Normal 2 2 8 10 6" xfId="30943" xr:uid="{FAA4FFC5-CF7E-4E1C-AA4B-9F0BEC9FEA46}"/>
    <cellStyle name="Normal 2 2 8 11" xfId="17943" xr:uid="{FCB5798E-172A-41A3-9919-19B6DEC0C3B6}"/>
    <cellStyle name="Normal 2 2 8 11 2" xfId="21560" xr:uid="{72A2B632-D2AB-401B-9DCA-7F530C7EFFBF}"/>
    <cellStyle name="Normal 2 2 8 12" xfId="30944" xr:uid="{5176CCAA-063F-44BA-9E3A-7986128D5238}"/>
    <cellStyle name="Normal 2 2 8 13" xfId="30945" xr:uid="{45895A72-345C-4147-8E9E-C47D269F27D8}"/>
    <cellStyle name="Normal 2 2 8 14" xfId="30946" xr:uid="{66E94315-6D33-44A6-AF5C-2500CE5BB471}"/>
    <cellStyle name="Normal 2 2 8 15" xfId="30947" xr:uid="{B266DED4-3CCC-4A4E-B1A2-DFFF53F86F1C}"/>
    <cellStyle name="Normal 2 2 8 16" xfId="30948" xr:uid="{FCB813E6-B4A8-4A82-9971-2283897D7B62}"/>
    <cellStyle name="Normal 2 2 8 2" xfId="2905" xr:uid="{1625A025-1A35-4CBF-A4B5-CDDAB49DFDFE}"/>
    <cellStyle name="Normal 2 2 8 2 2" xfId="4985" xr:uid="{1CAC91EF-A096-495A-ABD9-D7DDBB359761}"/>
    <cellStyle name="Normal 2 2 8 2 2 2" xfId="17946" xr:uid="{80A9EA0C-218E-44B7-9386-139CC88695F4}"/>
    <cellStyle name="Normal 2 2 8 2 2 2 2" xfId="21563" xr:uid="{8BC53BB8-39FA-429F-997B-91FF820395AD}"/>
    <cellStyle name="Normal 2 2 8 2 2 3" xfId="30949" xr:uid="{7A8E6DF0-8808-44CD-807A-0EC1EBB35532}"/>
    <cellStyle name="Normal 2 2 8 2 2 4" xfId="30950" xr:uid="{510D266E-AC68-4E93-A7FB-F5379A856CC5}"/>
    <cellStyle name="Normal 2 2 8 2 2 5" xfId="30951" xr:uid="{4935AD7B-47D9-4353-96A8-6A7F5CB7B6F2}"/>
    <cellStyle name="Normal 2 2 8 2 2 6" xfId="30952" xr:uid="{18EF3339-BAF8-4F09-99A3-73D2AB9E1347}"/>
    <cellStyle name="Normal 2 2 8 2 2 7" xfId="44326" xr:uid="{46F8A827-E20F-44ED-A60A-BCB586495ADE}"/>
    <cellStyle name="Normal 2 2 8 2 2 8" xfId="15956" xr:uid="{2D6DBB63-14FC-4FE2-B548-B5C3F013BBF9}"/>
    <cellStyle name="Normal 2 2 8 2 3" xfId="6833" xr:uid="{44C13938-AD6A-4874-8E41-CDF2797CC018}"/>
    <cellStyle name="Normal 2 2 8 2 3 2" xfId="17947" xr:uid="{53E72EE9-FE1D-42BE-A1A6-44B831E9DEE4}"/>
    <cellStyle name="Normal 2 2 8 2 3 2 2" xfId="21564" xr:uid="{CDEA5A11-618D-4972-B21C-4BD8265AB4DD}"/>
    <cellStyle name="Normal 2 2 8 2 3 3" xfId="30953" xr:uid="{C66B76F4-A29F-4509-B8C7-C978E326CFA8}"/>
    <cellStyle name="Normal 2 2 8 2 3 4" xfId="30954" xr:uid="{F31A3CB4-2FA8-48AF-9C15-7A42DB1D651C}"/>
    <cellStyle name="Normal 2 2 8 2 3 5" xfId="30955" xr:uid="{14E94D88-30BB-47B8-8218-D00F0ADF4E61}"/>
    <cellStyle name="Normal 2 2 8 2 3 6" xfId="30956" xr:uid="{7F6377E3-BC33-449E-82DD-B64832CCAFBB}"/>
    <cellStyle name="Normal 2 2 8 2 4" xfId="8870" xr:uid="{B29EEFB2-6D22-48C8-86D7-9B9897195448}"/>
    <cellStyle name="Normal 2 2 8 2 4 2" xfId="21562" xr:uid="{E36E165C-B11F-4934-8E9C-67AE3C010831}"/>
    <cellStyle name="Normal 2 2 8 2 4 3" xfId="17945" xr:uid="{1D9682A1-8484-42DC-82DB-76C5D519EA2E}"/>
    <cellStyle name="Normal 2 2 8 2 5" xfId="30957" xr:uid="{6FAC25C7-B8A6-4642-B8A0-8C83EFCC176B}"/>
    <cellStyle name="Normal 2 2 8 2 6" xfId="30958" xr:uid="{331AE6E1-9AFB-457D-B067-17F55A758802}"/>
    <cellStyle name="Normal 2 2 8 2 7" xfId="30959" xr:uid="{647EF3F3-963F-4F5C-900F-1E6A4F08F9FA}"/>
    <cellStyle name="Normal 2 2 8 2 8" xfId="30960" xr:uid="{0B3AC448-BEA7-4962-867F-890F14B80B11}"/>
    <cellStyle name="Normal 2 2 8 3" xfId="15957" xr:uid="{578461D9-3CA0-4D68-B3B7-D404CCB715F1}"/>
    <cellStyle name="Normal 2 2 8 3 2" xfId="17948" xr:uid="{651286C6-81DB-4284-90E3-84E9C7B3E25C}"/>
    <cellStyle name="Normal 2 2 8 3 2 2" xfId="21565" xr:uid="{F9CF5AB3-853E-440B-B0DC-BED2A87C9DEE}"/>
    <cellStyle name="Normal 2 2 8 3 3" xfId="30961" xr:uid="{775FCAA7-0692-409F-822E-21A2A29611F9}"/>
    <cellStyle name="Normal 2 2 8 3 4" xfId="30962" xr:uid="{307F1331-5736-4D25-999A-DE76018059FB}"/>
    <cellStyle name="Normal 2 2 8 3 5" xfId="30963" xr:uid="{FF9303EA-7101-4273-991F-077A95CF7EFE}"/>
    <cellStyle name="Normal 2 2 8 3 6" xfId="30964" xr:uid="{1838FDE0-CB45-4BDB-ADB0-2FD7D2F1CB01}"/>
    <cellStyle name="Normal 2 2 8 4" xfId="15958" xr:uid="{A7714F87-7C66-4E2E-B082-AD02EC1E956C}"/>
    <cellStyle name="Normal 2 2 8 4 2" xfId="17949" xr:uid="{0D00D43D-BD91-4BEC-B27C-F4CB9EF19A9E}"/>
    <cellStyle name="Normal 2 2 8 4 2 2" xfId="21566" xr:uid="{6B1E96E1-B788-4E48-8D03-09B5BAE19FF2}"/>
    <cellStyle name="Normal 2 2 8 4 3" xfId="30965" xr:uid="{9B674CE8-8A70-4304-B608-06BBE52B15F4}"/>
    <cellStyle name="Normal 2 2 8 4 4" xfId="30966" xr:uid="{8807D2A0-7651-4C86-B8A7-F3B74C5FC2E9}"/>
    <cellStyle name="Normal 2 2 8 4 5" xfId="30967" xr:uid="{C4B49BB2-6BEF-4415-920A-A281DE5CA150}"/>
    <cellStyle name="Normal 2 2 8 4 6" xfId="30968" xr:uid="{19988E65-753F-445C-9576-CDCBE6223C47}"/>
    <cellStyle name="Normal 2 2 8 5" xfId="15959" xr:uid="{B3AE4435-CB15-45C1-AE8E-443D9A3E7DE2}"/>
    <cellStyle name="Normal 2 2 8 5 2" xfId="17950" xr:uid="{8E88A09A-A5A1-4A8A-BC4C-EB2248E1B5F2}"/>
    <cellStyle name="Normal 2 2 8 5 2 2" xfId="21567" xr:uid="{79DB205F-3DBA-4196-9B2C-BC3C005C01DA}"/>
    <cellStyle name="Normal 2 2 8 5 3" xfId="30969" xr:uid="{282AB5D3-3236-4E6F-8806-ECE9F2F3EB95}"/>
    <cellStyle name="Normal 2 2 8 5 4" xfId="30970" xr:uid="{0757A62E-40DD-4BC7-9669-9C2288364AB2}"/>
    <cellStyle name="Normal 2 2 8 5 5" xfId="30971" xr:uid="{67BF8E61-479E-468C-9384-F11E1ADBCECA}"/>
    <cellStyle name="Normal 2 2 8 5 6" xfId="30972" xr:uid="{87E1684E-A94A-48DA-B8C9-EF5AAE4A0CF4}"/>
    <cellStyle name="Normal 2 2 8 6" xfId="15960" xr:uid="{2DABB75F-1C54-4820-BF0E-895A60EC3E2D}"/>
    <cellStyle name="Normal 2 2 8 6 2" xfId="17951" xr:uid="{AC150873-E508-42D9-9659-4A552B579E96}"/>
    <cellStyle name="Normal 2 2 8 6 2 2" xfId="21568" xr:uid="{1CECED7A-44F0-4DCC-995B-F3C58511E466}"/>
    <cellStyle name="Normal 2 2 8 6 3" xfId="30973" xr:uid="{4BD312FC-8453-4C52-9F31-E8EFBD82824C}"/>
    <cellStyle name="Normal 2 2 8 6 4" xfId="30974" xr:uid="{7EF75752-FDDD-40C7-8905-29988ECDD251}"/>
    <cellStyle name="Normal 2 2 8 6 5" xfId="30975" xr:uid="{8738AAFF-917E-4670-AB45-F989E099FB98}"/>
    <cellStyle name="Normal 2 2 8 6 6" xfId="30976" xr:uid="{497BC9EF-EB08-4390-8109-1FD37C70A63E}"/>
    <cellStyle name="Normal 2 2 8 7" xfId="15961" xr:uid="{12972358-A730-4F36-97FA-A4C4295032DD}"/>
    <cellStyle name="Normal 2 2 8 7 2" xfId="17952" xr:uid="{AC8B9A68-0139-4FCC-913A-B42A496429CA}"/>
    <cellStyle name="Normal 2 2 8 7 2 2" xfId="21569" xr:uid="{B22723EA-9E4F-47B1-9F01-A5AEA766ACDF}"/>
    <cellStyle name="Normal 2 2 8 7 3" xfId="30977" xr:uid="{8723008D-050A-4BC1-A0BE-C1EBEB796662}"/>
    <cellStyle name="Normal 2 2 8 7 4" xfId="30978" xr:uid="{1B5931D3-9116-4EE6-86FD-05AD17C45368}"/>
    <cellStyle name="Normal 2 2 8 7 5" xfId="30979" xr:uid="{EACCA5AD-1FA6-44D3-9F73-5791B6FA37FE}"/>
    <cellStyle name="Normal 2 2 8 7 6" xfId="30980" xr:uid="{0E3FE460-1828-4503-AFC5-B0CD8755DF10}"/>
    <cellStyle name="Normal 2 2 8 8" xfId="15962" xr:uid="{BF5378DE-D56F-4797-9670-BC3CC8985B90}"/>
    <cellStyle name="Normal 2 2 8 8 2" xfId="17953" xr:uid="{A30C5ABE-554C-4C87-B8A4-5935E257947E}"/>
    <cellStyle name="Normal 2 2 8 8 2 2" xfId="21570" xr:uid="{2F84B3C4-F967-42B5-9508-2B194C93911A}"/>
    <cellStyle name="Normal 2 2 8 8 3" xfId="30981" xr:uid="{C002698E-3580-4300-B88C-7ACE624E6718}"/>
    <cellStyle name="Normal 2 2 8 8 4" xfId="30982" xr:uid="{1854F7E9-8ABB-4B53-8934-4FE3197BEAD1}"/>
    <cellStyle name="Normal 2 2 8 8 5" xfId="30983" xr:uid="{063F6C44-50E2-495A-A336-83AAE075CF0B}"/>
    <cellStyle name="Normal 2 2 8 8 6" xfId="30984" xr:uid="{C856C3A3-BD84-4E07-B26A-74F9894FD48E}"/>
    <cellStyle name="Normal 2 2 8 9" xfId="15963" xr:uid="{C70C7261-C96E-40DD-B857-87E155201D3E}"/>
    <cellStyle name="Normal 2 2 8 9 2" xfId="17954" xr:uid="{3BA3D99C-B612-476F-8B16-2EF0E39ABD15}"/>
    <cellStyle name="Normal 2 2 8 9 2 2" xfId="21571" xr:uid="{92C38D5E-0F94-4DA3-8F4D-E75529ED95ED}"/>
    <cellStyle name="Normal 2 2 8 9 3" xfId="30985" xr:uid="{FF75C53D-1396-4CD1-AE0E-85C348EB8AD3}"/>
    <cellStyle name="Normal 2 2 8 9 4" xfId="30986" xr:uid="{56F1F5BA-6595-4D55-92E6-013AD66CC729}"/>
    <cellStyle name="Normal 2 2 8 9 5" xfId="30987" xr:uid="{86EE9D54-9365-400F-B21B-4BEE3345D959}"/>
    <cellStyle name="Normal 2 2 8 9 6" xfId="30988" xr:uid="{9215F22B-FA8C-4287-8F88-FA0C8DFD76CA}"/>
    <cellStyle name="Normal 2 2 9" xfId="2906" xr:uid="{5B9B34AD-5B1B-4B92-BE20-25328CF99A54}"/>
    <cellStyle name="Normal 2 2 9 10" xfId="15964" xr:uid="{F7D1C6C8-E430-439B-AB9F-2841334F4E75}"/>
    <cellStyle name="Normal 2 2 9 10 2" xfId="17956" xr:uid="{A60CC759-5CB3-4EEF-97F7-7FD3C0BF8D02}"/>
    <cellStyle name="Normal 2 2 9 10 2 2" xfId="21573" xr:uid="{B8F7228A-8A00-40F5-A832-E7A22B5FDB91}"/>
    <cellStyle name="Normal 2 2 9 10 3" xfId="30989" xr:uid="{58D5FBB2-44CF-4FF0-B66A-AE1267DCB652}"/>
    <cellStyle name="Normal 2 2 9 10 4" xfId="30990" xr:uid="{FFBD69E9-CAD0-40E0-A460-90F2D90834CE}"/>
    <cellStyle name="Normal 2 2 9 10 5" xfId="30991" xr:uid="{5593972C-2395-4F98-A993-B037117FD89B}"/>
    <cellStyle name="Normal 2 2 9 10 6" xfId="30992" xr:uid="{521A3522-21B6-4A1F-81C6-4482CAEFB2E3}"/>
    <cellStyle name="Normal 2 2 9 11" xfId="17955" xr:uid="{334625F1-5968-486F-A17E-A114F90CB18B}"/>
    <cellStyle name="Normal 2 2 9 11 2" xfId="21572" xr:uid="{0FBA0FCF-447A-4EE8-AB8B-B51E97C1BF4D}"/>
    <cellStyle name="Normal 2 2 9 12" xfId="30993" xr:uid="{2DFAE794-879C-4382-832B-17F31934661D}"/>
    <cellStyle name="Normal 2 2 9 13" xfId="30994" xr:uid="{7ADE0EA0-C2A3-4A48-9618-9520D551A949}"/>
    <cellStyle name="Normal 2 2 9 14" xfId="30995" xr:uid="{812E517E-01EE-4724-9697-3A90FFABC634}"/>
    <cellStyle name="Normal 2 2 9 15" xfId="30996" xr:uid="{5BFB443E-CB4C-4483-B793-7BFB7D6E855D}"/>
    <cellStyle name="Normal 2 2 9 16" xfId="30997" xr:uid="{B74A0376-E6A5-47DE-9EB6-DE1FFBF0B2F4}"/>
    <cellStyle name="Normal 2 2 9 2" xfId="2907" xr:uid="{394F3BB5-6311-4E72-9317-6121B6EE63B2}"/>
    <cellStyle name="Normal 2 2 9 2 2" xfId="4986" xr:uid="{29C00366-20E7-40CA-B435-4AF84E125816}"/>
    <cellStyle name="Normal 2 2 9 2 2 2" xfId="17958" xr:uid="{E003D3F9-4C12-4755-8DBC-57B6274EE0E3}"/>
    <cellStyle name="Normal 2 2 9 2 2 2 2" xfId="21575" xr:uid="{058FA8FA-36CA-46B1-A0B5-82F51E70DF3E}"/>
    <cellStyle name="Normal 2 2 9 2 2 3" xfId="30998" xr:uid="{A67BAFC2-9013-4AE0-8BAC-26F72E76AB3F}"/>
    <cellStyle name="Normal 2 2 9 2 2 4" xfId="30999" xr:uid="{76271669-0612-4DBD-9F52-111C11F8604F}"/>
    <cellStyle name="Normal 2 2 9 2 2 5" xfId="31000" xr:uid="{CB1C957E-EA65-4C6F-8BD9-EB35B0759612}"/>
    <cellStyle name="Normal 2 2 9 2 2 6" xfId="31001" xr:uid="{D546A133-8FC5-45AE-A180-77FAD48CCE7E}"/>
    <cellStyle name="Normal 2 2 9 2 2 7" xfId="44327" xr:uid="{FC3B75E1-8A23-4F6B-87FA-5B8F5E203C41}"/>
    <cellStyle name="Normal 2 2 9 2 2 8" xfId="15965" xr:uid="{13ECBB36-E732-4D2D-8E50-DA7B904C5E08}"/>
    <cellStyle name="Normal 2 2 9 2 3" xfId="6834" xr:uid="{C8DE5BF8-E8E9-4006-81B0-C7BFDD025CCD}"/>
    <cellStyle name="Normal 2 2 9 2 3 2" xfId="17959" xr:uid="{6309811B-A11B-4D03-9B20-2B0DC2E33853}"/>
    <cellStyle name="Normal 2 2 9 2 3 2 2" xfId="21576" xr:uid="{16114680-42F4-48A0-B403-55507BFBC269}"/>
    <cellStyle name="Normal 2 2 9 2 3 3" xfId="31002" xr:uid="{A20E00D6-2724-4410-A2D4-41051E9B3E20}"/>
    <cellStyle name="Normal 2 2 9 2 3 4" xfId="31003" xr:uid="{128126A5-5E7B-4D08-A59D-6E85402D4B4B}"/>
    <cellStyle name="Normal 2 2 9 2 3 5" xfId="31004" xr:uid="{1A27B7FC-88AE-4ECC-82AD-771AF249E0E3}"/>
    <cellStyle name="Normal 2 2 9 2 3 6" xfId="31005" xr:uid="{ECE67441-2C3B-4492-AB47-644391E720A8}"/>
    <cellStyle name="Normal 2 2 9 2 4" xfId="8872" xr:uid="{A95FDF06-CC0A-422C-8D66-6F05F361D2A5}"/>
    <cellStyle name="Normal 2 2 9 2 4 2" xfId="21574" xr:uid="{8C5FFF32-FE58-4782-85AD-E00AC10D95ED}"/>
    <cellStyle name="Normal 2 2 9 2 4 3" xfId="17957" xr:uid="{E69F86B8-A4E4-41C5-ADC0-7DAC5A55B3CA}"/>
    <cellStyle name="Normal 2 2 9 2 5" xfId="31006" xr:uid="{123F4283-5290-46E2-9610-7B1E9BFDEC74}"/>
    <cellStyle name="Normal 2 2 9 2 6" xfId="31007" xr:uid="{286A0116-26A8-4D94-A0F1-DA215E787EF3}"/>
    <cellStyle name="Normal 2 2 9 2 7" xfId="31008" xr:uid="{BF5A61C6-1DF8-4000-9071-8531C63C5A78}"/>
    <cellStyle name="Normal 2 2 9 2 8" xfId="31009" xr:uid="{85F56246-D624-498E-8BEA-C1DA59035F38}"/>
    <cellStyle name="Normal 2 2 9 3" xfId="15966" xr:uid="{63515551-3AFA-4FA1-811B-7CF9C1D067CF}"/>
    <cellStyle name="Normal 2 2 9 3 2" xfId="17960" xr:uid="{CE3B7AEC-7AA2-4B46-A329-6E05DE387888}"/>
    <cellStyle name="Normal 2 2 9 3 2 2" xfId="21577" xr:uid="{E3D2A032-A2EA-4D4F-B4AC-057F6A419BE4}"/>
    <cellStyle name="Normal 2 2 9 3 3" xfId="31010" xr:uid="{BB9EC073-E1E3-48AC-9652-9C016FCFE163}"/>
    <cellStyle name="Normal 2 2 9 3 4" xfId="31011" xr:uid="{9D589022-863F-4D64-9AF1-A62C29357950}"/>
    <cellStyle name="Normal 2 2 9 3 5" xfId="31012" xr:uid="{45ACC144-FA87-4B24-BA92-0F655F3A1469}"/>
    <cellStyle name="Normal 2 2 9 3 6" xfId="31013" xr:uid="{1531A850-ED4F-4ED8-A5D3-78E99E7663D9}"/>
    <cellStyle name="Normal 2 2 9 4" xfId="15967" xr:uid="{65A7DB30-457C-4380-BCFA-FFC605A58FF6}"/>
    <cellStyle name="Normal 2 2 9 4 2" xfId="17961" xr:uid="{8F56A1FF-8C64-4AAA-A250-95979F1033CD}"/>
    <cellStyle name="Normal 2 2 9 4 2 2" xfId="21578" xr:uid="{E04A81D8-C2D8-4B5E-82B3-F70AA166159D}"/>
    <cellStyle name="Normal 2 2 9 4 3" xfId="31014" xr:uid="{84CADBCA-F7B6-4CE6-8091-584344C25C68}"/>
    <cellStyle name="Normal 2 2 9 4 4" xfId="31015" xr:uid="{3895B82B-385B-42D5-8551-C2EBC30C9543}"/>
    <cellStyle name="Normal 2 2 9 4 5" xfId="31016" xr:uid="{4685DCDF-52BC-45E3-9564-4D32530746F2}"/>
    <cellStyle name="Normal 2 2 9 4 6" xfId="31017" xr:uid="{21AD6147-3D25-40ED-BE38-0670C0A4E98D}"/>
    <cellStyle name="Normal 2 2 9 5" xfId="15968" xr:uid="{22EA5D4A-D18A-4ED3-9BC4-8BA0BAD3B1EA}"/>
    <cellStyle name="Normal 2 2 9 5 2" xfId="17962" xr:uid="{E8A11552-FC9D-48D4-A4FE-2458913C3771}"/>
    <cellStyle name="Normal 2 2 9 5 2 2" xfId="21579" xr:uid="{9F72B04F-7B5E-4F4C-95CA-9163E67FE3A6}"/>
    <cellStyle name="Normal 2 2 9 5 3" xfId="31018" xr:uid="{4D33E445-C137-4BD1-BD5A-D3B3C95C4255}"/>
    <cellStyle name="Normal 2 2 9 5 4" xfId="31019" xr:uid="{15AD877E-F3D1-4D17-A3F2-94625AA8C090}"/>
    <cellStyle name="Normal 2 2 9 5 5" xfId="31020" xr:uid="{E19ACA2A-5BEA-4401-99A3-3A26EC765071}"/>
    <cellStyle name="Normal 2 2 9 5 6" xfId="31021" xr:uid="{6CBB2E26-6E56-409F-89BC-F9BF068C27DC}"/>
    <cellStyle name="Normal 2 2 9 6" xfId="15969" xr:uid="{E9B7CE59-939B-4013-85D0-18E792E64D7A}"/>
    <cellStyle name="Normal 2 2 9 6 2" xfId="17963" xr:uid="{C774B913-9998-4710-B9E6-7EFE8A9A611C}"/>
    <cellStyle name="Normal 2 2 9 6 2 2" xfId="21580" xr:uid="{498438C0-1982-4367-8296-7AF208ED1608}"/>
    <cellStyle name="Normal 2 2 9 6 3" xfId="31022" xr:uid="{BC4ABF5F-0FB4-4E09-84D3-60ED8FDCDDAB}"/>
    <cellStyle name="Normal 2 2 9 6 4" xfId="31023" xr:uid="{B8CBFBC7-0E98-486A-8622-169EE8BCD66E}"/>
    <cellStyle name="Normal 2 2 9 6 5" xfId="31024" xr:uid="{6E1E1E9F-C01C-4975-924A-0B3339D25083}"/>
    <cellStyle name="Normal 2 2 9 6 6" xfId="31025" xr:uid="{A802292B-F336-4427-BB9E-DC2D0AAF3919}"/>
    <cellStyle name="Normal 2 2 9 7" xfId="15970" xr:uid="{BB9D85D0-06E6-4604-AD75-F6ECD1300640}"/>
    <cellStyle name="Normal 2 2 9 7 2" xfId="17964" xr:uid="{BCF33372-6E86-4EE4-9A7D-D1CCFE160058}"/>
    <cellStyle name="Normal 2 2 9 7 2 2" xfId="21581" xr:uid="{9DF7E864-2B55-4B0E-A083-DA63F1F49BA8}"/>
    <cellStyle name="Normal 2 2 9 7 3" xfId="31026" xr:uid="{53DE8F8E-8A4F-4626-994B-5244E1C77D0E}"/>
    <cellStyle name="Normal 2 2 9 7 4" xfId="31027" xr:uid="{8443295A-26F8-4E3C-B176-AF3D85AB09DA}"/>
    <cellStyle name="Normal 2 2 9 7 5" xfId="31028" xr:uid="{6E0B1944-1D9C-462F-894C-0FA3B3EDD0AE}"/>
    <cellStyle name="Normal 2 2 9 7 6" xfId="31029" xr:uid="{30001EB7-70A7-44DA-825B-F7565FBE465E}"/>
    <cellStyle name="Normal 2 2 9 8" xfId="15971" xr:uid="{D45D4ED5-FE43-4209-98D2-F6E8E21CF886}"/>
    <cellStyle name="Normal 2 2 9 8 2" xfId="17965" xr:uid="{105D5D29-F082-4562-97EF-4A7D1787A73A}"/>
    <cellStyle name="Normal 2 2 9 8 2 2" xfId="21582" xr:uid="{797E8E8D-C496-49C4-9E2C-EE5D54CCB1B2}"/>
    <cellStyle name="Normal 2 2 9 8 3" xfId="31030" xr:uid="{BF451679-5569-4365-B607-CC2A3FB3E147}"/>
    <cellStyle name="Normal 2 2 9 8 4" xfId="31031" xr:uid="{02443BFE-F14E-487B-8FC8-98F125136E11}"/>
    <cellStyle name="Normal 2 2 9 8 5" xfId="31032" xr:uid="{7BD1BF67-C4E1-4C8A-B5F1-8BAAC6D33424}"/>
    <cellStyle name="Normal 2 2 9 8 6" xfId="31033" xr:uid="{091A5966-80D2-4CD6-B478-73A8290F40C8}"/>
    <cellStyle name="Normal 2 2 9 9" xfId="15972" xr:uid="{8088127C-D619-40F8-A586-30498CF9751C}"/>
    <cellStyle name="Normal 2 2 9 9 2" xfId="17966" xr:uid="{8B472612-381B-4893-B084-33E3C2C1E2EC}"/>
    <cellStyle name="Normal 2 2 9 9 2 2" xfId="21583" xr:uid="{3F0C3933-20D1-49C8-93FA-79FD3D440111}"/>
    <cellStyle name="Normal 2 2 9 9 3" xfId="31034" xr:uid="{CE30C3F7-8198-49E2-8266-FCB06B72D22A}"/>
    <cellStyle name="Normal 2 2 9 9 4" xfId="31035" xr:uid="{576FAB0B-9CBF-4AD8-A36A-C77B26B8A566}"/>
    <cellStyle name="Normal 2 2 9 9 5" xfId="31036" xr:uid="{17742A8C-A4D9-405E-BA87-F910C65AB973}"/>
    <cellStyle name="Normal 2 2 9 9 6" xfId="31037" xr:uid="{7D5A9006-AAFA-4DA8-9EC3-B7A966FA552E}"/>
    <cellStyle name="Normal 2 2_ELC" xfId="2908" xr:uid="{59C8508A-9C29-4517-9955-DEAD84852F2B}"/>
    <cellStyle name="Normal 2 20" xfId="2909" xr:uid="{0BF51266-C186-4E3E-AF6D-C1C28BB9A312}"/>
    <cellStyle name="Normal 2 20 2" xfId="4987" xr:uid="{50A4AE77-4914-4938-B3E8-B32E5A6BBD54}"/>
    <cellStyle name="Normal 2 20 2 2" xfId="17968" xr:uid="{1BF16122-BF57-45B0-87C7-415E71B0F8BF}"/>
    <cellStyle name="Normal 2 20 2 2 2" xfId="21585" xr:uid="{7BAA5013-DF6B-4A16-9577-48B4C0BEACEF}"/>
    <cellStyle name="Normal 2 20 2 3" xfId="31038" xr:uid="{ACE7C46E-0F2F-4EA2-8417-F395F46F01CF}"/>
    <cellStyle name="Normal 2 20 2 4" xfId="31039" xr:uid="{F41BAE4A-E2F9-4961-A9CF-396EF502F994}"/>
    <cellStyle name="Normal 2 20 2 5" xfId="31040" xr:uid="{2D038EE7-8FE0-43D1-8A70-9C3E1328214D}"/>
    <cellStyle name="Normal 2 20 2 6" xfId="31041" xr:uid="{E5FB02D5-9368-4D0D-9CA5-1AACBEBA9057}"/>
    <cellStyle name="Normal 2 20 3" xfId="6835" xr:uid="{B5712607-7BE6-42B0-AD0A-CAF2A2E5457B}"/>
    <cellStyle name="Normal 2 20 3 2" xfId="21584" xr:uid="{11AE52B9-F0F4-46AB-AFD8-8E36CCCBAB58}"/>
    <cellStyle name="Normal 2 20 3 3" xfId="46308" xr:uid="{D15386DE-C290-4331-AFD3-509F6BECF2AD}"/>
    <cellStyle name="Normal 2 20 3 4" xfId="17967" xr:uid="{89FA6A6B-4D2E-4EF7-9A38-199381A92E4A}"/>
    <cellStyle name="Normal 2 20 4" xfId="8873" xr:uid="{77968850-AA50-481B-A551-3915849A23C2}"/>
    <cellStyle name="Normal 2 20 4 2" xfId="31042" xr:uid="{7B8A7A86-A81A-47AB-84C2-7B6372043B6F}"/>
    <cellStyle name="Normal 2 20 5" xfId="31043" xr:uid="{961B7389-3BF6-4AC2-9A4B-B332A33EAC93}"/>
    <cellStyle name="Normal 2 20 6" xfId="31044" xr:uid="{7A4A023F-F05F-4419-8A9E-632CDE3376D5}"/>
    <cellStyle name="Normal 2 20 7" xfId="31045" xr:uid="{31C928F4-B7CE-491C-8F88-B325872A24E3}"/>
    <cellStyle name="Normal 2 21" xfId="2910" xr:uid="{6B237BC6-73B1-4AA1-AE52-4273A9215FE0}"/>
    <cellStyle name="Normal 2 21 2" xfId="4988" xr:uid="{2F058E43-C012-4162-9B9B-BCB0F139ECD8}"/>
    <cellStyle name="Normal 2 21 2 2" xfId="17970" xr:uid="{4605A4A4-90D7-4B4D-A4F2-44EE79C0F441}"/>
    <cellStyle name="Normal 2 21 2 2 2" xfId="21587" xr:uid="{319BDDB0-BE8C-4424-ACFB-75558F88597D}"/>
    <cellStyle name="Normal 2 21 2 3" xfId="31046" xr:uid="{757853F5-AC43-42F3-8AD9-C915ECC9ED82}"/>
    <cellStyle name="Normal 2 21 2 4" xfId="31047" xr:uid="{09400E53-EC2C-42EE-9C3D-FCDD932E87A3}"/>
    <cellStyle name="Normal 2 21 2 5" xfId="31048" xr:uid="{842108A8-4348-416C-A366-50D2C08FAFA8}"/>
    <cellStyle name="Normal 2 21 2 6" xfId="31049" xr:uid="{B55AE458-46DF-4245-BFCF-31153D89AC4D}"/>
    <cellStyle name="Normal 2 21 3" xfId="6836" xr:uid="{C5596DAF-C7CC-42DE-8493-F3684547D07C}"/>
    <cellStyle name="Normal 2 21 3 2" xfId="21586" xr:uid="{23CB2F2C-8B0B-4DE9-B711-D5262D2095B5}"/>
    <cellStyle name="Normal 2 21 3 3" xfId="46309" xr:uid="{40A4F363-DB0A-4F9A-811A-68CFDE5FCB06}"/>
    <cellStyle name="Normal 2 21 3 4" xfId="17969" xr:uid="{2B2EE83C-2BB5-4D2D-9EBB-500770DB8D6B}"/>
    <cellStyle name="Normal 2 21 4" xfId="8874" xr:uid="{08337C1B-4F31-476B-8078-FAC107252530}"/>
    <cellStyle name="Normal 2 21 4 2" xfId="31050" xr:uid="{5C92F7C6-C049-48B0-98B7-4ED610E75AD9}"/>
    <cellStyle name="Normal 2 21 5" xfId="31051" xr:uid="{0E433A20-FE34-4234-BAE4-455BF97692A9}"/>
    <cellStyle name="Normal 2 21 6" xfId="31052" xr:uid="{BB261A2C-765C-441A-A338-C30AB5C5C1E1}"/>
    <cellStyle name="Normal 2 21 7" xfId="31053" xr:uid="{E863D7FC-FF6C-42B5-A384-637B5D3DD26A}"/>
    <cellStyle name="Normal 2 22" xfId="2911" xr:uid="{3EDF834E-E23F-4E54-9A94-5BFA0E2ECBA9}"/>
    <cellStyle name="Normal 2 22 2" xfId="4989" xr:uid="{993B7507-0FE0-407F-A241-D2D79C80B7F4}"/>
    <cellStyle name="Normal 2 22 2 2" xfId="17972" xr:uid="{85C8502F-3E8C-49A5-AFAB-62AAC0F15D97}"/>
    <cellStyle name="Normal 2 22 2 2 2" xfId="21589" xr:uid="{676DC1B0-45B0-4F9D-A910-DF459663B85E}"/>
    <cellStyle name="Normal 2 22 2 3" xfId="31054" xr:uid="{7A94A0BB-D20B-4024-B684-A70D88D53477}"/>
    <cellStyle name="Normal 2 22 2 4" xfId="31055" xr:uid="{F5EB5FC4-9966-4E4D-A1A0-A57CAF4711A6}"/>
    <cellStyle name="Normal 2 22 2 5" xfId="31056" xr:uid="{CEAF24F6-F9DC-401D-ADD3-FD120D388A1A}"/>
    <cellStyle name="Normal 2 22 2 6" xfId="31057" xr:uid="{3FFBE8CB-9945-418E-8663-483A425EE14E}"/>
    <cellStyle name="Normal 2 22 3" xfId="6837" xr:uid="{63341D6C-878B-4321-B19A-61EE3FCD1139}"/>
    <cellStyle name="Normal 2 22 3 2" xfId="21588" xr:uid="{3571CF0C-DB1A-4001-8E9E-1183FDDDEFE2}"/>
    <cellStyle name="Normal 2 22 3 3" xfId="46310" xr:uid="{A44EAF2B-7B38-498E-B86F-AB5B6F2EDC0F}"/>
    <cellStyle name="Normal 2 22 3 4" xfId="17971" xr:uid="{C547CC04-1499-4D39-BFD5-E1761B18FD4A}"/>
    <cellStyle name="Normal 2 22 4" xfId="8875" xr:uid="{3B6C8260-2BB6-4EC5-8477-B2446B5CE0F6}"/>
    <cellStyle name="Normal 2 22 4 2" xfId="31058" xr:uid="{09B4DD86-B890-4A71-924D-E14ECDF04CF1}"/>
    <cellStyle name="Normal 2 22 5" xfId="31059" xr:uid="{7F1E70DB-23BD-412C-A3BA-2C942EBD24D3}"/>
    <cellStyle name="Normal 2 22 6" xfId="31060" xr:uid="{5E959C1A-39A4-4015-8F8C-D0776B9FCC55}"/>
    <cellStyle name="Normal 2 22 7" xfId="31061" xr:uid="{1767D4A4-CD67-4E1B-9708-6A9F5E026E35}"/>
    <cellStyle name="Normal 2 23" xfId="2912" xr:uid="{440C7ECB-8E56-4BE0-A25C-4A5FB51F999B}"/>
    <cellStyle name="Normal 2 23 2" xfId="4990" xr:uid="{287D09E5-622B-4D12-B632-C315319AB606}"/>
    <cellStyle name="Normal 2 23 2 2" xfId="17974" xr:uid="{89F78696-2267-40EC-9B37-D439EB088EF1}"/>
    <cellStyle name="Normal 2 23 2 2 2" xfId="21591" xr:uid="{7F3E3846-9315-4493-946C-E2B8B32BA6E5}"/>
    <cellStyle name="Normal 2 23 2 3" xfId="31062" xr:uid="{4441CD5C-C920-4B41-BF9F-C4EF6B87C7CA}"/>
    <cellStyle name="Normal 2 23 2 4" xfId="31063" xr:uid="{2F9CCD2A-8573-4820-B97C-047E230B95D9}"/>
    <cellStyle name="Normal 2 23 2 5" xfId="31064" xr:uid="{69CFE1EF-7B82-4800-B173-2FE541E249D8}"/>
    <cellStyle name="Normal 2 23 2 6" xfId="31065" xr:uid="{26568429-FC81-4496-9823-BC5CCF182E83}"/>
    <cellStyle name="Normal 2 23 3" xfId="6838" xr:uid="{59F9AFD0-3A99-4A18-A16C-5C3C9F77B0FE}"/>
    <cellStyle name="Normal 2 23 3 2" xfId="21590" xr:uid="{797DEBB4-B8E1-44AD-8E66-3B076E1470CB}"/>
    <cellStyle name="Normal 2 23 3 3" xfId="46311" xr:uid="{66FAAFF5-B45B-4242-B7A6-6A1E6B04F882}"/>
    <cellStyle name="Normal 2 23 3 4" xfId="17973" xr:uid="{AF4AE204-DA58-4364-846B-F0C2FE12535B}"/>
    <cellStyle name="Normal 2 23 4" xfId="8876" xr:uid="{3C1B90CE-03F6-4DB0-A992-A57EC8701503}"/>
    <cellStyle name="Normal 2 23 4 2" xfId="31066" xr:uid="{BA4B9186-331B-488B-8B38-ADEADD14D709}"/>
    <cellStyle name="Normal 2 23 5" xfId="31067" xr:uid="{09B7F408-7DFC-492D-AB32-2B04D540C1B1}"/>
    <cellStyle name="Normal 2 23 6" xfId="31068" xr:uid="{091D55C7-1984-427F-9921-BD65A5887427}"/>
    <cellStyle name="Normal 2 23 7" xfId="31069" xr:uid="{1F2DABB6-C906-474F-BFB3-21F3EA5E8542}"/>
    <cellStyle name="Normal 2 24" xfId="2913" xr:uid="{3C1750E5-0D54-4246-BDAA-0481C5C6AC35}"/>
    <cellStyle name="Normal 2 24 10" xfId="31070" xr:uid="{3144C39F-645D-42F6-A267-6AA928383077}"/>
    <cellStyle name="Normal 2 24 2" xfId="15360" xr:uid="{5A677F28-7ABC-47BB-A2C6-DBE7E875D39A}"/>
    <cellStyle name="Normal 2 24 2 2" xfId="17976" xr:uid="{B64EF513-6939-4208-A196-FD4641BDCC88}"/>
    <cellStyle name="Normal 2 24 2 2 2" xfId="21593" xr:uid="{D6DA1892-F96F-49F3-AA09-CAE4F96F86E1}"/>
    <cellStyle name="Normal 2 24 2 3" xfId="31071" xr:uid="{318DDD2C-CC60-45F3-90D6-89EA815A9DB8}"/>
    <cellStyle name="Normal 2 24 2 4" xfId="31072" xr:uid="{EE82F5FD-AFB4-4535-BD1E-AACC073A2238}"/>
    <cellStyle name="Normal 2 24 2 5" xfId="31073" xr:uid="{F6EC1E27-6016-4C4D-81D4-5C373D10081E}"/>
    <cellStyle name="Normal 2 24 2 6" xfId="31074" xr:uid="{0FBB4649-44FA-4B21-B8C1-7E3BB87DDFDD}"/>
    <cellStyle name="Normal 2 24 3" xfId="15973" xr:uid="{74DC146A-7846-4B65-AD32-C3E1265D6AE6}"/>
    <cellStyle name="Normal 2 24 3 2" xfId="17977" xr:uid="{97F4CBD6-C3D4-4B9A-8212-55F16A90B137}"/>
    <cellStyle name="Normal 2 24 3 2 2" xfId="21594" xr:uid="{CE3A4BFB-7C6F-4D2D-A02F-35925FB44701}"/>
    <cellStyle name="Normal 2 24 3 3" xfId="31075" xr:uid="{4CD307F5-2774-42DE-A988-E937F1DDE832}"/>
    <cellStyle name="Normal 2 24 3 4" xfId="31076" xr:uid="{906E0105-FC0E-4925-B541-E1A6A2450D79}"/>
    <cellStyle name="Normal 2 24 3 5" xfId="31077" xr:uid="{5A529A4F-8E0A-4573-8A07-91E6A12E3F1C}"/>
    <cellStyle name="Normal 2 24 3 6" xfId="31078" xr:uid="{A9398724-23E6-47EE-8F77-ECA09C3DEC5D}"/>
    <cellStyle name="Normal 2 24 4" xfId="16710" xr:uid="{AE6B78B7-96B2-4364-8A70-96AF1DE8C12F}"/>
    <cellStyle name="Normal 2 24 4 2" xfId="17978" xr:uid="{08D26079-B0F1-41C7-8054-3F52A89961F9}"/>
    <cellStyle name="Normal 2 24 4 2 2" xfId="21595" xr:uid="{AFA57489-2FE6-4DF8-A695-7AB6470E889C}"/>
    <cellStyle name="Normal 2 24 4 3" xfId="31079" xr:uid="{890567BF-9A33-441E-9C0A-DBE16040022C}"/>
    <cellStyle name="Normal 2 24 4 4" xfId="31080" xr:uid="{C025BFC1-3A49-426E-A9D8-B1ED13A2DC3D}"/>
    <cellStyle name="Normal 2 24 4 5" xfId="31081" xr:uid="{357047F7-672A-4EF1-8637-0E20E7295239}"/>
    <cellStyle name="Normal 2 24 4 6" xfId="31082" xr:uid="{54A82EAF-6474-49C5-AB8B-F27C607763FC}"/>
    <cellStyle name="Normal 2 24 5" xfId="16509" xr:uid="{93487122-6233-4CE5-861D-88A562EFBDAA}"/>
    <cellStyle name="Normal 2 24 5 2" xfId="17979" xr:uid="{13347BC4-3EAA-4435-ADFC-A456646468DE}"/>
    <cellStyle name="Normal 2 24 5 2 2" xfId="21596" xr:uid="{12A05CCD-AEFC-4FDC-943E-B83238E8A8B1}"/>
    <cellStyle name="Normal 2 24 5 3" xfId="20674" xr:uid="{8E726144-EC94-475F-9E1D-5485CFB3BC23}"/>
    <cellStyle name="Normal 2 24 6" xfId="17975" xr:uid="{272927E7-B71C-4067-B794-2FCD9B858139}"/>
    <cellStyle name="Normal 2 24 6 2" xfId="21592" xr:uid="{671573D5-4D9C-442F-8C78-37051D91F686}"/>
    <cellStyle name="Normal 2 24 7" xfId="31083" xr:uid="{7F5EB492-20E1-4F36-906C-5A0339248AD5}"/>
    <cellStyle name="Normal 2 24 8" xfId="31084" xr:uid="{522318FD-E6EE-4436-81D6-ABAF489DCCF5}"/>
    <cellStyle name="Normal 2 24 9" xfId="31085" xr:uid="{7389F1D0-FB38-46C6-A83B-0DE9956EB5DF}"/>
    <cellStyle name="Normal 2 25" xfId="2914" xr:uid="{72D2FC7A-C4F8-4AA4-8C3A-7FE3E88BB0CD}"/>
    <cellStyle name="Normal 2 25 10" xfId="31086" xr:uid="{F153C4CF-FC3A-4770-BBB4-79E07D6728E4}"/>
    <cellStyle name="Normal 2 25 2" xfId="15361" xr:uid="{ABDA82B3-A636-4454-B847-4DF23C78EE1E}"/>
    <cellStyle name="Normal 2 25 2 2" xfId="17981" xr:uid="{F4465F04-59BD-417E-9681-717E6F901F09}"/>
    <cellStyle name="Normal 2 25 2 2 2" xfId="21598" xr:uid="{797B786C-074B-4AE7-B86F-D37AE4D8FD37}"/>
    <cellStyle name="Normal 2 25 2 3" xfId="31087" xr:uid="{1CE8A6CF-C88F-4376-852C-0447100B7FDB}"/>
    <cellStyle name="Normal 2 25 2 4" xfId="31088" xr:uid="{3DAEA908-444C-4D42-919D-E2C05F31D545}"/>
    <cellStyle name="Normal 2 25 2 5" xfId="31089" xr:uid="{261F289F-193E-406F-8EB1-5C83730A4E19}"/>
    <cellStyle name="Normal 2 25 2 6" xfId="31090" xr:uid="{3F282DB4-1F7A-460E-B6AB-CA93E0A4CBE7}"/>
    <cellStyle name="Normal 2 25 3" xfId="15974" xr:uid="{C2900ECF-28FA-472B-9981-101F3A273152}"/>
    <cellStyle name="Normal 2 25 3 2" xfId="17982" xr:uid="{510ED961-D789-440E-B347-88FA8E335C3E}"/>
    <cellStyle name="Normal 2 25 3 2 2" xfId="21599" xr:uid="{83D8BDD7-39C8-4BD5-86DE-529442068128}"/>
    <cellStyle name="Normal 2 25 3 3" xfId="31091" xr:uid="{B7F58951-0B09-463A-847F-BBCCA3346F93}"/>
    <cellStyle name="Normal 2 25 3 4" xfId="31092" xr:uid="{4F6D0BCC-956A-4439-AA53-2ED325BE87D0}"/>
    <cellStyle name="Normal 2 25 3 5" xfId="31093" xr:uid="{BAB03397-F9D2-4F4B-BF78-19D7B7058424}"/>
    <cellStyle name="Normal 2 25 3 6" xfId="31094" xr:uid="{C3EBC3EA-6DD9-4FAC-A2E4-3BF41CE6008E}"/>
    <cellStyle name="Normal 2 25 4" xfId="16711" xr:uid="{7CA216BF-3CB5-483B-97DA-16EC7867AAA9}"/>
    <cellStyle name="Normal 2 25 4 2" xfId="17983" xr:uid="{95B0D5E9-8A9B-4E4F-8F84-934F24E51571}"/>
    <cellStyle name="Normal 2 25 4 2 2" xfId="21600" xr:uid="{6031DAD1-B85D-4E2A-90FC-AEDA17E056C7}"/>
    <cellStyle name="Normal 2 25 4 3" xfId="31095" xr:uid="{7EC6670C-F604-42A4-95B6-3654E8BFD46B}"/>
    <cellStyle name="Normal 2 25 4 4" xfId="31096" xr:uid="{A9B5FAB0-A5EE-473F-87B0-B457330C211F}"/>
    <cellStyle name="Normal 2 25 4 5" xfId="31097" xr:uid="{5328D992-F0EB-46BC-8DC2-DAFF03AB5395}"/>
    <cellStyle name="Normal 2 25 4 6" xfId="31098" xr:uid="{68D402CC-A911-4639-9A91-42F7964B25DD}"/>
    <cellStyle name="Normal 2 25 5" xfId="16510" xr:uid="{D51FA51B-48A3-4584-A738-78A48E8E7E62}"/>
    <cellStyle name="Normal 2 25 5 2" xfId="17984" xr:uid="{FADB4B28-E5CD-4916-BBBA-8EB95A0BB913}"/>
    <cellStyle name="Normal 2 25 5 2 2" xfId="21601" xr:uid="{C5B1F94B-7A87-40BA-9FA7-94D7FE50CFA1}"/>
    <cellStyle name="Normal 2 25 5 3" xfId="20675" xr:uid="{B17FE38B-3639-4353-8CD8-DC0A0E84FF29}"/>
    <cellStyle name="Normal 2 25 6" xfId="17980" xr:uid="{D26AE9DE-C984-498F-B1D3-DFC0B90E1720}"/>
    <cellStyle name="Normal 2 25 6 2" xfId="21597" xr:uid="{8DCC271B-1CA9-472D-A6AD-1D414FC66627}"/>
    <cellStyle name="Normal 2 25 7" xfId="31099" xr:uid="{B85E7B90-EC33-4931-B205-F892EE6A6962}"/>
    <cellStyle name="Normal 2 25 8" xfId="31100" xr:uid="{CFB8CFD4-4D2A-4465-B72D-BD34F4E2B646}"/>
    <cellStyle name="Normal 2 25 9" xfId="31101" xr:uid="{2E9BC682-D63B-49CD-871F-EC439AC69394}"/>
    <cellStyle name="Normal 2 26" xfId="2915" xr:uid="{D65A0CF5-8F60-483A-8B05-7A0D9B331F2B}"/>
    <cellStyle name="Normal 2 26 2" xfId="15975" xr:uid="{EC1C71D4-B449-43D9-92A9-956D10212C86}"/>
    <cellStyle name="Normal 2 26 2 2" xfId="16842" xr:uid="{0962016B-F942-41A6-9474-531F433057D5}"/>
    <cellStyle name="Normal 2 26 2 2 2" xfId="17987" xr:uid="{5DE76C2B-A515-4D92-9A3B-FA763B6376DE}"/>
    <cellStyle name="Normal 2 26 2 2 2 2" xfId="21604" xr:uid="{22F36D53-D5DE-4998-A4DF-3F1B7C13DC17}"/>
    <cellStyle name="Normal 2 26 2 2 3" xfId="31102" xr:uid="{D3C5ECFD-C061-4E51-9A22-EE94E29457E9}"/>
    <cellStyle name="Normal 2 26 2 2 4" xfId="31103" xr:uid="{DC727831-B770-44F8-A3DB-B9613920B9AA}"/>
    <cellStyle name="Normal 2 26 2 2 5" xfId="31104" xr:uid="{DB1000D4-5539-49DE-B207-2A893BE7C913}"/>
    <cellStyle name="Normal 2 26 2 2 6" xfId="31105" xr:uid="{A2A8AC59-3C70-48A9-BBB2-65D73A6D2C01}"/>
    <cellStyle name="Normal 2 26 2 3" xfId="16511" xr:uid="{9F13BE8E-3AFA-4D0D-9F37-80AE4A49024B}"/>
    <cellStyle name="Normal 2 26 2 3 2" xfId="17988" xr:uid="{87EF7F89-2F91-444F-BD16-5FFF2668633F}"/>
    <cellStyle name="Normal 2 26 2 3 2 2" xfId="21605" xr:uid="{1923BCED-B22D-4EB4-89EA-3F39EB9AB6D5}"/>
    <cellStyle name="Normal 2 26 2 3 3" xfId="31106" xr:uid="{612F1B50-CB0C-49BB-B4EF-966C90095C95}"/>
    <cellStyle name="Normal 2 26 2 3 4" xfId="31107" xr:uid="{7FB0B4F8-030B-4F5F-BB23-DF5AA300DE1A}"/>
    <cellStyle name="Normal 2 26 2 3 5" xfId="31108" xr:uid="{41960CFD-1E8A-4598-AC1A-B0C7FBC1B6B0}"/>
    <cellStyle name="Normal 2 26 2 3 6" xfId="31109" xr:uid="{FF6D1D5B-C3BC-4E15-A95E-BDC18CB005FD}"/>
    <cellStyle name="Normal 2 26 2 4" xfId="17986" xr:uid="{B484F7E5-25DD-43B3-9D64-7D34842EC19B}"/>
    <cellStyle name="Normal 2 26 2 4 2" xfId="21603" xr:uid="{2226D6F2-44F8-46D3-B25B-FDAE19145640}"/>
    <cellStyle name="Normal 2 26 2 5" xfId="31110" xr:uid="{1F8D62C4-30D5-433A-8068-64B0BD76B784}"/>
    <cellStyle name="Normal 2 26 2 6" xfId="31111" xr:uid="{95718A39-F87C-4C59-B19B-210C03617287}"/>
    <cellStyle name="Normal 2 26 2 7" xfId="31112" xr:uid="{1CAE156A-99F5-4B62-97A2-09A5C97D9433}"/>
    <cellStyle name="Normal 2 26 2 8" xfId="31113" xr:uid="{B2A8D464-94CB-4B93-90B3-AA3899252158}"/>
    <cellStyle name="Normal 2 26 3" xfId="17985" xr:uid="{68E65CDA-7DB2-42F7-91BA-9DC157ED5D25}"/>
    <cellStyle name="Normal 2 26 3 2" xfId="21602" xr:uid="{59EDC6AF-A8BC-4D2D-9A3B-E1A3764EAE3E}"/>
    <cellStyle name="Normal 2 26 4" xfId="31114" xr:uid="{BCFADA37-281D-4690-B7D5-1510402E730B}"/>
    <cellStyle name="Normal 2 26 5" xfId="31115" xr:uid="{8FB7FB39-84D7-4AFB-B3D8-DF706E59DA5F}"/>
    <cellStyle name="Normal 2 26 6" xfId="31116" xr:uid="{440A8844-F90F-4527-AC74-04265E3B4F02}"/>
    <cellStyle name="Normal 2 26 7" xfId="31117" xr:uid="{389F44EA-BCC4-4EE0-A1CB-2D3E5C6FA778}"/>
    <cellStyle name="Normal 2 27" xfId="4965" xr:uid="{D08C52E5-6296-4093-8F49-F7A6910929BD}"/>
    <cellStyle name="Normal 2 27 2" xfId="10827" xr:uid="{5A31A357-E3D9-433E-B30F-2D20FCF716E3}"/>
    <cellStyle name="Normal 2 27 2 2" xfId="16843" xr:uid="{413C38A4-87E6-418F-9D2A-1368E71959B9}"/>
    <cellStyle name="Normal 2 27 2 2 2" xfId="17991" xr:uid="{2B38D9B2-F775-4BA2-BE9D-24C593DAF131}"/>
    <cellStyle name="Normal 2 27 2 2 2 2" xfId="21608" xr:uid="{DE22224C-7749-4FF6-B27A-E8F69E4F5903}"/>
    <cellStyle name="Normal 2 27 2 2 3" xfId="20844" xr:uid="{D65AB26B-7C9B-43EB-8198-90FC2D0923CD}"/>
    <cellStyle name="Normal 2 27 2 3" xfId="17990" xr:uid="{8D450EF4-3088-4E4E-AA17-D5DD2BE7D8B6}"/>
    <cellStyle name="Normal 2 27 2 3 2" xfId="21607" xr:uid="{F54D6D5D-D2E9-43B3-BB04-EA552ECD1C73}"/>
    <cellStyle name="Normal 2 27 2 4" xfId="20560" xr:uid="{1B3B8F74-97D4-48FD-9536-6D6EFCC866ED}"/>
    <cellStyle name="Normal 2 27 2 5" xfId="46297" xr:uid="{96BD0B3B-02FE-412F-85C2-FD4955CC4F30}"/>
    <cellStyle name="Normal 2 27 2 6" xfId="15976" xr:uid="{6DA2F39E-6B5F-4F76-B108-FDA209D92F7C}"/>
    <cellStyle name="Normal 2 27 3" xfId="10512" xr:uid="{124CF330-43B1-40C1-B4E5-24C96DBFA98E}"/>
    <cellStyle name="Normal 2 27 3 2" xfId="17992" xr:uid="{12300965-7DBC-4939-9CD0-74D2036E2A37}"/>
    <cellStyle name="Normal 2 27 3 2 2" xfId="21609" xr:uid="{CB085EB8-E054-4524-9147-5352FB3EB64E}"/>
    <cellStyle name="Normal 2 27 3 3" xfId="31118" xr:uid="{917CECA9-4E0D-471B-8B28-7CD898B6402D}"/>
    <cellStyle name="Normal 2 27 3 4" xfId="31119" xr:uid="{7ED0CBF9-1C72-4F1F-97F8-E8DD3C5FF536}"/>
    <cellStyle name="Normal 2 27 3 5" xfId="31120" xr:uid="{124222B6-C9B1-452C-9663-794F0AF40618}"/>
    <cellStyle name="Normal 2 27 3 6" xfId="31121" xr:uid="{A751FF2F-7147-4E16-8FD3-FAA2E5AA2694}"/>
    <cellStyle name="Normal 2 27 4" xfId="17989" xr:uid="{A85AE2DF-8A84-4645-A719-32F172E4A6B6}"/>
    <cellStyle name="Normal 2 27 4 2" xfId="21606" xr:uid="{5480D4A5-2067-4E83-97BB-BCBFB4C2BB1A}"/>
    <cellStyle name="Normal 2 27 5" xfId="31122" xr:uid="{E48C90B6-FF97-4003-93EA-5F986E262B97}"/>
    <cellStyle name="Normal 2 27 6" xfId="31123" xr:uid="{F34A00B3-ABC7-425D-B957-796F15DDD8AC}"/>
    <cellStyle name="Normal 2 27 7" xfId="31124" xr:uid="{AABF3D8D-DB68-4E0E-B91E-04863906FA59}"/>
    <cellStyle name="Normal 2 27 8" xfId="31125" xr:uid="{D6B24804-B71F-4DC4-B193-D5994B52043C}"/>
    <cellStyle name="Normal 2 28" xfId="4122" xr:uid="{7107F978-1C49-4324-A540-935BA086882E}"/>
    <cellStyle name="Normal 2 28 2" xfId="5647" xr:uid="{B3C021B3-34E7-4BB5-84CB-A18084CC0A1C}"/>
    <cellStyle name="Normal 2 28 2 2" xfId="10241" xr:uid="{E0F32281-68E0-4E87-94CD-0011DA23AE81}"/>
    <cellStyle name="Normal 2 28 2 2 2" xfId="13547" xr:uid="{33030EF6-D56F-4AA0-9AF6-42A0BD3BB2C5}"/>
    <cellStyle name="Normal 2 28 2 2 2 2" xfId="21611" xr:uid="{D9E2F086-6620-4D61-8487-E76868277F29}"/>
    <cellStyle name="Normal 2 28 2 2 3" xfId="17994" xr:uid="{7944BD8D-ED52-4D77-BEA4-7403AC2E0987}"/>
    <cellStyle name="Normal 2 28 2 3" xfId="7749" xr:uid="{0DF93289-6837-4001-9766-B2D06DCD2370}"/>
    <cellStyle name="Normal 2 28 2 3 2" xfId="20845" xr:uid="{0C4FAAC6-A710-419E-AD2D-7E726347246F}"/>
    <cellStyle name="Normal 2 28 2 4" xfId="12262" xr:uid="{231864BA-BC38-49CC-8A19-A2BFA7845454}"/>
    <cellStyle name="Normal 2 28 2 4 2" xfId="16844" xr:uid="{9B03E449-453E-4434-A8A9-DEC8E947074B}"/>
    <cellStyle name="Normal 2 28 2 5" xfId="14676" xr:uid="{C5630DCD-8226-4053-BDA9-2A1EAF282D18}"/>
    <cellStyle name="Normal 2 28 3" xfId="9747" xr:uid="{74C631AB-E5F7-48ED-9A14-A9612498A388}"/>
    <cellStyle name="Normal 2 28 3 2" xfId="13053" xr:uid="{D31CC724-9B89-48D9-8BBD-9F9C8D6D9701}"/>
    <cellStyle name="Normal 2 28 3 2 2" xfId="21610" xr:uid="{4A50E901-F509-4EFB-94A3-033BCD660182}"/>
    <cellStyle name="Normal 2 28 3 3" xfId="17993" xr:uid="{2C3ACB4F-1865-4AC1-9404-5DDCBFA04345}"/>
    <cellStyle name="Normal 2 28 3 4" xfId="14991" xr:uid="{10DC169E-3B13-456B-AB36-6ED44C22EC92}"/>
    <cellStyle name="Normal 2 28 4" xfId="7243" xr:uid="{3D179F39-29E4-486B-93B9-26471D7DCB6D}"/>
    <cellStyle name="Normal 2 28 4 2" xfId="20561" xr:uid="{DEA210A6-BAD3-4824-B913-1053828DE880}"/>
    <cellStyle name="Normal 2 28 5" xfId="11768" xr:uid="{ACB92F14-238B-465B-80FD-FA387484B49C}"/>
    <cellStyle name="Normal 2 28 5 2" xfId="15977" xr:uid="{A1956ACA-FCDF-4BEC-8AE8-63D0E8AF811F}"/>
    <cellStyle name="Normal 2 28 6" xfId="14184" xr:uid="{286AAF0C-C8E4-4716-B984-73E6D123FBFE}"/>
    <cellStyle name="Normal 2 29" xfId="6188" xr:uid="{D5996A0E-1F46-4ABF-8C21-7EF25F8273C0}"/>
    <cellStyle name="Normal 2 29 2" xfId="7435" xr:uid="{1E6313D7-5D60-4438-BC22-14DA321C0F8D}"/>
    <cellStyle name="Normal 2 29 2 2" xfId="11211" xr:uid="{9D0F1A0C-B3EE-4C27-9437-6E934A66893E}"/>
    <cellStyle name="Normal 2 29 2 2 2" xfId="21613" xr:uid="{8F466B2F-EFE4-4603-AD86-4EB0D153C786}"/>
    <cellStyle name="Normal 2 29 2 2 3" xfId="17996" xr:uid="{FD3E5059-15AE-4318-913B-C5DBA9D2576B}"/>
    <cellStyle name="Normal 2 29 2 3" xfId="9927" xr:uid="{78D6A06D-D139-4398-AFF1-565F055C5BC8}"/>
    <cellStyle name="Normal 2 29 2 3 2" xfId="13233" xr:uid="{36A44E3F-0D58-4D7F-A6A8-6DFFA1374922}"/>
    <cellStyle name="Normal 2 29 2 3 3" xfId="20846" xr:uid="{CBB91221-C453-41FD-A089-77D455CE054F}"/>
    <cellStyle name="Normal 2 29 2 4" xfId="11948" xr:uid="{75EA965A-CF70-4DC4-918C-59008019A804}"/>
    <cellStyle name="Normal 2 29 2 4 2" xfId="47089" xr:uid="{3EB1874A-1ABF-4043-BB65-BECA2CE64BAB}"/>
    <cellStyle name="Normal 2 29 2 5" xfId="16845" xr:uid="{7CBD199F-03F7-4CCF-A069-25A9B3D55C19}"/>
    <cellStyle name="Normal 2 29 3" xfId="9430" xr:uid="{B24EE3CF-0ADA-4E6E-8E87-B742E6D94D29}"/>
    <cellStyle name="Normal 2 29 3 2" xfId="12736" xr:uid="{B02DAB7D-4FA4-4569-8DBA-3172C24608AB}"/>
    <cellStyle name="Normal 2 29 3 2 2" xfId="21612" xr:uid="{447F9276-5154-4125-8B21-1D492C3807B9}"/>
    <cellStyle name="Normal 2 29 3 3" xfId="17995" xr:uid="{20F0D241-283F-4290-8C27-29F78028DC49}"/>
    <cellStyle name="Normal 2 29 4" xfId="11451" xr:uid="{228CB19D-CB70-4A86-97BE-81FEAB99A591}"/>
    <cellStyle name="Normal 2 29 4 2" xfId="20562" xr:uid="{4D5A190F-933E-45F5-B3C5-1A5B67350AAA}"/>
    <cellStyle name="Normal 2 29 5" xfId="15978" xr:uid="{4D92582E-3AB2-4C6E-AD31-A836708156B7}"/>
    <cellStyle name="Normal 2 29 6" xfId="14362" xr:uid="{6718D8E3-A732-4261-8012-B20CBCEEFFF4}"/>
    <cellStyle name="Normal 2 3" xfId="2916" xr:uid="{80577AA8-DFF2-4EE3-9152-A983BC54650C}"/>
    <cellStyle name="Normal 2 3 10" xfId="7401" xr:uid="{6055B5A5-C07A-4334-8453-376D1175C710}"/>
    <cellStyle name="Normal 2 3 10 2" xfId="9896" xr:uid="{718117B4-8509-4C2C-8E31-76DE00BB779E}"/>
    <cellStyle name="Normal 2 3 10 2 2" xfId="13202" xr:uid="{15DF3CAC-657A-4B88-8404-4298397FF91E}"/>
    <cellStyle name="Normal 2 3 10 3" xfId="11917" xr:uid="{F364A4B9-89D9-4EC6-9B4C-ACF54BCC67F1}"/>
    <cellStyle name="Normal 2 3 11" xfId="7438" xr:uid="{5241B342-1215-4D49-A52F-F3738D3F272E}"/>
    <cellStyle name="Normal 2 3 11 2" xfId="9930" xr:uid="{37523D9B-BBA8-4014-8130-7989B1BEE52E}"/>
    <cellStyle name="Normal 2 3 11 2 2" xfId="13236" xr:uid="{74FE53C5-C1D2-419D-BB2C-9EDF7ECB302E}"/>
    <cellStyle name="Normal 2 3 11 3" xfId="11951" xr:uid="{7A8616FB-4CA4-446E-9FA3-2F2662C72803}"/>
    <cellStyle name="Normal 2 3 12" xfId="13872" xr:uid="{9CB15E2A-6EB9-46B9-A85F-DB5EB6D265EB}"/>
    <cellStyle name="Normal 2 3 2" xfId="2917" xr:uid="{8AF5CB5D-4EFE-4C09-BE3D-28FFF7A2CA95}"/>
    <cellStyle name="Normal 2 3 2 10" xfId="31126" xr:uid="{2F118523-729F-405C-9C94-8AA2F1A847D9}"/>
    <cellStyle name="Normal 2 3 2 11" xfId="31127" xr:uid="{9395B268-BE2C-43F6-977B-9FEFEEFCD3A6}"/>
    <cellStyle name="Normal 2 3 2 2" xfId="2918" xr:uid="{8C5D6A88-CCE8-486C-888F-C3CF0A3B432B}"/>
    <cellStyle name="Normal 2 3 2 2 10" xfId="31128" xr:uid="{9052526C-E5A7-4781-A5EB-188E0B4827CF}"/>
    <cellStyle name="Normal 2 3 2 2 2" xfId="15362" xr:uid="{834EC071-4096-49FF-8920-45C638BF85AA}"/>
    <cellStyle name="Normal 2 3 2 2 2 2" xfId="16789" xr:uid="{E26FE1A7-E624-4B31-8582-03C541B95C94}"/>
    <cellStyle name="Normal 2 3 2 2 2 2 2" xfId="18001" xr:uid="{C9E17D3F-2060-4673-8FAF-69DA4CF2EFD3}"/>
    <cellStyle name="Normal 2 3 2 2 2 2 2 2" xfId="21618" xr:uid="{15EE28F4-2C16-48DC-850A-B63417E520B2}"/>
    <cellStyle name="Normal 2 3 2 2 2 2 3" xfId="31129" xr:uid="{42C52B0A-3754-4D0A-9692-F8A54E0215EB}"/>
    <cellStyle name="Normal 2 3 2 2 2 2 4" xfId="31130" xr:uid="{F3019262-7EFF-42BC-BAE7-17C253072836}"/>
    <cellStyle name="Normal 2 3 2 2 2 2 5" xfId="31131" xr:uid="{11E86048-7743-4D4C-918E-0A4C06BB9EF0}"/>
    <cellStyle name="Normal 2 3 2 2 2 2 6" xfId="31132" xr:uid="{61073720-EF22-4503-9C26-8305F488F54D}"/>
    <cellStyle name="Normal 2 3 2 2 2 3" xfId="16514" xr:uid="{D4F83E94-F81F-4E88-97D1-8E6AB428339C}"/>
    <cellStyle name="Normal 2 3 2 2 2 3 2" xfId="18002" xr:uid="{E0050D79-1B5A-4BE1-9E54-577D21D2B757}"/>
    <cellStyle name="Normal 2 3 2 2 2 3 2 2" xfId="21619" xr:uid="{3DDE2D19-8F14-40FA-9E31-B529D1D00B73}"/>
    <cellStyle name="Normal 2 3 2 2 2 3 3" xfId="20677" xr:uid="{EB5057D9-2E15-44EB-A2EA-644E5899F59E}"/>
    <cellStyle name="Normal 2 3 2 2 2 4" xfId="18000" xr:uid="{E344D236-1209-49D9-BAC9-A4AF208B6007}"/>
    <cellStyle name="Normal 2 3 2 2 2 4 2" xfId="21617" xr:uid="{A76CB2BB-BBA3-4882-927F-996425F03F09}"/>
    <cellStyle name="Normal 2 3 2 2 2 5" xfId="31133" xr:uid="{D945868B-0868-40DF-939F-8D11EA7891AC}"/>
    <cellStyle name="Normal 2 3 2 2 2 6" xfId="31134" xr:uid="{41D90E1D-2D9F-4311-8D7D-61C9011F896C}"/>
    <cellStyle name="Normal 2 3 2 2 2 7" xfId="31135" xr:uid="{B6565C20-B380-4381-B0E4-96F3790C63D9}"/>
    <cellStyle name="Normal 2 3 2 2 2 8" xfId="31136" xr:uid="{87563519-D81F-4831-8AD9-3C3C95CB3912}"/>
    <cellStyle name="Normal 2 3 2 2 3" xfId="16712" xr:uid="{79CD7A09-3613-44C7-9062-8E126674CA28}"/>
    <cellStyle name="Normal 2 3 2 2 3 2" xfId="18003" xr:uid="{DD941BF7-6091-4511-BDB4-7D558A6AFDB0}"/>
    <cellStyle name="Normal 2 3 2 2 3 2 2" xfId="21620" xr:uid="{85D86A54-1BF6-46D2-B4CB-19933809644B}"/>
    <cellStyle name="Normal 2 3 2 2 3 3" xfId="31137" xr:uid="{24054FFB-671D-430D-95BC-1CDC78541E50}"/>
    <cellStyle name="Normal 2 3 2 2 3 4" xfId="31138" xr:uid="{4BE4E877-BB7D-443B-8740-E59A19BEDDE0}"/>
    <cellStyle name="Normal 2 3 2 2 3 5" xfId="31139" xr:uid="{664D52DD-FC38-444B-B972-51AA7011F26D}"/>
    <cellStyle name="Normal 2 3 2 2 3 6" xfId="31140" xr:uid="{3D6C7A94-6B69-497C-9800-0DE467494C99}"/>
    <cellStyle name="Normal 2 3 2 2 4" xfId="16513" xr:uid="{28BB47AE-D00B-41EF-AD6B-B9A8B0864BDA}"/>
    <cellStyle name="Normal 2 3 2 2 4 2" xfId="18004" xr:uid="{04B4E6A8-F86F-4E0E-AC51-A2F110B0D9F3}"/>
    <cellStyle name="Normal 2 3 2 2 4 2 2" xfId="21621" xr:uid="{AB596CDB-BF60-4F63-993F-5C76A946345E}"/>
    <cellStyle name="Normal 2 3 2 2 4 3" xfId="31141" xr:uid="{AF6ABE1B-3E98-4AE3-BE12-96ED9EE13AC2}"/>
    <cellStyle name="Normal 2 3 2 2 4 4" xfId="31142" xr:uid="{6E3704E4-6B59-4BCF-A41D-192E43441733}"/>
    <cellStyle name="Normal 2 3 2 2 4 5" xfId="31143" xr:uid="{AD4F9457-5F0C-4E79-87F8-A695470E9E10}"/>
    <cellStyle name="Normal 2 3 2 2 4 6" xfId="31144" xr:uid="{8B2F6701-8437-4937-B6C5-BCF87297A2D2}"/>
    <cellStyle name="Normal 2 3 2 2 5" xfId="18005" xr:uid="{05AE87B5-BFE2-467F-8A0E-D2E2BF6D49C6}"/>
    <cellStyle name="Normal 2 3 2 2 5 2" xfId="21622" xr:uid="{86DF421E-4DE3-4CCF-A31C-EF2AC070149C}"/>
    <cellStyle name="Normal 2 3 2 2 6" xfId="17999" xr:uid="{F7DA9139-3144-47B1-814F-72B71D8E931D}"/>
    <cellStyle name="Normal 2 3 2 2 6 2" xfId="21616" xr:uid="{27CBD305-B446-4EF1-AAE6-14B0D53590FD}"/>
    <cellStyle name="Normal 2 3 2 2 7" xfId="31145" xr:uid="{B9FD9B03-1B86-49C9-BD48-7D0102B36911}"/>
    <cellStyle name="Normal 2 3 2 2 8" xfId="31146" xr:uid="{010DB6AF-785E-48EC-8791-806780BEA1D4}"/>
    <cellStyle name="Normal 2 3 2 2 9" xfId="31147" xr:uid="{A16D723B-623C-4243-B8E5-1DB2D6F63D54}"/>
    <cellStyle name="Normal 2 3 2 3" xfId="2919" xr:uid="{696B6BA8-A6E0-4E3D-AA4A-48AB7ECFAEDC}"/>
    <cellStyle name="Normal 2 3 2 3 2" xfId="15363" xr:uid="{DDF3B7F7-F3CF-4E53-B328-42E371019A14}"/>
    <cellStyle name="Normal 2 3 2 3 2 2" xfId="18007" xr:uid="{14A7826F-57F0-4922-A072-9746020AA086}"/>
    <cellStyle name="Normal 2 3 2 3 2 2 2" xfId="21624" xr:uid="{61D7944C-4045-4ECE-85B5-D18890A8C9DA}"/>
    <cellStyle name="Normal 2 3 2 3 2 3" xfId="31148" xr:uid="{9F300D7C-C355-4229-B153-DBCCB230D04E}"/>
    <cellStyle name="Normal 2 3 2 3 2 4" xfId="31149" xr:uid="{43E960EB-A891-4E0C-87D3-7161719D4812}"/>
    <cellStyle name="Normal 2 3 2 3 2 5" xfId="31150" xr:uid="{A701E34B-378E-4685-98F4-095C774A31C8}"/>
    <cellStyle name="Normal 2 3 2 3 2 6" xfId="31151" xr:uid="{4E1A2B98-F981-473E-AE70-22FEC0804D31}"/>
    <cellStyle name="Normal 2 3 2 3 3" xfId="16713" xr:uid="{5D288528-7DA7-4836-A25F-EC7FED3945EB}"/>
    <cellStyle name="Normal 2 3 2 3 3 2" xfId="18008" xr:uid="{816320EC-6A46-4D96-AC3C-C026A835A582}"/>
    <cellStyle name="Normal 2 3 2 3 3 2 2" xfId="21625" xr:uid="{EFB68039-4858-492C-87A4-12301DFB527F}"/>
    <cellStyle name="Normal 2 3 2 3 3 3" xfId="31152" xr:uid="{22C1D057-9F0E-4F03-9807-B23D726494F1}"/>
    <cellStyle name="Normal 2 3 2 3 3 4" xfId="31153" xr:uid="{EFBD3ABC-22B9-4F4A-A83A-9B020DFEABD8}"/>
    <cellStyle name="Normal 2 3 2 3 3 5" xfId="31154" xr:uid="{E1C4B7E1-A441-4A77-8944-A311D2D8FA06}"/>
    <cellStyle name="Normal 2 3 2 3 3 6" xfId="31155" xr:uid="{ABF86908-2109-4622-A867-447BA10153EE}"/>
    <cellStyle name="Normal 2 3 2 3 4" xfId="16515" xr:uid="{B590D490-79BA-4E39-BD11-DCE535BEE812}"/>
    <cellStyle name="Normal 2 3 2 3 4 2" xfId="18009" xr:uid="{6A8E1558-B6CD-4CE2-A687-18F8E9D6EC94}"/>
    <cellStyle name="Normal 2 3 2 3 4 2 2" xfId="21626" xr:uid="{7AF0956A-77BC-4488-87CD-E232A5CF721D}"/>
    <cellStyle name="Normal 2 3 2 3 4 3" xfId="20678" xr:uid="{2E943C83-E763-4083-BED3-51FB0B4D5F6D}"/>
    <cellStyle name="Normal 2 3 2 3 5" xfId="18006" xr:uid="{64CB6096-A22C-42CD-BC0F-B1AA9BB0B930}"/>
    <cellStyle name="Normal 2 3 2 3 5 2" xfId="21623" xr:uid="{7EBCD4D5-F087-4C71-904A-4CD5A87C1E11}"/>
    <cellStyle name="Normal 2 3 2 3 6" xfId="31156" xr:uid="{467181A2-5BF9-4A48-A4C7-B8E2047B6763}"/>
    <cellStyle name="Normal 2 3 2 3 7" xfId="31157" xr:uid="{4F4B4CC6-250E-4D57-86AD-9726428A7DE9}"/>
    <cellStyle name="Normal 2 3 2 3 8" xfId="31158" xr:uid="{C6B63AEF-2C6C-4B58-A4D3-F45ED19F29DD}"/>
    <cellStyle name="Normal 2 3 2 3 9" xfId="31159" xr:uid="{59462550-6816-4A11-8239-32916019E268}"/>
    <cellStyle name="Normal 2 3 2 4" xfId="2920" xr:uid="{0D4D3FBF-CE0E-42F9-A17A-815500DB7B1B}"/>
    <cellStyle name="Normal 2 3 2 4 2" xfId="4991" xr:uid="{C68BC23C-2E02-406B-B804-2B217B80C3AF}"/>
    <cellStyle name="Normal 2 3 2 4 2 2" xfId="18011" xr:uid="{06DAAD75-2E03-4D63-B01F-6812C2A38B96}"/>
    <cellStyle name="Normal 2 3 2 4 2 2 2" xfId="21628" xr:uid="{D50F06B3-E047-4DE4-8361-C5524906C29A}"/>
    <cellStyle name="Normal 2 3 2 4 2 3" xfId="31160" xr:uid="{99B6CF43-653E-47A5-B240-90FD87094F5C}"/>
    <cellStyle name="Normal 2 3 2 4 2 4" xfId="31161" xr:uid="{2E057C3B-72AA-4E9D-8E49-2EEEE1D8FEF7}"/>
    <cellStyle name="Normal 2 3 2 4 2 5" xfId="31162" xr:uid="{894EFA37-D2BD-4930-97B0-341D08A93F0C}"/>
    <cellStyle name="Normal 2 3 2 4 2 6" xfId="31163" xr:uid="{486D54E7-3BE6-43C0-BD4C-97E02ADD4E48}"/>
    <cellStyle name="Normal 2 3 2 4 3" xfId="6839" xr:uid="{0CE4EDC0-AC28-4664-BAD9-B00E05A9256F}"/>
    <cellStyle name="Normal 2 3 2 4 3 2" xfId="18012" xr:uid="{33BAC15A-9DF1-4E16-8F00-74BB6E87701A}"/>
    <cellStyle name="Normal 2 3 2 4 3 2 2" xfId="21629" xr:uid="{15B515EE-2816-4344-AF6F-F6FC36C0779E}"/>
    <cellStyle name="Normal 2 3 2 4 3 3" xfId="31164" xr:uid="{88E77C11-1A0A-47AB-B03F-F28D3AD636AB}"/>
    <cellStyle name="Normal 2 3 2 4 3 4" xfId="31165" xr:uid="{0A51DC86-DDE1-4BA7-89EB-05FE74A92671}"/>
    <cellStyle name="Normal 2 3 2 4 3 5" xfId="31166" xr:uid="{B2954DE9-C785-4708-95FE-AA6807074D2C}"/>
    <cellStyle name="Normal 2 3 2 4 3 6" xfId="31167" xr:uid="{534EF97B-3B87-4078-8D50-3A95D24B312A}"/>
    <cellStyle name="Normal 2 3 2 4 3 7" xfId="46312" xr:uid="{B28E7EE6-0435-4B8C-990C-474EC65BFCCB}"/>
    <cellStyle name="Normal 2 3 2 4 3 8" xfId="16516" xr:uid="{702D6124-3489-4D45-99A4-81CC4B1F3D07}"/>
    <cellStyle name="Normal 2 3 2 4 4" xfId="8877" xr:uid="{5F70695B-33C1-4685-8AC3-B415BCD0BFEB}"/>
    <cellStyle name="Normal 2 3 2 4 4 2" xfId="21627" xr:uid="{7454C7D2-F4BD-4144-B027-8D5063B0E8A2}"/>
    <cellStyle name="Normal 2 3 2 4 4 3" xfId="18010" xr:uid="{99775784-4381-41F7-9B89-8D5CE91397F1}"/>
    <cellStyle name="Normal 2 3 2 4 5" xfId="31168" xr:uid="{4D32740D-AC66-4FC5-8E87-9FB957CB76BA}"/>
    <cellStyle name="Normal 2 3 2 4 6" xfId="31169" xr:uid="{6D4866C1-5885-4B75-A0ED-AB7C6E862B7E}"/>
    <cellStyle name="Normal 2 3 2 4 7" xfId="31170" xr:uid="{E19FDCAE-D43A-467F-8415-127A684423D8}"/>
    <cellStyle name="Normal 2 3 2 4 8" xfId="31171" xr:uid="{4D04A257-FB77-49A4-B910-040826780C6F}"/>
    <cellStyle name="Normal 2 3 2 5" xfId="16512" xr:uid="{C96766AE-8115-453E-A3DC-A331E8B44668}"/>
    <cellStyle name="Normal 2 3 2 5 2" xfId="18013" xr:uid="{78D1E181-55BA-466B-8506-FE1B6C8E0ADD}"/>
    <cellStyle name="Normal 2 3 2 5 2 2" xfId="21630" xr:uid="{7F04CB52-1B9D-4B5C-ADDB-A41467F38D3C}"/>
    <cellStyle name="Normal 2 3 2 5 3" xfId="20676" xr:uid="{82604DC7-E68E-417C-9B10-5A7131E54E37}"/>
    <cellStyle name="Normal 2 3 2 6" xfId="17998" xr:uid="{DC1652E5-BEAF-4722-A0AB-586ECC471F4F}"/>
    <cellStyle name="Normal 2 3 2 6 2" xfId="21615" xr:uid="{44BE2418-44EF-49A7-997C-974F103E072A}"/>
    <cellStyle name="Normal 2 3 2 7" xfId="31172" xr:uid="{787A2702-A7D3-4909-B270-E63D626C4784}"/>
    <cellStyle name="Normal 2 3 2 8" xfId="31173" xr:uid="{400923F1-902C-4C7D-9156-20A19F970555}"/>
    <cellStyle name="Normal 2 3 2 9" xfId="31174" xr:uid="{CA8B5B9F-DC6D-47FD-9812-E73E62275243}"/>
    <cellStyle name="Normal 2 3 2_TRA" xfId="2921" xr:uid="{45361513-D35C-450E-B56F-8B73AF8C66B6}"/>
    <cellStyle name="Normal 2 3 3" xfId="2922" xr:uid="{4840EF70-D96F-4939-B2A0-B5CF0B2BC254}"/>
    <cellStyle name="Normal 2 3 3 10" xfId="31175" xr:uid="{29FEEC91-CA22-4BA9-812E-E5988BA993AD}"/>
    <cellStyle name="Normal 2 3 3 11" xfId="31176" xr:uid="{8813418C-B7D0-4315-B905-7C4372A68502}"/>
    <cellStyle name="Normal 2 3 3 2" xfId="4992" xr:uid="{3B4F69AE-43F2-4DDA-8A34-346EFD0463A1}"/>
    <cellStyle name="Normal 2 3 3 2 2" xfId="18015" xr:uid="{4B471B1E-BDFC-4F85-B7A4-A351C6802069}"/>
    <cellStyle name="Normal 2 3 3 2 2 2" xfId="21632" xr:uid="{9730BC54-7B0F-4424-AFBF-29A68AA46A90}"/>
    <cellStyle name="Normal 2 3 3 2 3" xfId="31177" xr:uid="{5839A1FA-EEBE-4B5A-BC63-A5F0704CA24E}"/>
    <cellStyle name="Normal 2 3 3 2 4" xfId="31178" xr:uid="{9FB0865C-19E6-4CD3-A288-3DD5B321E4CA}"/>
    <cellStyle name="Normal 2 3 3 2 5" xfId="31179" xr:uid="{F5441FE9-2DF8-497E-A1F7-F60CF942F92D}"/>
    <cellStyle name="Normal 2 3 3 2 6" xfId="31180" xr:uid="{0A6727A4-D928-4624-840D-9CF9997AC729}"/>
    <cellStyle name="Normal 2 3 3 3" xfId="4133" xr:uid="{29DB24D2-8B75-4882-998F-C47705C3DDAB}"/>
    <cellStyle name="Normal 2 3 3 3 2" xfId="18016" xr:uid="{92995257-2BCA-49C0-A7B3-B397409009DB}"/>
    <cellStyle name="Normal 2 3 3 3 2 2" xfId="21633" xr:uid="{1CC7E526-2317-46BC-B2F4-F823B97257B8}"/>
    <cellStyle name="Normal 2 3 3 3 3" xfId="20719" xr:uid="{5161ACB5-C37C-4EAF-99E9-397D1EB42985}"/>
    <cellStyle name="Normal 2 3 3 3 4" xfId="43963" xr:uid="{A68A14B3-3638-45CE-8D07-D5D01948FF3D}"/>
    <cellStyle name="Normal 2 3 3 3 5" xfId="16611" xr:uid="{52A96E5C-6B8F-4DA6-A60A-D3BF624C7394}"/>
    <cellStyle name="Normal 2 3 3 4" xfId="6199" xr:uid="{3F77E2F7-B163-45DE-A5AA-D6D9FC591018}"/>
    <cellStyle name="Normal 2 3 3 4 2" xfId="18017" xr:uid="{57021EE9-BA7F-4BB4-8EE7-55FE23DAD2D6}"/>
    <cellStyle name="Normal 2 3 3 4 2 2" xfId="21634" xr:uid="{F9A065AE-C56E-49CF-92AC-0F58F24F3B85}"/>
    <cellStyle name="Normal 2 3 3 4 3" xfId="31181" xr:uid="{CEF5F7AB-1EF1-4DB3-8837-4C824D7AA8A1}"/>
    <cellStyle name="Normal 2 3 3 4 4" xfId="31182" xr:uid="{00CD8B59-60DB-4C55-8605-26BFA3FD9880}"/>
    <cellStyle name="Normal 2 3 3 4 5" xfId="31183" xr:uid="{1000F5D8-D370-4F73-B78E-5C7AA136FB98}"/>
    <cellStyle name="Normal 2 3 3 4 6" xfId="31184" xr:uid="{63464C97-424D-4C2C-B2C3-E3AF4D62DE20}"/>
    <cellStyle name="Normal 2 3 3 4 7" xfId="45869" xr:uid="{00B89956-4EC4-4D28-BB21-218F057DE17E}"/>
    <cellStyle name="Normal 2 3 3 4 8" xfId="16517" xr:uid="{EF3F199E-4DF5-4013-95B0-9B1AF65C0F8C}"/>
    <cellStyle name="Normal 2 3 3 5" xfId="8878" xr:uid="{7B85573B-C68F-4C6F-93F0-40791C043F59}"/>
    <cellStyle name="Normal 2 3 3 5 2" xfId="21635" xr:uid="{D25B43AE-AD0B-429E-A82B-B3B04E443493}"/>
    <cellStyle name="Normal 2 3 3 5 3" xfId="18018" xr:uid="{3B8E86D4-8FD0-4F11-A64C-318981D0D702}"/>
    <cellStyle name="Normal 2 3 3 6" xfId="18014" xr:uid="{00766AAA-8F02-4987-B217-9A4F05E2D64E}"/>
    <cellStyle name="Normal 2 3 3 6 2" xfId="21631" xr:uid="{CE165510-B7C8-4102-BCD9-610113584E1B}"/>
    <cellStyle name="Normal 2 3 3 7" xfId="31185" xr:uid="{F2FEC76E-89AA-4821-A232-8D326BBD283D}"/>
    <cellStyle name="Normal 2 3 3 8" xfId="31186" xr:uid="{60461216-5307-45DA-B3B0-1D88C00504C3}"/>
    <cellStyle name="Normal 2 3 3 9" xfId="31187" xr:uid="{BF332F21-FB84-46BB-B290-F21F8A466318}"/>
    <cellStyle name="Normal 2 3 4" xfId="2923" xr:uid="{F5899776-EF2B-4BA7-A7B8-832DD41AC090}"/>
    <cellStyle name="Normal 2 3 4 10" xfId="11405" xr:uid="{93817AEE-FAA9-4AB4-AA0C-46BE27C0E1A0}"/>
    <cellStyle name="Normal 2 3 4 2" xfId="2924" xr:uid="{B7DFE66E-047C-44F1-AA45-26E85A2663F1}"/>
    <cellStyle name="Normal 2 3 4 2 2" xfId="4994" xr:uid="{F2E38632-888F-495B-9FD3-3EE0494759B1}"/>
    <cellStyle name="Normal 2 3 4 2 2 2" xfId="31189" xr:uid="{E14BD691-F60E-40C5-A166-772781100919}"/>
    <cellStyle name="Normal 2 3 4 2 2 3" xfId="31190" xr:uid="{3FF24672-51A4-408D-AE8D-2A397893C3E1}"/>
    <cellStyle name="Normal 2 3 4 2 2 4" xfId="31191" xr:uid="{C95A3DC9-71AA-4FE0-AC77-23B4A4DFBBE6}"/>
    <cellStyle name="Normal 2 3 4 2 2 5" xfId="31192" xr:uid="{43F6E29E-159F-4FC9-8615-6F0A157A4E52}"/>
    <cellStyle name="Normal 2 3 4 2 2 6" xfId="31188" xr:uid="{D9F1864F-1C45-4FBC-8929-2F780B892D9C}"/>
    <cellStyle name="Normal 2 3 4 2 3" xfId="6841" xr:uid="{5C65AC3F-C856-4614-99F9-021429321E13}"/>
    <cellStyle name="Normal 2 3 4 2 3 2" xfId="46314" xr:uid="{8111E636-BA86-4739-B897-ED93766912ED}"/>
    <cellStyle name="Normal 2 3 4 2 3 3" xfId="21636" xr:uid="{B0640122-67F5-4A45-863A-272F50761450}"/>
    <cellStyle name="Normal 2 3 4 2 4" xfId="8880" xr:uid="{CA3F6160-8757-4CFB-BC20-1E27DCC7271F}"/>
    <cellStyle name="Normal 2 3 4 2 4 2" xfId="18019" xr:uid="{6B5B9279-23D1-42B0-9930-386C4ECF7E63}"/>
    <cellStyle name="Normal 2 3 4 3" xfId="4993" xr:uid="{5B686C5B-D4B4-4D68-978C-8AA2C3AC9E58}"/>
    <cellStyle name="Normal 2 3 4 3 2" xfId="5779" xr:uid="{7300A0F0-9380-4F9F-8F68-D22F4997B1CC}"/>
    <cellStyle name="Normal 2 3 4 3 2 2" xfId="7881" xr:uid="{535A3DDA-724D-4986-9E2A-B4907EFCE492}"/>
    <cellStyle name="Normal 2 3 4 3 2 2 2" xfId="10373" xr:uid="{BE7A8C18-E7CE-4DBF-A4C6-2A2DB550EB0E}"/>
    <cellStyle name="Normal 2 3 4 3 2 2 2 2" xfId="13679" xr:uid="{7A02FDB2-DBF6-4F15-AC63-CD350F9F99D8}"/>
    <cellStyle name="Normal 2 3 4 3 2 2 2 3" xfId="49189" xr:uid="{665C598C-C40D-4374-A675-2319DF9EA5B9}"/>
    <cellStyle name="Normal 2 3 4 3 2 2 3" xfId="12394" xr:uid="{CDA43E73-3DD0-423C-BBD7-CFDC005BF445}"/>
    <cellStyle name="Normal 2 3 4 3 2 2 3 2" xfId="47606" xr:uid="{E5FF688F-6F6D-4F9C-A483-93A0B81B0601}"/>
    <cellStyle name="Normal 2 3 4 3 2 2 4" xfId="14808" xr:uid="{C69FDD2E-13ED-4857-BC8E-41728D2579D4}"/>
    <cellStyle name="Normal 2 3 4 3 2 3" xfId="9879" xr:uid="{71B2BAFA-449F-45B2-956C-7E3342983B4A}"/>
    <cellStyle name="Normal 2 3 4 3 2 3 2" xfId="13185" xr:uid="{253A142D-AB22-4BC5-957B-62F956944558}"/>
    <cellStyle name="Normal 2 3 4 3 2 3 3" xfId="48331" xr:uid="{713FDF2C-5297-4F6E-A4AD-5E5105BAD028}"/>
    <cellStyle name="Normal 2 3 4 3 2 4" xfId="7377" xr:uid="{5667860F-43CD-4578-877B-D4ECAADE51A2}"/>
    <cellStyle name="Normal 2 3 4 3 2 4 2" xfId="23403" xr:uid="{02261B62-C81D-4C73-8B4F-5B4E5CDDD56C}"/>
    <cellStyle name="Normal 2 3 4 3 2 5" xfId="11900" xr:uid="{AB2A739B-C125-40AC-B0AB-BBCC12226372}"/>
    <cellStyle name="Normal 2 3 4 3 2 6" xfId="14316" xr:uid="{B2F68231-8C35-4C1F-B04B-ACA4DB5DBF1D}"/>
    <cellStyle name="Normal 2 3 4 3 3" xfId="7567" xr:uid="{F1477406-3968-4293-8997-45FCF9099C9C}"/>
    <cellStyle name="Normal 2 3 4 3 3 2" xfId="10059" xr:uid="{06C978A3-A040-431A-9A67-E3AC0FC6EB61}"/>
    <cellStyle name="Normal 2 3 4 3 3 2 2" xfId="13365" xr:uid="{C98E3DAC-A4FD-466E-AABB-F6DE1C230F89}"/>
    <cellStyle name="Normal 2 3 4 3 3 2 3" xfId="48027" xr:uid="{C47C4730-D2DC-4D11-A6F8-21EDA2C30C0D}"/>
    <cellStyle name="Normal 2 3 4 3 3 3" xfId="12080" xr:uid="{77E490A1-1A18-4E57-AD08-90BECDB44D0F}"/>
    <cellStyle name="Normal 2 3 4 3 3 3 2" xfId="46313" xr:uid="{3651A44F-FD39-4567-8C21-C34D9744B82C}"/>
    <cellStyle name="Normal 2 3 4 3 3 4" xfId="14494" xr:uid="{BD23A5E3-24DF-4B82-8E23-C7550A2EC082}"/>
    <cellStyle name="Normal 2 3 4 3 4" xfId="11185" xr:uid="{59352FF4-D9F2-4931-94B6-7C29E47A8172}"/>
    <cellStyle name="Normal 2 3 4 3 4 2" xfId="13773" xr:uid="{30170329-17AD-4EA8-8F58-8F644E048691}"/>
    <cellStyle name="Normal 2 3 4 3 4 2 2" xfId="48572" xr:uid="{8C773630-3FF8-428B-A636-0A6B097A0EB4}"/>
    <cellStyle name="Normal 2 3 4 3 4 3" xfId="47012" xr:uid="{193DB426-B6A1-47A6-97C7-5DFAED577122}"/>
    <cellStyle name="Normal 2 3 4 3 4 4" xfId="15123" xr:uid="{C0D00795-EC81-458A-9DAC-C9117FC691D5}"/>
    <cellStyle name="Normal 2 3 4 3 5" xfId="9565" xr:uid="{661BB02D-B1EB-4C53-BE52-FE93548D0909}"/>
    <cellStyle name="Normal 2 3 4 3 5 2" xfId="12871" xr:uid="{37295C79-096B-42DB-B8B7-A75349906B1D}"/>
    <cellStyle name="Normal 2 3 4 3 5 2 2" xfId="48879" xr:uid="{DEB5E46B-34FE-4393-AFF1-13BD5D354AC1}"/>
    <cellStyle name="Normal 2 3 4 3 5 3" xfId="47308" xr:uid="{EC3BA9E3-82E9-4419-B5B8-0CEE47E08C13}"/>
    <cellStyle name="Normal 2 3 4 3 6" xfId="6840" xr:uid="{FDE8A5C2-1C5E-491B-AA5F-6482A5D748C2}"/>
    <cellStyle name="Normal 2 3 4 3 6 2" xfId="47810" xr:uid="{EAF2D3C7-3D18-47E5-8C09-FE3DCD0E3DDD}"/>
    <cellStyle name="Normal 2 3 4 3 7" xfId="11586" xr:uid="{2BA2CCBD-C7A0-4773-BE03-1E77B5458F15}"/>
    <cellStyle name="Normal 2 3 4 3 7 2" xfId="19783" xr:uid="{1967774A-6776-47F6-90D1-43B3337BA668}"/>
    <cellStyle name="Normal 2 3 4 3 8" xfId="14002" xr:uid="{1D61FFFC-0B1C-416F-8FDD-60988D377704}"/>
    <cellStyle name="Normal 2 3 4 4" xfId="4134" xr:uid="{6E5336AE-4F72-40E2-B8AD-23DAAA0BA3EC}"/>
    <cellStyle name="Normal 2 3 4 4 2" xfId="43964" xr:uid="{7F5BCDA5-1ADC-4589-AACC-638F2A5ADB97}"/>
    <cellStyle name="Normal 2 3 4 4 3" xfId="31193" xr:uid="{3942B45E-AF88-4D62-86CE-A249A537BDC9}"/>
    <cellStyle name="Normal 2 3 4 5" xfId="5603" xr:uid="{632E8537-D794-4991-896A-74E60C88BC84}"/>
    <cellStyle name="Normal 2 3 4 5 2" xfId="7705" xr:uid="{5CA5CBDB-874A-4902-AF81-0653CD881164}"/>
    <cellStyle name="Normal 2 3 4 5 2 2" xfId="11212" xr:uid="{E3C61378-5485-4CB8-BCDB-E1136E2035B1}"/>
    <cellStyle name="Normal 2 3 4 5 2 3" xfId="10197" xr:uid="{19B1CA41-FC15-4B5E-9A1E-4FDE8292A02D}"/>
    <cellStyle name="Normal 2 3 4 5 2 3 2" xfId="13503" xr:uid="{0028760B-288C-4D89-AE6D-78D1DA88AE96}"/>
    <cellStyle name="Normal 2 3 4 5 2 4" xfId="12218" xr:uid="{9BE01760-60B3-402E-8D9A-7F25D330DD69}"/>
    <cellStyle name="Normal 2 3 4 5 2 5" xfId="14632" xr:uid="{C6299700-5324-45C2-8C39-F810381CD64B}"/>
    <cellStyle name="Normal 2 3 4 5 3" xfId="9703" xr:uid="{42ABAB55-BA9F-46F3-9C8E-145C198E8EF7}"/>
    <cellStyle name="Normal 2 3 4 5 3 2" xfId="13009" xr:uid="{9895160C-F2A4-4B0E-A993-D05A2EA9BB73}"/>
    <cellStyle name="Normal 2 3 4 5 3 2 2" xfId="49017" xr:uid="{785A18A0-8A77-488B-AFA9-ACCD3B393DC1}"/>
    <cellStyle name="Normal 2 3 4 5 3 3" xfId="47439" xr:uid="{CEDC8A49-E9D9-477C-81D5-572FF7D0B864}"/>
    <cellStyle name="Normal 2 3 4 5 4" xfId="7199" xr:uid="{EDC3A9C8-91F1-43C4-AC55-18B60A54396D}"/>
    <cellStyle name="Normal 2 3 4 5 4 2" xfId="48162" xr:uid="{77C1980F-2530-437C-944C-3585216122B8}"/>
    <cellStyle name="Normal 2 3 4 5 5" xfId="11724" xr:uid="{F4246CFF-8393-4C53-BC65-E30D2F19DD06}"/>
    <cellStyle name="Normal 2 3 4 5 5 2" xfId="31194" xr:uid="{3BBD4EAD-F742-45C2-90A1-17CB5438E3F5}"/>
    <cellStyle name="Normal 2 3 4 5 6" xfId="14140" xr:uid="{F69A4943-09BC-422C-8D52-016E19C67BC5}"/>
    <cellStyle name="Normal 2 3 4 6" xfId="6200" xr:uid="{52C5C39A-E928-40E1-B12F-CFAC711210DC}"/>
    <cellStyle name="Normal 2 3 4 6 2" xfId="45870" xr:uid="{5813D2B3-495A-4D74-AE09-97ECA7670D86}"/>
    <cellStyle name="Normal 2 3 4 6 3" xfId="31195" xr:uid="{685CAC9D-DC7E-472F-8B92-28A571607AAB}"/>
    <cellStyle name="Normal 2 3 4 6 4" xfId="14947" xr:uid="{81979627-EFBF-497F-B389-835ADDAF6BE8}"/>
    <cellStyle name="Normal 2 3 4 7" xfId="8879" xr:uid="{E6F1C09F-977C-4F4E-94CC-5B19DE1F562F}"/>
    <cellStyle name="Normal 2 3 4 7 2" xfId="12689" xr:uid="{4F575EEB-9EB3-44CC-84E1-684CDA26F0B9}"/>
    <cellStyle name="Normal 2 3 4 7 3" xfId="31196" xr:uid="{15831F3E-5DFC-48B7-B3AE-3F9D79F425CC}"/>
    <cellStyle name="Normal 2 3 4 8" xfId="8020" xr:uid="{30095F35-72D7-47AB-B659-24D2A2119EA2}"/>
    <cellStyle name="Normal 2 3 4 8 2" xfId="12533" xr:uid="{2C091263-8768-4E1F-9E96-3B8E013AD2B3}"/>
    <cellStyle name="Normal 2 3 4 8 3" xfId="31197" xr:uid="{0A3E2C1F-17F6-4ABF-8021-CF340B91DDC2}"/>
    <cellStyle name="Normal 2 3 4 9" xfId="5917" xr:uid="{C477F4AB-EF71-4C27-BE43-3B4E985FED26}"/>
    <cellStyle name="Normal 2 3 5" xfId="4132" xr:uid="{54558478-8B61-4638-A43E-FFE6D812F7C1}"/>
    <cellStyle name="Normal 2 3 5 2" xfId="5650" xr:uid="{006E20AB-ECF9-406A-A10D-E7AF4ADEA2EC}"/>
    <cellStyle name="Normal 2 3 5 2 2" xfId="10244" xr:uid="{F916A7EB-F82B-410C-A3A1-C082BE321F30}"/>
    <cellStyle name="Normal 2 3 5 2 2 2" xfId="13550" xr:uid="{F916F32F-7169-412D-A974-92A070AEE8CD}"/>
    <cellStyle name="Normal 2 3 5 2 2 3" xfId="48445" xr:uid="{BEE0BDD8-D934-436E-B023-517927CBBA3D}"/>
    <cellStyle name="Normal 2 3 5 2 3" xfId="7752" xr:uid="{E0329EDF-D587-4A14-8D9F-4E95FCA21FAD}"/>
    <cellStyle name="Normal 2 3 5 2 3 2" xfId="21614" xr:uid="{E38B35F4-177A-4186-B415-1D6752D60C10}"/>
    <cellStyle name="Normal 2 3 5 2 4" xfId="12265" xr:uid="{DC23DF0A-0DD7-42E9-AC49-D4B5BC52F57D}"/>
    <cellStyle name="Normal 2 3 5 2 5" xfId="14679" xr:uid="{F493CCD4-8ED6-490B-BDC4-C5B8DE878A91}"/>
    <cellStyle name="Normal 2 3 5 3" xfId="10969" xr:uid="{135D31E0-E6EE-42E0-9270-3FAC295A4FDB}"/>
    <cellStyle name="Normal 2 3 5 3 2" xfId="49061" xr:uid="{6C213B76-9B67-4B92-BDDD-6AF9EC10E204}"/>
    <cellStyle name="Normal 2 3 5 3 3" xfId="47479" xr:uid="{6BDC3E17-6D90-4985-9110-9D916211F1AF}"/>
    <cellStyle name="Normal 2 3 5 3 4" xfId="14994" xr:uid="{A111A4EB-70BD-4871-BCFE-F963BC3F0A6C}"/>
    <cellStyle name="Normal 2 3 5 4" xfId="9750" xr:uid="{31A219E3-D48D-48A0-AE6F-D83F83D9E5D7}"/>
    <cellStyle name="Normal 2 3 5 4 2" xfId="13056" xr:uid="{99557B3D-A210-4B68-A38C-80AFBD3C69C0}"/>
    <cellStyle name="Normal 2 3 5 4 3" xfId="48205" xr:uid="{81DEA80D-99EE-4AA9-B03B-5635D5569519}"/>
    <cellStyle name="Normal 2 3 5 5" xfId="7246" xr:uid="{5C982CBC-8FD1-4C9A-A151-F6660AE30426}"/>
    <cellStyle name="Normal 2 3 5 5 2" xfId="17997" xr:uid="{4555B8DE-F87A-4ED2-842E-695C71E12A9E}"/>
    <cellStyle name="Normal 2 3 5 6" xfId="11771" xr:uid="{A1299CDA-68E5-4CA6-A3C4-423D8C8D7876}"/>
    <cellStyle name="Normal 2 3 5 7" xfId="14187" xr:uid="{829C5439-B0C7-4BF5-AD0C-6CF8BFB6100E}"/>
    <cellStyle name="Normal 2 3 6" xfId="3877" xr:uid="{30DB7561-5C6F-435C-8B85-CFF60E8829AE}"/>
    <cellStyle name="Normal 2 3 6 2" xfId="5619" xr:uid="{4A2EC23A-FC7E-419D-8631-4700478CBC6C}"/>
    <cellStyle name="Normal 2 3 6 2 2" xfId="10213" xr:uid="{07B138E7-5530-4176-B9F6-068E5C259DFE}"/>
    <cellStyle name="Normal 2 3 6 2 2 2" xfId="13519" xr:uid="{39D70F62-828D-4DB7-B594-F8F9D21296DC}"/>
    <cellStyle name="Normal 2 3 6 2 2 3" xfId="49031" xr:uid="{1F3C80DD-6E40-498A-94C5-7D1ECCAA2FAC}"/>
    <cellStyle name="Normal 2 3 6 2 3" xfId="7721" xr:uid="{4E518878-AAD0-46B9-9BCF-3B5EEB58AF64}"/>
    <cellStyle name="Normal 2 3 6 2 3 2" xfId="47450" xr:uid="{01E1C920-DEF4-442C-B3E8-C4CFD8C90634}"/>
    <cellStyle name="Normal 2 3 6 2 4" xfId="12234" xr:uid="{DBFC6BB7-FB5F-40A2-9F53-9A5708C856E5}"/>
    <cellStyle name="Normal 2 3 6 2 5" xfId="14648" xr:uid="{DDAD8D40-ECDA-4280-A4D7-275D1DBA413D}"/>
    <cellStyle name="Normal 2 3 6 3" xfId="10958" xr:uid="{BB9D0B56-4C7F-4CFF-9F85-359F8CE420B7}"/>
    <cellStyle name="Normal 2 3 6 3 2" xfId="48176" xr:uid="{E129818C-5898-4016-8DE8-DEFA3D71ACD1}"/>
    <cellStyle name="Normal 2 3 6 3 3" xfId="14963" xr:uid="{4FE3BBFE-43CE-496A-BE39-B4FCD7B15332}"/>
    <cellStyle name="Normal 2 3 6 4" xfId="9719" xr:uid="{14323C04-8868-407E-BE8D-7EF519A567D9}"/>
    <cellStyle name="Normal 2 3 6 4 2" xfId="13025" xr:uid="{801C622B-69B9-4DC1-846A-1E2F384FC61C}"/>
    <cellStyle name="Normal 2 3 6 4 3" xfId="31198" xr:uid="{C8C6F64A-DD59-4BE8-9BE1-47370F6D2CFD}"/>
    <cellStyle name="Normal 2 3 6 5" xfId="7215" xr:uid="{EC209980-CE15-4E15-A226-E15BCAAA675D}"/>
    <cellStyle name="Normal 2 3 6 6" xfId="11740" xr:uid="{83B5C14C-EBC7-4D94-A9FD-4014E6844E05}"/>
    <cellStyle name="Normal 2 3 6 7" xfId="14156" xr:uid="{0A8D0753-4322-4A5A-8613-07D8BFFF0F9C}"/>
    <cellStyle name="Normal 2 3 7" xfId="6198" xr:uid="{21B7BA4D-3958-4696-9F0A-632E4E33843E}"/>
    <cellStyle name="Normal 2 3 7 2" xfId="9433" xr:uid="{F25496E7-CAD6-4322-8CCC-3F065B6E91CC}"/>
    <cellStyle name="Normal 2 3 7 2 2" xfId="12739" xr:uid="{6EBFEE7E-412B-4049-8045-F41A4E61F2A6}"/>
    <cellStyle name="Normal 2 3 7 2 3" xfId="47900" xr:uid="{227D919A-3383-437C-883D-953B05963FF0}"/>
    <cellStyle name="Normal 2 3 7 3" xfId="11454" xr:uid="{461ECA61-FB26-44FC-A30E-A35696D6CFB2}"/>
    <cellStyle name="Normal 2 3 7 3 2" xfId="31199" xr:uid="{548E7504-13D4-46B8-8A42-2382C1043541}"/>
    <cellStyle name="Normal 2 3 7 4" xfId="14365" xr:uid="{F6A2991B-7517-4E49-94A5-530AEE99E69F}"/>
    <cellStyle name="Normal 2 3 8" xfId="6465" xr:uid="{E6F64EE6-D0EB-4109-85B7-FCD5AF516923}"/>
    <cellStyle name="Normal 2 3 8 2" xfId="9441" xr:uid="{24663D08-4E66-4267-ACF2-B66A19A6C4D4}"/>
    <cellStyle name="Normal 2 3 8 2 2" xfId="12747" xr:uid="{F544EF1D-C80B-4782-B60B-985F9C899032}"/>
    <cellStyle name="Normal 2 3 8 2 3" xfId="48751" xr:uid="{0DC7A7FC-BCE9-4696-8F0D-954F67CB0E85}"/>
    <cellStyle name="Normal 2 3 8 3" xfId="11462" xr:uid="{783CD0FF-A2E6-484F-B58C-339EC6B4E30B}"/>
    <cellStyle name="Normal 2 3 8 4" xfId="31200" xr:uid="{3F9DC8D0-9AC8-4D1E-AE43-7BE8AA3F9054}"/>
    <cellStyle name="Normal 2 3 9" xfId="6470" xr:uid="{48CF8B25-83F8-49DA-B420-DA8FAE2B9EDE}"/>
    <cellStyle name="Normal 2 3 9 2" xfId="9442" xr:uid="{89F3F001-8BE6-449F-8E52-86FA47DBFB1A}"/>
    <cellStyle name="Normal 2 3 9 2 2" xfId="12748" xr:uid="{FBF07C0A-E58F-4090-BA8E-3B9D03DF4AF2}"/>
    <cellStyle name="Normal 2 3 9 3" xfId="11463" xr:uid="{9010A976-196C-4033-9AB4-3051B28D0B5C}"/>
    <cellStyle name="Normal 2 3 9 4" xfId="31201" xr:uid="{6C2866C1-5176-4D69-BB51-8E62B2EADFAC}"/>
    <cellStyle name="Normal 2 3_ELC" xfId="2925" xr:uid="{95A407A2-9CEB-487C-82AC-1BB25BCDAC13}"/>
    <cellStyle name="Normal 2 30" xfId="5937" xr:uid="{DC09BBBA-0D2A-4D04-8B1D-D69EFA7FA580}"/>
    <cellStyle name="Normal 2 30 2" xfId="16846" xr:uid="{4089DDEA-5829-4F33-97EF-DFE40DD46A2D}"/>
    <cellStyle name="Normal 2 30 2 2" xfId="18021" xr:uid="{A70BD727-E341-4799-A9DD-CDE0EA88FFA6}"/>
    <cellStyle name="Normal 2 30 2 2 2" xfId="21638" xr:uid="{DE5D599A-7EB3-469D-876C-E9BD3042402C}"/>
    <cellStyle name="Normal 2 30 2 3" xfId="20847" xr:uid="{ED7FDF52-1AAE-4BD5-97D9-2F532A3D9DDC}"/>
    <cellStyle name="Normal 2 30 3" xfId="18020" xr:uid="{E3946EF3-45C8-4715-86DB-30C8339171BE}"/>
    <cellStyle name="Normal 2 30 3 2" xfId="21637" xr:uid="{A536193A-3FA9-4EE3-B2F9-83BFC62ACF92}"/>
    <cellStyle name="Normal 2 30 4" xfId="20563" xr:uid="{0B55716B-4741-4676-AAEE-C64EB4CF62E0}"/>
    <cellStyle name="Normal 2 30 5" xfId="45796" xr:uid="{72687A74-6F30-4CFE-8D15-771B62EEB4D8}"/>
    <cellStyle name="Normal 2 30 6" xfId="15979" xr:uid="{73D0F93C-ED23-46D9-A68F-3B561FC7C880}"/>
    <cellStyle name="Normal 2 31" xfId="6466" xr:uid="{5F8849F6-7755-4DB7-ACE8-B6F9CDD20DC6}"/>
    <cellStyle name="Normal 2 31 2" xfId="16847" xr:uid="{EE6BB865-73FA-42AE-B6FC-068475087CED}"/>
    <cellStyle name="Normal 2 31 2 2" xfId="18023" xr:uid="{23F3BF24-0E06-4576-B2C2-9EC10E7EA936}"/>
    <cellStyle name="Normal 2 31 2 2 2" xfId="21640" xr:uid="{9B628A54-CD87-4320-A3F6-8051BF46F852}"/>
    <cellStyle name="Normal 2 31 2 3" xfId="20848" xr:uid="{167A41AF-8C82-4705-AA13-A07968D46178}"/>
    <cellStyle name="Normal 2 31 3" xfId="18022" xr:uid="{246DD745-F715-4AC0-8D62-FB3587FC302D}"/>
    <cellStyle name="Normal 2 31 3 2" xfId="21639" xr:uid="{DB14F979-F056-4EBC-B130-A839A7D58FDD}"/>
    <cellStyle name="Normal 2 31 4" xfId="20564" xr:uid="{833155DA-BCEE-4E4B-A8AB-B483C73E88D0}"/>
    <cellStyle name="Normal 2 31 5" xfId="47155" xr:uid="{6D9464A7-BEE3-4F45-B8E6-8D0C9DCCF71A}"/>
    <cellStyle name="Normal 2 31 6" xfId="15980" xr:uid="{9199F586-A86F-497B-B59C-981ACBC7B9F7}"/>
    <cellStyle name="Normal 2 32" xfId="7404" xr:uid="{5488FD2E-534D-4C4D-A0ED-B499D30542A7}"/>
    <cellStyle name="Normal 2 32 2" xfId="16848" xr:uid="{2DC48ABC-C1B0-41AE-BAA6-74B6219E292D}"/>
    <cellStyle name="Normal 2 32 2 2" xfId="18025" xr:uid="{212D0526-5F8F-47CC-BBEA-77F8999FB6D0}"/>
    <cellStyle name="Normal 2 32 2 2 2" xfId="21642" xr:uid="{6A133C6A-B17C-467B-8B73-B972B10ED78B}"/>
    <cellStyle name="Normal 2 32 2 3" xfId="20849" xr:uid="{802203F9-156B-483D-B2EF-BCDA79458866}"/>
    <cellStyle name="Normal 2 32 3" xfId="18024" xr:uid="{3D3901DA-6F9C-4F4A-A006-20D401D98D48}"/>
    <cellStyle name="Normal 2 32 3 2" xfId="21641" xr:uid="{12382E30-1104-4562-B875-AAB0865BD317}"/>
    <cellStyle name="Normal 2 32 4" xfId="20565" xr:uid="{672BB643-44BB-4807-8F7C-CF49DC10FA8F}"/>
    <cellStyle name="Normal 2 32 5" xfId="15981" xr:uid="{83BEAC44-AE2B-4A58-8034-5488207F3782}"/>
    <cellStyle name="Normal 2 33" xfId="8849" xr:uid="{1B03A606-074C-4A53-9B7B-D7837CB43EB8}"/>
    <cellStyle name="Normal 2 33 2" xfId="16849" xr:uid="{F313EAB0-A998-4ABA-9B6D-33EAE59F2A96}"/>
    <cellStyle name="Normal 2 33 2 2" xfId="18027" xr:uid="{A2FA71C5-F41A-413C-9586-D6337F4A0C30}"/>
    <cellStyle name="Normal 2 33 2 2 2" xfId="21644" xr:uid="{0F9AFA7F-BE4F-43FC-8FF6-98B3A7A81AA9}"/>
    <cellStyle name="Normal 2 33 2 3" xfId="20850" xr:uid="{D38E68F9-DA78-4759-B384-77B6795252F0}"/>
    <cellStyle name="Normal 2 33 3" xfId="18026" xr:uid="{82CEDFFF-F6F3-4B7B-96E7-EC2A95DA69B9}"/>
    <cellStyle name="Normal 2 33 3 2" xfId="21643" xr:uid="{C44C5206-27B3-49E0-A1AF-B938ED99FE4D}"/>
    <cellStyle name="Normal 2 33 4" xfId="20566" xr:uid="{E6D4A80F-739B-4808-BA40-84EB0FBD8FD9}"/>
    <cellStyle name="Normal 2 33 5" xfId="15982" xr:uid="{242EAC2A-A407-40AF-9C1D-E6C97F8A31B2}"/>
    <cellStyle name="Normal 2 34" xfId="15983" xr:uid="{A7F6759D-2ADC-423D-91CE-5D14A0B04DDA}"/>
    <cellStyle name="Normal 2 34 2" xfId="16850" xr:uid="{D0E95444-F5BC-4CEC-AE81-98838C284342}"/>
    <cellStyle name="Normal 2 34 2 2" xfId="18029" xr:uid="{661D544A-51C6-4D88-B035-57F9D4BB8E47}"/>
    <cellStyle name="Normal 2 34 2 2 2" xfId="21646" xr:uid="{72D0B25E-96DC-426E-8EF2-473B61969316}"/>
    <cellStyle name="Normal 2 34 2 3" xfId="20851" xr:uid="{E43803DE-0128-45FE-AE4A-E0E94D90EF3F}"/>
    <cellStyle name="Normal 2 34 3" xfId="18028" xr:uid="{BCEBECD0-35FE-4100-82C3-FA75FB8F972F}"/>
    <cellStyle name="Normal 2 34 3 2" xfId="21645" xr:uid="{3AEE04D7-9DC7-477E-8439-60C5383B6102}"/>
    <cellStyle name="Normal 2 34 4" xfId="20567" xr:uid="{078B2CBC-7CD5-4236-A214-BF306A98A039}"/>
    <cellStyle name="Normal 2 35" xfId="15984" xr:uid="{173AAA5F-2785-4B83-8D49-4421F11CB865}"/>
    <cellStyle name="Normal 2 35 2" xfId="16851" xr:uid="{03FC3A93-0A16-44E7-A9A5-C3CFDF94FD3F}"/>
    <cellStyle name="Normal 2 35 2 2" xfId="18031" xr:uid="{A774EF8C-6A6A-410D-8C20-CA9607B49D9F}"/>
    <cellStyle name="Normal 2 35 2 2 2" xfId="21648" xr:uid="{2D2372D4-6546-425A-B91C-6BD2BA91670E}"/>
    <cellStyle name="Normal 2 35 2 3" xfId="20852" xr:uid="{2BC11CA9-9359-4F12-8817-9B82F245A57D}"/>
    <cellStyle name="Normal 2 35 3" xfId="18030" xr:uid="{1269092A-9A08-4C0F-8A92-2936897A659F}"/>
    <cellStyle name="Normal 2 35 3 2" xfId="21647" xr:uid="{3E379BFE-E09D-4F70-8FA2-2D1E7E375D69}"/>
    <cellStyle name="Normal 2 35 4" xfId="20568" xr:uid="{53EB3914-AB98-49BC-B092-EF296ED90EE6}"/>
    <cellStyle name="Normal 2 36" xfId="15985" xr:uid="{AC42C85B-4938-4C69-8EAE-A46C77D764B1}"/>
    <cellStyle name="Normal 2 36 2" xfId="16852" xr:uid="{D14EA151-341D-4B19-8849-ADDA05417AF4}"/>
    <cellStyle name="Normal 2 36 2 2" xfId="18033" xr:uid="{0C048E39-E749-48D3-A580-27029CD766C7}"/>
    <cellStyle name="Normal 2 36 2 2 2" xfId="21650" xr:uid="{54B935E2-8365-4261-917A-7C23011ECEB0}"/>
    <cellStyle name="Normal 2 36 2 3" xfId="20853" xr:uid="{7F09FD8F-9742-482E-9D27-37F8E6F9E931}"/>
    <cellStyle name="Normal 2 36 3" xfId="18032" xr:uid="{7BDC6995-6737-47DE-B25F-7071112A1B7D}"/>
    <cellStyle name="Normal 2 36 3 2" xfId="21649" xr:uid="{0B30C93A-48FF-4E02-96C4-80BB5A415724}"/>
    <cellStyle name="Normal 2 36 4" xfId="20569" xr:uid="{C6320C48-4C74-4A99-BA69-9B1D71EFDAC2}"/>
    <cellStyle name="Normal 2 37" xfId="15986" xr:uid="{63115EC2-3E13-4A4B-81FE-354DB31C3887}"/>
    <cellStyle name="Normal 2 37 2" xfId="18034" xr:uid="{EB61D242-71F7-478B-AEE8-CD52F5551738}"/>
    <cellStyle name="Normal 2 37 2 2" xfId="21651" xr:uid="{C1F15167-DE9F-46D3-9EF7-48EC26108119}"/>
    <cellStyle name="Normal 2 37 3" xfId="31202" xr:uid="{88ADC467-2D08-491C-9D68-4E7A5823A0F5}"/>
    <cellStyle name="Normal 2 37 4" xfId="31203" xr:uid="{AB516FBB-B316-4605-888A-A9EC56359AB9}"/>
    <cellStyle name="Normal 2 37 5" xfId="31204" xr:uid="{0C76237C-D8A9-49B2-8AB6-54FEF3CAFF59}"/>
    <cellStyle name="Normal 2 37 6" xfId="31205" xr:uid="{B885098C-557C-4493-89E2-82A18DDEDDB5}"/>
    <cellStyle name="Normal 2 38" xfId="15987" xr:uid="{E007B817-206E-4BA1-A433-5C910BF0695F}"/>
    <cellStyle name="Normal 2 38 2" xfId="18035" xr:uid="{6F6D32FD-D0E2-4EF5-8D76-7F5B75CFFBA3}"/>
    <cellStyle name="Normal 2 38 2 2" xfId="21652" xr:uid="{04203D07-0BC6-4132-B234-AC773ED6CD96}"/>
    <cellStyle name="Normal 2 38 3" xfId="31206" xr:uid="{D41BFA3C-EFCA-4544-9478-D3714AA23A39}"/>
    <cellStyle name="Normal 2 38 4" xfId="31207" xr:uid="{DBB8A416-1933-41C6-8ACE-73970FAFFF24}"/>
    <cellStyle name="Normal 2 38 5" xfId="31208" xr:uid="{9B5E0BC6-E3DF-42AC-9BD6-F23436A8E214}"/>
    <cellStyle name="Normal 2 38 6" xfId="31209" xr:uid="{904C6084-D854-4987-BF94-C5E92F294029}"/>
    <cellStyle name="Normal 2 39" xfId="15988" xr:uid="{48AE2DC7-92BC-4797-99D6-876CDB652BAF}"/>
    <cellStyle name="Normal 2 39 2" xfId="18036" xr:uid="{B81E977A-F442-4CBE-ABCA-7AA080A0E26E}"/>
    <cellStyle name="Normal 2 39 2 2" xfId="21653" xr:uid="{FB2C6AE1-2E5F-4A83-91D1-B3BC9910FFD5}"/>
    <cellStyle name="Normal 2 39 3" xfId="31210" xr:uid="{DF9CCBCF-5CEE-491C-902B-AFC0265C8055}"/>
    <cellStyle name="Normal 2 39 4" xfId="31211" xr:uid="{CE5EFCAB-D705-4CCC-96D2-E573174B8281}"/>
    <cellStyle name="Normal 2 39 5" xfId="31212" xr:uid="{664F0494-E302-44AD-B125-FDF9A55BED3D}"/>
    <cellStyle name="Normal 2 39 6" xfId="31213" xr:uid="{2B8D3A08-D720-4DEF-AB93-F325F46EAB99}"/>
    <cellStyle name="Normal 2 4" xfId="2926" xr:uid="{7D7D2C38-400B-4C49-8D20-8DCF34BED2A8}"/>
    <cellStyle name="Normal 2 4 2" xfId="4995" xr:uid="{52C258E0-4BBB-45F3-8A03-CF504B7627A2}"/>
    <cellStyle name="Normal 2 4 2 2" xfId="18038" xr:uid="{35CA8DA6-2662-4B12-8111-BE347F0C0DB2}"/>
    <cellStyle name="Normal 2 4 2 2 2" xfId="21655" xr:uid="{1C049AAA-8CFC-4CDF-AE4B-4195CE971E27}"/>
    <cellStyle name="Normal 2 4 2 3" xfId="31214" xr:uid="{41F752AB-1953-41C8-BA9B-CB935CC647E3}"/>
    <cellStyle name="Normal 2 4 2 4" xfId="31215" xr:uid="{DB890CEF-600B-476C-B0DD-019116618BD0}"/>
    <cellStyle name="Normal 2 4 2 5" xfId="31216" xr:uid="{A8CAA1A6-2B2C-4203-8BC1-5788616DD913}"/>
    <cellStyle name="Normal 2 4 2 6" xfId="31217" xr:uid="{037AD710-C2D1-4A2A-AE87-30617775B512}"/>
    <cellStyle name="Normal 2 4 3" xfId="4135" xr:uid="{E45D22F5-C2B0-413B-9F36-A14561E967A0}"/>
    <cellStyle name="Normal 2 4 3 2" xfId="21654" xr:uid="{A63F73CC-AF3D-4F3F-A895-349E88C201D9}"/>
    <cellStyle name="Normal 2 4 3 3" xfId="43965" xr:uid="{AFEE5461-6526-41B4-AB37-672C3C0A97BD}"/>
    <cellStyle name="Normal 2 4 3 4" xfId="18037" xr:uid="{3CFF263C-B839-4B79-82EF-0651210FC0C4}"/>
    <cellStyle name="Normal 2 4 4" xfId="6201" xr:uid="{F537DF69-7E82-4A83-8E46-302EF97C886F}"/>
    <cellStyle name="Normal 2 4 4 2" xfId="45871" xr:uid="{7960F608-B714-4DEA-904B-3E561B067A3A}"/>
    <cellStyle name="Normal 2 4 4 3" xfId="31218" xr:uid="{920236D6-7072-4034-AE94-E8D94C86EB94}"/>
    <cellStyle name="Normal 2 4 5" xfId="8881" xr:uid="{1798BD5A-3359-4184-A50C-47933A590593}"/>
    <cellStyle name="Normal 2 4 5 2" xfId="31219" xr:uid="{856E2641-8403-4CDE-9993-4C2CCD4F4729}"/>
    <cellStyle name="Normal 2 4 6" xfId="31220" xr:uid="{A0CE1EE3-D265-4F32-A7B7-56E277434B9C}"/>
    <cellStyle name="Normal 2 4 7" xfId="31221" xr:uid="{060318D5-500E-4D6B-899A-77C87286B955}"/>
    <cellStyle name="Normal 2 4 8" xfId="31222" xr:uid="{B51B500B-F942-4783-B5CE-6267D366870F}"/>
    <cellStyle name="Normal 2 40" xfId="15989" xr:uid="{EE99A085-B754-4579-A2DE-A152F2633ECB}"/>
    <cellStyle name="Normal 2 40 2" xfId="16853" xr:uid="{5D1B8122-7ECB-447F-AB5A-7E42D6839361}"/>
    <cellStyle name="Normal 2 40 2 2" xfId="18040" xr:uid="{8C103481-DEB8-45DE-9D92-3218C3593DFD}"/>
    <cellStyle name="Normal 2 40 2 2 2" xfId="21657" xr:uid="{69354E42-E55B-45CD-9A54-47831205780B}"/>
    <cellStyle name="Normal 2 40 2 3" xfId="20854" xr:uid="{D4EE55FB-C21C-4F93-9C2E-BFD3C0F5F523}"/>
    <cellStyle name="Normal 2 40 3" xfId="18039" xr:uid="{63A8A495-6C54-439A-A7BC-76455F2DCAA8}"/>
    <cellStyle name="Normal 2 40 3 2" xfId="21656" xr:uid="{2F164310-D7F3-4286-A0D5-1F4754ADAE9C}"/>
    <cellStyle name="Normal 2 40 4" xfId="20570" xr:uid="{3B64ED92-C718-4500-B871-9D29A93575E0}"/>
    <cellStyle name="Normal 2 41" xfId="15990" xr:uid="{C8026D80-4565-4CC2-80E6-775BC903FACE}"/>
    <cellStyle name="Normal 2 41 2" xfId="18041" xr:uid="{95E2BA41-D919-4CDA-A949-E4A30A4FE06A}"/>
    <cellStyle name="Normal 2 41 2 2" xfId="21658" xr:uid="{E66416F7-7DB3-4E05-806C-91D09C32AD89}"/>
    <cellStyle name="Normal 2 41 3" xfId="31223" xr:uid="{810AAC11-426F-4379-8852-16B32501AB25}"/>
    <cellStyle name="Normal 2 41 4" xfId="31224" xr:uid="{ACD2C5C6-23C7-43DA-B629-D433641B2C06}"/>
    <cellStyle name="Normal 2 41 5" xfId="31225" xr:uid="{EDB1F089-1ADA-4F5B-B86B-40C583BD7361}"/>
    <cellStyle name="Normal 2 41 6" xfId="31226" xr:uid="{D66B50BC-C14A-4989-831E-5E12B0EC683F}"/>
    <cellStyle name="Normal 2 42" xfId="15991" xr:uid="{3D1B3628-110F-4DE7-ABAC-EB340350BCFB}"/>
    <cellStyle name="Normal 2 42 2" xfId="18042" xr:uid="{9EF5A120-707F-42C4-BB09-F5C497BC5838}"/>
    <cellStyle name="Normal 2 42 2 2" xfId="21659" xr:uid="{7F7E353F-D544-42A0-8287-13ACF2A1547B}"/>
    <cellStyle name="Normal 2 42 3" xfId="31227" xr:uid="{8E42C706-1CCF-437B-BA68-486AFB3ED9EF}"/>
    <cellStyle name="Normal 2 42 4" xfId="31228" xr:uid="{320449EC-A3F9-4964-BD6B-F4A6CDA32590}"/>
    <cellStyle name="Normal 2 42 5" xfId="31229" xr:uid="{1865CC91-A630-4780-8E05-419FB71C18BF}"/>
    <cellStyle name="Normal 2 42 6" xfId="31230" xr:uid="{4A0F4DD5-3AEA-428E-9C0F-FEE6BB42AC4D}"/>
    <cellStyle name="Normal 2 43" xfId="15992" xr:uid="{9DE75914-A0DE-45E7-8948-89B78CD6E208}"/>
    <cellStyle name="Normal 2 43 2" xfId="16854" xr:uid="{FD532EEB-C97F-4C39-B4A1-7B763139D4CC}"/>
    <cellStyle name="Normal 2 43 2 2" xfId="18044" xr:uid="{DEB3CD9E-DE22-4781-8398-A74F892F27FE}"/>
    <cellStyle name="Normal 2 43 2 2 2" xfId="21661" xr:uid="{5400EE0D-9A76-4EDA-90DD-DBA6AA7033C4}"/>
    <cellStyle name="Normal 2 43 2 3" xfId="20855" xr:uid="{B6C8CC64-2459-4405-9F4E-B97028FB10FB}"/>
    <cellStyle name="Normal 2 43 3" xfId="18043" xr:uid="{776D7B99-B579-43FC-A8ED-3A09693274EA}"/>
    <cellStyle name="Normal 2 43 3 2" xfId="21660" xr:uid="{A49FBD7E-1A31-40B0-A657-B645A3A42E94}"/>
    <cellStyle name="Normal 2 43 4" xfId="20571" xr:uid="{E50CEC97-158C-4FD4-ACB1-F38D3487404E}"/>
    <cellStyle name="Normal 2 44" xfId="15993" xr:uid="{5978D010-C1DC-4A8C-B5EF-A1A5EEA08B0A}"/>
    <cellStyle name="Normal 2 44 2" xfId="16855" xr:uid="{9BBC46EE-C80F-42F5-A4F2-830EAF55D883}"/>
    <cellStyle name="Normal 2 44 2 2" xfId="18046" xr:uid="{EF78739F-C5C3-454C-A6F8-EEAF2D81B0D4}"/>
    <cellStyle name="Normal 2 44 2 2 2" xfId="21663" xr:uid="{CD23BF52-8334-44AD-9FC3-2EB4DD15FB75}"/>
    <cellStyle name="Normal 2 44 2 3" xfId="20856" xr:uid="{C815E722-087E-461A-8552-75577E69B511}"/>
    <cellStyle name="Normal 2 44 3" xfId="18045" xr:uid="{D94EE802-DB8B-494E-9ABA-8A96CE713BBF}"/>
    <cellStyle name="Normal 2 44 3 2" xfId="21662" xr:uid="{04794273-B058-4062-946B-789AE6DE7FF5}"/>
    <cellStyle name="Normal 2 44 4" xfId="20572" xr:uid="{160A17BC-87A4-44EF-A22A-85171C46EC22}"/>
    <cellStyle name="Normal 2 45" xfId="15994" xr:uid="{C8181CF8-2F52-4877-8BD4-F159EA9CF90F}"/>
    <cellStyle name="Normal 2 45 2" xfId="16856" xr:uid="{7809A86F-FDCF-4B31-A642-A8CF099156E5}"/>
    <cellStyle name="Normal 2 45 2 2" xfId="18048" xr:uid="{6956C8B8-9D56-42C7-96C1-211FC6681BD8}"/>
    <cellStyle name="Normal 2 45 2 2 2" xfId="21665" xr:uid="{29A5173F-DD0E-4AC1-8EF2-D706B9E9FED5}"/>
    <cellStyle name="Normal 2 45 2 3" xfId="20857" xr:uid="{8B915A07-6BF9-44C2-829C-68D1ADE08B15}"/>
    <cellStyle name="Normal 2 45 3" xfId="18047" xr:uid="{8E04C9DD-D60B-44AC-A71D-7881309B7FD0}"/>
    <cellStyle name="Normal 2 45 3 2" xfId="21664" xr:uid="{60421F9F-DE5B-40E9-AA53-DA9AEA3CA907}"/>
    <cellStyle name="Normal 2 45 4" xfId="20573" xr:uid="{B2CC16F2-D348-4ABC-9AFA-4E9BB43A2953}"/>
    <cellStyle name="Normal 2 46" xfId="15995" xr:uid="{BD2A4215-90EA-43A5-85E8-2782A75448EA}"/>
    <cellStyle name="Normal 2 46 2" xfId="16857" xr:uid="{BC9DC464-3BE5-4BBD-A673-3D69D1054712}"/>
    <cellStyle name="Normal 2 46 2 2" xfId="18050" xr:uid="{8EF98814-96FE-4CE0-A89D-3DD73943103C}"/>
    <cellStyle name="Normal 2 46 2 2 2" xfId="21667" xr:uid="{1A95FC42-0689-4215-849B-87D4C7806E6A}"/>
    <cellStyle name="Normal 2 46 2 3" xfId="20858" xr:uid="{D451A4CC-47BC-4C18-8557-225B39EC2440}"/>
    <cellStyle name="Normal 2 46 3" xfId="18049" xr:uid="{765DFAFB-4EAB-49B8-ADCE-E9CE7FC99216}"/>
    <cellStyle name="Normal 2 46 3 2" xfId="21666" xr:uid="{1F09AF1E-DCBD-436D-804C-6EC13280101B}"/>
    <cellStyle name="Normal 2 46 4" xfId="20574" xr:uid="{BAF9E4F2-19B2-4EC3-8A91-CE586EE63FA7}"/>
    <cellStyle name="Normal 2 47" xfId="18051" xr:uid="{830B8CCD-5D30-4246-BEAA-F21E32D67675}"/>
    <cellStyle name="Normal 2 47 2" xfId="21668" xr:uid="{60370535-6E3A-4B3F-A337-07B1E910FFEB}"/>
    <cellStyle name="Normal 2 48" xfId="17753" xr:uid="{D01144E7-00B9-4F5B-859A-BBADCDC2B431}"/>
    <cellStyle name="Normal 2 48 2" xfId="21370" xr:uid="{5521E12C-B692-4380-8911-F075A737B79F}"/>
    <cellStyle name="Normal 2 49" xfId="19794" xr:uid="{DCFFD16A-35E4-4C90-AD2C-1F8DE631A6A3}"/>
    <cellStyle name="Normal 2 49 2" xfId="31232" xr:uid="{385F5BBA-7A14-4198-9248-8943D242A1DA}"/>
    <cellStyle name="Normal 2 49 3" xfId="31231" xr:uid="{5205C75D-2F25-4169-BCCD-4201CA65BF53}"/>
    <cellStyle name="Normal 2 5" xfId="2927" xr:uid="{7E13EE27-BE2F-4FA3-BA18-FD406570C8B1}"/>
    <cellStyle name="Normal 2 5 10" xfId="31233" xr:uid="{B6F68973-D56F-4ED8-8817-B9390EACD70C}"/>
    <cellStyle name="Normal 2 5 2" xfId="2928" xr:uid="{BDBD0DE0-E7A7-4979-9E7D-FA9930B07A72}"/>
    <cellStyle name="Normal 2 5 2 2" xfId="16790" xr:uid="{74859614-9D71-4A38-ABA0-A61DE5FB5494}"/>
    <cellStyle name="Normal 2 5 2 2 2" xfId="18054" xr:uid="{4E0B442B-D7C0-48CC-AE8D-81E6564104D5}"/>
    <cellStyle name="Normal 2 5 2 2 2 2" xfId="21671" xr:uid="{C6DD71F1-9587-4B03-A37A-0DC5B932E48A}"/>
    <cellStyle name="Normal 2 5 2 2 3" xfId="31234" xr:uid="{7FB8501B-B5C4-408F-8B33-AC6DFC1BE602}"/>
    <cellStyle name="Normal 2 5 2 2 4" xfId="31235" xr:uid="{F6CCF725-4B42-4410-83DB-CFAE69C7F7B2}"/>
    <cellStyle name="Normal 2 5 2 2 5" xfId="31236" xr:uid="{A00338F6-6CA9-4966-B1C5-D20D936FC206}"/>
    <cellStyle name="Normal 2 5 2 2 6" xfId="31237" xr:uid="{5B804413-2B0D-4E58-B7A4-6453C3C5DD4E}"/>
    <cellStyle name="Normal 2 5 2 3" xfId="16519" xr:uid="{5010B6EE-4EDF-48CD-B301-54B96C1C6786}"/>
    <cellStyle name="Normal 2 5 2 3 2" xfId="18055" xr:uid="{28922B60-8433-477C-AFB3-85AB15B440F3}"/>
    <cellStyle name="Normal 2 5 2 3 2 2" xfId="21672" xr:uid="{E248E109-BD7F-4E1F-9C96-45F314161FBD}"/>
    <cellStyle name="Normal 2 5 2 3 3" xfId="31238" xr:uid="{6651454A-4E30-4E29-BB75-40466254F1DE}"/>
    <cellStyle name="Normal 2 5 2 3 4" xfId="31239" xr:uid="{9C4AECF4-99A3-4110-AB89-2823E2A6828F}"/>
    <cellStyle name="Normal 2 5 2 3 5" xfId="31240" xr:uid="{087B0286-545C-4460-9801-E25AAA439FC7}"/>
    <cellStyle name="Normal 2 5 2 3 6" xfId="31241" xr:uid="{3C423D98-48B8-4FCC-83F7-A3DE7F879A03}"/>
    <cellStyle name="Normal 2 5 2 4" xfId="18053" xr:uid="{D6285BA3-B5EB-4309-B7BC-A8BA2380ADA4}"/>
    <cellStyle name="Normal 2 5 2 4 2" xfId="21670" xr:uid="{B26F53E3-8908-4E81-92C4-D51F18634202}"/>
    <cellStyle name="Normal 2 5 2 5" xfId="31242" xr:uid="{5EA29B04-CEFE-4F75-99F6-099882D28ADD}"/>
    <cellStyle name="Normal 2 5 2 6" xfId="31243" xr:uid="{92D86DFE-2001-4FFF-8E36-21C0C45F9EC0}"/>
    <cellStyle name="Normal 2 5 2 7" xfId="31244" xr:uid="{5F3A8588-E24B-468E-B6F8-911ED9C87607}"/>
    <cellStyle name="Normal 2 5 2 8" xfId="31245" xr:uid="{70B8E75F-36D0-45AD-8324-C2F4F8939F0B}"/>
    <cellStyle name="Normal 2 5 3" xfId="4996" xr:uid="{9972E49A-21A3-4238-B47E-C576A294B809}"/>
    <cellStyle name="Normal 2 5 3 2" xfId="16858" xr:uid="{06A44A01-B087-4642-8DB8-6338B44DB9A3}"/>
    <cellStyle name="Normal 2 5 3 2 2" xfId="18057" xr:uid="{6F13C5A7-20AB-417F-8383-5F87158A95DF}"/>
    <cellStyle name="Normal 2 5 3 2 2 2" xfId="21674" xr:uid="{88BC8E7B-21E5-43C1-8DBD-1CAE2616BF27}"/>
    <cellStyle name="Normal 2 5 3 2 3" xfId="31246" xr:uid="{0C755C25-2CB8-4795-A3E1-CF06550B6E07}"/>
    <cellStyle name="Normal 2 5 3 2 4" xfId="31247" xr:uid="{9139B5A6-DE9F-4913-A34E-ADE46D9E2CB4}"/>
    <cellStyle name="Normal 2 5 3 2 5" xfId="31248" xr:uid="{FBB63997-27BC-4FA6-9DC6-26770CDF9363}"/>
    <cellStyle name="Normal 2 5 3 2 6" xfId="31249" xr:uid="{2A2AAD7C-7B98-4BD1-A92E-F3BAFADC640E}"/>
    <cellStyle name="Normal 2 5 3 3" xfId="16612" xr:uid="{11E46C46-B59A-443B-941F-6158CC3532EE}"/>
    <cellStyle name="Normal 2 5 3 3 2" xfId="18058" xr:uid="{7FB35B74-5E52-4410-B1F0-89BB6E9CFBA8}"/>
    <cellStyle name="Normal 2 5 3 3 2 2" xfId="21675" xr:uid="{34F7CA3F-485D-4A45-A560-82C8A26E36C8}"/>
    <cellStyle name="Normal 2 5 3 3 3" xfId="31250" xr:uid="{7EDCEBD3-5FAE-47BF-AAE7-72A1A065B61F}"/>
    <cellStyle name="Normal 2 5 3 3 4" xfId="31251" xr:uid="{077B0CFC-DB77-48A7-A8D4-3931E14C1BD3}"/>
    <cellStyle name="Normal 2 5 3 3 5" xfId="31252" xr:uid="{52402910-3251-41CF-B5F6-37B8E2B9FCA5}"/>
    <cellStyle name="Normal 2 5 3 3 6" xfId="31253" xr:uid="{303A1DD3-4825-4956-9A3F-9223D02FD0A9}"/>
    <cellStyle name="Normal 2 5 3 4" xfId="18056" xr:uid="{CE04D0A4-CF4A-47BC-9EA1-B7368D47EAA4}"/>
    <cellStyle name="Normal 2 5 3 4 2" xfId="21673" xr:uid="{4959847B-AD57-4DEC-AD24-79000BE2A536}"/>
    <cellStyle name="Normal 2 5 3 5" xfId="31254" xr:uid="{1BBC1CE1-6A7F-4F8D-B061-158AD7840166}"/>
    <cellStyle name="Normal 2 5 3 6" xfId="31255" xr:uid="{37E3C998-52EE-4A19-85E5-6F4DB3824750}"/>
    <cellStyle name="Normal 2 5 3 7" xfId="31256" xr:uid="{87C3FAC8-A113-40ED-BA45-B75C0EAA7816}"/>
    <cellStyle name="Normal 2 5 3 8" xfId="31257" xr:uid="{7014075C-C805-43A8-BC1E-A3B9831847CD}"/>
    <cellStyle name="Normal 2 5 4" xfId="4136" xr:uid="{5E701A61-F59F-4A2F-AA55-E583FCB9B522}"/>
    <cellStyle name="Normal 2 5 4 2" xfId="18059" xr:uid="{CEC03948-CC08-4360-85FB-DC11B6763590}"/>
    <cellStyle name="Normal 2 5 4 2 2" xfId="21676" xr:uid="{24BEDF29-2640-4F15-9612-65EEF497ED42}"/>
    <cellStyle name="Normal 2 5 4 3" xfId="20679" xr:uid="{C11118B5-CE33-4088-BAA8-E968DD0D3E0B}"/>
    <cellStyle name="Normal 2 5 4 4" xfId="43966" xr:uid="{E0396455-F8FD-4F9A-966C-E7CFB83821F8}"/>
    <cellStyle name="Normal 2 5 4 5" xfId="16518" xr:uid="{26EAE41E-6451-4EBC-A6B0-C08A2C32CA6E}"/>
    <cellStyle name="Normal 2 5 5" xfId="6202" xr:uid="{BE57466C-BE43-455A-981B-430F6E1B663B}"/>
    <cellStyle name="Normal 2 5 5 2" xfId="21669" xr:uid="{EB014E12-6437-4EC4-A1DB-58C2C9871D51}"/>
    <cellStyle name="Normal 2 5 5 3" xfId="45872" xr:uid="{3283677C-215E-48D3-800D-50442CEE7A0B}"/>
    <cellStyle name="Normal 2 5 5 4" xfId="18052" xr:uid="{5BF8CBCB-BD46-4278-9033-AE795E784441}"/>
    <cellStyle name="Normal 2 5 6" xfId="8882" xr:uid="{F4361688-04DB-4988-9AF1-150A06AC7C11}"/>
    <cellStyle name="Normal 2 5 6 2" xfId="31258" xr:uid="{0F422A6C-2AD1-4617-A28B-746F2598F79C}"/>
    <cellStyle name="Normal 2 5 7" xfId="31259" xr:uid="{C65554D5-0BD1-451E-8E13-43E4F73ECD41}"/>
    <cellStyle name="Normal 2 5 8" xfId="31260" xr:uid="{4A7CF7B7-E018-4C53-A19A-BCB5BE00C0BB}"/>
    <cellStyle name="Normal 2 5 9" xfId="31261" xr:uid="{F42EF721-611A-490A-850E-3DBA3204A45F}"/>
    <cellStyle name="Normal 2 50" xfId="19797" xr:uid="{281E0171-2CB2-40EC-BFB7-644B3BF3F4AD}"/>
    <cellStyle name="Normal 2 50 2" xfId="31263" xr:uid="{CAC922D3-C69F-4D95-935B-77D5D667740D}"/>
    <cellStyle name="Normal 2 50 3" xfId="31262" xr:uid="{7A406718-5F0B-4E9C-9DA8-D102F0D1713A}"/>
    <cellStyle name="Normal 2 51" xfId="19799" xr:uid="{25D8D43F-2380-401C-BB8C-4A80D2DA904F}"/>
    <cellStyle name="Normal 2 51 2" xfId="31265" xr:uid="{F3611F9E-F806-4660-A833-5D156DB52C89}"/>
    <cellStyle name="Normal 2 51 3" xfId="31264" xr:uid="{A06FCAD2-9139-4836-9BED-AEE0C0306A99}"/>
    <cellStyle name="Normal 2 52" xfId="19825" xr:uid="{B1D2113F-7051-4244-B85D-1AFAE4934DEC}"/>
    <cellStyle name="Normal 2 52 2" xfId="31266" xr:uid="{F09D86D1-7DF2-4CFE-BD09-53680C8D3D61}"/>
    <cellStyle name="Normal 2 53" xfId="19802" xr:uid="{333E4982-E837-4BF9-8325-91339FBF0236}"/>
    <cellStyle name="Normal 2 53 2" xfId="31267" xr:uid="{0382E01B-AF45-451A-9642-D513CEF86183}"/>
    <cellStyle name="Normal 2 54" xfId="19804" xr:uid="{F926B741-8D3F-438D-BA13-144B294E891B}"/>
    <cellStyle name="Normal 2 55" xfId="19806" xr:uid="{318D46C8-73DF-4F84-BD1A-71460D39330E}"/>
    <cellStyle name="Normal 2 56" xfId="19808" xr:uid="{44C8F09E-BDA2-4AC9-81A8-C17DDA6D3A3F}"/>
    <cellStyle name="Normal 2 57" xfId="19816" xr:uid="{91F572A4-D5B6-4BD1-AD91-6D86386AE77F}"/>
    <cellStyle name="Normal 2 58" xfId="19821" xr:uid="{165ACFC8-C635-4D36-A804-53E6412446A9}"/>
    <cellStyle name="Normal 2 59" xfId="19827" xr:uid="{896529B8-3736-450C-A5B7-D6F5F23B8BF4}"/>
    <cellStyle name="Normal 2 6" xfId="2929" xr:uid="{D010781F-0C5D-4B57-9E5C-76817423901C}"/>
    <cellStyle name="Normal 2 6 10" xfId="31268" xr:uid="{180EE17C-C873-41A5-8E81-195814B42F05}"/>
    <cellStyle name="Normal 2 6 11" xfId="31269" xr:uid="{D22AE617-CABA-4A2C-AEBB-326B3B6BBB29}"/>
    <cellStyle name="Normal 2 6 12" xfId="31270" xr:uid="{EB6364DE-F766-4F89-8B93-48275C0E7024}"/>
    <cellStyle name="Normal 2 6 2" xfId="2930" xr:uid="{8B55431D-1824-4DAA-9B15-C4E1BFD8968C}"/>
    <cellStyle name="Normal 2 6 2 2" xfId="16791" xr:uid="{2669E62E-5D6F-420E-97B7-9F5B47AA5EEF}"/>
    <cellStyle name="Normal 2 6 2 2 2" xfId="18062" xr:uid="{EFBE5648-E438-4CCC-88B7-F935F9C52B51}"/>
    <cellStyle name="Normal 2 6 2 2 2 2" xfId="21679" xr:uid="{FF1C79DC-D9FC-43A4-A061-AFF9FB659BF8}"/>
    <cellStyle name="Normal 2 6 2 2 3" xfId="31271" xr:uid="{7DF65819-77B5-4660-83BD-77EAA3C48E40}"/>
    <cellStyle name="Normal 2 6 2 2 4" xfId="31272" xr:uid="{D4929F39-C041-4C5C-8264-891CC1D82E12}"/>
    <cellStyle name="Normal 2 6 2 2 5" xfId="31273" xr:uid="{C0020025-5347-4B53-9BA7-90D76EB3CD2E}"/>
    <cellStyle name="Normal 2 6 2 2 6" xfId="31274" xr:uid="{805C50A4-AA2B-406F-AB89-C3C5CBC90B3D}"/>
    <cellStyle name="Normal 2 6 2 3" xfId="16521" xr:uid="{AD1062B4-D272-41F6-92A6-D31E062412A8}"/>
    <cellStyle name="Normal 2 6 2 3 2" xfId="18063" xr:uid="{9BDD3157-AB02-47B3-8640-93F082666DF5}"/>
    <cellStyle name="Normal 2 6 2 3 2 2" xfId="21680" xr:uid="{CBF5B2A2-8DC0-49CC-B169-2B06B87AA0D9}"/>
    <cellStyle name="Normal 2 6 2 3 3" xfId="31275" xr:uid="{2F5FEAB7-8825-422F-B2A1-B4307975346F}"/>
    <cellStyle name="Normal 2 6 2 3 4" xfId="31276" xr:uid="{9B491F6C-092A-4B55-B9EB-024BB4CE121E}"/>
    <cellStyle name="Normal 2 6 2 3 5" xfId="31277" xr:uid="{57DAF93C-C1F7-4052-9372-33D016C6489D}"/>
    <cellStyle name="Normal 2 6 2 3 6" xfId="31278" xr:uid="{3DA34451-1E33-4D56-B880-0F371F5B6EFC}"/>
    <cellStyle name="Normal 2 6 2 4" xfId="18061" xr:uid="{6B621952-F9EA-4B9A-A7AC-F79EFCE6AC5A}"/>
    <cellStyle name="Normal 2 6 2 4 2" xfId="21678" xr:uid="{DDC7FAD1-A47B-4043-8030-E32200E98527}"/>
    <cellStyle name="Normal 2 6 2 5" xfId="31279" xr:uid="{5B179751-4DC4-41B4-94AC-6246A6920E7B}"/>
    <cellStyle name="Normal 2 6 2 6" xfId="31280" xr:uid="{68820053-C6B9-40A5-AEF1-76D5ACBFB5FB}"/>
    <cellStyle name="Normal 2 6 2 7" xfId="31281" xr:uid="{EA818DA7-9499-4678-A16D-FB345649443B}"/>
    <cellStyle name="Normal 2 6 2 8" xfId="31282" xr:uid="{A84C2896-1835-44EE-B50A-A7F1F5A5F027}"/>
    <cellStyle name="Normal 2 6 3" xfId="4997" xr:uid="{EAE4FD52-B9E6-47CE-B7A4-706F946D9169}"/>
    <cellStyle name="Normal 2 6 3 2" xfId="18064" xr:uid="{C1BB0353-3B94-418C-9EBF-B59E2EC3F41A}"/>
    <cellStyle name="Normal 2 6 3 2 2" xfId="21681" xr:uid="{F7516F06-6BDD-48BB-84EF-EF5AAAC4FFB2}"/>
    <cellStyle name="Normal 2 6 3 3" xfId="31283" xr:uid="{329A7291-149C-4726-8CC6-C0A99C345B01}"/>
    <cellStyle name="Normal 2 6 3 4" xfId="31284" xr:uid="{2F77240C-51FF-49E9-9E4B-929266BC7AA7}"/>
    <cellStyle name="Normal 2 6 3 5" xfId="31285" xr:uid="{ABE814B4-D673-4A11-81AD-4FA3F80D402D}"/>
    <cellStyle name="Normal 2 6 3 6" xfId="31286" xr:uid="{6617492B-49E9-4A94-8C17-8145007BAB75}"/>
    <cellStyle name="Normal 2 6 4" xfId="4137" xr:uid="{0A73EB9E-EF19-4DD1-B5F4-22B36BD7536B}"/>
    <cellStyle name="Normal 2 6 4 2" xfId="18065" xr:uid="{E452C157-F0F4-4827-A304-7810EE247B7C}"/>
    <cellStyle name="Normal 2 6 4 2 2" xfId="21682" xr:uid="{0F0DB693-2011-4603-B3A3-EB389C6D7D38}"/>
    <cellStyle name="Normal 2 6 4 3" xfId="31287" xr:uid="{8538579A-7B29-42FC-882A-AB4683FEA495}"/>
    <cellStyle name="Normal 2 6 4 4" xfId="31288" xr:uid="{EF037D6E-500B-4386-82A8-BB1E31E85ECE}"/>
    <cellStyle name="Normal 2 6 4 5" xfId="31289" xr:uid="{2662A274-0643-4B69-900B-9E888CFDF732}"/>
    <cellStyle name="Normal 2 6 4 6" xfId="31290" xr:uid="{37ED97EE-DE1E-4BEC-A714-A8A53B388C81}"/>
    <cellStyle name="Normal 2 6 4 7" xfId="43967" xr:uid="{07DCC0CD-84A3-4C35-9CD2-076799624BA0}"/>
    <cellStyle name="Normal 2 6 4 8" xfId="16714" xr:uid="{271EE28B-EA34-4EBA-A3EB-B48AC7D4CC81}"/>
    <cellStyle name="Normal 2 6 5" xfId="6203" xr:uid="{78999623-B995-4E89-94A9-A59821692681}"/>
    <cellStyle name="Normal 2 6 5 2" xfId="18066" xr:uid="{133091B8-AB37-4426-86CF-312C184FECE9}"/>
    <cellStyle name="Normal 2 6 5 2 2" xfId="21683" xr:uid="{8216161D-4D52-4A08-AEF5-7C0467755016}"/>
    <cellStyle name="Normal 2 6 5 3" xfId="20680" xr:uid="{E3F23CC4-02DE-4CFF-8B15-7A39301A02A9}"/>
    <cellStyle name="Normal 2 6 5 4" xfId="45873" xr:uid="{A86BD3A8-1BBE-40DB-8F42-42FFBF8F2E56}"/>
    <cellStyle name="Normal 2 6 5 5" xfId="16520" xr:uid="{9A261E53-621F-43F8-A169-593C9DC57242}"/>
    <cellStyle name="Normal 2 6 6" xfId="8883" xr:uid="{D6855159-418E-4B12-95E8-2628A3CD15E6}"/>
    <cellStyle name="Normal 2 6 6 2" xfId="21684" xr:uid="{2A627514-3F8D-4366-B4F5-01B2DAF89C5E}"/>
    <cellStyle name="Normal 2 6 6 3" xfId="18067" xr:uid="{C6AFE964-431F-4FBC-8C43-A8464CB90D57}"/>
    <cellStyle name="Normal 2 6 7" xfId="18060" xr:uid="{F6617A12-D37F-4905-9EA5-6B2DC080D0B8}"/>
    <cellStyle name="Normal 2 6 7 2" xfId="21677" xr:uid="{8E403E86-5F2D-4B4E-AB5E-F3B08347C7AB}"/>
    <cellStyle name="Normal 2 6 8" xfId="31291" xr:uid="{E778C8AE-838A-4490-8A17-F17617E855FA}"/>
    <cellStyle name="Normal 2 6 9" xfId="31292" xr:uid="{249C228F-EAFD-45F5-B727-D1782B52E961}"/>
    <cellStyle name="Normal 2 60" xfId="19829" xr:uid="{09F50C9B-DC1A-4929-8657-C39C5D543B0A}"/>
    <cellStyle name="Normal 2 61" xfId="19831" xr:uid="{7D1D2274-C4D7-4C16-BF6A-A311927630EE}"/>
    <cellStyle name="Normal 2 62" xfId="19833" xr:uid="{5B0A2B5E-08CB-4B53-820A-21952945BA0B}"/>
    <cellStyle name="Normal 2 63" xfId="19835" xr:uid="{5C2C5677-0788-43E0-86BA-E04241F3AE8D}"/>
    <cellStyle name="Normal 2 64" xfId="19837" xr:uid="{E5C1D965-DAF8-4E83-AA78-2526F603553B}"/>
    <cellStyle name="Normal 2 65" xfId="19840" xr:uid="{4E32E947-229D-43CA-9F08-46D184814D97}"/>
    <cellStyle name="Normal 2 66" xfId="19842" xr:uid="{3940EDFE-F224-4D91-924F-1ED8BA5AE879}"/>
    <cellStyle name="Normal 2 67" xfId="19844" xr:uid="{83FDB8EA-504E-42E7-AAAB-C3D1BAA37C52}"/>
    <cellStyle name="Normal 2 68" xfId="19847" xr:uid="{9BD7689E-3F34-412F-92DB-8644AD12AEEB}"/>
    <cellStyle name="Normal 2 69" xfId="19848" xr:uid="{7C0FEC50-C69F-4909-AA1C-C5DEB92AF2C1}"/>
    <cellStyle name="Normal 2 7" xfId="2931" xr:uid="{1FEDC172-20F6-4E8C-9E0F-D32E0C522681}"/>
    <cellStyle name="Normal 2 7 10" xfId="31293" xr:uid="{F4F6C2DC-4034-4FA2-A038-377693EBD7D4}"/>
    <cellStyle name="Normal 2 7 11" xfId="31294" xr:uid="{89A150A9-8D67-42DC-980C-062325162D78}"/>
    <cellStyle name="Normal 2 7 12" xfId="31295" xr:uid="{6233F3EB-E7D3-40EC-A719-9B470A9F0C0D}"/>
    <cellStyle name="Normal 2 7 2" xfId="2932" xr:uid="{16EE708D-F93A-42D4-8EA8-B75DB991F8D5}"/>
    <cellStyle name="Normal 2 7 2 2" xfId="16792" xr:uid="{B600D1BA-DDD9-4D49-9C2E-CFBFB3628DB6}"/>
    <cellStyle name="Normal 2 7 2 2 2" xfId="18070" xr:uid="{1C2B82CA-DAE2-442F-B646-B7B6364F6978}"/>
    <cellStyle name="Normal 2 7 2 2 2 2" xfId="21687" xr:uid="{0F6FB892-6F2A-450C-B019-A6CE9DC9F869}"/>
    <cellStyle name="Normal 2 7 2 2 3" xfId="31296" xr:uid="{2334619E-B8CD-47AE-9164-4C43E8C9E787}"/>
    <cellStyle name="Normal 2 7 2 2 4" xfId="31297" xr:uid="{8E4BE089-1234-445F-AA5F-62B441B6AE02}"/>
    <cellStyle name="Normal 2 7 2 2 5" xfId="31298" xr:uid="{16BBABFB-1FB2-4A92-B4D8-F81A9D1D9D56}"/>
    <cellStyle name="Normal 2 7 2 2 6" xfId="31299" xr:uid="{62F1D708-3719-418B-A0DA-D228CF791808}"/>
    <cellStyle name="Normal 2 7 2 3" xfId="16523" xr:uid="{C9384867-583C-4BBB-9A57-A98AE5004DAE}"/>
    <cellStyle name="Normal 2 7 2 3 2" xfId="18071" xr:uid="{B0CB1E14-DC0E-4DF4-8BED-04239464AD48}"/>
    <cellStyle name="Normal 2 7 2 3 2 2" xfId="21688" xr:uid="{2497D736-4928-43F1-9EB5-DF5460A7E749}"/>
    <cellStyle name="Normal 2 7 2 3 3" xfId="31300" xr:uid="{A7B916B3-BE3E-4707-A63B-35B5B2CF5964}"/>
    <cellStyle name="Normal 2 7 2 3 4" xfId="31301" xr:uid="{6C0FC958-E5B8-42C6-A7FF-3154E6FD0354}"/>
    <cellStyle name="Normal 2 7 2 3 5" xfId="31302" xr:uid="{DCE227A8-2CD0-4836-BB56-B1D8DBCB9722}"/>
    <cellStyle name="Normal 2 7 2 3 6" xfId="31303" xr:uid="{319067CD-7B30-4D0A-B975-DC501A69817F}"/>
    <cellStyle name="Normal 2 7 2 4" xfId="18069" xr:uid="{DC510197-660E-4614-A1B6-EB3BEAABF088}"/>
    <cellStyle name="Normal 2 7 2 4 2" xfId="21686" xr:uid="{A2DBF0DE-3A98-4F40-A5C9-7C60ABC4E1A5}"/>
    <cellStyle name="Normal 2 7 2 5" xfId="31304" xr:uid="{7CCB4713-AF15-45AA-9723-59845EF04173}"/>
    <cellStyle name="Normal 2 7 2 6" xfId="31305" xr:uid="{7E4C7D17-C907-4ACB-AA70-06A2893120A5}"/>
    <cellStyle name="Normal 2 7 2 7" xfId="31306" xr:uid="{6799DC83-8E95-4EFE-8407-7DD5811345E0}"/>
    <cellStyle name="Normal 2 7 2 8" xfId="31307" xr:uid="{F1FDC8B2-2771-4771-B70E-015238C1A268}"/>
    <cellStyle name="Normal 2 7 3" xfId="4998" xr:uid="{B33DBBFD-C985-40DC-9253-F7D1BFD18B52}"/>
    <cellStyle name="Normal 2 7 3 2" xfId="18072" xr:uid="{5400CFFD-4047-4377-80FD-A486C0AC976B}"/>
    <cellStyle name="Normal 2 7 3 2 2" xfId="21689" xr:uid="{0BB51FB8-2C80-4BDF-8B43-1D4E136E090B}"/>
    <cellStyle name="Normal 2 7 3 3" xfId="31308" xr:uid="{4BFE204C-DC2C-426E-8B38-BB50034EEBB1}"/>
    <cellStyle name="Normal 2 7 3 4" xfId="31309" xr:uid="{37CE4BF8-6F12-4898-9F92-0CB256E60737}"/>
    <cellStyle name="Normal 2 7 3 5" xfId="31310" xr:uid="{53348741-E000-44B2-A0D6-172EBE6E4AF3}"/>
    <cellStyle name="Normal 2 7 3 6" xfId="31311" xr:uid="{536042FD-4F96-4110-AEEC-C594505A8057}"/>
    <cellStyle name="Normal 2 7 4" xfId="4138" xr:uid="{2890E89D-46EF-4DCD-A553-3D3497CA0B60}"/>
    <cellStyle name="Normal 2 7 4 2" xfId="18073" xr:uid="{773F1BB7-1198-41AF-9B56-C1A04A42F228}"/>
    <cellStyle name="Normal 2 7 4 2 2" xfId="21690" xr:uid="{459DB0F5-BFF6-4DF7-8311-6F53645B61A4}"/>
    <cellStyle name="Normal 2 7 4 3" xfId="31312" xr:uid="{DE085235-AAD5-4590-B2D5-23B23450EFF0}"/>
    <cellStyle name="Normal 2 7 4 4" xfId="31313" xr:uid="{55A4CF26-12F4-4EFE-B061-E554D04F891B}"/>
    <cellStyle name="Normal 2 7 4 5" xfId="31314" xr:uid="{4FF24F47-68D6-47B5-97F4-C6E6AB609FDF}"/>
    <cellStyle name="Normal 2 7 4 6" xfId="31315" xr:uid="{9E2664C2-B02B-4E34-AA09-D97F0900B0A1}"/>
    <cellStyle name="Normal 2 7 4 7" xfId="43968" xr:uid="{3CE2C93D-FE69-4B6C-A220-E0563BDCF09D}"/>
    <cellStyle name="Normal 2 7 4 8" xfId="16715" xr:uid="{D7BB1E2B-C0A4-4263-BD8A-B79E768ED0E4}"/>
    <cellStyle name="Normal 2 7 5" xfId="6204" xr:uid="{FB3F2026-AE51-4431-AE2C-B1F7B1CC88DF}"/>
    <cellStyle name="Normal 2 7 5 2" xfId="18074" xr:uid="{1C03B39C-14C1-4467-B2BE-CD09C22CB975}"/>
    <cellStyle name="Normal 2 7 5 2 2" xfId="21691" xr:uid="{BC49E191-FA6A-433B-B6E1-51D10C86A538}"/>
    <cellStyle name="Normal 2 7 5 3" xfId="20681" xr:uid="{917A6984-4109-41A8-97E1-F149720201C8}"/>
    <cellStyle name="Normal 2 7 5 4" xfId="45874" xr:uid="{D3B391E5-FB32-45CB-9710-913E81032106}"/>
    <cellStyle name="Normal 2 7 5 5" xfId="16522" xr:uid="{ECAD18FE-C813-453A-9194-346D64A2E322}"/>
    <cellStyle name="Normal 2 7 6" xfId="8884" xr:uid="{8D0DD8E3-5287-4567-8314-EAE3AB24B05A}"/>
    <cellStyle name="Normal 2 7 6 2" xfId="21692" xr:uid="{EBBF5C16-16E0-4FDE-A09B-2EF7CBE1462A}"/>
    <cellStyle name="Normal 2 7 6 3" xfId="18075" xr:uid="{A8C0A57E-AD0E-4A45-A1FD-68C26F7AFC4D}"/>
    <cellStyle name="Normal 2 7 7" xfId="18068" xr:uid="{489CF653-D20F-4BF3-88AB-F9235A6D1FDD}"/>
    <cellStyle name="Normal 2 7 7 2" xfId="21685" xr:uid="{861498A7-C31C-4575-828C-3299D17E6F3B}"/>
    <cellStyle name="Normal 2 7 8" xfId="31316" xr:uid="{A9941C8C-5021-4B5D-A56B-06E4D50407CE}"/>
    <cellStyle name="Normal 2 7 9" xfId="31317" xr:uid="{9E5DA22E-2B38-4585-BB9B-D78C991177D7}"/>
    <cellStyle name="Normal 2 70" xfId="45546" xr:uid="{CE0EF74A-5D55-4F27-8B81-B7CB56A75D62}"/>
    <cellStyle name="Normal 2 71" xfId="45548" xr:uid="{EF699474-48C2-4D29-8D06-E79DC9599934}"/>
    <cellStyle name="Normal 2 72" xfId="45551" xr:uid="{1C60934F-4428-4DC8-90C7-882C9A261E40}"/>
    <cellStyle name="Normal 2 73" xfId="45553" xr:uid="{84EB36DA-C933-4C97-95B3-0F409286273B}"/>
    <cellStyle name="Normal 2 74" xfId="45555" xr:uid="{AF705C5F-7B1E-46F2-AA38-BCE352287E90}"/>
    <cellStyle name="Normal 2 75" xfId="45557" xr:uid="{19DED478-6AAD-43C9-BA96-A81BE2AA02B6}"/>
    <cellStyle name="Normal 2 76" xfId="45559" xr:uid="{8251AF41-D474-431C-B6A9-F70384CA2E23}"/>
    <cellStyle name="Normal 2 77" xfId="45561" xr:uid="{A936EF82-F29D-4672-BE25-537FB87B0BB8}"/>
    <cellStyle name="Normal 2 78" xfId="45563" xr:uid="{1687048D-5F1E-4B55-9C56-250F30AA5986}"/>
    <cellStyle name="Normal 2 79" xfId="45565" xr:uid="{F3AB7B42-64A1-4E1A-861F-B3047BDC6A2E}"/>
    <cellStyle name="Normal 2 8" xfId="2933" xr:uid="{20C28513-73F4-4924-96AC-7C0881B62B1B}"/>
    <cellStyle name="Normal 2 8 2" xfId="4999" xr:uid="{E3678B5F-A6B1-4443-9CC9-A6673B56ED73}"/>
    <cellStyle name="Normal 2 8 2 2" xfId="18077" xr:uid="{DD0C6F76-D01B-462C-B8E3-3089A22EB6B9}"/>
    <cellStyle name="Normal 2 8 2 2 2" xfId="21694" xr:uid="{AB847DD9-5E8F-41EC-8E3D-A58C487991B4}"/>
    <cellStyle name="Normal 2 8 2 3" xfId="31318" xr:uid="{ED0E3CFC-88DB-4227-8875-12C86CB2E163}"/>
    <cellStyle name="Normal 2 8 2 4" xfId="31319" xr:uid="{C89557A7-9019-4663-B44F-1F83515211C4}"/>
    <cellStyle name="Normal 2 8 2 5" xfId="31320" xr:uid="{1D8BBB06-1AC6-4B3D-9223-EACD049EDB89}"/>
    <cellStyle name="Normal 2 8 2 6" xfId="31321" xr:uid="{86B8619C-6F14-4B73-833F-F07CFA7E376A}"/>
    <cellStyle name="Normal 2 8 3" xfId="4139" xr:uid="{588C95AE-05ED-42BC-939D-21CF1C6F2439}"/>
    <cellStyle name="Normal 2 8 3 2" xfId="21693" xr:uid="{CB66B803-C424-4B9F-8A4D-42E149B6711B}"/>
    <cellStyle name="Normal 2 8 3 3" xfId="43969" xr:uid="{4614745B-5A4F-4647-AD76-C0B510F3BB55}"/>
    <cellStyle name="Normal 2 8 3 4" xfId="18076" xr:uid="{E18B473A-BE12-4AFC-BBA5-A38F8083DB31}"/>
    <cellStyle name="Normal 2 8 4" xfId="6205" xr:uid="{FAEFA3BC-566F-4369-98DF-670D963A069B}"/>
    <cellStyle name="Normal 2 8 4 2" xfId="45875" xr:uid="{A7F01187-7DF4-4C9A-882C-2623AC3AD405}"/>
    <cellStyle name="Normal 2 8 4 3" xfId="31322" xr:uid="{2EC995AE-AA9A-44E3-BE3F-2EB989C5D87C}"/>
    <cellStyle name="Normal 2 8 5" xfId="8885" xr:uid="{88322B58-AB7B-4FD3-BF01-AD6D00059939}"/>
    <cellStyle name="Normal 2 8 5 2" xfId="31323" xr:uid="{02133861-BD40-4251-B785-9F2161FF66F5}"/>
    <cellStyle name="Normal 2 8 6" xfId="31324" xr:uid="{4E9A65FB-ABBF-402A-AB5B-70FC3E966090}"/>
    <cellStyle name="Normal 2 8 7" xfId="31325" xr:uid="{EC5307B0-60EB-4659-9500-EF8D6F4E4709}"/>
    <cellStyle name="Normal 2 8 8" xfId="31326" xr:uid="{659762BF-C71D-4A20-81FE-4AB44CA290BD}"/>
    <cellStyle name="Normal 2 80" xfId="45567" xr:uid="{5A324442-1F3A-4ACF-A833-81F68413E263}"/>
    <cellStyle name="Normal 2 81" xfId="45569" xr:uid="{C59E7FCC-92BA-4508-B1ED-19175EBB6BEC}"/>
    <cellStyle name="Normal 2 82" xfId="45572" xr:uid="{6180E73A-CBC3-42FC-9802-FA862F4D0FBA}"/>
    <cellStyle name="Normal 2 83" xfId="45574" xr:uid="{B1851130-905B-4AE8-8593-E4FBFC80C02D}"/>
    <cellStyle name="Normal 2 84" xfId="45675" xr:uid="{009E8F94-6462-483A-98BF-ED1F1CA8256F}"/>
    <cellStyle name="Normal 2 85" xfId="46784" xr:uid="{055CAB15-F5BD-4EE7-AAC7-EF1A81844631}"/>
    <cellStyle name="Normal 2 86" xfId="45576" xr:uid="{72FA52A3-0B6B-49BD-A9CB-6B2D7D505658}"/>
    <cellStyle name="Normal 2 87" xfId="13869" xr:uid="{7D73BDBB-335F-43AF-A8A1-73AF2FCA79E4}"/>
    <cellStyle name="Normal 2 9" xfId="2934" xr:uid="{2B182CD2-E7AB-4A90-8D88-D2690C0206C6}"/>
    <cellStyle name="Normal 2 9 2" xfId="5000" xr:uid="{43CE0B4C-0756-44B2-8B6D-0CC82C87EFED}"/>
    <cellStyle name="Normal 2 9 2 2" xfId="18079" xr:uid="{02D033CD-1F98-4C7B-9090-E7E45CCE9380}"/>
    <cellStyle name="Normal 2 9 2 2 2" xfId="21696" xr:uid="{07813504-57B5-47C2-B2D9-A956D2458E84}"/>
    <cellStyle name="Normal 2 9 2 3" xfId="31327" xr:uid="{2201C608-AE59-4F7F-9236-811E399E9C30}"/>
    <cellStyle name="Normal 2 9 2 4" xfId="31328" xr:uid="{70AEE650-5888-4713-BC86-9EEA70D10FAB}"/>
    <cellStyle name="Normal 2 9 2 5" xfId="31329" xr:uid="{8DB8244F-6CA2-4D97-AC03-5141F8E04658}"/>
    <cellStyle name="Normal 2 9 2 6" xfId="31330" xr:uid="{0092BD19-DE0B-42D1-84A5-03C7C16E2339}"/>
    <cellStyle name="Normal 2 9 3" xfId="4140" xr:uid="{366DF7E2-7654-4AE5-8CC9-CA0ECF188006}"/>
    <cellStyle name="Normal 2 9 3 2" xfId="21695" xr:uid="{6AE5A922-30F7-47A5-A02B-523DF1F985FA}"/>
    <cellStyle name="Normal 2 9 3 3" xfId="43970" xr:uid="{03FF8DCA-86B9-4A87-8356-7246EEC3F09B}"/>
    <cellStyle name="Normal 2 9 3 4" xfId="18078" xr:uid="{D74D2820-3B30-4878-B7A0-AD4228473516}"/>
    <cellStyle name="Normal 2 9 4" xfId="6206" xr:uid="{EE70720C-B728-4CC1-BC8A-D5B2931392F4}"/>
    <cellStyle name="Normal 2 9 4 2" xfId="45876" xr:uid="{892C4DF3-3052-4F6E-BE46-62AD214E0011}"/>
    <cellStyle name="Normal 2 9 4 3" xfId="31331" xr:uid="{2CF0FAC4-2935-46C0-9351-F52FFF2E44BE}"/>
    <cellStyle name="Normal 2 9 5" xfId="8886" xr:uid="{B878CE0E-B901-4855-BABE-A61BA4312A03}"/>
    <cellStyle name="Normal 2 9 5 2" xfId="31332" xr:uid="{AAA2EF57-FD8E-4A30-9F6C-2123956E15D3}"/>
    <cellStyle name="Normal 2 9 6" xfId="31333" xr:uid="{71857CEF-F8BB-4C51-896F-1B5CC840A3CD}"/>
    <cellStyle name="Normal 2 9 7" xfId="31334" xr:uid="{108FDF88-B744-40F6-9C1E-8D590363D85D}"/>
    <cellStyle name="Normal 2 9 8" xfId="31335" xr:uid="{DFFA4540-2D81-4540-9E95-80D89612D974}"/>
    <cellStyle name="Normal 2 94" xfId="54521" xr:uid="{886C3719-C4FF-4353-BCA2-4A037CC9FC8F}"/>
    <cellStyle name="Normal 2_RCA" xfId="2935" xr:uid="{7857AA8B-F01E-4C1D-A587-C10BD174DD7E}"/>
    <cellStyle name="Normal 20" xfId="2936" xr:uid="{A5C84C69-91D1-424C-A35B-6D7CDBF44B33}"/>
    <cellStyle name="Normal 20 10" xfId="18080" xr:uid="{364D42DA-A2C2-4B99-B25B-E37573F922F2}"/>
    <cellStyle name="Normal 20 10 2" xfId="21697" xr:uid="{1E20EA4B-7A4C-4025-A19E-CFD6E48CA9DA}"/>
    <cellStyle name="Normal 20 11" xfId="31336" xr:uid="{24BCA4C3-137F-41B5-9CDB-7139F3E25971}"/>
    <cellStyle name="Normal 20 12" xfId="31337" xr:uid="{D569603E-CB83-42D7-B65C-FE6F94242F8A}"/>
    <cellStyle name="Normal 20 13" xfId="31338" xr:uid="{C1D8F852-2FB2-412C-B5D0-7D699F79B56C}"/>
    <cellStyle name="Normal 20 14" xfId="31339" xr:uid="{1225D805-DDEA-4C76-B6DE-814BC842C9B7}"/>
    <cellStyle name="Normal 20 15" xfId="31340" xr:uid="{A185F800-F94D-4D04-BCE7-7458926289C8}"/>
    <cellStyle name="Normal 20 2" xfId="2937" xr:uid="{3144A845-1DCF-4C9D-9288-E72D5A5848D6}"/>
    <cellStyle name="Normal 20 2 2" xfId="2938" xr:uid="{EB66B497-A070-46EA-B79C-7C20E23C287D}"/>
    <cellStyle name="Normal 20 2 2 2" xfId="5003" xr:uid="{C53989E2-19BE-471A-B5EE-8EA5AF60C9BE}"/>
    <cellStyle name="Normal 20 2 2 2 2" xfId="18083" xr:uid="{14F259CD-09D3-44A8-A926-49E9E71687FC}"/>
    <cellStyle name="Normal 20 2 2 2 2 2" xfId="21700" xr:uid="{279E9682-CAC2-4F4E-A3D4-61264C0297CF}"/>
    <cellStyle name="Normal 20 2 2 2 3" xfId="31341" xr:uid="{B9971B2D-39DB-4DD2-8644-EA9F7E6DA078}"/>
    <cellStyle name="Normal 20 2 2 2 4" xfId="31342" xr:uid="{5057EE6D-B973-4B0E-857C-1D25BB1DC9F5}"/>
    <cellStyle name="Normal 20 2 2 2 5" xfId="31343" xr:uid="{77FB2212-4B60-45E7-ACA5-F1F207529F4C}"/>
    <cellStyle name="Normal 20 2 2 2 6" xfId="31344" xr:uid="{7D707B33-3315-4EF3-86D3-9EC2E2442C1B}"/>
    <cellStyle name="Normal 20 2 2 3" xfId="6842" xr:uid="{7B60DF08-48F6-4D14-A3E7-31474A4BC84A}"/>
    <cellStyle name="Normal 20 2 2 3 2" xfId="21699" xr:uid="{C48954BB-6582-4377-89CC-E7B1D1CC9379}"/>
    <cellStyle name="Normal 20 2 2 3 3" xfId="46315" xr:uid="{BB745223-6CD1-4898-974C-2FADE73E6B8A}"/>
    <cellStyle name="Normal 20 2 2 3 4" xfId="18082" xr:uid="{B3B63510-4731-4EFD-8D46-3EDAA74F1367}"/>
    <cellStyle name="Normal 20 2 2 4" xfId="8889" xr:uid="{562C4037-A156-40B6-BE12-C0C8CE93F468}"/>
    <cellStyle name="Normal 20 2 2 4 2" xfId="31345" xr:uid="{E107A686-7FA6-41F4-9FA8-598D7F10C71C}"/>
    <cellStyle name="Normal 20 2 2 5" xfId="31346" xr:uid="{582E5DC2-AB8F-4EE8-A7DF-AA6A5FBC6DFD}"/>
    <cellStyle name="Normal 20 2 2 6" xfId="31347" xr:uid="{6E599960-73F6-428D-8F80-347A52278685}"/>
    <cellStyle name="Normal 20 2 2 7" xfId="31348" xr:uid="{42A85BF2-CDEA-4E0B-BC79-DD4FC476645A}"/>
    <cellStyle name="Normal 20 2 3" xfId="2939" xr:uid="{FBE5A77F-1BBD-40B9-BFFC-828592A5753D}"/>
    <cellStyle name="Normal 20 2 3 2" xfId="5004" xr:uid="{A68D4860-E824-4C81-9AC9-26DF690BC012}"/>
    <cellStyle name="Normal 20 2 3 2 2" xfId="21701" xr:uid="{0C9837E9-04F2-407C-B1CB-297CD54DEBF8}"/>
    <cellStyle name="Normal 20 2 3 2 3" xfId="44328" xr:uid="{3809DB69-FC9A-4D12-8833-2BD879A2CE25}"/>
    <cellStyle name="Normal 20 2 3 2 4" xfId="18084" xr:uid="{C2FF1187-45DC-41C7-A5CF-FE8F9EA44AA7}"/>
    <cellStyle name="Normal 20 2 3 3" xfId="6843" xr:uid="{E65C6E67-74EC-4571-B873-BEC41E2C951C}"/>
    <cellStyle name="Normal 20 2 3 3 2" xfId="46316" xr:uid="{2CB5A704-598B-4594-B5A7-BF59587739D9}"/>
    <cellStyle name="Normal 20 2 3 3 3" xfId="31349" xr:uid="{86DB93F6-176E-443C-BB43-21A5E71A8512}"/>
    <cellStyle name="Normal 20 2 3 4" xfId="8890" xr:uid="{37630F80-99B6-4BF0-B632-49BC9570561B}"/>
    <cellStyle name="Normal 20 2 3 4 2" xfId="31350" xr:uid="{B2E002B1-7139-4A0B-A84A-A23EE89DFA7C}"/>
    <cellStyle name="Normal 20 2 3 5" xfId="31351" xr:uid="{7C6EB468-F8C6-4F0A-B2DD-1D7D0569CF7A}"/>
    <cellStyle name="Normal 20 2 3 6" xfId="31352" xr:uid="{31968FA4-5506-4F50-A07D-66F81F3EA50C}"/>
    <cellStyle name="Normal 20 2 4" xfId="5002" xr:uid="{8B84A044-878C-486D-B024-5930ECD98006}"/>
    <cellStyle name="Normal 20 2 4 2" xfId="21698" xr:uid="{CB170494-D0EC-4E96-AE6A-F9E47CA7D08B}"/>
    <cellStyle name="Normal 20 2 4 3" xfId="43622" xr:uid="{0289B907-2309-4079-8A91-2C4C2DDD4101}"/>
    <cellStyle name="Normal 20 2 4 4" xfId="18081" xr:uid="{3DC38848-0C7D-4E18-A7A9-31C3AE0DCD66}"/>
    <cellStyle name="Normal 20 2 5" xfId="4142" xr:uid="{4C2DB04E-DA98-42EE-A891-626D9BB82435}"/>
    <cellStyle name="Normal 20 2 5 2" xfId="43971" xr:uid="{C3DA10A0-8D74-4AE7-B08F-8383FD70201B}"/>
    <cellStyle name="Normal 20 2 5 3" xfId="31353" xr:uid="{00B04738-A5AC-4684-A43F-7B11054C22EC}"/>
    <cellStyle name="Normal 20 2 6" xfId="6208" xr:uid="{84969B75-F7D2-4E75-9F80-2B490F05043E}"/>
    <cellStyle name="Normal 20 2 6 2" xfId="45877" xr:uid="{21B748D0-4A3B-4B6E-BC8A-51A4604EDE5F}"/>
    <cellStyle name="Normal 20 2 6 3" xfId="31354" xr:uid="{DE341CAC-F233-4333-9B7A-F12F051601B2}"/>
    <cellStyle name="Normal 20 2 7" xfId="8888" xr:uid="{A629C0EE-66CA-4A02-A41A-2E15F93CFC1C}"/>
    <cellStyle name="Normal 20 2 7 2" xfId="31355" xr:uid="{E6988131-9925-46E2-9466-619707DD6747}"/>
    <cellStyle name="Normal 20 2 8" xfId="31356" xr:uid="{8F5DE619-06AE-4815-B1D4-AA32B40DA1B1}"/>
    <cellStyle name="Normal 20 2 9" xfId="31357" xr:uid="{B3B13BC3-F067-4D95-A8E7-B7B3FDE025A6}"/>
    <cellStyle name="Normal 20 3" xfId="2940" xr:uid="{CDC311C0-2A07-4992-9846-2BC887D31CF9}"/>
    <cellStyle name="Normal 20 3 2" xfId="5005" xr:uid="{8C480858-0C4C-4A5D-AB69-95F340C96699}"/>
    <cellStyle name="Normal 20 3 2 2" xfId="18086" xr:uid="{42795BE3-20EF-4EB3-9257-A96315C42B9C}"/>
    <cellStyle name="Normal 20 3 2 2 2" xfId="21703" xr:uid="{FC329587-01A0-40B5-AB78-506B6F507F57}"/>
    <cellStyle name="Normal 20 3 2 3" xfId="31358" xr:uid="{6868BD58-A09F-4296-B6BA-D007FA9576BC}"/>
    <cellStyle name="Normal 20 3 2 4" xfId="31359" xr:uid="{4FE7AFAA-4A45-4205-813D-FA68C0160327}"/>
    <cellStyle name="Normal 20 3 2 5" xfId="31360" xr:uid="{2065A70B-0C63-460D-9D09-5580CDEAA1AE}"/>
    <cellStyle name="Normal 20 3 2 6" xfId="31361" xr:uid="{2992C2E9-771D-4AD6-84D0-5B5027D2374F}"/>
    <cellStyle name="Normal 20 3 3" xfId="6844" xr:uid="{D343B77E-B56D-4022-84D3-3F9E51F77608}"/>
    <cellStyle name="Normal 20 3 3 2" xfId="21702" xr:uid="{2EF46C45-7DB5-48EF-98D8-12622D898E04}"/>
    <cellStyle name="Normal 20 3 3 3" xfId="46317" xr:uid="{FF64E30E-5B88-4E29-94D2-4214F54540D7}"/>
    <cellStyle name="Normal 20 3 3 4" xfId="18085" xr:uid="{6D3A2323-BC4D-486E-8F28-486ACAC2926F}"/>
    <cellStyle name="Normal 20 3 4" xfId="8891" xr:uid="{9C7CC4FE-7341-455A-81E6-D987365EF759}"/>
    <cellStyle name="Normal 20 3 4 2" xfId="31362" xr:uid="{03497DE2-4EAA-449B-8487-CAD393937B0C}"/>
    <cellStyle name="Normal 20 3 5" xfId="31363" xr:uid="{7B79F6C3-AC5F-4FF4-B8A6-7FC8EFB321BF}"/>
    <cellStyle name="Normal 20 3 6" xfId="31364" xr:uid="{2DFFF41D-7A07-4B0C-A453-A45EF80B1138}"/>
    <cellStyle name="Normal 20 3 7" xfId="31365" xr:uid="{9BE60CD5-BA86-4D54-9B6D-37496FE00985}"/>
    <cellStyle name="Normal 20 4" xfId="5001" xr:uid="{1B5AB660-42EB-4B70-B009-7FADDC88BD08}"/>
    <cellStyle name="Normal 20 4 2" xfId="18087" xr:uid="{CDE7DD10-B1EF-4F60-812D-B926D9AF1283}"/>
    <cellStyle name="Normal 20 4 2 2" xfId="21704" xr:uid="{AE24A87A-4C98-4130-B811-F0A39F88624E}"/>
    <cellStyle name="Normal 20 4 3" xfId="31366" xr:uid="{5270B951-C267-4A77-9A04-0ED852800440}"/>
    <cellStyle name="Normal 20 4 4" xfId="31367" xr:uid="{D768767A-FCED-4D48-9AAC-D39B7A9CA3E7}"/>
    <cellStyle name="Normal 20 4 5" xfId="31368" xr:uid="{C3350947-DAFD-436A-BEFB-3FB8FE48AAE5}"/>
    <cellStyle name="Normal 20 4 6" xfId="31369" xr:uid="{F0481371-412C-41AD-8ADA-208B20AB50C4}"/>
    <cellStyle name="Normal 20 5" xfId="4141" xr:uid="{89601CD2-A496-4DCD-8ED7-FED25FACB032}"/>
    <cellStyle name="Normal 20 5 2" xfId="18088" xr:uid="{246239E7-F798-4913-B0BE-28A95E2D9B85}"/>
    <cellStyle name="Normal 20 5 2 2" xfId="21705" xr:uid="{60CCDCDA-4DF1-43C3-A43A-5014C67A022C}"/>
    <cellStyle name="Normal 20 5 3" xfId="31370" xr:uid="{AC1F0733-28F1-4D6A-AF5F-9763F8D8DDD1}"/>
    <cellStyle name="Normal 20 5 4" xfId="31371" xr:uid="{EE996FAC-C9A5-4457-BDE1-D4F5604AE28F}"/>
    <cellStyle name="Normal 20 5 5" xfId="31372" xr:uid="{F8A71F60-1A1B-4E1A-86CE-FA45694FEACC}"/>
    <cellStyle name="Normal 20 5 6" xfId="31373" xr:uid="{742FBA16-D252-4F80-AC47-838C5A14558F}"/>
    <cellStyle name="Normal 20 6" xfId="6207" xr:uid="{687CAFC4-CAAA-4A0E-AAAF-BA7FCF136B91}"/>
    <cellStyle name="Normal 20 6 2" xfId="18089" xr:uid="{88D15746-CE69-45FC-B62F-40AD5A7708B2}"/>
    <cellStyle name="Normal 20 6 2 2" xfId="21706" xr:uid="{295B9D03-6AF7-485D-BD3C-9DDAB8242240}"/>
    <cellStyle name="Normal 20 6 3" xfId="31374" xr:uid="{479B929C-2CAE-432D-8237-A2CBAE46B9FE}"/>
    <cellStyle name="Normal 20 6 4" xfId="31375" xr:uid="{A15BF684-6EDD-4A88-B9E2-F28BD37971EB}"/>
    <cellStyle name="Normal 20 6 5" xfId="31376" xr:uid="{E3C890F4-E59B-410F-BBE9-BB8CB45BB3B3}"/>
    <cellStyle name="Normal 20 6 6" xfId="31377" xr:uid="{75F28F63-1CF7-4AF0-AFEA-9EA17327B7C1}"/>
    <cellStyle name="Normal 20 7" xfId="8887" xr:uid="{9E3B6BD6-3E37-499F-840A-C87D96C82A5B}"/>
    <cellStyle name="Normal 20 7 2" xfId="18090" xr:uid="{3B50D439-3F98-4681-A727-34AD18035636}"/>
    <cellStyle name="Normal 20 7 2 2" xfId="21707" xr:uid="{C876D517-BD02-4AE4-A186-B27087E872A3}"/>
    <cellStyle name="Normal 20 7 3" xfId="31378" xr:uid="{317B7A58-BD5F-498F-B439-6E0EA50AB5D6}"/>
    <cellStyle name="Normal 20 7 4" xfId="31379" xr:uid="{17162165-08E8-4D57-B6E9-0CF1CC427D80}"/>
    <cellStyle name="Normal 20 7 5" xfId="31380" xr:uid="{2770F55E-6EEF-4B02-BE9D-1A0DDAFFFA77}"/>
    <cellStyle name="Normal 20 7 6" xfId="31381" xr:uid="{DF42E83D-8181-4BE2-ACB4-15B881398783}"/>
    <cellStyle name="Normal 20 8" xfId="15996" xr:uid="{8E1C1D90-AFD2-4E70-AD62-47D37DE6B613}"/>
    <cellStyle name="Normal 20 8 2" xfId="18091" xr:uid="{8F9CE8FE-FCE6-4D32-A8BE-79E4C9C8384F}"/>
    <cellStyle name="Normal 20 8 2 2" xfId="21708" xr:uid="{098C0C99-8277-47C7-B46B-54912D7A1EFF}"/>
    <cellStyle name="Normal 20 8 3" xfId="31382" xr:uid="{61AAAB7B-280A-4D4A-B3E3-95514D5FF040}"/>
    <cellStyle name="Normal 20 8 4" xfId="31383" xr:uid="{C5002138-3B0C-49E7-BF7F-CC3086C167F1}"/>
    <cellStyle name="Normal 20 8 5" xfId="31384" xr:uid="{67B22D30-E85C-44A3-BB7D-645C2E4961A1}"/>
    <cellStyle name="Normal 20 8 6" xfId="31385" xr:uid="{C3A467C1-5554-49E6-A02C-BD69DD9931D7}"/>
    <cellStyle name="Normal 20 9" xfId="15997" xr:uid="{7575683D-32AC-48C1-B245-2BAEE99DCE12}"/>
    <cellStyle name="Normal 20 9 2" xfId="18092" xr:uid="{2E3915CE-3BC3-40AD-93B8-8CA4EFFC4DAA}"/>
    <cellStyle name="Normal 20 9 2 2" xfId="21709" xr:uid="{8E21C08A-156F-44C0-8C83-99EB62EE8A00}"/>
    <cellStyle name="Normal 20 9 3" xfId="31386" xr:uid="{5F19931B-6A6B-4D63-928A-C504D19CF722}"/>
    <cellStyle name="Normal 20 9 4" xfId="31387" xr:uid="{C435C36D-266B-4BA0-8C15-4AD24DF415E4}"/>
    <cellStyle name="Normal 20 9 5" xfId="31388" xr:uid="{04B86094-12BC-4DE6-A124-DA53133B3446}"/>
    <cellStyle name="Normal 20 9 6" xfId="31389" xr:uid="{A50E3803-F5FE-4F34-99CC-28A385E2E2B4}"/>
    <cellStyle name="Normal 20_ELC" xfId="2941" xr:uid="{2008A04C-0BD5-4F46-8C01-E6BC44611A54}"/>
    <cellStyle name="Normal 21" xfId="2942" xr:uid="{EEF4F871-4517-4BE9-9871-915FC03E99EA}"/>
    <cellStyle name="Normal 21 10" xfId="18093" xr:uid="{6DABB9CE-22A8-4959-A80F-67EEBD25E0BF}"/>
    <cellStyle name="Normal 21 10 2" xfId="21710" xr:uid="{148761B2-9ADE-467D-932E-27D6D48C9746}"/>
    <cellStyle name="Normal 21 11" xfId="31390" xr:uid="{BA7AC10E-F281-4ECA-AA13-BE7547B5F020}"/>
    <cellStyle name="Normal 21 12" xfId="31391" xr:uid="{65CDA845-DAB8-4225-865F-DA9F64151C93}"/>
    <cellStyle name="Normal 21 13" xfId="31392" xr:uid="{F9E6B14F-85FC-4262-B35E-3254F44D0522}"/>
    <cellStyle name="Normal 21 14" xfId="31393" xr:uid="{B94EE2A2-47CA-4364-89C4-85078684354C}"/>
    <cellStyle name="Normal 21 15" xfId="31394" xr:uid="{7FA2A329-03E0-4D16-8050-167E643FD0A9}"/>
    <cellStyle name="Normal 21 2" xfId="5006" xr:uid="{683C3A59-9399-40C1-851F-A6DA8FF3EB75}"/>
    <cellStyle name="Normal 21 2 2" xfId="18094" xr:uid="{4EE7949B-D046-4A40-A2AD-DB07AAE8703E}"/>
    <cellStyle name="Normal 21 2 2 2" xfId="21711" xr:uid="{69596E33-45A6-4CCE-9ED0-809DEAEAF8DD}"/>
    <cellStyle name="Normal 21 2 3" xfId="31395" xr:uid="{FFEBCE0B-1842-492C-8AE2-EC388FE1094B}"/>
    <cellStyle name="Normal 21 2 4" xfId="31396" xr:uid="{22AD38C6-4C97-480D-B5D4-FC26FFA825F6}"/>
    <cellStyle name="Normal 21 2 5" xfId="31397" xr:uid="{C5B867BF-45DE-4DD3-9274-6DD6874EFAAD}"/>
    <cellStyle name="Normal 21 2 6" xfId="31398" xr:uid="{A2E81FB1-4AB6-4DA3-8008-EAB1E47ADB16}"/>
    <cellStyle name="Normal 21 3" xfId="4143" xr:uid="{87D92305-B2C1-40D7-B422-4DC2494CEE4B}"/>
    <cellStyle name="Normal 21 3 2" xfId="18095" xr:uid="{0A8A2AE6-9EB5-459A-B1DB-CD4A4AEA1A12}"/>
    <cellStyle name="Normal 21 3 2 2" xfId="21712" xr:uid="{16587A89-1FB7-4D43-8A43-958D312D636A}"/>
    <cellStyle name="Normal 21 3 3" xfId="31399" xr:uid="{738A9232-DC47-482E-B4E5-094F66C6011B}"/>
    <cellStyle name="Normal 21 3 4" xfId="31400" xr:uid="{9AE5FA16-5F8A-4BD2-86D0-06DA1F1EA006}"/>
    <cellStyle name="Normal 21 3 5" xfId="31401" xr:uid="{14F7646D-EDED-4A1D-A553-69FF83D44CEE}"/>
    <cellStyle name="Normal 21 3 6" xfId="31402" xr:uid="{4BA53510-D127-4153-8564-582B175849F4}"/>
    <cellStyle name="Normal 21 4" xfId="6209" xr:uid="{CB3ACB76-EF8E-4D77-8B4F-388AD12B222E}"/>
    <cellStyle name="Normal 21 4 2" xfId="18096" xr:uid="{CC8D54A0-B2C2-48B3-A6CD-4E79CA0514AD}"/>
    <cellStyle name="Normal 21 4 2 2" xfId="21713" xr:uid="{66CF5DD5-5CD0-4FCA-A18D-9A0F3267A12D}"/>
    <cellStyle name="Normal 21 4 3" xfId="31403" xr:uid="{7D5D1B63-CD1C-47AF-A0F7-B068B651FD12}"/>
    <cellStyle name="Normal 21 4 4" xfId="31404" xr:uid="{2A51242D-CF36-450F-BA37-89AFD77D6E4A}"/>
    <cellStyle name="Normal 21 4 5" xfId="31405" xr:uid="{A0230E4C-4372-4A30-8C61-98D3AAB39D6D}"/>
    <cellStyle name="Normal 21 4 6" xfId="31406" xr:uid="{0DDA884E-79D1-4E24-B02B-999E76A89AE5}"/>
    <cellStyle name="Normal 21 5" xfId="8892" xr:uid="{C570EFCD-64E8-40D1-8623-98FB51305570}"/>
    <cellStyle name="Normal 21 5 2" xfId="18097" xr:uid="{D7C29D17-0DDB-4A24-9323-49EF6B4AB9A8}"/>
    <cellStyle name="Normal 21 5 2 2" xfId="21714" xr:uid="{F4B4DA4B-3E9A-4D7C-9CD5-33BFD0AE8338}"/>
    <cellStyle name="Normal 21 5 3" xfId="31407" xr:uid="{31A29BF6-8B06-456F-81DE-413B02C09DA4}"/>
    <cellStyle name="Normal 21 5 4" xfId="31408" xr:uid="{0024476C-4439-44B7-B598-E2C8FE31DCFA}"/>
    <cellStyle name="Normal 21 5 5" xfId="31409" xr:uid="{2DEAC234-A3BA-44BB-86E3-59EFBE566715}"/>
    <cellStyle name="Normal 21 5 6" xfId="31410" xr:uid="{B280B67F-B434-4BA4-8AC2-3B191B383E96}"/>
    <cellStyle name="Normal 21 6" xfId="15998" xr:uid="{373428CB-5821-4C99-B760-78B5487BCF93}"/>
    <cellStyle name="Normal 21 6 2" xfId="18098" xr:uid="{43191CEC-4A03-4A00-A3B1-06007EF9E2D5}"/>
    <cellStyle name="Normal 21 6 2 2" xfId="21715" xr:uid="{45A788C5-DFD0-4DC2-8A69-EA46B5BF6F50}"/>
    <cellStyle name="Normal 21 6 3" xfId="31411" xr:uid="{074D71B7-28F8-429E-B389-95F824925C24}"/>
    <cellStyle name="Normal 21 6 4" xfId="31412" xr:uid="{4407959C-6ADB-45C4-B116-615323D152D3}"/>
    <cellStyle name="Normal 21 6 5" xfId="31413" xr:uid="{3E2C5D96-DF31-4A48-845E-BF2184DF5B68}"/>
    <cellStyle name="Normal 21 6 6" xfId="31414" xr:uid="{41ABFFF9-B0DB-487C-B1B3-65858D5DF5C5}"/>
    <cellStyle name="Normal 21 7" xfId="15999" xr:uid="{5FC4D6DD-FC5E-44BA-AA63-6DCAE927C4A1}"/>
    <cellStyle name="Normal 21 7 2" xfId="18099" xr:uid="{003C9C85-0E38-4BEE-9885-0F4A01671776}"/>
    <cellStyle name="Normal 21 7 2 2" xfId="21716" xr:uid="{43291365-BDD8-40FA-B13A-CD43AE0064EC}"/>
    <cellStyle name="Normal 21 7 3" xfId="31415" xr:uid="{1E21E546-A984-4A20-B02A-A3DCA5C91A25}"/>
    <cellStyle name="Normal 21 7 4" xfId="31416" xr:uid="{1C317ACA-2F00-4ED4-B858-4AAD1DEE2DF3}"/>
    <cellStyle name="Normal 21 7 5" xfId="31417" xr:uid="{3A7A29EF-F232-4299-8C56-8BF1655D69E7}"/>
    <cellStyle name="Normal 21 7 6" xfId="31418" xr:uid="{8644A35D-7105-409D-A04E-8A6EDD0C48AC}"/>
    <cellStyle name="Normal 21 8" xfId="16000" xr:uid="{9E01468D-8083-409E-826D-53FF6427061F}"/>
    <cellStyle name="Normal 21 8 2" xfId="18100" xr:uid="{1DE4F699-31A8-40EE-A015-8ADD8D8AF50B}"/>
    <cellStyle name="Normal 21 8 2 2" xfId="21717" xr:uid="{183EDAA8-0D3B-44FB-9C7D-CDD7FF3CF5D3}"/>
    <cellStyle name="Normal 21 8 3" xfId="31419" xr:uid="{50970638-275F-417C-9DD8-813A0D3DD08F}"/>
    <cellStyle name="Normal 21 8 4" xfId="31420" xr:uid="{02972A7E-00A2-4E28-9C80-C6DF7676C3A4}"/>
    <cellStyle name="Normal 21 8 5" xfId="31421" xr:uid="{0E110A02-1128-4E64-9EF3-6E5A8D148854}"/>
    <cellStyle name="Normal 21 8 6" xfId="31422" xr:uid="{45366CE6-9A64-4E21-B3FE-177D0D360764}"/>
    <cellStyle name="Normal 21 9" xfId="16001" xr:uid="{DC6CD891-9240-4C8B-AB04-BB06F01D92F7}"/>
    <cellStyle name="Normal 21 9 2" xfId="18101" xr:uid="{99D778CB-D197-4153-A845-5D36E025A9C5}"/>
    <cellStyle name="Normal 21 9 2 2" xfId="21718" xr:uid="{26285C2C-FB7A-41C1-9860-8B81A7DB5D09}"/>
    <cellStyle name="Normal 21 9 3" xfId="31423" xr:uid="{0615F658-19F5-4AC7-ACE7-3D04C64F2811}"/>
    <cellStyle name="Normal 21 9 4" xfId="31424" xr:uid="{01351D76-8C9B-4D25-B515-0E01986E5E93}"/>
    <cellStyle name="Normal 21 9 5" xfId="31425" xr:uid="{34B67E55-C120-4FB1-BD41-E706E4A8F322}"/>
    <cellStyle name="Normal 21 9 6" xfId="31426" xr:uid="{12832FB4-2DCB-4E49-A46B-F4A45693E9ED}"/>
    <cellStyle name="Normal 22" xfId="2943" xr:uid="{CE5B509B-E560-4C76-9A27-3E01EF0FD5B0}"/>
    <cellStyle name="Normal 22 10" xfId="18102" xr:uid="{3297E782-F09A-4B83-A194-70BA334AAD43}"/>
    <cellStyle name="Normal 22 10 2" xfId="21719" xr:uid="{7ECEF0AF-65C2-4CC1-BDA9-C9925E43F96D}"/>
    <cellStyle name="Normal 22 11" xfId="31427" xr:uid="{EC46087A-1FEC-4FCB-8AAD-A9017D7F2A44}"/>
    <cellStyle name="Normal 22 12" xfId="31428" xr:uid="{60340471-B2EE-420C-9F53-AE5DBE9CCB60}"/>
    <cellStyle name="Normal 22 13" xfId="31429" xr:uid="{00862E6C-8A79-49FF-BF8F-CBAE3415E5F7}"/>
    <cellStyle name="Normal 22 14" xfId="31430" xr:uid="{FE7B723E-51A5-4F08-8737-A0AB9D900D16}"/>
    <cellStyle name="Normal 22 15" xfId="31431" xr:uid="{9DCCFFFD-2F2F-4030-BE29-36B5CE7D6E4F}"/>
    <cellStyle name="Normal 22 2" xfId="2944" xr:uid="{410256AA-9371-4815-8E0B-7B719F886D4E}"/>
    <cellStyle name="Normal 22 2 2" xfId="2945" xr:uid="{E379A1F8-F72F-4B6E-93F8-8EB7028B2ED0}"/>
    <cellStyle name="Normal 22 2 2 2" xfId="5009" xr:uid="{BA27A367-BFC3-414E-816A-70D852F5F671}"/>
    <cellStyle name="Normal 22 2 2 2 2" xfId="18105" xr:uid="{D1277692-B506-4C0B-9209-6E60C121D531}"/>
    <cellStyle name="Normal 22 2 2 2 2 2" xfId="21722" xr:uid="{8D6721D6-E163-4E9C-B7BC-F3836D882CFE}"/>
    <cellStyle name="Normal 22 2 2 2 3" xfId="31432" xr:uid="{2578B2D7-5B41-4B91-A5FE-42A1C82D018B}"/>
    <cellStyle name="Normal 22 2 2 2 4" xfId="31433" xr:uid="{18E44585-90A7-4D7A-83FD-DFD9F6DEFE99}"/>
    <cellStyle name="Normal 22 2 2 2 5" xfId="31434" xr:uid="{1037964F-F124-4A1B-89AA-5CC5A465BC44}"/>
    <cellStyle name="Normal 22 2 2 2 6" xfId="31435" xr:uid="{1C756BC5-CC71-4AA4-83CD-178D3A96FDEA}"/>
    <cellStyle name="Normal 22 2 2 3" xfId="6845" xr:uid="{51BC8E63-870A-48B2-8888-FAB5B8D549A1}"/>
    <cellStyle name="Normal 22 2 2 3 2" xfId="21721" xr:uid="{BA328052-DE91-41F7-8A98-7B3805CBCAB3}"/>
    <cellStyle name="Normal 22 2 2 3 3" xfId="46318" xr:uid="{4CF53403-3FF4-4BCD-B75D-AA42E5E33D9C}"/>
    <cellStyle name="Normal 22 2 2 3 4" xfId="18104" xr:uid="{FAEC3351-AE8D-421B-B302-1E369E3E3359}"/>
    <cellStyle name="Normal 22 2 2 4" xfId="8895" xr:uid="{EC6BA9B9-DB44-41DB-8B05-ED59B60CB553}"/>
    <cellStyle name="Normal 22 2 2 4 2" xfId="31436" xr:uid="{CEAA5274-3D01-4CAB-AA41-DD492F31A19E}"/>
    <cellStyle name="Normal 22 2 2 5" xfId="31437" xr:uid="{B32206CB-DC2E-4232-992F-651F3ECB3B59}"/>
    <cellStyle name="Normal 22 2 2 6" xfId="31438" xr:uid="{7435C990-6AD2-4E06-8BB0-995C320D5F81}"/>
    <cellStyle name="Normal 22 2 2 7" xfId="31439" xr:uid="{99F39BCC-B9BB-4C88-9469-2AB35B9D72FE}"/>
    <cellStyle name="Normal 22 2 3" xfId="2946" xr:uid="{65663273-1159-485F-8DD5-941B9C3BBE01}"/>
    <cellStyle name="Normal 22 2 3 2" xfId="5010" xr:uid="{CEDD5E57-70E7-4ADB-A4C8-8462F2BF57D3}"/>
    <cellStyle name="Normal 22 2 3 2 2" xfId="21723" xr:uid="{5BCC85CD-A015-4B4A-89B3-266EE8C50915}"/>
    <cellStyle name="Normal 22 2 3 2 3" xfId="44329" xr:uid="{C3C6AA0A-8FE7-43B8-A987-9F93E4005F30}"/>
    <cellStyle name="Normal 22 2 3 2 4" xfId="18106" xr:uid="{59EE5FE0-515C-4353-9B3C-FA1002C93EFE}"/>
    <cellStyle name="Normal 22 2 3 3" xfId="6846" xr:uid="{A16A4405-2D69-48FE-81F0-AE2F763AAE3E}"/>
    <cellStyle name="Normal 22 2 3 3 2" xfId="46319" xr:uid="{C58473B3-A653-4AF1-9DCD-34A1B0389658}"/>
    <cellStyle name="Normal 22 2 3 3 3" xfId="31440" xr:uid="{05B8880D-F8C5-4309-8A5A-E4B8EED4D1E7}"/>
    <cellStyle name="Normal 22 2 3 4" xfId="8896" xr:uid="{AD2B6223-C4E1-43A7-A1DD-43E311A97273}"/>
    <cellStyle name="Normal 22 2 3 4 2" xfId="31441" xr:uid="{C2655490-BE8C-420E-80C1-5E9223F6B2A1}"/>
    <cellStyle name="Normal 22 2 3 5" xfId="31442" xr:uid="{B4999079-9480-4CD2-B061-8432087E2B66}"/>
    <cellStyle name="Normal 22 2 3 6" xfId="31443" xr:uid="{EA02DCDC-939C-4C16-B2E4-64F15CEB457C}"/>
    <cellStyle name="Normal 22 2 4" xfId="5008" xr:uid="{BD5F96E3-19B5-4B37-B67B-AEDDE04C6A0F}"/>
    <cellStyle name="Normal 22 2 4 2" xfId="21720" xr:uid="{70239E15-7CF4-472A-8A02-65ABE9020449}"/>
    <cellStyle name="Normal 22 2 4 3" xfId="43623" xr:uid="{F8281D81-6513-467B-B922-B1FBF03DAA9B}"/>
    <cellStyle name="Normal 22 2 4 4" xfId="18103" xr:uid="{5D8F0CA9-BE9E-4843-9A4A-CA66D46A2A19}"/>
    <cellStyle name="Normal 22 2 5" xfId="4145" xr:uid="{0FDCBA9F-9C09-49E0-93E6-1844971220CF}"/>
    <cellStyle name="Normal 22 2 5 2" xfId="43972" xr:uid="{08C6D676-EA13-455E-A078-B0E29E99FA77}"/>
    <cellStyle name="Normal 22 2 5 3" xfId="31444" xr:uid="{676DED6D-1403-4CD7-A8AB-5EDD73A44D28}"/>
    <cellStyle name="Normal 22 2 6" xfId="6211" xr:uid="{61A96DE8-7A7C-42C6-B55F-89AFAAE81A28}"/>
    <cellStyle name="Normal 22 2 6 2" xfId="45878" xr:uid="{CD61601D-92D7-4C9C-9F36-06782254F635}"/>
    <cellStyle name="Normal 22 2 6 3" xfId="31445" xr:uid="{96604B98-DFBA-4E8A-B835-87D9CC535066}"/>
    <cellStyle name="Normal 22 2 7" xfId="8894" xr:uid="{86FA7BB9-881D-44F7-A9CA-FEA05AB73EBB}"/>
    <cellStyle name="Normal 22 2 7 2" xfId="31446" xr:uid="{9EAC25CB-5D8C-4688-BC08-844C8DB6580C}"/>
    <cellStyle name="Normal 22 2 8" xfId="31447" xr:uid="{0D5D93FA-89FE-4C61-BB4D-671885BDD9F6}"/>
    <cellStyle name="Normal 22 2 9" xfId="31448" xr:uid="{84A79F81-4317-4E51-85BA-3AF1EE73C194}"/>
    <cellStyle name="Normal 22 3" xfId="2947" xr:uid="{B412D5BB-474E-451F-A14B-3D3929E7CE57}"/>
    <cellStyle name="Normal 22 3 2" xfId="5011" xr:uid="{A03DA009-3C95-466E-9F17-8996B71234AE}"/>
    <cellStyle name="Normal 22 3 2 2" xfId="18108" xr:uid="{09F6E82B-1C33-4BDA-931B-173B5CBC03CF}"/>
    <cellStyle name="Normal 22 3 2 2 2" xfId="21725" xr:uid="{CF98C482-EB74-4CA3-8C25-BBEB0811DF8B}"/>
    <cellStyle name="Normal 22 3 2 3" xfId="31449" xr:uid="{8D9AA4E8-FD76-40E9-B5B5-078AA25AECEE}"/>
    <cellStyle name="Normal 22 3 2 4" xfId="31450" xr:uid="{AC411CB9-F34D-4BE4-BFB4-8A796761FAF5}"/>
    <cellStyle name="Normal 22 3 2 5" xfId="31451" xr:uid="{2CF9380F-3773-483C-BAF4-4CAF41BE68FD}"/>
    <cellStyle name="Normal 22 3 2 6" xfId="31452" xr:uid="{D22D901E-14AF-4BFF-B06F-C688126BE689}"/>
    <cellStyle name="Normal 22 3 3" xfId="6847" xr:uid="{6C1DF09C-348A-4F99-A0B8-2EB3E7E83180}"/>
    <cellStyle name="Normal 22 3 3 2" xfId="21724" xr:uid="{C58B7328-C539-4F36-AC8C-3071A5DD34F3}"/>
    <cellStyle name="Normal 22 3 3 3" xfId="46320" xr:uid="{8A37BE95-4E8C-4FA5-A177-356F19D6903E}"/>
    <cellStyle name="Normal 22 3 3 4" xfId="18107" xr:uid="{6C857F75-57EA-48C2-B245-B9AB1BB199E1}"/>
    <cellStyle name="Normal 22 3 4" xfId="8897" xr:uid="{6A7DAE22-2739-4422-9BAB-FC39FA888C0D}"/>
    <cellStyle name="Normal 22 3 4 2" xfId="31453" xr:uid="{03CFE71B-A14D-4892-B284-E19E09A1F80C}"/>
    <cellStyle name="Normal 22 3 5" xfId="31454" xr:uid="{09B4DAF5-19B3-4D69-AE02-FB0F5A689915}"/>
    <cellStyle name="Normal 22 3 6" xfId="31455" xr:uid="{59551B83-645E-421D-A482-3319BC4FF650}"/>
    <cellStyle name="Normal 22 3 7" xfId="31456" xr:uid="{FF4188A3-BEE6-4202-B779-9A08F06F987E}"/>
    <cellStyle name="Normal 22 4" xfId="5007" xr:uid="{33516DC2-607D-4B3B-A3E6-8B38E1711223}"/>
    <cellStyle name="Normal 22 4 2" xfId="18109" xr:uid="{15C2FFBD-E5FE-4A8C-B48B-4FA8CC80399F}"/>
    <cellStyle name="Normal 22 4 2 2" xfId="21726" xr:uid="{61F341F2-98FB-4808-A2E1-7F4B4171AABC}"/>
    <cellStyle name="Normal 22 4 3" xfId="31457" xr:uid="{D4F7D89D-C660-427C-A4A5-9258972AD2D2}"/>
    <cellStyle name="Normal 22 4 4" xfId="31458" xr:uid="{8DACB963-E7B5-444F-8756-2EC92FC4D825}"/>
    <cellStyle name="Normal 22 4 5" xfId="31459" xr:uid="{A5FD3DE9-49A3-4E57-A5AA-CEB37F458E3D}"/>
    <cellStyle name="Normal 22 4 6" xfId="31460" xr:uid="{5C083543-8859-44F2-8BF9-363BCAA5237E}"/>
    <cellStyle name="Normal 22 5" xfId="4144" xr:uid="{6FEA5071-42F6-4F5D-98B4-EAD2DCC8AE7F}"/>
    <cellStyle name="Normal 22 5 2" xfId="18110" xr:uid="{FE52B275-A372-4ABA-A773-8A6BCD4AD835}"/>
    <cellStyle name="Normal 22 5 2 2" xfId="21727" xr:uid="{4DDBC183-2303-4B12-AFA6-09CF9B4359A7}"/>
    <cellStyle name="Normal 22 5 3" xfId="31461" xr:uid="{E7813504-7A4F-40F3-B9CB-FF5AFDE2BE72}"/>
    <cellStyle name="Normal 22 5 4" xfId="31462" xr:uid="{3AD20E17-AAE3-4D1E-B83D-E451D71DA118}"/>
    <cellStyle name="Normal 22 5 5" xfId="31463" xr:uid="{41A1094F-32C6-4902-9739-1012D7238E12}"/>
    <cellStyle name="Normal 22 5 6" xfId="31464" xr:uid="{94544C9E-0CAE-4516-8C3C-E83D147F8529}"/>
    <cellStyle name="Normal 22 6" xfId="6210" xr:uid="{5423ACF9-9562-4119-B2E3-560CB0457506}"/>
    <cellStyle name="Normal 22 6 2" xfId="18111" xr:uid="{A27B32E4-B7E1-4124-A383-3B778C891569}"/>
    <cellStyle name="Normal 22 6 2 2" xfId="21728" xr:uid="{15E2F562-3FD2-467D-89DA-3392E1477F3E}"/>
    <cellStyle name="Normal 22 6 3" xfId="31465" xr:uid="{A0C7EF17-3207-451E-BF5D-46D0587B69A9}"/>
    <cellStyle name="Normal 22 6 4" xfId="31466" xr:uid="{DA9940C2-C9C6-4A46-80C3-B936B75CF62B}"/>
    <cellStyle name="Normal 22 6 5" xfId="31467" xr:uid="{B2C82DE6-AED6-4330-A753-C96ED177EC03}"/>
    <cellStyle name="Normal 22 6 6" xfId="31468" xr:uid="{631FCEA7-3BE4-4D4E-B88B-9BA60A785E09}"/>
    <cellStyle name="Normal 22 7" xfId="8893" xr:uid="{F6220967-295B-4E96-AC5E-49C2AAB9846B}"/>
    <cellStyle name="Normal 22 7 2" xfId="18112" xr:uid="{B4815527-C8D0-4FD6-9CCE-62FF6CBEFED3}"/>
    <cellStyle name="Normal 22 7 2 2" xfId="21729" xr:uid="{00087050-5CE8-44C6-94A6-3251BF024D13}"/>
    <cellStyle name="Normal 22 7 3" xfId="31469" xr:uid="{8E476194-0AE5-4E99-904D-012F576659A5}"/>
    <cellStyle name="Normal 22 7 4" xfId="31470" xr:uid="{AB24ED79-A6C2-4CCF-8332-702DB94B3909}"/>
    <cellStyle name="Normal 22 7 5" xfId="31471" xr:uid="{CD7673EE-3CE7-422B-9753-C388CB56FE3D}"/>
    <cellStyle name="Normal 22 7 6" xfId="31472" xr:uid="{6489951B-5338-4572-BDE5-7A130BBF2BB2}"/>
    <cellStyle name="Normal 22 8" xfId="16002" xr:uid="{46715581-7622-4839-87C1-1460839AD23D}"/>
    <cellStyle name="Normal 22 8 2" xfId="18113" xr:uid="{A6672A6E-F04C-44E7-9D94-486185CCDA65}"/>
    <cellStyle name="Normal 22 8 2 2" xfId="21730" xr:uid="{0428D5F9-F55F-430F-9592-4302A7D22143}"/>
    <cellStyle name="Normal 22 8 3" xfId="31473" xr:uid="{C0F76CDC-4216-4C6D-A7D8-C238BB74872D}"/>
    <cellStyle name="Normal 22 8 4" xfId="31474" xr:uid="{A6E5EF5D-A5A8-454F-A55D-1D0F338EFED7}"/>
    <cellStyle name="Normal 22 8 5" xfId="31475" xr:uid="{B49CA79F-644F-4CC1-BB85-3A3EA4578FE4}"/>
    <cellStyle name="Normal 22 8 6" xfId="31476" xr:uid="{C7C014D5-B224-48F7-B7B9-FB630B0F6211}"/>
    <cellStyle name="Normal 22 9" xfId="16003" xr:uid="{9B969E96-7F54-401E-B2A4-BFB7FDC69D1E}"/>
    <cellStyle name="Normal 22 9 2" xfId="18114" xr:uid="{4F049724-8C81-4EF5-91EF-00EC8DF6DA98}"/>
    <cellStyle name="Normal 22 9 2 2" xfId="21731" xr:uid="{A70E8ED3-C61A-40B2-8450-196FD4A7685B}"/>
    <cellStyle name="Normal 22 9 3" xfId="31477" xr:uid="{F3F351D7-8232-4298-AA37-8DC92CE9F78C}"/>
    <cellStyle name="Normal 22 9 4" xfId="31478" xr:uid="{85418EFA-F132-49A1-AAA5-F3A2001C21E1}"/>
    <cellStyle name="Normal 22 9 5" xfId="31479" xr:uid="{CDED49D0-672A-4D72-8E57-9DD95141BF22}"/>
    <cellStyle name="Normal 22 9 6" xfId="31480" xr:uid="{EEE9FF14-0065-4F51-B5E5-76D0B2A54503}"/>
    <cellStyle name="Normal 22_ELC" xfId="2948" xr:uid="{F07AE031-6D54-4478-89AB-7175D09CA307}"/>
    <cellStyle name="Normal 23" xfId="2949" xr:uid="{D3AAD828-00D6-4062-B8AD-B89582BB830A}"/>
    <cellStyle name="Normal 23 10" xfId="16716" xr:uid="{A9B4ED3B-B56B-4BE2-A188-0D0D25F6E229}"/>
    <cellStyle name="Normal 23 10 2" xfId="18116" xr:uid="{C00A3574-DE2D-410A-A258-C48F44684C76}"/>
    <cellStyle name="Normal 23 10 2 2" xfId="21733" xr:uid="{64698453-A7D4-4E30-BCBB-40479F241D6F}"/>
    <cellStyle name="Normal 23 10 3" xfId="31481" xr:uid="{603AC49D-B681-49DA-8352-BB145CEBF527}"/>
    <cellStyle name="Normal 23 10 4" xfId="31482" xr:uid="{4B47E560-881A-40C9-BFB1-46ABC9077365}"/>
    <cellStyle name="Normal 23 10 5" xfId="31483" xr:uid="{D1E44205-5052-4C7F-9F17-AC6B95592FE2}"/>
    <cellStyle name="Normal 23 10 6" xfId="31484" xr:uid="{256AF1CA-7A60-4575-B1C7-B9C060A3E7CA}"/>
    <cellStyle name="Normal 23 11" xfId="18115" xr:uid="{1A9B390A-096F-4F51-952D-C3D23CCC7BF2}"/>
    <cellStyle name="Normal 23 11 2" xfId="21732" xr:uid="{970B4EAF-DE68-484D-9097-E0D2ABCB4861}"/>
    <cellStyle name="Normal 23 12" xfId="31485" xr:uid="{0442135D-C8F3-4792-9D27-1D1D84F211F9}"/>
    <cellStyle name="Normal 23 13" xfId="31486" xr:uid="{78226AD8-6E68-4E2F-9414-C7441ED5F197}"/>
    <cellStyle name="Normal 23 14" xfId="31487" xr:uid="{64E8AF57-7D09-40D0-A031-77A7BAF4A486}"/>
    <cellStyle name="Normal 23 15" xfId="31488" xr:uid="{148FFC78-43C9-44E8-8CD0-56933D773727}"/>
    <cellStyle name="Normal 23 16" xfId="31489" xr:uid="{E5848244-A38F-4889-925B-23B98BD027EB}"/>
    <cellStyle name="Normal 23 2" xfId="2950" xr:uid="{FB7FD36F-0A1A-4311-8289-17750A5B27C7}"/>
    <cellStyle name="Normal 23 2 2" xfId="2951" xr:uid="{5A93B933-E2E8-453A-B3F4-4A928C32DFB7}"/>
    <cellStyle name="Normal 23 2 2 2" xfId="5014" xr:uid="{C1BE4405-3333-40D0-B9BD-03B2776D1798}"/>
    <cellStyle name="Normal 23 2 2 2 2" xfId="18119" xr:uid="{1E0D7563-4E92-4239-80DA-319D12A767AD}"/>
    <cellStyle name="Normal 23 2 2 2 2 2" xfId="21736" xr:uid="{CFA0A027-C4DB-4E98-A41F-C54C90849FEC}"/>
    <cellStyle name="Normal 23 2 2 2 3" xfId="31490" xr:uid="{5C5AD415-6C55-46F3-BBF4-6704E2EEC653}"/>
    <cellStyle name="Normal 23 2 2 2 4" xfId="31491" xr:uid="{D3D77746-1A66-446C-8EAE-FD92D2CB40DB}"/>
    <cellStyle name="Normal 23 2 2 2 5" xfId="31492" xr:uid="{3C3C6F6A-B214-4221-9BDF-2D0EAD675A2E}"/>
    <cellStyle name="Normal 23 2 2 2 6" xfId="31493" xr:uid="{E4EB6A1D-134D-49E2-B925-155E60160048}"/>
    <cellStyle name="Normal 23 2 2 3" xfId="6848" xr:uid="{1533D421-D162-467C-855F-29BE238F2AF0}"/>
    <cellStyle name="Normal 23 2 2 3 2" xfId="21735" xr:uid="{A2897F5E-5933-49AB-B75A-867CF31FC3B5}"/>
    <cellStyle name="Normal 23 2 2 3 3" xfId="46321" xr:uid="{B44E0704-0630-4207-A61F-7728A21BAC74}"/>
    <cellStyle name="Normal 23 2 2 3 4" xfId="18118" xr:uid="{3F1371A7-4290-4CEB-875D-B0AE6310B2A1}"/>
    <cellStyle name="Normal 23 2 2 4" xfId="8900" xr:uid="{F4C94136-5DFF-4389-813D-C87590E48C88}"/>
    <cellStyle name="Normal 23 2 2 4 2" xfId="31494" xr:uid="{7EDCD595-D655-4DD4-84EC-C98E66857971}"/>
    <cellStyle name="Normal 23 2 2 5" xfId="31495" xr:uid="{DA1602D9-BBF3-4C5B-9E3A-B2DB22042E85}"/>
    <cellStyle name="Normal 23 2 2 6" xfId="31496" xr:uid="{102B6A2E-77CB-4B1B-9643-99A6289144FB}"/>
    <cellStyle name="Normal 23 2 2 7" xfId="31497" xr:uid="{53E9F548-569D-4C87-9897-163B811D4206}"/>
    <cellStyle name="Normal 23 2 3" xfId="2952" xr:uid="{E37217E1-5B92-44BE-8D4A-97EEE5605CD6}"/>
    <cellStyle name="Normal 23 2 3 2" xfId="5015" xr:uid="{B7217849-2D6C-473A-B76B-7463935AF55F}"/>
    <cellStyle name="Normal 23 2 3 2 2" xfId="18121" xr:uid="{74D32CD4-7495-4B61-BD82-72B9F2AC974A}"/>
    <cellStyle name="Normal 23 2 3 2 2 2" xfId="21738" xr:uid="{CDC2F223-DE5B-4B0E-8CDF-286997CA6B38}"/>
    <cellStyle name="Normal 23 2 3 2 3" xfId="31498" xr:uid="{4428FD88-7DD0-4A09-9A3C-C64713A2C256}"/>
    <cellStyle name="Normal 23 2 3 2 4" xfId="31499" xr:uid="{DA01DA43-359E-4C21-BD6A-F8C54F9C2C58}"/>
    <cellStyle name="Normal 23 2 3 2 5" xfId="31500" xr:uid="{30532871-35EB-40FE-923D-C32B6A99EDB0}"/>
    <cellStyle name="Normal 23 2 3 2 6" xfId="31501" xr:uid="{50CFC955-4FBA-4ACF-B7B6-2A24235682FD}"/>
    <cellStyle name="Normal 23 2 3 3" xfId="6849" xr:uid="{7829517F-565F-4D61-96A2-94235484B396}"/>
    <cellStyle name="Normal 23 2 3 3 2" xfId="21737" xr:uid="{D02067EC-E787-4BF7-A46A-417FE5D8FF48}"/>
    <cellStyle name="Normal 23 2 3 3 3" xfId="46322" xr:uid="{DCA3A2F7-1645-491E-AE5C-04BECEB115ED}"/>
    <cellStyle name="Normal 23 2 3 3 4" xfId="18120" xr:uid="{D6A59F03-3E95-44A6-9841-1027F5060AE1}"/>
    <cellStyle name="Normal 23 2 3 4" xfId="8901" xr:uid="{69BE0FAA-E151-4803-9732-18DA0146B0CD}"/>
    <cellStyle name="Normal 23 2 3 4 2" xfId="20682" xr:uid="{724740B5-B315-4E5E-BA18-92183EB28E94}"/>
    <cellStyle name="Normal 23 2 3 5" xfId="16524" xr:uid="{D7F8F2ED-F1D9-47C3-B368-E0605D1E27B7}"/>
    <cellStyle name="Normal 23 2 4" xfId="5013" xr:uid="{6A9C5C8F-7874-4074-A331-8B2CE049DA7A}"/>
    <cellStyle name="Normal 23 2 4 2" xfId="21734" xr:uid="{FB91B800-09F2-415F-9F0F-1536903D118B}"/>
    <cellStyle name="Normal 23 2 4 3" xfId="43624" xr:uid="{2F7FC1FB-EC12-4BCB-A522-D1770EDCEF26}"/>
    <cellStyle name="Normal 23 2 4 4" xfId="18117" xr:uid="{B8C5EDB3-D8E8-4915-8F9F-C33D6EA56787}"/>
    <cellStyle name="Normal 23 2 5" xfId="4147" xr:uid="{97D7990F-0210-4C3D-84F8-AFBDB777B59D}"/>
    <cellStyle name="Normal 23 2 5 2" xfId="43973" xr:uid="{E1B9E6E0-A4D3-454A-AAF9-97EDCAB31E70}"/>
    <cellStyle name="Normal 23 2 5 3" xfId="31502" xr:uid="{5253647A-3540-44F6-915D-2B3AEF83237C}"/>
    <cellStyle name="Normal 23 2 6" xfId="6213" xr:uid="{54A1615A-EF95-42E9-B73E-E1AEF1117DD0}"/>
    <cellStyle name="Normal 23 2 6 2" xfId="45879" xr:uid="{B8D6DBD0-38F8-49AD-A064-A7A4D3808652}"/>
    <cellStyle name="Normal 23 2 6 3" xfId="31503" xr:uid="{09148E24-0828-4554-BC0B-70D3E550D581}"/>
    <cellStyle name="Normal 23 2 7" xfId="8899" xr:uid="{6C192D52-C040-46CB-9E70-2E7B608640AE}"/>
    <cellStyle name="Normal 23 2 7 2" xfId="31504" xr:uid="{9B2B1542-247C-4A1C-B62B-76820292739C}"/>
    <cellStyle name="Normal 23 2 8" xfId="31505" xr:uid="{839C431A-0FB4-464D-8A01-82AFF2DF5611}"/>
    <cellStyle name="Normal 23 2 9" xfId="31506" xr:uid="{1E87963F-A385-45F0-B30A-684293FC8DF5}"/>
    <cellStyle name="Normal 23 3" xfId="2953" xr:uid="{F1691920-8C87-4357-A415-EF49B2C43693}"/>
    <cellStyle name="Normal 23 3 2" xfId="5016" xr:uid="{4B9833DF-BDEC-4A5F-ACA3-3FF52DA5D32A}"/>
    <cellStyle name="Normal 23 3 2 2" xfId="18123" xr:uid="{C7261224-E34A-4277-85CA-F2AF3FFE7823}"/>
    <cellStyle name="Normal 23 3 2 2 2" xfId="21740" xr:uid="{8DFA2822-2772-43B8-A11E-72C1ED672B4E}"/>
    <cellStyle name="Normal 23 3 2 3" xfId="31507" xr:uid="{BAB66A25-739F-4851-9795-C710886564B9}"/>
    <cellStyle name="Normal 23 3 2 4" xfId="31508" xr:uid="{9C1DFB3F-124A-448D-BF6E-22165FCA4CD4}"/>
    <cellStyle name="Normal 23 3 2 5" xfId="31509" xr:uid="{A355EE88-84F3-43CB-A83D-789A85BF5C58}"/>
    <cellStyle name="Normal 23 3 2 6" xfId="31510" xr:uid="{5FB18E6A-4AAB-4484-8B69-9002954C1A2E}"/>
    <cellStyle name="Normal 23 3 3" xfId="6850" xr:uid="{4DA862D6-64B9-4D8B-B353-4AAD7F530A23}"/>
    <cellStyle name="Normal 23 3 3 2" xfId="21739" xr:uid="{CD109266-E3B5-46D7-BA0B-70DEAF345193}"/>
    <cellStyle name="Normal 23 3 3 3" xfId="46323" xr:uid="{6C723A22-9461-4AA1-A02B-3606B2D681A6}"/>
    <cellStyle name="Normal 23 3 3 4" xfId="18122" xr:uid="{F8347093-FC71-42AD-BFC1-5BCFA151A051}"/>
    <cellStyle name="Normal 23 3 4" xfId="8902" xr:uid="{1160A030-B868-444C-A2CA-4D310A940F0D}"/>
    <cellStyle name="Normal 23 3 4 2" xfId="31511" xr:uid="{A58C05FB-A252-4F7C-9517-A4A79B2C74DA}"/>
    <cellStyle name="Normal 23 3 5" xfId="31512" xr:uid="{DEA1DA9F-4C1A-4A57-9AA1-341FEB7D8C89}"/>
    <cellStyle name="Normal 23 3 6" xfId="31513" xr:uid="{33959175-D8A4-4109-92AE-49CC476A22DB}"/>
    <cellStyle name="Normal 23 3 7" xfId="31514" xr:uid="{8AD9A41E-8145-440B-B7A6-9D89FA0ACAF8}"/>
    <cellStyle name="Normal 23 4" xfId="2954" xr:uid="{B1AF806C-546B-4A42-ACF3-8A79DFA9D63F}"/>
    <cellStyle name="Normal 23 4 2" xfId="16004" xr:uid="{EC74A8B5-F3C0-4EA1-A8C2-534FA93DCBCA}"/>
    <cellStyle name="Normal 23 4 2 2" xfId="18125" xr:uid="{8D5630DD-0F0A-42B3-949A-F38236917D40}"/>
    <cellStyle name="Normal 23 4 2 2 2" xfId="21742" xr:uid="{5358F5AD-8A6A-48BA-909F-DCBB02BBE38A}"/>
    <cellStyle name="Normal 23 4 2 3" xfId="31515" xr:uid="{504C6BFD-3B91-409F-928D-0E8649AD4BC6}"/>
    <cellStyle name="Normal 23 4 2 4" xfId="31516" xr:uid="{4074876E-7D1C-419B-9C2E-BA88419572D4}"/>
    <cellStyle name="Normal 23 4 2 5" xfId="31517" xr:uid="{4B23042D-FF91-46ED-8998-5EBD6ADA4DF3}"/>
    <cellStyle name="Normal 23 4 2 6" xfId="31518" xr:uid="{D12CB5B5-E3FB-4B4F-966B-9F8D71467E00}"/>
    <cellStyle name="Normal 23 4 3" xfId="18124" xr:uid="{7CF29F35-8E24-474F-845B-DF74E728BDCB}"/>
    <cellStyle name="Normal 23 4 3 2" xfId="21741" xr:uid="{D42C730F-D979-4761-8E4F-23A49F7F1AB3}"/>
    <cellStyle name="Normal 23 4 4" xfId="31519" xr:uid="{34C70357-837C-4A12-8BA5-805D8ACEC05B}"/>
    <cellStyle name="Normal 23 4 5" xfId="31520" xr:uid="{C6DDA646-5084-448A-998A-513577E6BF1C}"/>
    <cellStyle name="Normal 23 4 6" xfId="31521" xr:uid="{10A57962-ED8E-410E-B629-38E2CB749CE0}"/>
    <cellStyle name="Normal 23 4 7" xfId="31522" xr:uid="{6B5D1A17-B685-4C3C-B712-E2E107BB6000}"/>
    <cellStyle name="Normal 23 5" xfId="5012" xr:uid="{851C5A36-404C-4792-A2EB-03861B914168}"/>
    <cellStyle name="Normal 23 5 2" xfId="18126" xr:uid="{859BD3CC-F347-4DCB-BB5A-93BFFF703F6E}"/>
    <cellStyle name="Normal 23 5 2 2" xfId="21743" xr:uid="{30BFC74F-8601-4C51-B58A-6953CEAB9ECC}"/>
    <cellStyle name="Normal 23 5 3" xfId="31523" xr:uid="{128DC36D-4D15-4A8B-B12B-742BC3C4187A}"/>
    <cellStyle name="Normal 23 5 4" xfId="31524" xr:uid="{ADEE4D76-C947-4DD0-868D-8B9AC75A86E4}"/>
    <cellStyle name="Normal 23 5 5" xfId="31525" xr:uid="{BC75C8D4-95E7-4B55-A971-5575EF2F31BF}"/>
    <cellStyle name="Normal 23 5 6" xfId="31526" xr:uid="{7F81DDFA-ED76-4C73-A1AC-CDA920BB11C5}"/>
    <cellStyle name="Normal 23 6" xfId="4146" xr:uid="{281746C3-FFA2-4E92-8344-60BA2EBD90BC}"/>
    <cellStyle name="Normal 23 6 2" xfId="18127" xr:uid="{3DA76814-C045-449B-9D80-A55003F6E41B}"/>
    <cellStyle name="Normal 23 6 2 2" xfId="21744" xr:uid="{E6AC71D3-A790-47B0-98D4-66F43F60A2E6}"/>
    <cellStyle name="Normal 23 6 3" xfId="31527" xr:uid="{B7009B1F-F441-431F-945B-6E7DB2B837D9}"/>
    <cellStyle name="Normal 23 6 4" xfId="31528" xr:uid="{AA5B9F35-6898-40CA-819C-CC60A4D2DD64}"/>
    <cellStyle name="Normal 23 6 5" xfId="31529" xr:uid="{803EC560-E481-4BFA-8E15-2F41FB9D503D}"/>
    <cellStyle name="Normal 23 6 6" xfId="31530" xr:uid="{81E94787-2E47-4A34-9050-62CA61A266F8}"/>
    <cellStyle name="Normal 23 7" xfId="6212" xr:uid="{91432FDF-6E69-4A7A-B067-392C77C85A8B}"/>
    <cellStyle name="Normal 23 7 2" xfId="18128" xr:uid="{D863712B-DB6D-4D60-96CB-95A398256A9B}"/>
    <cellStyle name="Normal 23 7 2 2" xfId="21745" xr:uid="{CC0321B6-43C5-4202-918D-B9D9FF06D2B9}"/>
    <cellStyle name="Normal 23 7 3" xfId="31531" xr:uid="{E261ACFE-A326-4253-97B4-118AAE8FC567}"/>
    <cellStyle name="Normal 23 7 4" xfId="31532" xr:uid="{3C08E453-0CCD-451B-8AFC-FDCCBF4A40D6}"/>
    <cellStyle name="Normal 23 7 5" xfId="31533" xr:uid="{7C61959E-8C83-4047-A6FA-8EE78386F2F8}"/>
    <cellStyle name="Normal 23 7 6" xfId="31534" xr:uid="{9B3BC2CD-5953-4544-9199-6C4B2009E94C}"/>
    <cellStyle name="Normal 23 8" xfId="8898" xr:uid="{9321B385-9F53-445A-A131-220A7C525A90}"/>
    <cellStyle name="Normal 23 8 2" xfId="18129" xr:uid="{66F995E1-7480-4821-8A94-734D9C883273}"/>
    <cellStyle name="Normal 23 8 2 2" xfId="21746" xr:uid="{EF0A0BE3-826F-44BF-B595-BD64592670DC}"/>
    <cellStyle name="Normal 23 8 3" xfId="31535" xr:uid="{498EC776-39AE-4954-AEFE-C22A29994EED}"/>
    <cellStyle name="Normal 23 8 4" xfId="31536" xr:uid="{99722174-A00E-42B8-BBF7-A8F92FD78E14}"/>
    <cellStyle name="Normal 23 8 5" xfId="31537" xr:uid="{30998D75-2A9E-4CDF-8B1F-5CDA2A5BB948}"/>
    <cellStyle name="Normal 23 8 6" xfId="31538" xr:uid="{30463C94-EAD7-4052-8997-E86142946C0B}"/>
    <cellStyle name="Normal 23 9" xfId="16005" xr:uid="{59EEF838-62A0-4BE6-8578-61A1EE5E78D9}"/>
    <cellStyle name="Normal 23 9 2" xfId="18130" xr:uid="{2C1BB7FA-63E0-4AC8-8BA1-809869062920}"/>
    <cellStyle name="Normal 23 9 2 2" xfId="21747" xr:uid="{A6E0BF2E-C68C-4D91-956F-3FAFBA35DDE8}"/>
    <cellStyle name="Normal 23 9 3" xfId="31539" xr:uid="{76AD389C-5CBF-4748-8D09-1B95B01A4ECD}"/>
    <cellStyle name="Normal 23 9 4" xfId="31540" xr:uid="{C45FF72B-48F2-4061-8650-851851007B46}"/>
    <cellStyle name="Normal 23 9 5" xfId="31541" xr:uid="{5F6D627A-B82D-484D-8BD7-D5A05C815BBB}"/>
    <cellStyle name="Normal 23 9 6" xfId="31542" xr:uid="{33802622-C3E2-4D1A-8583-818ED1E4CB6B}"/>
    <cellStyle name="Normal 23_ELC" xfId="2955" xr:uid="{E80BB0C8-E83F-4961-8BF4-86B67FEB9CBD}"/>
    <cellStyle name="Normal 24" xfId="2956" xr:uid="{0F014648-221E-4D96-AE73-088674EB731D}"/>
    <cellStyle name="Normal 24 10" xfId="18131" xr:uid="{B760B58A-88CD-43C8-A7C9-8B645CF0C4CE}"/>
    <cellStyle name="Normal 24 10 2" xfId="21748" xr:uid="{E0F9FBDC-89D8-4174-954D-139DBD5B88FE}"/>
    <cellStyle name="Normal 24 11" xfId="31543" xr:uid="{4BF2965C-0A39-4281-A1E8-C5BC92187884}"/>
    <cellStyle name="Normal 24 12" xfId="31544" xr:uid="{705242BD-B9BC-402A-9AE2-CF07872E84CA}"/>
    <cellStyle name="Normal 24 13" xfId="31545" xr:uid="{CB8A52CA-DA02-4A6E-884A-12DA12F168B0}"/>
    <cellStyle name="Normal 24 14" xfId="31546" xr:uid="{19AA02B0-E08C-4D81-B14B-70BBDCAF7848}"/>
    <cellStyle name="Normal 24 15" xfId="31547" xr:uid="{19E8D6BE-571A-45A2-8DBA-1E61E2F08026}"/>
    <cellStyle name="Normal 24 2" xfId="2957" xr:uid="{E4671EBC-43CA-47E8-A0EE-988A00414D86}"/>
    <cellStyle name="Normal 24 2 2" xfId="5018" xr:uid="{9EA39AF0-6389-4593-8571-87DF5A0C7A73}"/>
    <cellStyle name="Normal 24 2 2 2" xfId="18133" xr:uid="{D76D0D5C-DC7C-4A1D-AAA8-5C3E851FCB1B}"/>
    <cellStyle name="Normal 24 2 2 2 2" xfId="21750" xr:uid="{26052832-EE40-4C27-8E19-42E4CC403C15}"/>
    <cellStyle name="Normal 24 2 2 3" xfId="31548" xr:uid="{61C6CE65-4CD5-4F0B-AE65-A05157FFA74D}"/>
    <cellStyle name="Normal 24 2 2 4" xfId="31549" xr:uid="{B6C79346-665C-49A6-8C69-5D767524045C}"/>
    <cellStyle name="Normal 24 2 2 5" xfId="31550" xr:uid="{A9838BFE-B552-44D0-B020-8A55C27A7739}"/>
    <cellStyle name="Normal 24 2 2 6" xfId="31551" xr:uid="{7548F72C-0079-4A5C-8D8B-7451E5FBEF50}"/>
    <cellStyle name="Normal 24 2 3" xfId="6851" xr:uid="{C3006F77-44FD-4F5D-8632-5586623EF420}"/>
    <cellStyle name="Normal 24 2 3 2" xfId="21749" xr:uid="{E374E67C-13E1-45F0-9F37-FE6032443689}"/>
    <cellStyle name="Normal 24 2 3 3" xfId="46324" xr:uid="{F65CF6AD-C094-4FBE-B703-87C4E105061B}"/>
    <cellStyle name="Normal 24 2 3 4" xfId="18132" xr:uid="{1712FE81-8B43-4382-B364-9800046D64C2}"/>
    <cellStyle name="Normal 24 2 4" xfId="8904" xr:uid="{AFA0B4B2-B47C-45DC-B9CE-6562B3DDEEC0}"/>
    <cellStyle name="Normal 24 2 4 2" xfId="31552" xr:uid="{7298ED10-1402-4B5E-93A5-F6B1FE0D3396}"/>
    <cellStyle name="Normal 24 2 5" xfId="31553" xr:uid="{BB3DEFE8-321A-475E-8085-8176A6615777}"/>
    <cellStyle name="Normal 24 2 6" xfId="31554" xr:uid="{305AA6EF-40EF-466A-9E61-B5C7FB0B10AA}"/>
    <cellStyle name="Normal 24 2 7" xfId="31555" xr:uid="{2B4B1492-EE29-4062-A157-293E34A86270}"/>
    <cellStyle name="Normal 24 3" xfId="5017" xr:uid="{E9F2353A-C946-4EB0-8AEF-D95F6E95E557}"/>
    <cellStyle name="Normal 24 3 2" xfId="18134" xr:uid="{3CCC5C52-BABB-4118-A37F-7044A791F728}"/>
    <cellStyle name="Normal 24 3 2 2" xfId="21751" xr:uid="{EDDEF175-EF91-4B2F-B988-1A6D52AADD01}"/>
    <cellStyle name="Normal 24 3 3" xfId="31556" xr:uid="{D578B903-EBF9-4A16-996E-31FA43C82256}"/>
    <cellStyle name="Normal 24 3 4" xfId="31557" xr:uid="{4186F0BA-05F8-431F-A3E8-3E5E09D0E9BF}"/>
    <cellStyle name="Normal 24 3 5" xfId="31558" xr:uid="{D4ACC995-0C13-4FF1-B0C9-D3B5E268F275}"/>
    <cellStyle name="Normal 24 3 6" xfId="31559" xr:uid="{51058810-05A1-4640-AF6B-2A77775D6405}"/>
    <cellStyle name="Normal 24 4" xfId="4148" xr:uid="{D2CD0B3C-8002-400E-A196-4F40051BAD0E}"/>
    <cellStyle name="Normal 24 4 2" xfId="18135" xr:uid="{2C938C3C-3CFF-44DA-9ED9-E8F883CE416C}"/>
    <cellStyle name="Normal 24 4 2 2" xfId="21752" xr:uid="{EFE6BEC3-7A33-4FB7-9A5D-F270952D8438}"/>
    <cellStyle name="Normal 24 4 3" xfId="31560" xr:uid="{6A4B1E3C-43D6-46F3-A807-B8273644B769}"/>
    <cellStyle name="Normal 24 4 4" xfId="31561" xr:uid="{5AA7D23C-14E0-4806-A3E5-859CDA5D0359}"/>
    <cellStyle name="Normal 24 4 5" xfId="31562" xr:uid="{7EA18D11-D0E0-4AAE-8A57-7515CA2443E2}"/>
    <cellStyle name="Normal 24 4 6" xfId="31563" xr:uid="{B10B1F09-E877-45E1-AB4F-3B1C368D84FC}"/>
    <cellStyle name="Normal 24 5" xfId="6214" xr:uid="{84DCDD95-1C70-405B-AD3F-E2C2ADFA0B0A}"/>
    <cellStyle name="Normal 24 5 2" xfId="18136" xr:uid="{D5B132CD-AC3F-4EE4-A14D-0C9B3F3A2EDE}"/>
    <cellStyle name="Normal 24 5 2 2" xfId="21753" xr:uid="{62A62939-658A-4175-807E-8140089DAA4B}"/>
    <cellStyle name="Normal 24 5 3" xfId="31564" xr:uid="{6CB43C94-B7C0-4474-99A3-F6AFBE05E4A8}"/>
    <cellStyle name="Normal 24 5 4" xfId="31565" xr:uid="{02D1C465-DB7D-40F1-932F-3D9834EB5937}"/>
    <cellStyle name="Normal 24 5 5" xfId="31566" xr:uid="{4EF7B13A-BD6E-4126-AC72-2416F8B073BF}"/>
    <cellStyle name="Normal 24 5 6" xfId="31567" xr:uid="{1AEE344A-79BB-4BE3-AAA4-E67F07402B56}"/>
    <cellStyle name="Normal 24 6" xfId="8903" xr:uid="{E3EB4B22-86B6-40C7-B02C-2BC409BD6075}"/>
    <cellStyle name="Normal 24 6 2" xfId="18137" xr:uid="{B6041FA0-03C1-48AB-BF61-0E698B262F69}"/>
    <cellStyle name="Normal 24 6 2 2" xfId="21754" xr:uid="{91E7690C-96FC-46A3-BD18-D717C618CB4D}"/>
    <cellStyle name="Normal 24 6 3" xfId="31568" xr:uid="{3C93EDE6-F4B1-48DB-8580-19956CF822AA}"/>
    <cellStyle name="Normal 24 6 4" xfId="31569" xr:uid="{50A72D94-5E3C-428C-A1E6-4DB0146B5379}"/>
    <cellStyle name="Normal 24 6 5" xfId="31570" xr:uid="{2D3EDC4C-C937-40E7-BA57-C82D01829C8B}"/>
    <cellStyle name="Normal 24 6 6" xfId="31571" xr:uid="{294EA304-A8DE-44E1-8020-9735500EA46C}"/>
    <cellStyle name="Normal 24 7" xfId="16006" xr:uid="{72486507-07E6-41EE-8FBE-CA30BAE51CD4}"/>
    <cellStyle name="Normal 24 7 2" xfId="18138" xr:uid="{009CD7A7-B9DE-4044-98D2-44D5C5CC23BD}"/>
    <cellStyle name="Normal 24 7 2 2" xfId="21755" xr:uid="{CDA1FEF3-F422-4B0B-A030-084C34330120}"/>
    <cellStyle name="Normal 24 7 3" xfId="31572" xr:uid="{59BB4126-E1D0-4FC2-884D-140233523DB7}"/>
    <cellStyle name="Normal 24 7 4" xfId="31573" xr:uid="{31D253E9-0EC5-4C6B-A242-AA1A0C47F5FA}"/>
    <cellStyle name="Normal 24 7 5" xfId="31574" xr:uid="{1EAE19B1-0204-4739-9763-C9D5CD6CCF1D}"/>
    <cellStyle name="Normal 24 7 6" xfId="31575" xr:uid="{8F99B783-9327-4A51-831A-72C7AB5811B5}"/>
    <cellStyle name="Normal 24 8" xfId="16007" xr:uid="{F0A3C2DB-2C57-4F0F-BC27-09ABC7C7B9EB}"/>
    <cellStyle name="Normal 24 8 2" xfId="18139" xr:uid="{A775E971-06A3-44FE-9857-367C2BF3C419}"/>
    <cellStyle name="Normal 24 8 2 2" xfId="21756" xr:uid="{EFF8D075-218A-4003-ACDB-1B8C8F4E1C1F}"/>
    <cellStyle name="Normal 24 8 3" xfId="31576" xr:uid="{6F22E769-2E40-43C3-B622-987F9AAAD1B8}"/>
    <cellStyle name="Normal 24 8 4" xfId="31577" xr:uid="{D3CEAD18-D99B-4523-BC02-AFB592DD5AA6}"/>
    <cellStyle name="Normal 24 8 5" xfId="31578" xr:uid="{6EFB073E-8A61-46B2-A321-0EDE8F5BD57F}"/>
    <cellStyle name="Normal 24 8 6" xfId="31579" xr:uid="{7F79F423-3407-4DE3-9B7B-0E227748BCCA}"/>
    <cellStyle name="Normal 24 9" xfId="16008" xr:uid="{B6BA86ED-C570-4867-9488-1AE65D016095}"/>
    <cellStyle name="Normal 24 9 2" xfId="18140" xr:uid="{E9E9AC0F-C245-4AA0-9E7B-40DFAAEAEEB6}"/>
    <cellStyle name="Normal 24 9 2 2" xfId="21757" xr:uid="{67B5C423-6898-4061-ACEF-0A2A9AFB8354}"/>
    <cellStyle name="Normal 24 9 3" xfId="31580" xr:uid="{A2635805-035C-4E87-A9A9-58A48137D1DE}"/>
    <cellStyle name="Normal 24 9 4" xfId="31581" xr:uid="{DB827EB8-78BA-44D3-BF1E-99CE35C6C907}"/>
    <cellStyle name="Normal 24 9 5" xfId="31582" xr:uid="{40B057E2-6026-4F4D-BA07-22CD7D86D63A}"/>
    <cellStyle name="Normal 24 9 6" xfId="31583" xr:uid="{D19F41A8-DEA8-4B13-BD06-39E234DABD95}"/>
    <cellStyle name="Normal 24_ELC" xfId="2958" xr:uid="{E96422FD-49A5-42E2-B90F-C9AE30515054}"/>
    <cellStyle name="Normal 25" xfId="2959" xr:uid="{CF793025-B7AC-4C8A-B456-66336E2F42BE}"/>
    <cellStyle name="Normal 25 10" xfId="18141" xr:uid="{551B30D5-7470-49B2-A3C1-B9194F445C17}"/>
    <cellStyle name="Normal 25 10 2" xfId="21758" xr:uid="{A842C6F1-1686-49BD-B224-0044946BCB20}"/>
    <cellStyle name="Normal 25 11" xfId="31584" xr:uid="{D51E3659-A58A-4C1D-B8A7-64D12372EA8C}"/>
    <cellStyle name="Normal 25 12" xfId="31585" xr:uid="{0987EB51-6B57-410E-B238-5DE5FCDFC92B}"/>
    <cellStyle name="Normal 25 13" xfId="31586" xr:uid="{3123CB41-A959-469F-B269-C7AF236AC6C9}"/>
    <cellStyle name="Normal 25 14" xfId="31587" xr:uid="{B1D96CE9-F335-461B-BB20-E264967259F8}"/>
    <cellStyle name="Normal 25 15" xfId="31588" xr:uid="{75817898-C21F-4C38-A7C6-8058EBF48F19}"/>
    <cellStyle name="Normal 25 2" xfId="2960" xr:uid="{A7647099-5C78-4876-8AD8-00AC17570B12}"/>
    <cellStyle name="Normal 25 2 2" xfId="5020" xr:uid="{A4214B7A-59A0-4A49-BA64-7CEB4AB003A4}"/>
    <cellStyle name="Normal 25 2 2 2" xfId="16859" xr:uid="{65FB3600-79C1-4D75-97D9-A64C31D6FAF6}"/>
    <cellStyle name="Normal 25 2 2 2 2" xfId="18144" xr:uid="{05B81E18-328D-4FEB-B887-C252201881AF}"/>
    <cellStyle name="Normal 25 2 2 2 2 2" xfId="21761" xr:uid="{224569B0-07E7-44EB-812D-D08DC866EAB4}"/>
    <cellStyle name="Normal 25 2 2 2 3" xfId="20859" xr:uid="{F125FD3D-3E44-43B1-9BD9-DD6574E30CAB}"/>
    <cellStyle name="Normal 25 2 2 3" xfId="18143" xr:uid="{E6B532F1-E35D-4AF1-A94C-E5B3948ECF85}"/>
    <cellStyle name="Normal 25 2 2 3 2" xfId="21760" xr:uid="{F7C02DFE-72C6-417F-82EA-F6D30891B798}"/>
    <cellStyle name="Normal 25 2 2 4" xfId="20575" xr:uid="{C1E7688F-27AD-4679-B51A-352A7641147B}"/>
    <cellStyle name="Normal 25 2 2 5" xfId="43626" xr:uid="{F4529EBB-D36C-45F8-99A6-A5B32188897E}"/>
    <cellStyle name="Normal 25 2 2 6" xfId="16009" xr:uid="{7D1B5AC3-439C-41C7-9BFC-92A38E4EC195}"/>
    <cellStyle name="Normal 25 2 3" xfId="4150" xr:uid="{DED2F144-9730-472C-8AE3-7730F483C392}"/>
    <cellStyle name="Normal 25 2 3 2" xfId="21759" xr:uid="{AFF26983-FC3C-43F0-AFB3-0423ED3CBAB9}"/>
    <cellStyle name="Normal 25 2 3 3" xfId="43975" xr:uid="{3807140D-C541-4AA0-A750-E65660ED7575}"/>
    <cellStyle name="Normal 25 2 3 4" xfId="18142" xr:uid="{B7F057AE-61F3-41DA-8CF8-27630FD82D10}"/>
    <cellStyle name="Normal 25 2 4" xfId="6216" xr:uid="{FF04ED46-496A-4B6F-B0B9-CB76749A42AC}"/>
    <cellStyle name="Normal 25 2 4 2" xfId="45881" xr:uid="{8D7403FE-00E2-44F2-9789-D4BD9FA5F3CC}"/>
    <cellStyle name="Normal 25 2 4 3" xfId="31589" xr:uid="{59DDFF2E-F361-49EF-9866-226042F5E3AA}"/>
    <cellStyle name="Normal 25 2 5" xfId="8906" xr:uid="{0E898850-E982-445D-8657-97C8537C5307}"/>
    <cellStyle name="Normal 25 2 5 2" xfId="31590" xr:uid="{9EF779E5-8025-440B-A185-2205AF76B89A}"/>
    <cellStyle name="Normal 25 2 6" xfId="31591" xr:uid="{BC58A94A-4D1C-47FA-8E14-36C8A1647D44}"/>
    <cellStyle name="Normal 25 2 7" xfId="31592" xr:uid="{B42A7287-8FD6-4DCC-8520-5570F30A1FAB}"/>
    <cellStyle name="Normal 25 2 8" xfId="31593" xr:uid="{D26BA14B-EDD4-423D-A75A-90295174F764}"/>
    <cellStyle name="Normal 25 3" xfId="5019" xr:uid="{8C437855-FB4D-4E2D-89E6-167688D04BB6}"/>
    <cellStyle name="Normal 25 3 2" xfId="16860" xr:uid="{E9CA7E86-A2AA-442C-B34C-2E471A0B4CD8}"/>
    <cellStyle name="Normal 25 3 2 2" xfId="18146" xr:uid="{EE2B0689-6449-4A33-B4F7-314463D9300D}"/>
    <cellStyle name="Normal 25 3 2 2 2" xfId="21763" xr:uid="{70FD6E04-3A27-434F-A4C7-0825BF3BC873}"/>
    <cellStyle name="Normal 25 3 2 3" xfId="20860" xr:uid="{41914628-D470-4BA4-BC63-BCB4F9339B19}"/>
    <cellStyle name="Normal 25 3 3" xfId="18145" xr:uid="{AC1E9BB5-4D4B-41B1-8B6F-E29A0C4D7EE6}"/>
    <cellStyle name="Normal 25 3 3 2" xfId="21762" xr:uid="{74C72BA6-429B-471B-A999-5FBF797EAEEB}"/>
    <cellStyle name="Normal 25 3 4" xfId="20576" xr:uid="{CDCC16CD-96A3-4AA0-A678-4969035CC51A}"/>
    <cellStyle name="Normal 25 3 5" xfId="43625" xr:uid="{6374703F-499B-488A-BFDD-09EE4465C6F0}"/>
    <cellStyle name="Normal 25 3 6" xfId="16010" xr:uid="{584CBE79-0E09-4D97-A063-AA273CDDD086}"/>
    <cellStyle name="Normal 25 4" xfId="4149" xr:uid="{3BBB3BFA-0B16-47B4-AFC9-549D804AA915}"/>
    <cellStyle name="Normal 25 4 2" xfId="16861" xr:uid="{FA0ACCEA-5FAB-4751-8574-F62894DBF7A4}"/>
    <cellStyle name="Normal 25 4 2 2" xfId="18148" xr:uid="{C72A413E-2783-4F26-8E57-CA6666671A71}"/>
    <cellStyle name="Normal 25 4 2 2 2" xfId="21765" xr:uid="{CF8BA0DF-4659-49E0-92CA-F6364416A397}"/>
    <cellStyle name="Normal 25 4 2 3" xfId="20861" xr:uid="{97BB071D-E431-4462-95C9-C84632D3B9D2}"/>
    <cellStyle name="Normal 25 4 3" xfId="18147" xr:uid="{60A8A6ED-C585-4E2F-9E70-68C4442F99C7}"/>
    <cellStyle name="Normal 25 4 3 2" xfId="21764" xr:uid="{CEAB93B1-F773-482B-95ED-B1950CEE7CA6}"/>
    <cellStyle name="Normal 25 4 4" xfId="20577" xr:uid="{63A8EE36-E0F4-497D-86C5-0A6122448E6E}"/>
    <cellStyle name="Normal 25 4 5" xfId="43974" xr:uid="{611FFF89-5332-4F47-8473-1DB9FE8DA525}"/>
    <cellStyle name="Normal 25 4 6" xfId="16011" xr:uid="{AB99B744-A4ED-4B79-B2A3-1E846B486476}"/>
    <cellStyle name="Normal 25 5" xfId="6215" xr:uid="{4AD7414B-302E-4B17-BE14-906C7228F5B8}"/>
    <cellStyle name="Normal 25 5 2" xfId="16862" xr:uid="{C221A976-06EC-49B5-92C1-DF4A4EDC161F}"/>
    <cellStyle name="Normal 25 5 2 2" xfId="18150" xr:uid="{8CFD3666-EA8B-4A70-8CBD-89A85725B6CE}"/>
    <cellStyle name="Normal 25 5 2 2 2" xfId="21767" xr:uid="{5018FAC1-DBBE-44C6-BBAA-5668AAB5D67A}"/>
    <cellStyle name="Normal 25 5 2 3" xfId="20862" xr:uid="{64B2609D-8F90-4DD1-BE13-31DA3F7326FB}"/>
    <cellStyle name="Normal 25 5 3" xfId="18149" xr:uid="{53BBAC9D-FC4D-4268-A5D7-50AEB41C618F}"/>
    <cellStyle name="Normal 25 5 3 2" xfId="21766" xr:uid="{A015C508-8247-4B45-ABDC-EC7C5D09DF4C}"/>
    <cellStyle name="Normal 25 5 4" xfId="20578" xr:uid="{108110EC-5830-4338-82BD-2D2AF1BD7EE2}"/>
    <cellStyle name="Normal 25 5 5" xfId="45880" xr:uid="{1F221C6B-F42F-4481-AD99-76D026719AAD}"/>
    <cellStyle name="Normal 25 5 6" xfId="16012" xr:uid="{E750C4C9-1BE7-4E4F-B5CF-5BD2325D65FD}"/>
    <cellStyle name="Normal 25 6" xfId="8905" xr:uid="{D53A0643-44CA-4CAE-AD1F-C2A2E5AF8903}"/>
    <cellStyle name="Normal 25 6 2" xfId="16863" xr:uid="{8AFB452B-D870-4747-A102-BAC7988236DB}"/>
    <cellStyle name="Normal 25 6 2 2" xfId="18152" xr:uid="{DB61883C-50C1-40C1-B90C-5DA3529D6AD0}"/>
    <cellStyle name="Normal 25 6 2 2 2" xfId="21769" xr:uid="{C888E3FE-BCD6-419E-909F-375250E8F876}"/>
    <cellStyle name="Normal 25 6 2 3" xfId="20863" xr:uid="{DF841D5E-A3F5-4C07-945B-D436E8020755}"/>
    <cellStyle name="Normal 25 6 3" xfId="18151" xr:uid="{32E4F0CD-6BB0-48E2-8C60-B3A41AC45D0E}"/>
    <cellStyle name="Normal 25 6 3 2" xfId="21768" xr:uid="{3E3EFC93-11F2-4A26-BCC5-7A83DED67402}"/>
    <cellStyle name="Normal 25 6 4" xfId="20579" xr:uid="{B581E057-9E00-4C2A-B74D-AB72016E5833}"/>
    <cellStyle name="Normal 25 6 5" xfId="16013" xr:uid="{A420EBDF-AD73-423C-A971-D0B2DCA46D58}"/>
    <cellStyle name="Normal 25 7" xfId="16014" xr:uid="{CE1821C5-923F-44C8-A3D0-13283F751A59}"/>
    <cellStyle name="Normal 25 7 2" xfId="16864" xr:uid="{FBF82B7B-3D12-4723-90BA-55D5E2C7C822}"/>
    <cellStyle name="Normal 25 7 2 2" xfId="18154" xr:uid="{131DA356-D80B-4A5E-8151-36D12AA14723}"/>
    <cellStyle name="Normal 25 7 2 2 2" xfId="21771" xr:uid="{4F11BEDF-5E6D-4AD5-8B0D-A8449B0BABF8}"/>
    <cellStyle name="Normal 25 7 2 3" xfId="20864" xr:uid="{14ED04E2-3E8D-4DBA-B7B8-B1D3FB7D645A}"/>
    <cellStyle name="Normal 25 7 3" xfId="18153" xr:uid="{5153393F-69A7-40F4-9F22-357234B1E7E3}"/>
    <cellStyle name="Normal 25 7 3 2" xfId="21770" xr:uid="{E778FDF7-250C-4237-90D1-611F67B41222}"/>
    <cellStyle name="Normal 25 7 4" xfId="20580" xr:uid="{50BA9294-475D-4A0D-B325-05D8FD80BD43}"/>
    <cellStyle name="Normal 25 8" xfId="16015" xr:uid="{9A42F965-EEAF-412B-9E05-1E5AE7814D9B}"/>
    <cellStyle name="Normal 25 8 2" xfId="16865" xr:uid="{706FD499-75A8-4AD2-8BE2-EF7D549D0FCD}"/>
    <cellStyle name="Normal 25 8 2 2" xfId="18156" xr:uid="{3BF4F07D-A190-45D8-8BC6-46D911EEC558}"/>
    <cellStyle name="Normal 25 8 2 2 2" xfId="21773" xr:uid="{923C1BBA-64AB-4C77-92F5-1193F823E93D}"/>
    <cellStyle name="Normal 25 8 2 3" xfId="20865" xr:uid="{75666A83-758A-4B32-8ABF-D2B46708338C}"/>
    <cellStyle name="Normal 25 8 3" xfId="18155" xr:uid="{50F3ABA7-7ECF-41DF-8AB0-6E610DDCC603}"/>
    <cellStyle name="Normal 25 8 3 2" xfId="21772" xr:uid="{C5417C71-59D8-406D-8425-7ADECFA95B17}"/>
    <cellStyle name="Normal 25 8 4" xfId="20581" xr:uid="{85965F98-0F92-4DEE-BDC0-6394E8D5D03B}"/>
    <cellStyle name="Normal 25 9" xfId="16016" xr:uid="{B429A679-48DA-480F-A4E2-DA8BE67C2FA3}"/>
    <cellStyle name="Normal 25 9 2" xfId="16866" xr:uid="{89CBF62A-601C-4CE0-91B0-7EE4C7914874}"/>
    <cellStyle name="Normal 25 9 2 2" xfId="18158" xr:uid="{BA9A878E-08DA-49CC-8165-D4CA680E5C7F}"/>
    <cellStyle name="Normal 25 9 2 2 2" xfId="21775" xr:uid="{0862B2C9-BB95-42D5-830A-58525674F557}"/>
    <cellStyle name="Normal 25 9 2 3" xfId="20866" xr:uid="{12F214E0-4124-406E-9F13-8596564B6377}"/>
    <cellStyle name="Normal 25 9 3" xfId="18157" xr:uid="{47CF32E3-956B-4745-9EEB-B0218AD30B11}"/>
    <cellStyle name="Normal 25 9 3 2" xfId="21774" xr:uid="{E273F47E-F291-44DD-A8AB-625C75435424}"/>
    <cellStyle name="Normal 25 9 4" xfId="20582" xr:uid="{FC1B6121-36EB-4FEA-8B7E-550E07561771}"/>
    <cellStyle name="Normal 26" xfId="2961" xr:uid="{0663CA42-EFE6-46C5-80FD-4AA44566DA38}"/>
    <cellStyle name="Normal 26 10" xfId="4151" xr:uid="{79813F9B-98E1-4568-AD98-6F2537961924}"/>
    <cellStyle name="Normal 26 10 2" xfId="16867" xr:uid="{676F0F4F-F12C-442F-9CC4-294EDC2C53BF}"/>
    <cellStyle name="Normal 26 10 2 2" xfId="18161" xr:uid="{B4B85069-6A7A-4F6C-8C25-05527D6934B7}"/>
    <cellStyle name="Normal 26 10 2 2 2" xfId="21778" xr:uid="{AC55AF41-ADD3-4180-A473-F8863F7E60DA}"/>
    <cellStyle name="Normal 26 10 2 3" xfId="20867" xr:uid="{659D4493-FB47-477A-ADF4-C7440DB45A06}"/>
    <cellStyle name="Normal 26 10 3" xfId="18160" xr:uid="{BE5433C3-9EE6-4DDD-B870-961BC19D1145}"/>
    <cellStyle name="Normal 26 10 3 2" xfId="21777" xr:uid="{5618AE30-FC4E-4CE8-83C6-E38D4C2474B8}"/>
    <cellStyle name="Normal 26 10 4" xfId="20583" xr:uid="{3F06BA8F-B7AD-43AB-82C2-97D211591C95}"/>
    <cellStyle name="Normal 26 10 5" xfId="43976" xr:uid="{75C69249-DFB2-429F-BA3B-AD5DAD68D464}"/>
    <cellStyle name="Normal 26 10 6" xfId="16017" xr:uid="{BEC6ABAD-ABB5-4BB6-A6F6-FF702B5DEFFF}"/>
    <cellStyle name="Normal 26 11" xfId="6217" xr:uid="{5B0A381D-97BE-41F1-ABBF-0703DEE644AE}"/>
    <cellStyle name="Normal 26 11 2" xfId="18162" xr:uid="{14C723EA-793C-412D-9D37-09FCC234EF9A}"/>
    <cellStyle name="Normal 26 11 2 2" xfId="21779" xr:uid="{EAC13ECE-719D-46DC-BF75-E30C0154CBFB}"/>
    <cellStyle name="Normal 26 11 3" xfId="31594" xr:uid="{9C70AD74-8790-4ADB-AEDD-9ECADB532A69}"/>
    <cellStyle name="Normal 26 11 4" xfId="31595" xr:uid="{A267A2F8-457C-4F61-B4D3-6365C53C688A}"/>
    <cellStyle name="Normal 26 11 5" xfId="31596" xr:uid="{CC0B2B52-4016-468A-B8DA-4199DFAD95DC}"/>
    <cellStyle name="Normal 26 11 6" xfId="31597" xr:uid="{3BFA95BD-08C6-40F7-8FDF-2DB5DF6CE7AB}"/>
    <cellStyle name="Normal 26 12" xfId="8907" xr:uid="{D5AC728B-5F03-4590-A186-0CA093506064}"/>
    <cellStyle name="Normal 26 12 2" xfId="18163" xr:uid="{1B7AB3EB-3255-4BAC-AD42-7D343A917E6F}"/>
    <cellStyle name="Normal 26 12 2 2" xfId="21780" xr:uid="{43C30558-4108-48CB-A4E5-48B1765FF356}"/>
    <cellStyle name="Normal 26 12 3" xfId="31598" xr:uid="{591B990D-3DCE-456F-82CC-4BBCBB4BD34F}"/>
    <cellStyle name="Normal 26 12 4" xfId="31599" xr:uid="{235DE35F-F6C4-420C-A879-D40FB7064E56}"/>
    <cellStyle name="Normal 26 12 5" xfId="31600" xr:uid="{D7AA080A-1C81-496C-AA67-4F573055AD0F}"/>
    <cellStyle name="Normal 26 12 6" xfId="31601" xr:uid="{40793103-5733-480B-9B69-556E9F28210C}"/>
    <cellStyle name="Normal 26 13" xfId="18159" xr:uid="{AC1A6103-41A3-4937-9F36-B8122A930929}"/>
    <cellStyle name="Normal 26 13 2" xfId="21776" xr:uid="{E9D84EB1-57A7-421D-AC4B-B83DCACC478B}"/>
    <cellStyle name="Normal 26 14" xfId="31602" xr:uid="{520514A4-C9CE-4C25-A836-1D371B601C93}"/>
    <cellStyle name="Normal 26 15" xfId="31603" xr:uid="{FA610545-BDB9-461A-8CE8-DEA74C346B43}"/>
    <cellStyle name="Normal 26 16" xfId="31604" xr:uid="{71BD0508-2C72-4199-B90E-439538775D5A}"/>
    <cellStyle name="Normal 26 17" xfId="31605" xr:uid="{715C398E-70BE-4F90-B7AB-F1C6DF877ACD}"/>
    <cellStyle name="Normal 26 18" xfId="31606" xr:uid="{12E260F2-FEB5-49AB-9CF4-E19C46ACE396}"/>
    <cellStyle name="Normal 26 2" xfId="2962" xr:uid="{02CA8486-29A6-4ACE-9729-16239C4F4A4A}"/>
    <cellStyle name="Normal 26 2 10" xfId="31607" xr:uid="{B1263449-9B8B-4D31-AFA3-DD8315E5A496}"/>
    <cellStyle name="Normal 26 2 2" xfId="5022" xr:uid="{0634DAA7-4DF7-404C-AA97-901B3E2F7CF6}"/>
    <cellStyle name="Normal 26 2 2 2" xfId="18165" xr:uid="{39EDE1F2-1126-47DE-B5D1-2DADA776BAF0}"/>
    <cellStyle name="Normal 26 2 2 2 2" xfId="21782" xr:uid="{5A22465F-D1EA-45A8-B57E-7D1A9E0FBFFB}"/>
    <cellStyle name="Normal 26 2 2 3" xfId="31608" xr:uid="{46C7BA15-EFA5-4BDB-9A4E-3073329316C0}"/>
    <cellStyle name="Normal 26 2 2 4" xfId="31609" xr:uid="{43DD60FC-8449-4FF0-BC99-796DDCB5C16C}"/>
    <cellStyle name="Normal 26 2 2 5" xfId="31610" xr:uid="{159A9F7E-FDCD-4110-9A20-3C1C9A42DC0F}"/>
    <cellStyle name="Normal 26 2 2 6" xfId="31611" xr:uid="{3DEFCD36-F9D5-42C5-A36A-14BDF8720E73}"/>
    <cellStyle name="Normal 26 2 3" xfId="6852" xr:uid="{2CD1ECE9-9F1A-47E6-874D-2E29DA40FFA9}"/>
    <cellStyle name="Normal 26 2 3 2" xfId="18166" xr:uid="{BD5E5AA3-AD5F-44E2-AC55-9EA0D2A0FDE1}"/>
    <cellStyle name="Normal 26 2 3 2 2" xfId="21783" xr:uid="{A92C283F-6AC6-4403-A2A4-F14743EF7326}"/>
    <cellStyle name="Normal 26 2 3 3" xfId="31612" xr:uid="{70F81FDC-0A49-4784-AF6D-2F6E3A698BA3}"/>
    <cellStyle name="Normal 26 2 3 4" xfId="31613" xr:uid="{28F6F912-0059-4DAA-95F1-73C1FF179C17}"/>
    <cellStyle name="Normal 26 2 3 5" xfId="31614" xr:uid="{4D7E5567-C57C-423A-B526-35E364DA03D9}"/>
    <cellStyle name="Normal 26 2 3 6" xfId="31615" xr:uid="{7B818042-42EF-4ADB-8398-6B4A59F25DD3}"/>
    <cellStyle name="Normal 26 2 4" xfId="8908" xr:uid="{FCBD48C3-04EF-4813-9E6C-EA6BEEDF9BF0}"/>
    <cellStyle name="Normal 26 2 4 2" xfId="18167" xr:uid="{7DD12234-59C9-4F53-BE02-870857B5AD7E}"/>
    <cellStyle name="Normal 26 2 4 2 2" xfId="21784" xr:uid="{1CCC3D7C-0ED8-45C8-89D5-B8FC11A47895}"/>
    <cellStyle name="Normal 26 2 4 3" xfId="31616" xr:uid="{8AE6C3C4-4F27-48FD-9076-5EA54C2415DF}"/>
    <cellStyle name="Normal 26 2 4 4" xfId="31617" xr:uid="{E94A696E-3E22-441B-A1B3-12CF36C6938C}"/>
    <cellStyle name="Normal 26 2 4 5" xfId="31618" xr:uid="{380A1382-6A7D-4B9C-B840-0E5BD7DEC116}"/>
    <cellStyle name="Normal 26 2 4 6" xfId="31619" xr:uid="{3FB10151-733C-43AE-8DB8-461C8186E12E}"/>
    <cellStyle name="Normal 26 2 5" xfId="16018" xr:uid="{4979F33D-24C8-4400-8E06-210B41B4B989}"/>
    <cellStyle name="Normal 26 2 5 2" xfId="16868" xr:uid="{64E6AB58-D0EB-4843-A5F0-3CBE713F1A04}"/>
    <cellStyle name="Normal 26 2 5 2 2" xfId="18169" xr:uid="{C425051E-B7BA-43F0-8F53-98F5BBD529F8}"/>
    <cellStyle name="Normal 26 2 5 2 2 2" xfId="21786" xr:uid="{E1E293DB-CC23-4C9E-945B-91FBE553BC87}"/>
    <cellStyle name="Normal 26 2 5 2 3" xfId="20868" xr:uid="{80B3CD36-F729-4438-8EBA-65FD4D821ABD}"/>
    <cellStyle name="Normal 26 2 5 3" xfId="18168" xr:uid="{F54E30FD-806B-481E-9A27-C5FEFAB5C557}"/>
    <cellStyle name="Normal 26 2 5 3 2" xfId="21785" xr:uid="{95171C6F-B114-470B-8BE6-F797E9D33A82}"/>
    <cellStyle name="Normal 26 2 5 4" xfId="20584" xr:uid="{E37747EA-B9C6-42BC-BA6E-5A25C257FDC7}"/>
    <cellStyle name="Normal 26 2 6" xfId="18164" xr:uid="{31715F98-E258-44AB-9705-CD4952B41044}"/>
    <cellStyle name="Normal 26 2 6 2" xfId="21781" xr:uid="{048A09D9-9B63-459D-A896-288C585E27F6}"/>
    <cellStyle name="Normal 26 2 7" xfId="31620" xr:uid="{9614FE96-F14F-4C11-A0B3-2C36869A92C6}"/>
    <cellStyle name="Normal 26 2 8" xfId="31621" xr:uid="{CC28AC8C-6CAD-4402-90DE-75FB05DA9ECC}"/>
    <cellStyle name="Normal 26 2 9" xfId="31622" xr:uid="{F0B1F6C4-E1A0-46F6-B78E-319409B8A0D6}"/>
    <cellStyle name="Normal 26 3" xfId="2963" xr:uid="{79D77084-32FB-4D01-A0B0-05FBD932D38B}"/>
    <cellStyle name="Normal 26 3 10" xfId="31623" xr:uid="{62C6678C-429F-41DD-90EE-7D51BCAA33FA}"/>
    <cellStyle name="Normal 26 3 2" xfId="5023" xr:uid="{0C742DAB-7D51-44CD-AD25-DC73A89821A8}"/>
    <cellStyle name="Normal 26 3 2 2" xfId="18171" xr:uid="{8112BD61-3818-469F-9FB8-317A64ED3AE8}"/>
    <cellStyle name="Normal 26 3 2 2 2" xfId="21788" xr:uid="{57EFB939-1FFC-40C5-AD65-22C2465E8526}"/>
    <cellStyle name="Normal 26 3 2 3" xfId="31624" xr:uid="{6B17EE7E-A909-424D-A2D6-EBB5EF57C226}"/>
    <cellStyle name="Normal 26 3 2 4" xfId="31625" xr:uid="{E97C9920-B787-4F0E-A968-D1B5B05A6A93}"/>
    <cellStyle name="Normal 26 3 2 5" xfId="31626" xr:uid="{2390E7F8-25F7-4BA7-B518-0417E4F79A35}"/>
    <cellStyle name="Normal 26 3 2 6" xfId="31627" xr:uid="{98108C50-D28B-4B23-BCF8-1F914BCAC6F9}"/>
    <cellStyle name="Normal 26 3 3" xfId="6853" xr:uid="{086F8F32-42E3-49A2-B196-4A64FC8308AF}"/>
    <cellStyle name="Normal 26 3 3 2" xfId="18172" xr:uid="{518412F1-1915-46DE-9DF9-B2548307133E}"/>
    <cellStyle name="Normal 26 3 3 2 2" xfId="21789" xr:uid="{F7666F7E-D791-4893-83F6-E3BBF0A4084D}"/>
    <cellStyle name="Normal 26 3 3 3" xfId="31628" xr:uid="{142EA70D-DA9A-4583-83F7-0167745DC9D9}"/>
    <cellStyle name="Normal 26 3 3 4" xfId="31629" xr:uid="{C0A22D9E-E196-4E41-B56D-8A59E599181E}"/>
    <cellStyle name="Normal 26 3 3 5" xfId="31630" xr:uid="{63BDB1E0-581C-4BF2-A078-EE52ACCB60EE}"/>
    <cellStyle name="Normal 26 3 3 6" xfId="31631" xr:uid="{CF951267-1B7F-48B7-B09D-704253926FBE}"/>
    <cellStyle name="Normal 26 3 4" xfId="8909" xr:uid="{35F03A11-AC05-449C-82A2-7C5608BEB193}"/>
    <cellStyle name="Normal 26 3 4 2" xfId="18173" xr:uid="{FE1DFC4D-2516-4EE5-B038-0B5C814B8FAC}"/>
    <cellStyle name="Normal 26 3 4 2 2" xfId="21790" xr:uid="{5AFE9C3F-940D-433F-AA68-FC64248203BD}"/>
    <cellStyle name="Normal 26 3 4 3" xfId="31632" xr:uid="{E85E75CB-C4FD-431B-AB99-A73F551EB415}"/>
    <cellStyle name="Normal 26 3 4 4" xfId="31633" xr:uid="{24721527-CF66-4FE8-AE98-78AECAEF0DD1}"/>
    <cellStyle name="Normal 26 3 4 5" xfId="31634" xr:uid="{8CDC4E34-2AC5-4BA4-965F-FFCC9D2FA006}"/>
    <cellStyle name="Normal 26 3 4 6" xfId="31635" xr:uid="{22F962D7-5415-4AA2-94AD-F2635F6A8EAC}"/>
    <cellStyle name="Normal 26 3 5" xfId="16019" xr:uid="{5EFB7BBC-E8F4-4658-A92C-47C14987DF01}"/>
    <cellStyle name="Normal 26 3 5 2" xfId="16869" xr:uid="{08123FAF-3009-4C4C-BF0C-E85719F349FD}"/>
    <cellStyle name="Normal 26 3 5 2 2" xfId="18175" xr:uid="{877EA4F7-F4E9-4133-8A5C-9438C7F218A7}"/>
    <cellStyle name="Normal 26 3 5 2 2 2" xfId="21792" xr:uid="{38CCF2F8-B79D-404C-AC0C-BE19113C3DE3}"/>
    <cellStyle name="Normal 26 3 5 2 3" xfId="20869" xr:uid="{2A3CB3EA-8461-4F77-83E5-C09FFA0EBFC4}"/>
    <cellStyle name="Normal 26 3 5 3" xfId="18174" xr:uid="{686995FA-82E5-4DF1-9CD4-87F68F5A9D0D}"/>
    <cellStyle name="Normal 26 3 5 3 2" xfId="21791" xr:uid="{4FFA0C67-0A15-4C17-9314-D6B381375CE3}"/>
    <cellStyle name="Normal 26 3 5 4" xfId="20585" xr:uid="{9543721C-919D-4613-A7FB-C10D9EDEA9EF}"/>
    <cellStyle name="Normal 26 3 6" xfId="18170" xr:uid="{DC949508-017A-4CE1-A7D1-93A33A5596BD}"/>
    <cellStyle name="Normal 26 3 6 2" xfId="21787" xr:uid="{550E71E5-6A51-4E30-A0E8-545BE871C5D6}"/>
    <cellStyle name="Normal 26 3 7" xfId="31636" xr:uid="{EA260809-A42A-4964-B429-3B57C3227CE1}"/>
    <cellStyle name="Normal 26 3 8" xfId="31637" xr:uid="{2FF275F0-4661-4386-99EE-0AA14976249D}"/>
    <cellStyle name="Normal 26 3 9" xfId="31638" xr:uid="{BD2ECFAC-764C-4D58-A6D8-9D35DF00792B}"/>
    <cellStyle name="Normal 26 4" xfId="2964" xr:uid="{CEC6E7AD-F88E-4A23-A2B3-2A78C7C84476}"/>
    <cellStyle name="Normal 26 4 10" xfId="31639" xr:uid="{E3094844-CAB8-4314-81BD-13CED1D4C65B}"/>
    <cellStyle name="Normal 26 4 2" xfId="5024" xr:uid="{76A42BD6-A66D-44FE-A26B-A4C1072F5D94}"/>
    <cellStyle name="Normal 26 4 2 2" xfId="18177" xr:uid="{7592400E-C74C-4076-A62C-E84D2ADD6B1D}"/>
    <cellStyle name="Normal 26 4 2 2 2" xfId="21794" xr:uid="{468E43E1-2057-4248-BE7A-F1975C2B49BE}"/>
    <cellStyle name="Normal 26 4 2 3" xfId="31640" xr:uid="{2FB05C18-025F-4375-9570-0F8CC7FEA3F4}"/>
    <cellStyle name="Normal 26 4 2 4" xfId="31641" xr:uid="{6BA4BDD4-A1EC-4689-BD27-4BD4F3D69FB2}"/>
    <cellStyle name="Normal 26 4 2 5" xfId="31642" xr:uid="{A85EB9BF-6FA5-49C6-AEB0-1603FAF756ED}"/>
    <cellStyle name="Normal 26 4 2 6" xfId="31643" xr:uid="{A404CB6D-D345-48A8-A2AA-15A2E79A84C3}"/>
    <cellStyle name="Normal 26 4 3" xfId="6854" xr:uid="{885E5502-0FBA-4951-9B03-67141B9DF310}"/>
    <cellStyle name="Normal 26 4 3 2" xfId="18178" xr:uid="{B5C1EAB6-A037-4F90-A436-A8B10DEBB7E5}"/>
    <cellStyle name="Normal 26 4 3 2 2" xfId="21795" xr:uid="{395A94DD-6804-40F3-B693-5BA7AC10A466}"/>
    <cellStyle name="Normal 26 4 3 3" xfId="31644" xr:uid="{8EAE45C6-B651-425B-9C4B-4A61DB37462D}"/>
    <cellStyle name="Normal 26 4 3 4" xfId="31645" xr:uid="{F491D43C-F0D2-48F3-A864-890985512E7E}"/>
    <cellStyle name="Normal 26 4 3 5" xfId="31646" xr:uid="{9245C777-88B9-4C6D-AAAD-68833000F339}"/>
    <cellStyle name="Normal 26 4 3 6" xfId="31647" xr:uid="{7F5B7469-8894-4E55-BFC5-8B4A370CB1DF}"/>
    <cellStyle name="Normal 26 4 4" xfId="8910" xr:uid="{40D80D85-B9E6-4188-8616-B4D00B5B20DB}"/>
    <cellStyle name="Normal 26 4 4 2" xfId="18179" xr:uid="{FD09C156-3E6C-4C89-9A48-C0EFC2A60E2A}"/>
    <cellStyle name="Normal 26 4 4 2 2" xfId="21796" xr:uid="{0273C6BB-4782-4FCA-9357-AFABAAB73287}"/>
    <cellStyle name="Normal 26 4 4 3" xfId="31648" xr:uid="{A2184C3E-188F-4F56-8A20-05302B2F89A2}"/>
    <cellStyle name="Normal 26 4 4 4" xfId="31649" xr:uid="{6C587AE7-DF2A-405E-A785-F6E012574211}"/>
    <cellStyle name="Normal 26 4 4 5" xfId="31650" xr:uid="{7645B712-F1EA-412D-9A43-6E2808BA9F97}"/>
    <cellStyle name="Normal 26 4 4 6" xfId="31651" xr:uid="{4FEABFF2-B83D-4872-9FF9-4F03A92A5E32}"/>
    <cellStyle name="Normal 26 4 5" xfId="16020" xr:uid="{E7265764-34DD-4763-8049-94BF457D3A5D}"/>
    <cellStyle name="Normal 26 4 5 2" xfId="16870" xr:uid="{4C856B94-1397-4925-8D32-8F44E7490CDA}"/>
    <cellStyle name="Normal 26 4 5 2 2" xfId="18181" xr:uid="{E5F7DDC8-C1CC-4579-9867-20FD3B8B484D}"/>
    <cellStyle name="Normal 26 4 5 2 2 2" xfId="21798" xr:uid="{1FABBF0D-2A97-4C55-B461-6DCE9FA240D7}"/>
    <cellStyle name="Normal 26 4 5 2 3" xfId="20870" xr:uid="{425D4142-CECA-4F92-8C1A-E4A8953DC668}"/>
    <cellStyle name="Normal 26 4 5 3" xfId="18180" xr:uid="{02712F67-E8EB-4F5A-B8C1-14D67CB6859E}"/>
    <cellStyle name="Normal 26 4 5 3 2" xfId="21797" xr:uid="{2D2FF0A2-50D8-4E3C-A15D-C881CDE44766}"/>
    <cellStyle name="Normal 26 4 5 4" xfId="20586" xr:uid="{4A293D68-6B33-4C67-A3A5-5D2B84695641}"/>
    <cellStyle name="Normal 26 4 6" xfId="18176" xr:uid="{3704268C-77A0-423D-AEA5-A9B158886A2F}"/>
    <cellStyle name="Normal 26 4 6 2" xfId="21793" xr:uid="{DE1CD0A4-14D3-491E-8370-DBBB3184CB41}"/>
    <cellStyle name="Normal 26 4 7" xfId="31652" xr:uid="{0F33AC9C-8F1B-4706-B8A9-5A28940E9EE2}"/>
    <cellStyle name="Normal 26 4 8" xfId="31653" xr:uid="{31B10464-5BB9-4B2F-AB93-68AF30DE07CE}"/>
    <cellStyle name="Normal 26 4 9" xfId="31654" xr:uid="{5BDFBD11-3777-4C03-93DD-FDBBEADA4E9D}"/>
    <cellStyle name="Normal 26 5" xfId="2965" xr:uid="{417B41D0-8AA6-4341-8A40-5448BED6E8E9}"/>
    <cellStyle name="Normal 26 5 10" xfId="31655" xr:uid="{AB1E25EA-27D8-441E-8C93-F6EC69029A11}"/>
    <cellStyle name="Normal 26 5 2" xfId="5025" xr:uid="{7FA39970-70AB-49D3-8E70-B64B68ABFF78}"/>
    <cellStyle name="Normal 26 5 2 2" xfId="18183" xr:uid="{199CE4BD-9DBC-408D-BCA4-843C21D6DF3A}"/>
    <cellStyle name="Normal 26 5 2 2 2" xfId="21800" xr:uid="{6099F1BD-FE1A-4AF3-9A5E-3612BDD13C0F}"/>
    <cellStyle name="Normal 26 5 2 3" xfId="31656" xr:uid="{064AB2B3-0542-40FB-974D-7D5A485CF551}"/>
    <cellStyle name="Normal 26 5 2 4" xfId="31657" xr:uid="{495DFE87-6B09-4EE0-A2FD-F01F7A8CF943}"/>
    <cellStyle name="Normal 26 5 2 5" xfId="31658" xr:uid="{B60D1F32-7EBD-46DD-BF55-3856D0040B12}"/>
    <cellStyle name="Normal 26 5 2 6" xfId="31659" xr:uid="{FAC4837F-045F-41D7-82C3-EDA24B7336F5}"/>
    <cellStyle name="Normal 26 5 3" xfId="6855" xr:uid="{83151945-EBED-44AF-9111-E7ECABAE2C71}"/>
    <cellStyle name="Normal 26 5 3 2" xfId="18184" xr:uid="{AC1B22B6-3BC1-4F87-A30A-28F5778EC2EB}"/>
    <cellStyle name="Normal 26 5 3 2 2" xfId="21801" xr:uid="{9899009D-827D-45AC-847A-2A1102CA175D}"/>
    <cellStyle name="Normal 26 5 3 3" xfId="31660" xr:uid="{26498D28-38F0-4BD8-AA43-93EC573F7990}"/>
    <cellStyle name="Normal 26 5 3 4" xfId="31661" xr:uid="{42F7E330-BCAC-4DB8-8939-44241D92D039}"/>
    <cellStyle name="Normal 26 5 3 5" xfId="31662" xr:uid="{57A8B69F-572C-4221-9B5A-0FCB62C35404}"/>
    <cellStyle name="Normal 26 5 3 6" xfId="31663" xr:uid="{3C6B1FA3-14C9-4AED-A08C-3CBD0E925773}"/>
    <cellStyle name="Normal 26 5 4" xfId="8911" xr:uid="{A7262399-A5FF-426B-9D33-C54694BCC09B}"/>
    <cellStyle name="Normal 26 5 4 2" xfId="18185" xr:uid="{0B85F16F-70BC-4285-A2AC-68E8A8657220}"/>
    <cellStyle name="Normal 26 5 4 2 2" xfId="21802" xr:uid="{1C858A1F-460F-4159-9474-2BB89A16CF4E}"/>
    <cellStyle name="Normal 26 5 4 3" xfId="31664" xr:uid="{751F1A2E-36E1-438E-96BD-28BE6FD595A3}"/>
    <cellStyle name="Normal 26 5 4 4" xfId="31665" xr:uid="{F675317B-1CB3-494B-85E2-949E811BF862}"/>
    <cellStyle name="Normal 26 5 4 5" xfId="31666" xr:uid="{30ED2E9F-B244-464E-BEF3-CA390499EED9}"/>
    <cellStyle name="Normal 26 5 4 6" xfId="31667" xr:uid="{97BD9FAB-BDFF-4E13-8B58-12A28D525A16}"/>
    <cellStyle name="Normal 26 5 5" xfId="16021" xr:uid="{C93C8AD7-33AD-418A-A42A-39CA3DEACC6C}"/>
    <cellStyle name="Normal 26 5 5 2" xfId="16871" xr:uid="{68C5B470-13AD-4795-9111-66199D30C9A9}"/>
    <cellStyle name="Normal 26 5 5 2 2" xfId="18187" xr:uid="{237801C3-29FC-45DC-99D6-FFE4CBF240E4}"/>
    <cellStyle name="Normal 26 5 5 2 2 2" xfId="21804" xr:uid="{6D221A00-ED88-4E2A-8D02-05B6249732A4}"/>
    <cellStyle name="Normal 26 5 5 2 3" xfId="20871" xr:uid="{F1DAC197-46A9-46C6-B0CA-9067B5062356}"/>
    <cellStyle name="Normal 26 5 5 3" xfId="18186" xr:uid="{888422B4-05C1-40D5-9D9D-E8F653614B9A}"/>
    <cellStyle name="Normal 26 5 5 3 2" xfId="21803" xr:uid="{68E20146-60E0-4465-8717-845FD8DCC369}"/>
    <cellStyle name="Normal 26 5 5 4" xfId="20587" xr:uid="{7C801A19-0331-4203-B871-9A7F102A76EA}"/>
    <cellStyle name="Normal 26 5 6" xfId="18182" xr:uid="{8DF402BB-FEA9-47A0-89FB-59A20E3BD1EF}"/>
    <cellStyle name="Normal 26 5 6 2" xfId="21799" xr:uid="{9CFE49D4-114F-4A5A-ABF5-0BBDB7C8B13E}"/>
    <cellStyle name="Normal 26 5 7" xfId="31668" xr:uid="{E4BEAE05-332C-4891-BC46-A5BB80C19354}"/>
    <cellStyle name="Normal 26 5 8" xfId="31669" xr:uid="{F2830B07-2775-4748-A483-75783BBA1658}"/>
    <cellStyle name="Normal 26 5 9" xfId="31670" xr:uid="{34339E51-7B3B-431C-9BA6-11A180F6EA09}"/>
    <cellStyle name="Normal 26 6" xfId="2966" xr:uid="{7C6CC5B5-1BC1-4356-BE03-3CAE11BC08B8}"/>
    <cellStyle name="Normal 26 6 10" xfId="31671" xr:uid="{A4552DC0-88E0-4F56-A404-4E868006CBC2}"/>
    <cellStyle name="Normal 26 6 2" xfId="5026" xr:uid="{6D8621F4-8147-41DA-A34F-908133F87653}"/>
    <cellStyle name="Normal 26 6 2 2" xfId="18189" xr:uid="{A835351C-7E61-4F4B-A74D-B773853884CE}"/>
    <cellStyle name="Normal 26 6 2 2 2" xfId="21806" xr:uid="{FF3FEB60-8A12-4392-948D-65CD2A540AAC}"/>
    <cellStyle name="Normal 26 6 2 3" xfId="31672" xr:uid="{705AB07A-76DE-4546-9A4B-0A64C24295AE}"/>
    <cellStyle name="Normal 26 6 2 4" xfId="31673" xr:uid="{AD08C602-F171-4593-95B4-4E586B78BA23}"/>
    <cellStyle name="Normal 26 6 2 5" xfId="31674" xr:uid="{81A83A6B-C69E-41C3-BCE9-1A978C6594DA}"/>
    <cellStyle name="Normal 26 6 2 6" xfId="31675" xr:uid="{D3FAA652-A9C1-4520-9767-1E6DAE36453F}"/>
    <cellStyle name="Normal 26 6 3" xfId="6856" xr:uid="{DD19DD46-AB65-4EBF-8531-CBC85BB85D9F}"/>
    <cellStyle name="Normal 26 6 3 2" xfId="18190" xr:uid="{75182C34-130F-4AA1-A98A-172DBF61CD8C}"/>
    <cellStyle name="Normal 26 6 3 2 2" xfId="21807" xr:uid="{6EF66A77-B948-4405-BBC0-4407A19E5D46}"/>
    <cellStyle name="Normal 26 6 3 3" xfId="31676" xr:uid="{ED40E362-4540-4F7E-9F03-5DA624E0EEEF}"/>
    <cellStyle name="Normal 26 6 3 4" xfId="31677" xr:uid="{12C9F3C6-D325-460D-9D4B-1E9E58A401CF}"/>
    <cellStyle name="Normal 26 6 3 5" xfId="31678" xr:uid="{4C63B775-E7B0-4170-BE92-CB3871AF03CE}"/>
    <cellStyle name="Normal 26 6 3 6" xfId="31679" xr:uid="{9B83E6FA-D3B6-46E4-8569-944EB5B282D8}"/>
    <cellStyle name="Normal 26 6 4" xfId="8912" xr:uid="{CFFEED49-C7AD-4645-9494-1BB1DA17AC7F}"/>
    <cellStyle name="Normal 26 6 4 2" xfId="18191" xr:uid="{B37F8A11-4AEE-4C68-B0AC-83A0F09B3EBC}"/>
    <cellStyle name="Normal 26 6 4 2 2" xfId="21808" xr:uid="{D9C195BE-0719-43F3-8ACA-7BD57CC25B61}"/>
    <cellStyle name="Normal 26 6 4 3" xfId="31680" xr:uid="{4A87F83D-19B3-4138-9043-598401E869D9}"/>
    <cellStyle name="Normal 26 6 4 4" xfId="31681" xr:uid="{E27612C0-FE9E-4A16-8345-5AB8A8B064D2}"/>
    <cellStyle name="Normal 26 6 4 5" xfId="31682" xr:uid="{41B73079-7D56-4889-860B-154753BEF445}"/>
    <cellStyle name="Normal 26 6 4 6" xfId="31683" xr:uid="{03E0B6ED-E816-474C-85C2-1FA733CE3680}"/>
    <cellStyle name="Normal 26 6 5" xfId="16022" xr:uid="{509D6D1D-4823-44FC-A315-F2C8CE7D79C6}"/>
    <cellStyle name="Normal 26 6 5 2" xfId="16872" xr:uid="{8400656B-C745-48A2-A3D5-737736D33C35}"/>
    <cellStyle name="Normal 26 6 5 2 2" xfId="18193" xr:uid="{D9715B18-9F81-4463-8EC9-1D322271A93B}"/>
    <cellStyle name="Normal 26 6 5 2 2 2" xfId="21810" xr:uid="{5BC8BDDE-21AA-46C0-BCEE-C0928C556C5B}"/>
    <cellStyle name="Normal 26 6 5 2 3" xfId="20872" xr:uid="{C5365EA2-5A1A-4A83-9119-975485F50921}"/>
    <cellStyle name="Normal 26 6 5 3" xfId="18192" xr:uid="{39EDFD3D-53A2-424F-A4E4-F52EE3AC0837}"/>
    <cellStyle name="Normal 26 6 5 3 2" xfId="21809" xr:uid="{844D037B-15C1-4C3D-838C-FC1C5E4A3A4E}"/>
    <cellStyle name="Normal 26 6 5 4" xfId="20588" xr:uid="{FFA3D327-B37E-4E4A-BBBB-DB357F7AC385}"/>
    <cellStyle name="Normal 26 6 6" xfId="18188" xr:uid="{D6737831-0835-486B-9A0B-83A82F72B9E5}"/>
    <cellStyle name="Normal 26 6 6 2" xfId="21805" xr:uid="{815EA331-CA27-4EAF-BF14-6AFC8BB491B8}"/>
    <cellStyle name="Normal 26 6 7" xfId="31684" xr:uid="{41DC00D1-888A-440C-A676-39E1F00B2089}"/>
    <cellStyle name="Normal 26 6 8" xfId="31685" xr:uid="{8B792719-98D1-4BCA-89B1-F7A215789CE6}"/>
    <cellStyle name="Normal 26 6 9" xfId="31686" xr:uid="{36687A01-2456-41A4-A4FA-69858282B76E}"/>
    <cellStyle name="Normal 26 7" xfId="2967" xr:uid="{645B5265-C905-44ED-9F7A-2AA354C7C596}"/>
    <cellStyle name="Normal 26 7 2" xfId="5027" xr:uid="{6FEC391E-42E5-4973-8EB9-18E2DDE583AB}"/>
    <cellStyle name="Normal 26 7 2 2" xfId="18195" xr:uid="{C56DD4E0-ECCF-4774-9411-0976CD212DE4}"/>
    <cellStyle name="Normal 26 7 2 2 2" xfId="21812" xr:uid="{04CDB1E4-241E-4A40-999A-6B86A97AF23F}"/>
    <cellStyle name="Normal 26 7 2 3" xfId="31687" xr:uid="{C0FCA1E3-5E31-4F1D-BB2D-964ADDDAB4DD}"/>
    <cellStyle name="Normal 26 7 2 4" xfId="31688" xr:uid="{61E3F1B9-9BC4-4941-B92E-43FCAEA814F2}"/>
    <cellStyle name="Normal 26 7 2 5" xfId="31689" xr:uid="{5935F348-F424-4989-B03F-388D8F041358}"/>
    <cellStyle name="Normal 26 7 2 6" xfId="31690" xr:uid="{E13A5874-A2D3-467E-885E-2A2EF16F43DB}"/>
    <cellStyle name="Normal 26 7 3" xfId="6857" xr:uid="{DA34C6F9-03B2-4F6F-894B-2CB9BE05D89D}"/>
    <cellStyle name="Normal 26 7 3 2" xfId="16873" xr:uid="{98BF6419-FF23-462D-847B-8543E38424F9}"/>
    <cellStyle name="Normal 26 7 3 2 2" xfId="18197" xr:uid="{D2E701AC-E970-4705-9957-01B0BB351B6B}"/>
    <cellStyle name="Normal 26 7 3 2 2 2" xfId="21814" xr:uid="{B19E66AD-649D-49BF-9DE5-8A605F102733}"/>
    <cellStyle name="Normal 26 7 3 2 3" xfId="20873" xr:uid="{CBD39F63-2C7A-4D6C-98B1-A99AB2B025F2}"/>
    <cellStyle name="Normal 26 7 3 3" xfId="18196" xr:uid="{9622EB45-2C53-4505-A5CC-0C25515368F7}"/>
    <cellStyle name="Normal 26 7 3 3 2" xfId="21813" xr:uid="{57FC4C82-D75F-4494-9D74-0E46C026F23B}"/>
    <cellStyle name="Normal 26 7 3 4" xfId="20589" xr:uid="{6DBB63A9-81E2-4317-8C44-F132B4427F44}"/>
    <cellStyle name="Normal 26 7 3 5" xfId="46325" xr:uid="{35E322D7-B861-4446-B6F3-6ECBA16CC77A}"/>
    <cellStyle name="Normal 26 7 3 6" xfId="16023" xr:uid="{5AD4485C-B4B3-454B-B6CC-4E5094F5744A}"/>
    <cellStyle name="Normal 26 7 4" xfId="8913" xr:uid="{BD0CBF83-D5DC-4469-88ED-42345D81798B}"/>
    <cellStyle name="Normal 26 7 4 2" xfId="21811" xr:uid="{DD4E79AA-614D-4AF3-B6A2-85560213E144}"/>
    <cellStyle name="Normal 26 7 4 3" xfId="18194" xr:uid="{F091543B-AC79-42DB-A7F1-37CA04C49978}"/>
    <cellStyle name="Normal 26 7 5" xfId="31691" xr:uid="{BCE37222-7133-4A59-8001-9A0BAFBAE7E2}"/>
    <cellStyle name="Normal 26 7 6" xfId="31692" xr:uid="{57F6CEA7-5277-4C00-AE2F-C8A5A4B7B2D5}"/>
    <cellStyle name="Normal 26 7 7" xfId="31693" xr:uid="{9FBF4D8F-4AFD-428B-BA25-6C1FD91D2F04}"/>
    <cellStyle name="Normal 26 7 8" xfId="31694" xr:uid="{E07AF0FD-8D0F-4AC1-B99C-9B9EE0B1CFE7}"/>
    <cellStyle name="Normal 26 8" xfId="2968" xr:uid="{BD4AC8EA-3793-430E-A911-57C74843D985}"/>
    <cellStyle name="Normal 26 8 2" xfId="5028" xr:uid="{87F17843-EC72-48F2-934B-B440F2DD9278}"/>
    <cellStyle name="Normal 26 8 2 2" xfId="18199" xr:uid="{DB71D66D-86AB-41B6-931E-B4DC84CF0B69}"/>
    <cellStyle name="Normal 26 8 2 2 2" xfId="21816" xr:uid="{AA9E714C-3EFB-40FC-BE44-43188AB29DC7}"/>
    <cellStyle name="Normal 26 8 2 3" xfId="31695" xr:uid="{B117DB06-E195-4EF3-BE70-9B62FA9F3286}"/>
    <cellStyle name="Normal 26 8 2 4" xfId="31696" xr:uid="{9F869441-FAAE-4067-B7EE-3E4FC689762B}"/>
    <cellStyle name="Normal 26 8 2 5" xfId="31697" xr:uid="{46DCB2D1-8AD2-4784-A8FA-6C1260FB73B3}"/>
    <cellStyle name="Normal 26 8 2 6" xfId="31698" xr:uid="{5733C006-E09D-4509-89E7-E0FD0487CADB}"/>
    <cellStyle name="Normal 26 8 3" xfId="6858" xr:uid="{A0A5F40C-F281-4A66-A16C-7DFE754DCDA4}"/>
    <cellStyle name="Normal 26 8 3 2" xfId="16874" xr:uid="{0B9EB7EF-411F-44A5-A8B7-493D1DE71997}"/>
    <cellStyle name="Normal 26 8 3 2 2" xfId="18201" xr:uid="{B370DB1B-477F-49A2-9404-55EF7BFBF6AA}"/>
    <cellStyle name="Normal 26 8 3 2 2 2" xfId="21818" xr:uid="{57AABEA0-291A-48F0-A83A-41E1795F5F84}"/>
    <cellStyle name="Normal 26 8 3 2 3" xfId="20874" xr:uid="{10B20B82-90B5-4DCF-85A7-FBAD282D38E7}"/>
    <cellStyle name="Normal 26 8 3 3" xfId="18200" xr:uid="{5D0D17F9-2365-4F14-8BF0-908C43058FB0}"/>
    <cellStyle name="Normal 26 8 3 3 2" xfId="21817" xr:uid="{D5F5EC59-6089-4846-B073-B74840856F2F}"/>
    <cellStyle name="Normal 26 8 3 4" xfId="20590" xr:uid="{39A58FE3-1D3F-42F3-B2A2-84C6DFD81F90}"/>
    <cellStyle name="Normal 26 8 3 5" xfId="46326" xr:uid="{1CD16804-E73A-4727-B1DF-C90970D7ECE6}"/>
    <cellStyle name="Normal 26 8 3 6" xfId="16024" xr:uid="{EDCF2BCA-97BB-4AC7-9199-358EF3125D6A}"/>
    <cellStyle name="Normal 26 8 4" xfId="8914" xr:uid="{4384D0C3-6DE8-4AD5-9466-F519D851A051}"/>
    <cellStyle name="Normal 26 8 4 2" xfId="21815" xr:uid="{DD465FE6-A1EB-4AEF-86D1-E71ACE80A7BC}"/>
    <cellStyle name="Normal 26 8 4 3" xfId="18198" xr:uid="{9940B063-57F7-4071-922D-65007B9547D6}"/>
    <cellStyle name="Normal 26 8 5" xfId="31699" xr:uid="{184C00D6-A593-403B-B9F3-3D54B6A1F60C}"/>
    <cellStyle name="Normal 26 8 6" xfId="31700" xr:uid="{FDDC0F41-5332-432B-872B-6696D26D21FB}"/>
    <cellStyle name="Normal 26 8 7" xfId="31701" xr:uid="{8E675636-5A29-4CF3-A8C5-75CFACF16645}"/>
    <cellStyle name="Normal 26 8 8" xfId="31702" xr:uid="{93D2EA27-3196-456A-B051-19FDB88FB4C2}"/>
    <cellStyle name="Normal 26 9" xfId="5021" xr:uid="{E7998445-C78E-43E6-9F38-7D588C4376AD}"/>
    <cellStyle name="Normal 26 9 2" xfId="18202" xr:uid="{E9C4ECC1-0EF5-4673-A2B4-E90541CA2CF8}"/>
    <cellStyle name="Normal 26 9 2 2" xfId="21819" xr:uid="{E730C9BD-9F9C-4656-B221-9D382E0B579A}"/>
    <cellStyle name="Normal 26 9 3" xfId="31703" xr:uid="{1AD46A49-E2C3-4E94-9DC7-14C7AF1AE4F1}"/>
    <cellStyle name="Normal 26 9 4" xfId="31704" xr:uid="{81ADB668-363F-4CA1-B3D8-655731F8CEB4}"/>
    <cellStyle name="Normal 26 9 5" xfId="31705" xr:uid="{4DB660F8-7418-4D1B-88FB-7132FBC691B8}"/>
    <cellStyle name="Normal 26 9 6" xfId="31706" xr:uid="{48ADED30-65BC-4320-A90A-6637A9C8A29D}"/>
    <cellStyle name="Normal 27" xfId="2969" xr:uid="{F96628D8-904D-4DA4-B9A1-ABE90E90C0DE}"/>
    <cellStyle name="Normal 27 10" xfId="8021" xr:uid="{C53ABB94-FDE0-4C55-B598-623FD2252298}"/>
    <cellStyle name="Normal 27 10 2" xfId="12534" xr:uid="{45ECD94A-AC70-4A86-9A06-0571ABCF2654}"/>
    <cellStyle name="Normal 27 10 2 2" xfId="21820" xr:uid="{5FD875C8-7176-48E6-A53E-4E867BD8052D}"/>
    <cellStyle name="Normal 27 10 3" xfId="18203" xr:uid="{7177F507-E766-4F32-B1E4-B236E067C75E}"/>
    <cellStyle name="Normal 27 11" xfId="5918" xr:uid="{BDF33535-9F0A-4F12-9028-6B4BFF4351DD}"/>
    <cellStyle name="Normal 27 11 2" xfId="23404" xr:uid="{06D5F07A-FDD5-422C-BA6F-60D1866209AF}"/>
    <cellStyle name="Normal 27 11 3" xfId="19784" xr:uid="{02306AF1-7495-4840-87C0-64C3CAAE3D6C}"/>
    <cellStyle name="Normal 27 12" xfId="11406" xr:uid="{0C6A191F-83D3-4FB3-B708-5AAD6CE09AA3}"/>
    <cellStyle name="Normal 27 12 2" xfId="31707" xr:uid="{4DE11FD0-3324-42F6-8963-E5D9828F4586}"/>
    <cellStyle name="Normal 27 13" xfId="31708" xr:uid="{546B7D57-7FA9-4A91-817A-72DCE1844956}"/>
    <cellStyle name="Normal 27 14" xfId="31709" xr:uid="{34926CC5-2961-4ECF-8BAE-E39E417E4735}"/>
    <cellStyle name="Normal 27 15" xfId="31710" xr:uid="{FB9ECA4E-EC57-493A-978D-BAFD28240C8E}"/>
    <cellStyle name="Normal 27 16" xfId="13873" xr:uid="{5089CFEB-9D2E-42EF-8D01-7C068D520240}"/>
    <cellStyle name="Normal 27 2" xfId="2970" xr:uid="{9F38EF39-486C-499B-A2A0-4218DCD84CB1}"/>
    <cellStyle name="Normal 27 2 2" xfId="5030" xr:uid="{F4FB1B80-4527-460F-9A6B-8546C69EA948}"/>
    <cellStyle name="Normal 27 2 2 2" xfId="16875" xr:uid="{A5994C99-F297-4854-9E71-5839575043B5}"/>
    <cellStyle name="Normal 27 2 2 2 2" xfId="18206" xr:uid="{414DD478-3C3C-4F05-BA59-05955F41B98C}"/>
    <cellStyle name="Normal 27 2 2 2 2 2" xfId="21823" xr:uid="{01651142-FA5C-4BD5-87FE-FDC422CF40A3}"/>
    <cellStyle name="Normal 27 2 2 2 3" xfId="20875" xr:uid="{1884C8BC-9DEE-47D2-9BE5-6EEEE325DF5C}"/>
    <cellStyle name="Normal 27 2 2 3" xfId="18205" xr:uid="{AD2EF1B3-0ECF-47A9-B878-8D160DBB331E}"/>
    <cellStyle name="Normal 27 2 2 3 2" xfId="21822" xr:uid="{FEB225C1-AC17-4A40-91E4-9D38A7D6EB02}"/>
    <cellStyle name="Normal 27 2 2 4" xfId="20591" xr:uid="{B7CCEE35-AAFE-4233-AEC6-7D1917049082}"/>
    <cellStyle name="Normal 27 2 2 5" xfId="44330" xr:uid="{066A5515-28CC-4E8C-A65E-A391BDB6ECB3}"/>
    <cellStyle name="Normal 27 2 2 6" xfId="16025" xr:uid="{D55622BF-811D-4984-B61A-F5AFB7E862E4}"/>
    <cellStyle name="Normal 27 2 3" xfId="6860" xr:uid="{E0CBAE60-EE71-4E5E-B159-5F3154B4D18B}"/>
    <cellStyle name="Normal 27 2 3 2" xfId="21821" xr:uid="{F3B24D14-832C-4C92-B9B2-3AD2970B17DF}"/>
    <cellStyle name="Normal 27 2 3 3" xfId="46327" xr:uid="{89E349DF-61AF-4DE3-92AC-676D28B79D58}"/>
    <cellStyle name="Normal 27 2 3 4" xfId="18204" xr:uid="{BA6D55DD-A100-40FC-BBB3-1A0B34ABF814}"/>
    <cellStyle name="Normal 27 2 4" xfId="8916" xr:uid="{306855C7-359B-4FA7-8199-8BBB6D5D352A}"/>
    <cellStyle name="Normal 27 2 4 2" xfId="31711" xr:uid="{D25E0C03-DD13-4C0E-B798-8A402FFE6C7F}"/>
    <cellStyle name="Normal 27 2 5" xfId="31712" xr:uid="{0037ED99-427F-47D7-9199-42BF505A2D6C}"/>
    <cellStyle name="Normal 27 2 6" xfId="31713" xr:uid="{804F9B1C-111C-4109-8FE3-2B6D97765FEA}"/>
    <cellStyle name="Normal 27 2 7" xfId="31714" xr:uid="{D21567F9-2986-48ED-929A-0FF3227ECC82}"/>
    <cellStyle name="Normal 27 3" xfId="2971" xr:uid="{C217632D-ED0D-4FAC-A4B5-C0E4ABC9F75C}"/>
    <cellStyle name="Normal 27 3 10" xfId="14004" xr:uid="{96FF9EBB-3988-4D86-8291-D5E1DB362EBC}"/>
    <cellStyle name="Normal 27 3 2" xfId="5031" xr:uid="{7787231A-8058-496B-863C-55C139EE9A1B}"/>
    <cellStyle name="Normal 27 3 2 2" xfId="5781" xr:uid="{17868A48-252A-43FA-969B-7A5F4CE5036A}"/>
    <cellStyle name="Normal 27 3 2 2 2" xfId="10375" xr:uid="{5502A9E3-F34D-4944-8D3C-3C5DE030CF38}"/>
    <cellStyle name="Normal 27 3 2 2 2 2" xfId="13681" xr:uid="{848F8FC1-DB6F-41A2-A07F-DFFB2C00287E}"/>
    <cellStyle name="Normal 27 3 2 2 2 3" xfId="21825" xr:uid="{3637A72F-40CC-477E-8095-F6AAA8B6C05C}"/>
    <cellStyle name="Normal 27 3 2 2 3" xfId="7883" xr:uid="{CEFEB697-939D-4FE4-B967-D43EAC823E41}"/>
    <cellStyle name="Normal 27 3 2 2 3 2" xfId="18208" xr:uid="{32F039DC-74BE-4A3B-BB31-C6D56BF18E8B}"/>
    <cellStyle name="Normal 27 3 2 2 4" xfId="12396" xr:uid="{C38A58B6-59BC-41A9-872F-E0A99561C16A}"/>
    <cellStyle name="Normal 27 3 2 2 5" xfId="14810" xr:uid="{01E202CE-E2ED-4675-A34B-3DDAC516FBCC}"/>
    <cellStyle name="Normal 27 3 2 3" xfId="11258" xr:uid="{04D10F35-87C3-4BD4-AAB7-F69DA23B0D93}"/>
    <cellStyle name="Normal 27 3 2 3 2" xfId="13817" xr:uid="{293B93E9-57C3-49B6-BFD6-C64B7AB817EC}"/>
    <cellStyle name="Normal 27 3 2 3 2 2" xfId="48714" xr:uid="{B0E52332-E516-4666-B3A9-C28A078F4CC5}"/>
    <cellStyle name="Normal 27 3 2 3 3" xfId="20876" xr:uid="{E8846D87-C919-4123-8536-C6970D5DC779}"/>
    <cellStyle name="Normal 27 3 2 3 4" xfId="15125" xr:uid="{06658A77-75C5-44AD-A6D3-EDB2AA43EF57}"/>
    <cellStyle name="Normal 27 3 2 4" xfId="9881" xr:uid="{546E9139-3143-4AF6-80A6-6956B4C3B652}"/>
    <cellStyle name="Normal 27 3 2 4 2" xfId="13187" xr:uid="{E533A28A-9516-4CF6-ACE4-76D5054A8697}"/>
    <cellStyle name="Normal 27 3 2 4 2 2" xfId="49190" xr:uid="{21DA9DBC-E36E-4626-BC0A-16121C00DE0E}"/>
    <cellStyle name="Normal 27 3 2 4 3" xfId="47607" xr:uid="{0B39045D-23B2-46C3-92C2-E129F91246FE}"/>
    <cellStyle name="Normal 27 3 2 5" xfId="7379" xr:uid="{E4BC01EE-65F4-49F6-ACD9-419D84917C98}"/>
    <cellStyle name="Normal 27 3 2 5 2" xfId="47862" xr:uid="{0740252B-5869-4231-BE01-D3347D570CC1}"/>
    <cellStyle name="Normal 27 3 2 6" xfId="11902" xr:uid="{5736C4D5-1346-4CE1-97B4-3256100F7987}"/>
    <cellStyle name="Normal 27 3 2 6 2" xfId="16876" xr:uid="{7AD5B32D-CA5C-4FF0-BBA3-93EBF5C5F854}"/>
    <cellStyle name="Normal 27 3 2 7" xfId="14318" xr:uid="{96FCE9FF-DDB4-4D89-A859-95295BF8436D}"/>
    <cellStyle name="Normal 27 3 3" xfId="5605" xr:uid="{10A3462B-F8D8-4656-9B1A-1945A06C1CAA}"/>
    <cellStyle name="Normal 27 3 3 2" xfId="7707" xr:uid="{F0B820A4-2EE2-402E-B6A2-684E2E863E75}"/>
    <cellStyle name="Normal 27 3 3 2 2" xfId="10199" xr:uid="{E1B530E8-D297-4F69-9E42-25B3F9ECC091}"/>
    <cellStyle name="Normal 27 3 3 2 2 2" xfId="13505" xr:uid="{F37E69BC-3EBF-4BBB-B931-DE3FC086F842}"/>
    <cellStyle name="Normal 27 3 3 2 2 3" xfId="49018" xr:uid="{64FB00AE-F5A4-47A6-8452-CC8674609215}"/>
    <cellStyle name="Normal 27 3 3 2 3" xfId="12220" xr:uid="{67EE1176-24B4-4DA3-9829-E860E3101415}"/>
    <cellStyle name="Normal 27 3 3 2 3 2" xfId="21824" xr:uid="{A3939183-49BE-43B4-A3EB-660BF50BB4F4}"/>
    <cellStyle name="Normal 27 3 3 2 4" xfId="14634" xr:uid="{D2A53A89-AB10-408C-9AF4-383504B3B6A4}"/>
    <cellStyle name="Normal 27 3 3 3" xfId="9705" xr:uid="{76B1BF89-6FFB-46EA-B6FA-91157927C6A5}"/>
    <cellStyle name="Normal 27 3 3 3 2" xfId="13011" xr:uid="{803DCAAE-A6E3-4544-AAE8-A756F78E81A3}"/>
    <cellStyle name="Normal 27 3 3 3 3" xfId="48163" xr:uid="{97524A03-7F9F-46CB-9DF4-0A938787964B}"/>
    <cellStyle name="Normal 27 3 3 4" xfId="7201" xr:uid="{8C5DD3A9-3F54-4C8D-8CE5-D965FDF173A6}"/>
    <cellStyle name="Normal 27 3 3 4 2" xfId="18207" xr:uid="{EC48FFCA-818A-4A5E-B708-552D1A6F4E8C}"/>
    <cellStyle name="Normal 27 3 3 5" xfId="11726" xr:uid="{F04E8E68-E89F-4E5A-8AA3-564A8B4D9061}"/>
    <cellStyle name="Normal 27 3 3 6" xfId="14142" xr:uid="{DFC80CD1-2A9C-4DCD-B1CE-0F4979FA1A19}"/>
    <cellStyle name="Normal 27 3 4" xfId="6861" xr:uid="{A09ADC66-86A2-4F99-977A-BA31D4E07A3B}"/>
    <cellStyle name="Normal 27 3 4 2" xfId="9567" xr:uid="{76656AB9-4F73-4549-9D79-2E58EFFAD914}"/>
    <cellStyle name="Normal 27 3 4 2 2" xfId="12873" xr:uid="{37E93534-6C4E-426D-B5D7-7245C691F3EB}"/>
    <cellStyle name="Normal 27 3 4 2 3" xfId="48028" xr:uid="{B23EC07B-62C3-4E2A-BDDA-1EB5783E5FF3}"/>
    <cellStyle name="Normal 27 3 4 3" xfId="11588" xr:uid="{7D89337D-301D-4721-B585-9CDFE634A149}"/>
    <cellStyle name="Normal 27 3 4 3 2" xfId="20592" xr:uid="{98FA9323-A686-4EE4-8335-473713120B84}"/>
    <cellStyle name="Normal 27 3 4 4" xfId="14496" xr:uid="{3C690E63-6A78-4239-AEE7-C0727E15B605}"/>
    <cellStyle name="Normal 27 3 5" xfId="7569" xr:uid="{6A9091D5-4BF8-4805-9FE0-9CA46765BDB7}"/>
    <cellStyle name="Normal 27 3 5 2" xfId="10061" xr:uid="{8FEED76E-EB14-4135-8F2F-972CECFB362C}"/>
    <cellStyle name="Normal 27 3 5 2 2" xfId="13367" xr:uid="{A2971D38-A65A-4C9B-A0E9-12921522129F}"/>
    <cellStyle name="Normal 27 3 5 2 3" xfId="48574" xr:uid="{CA8F561B-C85B-4863-90CE-27E4AEAABE6B}"/>
    <cellStyle name="Normal 27 3 5 3" xfId="12082" xr:uid="{4B549926-55D5-4642-92BB-2D6BCCF689A2}"/>
    <cellStyle name="Normal 27 3 5 3 2" xfId="47013" xr:uid="{5CFA0E7B-C17F-476B-98DF-86F01BC9DCA3}"/>
    <cellStyle name="Normal 27 3 5 4" xfId="14949" xr:uid="{AB7774BF-0196-48C1-9DB3-F6E63ADE3CEA}"/>
    <cellStyle name="Normal 27 3 6" xfId="8917" xr:uid="{9F291CB0-204B-4E7E-8F2B-8FB598A05E5D}"/>
    <cellStyle name="Normal 27 3 6 2" xfId="12691" xr:uid="{640D6CF2-BE49-4527-8583-9642998FC4AD}"/>
    <cellStyle name="Normal 27 3 6 2 2" xfId="48881" xr:uid="{A1EC9A09-8CC3-4DA6-ACBC-2E1660CD39C1}"/>
    <cellStyle name="Normal 27 3 6 3" xfId="47310" xr:uid="{3F4A6E0D-472D-4BB9-9CCA-53AFEE09A2FA}"/>
    <cellStyle name="Normal 27 3 7" xfId="8022" xr:uid="{8C5345BC-7D1E-403F-BABE-F46E74443469}"/>
    <cellStyle name="Normal 27 3 7 2" xfId="12535" xr:uid="{6D4F3BF6-FCE0-424D-AC0B-4C2F020FD4D3}"/>
    <cellStyle name="Normal 27 3 7 3" xfId="47727" xr:uid="{1119B876-B5BE-4616-BAE7-FFE778199A78}"/>
    <cellStyle name="Normal 27 3 8" xfId="5919" xr:uid="{9CD822DE-C407-4AC6-AC6B-4DD02E5CE36A}"/>
    <cellStyle name="Normal 27 3 8 2" xfId="16026" xr:uid="{6739FBFD-6045-499D-9FC3-944DC396D616}"/>
    <cellStyle name="Normal 27 3 9" xfId="11407" xr:uid="{95AF3065-C0EC-4854-B371-78D3979B1F23}"/>
    <cellStyle name="Normal 27 4" xfId="5029" xr:uid="{E8092921-15B6-41AF-858D-9710FFC7C73D}"/>
    <cellStyle name="Normal 27 4 2" xfId="5780" xr:uid="{75CF6725-DDE2-407F-821A-809513BDB61B}"/>
    <cellStyle name="Normal 27 4 2 2" xfId="7882" xr:uid="{5B38E158-2AA3-4EA4-B352-686FF47AA52D}"/>
    <cellStyle name="Normal 27 4 2 2 2" xfId="10374" xr:uid="{BB7F3670-354D-491C-82A9-7C22E8F5A454}"/>
    <cellStyle name="Normal 27 4 2 2 2 2" xfId="13680" xr:uid="{963E75F1-A34C-4982-9D06-71F06FB6B697}"/>
    <cellStyle name="Normal 27 4 2 2 2 3" xfId="21827" xr:uid="{86E29F6F-6623-431C-8DD9-C2E0562E6998}"/>
    <cellStyle name="Normal 27 4 2 2 3" xfId="12395" xr:uid="{03E2A678-1158-4A33-8B34-97AB5DF49C2D}"/>
    <cellStyle name="Normal 27 4 2 2 3 2" xfId="18210" xr:uid="{EDD830EF-1D6B-4975-A75D-5D7C105F3BFE}"/>
    <cellStyle name="Normal 27 4 2 2 4" xfId="14809" xr:uid="{B16B4A29-C849-47FA-B2D1-938E726EE790}"/>
    <cellStyle name="Normal 27 4 2 3" xfId="9880" xr:uid="{E6A8C8CF-F047-479E-97BA-A1E54C91E745}"/>
    <cellStyle name="Normal 27 4 2 3 2" xfId="13186" xr:uid="{342315F7-D027-46F4-A673-EA1D645C026F}"/>
    <cellStyle name="Normal 27 4 2 3 3" xfId="20877" xr:uid="{D3AE8DBA-9AC9-4D51-ABA8-F25D3F0C168D}"/>
    <cellStyle name="Normal 27 4 2 4" xfId="7378" xr:uid="{23A1EDC7-AA6A-480E-9C55-A454254DBEAA}"/>
    <cellStyle name="Normal 27 4 2 4 2" xfId="16877" xr:uid="{2D12BF2D-2160-4CB0-950D-44FE4DEB5271}"/>
    <cellStyle name="Normal 27 4 2 5" xfId="11901" xr:uid="{65F3B4EE-0DCB-41B0-A412-440A7D8073DF}"/>
    <cellStyle name="Normal 27 4 2 6" xfId="14317" xr:uid="{90288A9C-F136-49F6-9EAB-761B757E1BDC}"/>
    <cellStyle name="Normal 27 4 3" xfId="7568" xr:uid="{93C917C8-6919-4B84-B5D3-C15CD2F6E312}"/>
    <cellStyle name="Normal 27 4 3 2" xfId="10060" xr:uid="{B95B42DD-1785-43FD-AAB9-8852A85D55C0}"/>
    <cellStyle name="Normal 27 4 3 2 2" xfId="13366" xr:uid="{52F8BD17-B72D-46D6-9B5A-CE2A8939DD75}"/>
    <cellStyle name="Normal 27 4 3 2 3" xfId="21826" xr:uid="{F67E5E73-E9B5-44F6-B274-091DD3B03685}"/>
    <cellStyle name="Normal 27 4 3 3" xfId="12081" xr:uid="{295A46FF-94BE-4080-87F3-055041E183CB}"/>
    <cellStyle name="Normal 27 4 3 3 2" xfId="18209" xr:uid="{EF195A6D-08CA-4C83-86EC-BAA9D4528088}"/>
    <cellStyle name="Normal 27 4 3 4" xfId="14495" xr:uid="{126E80B1-D432-40EF-AB5D-355AF5B12409}"/>
    <cellStyle name="Normal 27 4 4" xfId="11186" xr:uid="{30A2D02C-BF3B-43AF-9D57-7BFBD21108C1}"/>
    <cellStyle name="Normal 27 4 4 2" xfId="13774" xr:uid="{FBE02557-D14B-457C-8F43-2755301DA41F}"/>
    <cellStyle name="Normal 27 4 4 2 2" xfId="48573" xr:uid="{924533EE-FDD1-4698-9F57-7ABD85F09646}"/>
    <cellStyle name="Normal 27 4 4 3" xfId="20593" xr:uid="{FF90DA30-A489-4DA9-A844-610847F6EAB2}"/>
    <cellStyle name="Normal 27 4 4 4" xfId="15124" xr:uid="{C1AE4D82-3347-494E-BD82-1B48F193D743}"/>
    <cellStyle name="Normal 27 4 5" xfId="9566" xr:uid="{FBD582A6-D1EE-44C9-A724-21E5E450F87D}"/>
    <cellStyle name="Normal 27 4 5 2" xfId="12872" xr:uid="{0981DD12-6151-4C4E-B58A-8FA8D7729827}"/>
    <cellStyle name="Normal 27 4 5 2 2" xfId="48880" xr:uid="{5EFF7630-A10B-45DE-80DD-4E9718FCC877}"/>
    <cellStyle name="Normal 27 4 5 3" xfId="47309" xr:uid="{1CBAEBD7-9B98-4DA7-A8FE-F99AA884BDE4}"/>
    <cellStyle name="Normal 27 4 6" xfId="6859" xr:uid="{18662BAE-42EF-4E12-944A-2B49D27E86BA}"/>
    <cellStyle name="Normal 27 4 6 2" xfId="47811" xr:uid="{7514F04C-D98A-4868-97AF-F23A7F939A9E}"/>
    <cellStyle name="Normal 27 4 7" xfId="11587" xr:uid="{586429B1-2CAC-4259-A84D-515AAD8F04A5}"/>
    <cellStyle name="Normal 27 4 7 2" xfId="16027" xr:uid="{E499CDE9-BEE4-4FF7-A4D6-ED47C1CF8463}"/>
    <cellStyle name="Normal 27 4 8" xfId="14003" xr:uid="{36ED1A69-5AC9-41DB-AA3C-0342A9A77BFC}"/>
    <cellStyle name="Normal 27 5" xfId="4152" xr:uid="{064D9540-FE19-4085-98F4-3BE431CE9F6D}"/>
    <cellStyle name="Normal 27 5 2" xfId="5651" xr:uid="{9348E37D-1707-485C-8A92-1F40ACF1A6C4}"/>
    <cellStyle name="Normal 27 5 2 2" xfId="10245" xr:uid="{18EDA00E-7DAF-4A05-A486-E69ACF3E6433}"/>
    <cellStyle name="Normal 27 5 2 2 2" xfId="13551" xr:uid="{36CAB854-523B-4171-ADD9-89F862F56E78}"/>
    <cellStyle name="Normal 27 5 2 2 2 2" xfId="21829" xr:uid="{8C451754-2ADD-46D9-8F29-64787EBC08B1}"/>
    <cellStyle name="Normal 27 5 2 2 3" xfId="18212" xr:uid="{3EFF61EA-776F-4A30-AD8E-EC13159AED99}"/>
    <cellStyle name="Normal 27 5 2 3" xfId="7753" xr:uid="{4334084E-554A-4AF0-97C8-B1015469E6B8}"/>
    <cellStyle name="Normal 27 5 2 3 2" xfId="20878" xr:uid="{4683AFA6-4B83-4BF6-90F5-29D7444859E0}"/>
    <cellStyle name="Normal 27 5 2 4" xfId="12266" xr:uid="{032A4056-FCD3-4735-BA79-94BCDA46DEFB}"/>
    <cellStyle name="Normal 27 5 2 4 2" xfId="16878" xr:uid="{336D54E0-B6DA-4915-8554-E28F88DA9F9D}"/>
    <cellStyle name="Normal 27 5 2 5" xfId="14680" xr:uid="{7C733A41-3A39-4538-ACAC-DC7454F54289}"/>
    <cellStyle name="Normal 27 5 3" xfId="9751" xr:uid="{B5DD47BA-FAE2-44F8-947C-7E304EA64136}"/>
    <cellStyle name="Normal 27 5 3 2" xfId="13057" xr:uid="{5C916958-35D1-4633-BAC5-9F66D89E3480}"/>
    <cellStyle name="Normal 27 5 3 2 2" xfId="21828" xr:uid="{E34709B4-7572-4212-95EE-CE0C79558C94}"/>
    <cellStyle name="Normal 27 5 3 3" xfId="18211" xr:uid="{C94C4610-9A3B-4F7A-B469-3593ADFAD7A0}"/>
    <cellStyle name="Normal 27 5 3 4" xfId="14995" xr:uid="{CE5CCA8E-97B7-4537-B2D9-64D6CBB38000}"/>
    <cellStyle name="Normal 27 5 4" xfId="7247" xr:uid="{72C8D704-8F66-43C2-997F-032C153E878B}"/>
    <cellStyle name="Normal 27 5 4 2" xfId="20594" xr:uid="{7204F058-7D61-43A3-82CB-F1E21E991599}"/>
    <cellStyle name="Normal 27 5 5" xfId="11772" xr:uid="{99495DA8-40CD-401A-937E-5E0E8CF1E5CC}"/>
    <cellStyle name="Normal 27 5 5 2" xfId="16028" xr:uid="{5EF5B643-B0C0-4AD4-8FC9-C46C8FF3EAE9}"/>
    <cellStyle name="Normal 27 5 6" xfId="14188" xr:uid="{0D3DE478-AF90-4E15-8E17-133D8F9D8D44}"/>
    <cellStyle name="Normal 27 6" xfId="5604" xr:uid="{310F78CA-7784-40A1-A8AF-9A7CE5553AF0}"/>
    <cellStyle name="Normal 27 6 2" xfId="7706" xr:uid="{B062228D-5DED-4B81-B7D7-D9FF1C948717}"/>
    <cellStyle name="Normal 27 6 2 2" xfId="11213" xr:uid="{E8D10B7F-71CA-4292-ADF5-9E3BC584B89C}"/>
    <cellStyle name="Normal 27 6 2 2 2" xfId="21831" xr:uid="{D36C3B05-B7AD-4F78-9956-0F4A18894B93}"/>
    <cellStyle name="Normal 27 6 2 2 3" xfId="18214" xr:uid="{35753EDD-A0D5-431A-B111-E8BA756DF139}"/>
    <cellStyle name="Normal 27 6 2 3" xfId="10198" xr:uid="{27F3788D-4FE1-4B78-9C76-FD677B83857C}"/>
    <cellStyle name="Normal 27 6 2 3 2" xfId="13504" xr:uid="{A026BD59-D934-4D3A-A18C-47817B1F9D13}"/>
    <cellStyle name="Normal 27 6 2 3 3" xfId="20879" xr:uid="{F324D6B3-EC8B-49E5-9E20-DA866A5DC030}"/>
    <cellStyle name="Normal 27 6 2 4" xfId="12219" xr:uid="{A545E6DB-B5DB-41F1-BFC3-0DFE32F8A7D3}"/>
    <cellStyle name="Normal 27 6 2 4 2" xfId="47091" xr:uid="{E07D4343-8E17-44FB-A4C8-E22472D9E78E}"/>
    <cellStyle name="Normal 27 6 2 5" xfId="16879" xr:uid="{4FB053A9-5243-48D3-8940-3C8171699F53}"/>
    <cellStyle name="Normal 27 6 2 6" xfId="14633" xr:uid="{78BFF9EC-76CD-4F4A-BC71-6B40A3ABF5F6}"/>
    <cellStyle name="Normal 27 6 3" xfId="9704" xr:uid="{B4C5F8DA-7FB3-42A1-B57C-C8A447262164}"/>
    <cellStyle name="Normal 27 6 3 2" xfId="13010" xr:uid="{3C65E37C-6B3C-4108-84F4-BE7BC3BCA832}"/>
    <cellStyle name="Normal 27 6 3 2 2" xfId="21830" xr:uid="{08CA9E31-E5DC-45C5-B02F-5AB37B3D0D37}"/>
    <cellStyle name="Normal 27 6 3 3" xfId="18213" xr:uid="{32D6A6C3-7AA7-45F8-BCB9-91D0A7AB78B6}"/>
    <cellStyle name="Normal 27 6 4" xfId="7200" xr:uid="{074CE093-C5C3-4C57-A66C-90B9387AE1BD}"/>
    <cellStyle name="Normal 27 6 4 2" xfId="20595" xr:uid="{D00A4116-4CA8-4F0D-AD1C-47B914A5771F}"/>
    <cellStyle name="Normal 27 6 5" xfId="11725" xr:uid="{AE3D8DC5-FBE3-4825-8FC7-F2A1F9AC9D14}"/>
    <cellStyle name="Normal 27 6 5 2" xfId="16029" xr:uid="{8602FF7C-CC11-4908-B9A7-EED96CFD0CA1}"/>
    <cellStyle name="Normal 27 6 6" xfId="14141" xr:uid="{77710B26-12F0-45AA-B117-4BBF764A6116}"/>
    <cellStyle name="Normal 27 7" xfId="6218" xr:uid="{A1C2E9D7-DB20-4F1E-87C5-FA9CAF14C40F}"/>
    <cellStyle name="Normal 27 7 2" xfId="9434" xr:uid="{88FEF62B-990C-4826-B82D-B842C2D4AD2F}"/>
    <cellStyle name="Normal 27 7 2 2" xfId="12740" xr:uid="{AD4C1417-560C-41FC-9820-C679972D83B3}"/>
    <cellStyle name="Normal 27 7 2 2 2" xfId="21833" xr:uid="{08A62FA1-6C64-45FC-8B7F-BF953C5E7540}"/>
    <cellStyle name="Normal 27 7 2 2 3" xfId="18216" xr:uid="{4F9D91B4-BAC2-4C48-892A-7ED2481BC303}"/>
    <cellStyle name="Normal 27 7 2 3" xfId="20880" xr:uid="{3FF114EF-0646-4389-B4BD-53F3971CA669}"/>
    <cellStyle name="Normal 27 7 2 4" xfId="16880" xr:uid="{1883112A-A803-417E-A1A8-9271B3BFBBD0}"/>
    <cellStyle name="Normal 27 7 3" xfId="11455" xr:uid="{357A7B55-B279-4670-9ECC-5E908248F081}"/>
    <cellStyle name="Normal 27 7 3 2" xfId="21832" xr:uid="{9E90E2DD-5A08-4B87-9CBC-CAC455DBE457}"/>
    <cellStyle name="Normal 27 7 3 3" xfId="18215" xr:uid="{BF6157C5-CE11-4E2B-8CBF-69483F7FDA17}"/>
    <cellStyle name="Normal 27 7 4" xfId="20596" xr:uid="{0E5D07ED-B9FC-4F30-AB85-94497199B2A0}"/>
    <cellStyle name="Normal 27 7 5" xfId="16030" xr:uid="{5A5FE3F4-ADDC-4E55-A5B3-7867E7DCD33F}"/>
    <cellStyle name="Normal 27 7 6" xfId="14366" xr:uid="{74468196-0382-49F3-BAC4-7E60F0BD8CCA}"/>
    <cellStyle name="Normal 27 8" xfId="7439" xr:uid="{7A30B0A2-6895-4DF4-AAA7-3A98A3C8DAAF}"/>
    <cellStyle name="Normal 27 8 2" xfId="9931" xr:uid="{58189263-A1C1-437D-B470-9186B6DA9E32}"/>
    <cellStyle name="Normal 27 8 2 2" xfId="13237" xr:uid="{3B126DA0-BA1D-4634-8B00-90C9483B850A}"/>
    <cellStyle name="Normal 27 8 2 2 2" xfId="21835" xr:uid="{DFC54D92-215E-4848-9CDD-63B9464ED24A}"/>
    <cellStyle name="Normal 27 8 2 2 3" xfId="18218" xr:uid="{A25F6F9A-B317-4FCB-BC77-C73CA1204383}"/>
    <cellStyle name="Normal 27 8 2 3" xfId="20881" xr:uid="{83BE18F3-FECD-4062-9BDB-1BA3AF3293CE}"/>
    <cellStyle name="Normal 27 8 2 4" xfId="16881" xr:uid="{D6B3D3CC-0555-429D-92E2-338BFEA2C390}"/>
    <cellStyle name="Normal 27 8 3" xfId="11952" xr:uid="{5F322F40-A50B-49E3-903D-66918327CC77}"/>
    <cellStyle name="Normal 27 8 3 2" xfId="21834" xr:uid="{F9EBC06F-898B-4133-968C-331949D42C3D}"/>
    <cellStyle name="Normal 27 8 3 3" xfId="18217" xr:uid="{990DABE0-9257-4D52-B8A5-B5125644C363}"/>
    <cellStyle name="Normal 27 8 4" xfId="20597" xr:uid="{47EEA9B8-D5DC-42C0-BD93-7C050C92752F}"/>
    <cellStyle name="Normal 27 8 5" xfId="16031" xr:uid="{4EBB3B80-1070-4626-ACCA-5D8A251894E3}"/>
    <cellStyle name="Normal 27 8 6" xfId="14948" xr:uid="{A63D1200-EEE8-4CF3-9042-3A7E84B7CE6E}"/>
    <cellStyle name="Normal 27 9" xfId="8915" xr:uid="{C30580ED-ADA3-4638-978C-C0945D8F1A08}"/>
    <cellStyle name="Normal 27 9 2" xfId="12690" xr:uid="{1A048F7C-1ECB-476C-A4BC-8AF5A1FC7EC7}"/>
    <cellStyle name="Normal 27 9 2 2" xfId="18220" xr:uid="{FC1B0F2B-2081-4C29-8AA8-E5B4626FCEA1}"/>
    <cellStyle name="Normal 27 9 2 2 2" xfId="21837" xr:uid="{D56BBE4D-35AF-4611-8E14-F7F226E60AC6}"/>
    <cellStyle name="Normal 27 9 2 3" xfId="20882" xr:uid="{3F72FD89-1DEC-471C-BEFA-FC5AE2C53499}"/>
    <cellStyle name="Normal 27 9 2 4" xfId="16882" xr:uid="{B038F064-B83F-4EC1-8EAD-56D485CB86F5}"/>
    <cellStyle name="Normal 27 9 3" xfId="18219" xr:uid="{04F9162D-8DF9-4274-8BF6-10E0FF1964B1}"/>
    <cellStyle name="Normal 27 9 3 2" xfId="21836" xr:uid="{AD424404-2D5B-4A78-B2DE-0CD75404C83C}"/>
    <cellStyle name="Normal 27 9 4" xfId="20598" xr:uid="{9B41F0D9-512E-4CEB-909B-62EE804D3D4A}"/>
    <cellStyle name="Normal 27 9 5" xfId="16032" xr:uid="{768DCBD0-7B97-4740-A49A-A8C2EDF8CCAA}"/>
    <cellStyle name="Normal 28" xfId="2972" xr:uid="{7212DE06-328F-4E46-81E6-01BF0A74EEDB}"/>
    <cellStyle name="Normal 28 2" xfId="5032" xr:uid="{35524DCA-98D6-4262-A067-4CA6BD77A8CF}"/>
    <cellStyle name="Normal 28 2 2" xfId="18222" xr:uid="{0DF7DA1B-B082-40D6-88D3-65FDCD4E7741}"/>
    <cellStyle name="Normal 28 2 2 2" xfId="21839" xr:uid="{FEBF7F70-FE87-465B-B7A2-08571E1F2D65}"/>
    <cellStyle name="Normal 28 2 3" xfId="31715" xr:uid="{3D0977A6-69F6-4DCC-831B-7BF848499703}"/>
    <cellStyle name="Normal 28 2 4" xfId="31716" xr:uid="{0899D0F6-5BFE-492D-8075-6F80328B77B9}"/>
    <cellStyle name="Normal 28 2 5" xfId="31717" xr:uid="{1BA6C70D-95A5-46D7-BD56-42D4C6A878CA}"/>
    <cellStyle name="Normal 28 2 6" xfId="31718" xr:uid="{B662BD9A-29B2-4400-91AC-E025156FB561}"/>
    <cellStyle name="Normal 28 3" xfId="6862" xr:uid="{9A1BB93E-F03E-4198-8F71-33B418125268}"/>
    <cellStyle name="Normal 28 3 2" xfId="21838" xr:uid="{14AB3C7C-E2C7-42F2-8C67-A1B3812E4DEF}"/>
    <cellStyle name="Normal 28 3 3" xfId="46328" xr:uid="{F630CEB1-5CD1-4B46-BD35-44C03408D840}"/>
    <cellStyle name="Normal 28 3 4" xfId="18221" xr:uid="{02E62225-B3C2-4417-97A0-6F9940F5054C}"/>
    <cellStyle name="Normal 28 4" xfId="8918" xr:uid="{6A25B8D5-F91F-404E-9EFD-262A41B5C719}"/>
    <cellStyle name="Normal 28 4 2" xfId="31719" xr:uid="{783CF27E-2CE3-46E6-9937-3A663344D0F0}"/>
    <cellStyle name="Normal 28 5" xfId="31720" xr:uid="{1A2F0D7C-E78F-44D8-B124-A19557C9D06E}"/>
    <cellStyle name="Normal 28 6" xfId="31721" xr:uid="{AD0523DA-593A-4C0D-9492-04DEF18F32BD}"/>
    <cellStyle name="Normal 28 7" xfId="31722" xr:uid="{4E44C0BB-5F38-42E8-BE91-5F953B1664BF}"/>
    <cellStyle name="Normal 29" xfId="2973" xr:uid="{7E449973-F243-4DBD-981D-80021818BEA5}"/>
    <cellStyle name="Normal 29 2" xfId="2974" xr:uid="{A56E80F0-126F-48F6-869B-955E3F2A7040}"/>
    <cellStyle name="Normal 29 2 2" xfId="5034" xr:uid="{CB08E466-11DA-444E-B611-89768E2888A5}"/>
    <cellStyle name="Normal 29 2 2 2" xfId="21841" xr:uid="{80D98240-2110-48C1-BEB6-25D87FA4A860}"/>
    <cellStyle name="Normal 29 2 2 3" xfId="43627" xr:uid="{DBE01B55-7980-4CB5-A738-7C22A903F5DC}"/>
    <cellStyle name="Normal 29 2 2 4" xfId="18224" xr:uid="{CCD4EA9A-F5BB-4405-B789-C11A7B4764CA}"/>
    <cellStyle name="Normal 29 2 3" xfId="4153" xr:uid="{FA31E349-2233-42A1-997B-8F8176FC0BEB}"/>
    <cellStyle name="Normal 29 2 3 2" xfId="43977" xr:uid="{EB5D6E39-FBAC-4AF0-8F7D-89B23B4B45DC}"/>
    <cellStyle name="Normal 29 2 3 3" xfId="31723" xr:uid="{B6E51A33-2CB9-470F-B6E4-C79546F5ADA7}"/>
    <cellStyle name="Normal 29 2 4" xfId="6219" xr:uid="{F616FBF4-D910-4F92-A53C-5A02DD71DB7E}"/>
    <cellStyle name="Normal 29 2 4 2" xfId="45882" xr:uid="{A1BE5A5F-22AD-4FAF-93CB-F45536B1626B}"/>
    <cellStyle name="Normal 29 2 4 3" xfId="31724" xr:uid="{9A3F7B6E-5773-4BBD-8100-019ABD69BBB5}"/>
    <cellStyle name="Normal 29 2 5" xfId="8920" xr:uid="{69553C75-09E0-4339-BE21-1C4BF606C45D}"/>
    <cellStyle name="Normal 29 2 5 2" xfId="31725" xr:uid="{F63CFDF2-5B4D-4EBC-9F19-31900C37D1E1}"/>
    <cellStyle name="Normal 29 2 6" xfId="31726" xr:uid="{E5B76771-F00F-48C0-9F94-63C95BE5EC65}"/>
    <cellStyle name="Normal 29 2 7" xfId="31727" xr:uid="{3F99131A-9A2C-44FF-9D92-7339E343DBB1}"/>
    <cellStyle name="Normal 29 3" xfId="5033" xr:uid="{9354EB60-48A4-4FAF-B03B-1640E6AA9F78}"/>
    <cellStyle name="Normal 29 3 2" xfId="21840" xr:uid="{A31DA3F3-901E-44C3-9F94-329C3D11EF1D}"/>
    <cellStyle name="Normal 29 3 3" xfId="44331" xr:uid="{3374B331-5C59-4A65-AE88-25438A5630E2}"/>
    <cellStyle name="Normal 29 3 4" xfId="18223" xr:uid="{BBBCD761-6918-4A54-929F-53300EA06225}"/>
    <cellStyle name="Normal 29 4" xfId="6863" xr:uid="{9D25CA4F-D0D8-4CC4-8233-4C72B10C12F1}"/>
    <cellStyle name="Normal 29 4 2" xfId="46329" xr:uid="{96E727D9-969C-40D2-A357-C57414FD33BB}"/>
    <cellStyle name="Normal 29 4 3" xfId="31728" xr:uid="{5287743D-2C15-4D51-A9D8-AE6E9495B0F6}"/>
    <cellStyle name="Normal 29 5" xfId="8919" xr:uid="{893EE81E-E08B-4A40-BD76-F1E0D9DDEB2F}"/>
    <cellStyle name="Normal 29 5 2" xfId="31729" xr:uid="{92571C5B-F8C8-4763-8F17-A54CB0A26D50}"/>
    <cellStyle name="Normal 29 6" xfId="31730" xr:uid="{7D5E0CBD-2797-495E-8997-F92ECB98ED13}"/>
    <cellStyle name="Normal 29 7" xfId="31731" xr:uid="{B8ECA9FF-7C4A-4CFE-8E75-898EB0A5215F}"/>
    <cellStyle name="Normal 3" xfId="2975" xr:uid="{991127A4-1D3F-468E-8BAB-D99354DCBF52}"/>
    <cellStyle name="Normal 3 10" xfId="2976" xr:uid="{21EB0F5F-9F85-4151-A338-66948162E691}"/>
    <cellStyle name="Normal 3 10 2" xfId="5036" xr:uid="{C8D09D96-2166-4CAD-A475-947D525BD347}"/>
    <cellStyle name="Normal 3 10 2 2" xfId="18227" xr:uid="{ADD161AB-B7E3-44B0-9A9D-7710635C6C3E}"/>
    <cellStyle name="Normal 3 10 2 2 2" xfId="21844" xr:uid="{F0F57A4F-CC90-430B-ACF6-FBE643FDDB64}"/>
    <cellStyle name="Normal 3 10 2 3" xfId="31732" xr:uid="{214C1574-6508-40F7-A28A-FCAF2A2714AC}"/>
    <cellStyle name="Normal 3 10 2 4" xfId="31733" xr:uid="{67D590BF-77A2-4A1F-B5C5-AF5D10BBED3E}"/>
    <cellStyle name="Normal 3 10 2 5" xfId="31734" xr:uid="{8713CD5C-20DB-4F4F-8E82-F7E08BFE0CA2}"/>
    <cellStyle name="Normal 3 10 2 6" xfId="31735" xr:uid="{E5599D58-76D9-4151-B887-24DF4F414621}"/>
    <cellStyle name="Normal 3 10 3" xfId="6864" xr:uid="{A532EA6C-5406-46BC-8351-30E98DE01A4F}"/>
    <cellStyle name="Normal 3 10 3 2" xfId="21843" xr:uid="{C42A6EDC-B56C-44B3-977E-53CFB4B20B47}"/>
    <cellStyle name="Normal 3 10 3 3" xfId="46331" xr:uid="{DAE2AC1F-C2EB-496C-99DF-365369B594D9}"/>
    <cellStyle name="Normal 3 10 3 4" xfId="18226" xr:uid="{00253485-8BCC-432B-A790-2B4102CC37AD}"/>
    <cellStyle name="Normal 3 10 4" xfId="8922" xr:uid="{1B0D79D9-BB1C-414E-899B-70CF11AF72FF}"/>
    <cellStyle name="Normal 3 10 4 2" xfId="31736" xr:uid="{375B21F8-6D10-4202-9C5D-AA24C2CF56B1}"/>
    <cellStyle name="Normal 3 10 5" xfId="31737" xr:uid="{C44B43BA-E734-4627-A0E7-521D5767CE8D}"/>
    <cellStyle name="Normal 3 10 6" xfId="31738" xr:uid="{35D6290D-708E-4452-9119-80182BAA3634}"/>
    <cellStyle name="Normal 3 10 7" xfId="31739" xr:uid="{967C223D-7029-4E8B-92AD-E15F7E5258F8}"/>
    <cellStyle name="Normal 3 11" xfId="2977" xr:uid="{42B16445-8B64-48DD-8B27-25BB416C557A}"/>
    <cellStyle name="Normal 3 11 2" xfId="5037" xr:uid="{6DC5F57F-8041-4CF4-9CF2-2B0465A41DDC}"/>
    <cellStyle name="Normal 3 11 2 2" xfId="18229" xr:uid="{7EF44363-2081-4C82-88BC-B799CE457B31}"/>
    <cellStyle name="Normal 3 11 2 2 2" xfId="21846" xr:uid="{C87B4EC8-0685-48EC-9990-BC46CF9C0C5C}"/>
    <cellStyle name="Normal 3 11 2 3" xfId="31740" xr:uid="{3AF0FF73-18A9-4429-9008-9DCB8DDEDE3D}"/>
    <cellStyle name="Normal 3 11 2 4" xfId="31741" xr:uid="{2B8A2471-53FB-4153-A4EE-24E372ED3FEE}"/>
    <cellStyle name="Normal 3 11 2 5" xfId="31742" xr:uid="{4331E70F-66CE-4C46-8FC2-90F9216056F3}"/>
    <cellStyle name="Normal 3 11 2 6" xfId="31743" xr:uid="{791DC295-F1C1-4D6A-8F64-786F8783E8FD}"/>
    <cellStyle name="Normal 3 11 3" xfId="6865" xr:uid="{F08E5774-EF45-4016-A642-AF9C7364C211}"/>
    <cellStyle name="Normal 3 11 3 2" xfId="21845" xr:uid="{3FECEC08-CA11-4DB6-8053-896CDFC9F33F}"/>
    <cellStyle name="Normal 3 11 3 3" xfId="46332" xr:uid="{320F0C59-A3AA-478F-8DED-F35FEE9E430C}"/>
    <cellStyle name="Normal 3 11 3 4" xfId="18228" xr:uid="{F32C19CF-2F32-476A-8AE2-66573867E748}"/>
    <cellStyle name="Normal 3 11 4" xfId="8923" xr:uid="{10AE9CF0-B33E-452D-A36F-BAD333B2A404}"/>
    <cellStyle name="Normal 3 11 4 2" xfId="31744" xr:uid="{1AF0AB54-1CE0-41F0-B081-41EE881F9404}"/>
    <cellStyle name="Normal 3 11 5" xfId="31745" xr:uid="{2B5A6726-8547-409F-8413-D9935C1B2DA2}"/>
    <cellStyle name="Normal 3 11 6" xfId="31746" xr:uid="{F8364A66-9870-4D38-936E-3A6AC49C519C}"/>
    <cellStyle name="Normal 3 11 7" xfId="31747" xr:uid="{9393D433-EA21-421B-9942-16E1BD8E4F02}"/>
    <cellStyle name="Normal 3 12" xfId="2978" xr:uid="{198C163A-35D7-437A-9F23-DF960507B1F3}"/>
    <cellStyle name="Normal 3 12 2" xfId="15364" xr:uid="{D73554CC-FCB9-4BA5-954C-703C3673F35A}"/>
    <cellStyle name="Normal 3 12 2 2" xfId="18231" xr:uid="{79B7B506-04E3-4140-AB1E-907217B7CA0F}"/>
    <cellStyle name="Normal 3 12 2 2 2" xfId="21848" xr:uid="{59BDB80B-A117-470B-AA49-3427C887531C}"/>
    <cellStyle name="Normal 3 12 2 3" xfId="31748" xr:uid="{8CE617C8-E420-4618-9F9D-324AFD4614B1}"/>
    <cellStyle name="Normal 3 12 2 4" xfId="31749" xr:uid="{B7196028-AB2E-4C6D-9A26-7226F05842D0}"/>
    <cellStyle name="Normal 3 12 2 5" xfId="31750" xr:uid="{2C556875-B075-4763-A75E-E40E85E45CB8}"/>
    <cellStyle name="Normal 3 12 2 6" xfId="31751" xr:uid="{C7B74A75-C75C-47CD-9230-05E2834F537C}"/>
    <cellStyle name="Normal 3 12 3" xfId="16717" xr:uid="{9900AC13-7AAA-4E5D-9F76-1046C4157F8E}"/>
    <cellStyle name="Normal 3 12 3 2" xfId="18232" xr:uid="{2ED5B4A0-A6D0-4F6D-B543-79D50AB80EB8}"/>
    <cellStyle name="Normal 3 12 3 2 2" xfId="21849" xr:uid="{5EAE4D14-2CCE-4BE7-886C-534CB24D939D}"/>
    <cellStyle name="Normal 3 12 3 3" xfId="31752" xr:uid="{4229F9F3-5C00-408F-B96E-FC05ED6A0FCC}"/>
    <cellStyle name="Normal 3 12 3 4" xfId="31753" xr:uid="{079EDF89-1959-4405-91E5-DC8CFB0734A4}"/>
    <cellStyle name="Normal 3 12 3 5" xfId="31754" xr:uid="{0BFBA87E-7700-4FDC-BB25-FA39AF26CC58}"/>
    <cellStyle name="Normal 3 12 3 6" xfId="31755" xr:uid="{87A0CD9A-2BA3-4250-8B55-D13BA0A96092}"/>
    <cellStyle name="Normal 3 12 4" xfId="16525" xr:uid="{94556AB7-FF1F-4CAA-B3C2-C337DB74C194}"/>
    <cellStyle name="Normal 3 12 4 2" xfId="18233" xr:uid="{741A0C4B-5E62-4D41-89B9-7FC645A9FE84}"/>
    <cellStyle name="Normal 3 12 4 2 2" xfId="21850" xr:uid="{5F46C126-3FF5-433E-A680-1F809148DF9B}"/>
    <cellStyle name="Normal 3 12 4 3" xfId="20683" xr:uid="{52EFEE87-3A1A-44B0-B94F-A33AA4FA5295}"/>
    <cellStyle name="Normal 3 12 5" xfId="18230" xr:uid="{3D3A34AF-8637-46F9-BD52-E4A02E243B0B}"/>
    <cellStyle name="Normal 3 12 5 2" xfId="21847" xr:uid="{960CAB50-39F3-491D-B0D8-CB16CBD9F242}"/>
    <cellStyle name="Normal 3 12 6" xfId="31756" xr:uid="{20A36C11-5CAA-4D58-AFA2-E48767797001}"/>
    <cellStyle name="Normal 3 12 7" xfId="31757" xr:uid="{28EC5BF2-E821-4A10-82D7-140F3F32DED4}"/>
    <cellStyle name="Normal 3 12 8" xfId="31758" xr:uid="{8EF9C907-FDD7-4F42-A4CE-1FB4DD5682AA}"/>
    <cellStyle name="Normal 3 12 9" xfId="31759" xr:uid="{E7EDB3A2-464D-4769-9AA2-6DC8E05B717C}"/>
    <cellStyle name="Normal 3 13" xfId="2979" xr:uid="{149BE7B8-74A3-4EE4-B911-1DE603262875}"/>
    <cellStyle name="Normal 3 13 2" xfId="15365" xr:uid="{0627A34E-AA93-40BE-87F4-AEFA9A420CD2}"/>
    <cellStyle name="Normal 3 13 2 2" xfId="18235" xr:uid="{86E01B56-8BC7-4E0C-9EB4-05E4B2AAD9E5}"/>
    <cellStyle name="Normal 3 13 2 2 2" xfId="21852" xr:uid="{9734F284-BA97-45CA-8020-BD81256B9E93}"/>
    <cellStyle name="Normal 3 13 2 3" xfId="31760" xr:uid="{0FF442FA-E733-4CC4-B480-C2E56BC9D1CF}"/>
    <cellStyle name="Normal 3 13 2 4" xfId="31761" xr:uid="{24FF2E4F-F873-4545-8EAB-A6B3BAB388D8}"/>
    <cellStyle name="Normal 3 13 2 5" xfId="31762" xr:uid="{2CAE2E2D-07DC-4D8C-A713-2551A75E8777}"/>
    <cellStyle name="Normal 3 13 2 6" xfId="31763" xr:uid="{4EB07298-0A2D-4A67-BDA5-0E606A2317CA}"/>
    <cellStyle name="Normal 3 13 3" xfId="16718" xr:uid="{D3F94888-A543-4FB5-985D-4D8919DE9BEB}"/>
    <cellStyle name="Normal 3 13 3 2" xfId="18236" xr:uid="{3C2B8881-E606-41ED-B2AF-DBA644FAB00D}"/>
    <cellStyle name="Normal 3 13 3 2 2" xfId="21853" xr:uid="{9BB2780A-944C-4035-A386-4F3E20F589FA}"/>
    <cellStyle name="Normal 3 13 3 3" xfId="31764" xr:uid="{03CDFD77-4121-413D-9EE8-6E2A381A1549}"/>
    <cellStyle name="Normal 3 13 3 4" xfId="31765" xr:uid="{08432A05-9CE0-4082-B236-E49FADC1F7A6}"/>
    <cellStyle name="Normal 3 13 3 5" xfId="31766" xr:uid="{A05408C5-F21C-4288-A3FB-532E5E22DE17}"/>
    <cellStyle name="Normal 3 13 3 6" xfId="31767" xr:uid="{400AE5DD-932B-4115-B667-F0AF2D889C4B}"/>
    <cellStyle name="Normal 3 13 4" xfId="16526" xr:uid="{41CD82D6-64D3-4BD1-8E5F-A22468E13FEF}"/>
    <cellStyle name="Normal 3 13 4 2" xfId="18237" xr:uid="{49442161-6553-466F-8039-4596A8A4819F}"/>
    <cellStyle name="Normal 3 13 4 2 2" xfId="21854" xr:uid="{B8EE2AC7-8300-41ED-BAD5-F008C8C6D41A}"/>
    <cellStyle name="Normal 3 13 4 3" xfId="20684" xr:uid="{24E4173B-588E-42CC-B21A-5AF7C81A4998}"/>
    <cellStyle name="Normal 3 13 5" xfId="18234" xr:uid="{7EB5F4F0-27AB-45A5-9907-B3C844494B27}"/>
    <cellStyle name="Normal 3 13 5 2" xfId="21851" xr:uid="{EB04BE2A-0A1A-48D1-9FBA-B4823E463F95}"/>
    <cellStyle name="Normal 3 13 6" xfId="31768" xr:uid="{DB9B0FE3-3997-4E00-B6ED-C4534E019752}"/>
    <cellStyle name="Normal 3 13 7" xfId="31769" xr:uid="{EAE06E3A-6C93-43D8-9435-E552CAED9D94}"/>
    <cellStyle name="Normal 3 13 8" xfId="31770" xr:uid="{CABFD252-6A7F-4B57-8CB9-FBD493FF24E1}"/>
    <cellStyle name="Normal 3 13 9" xfId="31771" xr:uid="{6D9E4B76-6312-4AED-92D1-05383B5C6C19}"/>
    <cellStyle name="Normal 3 14" xfId="2980" xr:uid="{9BBA2EDD-7B65-4695-AF8A-CD699B592E8A}"/>
    <cellStyle name="Normal 3 14 2" xfId="15366" xr:uid="{868AADBF-4A75-4A61-8640-70727E462A88}"/>
    <cellStyle name="Normal 3 14 2 2" xfId="18239" xr:uid="{4A54E2D7-D2AA-4784-B418-2A5B8942E7CA}"/>
    <cellStyle name="Normal 3 14 2 2 2" xfId="21856" xr:uid="{A8F836D2-55B6-4273-A5B4-E3F7E8B8124A}"/>
    <cellStyle name="Normal 3 14 2 3" xfId="31772" xr:uid="{3BD6A63E-56EE-4E96-9585-41522F001B14}"/>
    <cellStyle name="Normal 3 14 2 4" xfId="31773" xr:uid="{3658717B-6B4F-4251-BB0E-764B3DE9D258}"/>
    <cellStyle name="Normal 3 14 2 5" xfId="31774" xr:uid="{A3AEBA22-D355-4AE9-AAB2-2F2D8B6C5FFA}"/>
    <cellStyle name="Normal 3 14 2 6" xfId="31775" xr:uid="{0C0AA888-D8F0-4174-8DD5-610388AD2E5B}"/>
    <cellStyle name="Normal 3 14 3" xfId="16719" xr:uid="{3ED3D2FD-AE5C-4F80-883E-AEAFF8AAEE53}"/>
    <cellStyle name="Normal 3 14 3 2" xfId="18240" xr:uid="{90347D7F-460E-4DF0-819B-658B1E9BC564}"/>
    <cellStyle name="Normal 3 14 3 2 2" xfId="21857" xr:uid="{9C6BDD73-3BFD-47AB-9FFB-F50CA2A555B6}"/>
    <cellStyle name="Normal 3 14 3 3" xfId="31776" xr:uid="{F80DFF33-0E4F-4720-9E63-4293EFFD0CD3}"/>
    <cellStyle name="Normal 3 14 3 4" xfId="31777" xr:uid="{4A761047-F01F-46A0-842C-C63CB780631A}"/>
    <cellStyle name="Normal 3 14 3 5" xfId="31778" xr:uid="{C55BCD88-320A-415A-99F6-B406FF667941}"/>
    <cellStyle name="Normal 3 14 3 6" xfId="31779" xr:uid="{83E049DB-1418-4803-A695-3865D1E4414E}"/>
    <cellStyle name="Normal 3 14 4" xfId="16527" xr:uid="{08A46466-A7EA-47CB-86F2-B1BB3CC63151}"/>
    <cellStyle name="Normal 3 14 4 2" xfId="18241" xr:uid="{78E6D67C-D3CE-4C52-9DC8-2E0E3FEE1EA3}"/>
    <cellStyle name="Normal 3 14 4 2 2" xfId="21858" xr:uid="{3F91E862-80E6-4BB0-9C13-529071F2EE48}"/>
    <cellStyle name="Normal 3 14 4 3" xfId="20685" xr:uid="{B0967072-3547-4D69-B6E3-92E0333B7AA3}"/>
    <cellStyle name="Normal 3 14 5" xfId="18238" xr:uid="{969D7EFF-3299-4CEF-9CE6-2249311DA0EB}"/>
    <cellStyle name="Normal 3 14 5 2" xfId="21855" xr:uid="{001CD2AB-6A03-48DE-A7FB-B854086CBF96}"/>
    <cellStyle name="Normal 3 14 6" xfId="31780" xr:uid="{919E3E04-52F8-4E19-A0E9-CD7BBC3ED489}"/>
    <cellStyle name="Normal 3 14 7" xfId="31781" xr:uid="{7915D548-7629-4DFB-BAAC-067462256117}"/>
    <cellStyle name="Normal 3 14 8" xfId="31782" xr:uid="{7C547333-EBFE-40E4-B2B4-70F6D4C318C1}"/>
    <cellStyle name="Normal 3 14 9" xfId="31783" xr:uid="{BEB19B43-B964-459B-933E-0639199FAC6E}"/>
    <cellStyle name="Normal 3 15" xfId="2981" xr:uid="{B8B96990-8431-4971-AF5C-AACA6E7FC420}"/>
    <cellStyle name="Normal 3 15 2" xfId="5038" xr:uid="{C6A4D4FC-C006-4523-AB9E-71C44A6B4EF6}"/>
    <cellStyle name="Normal 3 15 2 2" xfId="18243" xr:uid="{E8094EEE-48D6-466F-8D45-6DA9F10B72E2}"/>
    <cellStyle name="Normal 3 15 2 2 2" xfId="21860" xr:uid="{1905DD1E-69EC-435C-8E40-BF7A37E24F23}"/>
    <cellStyle name="Normal 3 15 2 3" xfId="31784" xr:uid="{6E5A9253-21AB-400E-A58F-0E284394675A}"/>
    <cellStyle name="Normal 3 15 2 4" xfId="31785" xr:uid="{33CA8F26-7821-4DB3-A7C8-B4E0EE1EDAD4}"/>
    <cellStyle name="Normal 3 15 2 5" xfId="31786" xr:uid="{4E7835E5-B870-486C-9E8B-E1F77B5EA76B}"/>
    <cellStyle name="Normal 3 15 2 6" xfId="31787" xr:uid="{4113F5B3-355F-4EAB-8F28-E71A46639FBC}"/>
    <cellStyle name="Normal 3 15 3" xfId="6866" xr:uid="{ADAA0552-F534-4BA0-8580-A507A4A3F12D}"/>
    <cellStyle name="Normal 3 15 3 2" xfId="21859" xr:uid="{B3C1D468-3893-4F7E-9778-015B56DE4FF3}"/>
    <cellStyle name="Normal 3 15 3 3" xfId="46333" xr:uid="{094F006B-B547-44B4-84AE-3163EF16829C}"/>
    <cellStyle name="Normal 3 15 3 4" xfId="18242" xr:uid="{F9C0CDF0-2C82-4338-A21B-6FF40210F94F}"/>
    <cellStyle name="Normal 3 15 4" xfId="8924" xr:uid="{4F136BE0-EE05-46D2-BE63-4CB93AA035C3}"/>
    <cellStyle name="Normal 3 15 4 2" xfId="31788" xr:uid="{C2FAEDDB-64AF-47AB-954F-342C9FB8ACCA}"/>
    <cellStyle name="Normal 3 15 5" xfId="31789" xr:uid="{9271FF86-EC31-4227-9CCA-497038C11AC9}"/>
    <cellStyle name="Normal 3 15 6" xfId="31790" xr:uid="{9723881F-B854-41D1-A85D-5ECB8AE045E4}"/>
    <cellStyle name="Normal 3 15 7" xfId="31791" xr:uid="{4C50FE09-8000-4DB6-BDF9-2C659C76AA91}"/>
    <cellStyle name="Normal 3 16" xfId="2982" xr:uid="{F39AD2C3-86AB-476F-A73D-A328A130336B}"/>
    <cellStyle name="Normal 3 16 2" xfId="5039" xr:uid="{CAE20EB8-7E0A-4F7F-9D57-A55536558753}"/>
    <cellStyle name="Normal 3 16 2 2" xfId="18245" xr:uid="{995DA214-D436-425E-8391-EACF73D5F691}"/>
    <cellStyle name="Normal 3 16 2 2 2" xfId="21862" xr:uid="{BA89AA99-6EC9-4E6A-A01F-9AD643294DDD}"/>
    <cellStyle name="Normal 3 16 2 3" xfId="31792" xr:uid="{4CA839B0-5739-45BA-8D29-037168CE0C99}"/>
    <cellStyle name="Normal 3 16 2 4" xfId="31793" xr:uid="{204046B8-8ACF-421A-9C09-D59C4E118592}"/>
    <cellStyle name="Normal 3 16 2 5" xfId="31794" xr:uid="{65920137-C7B4-4E09-9914-412CEC479110}"/>
    <cellStyle name="Normal 3 16 2 6" xfId="31795" xr:uid="{6CADAD13-5FE2-4F4C-A63E-77746203B46C}"/>
    <cellStyle name="Normal 3 16 3" xfId="6867" xr:uid="{28E5FB89-B51D-4CFF-B867-4D8849E7D176}"/>
    <cellStyle name="Normal 3 16 3 2" xfId="21861" xr:uid="{63EEC23C-9B1D-4B09-88FD-6398A2676E8E}"/>
    <cellStyle name="Normal 3 16 3 3" xfId="46334" xr:uid="{760F4537-114B-44D3-8FF2-A9305CDA0161}"/>
    <cellStyle name="Normal 3 16 3 4" xfId="18244" xr:uid="{CE5993DA-DD2D-4D10-BA17-88B3637F1D45}"/>
    <cellStyle name="Normal 3 16 4" xfId="8925" xr:uid="{57F90041-ED2B-43AA-89F1-019560F20D2C}"/>
    <cellStyle name="Normal 3 16 4 2" xfId="31796" xr:uid="{8939A187-9072-4449-A2E9-B57513153272}"/>
    <cellStyle name="Normal 3 16 5" xfId="31797" xr:uid="{D520FB85-22F4-4AC3-BF5D-C07507AB3A71}"/>
    <cellStyle name="Normal 3 16 6" xfId="31798" xr:uid="{824DFB0A-2147-407E-A2DF-4FF291E7044A}"/>
    <cellStyle name="Normal 3 16 7" xfId="31799" xr:uid="{1D4E7B3E-73AE-4BEE-85D9-A8B3AAA37B04}"/>
    <cellStyle name="Normal 3 17" xfId="2983" xr:uid="{BEA12C03-5825-416F-BBB9-EBE3F7C2F323}"/>
    <cellStyle name="Normal 3 17 2" xfId="5040" xr:uid="{86AB3482-CA6C-431E-AA97-3A4F7E2E104E}"/>
    <cellStyle name="Normal 3 17 2 2" xfId="18247" xr:uid="{30C4FA0A-34DE-4477-B359-C3FD2E6779EC}"/>
    <cellStyle name="Normal 3 17 2 2 2" xfId="21864" xr:uid="{1D9D88FD-9C3D-4BB1-AC21-B9B32911C434}"/>
    <cellStyle name="Normal 3 17 2 3" xfId="31800" xr:uid="{25F168AC-CAED-452D-A5B9-02BACD3F60EA}"/>
    <cellStyle name="Normal 3 17 2 4" xfId="31801" xr:uid="{2CE7DD92-4388-400C-94B1-DF0B5FC751FC}"/>
    <cellStyle name="Normal 3 17 2 5" xfId="31802" xr:uid="{C65455E3-A4E5-423E-B522-C46224D7197A}"/>
    <cellStyle name="Normal 3 17 2 6" xfId="31803" xr:uid="{51228FBC-502F-4475-9AA9-D28F83F62733}"/>
    <cellStyle name="Normal 3 17 3" xfId="6868" xr:uid="{5EA159F7-FD72-4E59-9D53-6E390E4DA5B8}"/>
    <cellStyle name="Normal 3 17 3 2" xfId="21863" xr:uid="{B3A10AA6-CDC1-464C-B1EB-1CF6F7E0CA59}"/>
    <cellStyle name="Normal 3 17 3 3" xfId="46335" xr:uid="{2926F763-BCC2-491A-B4D1-1C7D923522AC}"/>
    <cellStyle name="Normal 3 17 3 4" xfId="18246" xr:uid="{DC86DD40-14DC-4B49-8DC6-D70C9313B7A6}"/>
    <cellStyle name="Normal 3 17 4" xfId="8926" xr:uid="{418E31B6-E1BF-48A4-9990-DD2A216A4A86}"/>
    <cellStyle name="Normal 3 17 4 2" xfId="31804" xr:uid="{7A22EEEE-F76A-4C7F-85EC-633ECB2C5E69}"/>
    <cellStyle name="Normal 3 17 5" xfId="31805" xr:uid="{8A88C991-09E0-4E1F-BAAB-7B0A768AFC20}"/>
    <cellStyle name="Normal 3 17 6" xfId="31806" xr:uid="{160DCCA9-B820-453A-BE1E-C950EEEB64EF}"/>
    <cellStyle name="Normal 3 17 7" xfId="31807" xr:uid="{738E1707-74A2-42BB-B890-BDCCA0B2A126}"/>
    <cellStyle name="Normal 3 18" xfId="2984" xr:uid="{D60F10E7-6E16-47F5-ADBC-1D71523B0CAF}"/>
    <cellStyle name="Normal 3 18 2" xfId="5041" xr:uid="{6663D7FA-7A74-4294-B97A-193837943C0A}"/>
    <cellStyle name="Normal 3 18 2 2" xfId="18249" xr:uid="{34AC3B19-72C7-4B5F-BBBD-C1962E789141}"/>
    <cellStyle name="Normal 3 18 2 2 2" xfId="21866" xr:uid="{74E05907-5F8B-46D7-BF2F-644307E7BF98}"/>
    <cellStyle name="Normal 3 18 2 3" xfId="31808" xr:uid="{9C03DC6B-209B-422B-976E-DB7F97AB97FA}"/>
    <cellStyle name="Normal 3 18 2 4" xfId="31809" xr:uid="{9916F036-5964-4ECB-AD56-AAC782F18CE7}"/>
    <cellStyle name="Normal 3 18 2 5" xfId="31810" xr:uid="{81BFAA36-24ED-4688-8CA5-671C8455479F}"/>
    <cellStyle name="Normal 3 18 2 6" xfId="31811" xr:uid="{29011251-B4B9-4DF6-9BF4-226E7C9DF0AF}"/>
    <cellStyle name="Normal 3 18 3" xfId="6869" xr:uid="{F25BDCA6-7FB7-4BEA-9E67-53476143E337}"/>
    <cellStyle name="Normal 3 18 3 2" xfId="21865" xr:uid="{752E6D0B-AA47-4709-9F47-C585F7F781CA}"/>
    <cellStyle name="Normal 3 18 3 3" xfId="46336" xr:uid="{914A1ECC-E628-4A9B-96D0-0967049ABBB2}"/>
    <cellStyle name="Normal 3 18 3 4" xfId="18248" xr:uid="{F32D6E49-BCD4-47AE-89E9-A8DC4F6E54C6}"/>
    <cellStyle name="Normal 3 18 4" xfId="8927" xr:uid="{62E2F71D-7EBB-4B5F-987F-FAAB9EA99885}"/>
    <cellStyle name="Normal 3 18 4 2" xfId="31812" xr:uid="{CA4C7F1C-4781-4EF2-9397-F31247DD29BE}"/>
    <cellStyle name="Normal 3 18 5" xfId="31813" xr:uid="{5320106A-9B57-49BE-9DC1-D75967FAC051}"/>
    <cellStyle name="Normal 3 18 6" xfId="31814" xr:uid="{E988CB2A-AA3B-4E81-B7A1-2B999D9FA705}"/>
    <cellStyle name="Normal 3 18 7" xfId="31815" xr:uid="{B7C0C3B2-E72E-4756-93ED-3002B52EFFC1}"/>
    <cellStyle name="Normal 3 19" xfId="2985" xr:uid="{F50F790D-DA64-4DBE-BDFF-2FFCA3A7B491}"/>
    <cellStyle name="Normal 3 19 2" xfId="5042" xr:uid="{8F2C1FF0-1AF2-41D6-802D-2EE062DFD81F}"/>
    <cellStyle name="Normal 3 19 2 2" xfId="18251" xr:uid="{6775A70C-583B-454E-B63E-D0C238F3F454}"/>
    <cellStyle name="Normal 3 19 2 2 2" xfId="21868" xr:uid="{DCE660E5-69A1-4E75-B361-FD2756DAA2BE}"/>
    <cellStyle name="Normal 3 19 2 3" xfId="31816" xr:uid="{3083D28F-11CC-4031-8BC5-6A060B6ED98C}"/>
    <cellStyle name="Normal 3 19 2 4" xfId="31817" xr:uid="{D8E1A397-94D7-4D84-8385-FF7A8AEB78A4}"/>
    <cellStyle name="Normal 3 19 2 5" xfId="31818" xr:uid="{FDA4F088-D7D3-4434-9859-941662F2E182}"/>
    <cellStyle name="Normal 3 19 2 6" xfId="31819" xr:uid="{00D424F2-5AA1-4553-B8FB-92DE7091BEDF}"/>
    <cellStyle name="Normal 3 19 3" xfId="6870" xr:uid="{C35E06C3-AC94-4409-A424-2F33C0EF7D03}"/>
    <cellStyle name="Normal 3 19 3 2" xfId="21867" xr:uid="{2CA182CC-F0D5-4090-B048-B41A28330603}"/>
    <cellStyle name="Normal 3 19 3 3" xfId="46337" xr:uid="{31A80AC1-D7A7-4C80-8033-692EB065DA7C}"/>
    <cellStyle name="Normal 3 19 3 4" xfId="18250" xr:uid="{96D63ECF-5E89-4F2B-81C8-D6D4F54EC52B}"/>
    <cellStyle name="Normal 3 19 4" xfId="8928" xr:uid="{1F08FA3D-E7AB-45E3-BB01-8D3CB90205CC}"/>
    <cellStyle name="Normal 3 19 4 2" xfId="31820" xr:uid="{C7CE1FE3-2C75-4297-9684-A3F7B5B5BB3D}"/>
    <cellStyle name="Normal 3 19 5" xfId="31821" xr:uid="{B443338F-B9AA-4CCF-8DA2-F210A6D998A2}"/>
    <cellStyle name="Normal 3 19 6" xfId="31822" xr:uid="{875967DA-DD01-4ECD-AA4D-1DDFC944AFCE}"/>
    <cellStyle name="Normal 3 19 7" xfId="31823" xr:uid="{83CD0CCC-21FF-4ADB-95EE-D630E0B52F88}"/>
    <cellStyle name="Normal 3 2" xfId="2986" xr:uid="{CB4A40E8-33A5-4CBB-A625-0E33EC8BAE6A}"/>
    <cellStyle name="Normal 3 2 10" xfId="2987" xr:uid="{7BEE6F30-71D2-4444-84B2-04DE0364CB5E}"/>
    <cellStyle name="Normal 3 2 10 2" xfId="18253" xr:uid="{DA717C27-CE5D-4743-AEED-FE2B4D765959}"/>
    <cellStyle name="Normal 3 2 10 2 2" xfId="21870" xr:uid="{AC931F49-096D-455E-B850-B1CE9785F108}"/>
    <cellStyle name="Normal 3 2 10 3" xfId="31824" xr:uid="{CFFB8DF7-077B-420A-BAA7-AD4936C5DDFB}"/>
    <cellStyle name="Normal 3 2 10 4" xfId="31825" xr:uid="{4258B98E-74BF-4F7D-8FC6-23AC101A79BF}"/>
    <cellStyle name="Normal 3 2 10 5" xfId="31826" xr:uid="{1BF604D6-E542-40FB-86FC-7CCD5281452E}"/>
    <cellStyle name="Normal 3 2 10 6" xfId="31827" xr:uid="{9D7C5AF8-9A00-442C-B7DD-D1FB751C17E8}"/>
    <cellStyle name="Normal 3 2 11" xfId="2988" xr:uid="{1C85CFEF-EC51-4B7F-9DF0-215912F7F58D}"/>
    <cellStyle name="Normal 3 2 11 2" xfId="5043" xr:uid="{30E9E142-671E-464E-B795-4D6BFE2AED92}"/>
    <cellStyle name="Normal 3 2 11 2 2" xfId="18255" xr:uid="{F9A82FA2-CDEF-456B-BCBF-ED012DB5FC41}"/>
    <cellStyle name="Normal 3 2 11 2 2 2" xfId="21872" xr:uid="{921A7F80-92C5-4783-8C09-8AE1629E2380}"/>
    <cellStyle name="Normal 3 2 11 2 3" xfId="31828" xr:uid="{E6DD59A7-8BAB-4315-B0B9-4888FE165BFD}"/>
    <cellStyle name="Normal 3 2 11 2 4" xfId="31829" xr:uid="{3436C90C-89FD-4928-8DBA-A8BA6E5145A8}"/>
    <cellStyle name="Normal 3 2 11 2 5" xfId="31830" xr:uid="{3182BD6D-1E45-4BF0-92B5-84BAF7C06AE7}"/>
    <cellStyle name="Normal 3 2 11 2 6" xfId="31831" xr:uid="{9ECA1D10-7F35-4F23-8779-A68A3C10346A}"/>
    <cellStyle name="Normal 3 2 11 3" xfId="6871" xr:uid="{F43F7F5E-5BA9-4212-A932-1D2A75251CD8}"/>
    <cellStyle name="Normal 3 2 11 3 2" xfId="21871" xr:uid="{4E5CB571-DEB8-4E63-B94D-6F8E4F2B8846}"/>
    <cellStyle name="Normal 3 2 11 3 3" xfId="46338" xr:uid="{F9DF3008-C768-4625-9352-362403357B40}"/>
    <cellStyle name="Normal 3 2 11 3 4" xfId="18254" xr:uid="{530FF6F4-5E41-4CEB-81A0-C421DA0AD02A}"/>
    <cellStyle name="Normal 3 2 11 4" xfId="8929" xr:uid="{678B1AD5-AA15-4700-BB6C-F2783A23F795}"/>
    <cellStyle name="Normal 3 2 11 4 2" xfId="31832" xr:uid="{496FA748-0C27-4E2A-81B8-7E0E394479F1}"/>
    <cellStyle name="Normal 3 2 11 5" xfId="31833" xr:uid="{53CE0199-D933-4E67-83C8-AB6C5F922D5E}"/>
    <cellStyle name="Normal 3 2 11 6" xfId="31834" xr:uid="{15F1F460-C1DD-4A30-AC25-6FD5B427E46E}"/>
    <cellStyle name="Normal 3 2 11 7" xfId="31835" xr:uid="{1029E3B3-B84C-4F07-8EF9-40504BE0B7C2}"/>
    <cellStyle name="Normal 3 2 12" xfId="2989" xr:uid="{4A1F8400-A05D-4426-AC93-CFDA41C42937}"/>
    <cellStyle name="Normal 3 2 12 2" xfId="5044" xr:uid="{3B93466D-34DD-4019-954A-A3ACE5F16FB3}"/>
    <cellStyle name="Normal 3 2 12 2 2" xfId="18257" xr:uid="{94445AC9-7219-4CCB-8C5B-104BB727FFFB}"/>
    <cellStyle name="Normal 3 2 12 2 2 2" xfId="21874" xr:uid="{83EE675E-9CDB-4F64-88A9-7294C9831FE7}"/>
    <cellStyle name="Normal 3 2 12 2 3" xfId="31836" xr:uid="{4734F849-9710-4B33-BD8B-7CB0C29239DD}"/>
    <cellStyle name="Normal 3 2 12 2 4" xfId="31837" xr:uid="{3908D754-C95C-471B-92EF-470FB395B45D}"/>
    <cellStyle name="Normal 3 2 12 2 5" xfId="31838" xr:uid="{79CC4D4E-B588-46D6-9352-1AC08C435562}"/>
    <cellStyle name="Normal 3 2 12 2 6" xfId="31839" xr:uid="{AC7766AC-8206-416C-92B7-C84D09837047}"/>
    <cellStyle name="Normal 3 2 12 3" xfId="6872" xr:uid="{606424E3-8F81-4502-8124-F7ECE974A198}"/>
    <cellStyle name="Normal 3 2 12 3 2" xfId="21873" xr:uid="{AB66FE8A-AB0A-4195-A2BD-26AFDD309333}"/>
    <cellStyle name="Normal 3 2 12 3 3" xfId="46339" xr:uid="{2C338AB3-F457-45C3-BFFD-DDAF1226DE7C}"/>
    <cellStyle name="Normal 3 2 12 3 4" xfId="18256" xr:uid="{077B7F48-B0D4-4431-8F88-DE5BA30FF026}"/>
    <cellStyle name="Normal 3 2 12 4" xfId="8930" xr:uid="{81B2E6E0-C57D-4851-B337-19B2156FA59D}"/>
    <cellStyle name="Normal 3 2 12 4 2" xfId="31840" xr:uid="{F0EDA46E-3362-455D-AAE5-F7C039B9F24F}"/>
    <cellStyle name="Normal 3 2 12 5" xfId="31841" xr:uid="{41DE4251-77EF-42B0-9BE7-6A997E80F72E}"/>
    <cellStyle name="Normal 3 2 12 6" xfId="31842" xr:uid="{D7D5FFC0-4091-41B9-94E9-40E562A25616}"/>
    <cellStyle name="Normal 3 2 12 7" xfId="31843" xr:uid="{10453BC9-C44D-4D95-BD87-CC0CBA4953A3}"/>
    <cellStyle name="Normal 3 2 13" xfId="2990" xr:uid="{319E427E-620F-4FFA-BC0E-1A1441442A74}"/>
    <cellStyle name="Normal 3 2 13 2" xfId="5045" xr:uid="{1BF6E7AB-AFBA-4C42-8D2B-04A4340328C2}"/>
    <cellStyle name="Normal 3 2 13 2 2" xfId="18259" xr:uid="{30F2C91D-F9F4-47C2-BE95-37B158803ECC}"/>
    <cellStyle name="Normal 3 2 13 2 2 2" xfId="21876" xr:uid="{7C61F982-4311-48BA-A9CB-A59BD9D65CCE}"/>
    <cellStyle name="Normal 3 2 13 2 3" xfId="31844" xr:uid="{D38ACB55-6F0D-431D-BCED-1DCEEE2AFCA1}"/>
    <cellStyle name="Normal 3 2 13 2 4" xfId="31845" xr:uid="{83B37787-92B5-448B-A122-42FFB736889D}"/>
    <cellStyle name="Normal 3 2 13 2 5" xfId="31846" xr:uid="{2555799F-6F2B-4CEA-A399-4787AF21B62A}"/>
    <cellStyle name="Normal 3 2 13 2 6" xfId="31847" xr:uid="{DCE58AA7-CBFF-4433-A783-7AE89A26232D}"/>
    <cellStyle name="Normal 3 2 13 3" xfId="6873" xr:uid="{6D501E53-7CBD-41EB-8C7F-E3CE0EC1A77A}"/>
    <cellStyle name="Normal 3 2 13 3 2" xfId="21875" xr:uid="{A9B73AD7-A7A9-49E4-AC69-D16E214E6075}"/>
    <cellStyle name="Normal 3 2 13 3 3" xfId="46340" xr:uid="{93F9FE12-D33D-4907-95E1-2EE067915129}"/>
    <cellStyle name="Normal 3 2 13 3 4" xfId="18258" xr:uid="{3FA04745-5539-416E-9B28-200C3151DD47}"/>
    <cellStyle name="Normal 3 2 13 4" xfId="8931" xr:uid="{AE4FAC96-3D91-4CB1-B635-E43E3FE12AE0}"/>
    <cellStyle name="Normal 3 2 13 4 2" xfId="31848" xr:uid="{D5A6D0D5-A252-4B70-A704-B95EE840A8AF}"/>
    <cellStyle name="Normal 3 2 13 5" xfId="31849" xr:uid="{0621CE74-5A10-4AD3-B022-27D7EDB45FC3}"/>
    <cellStyle name="Normal 3 2 13 6" xfId="31850" xr:uid="{C289C713-A32B-417C-A18E-49CC7EC112AC}"/>
    <cellStyle name="Normal 3 2 13 7" xfId="31851" xr:uid="{4D2984BF-6AA0-47AA-B10E-B92857739B82}"/>
    <cellStyle name="Normal 3 2 14" xfId="2991" xr:uid="{D0F74A69-38D1-41D8-B406-9924677B3DAD}"/>
    <cellStyle name="Normal 3 2 14 2" xfId="18260" xr:uid="{D11BF36C-DD68-450C-8755-6330E82E50D1}"/>
    <cellStyle name="Normal 3 2 14 2 2" xfId="21877" xr:uid="{FE66803B-16FF-499E-9570-47F85C85293E}"/>
    <cellStyle name="Normal 3 2 14 3" xfId="31852" xr:uid="{3426DB7C-EA45-4565-B7CC-8EFB80DC1B4C}"/>
    <cellStyle name="Normal 3 2 14 4" xfId="31853" xr:uid="{2177663C-1A0A-4227-B4CD-ABBC2E384B70}"/>
    <cellStyle name="Normal 3 2 14 5" xfId="31854" xr:uid="{DDF69FB5-F6F4-4B91-8420-B9C180F1484F}"/>
    <cellStyle name="Normal 3 2 14 6" xfId="31855" xr:uid="{A8DCB673-F8E6-487A-947B-4E41968AB67C}"/>
    <cellStyle name="Normal 3 2 15" xfId="2992" xr:uid="{2A1EA199-760B-472B-B1B2-C137DF9BE6E4}"/>
    <cellStyle name="Normal 3 2 15 2" xfId="18261" xr:uid="{5CB282A0-EAAC-43A1-8129-C93D3A01A9D0}"/>
    <cellStyle name="Normal 3 2 15 2 2" xfId="21878" xr:uid="{C7D92972-853E-4CB8-B17F-13792F9E98CD}"/>
    <cellStyle name="Normal 3 2 15 3" xfId="31856" xr:uid="{467388F7-B03C-4509-A9F7-D47D561E7662}"/>
    <cellStyle name="Normal 3 2 15 4" xfId="31857" xr:uid="{13264662-EFE3-4CD3-A645-46DA71209B31}"/>
    <cellStyle name="Normal 3 2 15 5" xfId="31858" xr:uid="{46F87604-05C2-4415-B438-1D81B66C1101}"/>
    <cellStyle name="Normal 3 2 15 6" xfId="31859" xr:uid="{114AC789-2C2A-4053-8686-C287A2AC8BCD}"/>
    <cellStyle name="Normal 3 2 16" xfId="2993" xr:uid="{449EF862-D3A8-4C8D-B46D-EFAA2F9821E5}"/>
    <cellStyle name="Normal 3 2 16 2" xfId="18262" xr:uid="{31FB2851-9817-461A-B130-D57FABA196DD}"/>
    <cellStyle name="Normal 3 2 16 2 2" xfId="21879" xr:uid="{65C48908-F7DC-4AD4-8E4F-1A3300CE4583}"/>
    <cellStyle name="Normal 3 2 16 3" xfId="31860" xr:uid="{1E01672B-D2FD-497F-9097-7318DE032969}"/>
    <cellStyle name="Normal 3 2 16 4" xfId="31861" xr:uid="{129D73D5-1E25-4627-869D-5A0DDDD6D990}"/>
    <cellStyle name="Normal 3 2 16 5" xfId="31862" xr:uid="{534B7EFB-58FC-4F90-9A99-44A0235A02D6}"/>
    <cellStyle name="Normal 3 2 16 6" xfId="31863" xr:uid="{F9AC82A7-1243-4038-8A02-095C82F466F7}"/>
    <cellStyle name="Normal 3 2 17" xfId="2994" xr:uid="{3FE349DD-18FE-4941-8E20-6C0552937137}"/>
    <cellStyle name="Normal 3 2 17 2" xfId="18263" xr:uid="{97779573-E6F2-4F09-B413-BA7CE4C6329B}"/>
    <cellStyle name="Normal 3 2 17 2 2" xfId="21880" xr:uid="{0750503F-7EB0-40C4-BD6B-6F61698F2C87}"/>
    <cellStyle name="Normal 3 2 17 3" xfId="31864" xr:uid="{66612AB4-992B-4C3C-B399-DD044A8809DF}"/>
    <cellStyle name="Normal 3 2 17 4" xfId="31865" xr:uid="{AF29F788-75FB-418C-B660-632DD8484BD0}"/>
    <cellStyle name="Normal 3 2 17 5" xfId="31866" xr:uid="{6077AFB7-C4C2-4BB8-8403-FDB8EB19B6EC}"/>
    <cellStyle name="Normal 3 2 17 6" xfId="31867" xr:uid="{D3231F21-C693-46CF-884D-68AF007ADA52}"/>
    <cellStyle name="Normal 3 2 18" xfId="2995" xr:uid="{B684D545-38E3-4955-A7C8-EE0AF191F4AF}"/>
    <cellStyle name="Normal 3 2 18 2" xfId="18264" xr:uid="{3C189925-939E-4F09-A02D-C122FF5D7385}"/>
    <cellStyle name="Normal 3 2 18 2 2" xfId="21881" xr:uid="{29D6AA20-E205-4404-BB6E-3665BDB48965}"/>
    <cellStyle name="Normal 3 2 18 3" xfId="31868" xr:uid="{E23A042C-7120-4C91-97A0-064F525CA35F}"/>
    <cellStyle name="Normal 3 2 18 4" xfId="31869" xr:uid="{B48F92EC-CD92-4EB4-80FF-6DDC4FD57143}"/>
    <cellStyle name="Normal 3 2 18 5" xfId="31870" xr:uid="{EFBB143D-B383-46AD-BCE7-8C84E7DA715B}"/>
    <cellStyle name="Normal 3 2 18 6" xfId="31871" xr:uid="{73C8E49E-38AB-4FFC-8616-AFD8880BD43D}"/>
    <cellStyle name="Normal 3 2 19" xfId="2996" xr:uid="{10BDE734-67DA-4435-B25B-1CD3197E562B}"/>
    <cellStyle name="Normal 3 2 19 2" xfId="18265" xr:uid="{9A620AF0-C8D0-4679-A46D-B85F8BF72A1E}"/>
    <cellStyle name="Normal 3 2 19 2 2" xfId="21882" xr:uid="{7D1DE189-420A-4875-9AB8-E5447132376E}"/>
    <cellStyle name="Normal 3 2 19 3" xfId="31872" xr:uid="{56E5ECA3-4306-4CA0-9608-16024BFBFB0A}"/>
    <cellStyle name="Normal 3 2 19 4" xfId="31873" xr:uid="{1A89A89B-04BF-4B15-89B2-8C0F43FD4F91}"/>
    <cellStyle name="Normal 3 2 19 5" xfId="31874" xr:uid="{1DCA53C6-1877-4167-B1D1-22BE4533AAE8}"/>
    <cellStyle name="Normal 3 2 19 6" xfId="31875" xr:uid="{3D85BCE3-8969-40C0-8726-5820BBA3074C}"/>
    <cellStyle name="Normal 3 2 2" xfId="2997" xr:uid="{EEA552FF-2E3F-4C96-8996-2A9036E807EB}"/>
    <cellStyle name="Normal 3 2 2 10" xfId="31876" xr:uid="{77A622F4-63C4-46A0-975D-682BB751F2A1}"/>
    <cellStyle name="Normal 3 2 2 2" xfId="2998" xr:uid="{C2AD4C23-114A-4B82-82E2-60CDE09963C1}"/>
    <cellStyle name="Normal 3 2 2 2 2" xfId="2999" xr:uid="{6BA9A02F-8A45-4C2B-B75A-1E0DB581A391}"/>
    <cellStyle name="Normal 3 2 2 2 2 2" xfId="3000" xr:uid="{54B675A8-E23D-4154-B654-7B1C48EFB2B0}"/>
    <cellStyle name="Normal 3 2 2 2 2 2 2" xfId="18269" xr:uid="{657B5850-5D6A-4243-9289-477219777F88}"/>
    <cellStyle name="Normal 3 2 2 2 2 2 2 2" xfId="21886" xr:uid="{13DD1CDA-5B7F-4553-A165-BB974D58903F}"/>
    <cellStyle name="Normal 3 2 2 2 2 2 3" xfId="31877" xr:uid="{BB5D02F0-BE5C-4E85-9098-F9B6F30D1332}"/>
    <cellStyle name="Normal 3 2 2 2 2 2 4" xfId="31878" xr:uid="{C286DF91-F243-41C9-AB8D-51AA9F993C23}"/>
    <cellStyle name="Normal 3 2 2 2 2 2 5" xfId="31879" xr:uid="{CBA167B5-BDFC-4993-BC38-E711957C922A}"/>
    <cellStyle name="Normal 3 2 2 2 2 2 6" xfId="31880" xr:uid="{0FD6A658-ABD1-4834-8966-E5EFBE83BDD1}"/>
    <cellStyle name="Normal 3 2 2 2 2 3" xfId="16613" xr:uid="{0B6C8C8B-7674-4DA8-A0B7-520CBF48957E}"/>
    <cellStyle name="Normal 3 2 2 2 2 3 2" xfId="18270" xr:uid="{46A663C2-30C3-4CCB-9132-5C0357790636}"/>
    <cellStyle name="Normal 3 2 2 2 2 3 2 2" xfId="21887" xr:uid="{A4DD13D3-EF63-43CA-9630-F44FBB006184}"/>
    <cellStyle name="Normal 3 2 2 2 2 3 3" xfId="31881" xr:uid="{FD947E08-2077-443A-9612-DEA8CC3C8CE0}"/>
    <cellStyle name="Normal 3 2 2 2 2 3 4" xfId="31882" xr:uid="{D4BE69EC-B441-480C-922C-C548143A6632}"/>
    <cellStyle name="Normal 3 2 2 2 2 3 5" xfId="31883" xr:uid="{D149C47E-BDC0-4F0B-9657-963810F8A10E}"/>
    <cellStyle name="Normal 3 2 2 2 2 3 6" xfId="31884" xr:uid="{5CF22455-A97A-42A7-B951-C1D8AB01B447}"/>
    <cellStyle name="Normal 3 2 2 2 2 4" xfId="18268" xr:uid="{F58D85DB-FD5C-48CC-8948-6510CDA3C0C2}"/>
    <cellStyle name="Normal 3 2 2 2 2 4 2" xfId="21885" xr:uid="{C305FF3D-BF6D-4590-A757-B5AD0E76265B}"/>
    <cellStyle name="Normal 3 2 2 2 2 5" xfId="31885" xr:uid="{F715F8A6-AB9D-4C46-8689-C51E0AB7EDE2}"/>
    <cellStyle name="Normal 3 2 2 2 2 6" xfId="31886" xr:uid="{69CAC635-8A36-4541-8BA4-9229C8A22F0B}"/>
    <cellStyle name="Normal 3 2 2 2 2 7" xfId="31887" xr:uid="{993AC43C-8758-4E2D-87C3-CA1E0E339E24}"/>
    <cellStyle name="Normal 3 2 2 2 2 8" xfId="31888" xr:uid="{F8317A81-4FB3-45F6-9337-647EC52E8CF8}"/>
    <cellStyle name="Normal 3 2 2 2 3" xfId="18267" xr:uid="{33DBBF19-EC38-4A7D-9118-C5A18620B287}"/>
    <cellStyle name="Normal 3 2 2 2 3 2" xfId="21884" xr:uid="{B19A7AA0-4C3F-4ECF-A3AB-A90CF84A1A96}"/>
    <cellStyle name="Normal 3 2 2 2 4" xfId="31889" xr:uid="{258C11B3-BC6E-44D9-B37D-6C5A86C715B1}"/>
    <cellStyle name="Normal 3 2 2 2 5" xfId="31890" xr:uid="{3DC6B7A7-8CB5-4115-BA13-98F56AE94CE2}"/>
    <cellStyle name="Normal 3 2 2 2 6" xfId="31891" xr:uid="{99A38A7A-C0A4-4142-AA11-84627E82FF7C}"/>
    <cellStyle name="Normal 3 2 2 2 7" xfId="31892" xr:uid="{46EAAB9E-C66F-4473-BB29-79FC3426A264}"/>
    <cellStyle name="Normal 3 2 2 3" xfId="3001" xr:uid="{69A58EF1-0E28-45D9-9FA9-183F8608C754}"/>
    <cellStyle name="Normal 3 2 2 3 2" xfId="18271" xr:uid="{420ADA83-032F-4E6E-9AFE-CB295813E9DB}"/>
    <cellStyle name="Normal 3 2 2 3 2 2" xfId="21888" xr:uid="{6879272F-C83A-48B6-A38E-AD59E90B37B6}"/>
    <cellStyle name="Normal 3 2 2 3 3" xfId="31893" xr:uid="{A8CA4714-CAD0-476C-ADF0-6A4AF8D9FDF8}"/>
    <cellStyle name="Normal 3 2 2 3 4" xfId="31894" xr:uid="{801BB114-AC6A-4856-BD14-DEFAA497FCF4}"/>
    <cellStyle name="Normal 3 2 2 3 5" xfId="31895" xr:uid="{52DCDE32-2FAC-486E-AE60-9B286908124D}"/>
    <cellStyle name="Normal 3 2 2 3 6" xfId="31896" xr:uid="{CEA666B5-DA30-48AA-8341-BCD820B2C8CC}"/>
    <cellStyle name="Normal 3 2 2 4" xfId="3002" xr:uid="{2586C94C-5A36-4D3D-B8CB-F65DFED15DAC}"/>
    <cellStyle name="Normal 3 2 2 4 2" xfId="18272" xr:uid="{353A0305-8A4A-48B7-8C68-AFABB67BE59E}"/>
    <cellStyle name="Normal 3 2 2 4 2 2" xfId="21889" xr:uid="{8EA1D3E7-C586-4274-AC88-5A0B9627A3A8}"/>
    <cellStyle name="Normal 3 2 2 4 3" xfId="31897" xr:uid="{495E0DFA-8706-4EB1-8DD4-8433F1FA15C2}"/>
    <cellStyle name="Normal 3 2 2 4 4" xfId="31898" xr:uid="{229F306D-9DDB-4F29-B192-E7CDC7DB5564}"/>
    <cellStyle name="Normal 3 2 2 4 5" xfId="31899" xr:uid="{765D66CD-55FA-4C1C-A4FB-C256A5C5A5A7}"/>
    <cellStyle name="Normal 3 2 2 4 6" xfId="31900" xr:uid="{7E5C6B62-A970-4D21-9637-F897961DEA6C}"/>
    <cellStyle name="Normal 3 2 2 5" xfId="8069" xr:uid="{5DEF00F9-F510-417E-89EE-6BEA7A7ECD45}"/>
    <cellStyle name="Normal 3 2 2 5 2" xfId="21883" xr:uid="{E77C49F8-AAAD-4552-8238-6DFB89612AC6}"/>
    <cellStyle name="Normal 3 2 2 5 3" xfId="18266" xr:uid="{11928042-D5EC-49DB-B8F8-6BFDB7ACEE04}"/>
    <cellStyle name="Normal 3 2 2 6" xfId="31901" xr:uid="{D6E51CB8-94BA-4557-B7F7-4317E25CD336}"/>
    <cellStyle name="Normal 3 2 2 7" xfId="31902" xr:uid="{9B7DDD72-9AB4-422F-8530-29ABCB3D51E5}"/>
    <cellStyle name="Normal 3 2 2 8" xfId="31903" xr:uid="{AC2EB2EC-5E9B-45DB-8E69-6534692855E2}"/>
    <cellStyle name="Normal 3 2 2 9" xfId="31904" xr:uid="{E50C9E52-8406-4827-90DA-BC43A00E696A}"/>
    <cellStyle name="Normal 3 2 20" xfId="3003" xr:uid="{66F71693-D34C-4E5D-8E9E-8523543E70FC}"/>
    <cellStyle name="Normal 3 2 20 2" xfId="18273" xr:uid="{DF68EDC3-7746-4826-9EC0-802C0F131462}"/>
    <cellStyle name="Normal 3 2 20 2 2" xfId="21890" xr:uid="{BF9CE027-950C-4711-ACAC-369C6E2549B7}"/>
    <cellStyle name="Normal 3 2 20 3" xfId="31905" xr:uid="{18A0289F-589B-4CA7-82DE-5FC4BD90442B}"/>
    <cellStyle name="Normal 3 2 20 4" xfId="31906" xr:uid="{D1476C46-324D-4E27-925A-F487AEA3C923}"/>
    <cellStyle name="Normal 3 2 20 5" xfId="31907" xr:uid="{C8043104-0A87-4575-A222-B43C23D7CE3D}"/>
    <cellStyle name="Normal 3 2 20 6" xfId="31908" xr:uid="{A1AAA6D8-D30F-47DD-AD9E-781E42443D19}"/>
    <cellStyle name="Normal 3 2 21" xfId="3004" xr:uid="{3BED0D51-C027-409A-B8F9-57AE29DB1736}"/>
    <cellStyle name="Normal 3 2 21 2" xfId="18274" xr:uid="{DED3144E-0FA1-4E74-A611-05BFA09044ED}"/>
    <cellStyle name="Normal 3 2 21 2 2" xfId="21891" xr:uid="{D7B0D7C2-322F-499A-A108-AEE60C76CEAB}"/>
    <cellStyle name="Normal 3 2 21 3" xfId="31909" xr:uid="{8D0399BB-606B-4BD8-8A00-11F9BC8D2F4D}"/>
    <cellStyle name="Normal 3 2 21 4" xfId="31910" xr:uid="{E7B1488A-CBCA-4526-8BA3-C7B40E0DD9B4}"/>
    <cellStyle name="Normal 3 2 21 5" xfId="31911" xr:uid="{90BF15DC-23D3-49B0-8675-D50840A20C5F}"/>
    <cellStyle name="Normal 3 2 21 6" xfId="31912" xr:uid="{ACF4AF91-9A77-45E8-8C75-28A33D342D3D}"/>
    <cellStyle name="Normal 3 2 22" xfId="3005" xr:uid="{D63F9DDB-CE60-4A76-BE35-C2ACA5910705}"/>
    <cellStyle name="Normal 3 2 22 2" xfId="15367" xr:uid="{024E7B77-D30A-4023-9B50-C31EE0DB2DEF}"/>
    <cellStyle name="Normal 3 2 22 2 2" xfId="18276" xr:uid="{D51CA0E9-7CBD-4D30-B3F6-733D72724AE6}"/>
    <cellStyle name="Normal 3 2 22 2 2 2" xfId="21893" xr:uid="{FEDA1743-73B5-4094-A35C-27291A117956}"/>
    <cellStyle name="Normal 3 2 22 2 3" xfId="31913" xr:uid="{766235B9-A6B3-47A3-9B9F-0F410D2D564A}"/>
    <cellStyle name="Normal 3 2 22 2 4" xfId="31914" xr:uid="{68D907CF-E8CC-45E7-9123-DE69AE76EB77}"/>
    <cellStyle name="Normal 3 2 22 2 5" xfId="31915" xr:uid="{56AEB5D2-0A00-49C9-93A0-7C5C579F12BE}"/>
    <cellStyle name="Normal 3 2 22 2 6" xfId="31916" xr:uid="{E37D9453-7007-4A4B-B768-4ABEA724E5CD}"/>
    <cellStyle name="Normal 3 2 22 3" xfId="16720" xr:uid="{C8FD56FB-9EDB-48CB-98F0-45DF44FF5936}"/>
    <cellStyle name="Normal 3 2 22 3 2" xfId="18277" xr:uid="{3972238B-E099-4AD1-8EB2-8771929DC998}"/>
    <cellStyle name="Normal 3 2 22 3 2 2" xfId="21894" xr:uid="{A2EE7319-033F-4C7F-B93C-409E637FDA64}"/>
    <cellStyle name="Normal 3 2 22 3 3" xfId="31917" xr:uid="{179CCA1E-A9C4-4D12-ACDD-C8847051BB9C}"/>
    <cellStyle name="Normal 3 2 22 3 4" xfId="31918" xr:uid="{D06047B2-278D-46DB-A844-411670EC32CC}"/>
    <cellStyle name="Normal 3 2 22 3 5" xfId="31919" xr:uid="{3A2AEF98-0FC4-451B-9D3C-6B1117E5D673}"/>
    <cellStyle name="Normal 3 2 22 3 6" xfId="31920" xr:uid="{499A9534-32ED-4292-AF76-38480FC88544}"/>
    <cellStyle name="Normal 3 2 22 4" xfId="16528" xr:uid="{910D2FD2-308F-4A75-AB74-3C865C7A827C}"/>
    <cellStyle name="Normal 3 2 22 4 2" xfId="18278" xr:uid="{ADD8F4B3-1042-41EC-825C-8E24D6CCF6E3}"/>
    <cellStyle name="Normal 3 2 22 4 2 2" xfId="21895" xr:uid="{B8754B01-5AEA-4202-9569-484D671B11C3}"/>
    <cellStyle name="Normal 3 2 22 4 3" xfId="20686" xr:uid="{E94413A0-C161-48FA-AE9B-6F507BFE858F}"/>
    <cellStyle name="Normal 3 2 22 5" xfId="18275" xr:uid="{B90752D1-9658-4EA6-9980-F15A4B93A278}"/>
    <cellStyle name="Normal 3 2 22 5 2" xfId="21892" xr:uid="{DCCA539B-0AEB-4FCC-88E8-20D968D14789}"/>
    <cellStyle name="Normal 3 2 22 6" xfId="31921" xr:uid="{4EB84870-64DA-43D5-9802-C33F1436DB26}"/>
    <cellStyle name="Normal 3 2 22 7" xfId="31922" xr:uid="{EDACEC5B-9933-4070-8BEF-11A97329EA1A}"/>
    <cellStyle name="Normal 3 2 22 8" xfId="31923" xr:uid="{2FEE38C6-EE85-47EF-8BAC-73EDF3567D82}"/>
    <cellStyle name="Normal 3 2 22 9" xfId="31924" xr:uid="{3C24B1BD-1945-4069-8DAD-60782D2924FF}"/>
    <cellStyle name="Normal 3 2 23" xfId="3006" xr:uid="{6DC38C1B-567F-4EA6-8B9A-4A968029D2F7}"/>
    <cellStyle name="Normal 3 2 23 2" xfId="15368" xr:uid="{625A6A1A-FAAE-4C2A-AC56-9B880DFB68DE}"/>
    <cellStyle name="Normal 3 2 23 2 2" xfId="18280" xr:uid="{4B876A58-0EF1-4D79-A7EA-7CE0B9BC8DD4}"/>
    <cellStyle name="Normal 3 2 23 2 2 2" xfId="21897" xr:uid="{3ECD2AEB-9AAA-465C-AD92-A19965B43ABB}"/>
    <cellStyle name="Normal 3 2 23 2 3" xfId="31925" xr:uid="{1F345F25-8262-4502-AA27-1A8628190D77}"/>
    <cellStyle name="Normal 3 2 23 2 4" xfId="31926" xr:uid="{344741BC-95AF-401F-9C88-8B0630610EBE}"/>
    <cellStyle name="Normal 3 2 23 2 5" xfId="31927" xr:uid="{244E48E0-461B-4E44-A979-5376F4B1D759}"/>
    <cellStyle name="Normal 3 2 23 2 6" xfId="31928" xr:uid="{4123563D-B0EC-4EED-8A66-4AF0411F7F27}"/>
    <cellStyle name="Normal 3 2 23 3" xfId="16721" xr:uid="{5800A238-0FD1-48D7-9ABB-3EC9FC28C365}"/>
    <cellStyle name="Normal 3 2 23 3 2" xfId="18281" xr:uid="{F3DD0ABD-E11B-485D-ADF3-72203C8B36EC}"/>
    <cellStyle name="Normal 3 2 23 3 2 2" xfId="21898" xr:uid="{5A321D23-8078-4ADD-96C8-BA28D6C79AE2}"/>
    <cellStyle name="Normal 3 2 23 3 3" xfId="31929" xr:uid="{4BFA1F71-FF26-42BA-B0A6-8FF73504FB02}"/>
    <cellStyle name="Normal 3 2 23 3 4" xfId="31930" xr:uid="{2C3558B0-7FEB-470E-A328-9590316D47FD}"/>
    <cellStyle name="Normal 3 2 23 3 5" xfId="31931" xr:uid="{F002B1A5-AE1E-4C1C-ADEA-2B2FF64D1B7F}"/>
    <cellStyle name="Normal 3 2 23 3 6" xfId="31932" xr:uid="{AD20C4AD-D180-4DC8-B6CD-262957E3FA96}"/>
    <cellStyle name="Normal 3 2 23 4" xfId="16529" xr:uid="{E4948EBC-7D30-48FB-92CF-688C3B60A167}"/>
    <cellStyle name="Normal 3 2 23 4 2" xfId="18282" xr:uid="{05934EDD-58DC-455A-BFF4-7F2BCF9DB564}"/>
    <cellStyle name="Normal 3 2 23 4 2 2" xfId="21899" xr:uid="{D818DCDB-1F2F-4A25-84F9-4295A5E29C7C}"/>
    <cellStyle name="Normal 3 2 23 4 3" xfId="20687" xr:uid="{9A1EFA73-58AF-4E15-95DA-D93ED709783D}"/>
    <cellStyle name="Normal 3 2 23 5" xfId="18279" xr:uid="{522DDA4B-B853-42CB-AD7D-98C65CE1CADE}"/>
    <cellStyle name="Normal 3 2 23 5 2" xfId="21896" xr:uid="{153ED54A-BF48-44C3-B107-833E791B3F29}"/>
    <cellStyle name="Normal 3 2 23 6" xfId="31933" xr:uid="{A1FB8103-11E4-4663-9D3E-A3A3F23CA710}"/>
    <cellStyle name="Normal 3 2 23 7" xfId="31934" xr:uid="{30567A6A-9A49-4464-8E9D-24366B35DBB9}"/>
    <cellStyle name="Normal 3 2 23 8" xfId="31935" xr:uid="{F4919D7A-3920-43C8-95A5-9E319F2C25F7}"/>
    <cellStyle name="Normal 3 2 23 9" xfId="31936" xr:uid="{FAADE83D-E32D-4590-AEC8-C76EDF0D1928}"/>
    <cellStyle name="Normal 3 2 24" xfId="3007" xr:uid="{1AC0DFF8-9497-478D-889B-5E4D229DDCB4}"/>
    <cellStyle name="Normal 3 2 24 2" xfId="16531" xr:uid="{802AE40F-309D-4C0F-AC1F-88A031AEA69B}"/>
    <cellStyle name="Normal 3 2 24 2 2" xfId="18284" xr:uid="{6C6076B4-85F5-4F8B-B64F-027CC5F3AF32}"/>
    <cellStyle name="Normal 3 2 24 2 2 2" xfId="21901" xr:uid="{9BF6B803-D953-47CE-B853-812AD8C039F9}"/>
    <cellStyle name="Normal 3 2 24 2 3" xfId="31937" xr:uid="{06078B65-9526-4979-9335-1830161FD280}"/>
    <cellStyle name="Normal 3 2 24 2 4" xfId="31938" xr:uid="{6EA2DFEC-4DC8-45E9-87AD-AA50DB03C0BB}"/>
    <cellStyle name="Normal 3 2 24 2 5" xfId="31939" xr:uid="{7B3C71FC-89D0-4C5D-A4CF-06C1D01564EC}"/>
    <cellStyle name="Normal 3 2 24 2 6" xfId="31940" xr:uid="{C783D614-3307-4408-92BE-A874E74E3BA1}"/>
    <cellStyle name="Normal 3 2 24 3" xfId="16530" xr:uid="{FAD300EE-EB96-4FDA-AF05-DA4814BB5822}"/>
    <cellStyle name="Normal 3 2 24 3 2" xfId="18285" xr:uid="{BE0A4BC1-A55E-4468-B511-D0A866E8926E}"/>
    <cellStyle name="Normal 3 2 24 3 2 2" xfId="21902" xr:uid="{088998BA-B982-4639-88CE-996173F69995}"/>
    <cellStyle name="Normal 3 2 24 3 3" xfId="31941" xr:uid="{29034BCB-B169-4DC4-AE77-76776930BF6A}"/>
    <cellStyle name="Normal 3 2 24 3 4" xfId="31942" xr:uid="{E5203618-49E1-4542-967D-3BA01ADB57D0}"/>
    <cellStyle name="Normal 3 2 24 3 5" xfId="31943" xr:uid="{EA09B094-F5EC-4F2D-B130-C55F86B93DD7}"/>
    <cellStyle name="Normal 3 2 24 3 6" xfId="31944" xr:uid="{F8B08B1B-4F10-4B4B-BFC8-577665D814D5}"/>
    <cellStyle name="Normal 3 2 24 4" xfId="18283" xr:uid="{69693921-DEF0-46EF-B43F-B13E0C8C0493}"/>
    <cellStyle name="Normal 3 2 24 4 2" xfId="21900" xr:uid="{DCBD38AF-D5C1-4592-8CDA-CA424BCFE95E}"/>
    <cellStyle name="Normal 3 2 24 5" xfId="31945" xr:uid="{BA440B99-E412-4D69-B9B7-56B026913198}"/>
    <cellStyle name="Normal 3 2 24 6" xfId="31946" xr:uid="{C5D5344C-E960-4FA4-B029-7189B0C2D4C8}"/>
    <cellStyle name="Normal 3 2 24 7" xfId="31947" xr:uid="{CCF5AFA3-8D75-483D-9C31-CBE1EBA40932}"/>
    <cellStyle name="Normal 3 2 24 8" xfId="31948" xr:uid="{74BE6C67-E0C1-4F15-9EF7-F2F9CD13C176}"/>
    <cellStyle name="Normal 3 2 25" xfId="4155" xr:uid="{C5024C57-A187-45C6-8050-866D0CE6FA61}"/>
    <cellStyle name="Normal 3 2 25 2" xfId="21869" xr:uid="{7B4ED33B-0CA5-454A-A7F0-CBF1C24AE32E}"/>
    <cellStyle name="Normal 3 2 25 3" xfId="43979" xr:uid="{AEEE57F3-9261-4B5F-8C8D-CBFD75D9D5A0}"/>
    <cellStyle name="Normal 3 2 25 4" xfId="18252" xr:uid="{94BE0C5D-EF66-45CA-B4C2-C5242BF2D1B9}"/>
    <cellStyle name="Normal 3 2 26" xfId="6221" xr:uid="{EEF2EA4A-F578-4DD9-AFB1-0814F2C4994C}"/>
    <cellStyle name="Normal 3 2 26 2" xfId="45884" xr:uid="{55E95315-2643-4C9B-B614-8AD090ACC2E1}"/>
    <cellStyle name="Normal 3 2 26 3" xfId="31949" xr:uid="{F6F365B2-B836-42E3-89E1-9BAEAB5C5DE5}"/>
    <cellStyle name="Normal 3 2 27" xfId="31950" xr:uid="{FAA7EA7E-EEA8-4F13-ACF4-D7FAC47C67AB}"/>
    <cellStyle name="Normal 3 2 28" xfId="31951" xr:uid="{048018A4-BDFC-4892-85B1-1D4A0EAA3C7D}"/>
    <cellStyle name="Normal 3 2 29" xfId="31952" xr:uid="{FFD899DF-BACF-41D5-883E-CF7FB6325723}"/>
    <cellStyle name="Normal 3 2 3" xfId="3008" xr:uid="{6A065D0E-20AE-45B4-A2DB-4BA5BEB41B05}"/>
    <cellStyle name="Normal 3 2 3 10" xfId="31953" xr:uid="{80D1BE2C-4A78-4D55-8AFD-BDA3B53E8601}"/>
    <cellStyle name="Normal 3 2 3 11" xfId="31954" xr:uid="{11DC98CF-6A26-4D76-B4B4-933C9BD97620}"/>
    <cellStyle name="Normal 3 2 3 2" xfId="3009" xr:uid="{50E168CE-C55D-4DE5-86F2-DE0FDB875D0E}"/>
    <cellStyle name="Normal 3 2 3 2 2" xfId="18287" xr:uid="{96C27FAD-0DB8-455C-A83C-DB1C664EF27A}"/>
    <cellStyle name="Normal 3 2 3 2 2 2" xfId="21904" xr:uid="{507AC078-094D-452B-A75E-75567ACF86DF}"/>
    <cellStyle name="Normal 3 2 3 2 3" xfId="31955" xr:uid="{F2DD73A7-D82C-43FB-98E4-860DC58C6322}"/>
    <cellStyle name="Normal 3 2 3 2 4" xfId="31956" xr:uid="{28BD5A0D-C197-4A71-9BB7-8FC7829D0FB0}"/>
    <cellStyle name="Normal 3 2 3 2 5" xfId="31957" xr:uid="{0A3832F8-E2A3-4A58-91F3-72F4AF5DCEAA}"/>
    <cellStyle name="Normal 3 2 3 2 6" xfId="31958" xr:uid="{183A78D7-56A2-4691-B7C0-71E703AA9779}"/>
    <cellStyle name="Normal 3 2 3 3" xfId="16615" xr:uid="{85FF5930-43F4-444F-8DEA-E4B16880A51A}"/>
    <cellStyle name="Normal 3 2 3 3 2" xfId="18288" xr:uid="{1FD77E4E-E3AC-452B-9C67-D52F26E791D7}"/>
    <cellStyle name="Normal 3 2 3 3 2 2" xfId="21905" xr:uid="{5E7D8B06-15DF-4A4B-9B32-3254B831F0DC}"/>
    <cellStyle name="Normal 3 2 3 3 3" xfId="20720" xr:uid="{77C461AE-2CD7-44C7-83E0-31F0A79E06AF}"/>
    <cellStyle name="Normal 3 2 3 4" xfId="16614" xr:uid="{6B1EDB60-7A2C-46B7-AA51-D9193536DBF0}"/>
    <cellStyle name="Normal 3 2 3 4 2" xfId="18289" xr:uid="{4BC34D68-9F05-4CF3-88D8-CA61D8FB3D42}"/>
    <cellStyle name="Normal 3 2 3 4 2 2" xfId="21906" xr:uid="{CE2B7EFE-5700-4DB0-B58C-6E1D1B726130}"/>
    <cellStyle name="Normal 3 2 3 4 3" xfId="31959" xr:uid="{4F6716F4-52FD-40DD-A9E6-3DC88BB55545}"/>
    <cellStyle name="Normal 3 2 3 4 4" xfId="31960" xr:uid="{631CF59B-978E-4A08-BFA4-3997E8DD68E9}"/>
    <cellStyle name="Normal 3 2 3 4 5" xfId="31961" xr:uid="{51D170F2-FA45-478F-91F4-6F5F67799593}"/>
    <cellStyle name="Normal 3 2 3 4 6" xfId="31962" xr:uid="{A3F297DD-4754-4664-A196-4F955A6585C9}"/>
    <cellStyle name="Normal 3 2 3 5" xfId="18290" xr:uid="{51107808-166F-4BD8-91A3-F44B252EABF8}"/>
    <cellStyle name="Normal 3 2 3 5 2" xfId="21907" xr:uid="{A6F6CB9A-4FB0-4C84-BF02-43DC73F9FCC3}"/>
    <cellStyle name="Normal 3 2 3 6" xfId="18286" xr:uid="{045630EE-2B02-46CA-8432-A6A3038EC748}"/>
    <cellStyle name="Normal 3 2 3 6 2" xfId="21903" xr:uid="{85B26E3C-7743-427C-939B-FA93CD0160A6}"/>
    <cellStyle name="Normal 3 2 3 7" xfId="31963" xr:uid="{29305CF4-421D-4655-A1DD-B27F8A66AA49}"/>
    <cellStyle name="Normal 3 2 3 8" xfId="31964" xr:uid="{D7F01FF0-0F82-429E-B192-5D687F6C73D2}"/>
    <cellStyle name="Normal 3 2 3 9" xfId="31965" xr:uid="{9589C4A7-BAA4-4A36-A2A3-25ED2A10066A}"/>
    <cellStyle name="Normal 3 2 3_TRA" xfId="3010" xr:uid="{422D27CD-C430-42DB-A701-23E1689E02AB}"/>
    <cellStyle name="Normal 3 2 30" xfId="31966" xr:uid="{6F49B40B-05D1-468C-93C9-B1D0B9D57398}"/>
    <cellStyle name="Normal 3 2 31" xfId="31967" xr:uid="{8A3DC7C8-4921-49C4-8450-BE13850A711E}"/>
    <cellStyle name="Normal 3 2 4" xfId="3011" xr:uid="{4A30217A-3504-42FF-98B1-7D5815BCE1D7}"/>
    <cellStyle name="Normal 3 2 4 2" xfId="5046" xr:uid="{E34C6F7A-FA31-48E2-8281-12E107B87E9F}"/>
    <cellStyle name="Normal 3 2 4 2 2" xfId="18292" xr:uid="{EACF56FA-4FEF-46F9-BEAA-8C51ED9FDF5F}"/>
    <cellStyle name="Normal 3 2 4 2 2 2" xfId="21909" xr:uid="{61EAA953-8B44-420D-A8D5-73D371DE32BA}"/>
    <cellStyle name="Normal 3 2 4 2 3" xfId="31968" xr:uid="{533F13C9-30F7-43FB-B382-F6E6434D6285}"/>
    <cellStyle name="Normal 3 2 4 2 4" xfId="31969" xr:uid="{0DF98222-5B3C-4089-B7BA-D540CD3B4E90}"/>
    <cellStyle name="Normal 3 2 4 2 5" xfId="31970" xr:uid="{183A34E8-36F7-48AB-8737-4ACE2E2EBC2A}"/>
    <cellStyle name="Normal 3 2 4 2 6" xfId="31971" xr:uid="{796C5C47-89CB-466C-BF7A-023511280AE9}"/>
    <cellStyle name="Normal 3 2 4 3" xfId="4156" xr:uid="{78A75F22-6CF5-4984-B375-CA39642AC113}"/>
    <cellStyle name="Normal 3 2 4 3 2" xfId="21908" xr:uid="{B2EDFA83-7935-4272-92C6-BB410CCFD917}"/>
    <cellStyle name="Normal 3 2 4 3 3" xfId="43980" xr:uid="{B25D4848-82D2-4FB4-8051-70C60976D7A6}"/>
    <cellStyle name="Normal 3 2 4 3 4" xfId="18291" xr:uid="{58315E2A-03F1-48D1-9DEF-6D33A5E4CBAB}"/>
    <cellStyle name="Normal 3 2 4 4" xfId="6222" xr:uid="{DBEEED1C-DBD0-47EA-B9FD-FCB7C8BCCF43}"/>
    <cellStyle name="Normal 3 2 4 4 2" xfId="45885" xr:uid="{FBEA12AE-BC85-4B20-80EB-3E79ACD7B68D}"/>
    <cellStyle name="Normal 3 2 4 4 3" xfId="31972" xr:uid="{846A4775-F410-42D8-A6DA-D660F2A678F5}"/>
    <cellStyle name="Normal 3 2 4 5" xfId="8934" xr:uid="{CBBA49F4-1C32-4B40-A443-9B53F9A8B06D}"/>
    <cellStyle name="Normal 3 2 4 5 2" xfId="31973" xr:uid="{C1E9C8A9-2749-408A-9FDA-F46BCA2C0C91}"/>
    <cellStyle name="Normal 3 2 4 6" xfId="31974" xr:uid="{8AB19878-9292-490E-BA10-997E799BE8E6}"/>
    <cellStyle name="Normal 3 2 4 7" xfId="31975" xr:uid="{18F59C0D-ACB0-4DA8-B34D-3D9796394ADC}"/>
    <cellStyle name="Normal 3 2 4 8" xfId="31976" xr:uid="{BDA40AD9-B03A-4998-B03C-23510D5BB938}"/>
    <cellStyle name="Normal 3 2 5" xfId="3012" xr:uid="{969ED1A2-BFBA-416D-B313-4A350430B1B1}"/>
    <cellStyle name="Normal 3 2 5 2" xfId="5047" xr:uid="{F07D61C5-C39B-4AD4-8632-C6F875A6523A}"/>
    <cellStyle name="Normal 3 2 5 2 2" xfId="18294" xr:uid="{B12143C5-ED40-46B9-A403-18EB32B209B5}"/>
    <cellStyle name="Normal 3 2 5 2 2 2" xfId="21911" xr:uid="{948F5B95-F582-4763-B88C-D5CEE3F36B67}"/>
    <cellStyle name="Normal 3 2 5 2 3" xfId="31977" xr:uid="{F106E62B-AD31-42FF-BADF-5C03D5BB12D0}"/>
    <cellStyle name="Normal 3 2 5 2 4" xfId="31978" xr:uid="{27EE436C-E3DB-4179-B007-401E2FB051EC}"/>
    <cellStyle name="Normal 3 2 5 2 5" xfId="31979" xr:uid="{A61F8188-D1E1-4049-95D0-78BABE996BD6}"/>
    <cellStyle name="Normal 3 2 5 2 6" xfId="31980" xr:uid="{1565E4F8-1F1A-4BD8-A690-0F5E82A558B9}"/>
    <cellStyle name="Normal 3 2 5 3" xfId="6874" xr:uid="{702D32AE-B3F0-4ECC-8E0F-944EACF5126F}"/>
    <cellStyle name="Normal 3 2 5 3 2" xfId="21910" xr:uid="{B742D133-A539-483B-A6D3-3E3D4B8EB40C}"/>
    <cellStyle name="Normal 3 2 5 3 3" xfId="46341" xr:uid="{43B1C7E0-0199-4057-A4A5-C9EEBF1F0560}"/>
    <cellStyle name="Normal 3 2 5 3 4" xfId="18293" xr:uid="{00771DFA-2DF2-449E-A863-CE49B7420194}"/>
    <cellStyle name="Normal 3 2 5 4" xfId="8935" xr:uid="{D8B8DECA-3EC2-44A4-94A2-F7DBBC11D46D}"/>
    <cellStyle name="Normal 3 2 5 4 2" xfId="31981" xr:uid="{170115FA-09FB-4927-A359-CE5B325C69BB}"/>
    <cellStyle name="Normal 3 2 5 5" xfId="31982" xr:uid="{CB79AE15-256E-4B9D-8D59-5198FB549B10}"/>
    <cellStyle name="Normal 3 2 5 6" xfId="31983" xr:uid="{0D10F7CD-59D1-41AF-986E-7A702F177ABD}"/>
    <cellStyle name="Normal 3 2 5 7" xfId="31984" xr:uid="{0FB0D2AC-A862-4576-8835-25C86281C955}"/>
    <cellStyle name="Normal 3 2 6" xfId="3013" xr:uid="{92D90FE5-E49C-40A6-AE6F-1FA4420BC2C6}"/>
    <cellStyle name="Normal 3 2 6 2" xfId="5048" xr:uid="{3D8FAC66-FFC7-472A-8195-0DF2D7A896F1}"/>
    <cellStyle name="Normal 3 2 6 2 2" xfId="18296" xr:uid="{89D7C32C-3119-492A-B422-602D267D1BEF}"/>
    <cellStyle name="Normal 3 2 6 2 2 2" xfId="21913" xr:uid="{FA434055-EAAE-4389-A0A3-BC22111546B8}"/>
    <cellStyle name="Normal 3 2 6 2 3" xfId="31985" xr:uid="{F11C9906-CD82-4B3C-8E61-D859C5B93183}"/>
    <cellStyle name="Normal 3 2 6 2 4" xfId="31986" xr:uid="{0F1B47CD-447C-4FF0-AF57-719DBC2A53DE}"/>
    <cellStyle name="Normal 3 2 6 2 5" xfId="31987" xr:uid="{39021934-2EE5-4E26-977A-DA79A2749120}"/>
    <cellStyle name="Normal 3 2 6 2 6" xfId="31988" xr:uid="{CE6E7E2D-88C1-4DCB-843A-819282C325E5}"/>
    <cellStyle name="Normal 3 2 6 3" xfId="6875" xr:uid="{19EDDDBF-DDFB-4418-B592-8C3ACD91105F}"/>
    <cellStyle name="Normal 3 2 6 3 2" xfId="21912" xr:uid="{E515CC00-AFCD-4215-AD54-5EB3DD79755D}"/>
    <cellStyle name="Normal 3 2 6 3 3" xfId="46342" xr:uid="{6560A6CF-3F06-4487-A741-8931397F87C8}"/>
    <cellStyle name="Normal 3 2 6 3 4" xfId="18295" xr:uid="{09B3B819-BB77-4C58-8798-85AB5C8B03A7}"/>
    <cellStyle name="Normal 3 2 6 4" xfId="8936" xr:uid="{794C3FBF-E7F9-410C-94CA-EF314F0B94EB}"/>
    <cellStyle name="Normal 3 2 6 4 2" xfId="31989" xr:uid="{474A6EE7-8D7B-4D90-9905-642381C6245E}"/>
    <cellStyle name="Normal 3 2 6 5" xfId="31990" xr:uid="{C5ADC9FF-5307-49B6-AFEF-BB731A6B5265}"/>
    <cellStyle name="Normal 3 2 6 6" xfId="31991" xr:uid="{829C0C5C-C554-45A7-B1AB-04DE1EFF8EA8}"/>
    <cellStyle name="Normal 3 2 6 7" xfId="31992" xr:uid="{B929E797-3888-415B-ABB5-0159C0C6F2D1}"/>
    <cellStyle name="Normal 3 2 7" xfId="3014" xr:uid="{AA428F08-1FF6-4EBF-A7EE-FD52CE40E2F7}"/>
    <cellStyle name="Normal 3 2 7 2" xfId="18297" xr:uid="{9EB0D6FF-2B55-4D7D-AB01-B2E99DAF8168}"/>
    <cellStyle name="Normal 3 2 7 2 2" xfId="21914" xr:uid="{8D5EF25D-E8F4-4C71-9CAD-492CE0B925AE}"/>
    <cellStyle name="Normal 3 2 7 3" xfId="31993" xr:uid="{82A8E979-B0AB-48F9-B8E6-7FA6D834804E}"/>
    <cellStyle name="Normal 3 2 7 4" xfId="31994" xr:uid="{08101D59-CEF0-4D77-A3CE-9EC52D03EB3D}"/>
    <cellStyle name="Normal 3 2 7 5" xfId="31995" xr:uid="{09B9AA97-8448-4156-A562-C89E6DCEC6E9}"/>
    <cellStyle name="Normal 3 2 7 6" xfId="31996" xr:uid="{B4C826A9-3381-4065-BBE0-E828C298C74D}"/>
    <cellStyle name="Normal 3 2 8" xfId="3015" xr:uid="{E1756B74-8182-4340-A773-408AEA32E836}"/>
    <cellStyle name="Normal 3 2 8 2" xfId="18298" xr:uid="{A9264628-3C96-4EAB-AA54-A88D03CBB716}"/>
    <cellStyle name="Normal 3 2 8 2 2" xfId="21915" xr:uid="{2B4A2ECE-4438-4780-874C-5729436594E3}"/>
    <cellStyle name="Normal 3 2 8 3" xfId="31997" xr:uid="{224C2C3C-0C24-4F63-A5A5-C94ED389E7FE}"/>
    <cellStyle name="Normal 3 2 8 4" xfId="31998" xr:uid="{78FBCCE8-629A-4DEF-B5FB-85B851AFEBE2}"/>
    <cellStyle name="Normal 3 2 8 5" xfId="31999" xr:uid="{6642B0DC-155E-42DC-80C2-276480E545F2}"/>
    <cellStyle name="Normal 3 2 8 6" xfId="32000" xr:uid="{C9807BF1-63AB-4FB7-916F-D67270E4FE14}"/>
    <cellStyle name="Normal 3 2 9" xfId="3016" xr:uid="{3F6BCCCA-2BAC-4A0C-8CD1-2D84266FC8D3}"/>
    <cellStyle name="Normal 3 2 9 2" xfId="18299" xr:uid="{8D195476-6B1A-44FE-9BDD-9BEC03A4DF08}"/>
    <cellStyle name="Normal 3 2 9 2 2" xfId="21916" xr:uid="{5EF08854-21AD-4434-BDC6-200670F5DA70}"/>
    <cellStyle name="Normal 3 2 9 3" xfId="32001" xr:uid="{3F642C88-41F0-487B-869B-B1FAB25DB542}"/>
    <cellStyle name="Normal 3 2 9 4" xfId="32002" xr:uid="{86C671D3-EED1-4047-80CA-CFBB94D95936}"/>
    <cellStyle name="Normal 3 2 9 5" xfId="32003" xr:uid="{AAF1BB0C-67D6-4B85-B394-A02B5FE42A5F}"/>
    <cellStyle name="Normal 3 2 9 6" xfId="32004" xr:uid="{269A6003-0041-4744-8865-D4CEFFAB7732}"/>
    <cellStyle name="Normal 3 2_TRA" xfId="3017" xr:uid="{435A41A4-B5CC-4199-98BF-C7254BC38EB5}"/>
    <cellStyle name="Normal 3 20" xfId="3018" xr:uid="{F1B91343-91C2-454E-B275-FE3081E51EDE}"/>
    <cellStyle name="Normal 3 20 2" xfId="5049" xr:uid="{1EEEAAAA-61E4-48C0-817E-9043C99A1DA6}"/>
    <cellStyle name="Normal 3 20 2 2" xfId="18301" xr:uid="{A078132E-3C3A-479D-8838-817D7786BA6B}"/>
    <cellStyle name="Normal 3 20 2 2 2" xfId="21918" xr:uid="{26A8BB54-6DC2-45DB-BA08-D5130C2273F2}"/>
    <cellStyle name="Normal 3 20 2 3" xfId="32005" xr:uid="{F4BDDDB3-FA53-49C3-9406-49D9163A73C1}"/>
    <cellStyle name="Normal 3 20 2 4" xfId="32006" xr:uid="{D981FD1C-6F3D-4780-8ABE-FF8AE18650D3}"/>
    <cellStyle name="Normal 3 20 2 5" xfId="32007" xr:uid="{F5CEAF1D-7C83-4FD2-A112-ACE3260F3070}"/>
    <cellStyle name="Normal 3 20 2 6" xfId="32008" xr:uid="{6F8EB639-C426-4C13-8776-B1AADABB0647}"/>
    <cellStyle name="Normal 3 20 3" xfId="6876" xr:uid="{9F9CCA15-1031-433D-9ACE-B452E0A6D7D5}"/>
    <cellStyle name="Normal 3 20 3 2" xfId="21917" xr:uid="{F7051885-2D77-465D-8D1A-B67DFAE3D04C}"/>
    <cellStyle name="Normal 3 20 3 3" xfId="46343" xr:uid="{89C9B39F-C576-4F10-B52D-19EFE295BEB9}"/>
    <cellStyle name="Normal 3 20 3 4" xfId="18300" xr:uid="{820F0885-A8B2-4C24-AB95-E95BC7778AC4}"/>
    <cellStyle name="Normal 3 20 4" xfId="8938" xr:uid="{6434C688-1695-4F2D-AEA7-B50AD017DD23}"/>
    <cellStyle name="Normal 3 20 4 2" xfId="32009" xr:uid="{1F6B2DC9-92BB-4891-B727-17FABF68FFFD}"/>
    <cellStyle name="Normal 3 20 5" xfId="32010" xr:uid="{F7266838-EC7F-4EBB-B581-4D1C504C5EB6}"/>
    <cellStyle name="Normal 3 20 6" xfId="32011" xr:uid="{67D56901-591C-4017-A2C8-78425F54B138}"/>
    <cellStyle name="Normal 3 20 7" xfId="32012" xr:uid="{8D6F7774-B6B8-4522-B484-1556020BA9FD}"/>
    <cellStyle name="Normal 3 21" xfId="3019" xr:uid="{2CF93DBD-6B36-469E-AB4F-47E92B339473}"/>
    <cellStyle name="Normal 3 21 2" xfId="5050" xr:uid="{3FF54144-925A-4D52-AAAB-93C74C046700}"/>
    <cellStyle name="Normal 3 21 2 2" xfId="18303" xr:uid="{A0E660EB-10A5-4403-BEB8-6F8E9DA2E588}"/>
    <cellStyle name="Normal 3 21 2 2 2" xfId="21920" xr:uid="{958E0A23-3811-4097-8FE6-0BBDDA23F424}"/>
    <cellStyle name="Normal 3 21 2 3" xfId="32013" xr:uid="{59FE5737-0027-4FC2-9EC3-C73A366004CA}"/>
    <cellStyle name="Normal 3 21 2 4" xfId="32014" xr:uid="{E4B276B5-DC1E-44DC-90D5-E2B6324CA198}"/>
    <cellStyle name="Normal 3 21 2 5" xfId="32015" xr:uid="{087A67AC-8C73-4C24-AA4A-BB545E319943}"/>
    <cellStyle name="Normal 3 21 2 6" xfId="32016" xr:uid="{174FC915-3FC4-467F-A978-9E13A71FD8F7}"/>
    <cellStyle name="Normal 3 21 3" xfId="6877" xr:uid="{F651B407-848E-4830-BC38-A8F3EDFFCFA5}"/>
    <cellStyle name="Normal 3 21 3 2" xfId="21919" xr:uid="{BE3A7F09-B387-434A-ACE1-77208C941BF4}"/>
    <cellStyle name="Normal 3 21 3 3" xfId="46344" xr:uid="{4D17F2CE-6E3E-4939-9CD9-4F7D63CB3C33}"/>
    <cellStyle name="Normal 3 21 3 4" xfId="18302" xr:uid="{625B2430-7F2C-4EB9-9306-6BA32A483FB7}"/>
    <cellStyle name="Normal 3 21 4" xfId="8939" xr:uid="{EDBA8D3B-3C03-4E30-927F-74D518235CDD}"/>
    <cellStyle name="Normal 3 21 4 2" xfId="32017" xr:uid="{E377356B-F1D5-402B-AA18-3F3A0D90F865}"/>
    <cellStyle name="Normal 3 21 5" xfId="32018" xr:uid="{026461EE-0866-443B-990A-E909017EF8DD}"/>
    <cellStyle name="Normal 3 21 6" xfId="32019" xr:uid="{F9F3B49D-B0DF-4506-9066-1BC027F0699B}"/>
    <cellStyle name="Normal 3 21 7" xfId="32020" xr:uid="{312F58E1-4EF3-46A9-8355-133874F1F602}"/>
    <cellStyle name="Normal 3 22" xfId="3020" xr:uid="{100AA183-4ED7-48AC-B152-73F54A2CF9BA}"/>
    <cellStyle name="Normal 3 22 2" xfId="5051" xr:uid="{7C985EE1-C186-4F50-A295-9AF8F4B55958}"/>
    <cellStyle name="Normal 3 22 2 2" xfId="18305" xr:uid="{F101C408-C959-4F96-A5B7-691716D64712}"/>
    <cellStyle name="Normal 3 22 2 2 2" xfId="21922" xr:uid="{F93A9BB7-C65B-4C77-927B-4DF192F10437}"/>
    <cellStyle name="Normal 3 22 2 3" xfId="32021" xr:uid="{73637984-67E8-4FEA-B713-A499DB84D9E9}"/>
    <cellStyle name="Normal 3 22 2 4" xfId="32022" xr:uid="{2CC260C7-84CE-4252-BFD2-0D06D6CF93C0}"/>
    <cellStyle name="Normal 3 22 2 5" xfId="32023" xr:uid="{940A0AB9-88A0-4C49-8731-0A0DC3CE3B01}"/>
    <cellStyle name="Normal 3 22 2 6" xfId="32024" xr:uid="{3FC86317-52CB-4E69-BEF1-A95AAD9C9DA4}"/>
    <cellStyle name="Normal 3 22 3" xfId="6878" xr:uid="{92B96D37-83E5-4D5C-8B7E-36A14F034C90}"/>
    <cellStyle name="Normal 3 22 3 2" xfId="21921" xr:uid="{5A4117E5-A556-4C1D-B231-EFA8D061134B}"/>
    <cellStyle name="Normal 3 22 3 3" xfId="46345" xr:uid="{978925C2-FF63-4AB2-AEEA-8C26FF5EF75A}"/>
    <cellStyle name="Normal 3 22 3 4" xfId="18304" xr:uid="{1D8A9C95-639B-4FFE-9024-19E67B8AE241}"/>
    <cellStyle name="Normal 3 22 4" xfId="8940" xr:uid="{6F419DF0-F875-4C1C-BAFE-4F27114AA7AB}"/>
    <cellStyle name="Normal 3 22 4 2" xfId="32025" xr:uid="{97742D85-0F9D-4887-BE0D-242F0C5C208D}"/>
    <cellStyle name="Normal 3 22 5" xfId="32026" xr:uid="{56063A44-884D-46B2-9194-1329E034335B}"/>
    <cellStyle name="Normal 3 22 6" xfId="32027" xr:uid="{2BF4D275-A91D-459F-A53A-94B2B8FB2123}"/>
    <cellStyle name="Normal 3 22 7" xfId="32028" xr:uid="{CAB1103C-D33C-4492-948B-2E8A4177D919}"/>
    <cellStyle name="Normal 3 23" xfId="3021" xr:uid="{C9C801DF-B762-4803-80BC-519D397356AD}"/>
    <cellStyle name="Normal 3 23 2" xfId="15369" xr:uid="{D0F98E72-EB6A-4872-B277-620367547DA9}"/>
    <cellStyle name="Normal 3 23 2 2" xfId="18307" xr:uid="{C671129A-506F-4FC9-BB54-16F7F6AA6F14}"/>
    <cellStyle name="Normal 3 23 2 2 2" xfId="21924" xr:uid="{8427963A-A8F2-4C49-A654-EC7FF9E5F40A}"/>
    <cellStyle name="Normal 3 23 2 3" xfId="32029" xr:uid="{C7A60D4F-372B-42A7-A6FD-0EE0DD18E412}"/>
    <cellStyle name="Normal 3 23 2 4" xfId="32030" xr:uid="{00D3B92A-6DCA-4B40-A828-5D72515B78B5}"/>
    <cellStyle name="Normal 3 23 2 5" xfId="32031" xr:uid="{600BB71A-62C8-4574-8F28-19BB22E87579}"/>
    <cellStyle name="Normal 3 23 2 6" xfId="32032" xr:uid="{B6A94FBC-5326-4E44-9F99-25252B615789}"/>
    <cellStyle name="Normal 3 23 3" xfId="16722" xr:uid="{4CD73E17-0464-4ED3-9BC0-5004143BDFE3}"/>
    <cellStyle name="Normal 3 23 3 2" xfId="18308" xr:uid="{0803EF7D-7258-4510-A0E5-0A40F303C1D3}"/>
    <cellStyle name="Normal 3 23 3 2 2" xfId="21925" xr:uid="{98C0AA91-99A8-4777-9556-07A1A27A6703}"/>
    <cellStyle name="Normal 3 23 3 3" xfId="32033" xr:uid="{8D8CD444-2D70-4644-AAD1-9EF75687C300}"/>
    <cellStyle name="Normal 3 23 3 4" xfId="32034" xr:uid="{85CF4004-1329-4E56-BAD1-CF134C29B090}"/>
    <cellStyle name="Normal 3 23 3 5" xfId="32035" xr:uid="{605D43C8-F69F-4560-9765-A0A722AC3D5B}"/>
    <cellStyle name="Normal 3 23 3 6" xfId="32036" xr:uid="{E199882A-E3AE-4110-9D87-9ECE5B9BE58E}"/>
    <cellStyle name="Normal 3 23 4" xfId="16532" xr:uid="{19470DBF-EB83-415A-83C1-538001FFCCC4}"/>
    <cellStyle name="Normal 3 23 4 2" xfId="18309" xr:uid="{346C38A9-B1D0-4C4E-87EC-783F3F4F7593}"/>
    <cellStyle name="Normal 3 23 4 2 2" xfId="21926" xr:uid="{C20F1941-F6A5-4732-8675-3AB5F216BB33}"/>
    <cellStyle name="Normal 3 23 4 3" xfId="20688" xr:uid="{E1881430-666F-40FA-81A5-F366A9ACC188}"/>
    <cellStyle name="Normal 3 23 5" xfId="18306" xr:uid="{35F16476-873C-40C8-B496-0A6B5B396F82}"/>
    <cellStyle name="Normal 3 23 5 2" xfId="21923" xr:uid="{4FE374E5-78AD-4652-9C6E-069D615817DE}"/>
    <cellStyle name="Normal 3 23 6" xfId="32037" xr:uid="{DC29E800-F2F5-4F53-A165-162B1740C278}"/>
    <cellStyle name="Normal 3 23 7" xfId="32038" xr:uid="{8213F8D9-C6EB-4C1C-ABB7-A3FDEEF10D13}"/>
    <cellStyle name="Normal 3 23 8" xfId="32039" xr:uid="{2640D2E8-853F-4ABB-B9A0-64A030C32710}"/>
    <cellStyle name="Normal 3 23 9" xfId="32040" xr:uid="{832BACCC-0083-4432-94C0-8D7B54426AF9}"/>
    <cellStyle name="Normal 3 24" xfId="3022" xr:uid="{89DE10CC-F48D-4C05-B52A-A756B420A729}"/>
    <cellStyle name="Normal 3 24 2" xfId="16534" xr:uid="{A68C4CF4-9E3B-4B85-8393-694E5FCBDED1}"/>
    <cellStyle name="Normal 3 24 2 2" xfId="18311" xr:uid="{EE657E07-78E9-4F45-948C-303B9052D4ED}"/>
    <cellStyle name="Normal 3 24 2 2 2" xfId="21928" xr:uid="{822D9AEE-D677-404E-BF81-A84926E155DE}"/>
    <cellStyle name="Normal 3 24 2 3" xfId="32041" xr:uid="{002186C9-A2D9-4B9A-B069-8FDFA4E16E9F}"/>
    <cellStyle name="Normal 3 24 2 4" xfId="32042" xr:uid="{7B9DDC5D-A908-4D69-B44E-7632C5E03410}"/>
    <cellStyle name="Normal 3 24 2 5" xfId="32043" xr:uid="{4C198E8E-6A64-4672-99DE-C17F1B72A7CF}"/>
    <cellStyle name="Normal 3 24 2 6" xfId="32044" xr:uid="{0374186C-6FC3-4AF3-A22D-ADDC7EE77E28}"/>
    <cellStyle name="Normal 3 24 3" xfId="16533" xr:uid="{B64B87C6-0080-4936-B6BA-EEE58E35A146}"/>
    <cellStyle name="Normal 3 24 3 2" xfId="18312" xr:uid="{96070A7C-8A8E-4576-B1FD-FC781D69026A}"/>
    <cellStyle name="Normal 3 24 3 2 2" xfId="21929" xr:uid="{F2F08DC9-2786-4933-9BE2-BFA8BEBC8592}"/>
    <cellStyle name="Normal 3 24 3 3" xfId="32045" xr:uid="{36557819-06C4-4187-9AA6-E2A45113F6D2}"/>
    <cellStyle name="Normal 3 24 3 4" xfId="32046" xr:uid="{E46B6DC3-B62B-4001-9A67-1AADE55C1FAC}"/>
    <cellStyle name="Normal 3 24 3 5" xfId="32047" xr:uid="{2E30FA69-7CD5-4BF0-9FF6-6C83376B1456}"/>
    <cellStyle name="Normal 3 24 3 6" xfId="32048" xr:uid="{A963BB88-BCA4-44D8-86CE-E625C6359E5A}"/>
    <cellStyle name="Normal 3 24 4" xfId="18310" xr:uid="{A5814FC0-55F2-488F-BC40-70BF23EF50C9}"/>
    <cellStyle name="Normal 3 24 4 2" xfId="21927" xr:uid="{90747783-DB1E-46CA-A2D0-B377618FA157}"/>
    <cellStyle name="Normal 3 24 5" xfId="32049" xr:uid="{FB4BAEC1-8B97-4BE3-AD27-9E22127432C7}"/>
    <cellStyle name="Normal 3 24 6" xfId="32050" xr:uid="{CB2BC7C9-813C-4B54-A00C-8114F029ABD6}"/>
    <cellStyle name="Normal 3 24 7" xfId="32051" xr:uid="{9F2B4A15-7FF3-4CC8-932A-E78973DD430E}"/>
    <cellStyle name="Normal 3 24 8" xfId="32052" xr:uid="{B0260406-6F03-4219-A699-DECC7FEDE3DA}"/>
    <cellStyle name="Normal 3 25" xfId="5035" xr:uid="{EBAB20E6-A802-4D28-8065-0F28DC35DCB1}"/>
    <cellStyle name="Normal 3 25 2" xfId="10828" xr:uid="{7C2AA2EF-8C94-444A-9E1F-5E0E41FB9EDB}"/>
    <cellStyle name="Normal 3 25 2 2" xfId="21930" xr:uid="{2D9759BF-F3F8-4A42-BB41-02D126AB67B0}"/>
    <cellStyle name="Normal 3 25 2 3" xfId="46330" xr:uid="{446720EF-65B2-4126-8D03-3A140A8CA42F}"/>
    <cellStyle name="Normal 3 25 2 4" xfId="18313" xr:uid="{7280A0C3-6425-425B-B455-181BFBE6D37C}"/>
    <cellStyle name="Normal 3 25 3" xfId="10513" xr:uid="{A43F3C23-9003-40FD-B828-EA46A8A38723}"/>
    <cellStyle name="Normal 3 25 3 2" xfId="32053" xr:uid="{81733EC2-0B4C-4FD7-9DF2-82CEFEC685A4}"/>
    <cellStyle name="Normal 3 25 4" xfId="32054" xr:uid="{C1FF68BF-F3C3-46D5-B0D3-5356EA646DBD}"/>
    <cellStyle name="Normal 3 25 5" xfId="32055" xr:uid="{1C9CE8CB-FEA8-4102-BC46-26150C5ACE89}"/>
    <cellStyle name="Normal 3 25 6" xfId="32056" xr:uid="{A5A044E9-A273-44C5-9051-58367F46E899}"/>
    <cellStyle name="Normal 3 25 7" xfId="45792" xr:uid="{0446F5EF-AB93-4980-8878-7BD07B6C22B9}"/>
    <cellStyle name="Normal 3 26" xfId="4154" xr:uid="{FFA72AA4-0654-4C12-9B91-CBCDB32D2E06}"/>
    <cellStyle name="Normal 3 26 2" xfId="21842" xr:uid="{CDA7FF88-DD0D-408B-AA73-6630774B5FB7}"/>
    <cellStyle name="Normal 3 26 3" xfId="43978" xr:uid="{E0DBA972-1B23-4ACF-BF38-8B96F61E10F6}"/>
    <cellStyle name="Normal 3 26 4" xfId="18225" xr:uid="{33AEB07C-1982-4536-A776-BAE3064518A5}"/>
    <cellStyle name="Normal 3 27" xfId="3876" xr:uid="{4F43E721-A7B6-4CAE-B4AE-3625DFEA8611}"/>
    <cellStyle name="Normal 3 27 2" xfId="11214" xr:uid="{7C4B476C-E19C-4489-AA47-CA6806D8B977}"/>
    <cellStyle name="Normal 3 27 2 2" xfId="47092" xr:uid="{7FFD63BB-8EE6-4706-B89F-CA00245F4D28}"/>
    <cellStyle name="Normal 3 27 2 3" xfId="43888" xr:uid="{F78E588A-1F58-4038-A04E-6CF18C0E00D4}"/>
    <cellStyle name="Normal 3 27 3" xfId="32057" xr:uid="{7F8D45E5-1C3C-4B9F-AF59-93069AD7B50A}"/>
    <cellStyle name="Normal 3 28" xfId="6220" xr:uid="{72596775-2981-4D00-9D64-BC5EA2B11557}"/>
    <cellStyle name="Normal 3 28 2" xfId="45883" xr:uid="{C6B80B8A-C6B9-4FD4-8C48-D76E5C8F27DD}"/>
    <cellStyle name="Normal 3 28 3" xfId="32058" xr:uid="{3F9C8BD7-C8FD-429B-A688-B36EE0143960}"/>
    <cellStyle name="Normal 3 29" xfId="7393" xr:uid="{1D027526-CC48-4291-8F69-50C494E1765F}"/>
    <cellStyle name="Normal 3 29 2" xfId="46788" xr:uid="{673B8725-8100-411A-849D-868E9F04570C}"/>
    <cellStyle name="Normal 3 29 3" xfId="32059" xr:uid="{952BBA8D-9CCA-4490-8133-71278627078A}"/>
    <cellStyle name="Normal 3 3" xfId="3023" xr:uid="{828F50E3-01FD-4DB6-8900-4E1C5EF1814C}"/>
    <cellStyle name="Normal 3 3 10" xfId="32060" xr:uid="{9526BDF5-784A-4ACB-BB86-CF0D6E4ADAF5}"/>
    <cellStyle name="Normal 3 3 11" xfId="32061" xr:uid="{C676BB99-2107-4CB6-81DD-4F98C203B406}"/>
    <cellStyle name="Normal 3 3 2" xfId="3024" xr:uid="{8A6C4B74-516C-445B-90B1-6AAA8E1EAC33}"/>
    <cellStyle name="Normal 3 3 2 2" xfId="5053" xr:uid="{5CB730A5-B378-4A55-8D0E-3319AD0C1169}"/>
    <cellStyle name="Normal 3 3 2 2 2" xfId="18316" xr:uid="{CC6DCC39-D2B7-4C4B-A401-76029AD3F4C7}"/>
    <cellStyle name="Normal 3 3 2 2 2 2" xfId="21933" xr:uid="{067C4914-23D7-4BA0-992C-CCB70FCD8824}"/>
    <cellStyle name="Normal 3 3 2 2 3" xfId="32062" xr:uid="{E82BDC27-9CF0-46CC-9A3F-17C446924558}"/>
    <cellStyle name="Normal 3 3 2 2 4" xfId="32063" xr:uid="{B00AF595-70B2-4048-8CE2-2019AA2D5371}"/>
    <cellStyle name="Normal 3 3 2 2 5" xfId="32064" xr:uid="{C064CF3C-D7CA-45A5-8A44-8104436BBF4E}"/>
    <cellStyle name="Normal 3 3 2 2 6" xfId="32065" xr:uid="{528A7D31-C0E6-43E8-9A9E-202C1251F623}"/>
    <cellStyle name="Normal 3 3 2 3" xfId="6879" xr:uid="{688B0EC0-4455-4529-ADDD-3EE3CF94BC84}"/>
    <cellStyle name="Normal 3 3 2 3 2" xfId="18317" xr:uid="{19EC5B58-1124-4840-BC92-0C94E2D231FC}"/>
    <cellStyle name="Normal 3 3 2 3 2 2" xfId="21934" xr:uid="{F7052220-CE71-4075-B494-C6DEB2CE643A}"/>
    <cellStyle name="Normal 3 3 2 3 3" xfId="32066" xr:uid="{D8ADE3B9-4607-4169-BC0F-632B2A349690}"/>
    <cellStyle name="Normal 3 3 2 3 4" xfId="32067" xr:uid="{FD66DFC6-D29C-4C02-BACD-3BDAAD2E75B5}"/>
    <cellStyle name="Normal 3 3 2 3 5" xfId="32068" xr:uid="{B655A9AF-C858-4A9A-B46A-EF0A2F23588C}"/>
    <cellStyle name="Normal 3 3 2 3 6" xfId="32069" xr:uid="{D6CC1E4C-1DA3-4339-9B8E-DA3D4B48E932}"/>
    <cellStyle name="Normal 3 3 2 3 7" xfId="46346" xr:uid="{F766AB70-DCFD-41C6-BF24-9E63DE0B0EA7}"/>
    <cellStyle name="Normal 3 3 2 3 8" xfId="16535" xr:uid="{192F2B23-98AD-4DA5-86BD-EFFA89509466}"/>
    <cellStyle name="Normal 3 3 2 4" xfId="8942" xr:uid="{5148F373-C267-4B34-94BB-F91F17818060}"/>
    <cellStyle name="Normal 3 3 2 4 2" xfId="21932" xr:uid="{B84653EC-66E3-4AA4-911E-1DB8DBF85DBC}"/>
    <cellStyle name="Normal 3 3 2 4 3" xfId="18315" xr:uid="{007249D0-3BA9-4AFA-8A2F-C8FA126D8256}"/>
    <cellStyle name="Normal 3 3 2 5" xfId="32070" xr:uid="{B3B4D50B-DAC9-43CE-8A44-F13BB714763C}"/>
    <cellStyle name="Normal 3 3 2 6" xfId="32071" xr:uid="{218ADE7D-AE2F-4735-A202-6CC8B3F679CB}"/>
    <cellStyle name="Normal 3 3 2 7" xfId="32072" xr:uid="{5F3041F2-C2CC-41F3-986E-FD4D4136E618}"/>
    <cellStyle name="Normal 3 3 2 8" xfId="32073" xr:uid="{409B5BA6-C35E-4FBD-9F94-9AFC7D2A879D}"/>
    <cellStyle name="Normal 3 3 3" xfId="3025" xr:uid="{CE1646D8-52FD-48EA-A2EA-7FA22673BF3C}"/>
    <cellStyle name="Normal 3 3 3 2" xfId="5054" xr:uid="{2C6C965E-1427-4A88-8888-7EB2AD7E65DF}"/>
    <cellStyle name="Normal 3 3 3 2 2" xfId="18319" xr:uid="{7239DC1B-2D05-44A7-A699-1D71F87A9680}"/>
    <cellStyle name="Normal 3 3 3 2 2 2" xfId="21936" xr:uid="{5D26D1D3-33FB-4B56-ABD5-C8CBB8219E39}"/>
    <cellStyle name="Normal 3 3 3 2 3" xfId="32074" xr:uid="{8BFF1EBA-72E9-4565-9471-F6540B82524D}"/>
    <cellStyle name="Normal 3 3 3 2 4" xfId="32075" xr:uid="{C0D3CC3A-948E-4F24-BD00-243EBDE1EE2D}"/>
    <cellStyle name="Normal 3 3 3 2 5" xfId="32076" xr:uid="{45C5BA0E-DC66-4FDC-96F7-DA68EF16C180}"/>
    <cellStyle name="Normal 3 3 3 2 6" xfId="32077" xr:uid="{ECE20389-A5A7-40A7-BF0C-09E288FDB19E}"/>
    <cellStyle name="Normal 3 3 3 3" xfId="6880" xr:uid="{DB8C1454-298C-49B7-8468-D397A3B6414A}"/>
    <cellStyle name="Normal 3 3 3 3 2" xfId="21935" xr:uid="{0944B675-516D-42C8-B7FD-AAAAC66C0A37}"/>
    <cellStyle name="Normal 3 3 3 3 3" xfId="46347" xr:uid="{FA2CA93E-F4EC-49E7-AB42-AC836EDECD98}"/>
    <cellStyle name="Normal 3 3 3 3 4" xfId="18318" xr:uid="{FBF15224-6ED9-4B2E-9247-89694E985D59}"/>
    <cellStyle name="Normal 3 3 3 4" xfId="8943" xr:uid="{D32ADC61-A7C1-4199-8C8E-EEC812C9E82C}"/>
    <cellStyle name="Normal 3 3 3 4 2" xfId="32078" xr:uid="{F9433BCE-1B27-4B34-AF72-0CDAB5E098A0}"/>
    <cellStyle name="Normal 3 3 3 5" xfId="32079" xr:uid="{918CEE15-9CFF-4483-B31A-142A787C432C}"/>
    <cellStyle name="Normal 3 3 3 6" xfId="32080" xr:uid="{00488DB7-EFB0-404C-B878-8EB1435404C3}"/>
    <cellStyle name="Normal 3 3 3 7" xfId="32081" xr:uid="{A9074C5B-4234-49EA-A90A-064EDE3F7A59}"/>
    <cellStyle name="Normal 3 3 4" xfId="3026" xr:uid="{6975B5D7-E668-4E94-93DE-E1A897E4DF48}"/>
    <cellStyle name="Normal 3 3 4 2" xfId="16339" xr:uid="{03A8507F-F595-4418-9BE2-191B65A5BD22}"/>
    <cellStyle name="Normal 3 3 4 2 2" xfId="18321" xr:uid="{374372D4-BE42-4168-96B6-EAC578FAB5DF}"/>
    <cellStyle name="Normal 3 3 4 2 2 2" xfId="21938" xr:uid="{BA147907-19D9-41FD-8E27-9BA7779E2534}"/>
    <cellStyle name="Normal 3 3 4 2 3" xfId="32082" xr:uid="{7B6E08B5-FD49-4352-91EF-3F1E60C66900}"/>
    <cellStyle name="Normal 3 3 4 2 4" xfId="32083" xr:uid="{3DC4B6A6-9757-4FC9-8CEE-669498A78E04}"/>
    <cellStyle name="Normal 3 3 4 2 5" xfId="32084" xr:uid="{8625B8DE-2C0A-482E-AC6C-62228C907942}"/>
    <cellStyle name="Normal 3 3 4 2 6" xfId="32085" xr:uid="{C68937AD-CEE1-4870-877F-73D1C1A187CE}"/>
    <cellStyle name="Normal 3 3 4 3" xfId="18320" xr:uid="{E97A4F7C-118C-4D51-98A6-037632FD25B5}"/>
    <cellStyle name="Normal 3 3 4 3 2" xfId="21937" xr:uid="{A7B68150-6B3F-475C-9101-7C52AA302C96}"/>
    <cellStyle name="Normal 3 3 4 4" xfId="32086" xr:uid="{726D79E1-70BF-4AEB-8E9F-5F6F442A4187}"/>
    <cellStyle name="Normal 3 3 4 5" xfId="32087" xr:uid="{32023B2F-7796-4633-A1EB-56A06EB8BC99}"/>
    <cellStyle name="Normal 3 3 4 6" xfId="32088" xr:uid="{F61E6E2E-5283-4D3E-9FC0-EC744640F1FD}"/>
    <cellStyle name="Normal 3 3 4 7" xfId="32089" xr:uid="{FFFE2D29-2677-4206-8AA3-08CE9549F9F3}"/>
    <cellStyle name="Normal 3 3 4 8" xfId="16033" xr:uid="{2A25A014-20B0-400F-9798-9BF64A505412}"/>
    <cellStyle name="Normal 3 3 5" xfId="5052" xr:uid="{2CA3C495-2A84-4159-BCBA-FA028478E7DE}"/>
    <cellStyle name="Normal 3 3 5 2" xfId="21939" xr:uid="{686260F4-ED00-4279-B725-AED7B1D1F5AD}"/>
    <cellStyle name="Normal 3 3 5 3" xfId="43628" xr:uid="{09E39DC5-8895-4E03-A60C-20B96324DAE8}"/>
    <cellStyle name="Normal 3 3 5 4" xfId="18322" xr:uid="{49A32B1C-053D-4788-94EF-07ACF9BAB8EC}"/>
    <cellStyle name="Normal 3 3 6" xfId="4157" xr:uid="{6A2F9191-F62A-4FA1-9AF6-FB814099D096}"/>
    <cellStyle name="Normal 3 3 6 2" xfId="21931" xr:uid="{90AA689C-14E6-4C08-AB22-FDC7AE9A29A4}"/>
    <cellStyle name="Normal 3 3 6 3" xfId="43981" xr:uid="{924CC8C2-BCBC-4C8B-AA27-4D329C49F250}"/>
    <cellStyle name="Normal 3 3 6 4" xfId="18314" xr:uid="{26806E62-6D84-4C2B-8468-4DB07AC741ED}"/>
    <cellStyle name="Normal 3 3 7" xfId="6223" xr:uid="{0355628F-B07E-40B5-923E-24B42D047F0F}"/>
    <cellStyle name="Normal 3 3 7 2" xfId="45886" xr:uid="{F5EC1BF5-49AC-4085-A41D-3686F36AC7C1}"/>
    <cellStyle name="Normal 3 3 7 3" xfId="32090" xr:uid="{8CE06B86-6E61-4576-AA18-6A711DA8DCAC}"/>
    <cellStyle name="Normal 3 3 8" xfId="8941" xr:uid="{3D120832-1EAC-4F21-9EE9-E0202B6A32B0}"/>
    <cellStyle name="Normal 3 3 8 2" xfId="32091" xr:uid="{AB3F10FB-18F5-4A8E-AA16-26804C14B0AD}"/>
    <cellStyle name="Normal 3 3 9" xfId="32092" xr:uid="{4BDADE65-66B1-4B08-A9EE-2D3544AA1388}"/>
    <cellStyle name="Normal 3 3_TRA" xfId="3027" xr:uid="{A08A5DBB-E85E-4008-8E36-0118E89C0958}"/>
    <cellStyle name="Normal 3 30" xfId="7394" xr:uid="{37C5956E-8558-4AE2-ABC7-56B965B82761}"/>
    <cellStyle name="Normal 3 30 2" xfId="46789" xr:uid="{F39B9898-0281-436F-B5ED-E267AE018EED}"/>
    <cellStyle name="Normal 3 30 3" xfId="32093" xr:uid="{128B4322-4C26-45EE-8C33-28ABD0B6AB52}"/>
    <cellStyle name="Normal 3 31" xfId="7397" xr:uid="{21C1EA18-2A7A-48C0-9327-61C81A2E8249}"/>
    <cellStyle name="Normal 3 31 2" xfId="46791" xr:uid="{E1772EA0-7CE2-4443-A92C-1125362393D6}"/>
    <cellStyle name="Normal 3 31 3" xfId="32094" xr:uid="{0D89D95F-04D1-48A9-B05C-1F3AC0D96064}"/>
    <cellStyle name="Normal 3 32" xfId="5938" xr:uid="{D08C1F74-54CF-4094-A240-850F07B666C0}"/>
    <cellStyle name="Normal 3 32 2" xfId="45797" xr:uid="{450045B3-FF0E-43A6-B15F-7EA05B9F92F5}"/>
    <cellStyle name="Normal 3 32 3" xfId="32095" xr:uid="{AA55CBB3-415E-4C5C-928E-3AB7CCA89C66}"/>
    <cellStyle name="Normal 3 33" xfId="7075" xr:uid="{382E507F-6CA4-461D-ACFE-87D0CCB38413}"/>
    <cellStyle name="Normal 3 33 2" xfId="47156" xr:uid="{C8EBEB3F-F314-43CD-8495-0222D4CA781E}"/>
    <cellStyle name="Normal 3 34" xfId="7076" xr:uid="{FC70DB6F-ABB3-4915-B9A1-85811371D834}"/>
    <cellStyle name="Normal 3 35" xfId="7400" xr:uid="{F8342C97-4D22-4939-BD5C-85C9CF2538FD}"/>
    <cellStyle name="Normal 3 36" xfId="7402" xr:uid="{50167EF7-1ADC-4FDF-839C-441B1C2CECBF}"/>
    <cellStyle name="Normal 3 37" xfId="7399" xr:uid="{DF5F4284-8476-4221-BD32-89B00A8E992A}"/>
    <cellStyle name="Normal 3 38" xfId="7405" xr:uid="{19903F7C-362F-4ADF-91BC-7176FEA72F2E}"/>
    <cellStyle name="Normal 3 39" xfId="8921" xr:uid="{8B13070D-4EA5-4FEE-A827-1BAA542DB8D0}"/>
    <cellStyle name="Normal 3 4" xfId="3028" xr:uid="{46E29592-3BAD-4DE1-BD59-45FB8575F50D}"/>
    <cellStyle name="Normal 3 4 2" xfId="5055" xr:uid="{28A221F0-E726-4463-9563-13E8BDEDFD25}"/>
    <cellStyle name="Normal 3 4 2 2" xfId="18324" xr:uid="{9E7F3633-0255-44FB-9A65-CDB61C51BAFA}"/>
    <cellStyle name="Normal 3 4 2 2 2" xfId="21941" xr:uid="{F61AC10A-5A54-4ABE-BAE5-81DF4965FB77}"/>
    <cellStyle name="Normal 3 4 2 3" xfId="32096" xr:uid="{D3996670-40E2-4752-9C40-26BB06182FD7}"/>
    <cellStyle name="Normal 3 4 2 4" xfId="32097" xr:uid="{D17FC2BE-2904-47BE-BC9F-18EC7A3B3393}"/>
    <cellStyle name="Normal 3 4 2 5" xfId="32098" xr:uid="{38E39A39-1D9C-4195-B52B-53EB61932D8C}"/>
    <cellStyle name="Normal 3 4 2 6" xfId="32099" xr:uid="{EA93DC2B-FC36-4B3A-A3BC-C3AC8DC34877}"/>
    <cellStyle name="Normal 3 4 3" xfId="4158" xr:uid="{6731F3AC-4BED-4E36-803A-90CC9D065C4A}"/>
    <cellStyle name="Normal 3 4 3 2" xfId="18325" xr:uid="{64EDE848-863B-40AA-B536-AA04337B076A}"/>
    <cellStyle name="Normal 3 4 3 2 2" xfId="21942" xr:uid="{EA8AFE30-5ABE-4E11-9D5F-542B9EB4BF3A}"/>
    <cellStyle name="Normal 3 4 3 3" xfId="32100" xr:uid="{9D5FDA37-AACB-4F33-B086-549F150D1784}"/>
    <cellStyle name="Normal 3 4 3 4" xfId="32101" xr:uid="{97AF596F-A222-46CB-9DEF-2EC46B2B9B1D}"/>
    <cellStyle name="Normal 3 4 3 5" xfId="32102" xr:uid="{A1A67653-B33B-469D-B9E8-0DAE28F6C238}"/>
    <cellStyle name="Normal 3 4 3 6" xfId="32103" xr:uid="{8667D5FA-385B-40D5-9156-98DCC7A2A54F}"/>
    <cellStyle name="Normal 3 4 3 7" xfId="43982" xr:uid="{B0025032-B15A-4209-935B-83C1CF8F5B70}"/>
    <cellStyle name="Normal 3 4 3 8" xfId="16034" xr:uid="{E85FEC91-3335-49F4-965B-2D58702FAA8D}"/>
    <cellStyle name="Normal 3 4 4" xfId="6224" xr:uid="{871489C5-F46E-4547-B44A-C50411194E0A}"/>
    <cellStyle name="Normal 3 4 4 2" xfId="21940" xr:uid="{4E62CC3D-3A71-43C7-A6C8-E0B3B8F0A69F}"/>
    <cellStyle name="Normal 3 4 4 3" xfId="45887" xr:uid="{4A11AB8A-C797-44DE-93C7-46D39DA2CBD2}"/>
    <cellStyle name="Normal 3 4 4 4" xfId="18323" xr:uid="{4F4ED2E3-FF06-4F39-AD80-43A61535C553}"/>
    <cellStyle name="Normal 3 4 5" xfId="8944" xr:uid="{79F1A244-19E3-4163-AFB7-17A536B40CDA}"/>
    <cellStyle name="Normal 3 4 5 2" xfId="32104" xr:uid="{DEC2EF94-0057-4ED6-8A39-23EFECE79EBD}"/>
    <cellStyle name="Normal 3 4 6" xfId="32105" xr:uid="{0FF0DF44-C9F6-4EA6-BF10-6E34B7B95594}"/>
    <cellStyle name="Normal 3 4 7" xfId="32106" xr:uid="{EA791DF4-6D40-43DA-86AB-73B3AC6A204C}"/>
    <cellStyle name="Normal 3 4 8" xfId="32107" xr:uid="{A8C9C748-FF60-40A5-8FCB-A03A50D27A8D}"/>
    <cellStyle name="Normal 3 4 9" xfId="32108" xr:uid="{67F1D0F3-09B8-445D-BD45-EE6A25CA55BE}"/>
    <cellStyle name="Normal 3 40" xfId="13874" xr:uid="{22F1E42D-5AE5-46AB-B866-D7DEC0DFFBC9}"/>
    <cellStyle name="Normal 3 5" xfId="3029" xr:uid="{1222626C-8E4E-4CC8-803C-A2C63F25BE4C}"/>
    <cellStyle name="Normal 3 5 10" xfId="32109" xr:uid="{FF8AE657-DDA3-4AF9-A8DE-583F29765CC7}"/>
    <cellStyle name="Normal 3 5 2" xfId="3030" xr:uid="{C1556B30-803B-476A-B200-4B81D3352B12}"/>
    <cellStyle name="Normal 3 5 2 2" xfId="16793" xr:uid="{009CF717-3313-4495-9F91-20BDCB0B12CB}"/>
    <cellStyle name="Normal 3 5 2 2 2" xfId="18328" xr:uid="{52DE4267-BA07-4B56-A4F2-2BE8EA642EBD}"/>
    <cellStyle name="Normal 3 5 2 2 2 2" xfId="21945" xr:uid="{5FD00F27-9D0B-4C03-8592-6F854E5C0341}"/>
    <cellStyle name="Normal 3 5 2 2 3" xfId="32110" xr:uid="{E42080AF-241C-43FE-AEDB-26D397326C2B}"/>
    <cellStyle name="Normal 3 5 2 2 4" xfId="32111" xr:uid="{1DE477FD-6355-423B-AB29-EA454AD8B7A8}"/>
    <cellStyle name="Normal 3 5 2 2 5" xfId="32112" xr:uid="{9533E41B-7894-4F2C-BF0C-F4DAD08A1A88}"/>
    <cellStyle name="Normal 3 5 2 2 6" xfId="32113" xr:uid="{E7987780-FD65-477E-A5F2-19C4E9C02F6D}"/>
    <cellStyle name="Normal 3 5 2 3" xfId="16537" xr:uid="{43DC5CF9-1044-433A-AFA3-477DA106990C}"/>
    <cellStyle name="Normal 3 5 2 3 2" xfId="18329" xr:uid="{EC57DCCF-FC82-4CDE-869A-37B4BF2F0FAA}"/>
    <cellStyle name="Normal 3 5 2 3 2 2" xfId="21946" xr:uid="{0C435ED0-AB44-49DE-81B9-0D115A120A43}"/>
    <cellStyle name="Normal 3 5 2 3 3" xfId="32114" xr:uid="{0A323C19-BD3E-4C52-926E-77708D4DEE8F}"/>
    <cellStyle name="Normal 3 5 2 3 4" xfId="32115" xr:uid="{734E2D59-BE92-48E2-B6F3-CC830FF9E94D}"/>
    <cellStyle name="Normal 3 5 2 3 5" xfId="32116" xr:uid="{50AB0639-CBE2-413B-9D16-695654FC4B0D}"/>
    <cellStyle name="Normal 3 5 2 3 6" xfId="32117" xr:uid="{A3B10359-E364-4DD2-8604-2E72BC906CE8}"/>
    <cellStyle name="Normal 3 5 2 4" xfId="18327" xr:uid="{57DA926C-4133-4CFA-98B0-4FBA6265232D}"/>
    <cellStyle name="Normal 3 5 2 4 2" xfId="21944" xr:uid="{C99F4BE4-9101-4983-94F8-DE3FF9D6E1C9}"/>
    <cellStyle name="Normal 3 5 2 5" xfId="32118" xr:uid="{17D1946E-38E6-4436-9CE7-2F2B734FFFBF}"/>
    <cellStyle name="Normal 3 5 2 6" xfId="32119" xr:uid="{63587BEE-817E-4C0C-88A6-B26263DE627E}"/>
    <cellStyle name="Normal 3 5 2 7" xfId="32120" xr:uid="{595AE25B-80C4-420D-89BC-C74D5E691EB6}"/>
    <cellStyle name="Normal 3 5 2 8" xfId="32121" xr:uid="{E1803810-1DA1-4692-B951-0D1E18AC26E9}"/>
    <cellStyle name="Normal 3 5 3" xfId="5056" xr:uid="{623A3241-58D3-4AD7-896E-4BE5C0F2CD6B}"/>
    <cellStyle name="Normal 3 5 3 10" xfId="16035" xr:uid="{D96B269F-468C-406F-979F-7593F47398B4}"/>
    <cellStyle name="Normal 3 5 3 2" xfId="16883" xr:uid="{97AFA767-9D29-41C3-8C4B-0AC2DFE29444}"/>
    <cellStyle name="Normal 3 5 3 2 2" xfId="18331" xr:uid="{3B21E70C-EBBA-40B2-9F0D-479236D62E92}"/>
    <cellStyle name="Normal 3 5 3 2 2 2" xfId="21948" xr:uid="{581A85C8-B6E4-4EF6-8D1A-02EB336FB960}"/>
    <cellStyle name="Normal 3 5 3 2 3" xfId="32122" xr:uid="{772E6FC9-F119-41D6-8B99-0C4E2B39136D}"/>
    <cellStyle name="Normal 3 5 3 2 4" xfId="32123" xr:uid="{DBF58CDE-96FF-48BE-A9E9-D78D31A7E5A5}"/>
    <cellStyle name="Normal 3 5 3 2 5" xfId="32124" xr:uid="{2CF7CFFA-920C-446B-B793-3814C7CCF8FC}"/>
    <cellStyle name="Normal 3 5 3 2 6" xfId="32125" xr:uid="{62003AF2-0781-4AE8-B77B-FAACC43574D2}"/>
    <cellStyle name="Normal 3 5 3 3" xfId="16616" xr:uid="{79FB867F-44F0-4777-BFE3-E14AF9E38AC9}"/>
    <cellStyle name="Normal 3 5 3 3 2" xfId="18332" xr:uid="{E62E9E85-FD78-4FB8-83B0-B3488AF0B13F}"/>
    <cellStyle name="Normal 3 5 3 3 2 2" xfId="21949" xr:uid="{15677033-F7B2-4584-A406-9F175E2F3700}"/>
    <cellStyle name="Normal 3 5 3 3 3" xfId="32126" xr:uid="{525F6027-C8CD-430A-A55D-716295BB672E}"/>
    <cellStyle name="Normal 3 5 3 3 4" xfId="32127" xr:uid="{B581392A-6E8C-41D7-B0C8-811B88A20464}"/>
    <cellStyle name="Normal 3 5 3 3 5" xfId="32128" xr:uid="{26AEB8A5-BD83-4A94-AA7A-D84F32A2B11A}"/>
    <cellStyle name="Normal 3 5 3 3 6" xfId="32129" xr:uid="{AE400333-19EC-41AC-BE50-85D8566628DD}"/>
    <cellStyle name="Normal 3 5 3 4" xfId="18330" xr:uid="{7878A073-5408-4956-BAD6-5745E99D8732}"/>
    <cellStyle name="Normal 3 5 3 4 2" xfId="21947" xr:uid="{447E61BB-7E26-4592-A641-3E938EAD585D}"/>
    <cellStyle name="Normal 3 5 3 5" xfId="32130" xr:uid="{56002376-54CB-4849-95CE-62C1A5BD93F1}"/>
    <cellStyle name="Normal 3 5 3 6" xfId="32131" xr:uid="{B4E1643A-8443-4D8A-B8DE-1C18D2D0268B}"/>
    <cellStyle name="Normal 3 5 3 7" xfId="32132" xr:uid="{6A2E3030-1FEE-455B-802A-27591C07E7A5}"/>
    <cellStyle name="Normal 3 5 3 8" xfId="32133" xr:uid="{034E01A1-C46E-4317-81C0-ECE87D920346}"/>
    <cellStyle name="Normal 3 5 3 9" xfId="43629" xr:uid="{BCEAD2C1-D32E-4BA0-8363-FED1C7A04CE8}"/>
    <cellStyle name="Normal 3 5 4" xfId="4159" xr:uid="{A0AFAA72-B98A-4336-8B28-27B27BCFFA8E}"/>
    <cellStyle name="Normal 3 5 4 2" xfId="18333" xr:uid="{410E3E89-CE44-4C0D-869C-71B9663BD428}"/>
    <cellStyle name="Normal 3 5 4 2 2" xfId="21950" xr:uid="{4C090304-4813-4D77-91BE-C7621B2D88E4}"/>
    <cellStyle name="Normal 3 5 4 3" xfId="20689" xr:uid="{5E54C147-7384-4706-BFD8-2B4238A85042}"/>
    <cellStyle name="Normal 3 5 4 4" xfId="43983" xr:uid="{98E6D4CE-9AE8-4E4C-971B-59BBC0F9E849}"/>
    <cellStyle name="Normal 3 5 4 5" xfId="16536" xr:uid="{642CBAFD-AED4-4272-908C-617D5969584B}"/>
    <cellStyle name="Normal 3 5 5" xfId="6225" xr:uid="{E4852D83-266D-4179-BC0C-3B1BEDC03269}"/>
    <cellStyle name="Normal 3 5 5 2" xfId="21943" xr:uid="{FA8BC7D3-C82D-45B8-8549-027742A5A8F6}"/>
    <cellStyle name="Normal 3 5 5 3" xfId="45888" xr:uid="{E70BFB8E-2E70-4A29-9D94-ADE67AA8A13C}"/>
    <cellStyle name="Normal 3 5 5 4" xfId="18326" xr:uid="{AAB6D5F2-12AC-4A09-AB16-5C118459FBEC}"/>
    <cellStyle name="Normal 3 5 6" xfId="8945" xr:uid="{E3600E04-7673-4C76-963C-9B70722CA8A9}"/>
    <cellStyle name="Normal 3 5 6 2" xfId="32134" xr:uid="{18F63F9B-9F67-429A-8300-C15ED4468A53}"/>
    <cellStyle name="Normal 3 5 7" xfId="32135" xr:uid="{1A2AFF7D-8ACE-4F6C-8AA9-7FD758B05EB3}"/>
    <cellStyle name="Normal 3 5 8" xfId="32136" xr:uid="{0D4A9116-3941-4F70-81EF-891A9D117549}"/>
    <cellStyle name="Normal 3 5 9" xfId="32137" xr:uid="{B6A19AA7-B7C9-4EA0-82E1-65C3BBB3270B}"/>
    <cellStyle name="Normal 3 6" xfId="3031" xr:uid="{9BA091D6-E8A0-4D8C-B9B5-E7BFFBAC9A52}"/>
    <cellStyle name="Normal 3 6 10" xfId="8023" xr:uid="{BDB1459D-2F28-4AE5-A3B4-EB7F37EF5D98}"/>
    <cellStyle name="Normal 3 6 10 2" xfId="12536" xr:uid="{CD0B172C-9601-4BF2-AF85-77227582A8D6}"/>
    <cellStyle name="Normal 3 6 10 3" xfId="32138" xr:uid="{376144AF-F186-492B-B814-80A184BE2779}"/>
    <cellStyle name="Normal 3 6 11" xfId="11281" xr:uid="{CAF30089-A709-4D9C-BF08-5D8655D2D1FF}"/>
    <cellStyle name="Normal 3 6 11 2" xfId="13840" xr:uid="{EA7DE8A3-B2D2-4BAA-AFDC-5E82CB56B30A}"/>
    <cellStyle name="Normal 3 6 11 3" xfId="32139" xr:uid="{5F1400AB-7F27-4EC9-8C7D-DE99BDA4EB4C}"/>
    <cellStyle name="Normal 3 6 12" xfId="5920" xr:uid="{612A3279-5D27-47E6-9FBF-2138D39C16D4}"/>
    <cellStyle name="Normal 3 6 13" xfId="11408" xr:uid="{6FCE92D6-93C8-4151-A54D-BCBBBEDCA49F}"/>
    <cellStyle name="Normal 3 6 14" xfId="13875" xr:uid="{0FFD7AED-7B49-444C-A6D4-BE509963F21A}"/>
    <cellStyle name="Normal 3 6 2" xfId="3032" xr:uid="{51BDD23C-55DF-45F6-B511-8793B27D8119}"/>
    <cellStyle name="Normal 3 6 2 2" xfId="18335" xr:uid="{9C0B7EC1-4FBF-4047-8E97-3099923C13BB}"/>
    <cellStyle name="Normal 3 6 2 2 2" xfId="21952" xr:uid="{FAF818CE-E055-4D37-B04C-F9C50B0D2B0C}"/>
    <cellStyle name="Normal 3 6 2 3" xfId="32140" xr:uid="{A34F83FA-39EF-4914-AC6D-56670A224148}"/>
    <cellStyle name="Normal 3 6 2 4" xfId="32141" xr:uid="{D32951F3-B1FC-4DED-8D13-03EF538B3AB3}"/>
    <cellStyle name="Normal 3 6 2 5" xfId="32142" xr:uid="{D911FCD3-206A-4BDC-B0A7-D79680105C2D}"/>
    <cellStyle name="Normal 3 6 2 6" xfId="32143" xr:uid="{7710A874-E003-42A7-BF0A-C4EA9DC073FC}"/>
    <cellStyle name="Normal 3 6 3" xfId="3033" xr:uid="{8D49F233-7AFD-4D39-A16D-3D8175606566}"/>
    <cellStyle name="Normal 3 6 3 10" xfId="14006" xr:uid="{0E1272A2-9279-4BE2-9022-73ACEA5AA4D1}"/>
    <cellStyle name="Normal 3 6 3 2" xfId="5058" xr:uid="{D841B42F-D8E9-487E-90A9-F963A7A6E581}"/>
    <cellStyle name="Normal 3 6 3 2 2" xfId="5783" xr:uid="{38E9D6C9-886D-487C-A90C-1870D1606A44}"/>
    <cellStyle name="Normal 3 6 3 2 2 2" xfId="10377" xr:uid="{819482E3-C649-4DA6-93C8-CF8E8CC0A992}"/>
    <cellStyle name="Normal 3 6 3 2 2 2 2" xfId="13683" xr:uid="{EBD242D8-DEB0-478E-9885-003B4B0EAB9B}"/>
    <cellStyle name="Normal 3 6 3 2 2 2 3" xfId="48333" xr:uid="{090AA6D5-78B3-478D-9A1D-39C0762A0C64}"/>
    <cellStyle name="Normal 3 6 3 2 2 3" xfId="7885" xr:uid="{37E6DE9B-F76D-402F-A952-9BD3AB537BC0}"/>
    <cellStyle name="Normal 3 6 3 2 2 3 2" xfId="21953" xr:uid="{588299C1-9334-4526-9BA7-EBDD5B6FC5EA}"/>
    <cellStyle name="Normal 3 6 3 2 2 4" xfId="12398" xr:uid="{3091E240-8F03-4FF6-8F6F-D4F3B4FF4FAD}"/>
    <cellStyle name="Normal 3 6 3 2 2 5" xfId="14812" xr:uid="{3D5AA092-0313-40C2-B5AC-D4292C38DF88}"/>
    <cellStyle name="Normal 3 6 3 2 3" xfId="11259" xr:uid="{5FB0BBD4-4125-44F3-8148-843D2483FECE}"/>
    <cellStyle name="Normal 3 6 3 2 3 2" xfId="13818" xr:uid="{CBCE2283-B286-46E5-AA8C-E542707FD742}"/>
    <cellStyle name="Normal 3 6 3 2 3 2 2" xfId="48715" xr:uid="{21CB3A6D-D832-451D-8E48-74F7622FE51D}"/>
    <cellStyle name="Normal 3 6 3 2 3 3" xfId="47149" xr:uid="{D3833669-174B-41D1-B719-F3BA3AF72523}"/>
    <cellStyle name="Normal 3 6 3 2 3 4" xfId="15127" xr:uid="{7474C83C-C98E-4A4C-9990-DA7A0D70339B}"/>
    <cellStyle name="Normal 3 6 3 2 4" xfId="9883" xr:uid="{A97B2DC8-1C94-4BE8-AE7D-3CF6BAC4DB3C}"/>
    <cellStyle name="Normal 3 6 3 2 4 2" xfId="13189" xr:uid="{FDDB92DB-912B-443E-969E-1BF3CE048050}"/>
    <cellStyle name="Normal 3 6 3 2 4 2 2" xfId="49192" xr:uid="{752CF656-9D83-46F2-B61B-700159DC2E29}"/>
    <cellStyle name="Normal 3 6 3 2 4 3" xfId="47608" xr:uid="{C621736F-8400-4185-80D7-4C2C0C0EE7FC}"/>
    <cellStyle name="Normal 3 6 3 2 5" xfId="7381" xr:uid="{EB00016E-FF5F-47BF-989B-C66085270EA7}"/>
    <cellStyle name="Normal 3 6 3 2 5 2" xfId="47863" xr:uid="{01E698C0-193A-4D67-9708-1454C6DD378F}"/>
    <cellStyle name="Normal 3 6 3 2 6" xfId="11904" xr:uid="{16414DDD-C39E-439D-858E-E6697945D164}"/>
    <cellStyle name="Normal 3 6 3 2 6 2" xfId="18336" xr:uid="{9555DF4C-03A6-4D84-9A33-6261D7E0C67A}"/>
    <cellStyle name="Normal 3 6 3 2 7" xfId="14320" xr:uid="{A493BB5A-596A-4EFF-B788-5A234BC93F17}"/>
    <cellStyle name="Normal 3 6 3 3" xfId="5607" xr:uid="{87FB56A9-EFF1-44AA-8C62-8C4E203BD3C6}"/>
    <cellStyle name="Normal 3 6 3 3 2" xfId="7709" xr:uid="{8CA88643-2E11-4A51-8980-655C6FE14C1C}"/>
    <cellStyle name="Normal 3 6 3 3 2 2" xfId="10201" xr:uid="{B33724BC-7D25-455F-9BBE-8130B73792D8}"/>
    <cellStyle name="Normal 3 6 3 3 2 2 2" xfId="13507" xr:uid="{C8CFF855-71ED-41CF-88C2-C2A47503B779}"/>
    <cellStyle name="Normal 3 6 3 3 2 2 3" xfId="49020" xr:uid="{1CBF6374-7180-4F5D-A7C6-09CDA611731D}"/>
    <cellStyle name="Normal 3 6 3 3 2 3" xfId="12222" xr:uid="{321AC1A3-21BC-4E58-968F-44B7CB23CD08}"/>
    <cellStyle name="Normal 3 6 3 3 2 3 2" xfId="47441" xr:uid="{588ADEB8-D060-4D39-B8B2-BCFCFA904225}"/>
    <cellStyle name="Normal 3 6 3 3 2 4" xfId="14636" xr:uid="{B4FE23A5-8F5F-4F0C-A324-F96BD42D1E32}"/>
    <cellStyle name="Normal 3 6 3 3 3" xfId="9707" xr:uid="{F424B786-EC74-4B94-B3BF-66E386A89665}"/>
    <cellStyle name="Normal 3 6 3 3 3 2" xfId="13013" xr:uid="{2B5A2FA8-0859-4A98-B897-BDD70C622AAA}"/>
    <cellStyle name="Normal 3 6 3 3 3 3" xfId="48165" xr:uid="{BFED8C56-857F-4A44-BA94-85D32684FB21}"/>
    <cellStyle name="Normal 3 6 3 3 4" xfId="7203" xr:uid="{A281A9B8-27E7-49E2-A09E-DD198A609814}"/>
    <cellStyle name="Normal 3 6 3 3 4 2" xfId="32144" xr:uid="{E1C4BF56-88E4-418C-8AA6-74A277390027}"/>
    <cellStyle name="Normal 3 6 3 3 5" xfId="11728" xr:uid="{FDCBFBCA-28AD-40CA-94C7-2F6BF5CF6EBA}"/>
    <cellStyle name="Normal 3 6 3 3 6" xfId="14144" xr:uid="{0C8517D1-0F18-4FDE-9FCF-F548A6F04D67}"/>
    <cellStyle name="Normal 3 6 3 4" xfId="6882" xr:uid="{9C8DCECF-2EF8-4E98-92D5-805F027D6FBF}"/>
    <cellStyle name="Normal 3 6 3 4 2" xfId="9569" xr:uid="{FA79EEC7-AF09-4CB0-B96B-B5CFE65BF1AA}"/>
    <cellStyle name="Normal 3 6 3 4 2 2" xfId="12875" xr:uid="{E1C32A70-F0C8-4595-8325-EB84A36347B9}"/>
    <cellStyle name="Normal 3 6 3 4 2 3" xfId="48030" xr:uid="{4AE05E9D-B2D1-4D10-A0AE-38CCC32B59AB}"/>
    <cellStyle name="Normal 3 6 3 4 3" xfId="11590" xr:uid="{B1AA526D-CD07-4666-BF66-0EC71B0003C8}"/>
    <cellStyle name="Normal 3 6 3 4 3 2" xfId="32145" xr:uid="{8D2A38CE-7D10-499A-89CC-DA7BFE5D22B1}"/>
    <cellStyle name="Normal 3 6 3 4 4" xfId="14498" xr:uid="{EFD589E4-CD11-4ACC-B069-95F222F256C9}"/>
    <cellStyle name="Normal 3 6 3 5" xfId="7571" xr:uid="{923DA708-46F3-4F4C-B379-22F0EFB3FB6B}"/>
    <cellStyle name="Normal 3 6 3 5 2" xfId="10063" xr:uid="{9A11080F-6CBE-4D7E-9C64-65AC37651194}"/>
    <cellStyle name="Normal 3 6 3 5 2 2" xfId="13369" xr:uid="{A2A2DCE9-5834-4C76-B79E-DFD8E3316F26}"/>
    <cellStyle name="Normal 3 6 3 5 2 3" xfId="48576" xr:uid="{7BED9941-E893-4006-899C-A93CA2A50417}"/>
    <cellStyle name="Normal 3 6 3 5 3" xfId="12084" xr:uid="{A01F63AD-9268-4F10-875C-3CCC7411883D}"/>
    <cellStyle name="Normal 3 6 3 5 3 2" xfId="32146" xr:uid="{4D1A6A0B-3D31-4F15-AD15-6217AEDC948F}"/>
    <cellStyle name="Normal 3 6 3 5 4" xfId="14951" xr:uid="{DA7220B9-C28C-4541-B50B-2944FF4F5F62}"/>
    <cellStyle name="Normal 3 6 3 6" xfId="8947" xr:uid="{7733D611-D160-4B0C-9F51-04C70D9D8504}"/>
    <cellStyle name="Normal 3 6 3 6 2" xfId="12693" xr:uid="{44891851-20D4-4CF5-8E6B-0C971E4A184D}"/>
    <cellStyle name="Normal 3 6 3 6 2 2" xfId="48883" xr:uid="{E08F1551-E1C1-4680-8318-922DEFBC500F}"/>
    <cellStyle name="Normal 3 6 3 6 3" xfId="32147" xr:uid="{DBB53C15-1677-41A6-A71F-8D874B93BBED}"/>
    <cellStyle name="Normal 3 6 3 7" xfId="8024" xr:uid="{F4BAFA0A-B0ED-4500-9527-B62327699B6E}"/>
    <cellStyle name="Normal 3 6 3 7 2" xfId="12537" xr:uid="{2ABE5968-3604-49EF-B96C-1F04C76DF7C9}"/>
    <cellStyle name="Normal 3 6 3 7 3" xfId="47728" xr:uid="{AEF8731A-2647-4AC8-B14E-2885C98E3F22}"/>
    <cellStyle name="Normal 3 6 3 8" xfId="5921" xr:uid="{FEE3620A-B995-494C-9058-89B556A0E721}"/>
    <cellStyle name="Normal 3 6 3 8 2" xfId="16036" xr:uid="{E51F4C79-D1FA-4282-9DBA-63354506B647}"/>
    <cellStyle name="Normal 3 6 3 9" xfId="11409" xr:uid="{21F3012E-C0A6-4745-827E-034855D922D3}"/>
    <cellStyle name="Normal 3 6 4" xfId="5057" xr:uid="{486BC236-CF41-4F7A-AAD5-8C91A42327E1}"/>
    <cellStyle name="Normal 3 6 4 2" xfId="5782" xr:uid="{DFCEF987-B976-4C41-87B2-7B7F50097657}"/>
    <cellStyle name="Normal 3 6 4 2 2" xfId="7884" xr:uid="{44B79198-0FF4-4191-AF82-B008F97180D7}"/>
    <cellStyle name="Normal 3 6 4 2 2 2" xfId="10376" xr:uid="{6E8C609B-BEAE-45C8-8A60-9CD6AFB8411B}"/>
    <cellStyle name="Normal 3 6 4 2 2 2 2" xfId="13682" xr:uid="{318DECC1-C502-4EAE-9F07-D7FD55E2F6E2}"/>
    <cellStyle name="Normal 3 6 4 2 2 2 3" xfId="49191" xr:uid="{7DA9E029-5E00-4003-B215-558512340D39}"/>
    <cellStyle name="Normal 3 6 4 2 2 3" xfId="12397" xr:uid="{5895969D-9B43-4504-88AF-45714E1182CE}"/>
    <cellStyle name="Normal 3 6 4 2 2 3 2" xfId="21954" xr:uid="{CDFD9CCF-D9AC-4F04-8A73-788CBF662513}"/>
    <cellStyle name="Normal 3 6 4 2 2 4" xfId="14811" xr:uid="{7CF9346F-B846-42CE-94F7-1320B7F79B3C}"/>
    <cellStyle name="Normal 3 6 4 2 3" xfId="9882" xr:uid="{0C1A6D82-55F9-4926-B07D-F3466B564736}"/>
    <cellStyle name="Normal 3 6 4 2 3 2" xfId="13188" xr:uid="{BDFEBD16-F36A-4DC9-9FC1-E09593355B99}"/>
    <cellStyle name="Normal 3 6 4 2 3 3" xfId="48332" xr:uid="{CDCA63BE-B2A5-498C-9347-6380771CD116}"/>
    <cellStyle name="Normal 3 6 4 2 4" xfId="7380" xr:uid="{4E6AFE4D-34E3-4D55-B7E0-2A798C67527A}"/>
    <cellStyle name="Normal 3 6 4 2 4 2" xfId="18337" xr:uid="{68134916-1C93-444B-B3F9-98CC8768693E}"/>
    <cellStyle name="Normal 3 6 4 2 5" xfId="11903" xr:uid="{B79771F7-362D-446E-879E-4E8BD7A38548}"/>
    <cellStyle name="Normal 3 6 4 2 6" xfId="14319" xr:uid="{4A1EA3BF-E7F8-4173-BC65-73D27B605DA4}"/>
    <cellStyle name="Normal 3 6 4 3" xfId="7570" xr:uid="{AE7D55CD-6896-4762-A7B8-918F1A284A0B}"/>
    <cellStyle name="Normal 3 6 4 3 2" xfId="10062" xr:uid="{D8A69929-B24E-46DD-8799-EBC88118B6F1}"/>
    <cellStyle name="Normal 3 6 4 3 2 2" xfId="13368" xr:uid="{86A30028-4540-4144-86CE-57F7CD4A8CBA}"/>
    <cellStyle name="Normal 3 6 4 3 2 3" xfId="48029" xr:uid="{36B761D5-1A8D-47F6-A96F-CC5B225667CF}"/>
    <cellStyle name="Normal 3 6 4 3 3" xfId="12083" xr:uid="{80BF857D-7FEE-4197-9810-BDBF2ECE6C57}"/>
    <cellStyle name="Normal 3 6 4 3 3 2" xfId="32148" xr:uid="{88CD1878-DF30-4213-AA80-EDA779381972}"/>
    <cellStyle name="Normal 3 6 4 3 4" xfId="14497" xr:uid="{7F1D605E-9678-4301-B57C-70EF7CD0A3EE}"/>
    <cellStyle name="Normal 3 6 4 4" xfId="11187" xr:uid="{F11B7D7F-9497-4FAD-A554-2EA082BDE247}"/>
    <cellStyle name="Normal 3 6 4 4 2" xfId="13775" xr:uid="{8BD454F0-A725-4158-841F-327741E8E378}"/>
    <cellStyle name="Normal 3 6 4 4 2 2" xfId="48575" xr:uid="{5A13FB94-DAE8-4FDF-80EE-5142529A1CD2}"/>
    <cellStyle name="Normal 3 6 4 4 3" xfId="32149" xr:uid="{8284B314-0F39-4B50-92DD-3BFC9C46D04D}"/>
    <cellStyle name="Normal 3 6 4 4 4" xfId="15126" xr:uid="{2E09F760-2562-443E-B9F1-CAD54ABA9A32}"/>
    <cellStyle name="Normal 3 6 4 5" xfId="9568" xr:uid="{A9BC384A-DEBA-4FD1-9709-E808C528E458}"/>
    <cellStyle name="Normal 3 6 4 5 2" xfId="12874" xr:uid="{93063B2F-6440-483D-AE0B-AED78C2FFC5E}"/>
    <cellStyle name="Normal 3 6 4 5 2 2" xfId="48882" xr:uid="{C46245FE-A190-4882-B79F-C4F2C25CA949}"/>
    <cellStyle name="Normal 3 6 4 5 3" xfId="32150" xr:uid="{4007FC8D-F399-4956-8612-B627F7AF823D}"/>
    <cellStyle name="Normal 3 6 4 6" xfId="6881" xr:uid="{FEC453F9-0B06-40E6-84CA-F8E34339F88E}"/>
    <cellStyle name="Normal 3 6 4 6 2" xfId="32151" xr:uid="{8F76C9D7-5AE2-4437-81B4-A867192B5315}"/>
    <cellStyle name="Normal 3 6 4 7" xfId="11589" xr:uid="{A972C0C9-D1E6-47DA-8DCE-EAA733CFF962}"/>
    <cellStyle name="Normal 3 6 4 7 2" xfId="16723" xr:uid="{12011CB6-3C2C-4822-983E-B0533044266F}"/>
    <cellStyle name="Normal 3 6 4 8" xfId="14005" xr:uid="{5194790E-3809-494F-8A57-2EB553B21A02}"/>
    <cellStyle name="Normal 3 6 5" xfId="4160" xr:uid="{FEE7F89D-F1AD-499C-B071-BFF9EED7D676}"/>
    <cellStyle name="Normal 3 6 5 2" xfId="5652" xr:uid="{9C51A1B5-A04B-44E1-B1DA-3B9EC3F4F1F2}"/>
    <cellStyle name="Normal 3 6 5 2 2" xfId="10246" xr:uid="{4D9DB28C-6114-4C83-9210-0450A6A63910}"/>
    <cellStyle name="Normal 3 6 5 2 2 2" xfId="13552" xr:uid="{7605F156-156A-4644-B68A-AF9C804F6BB6}"/>
    <cellStyle name="Normal 3 6 5 2 2 3" xfId="21955" xr:uid="{18395A72-3625-4499-86F5-58F95AD4CE09}"/>
    <cellStyle name="Normal 3 6 5 2 3" xfId="7754" xr:uid="{7CE4A58C-743B-4375-BDE8-B1D272D0426E}"/>
    <cellStyle name="Normal 3 6 5 2 3 2" xfId="18338" xr:uid="{38AFB8CC-A03F-457D-944F-801C0B017068}"/>
    <cellStyle name="Normal 3 6 5 2 4" xfId="12267" xr:uid="{E7016115-D5E1-46A2-998D-8A224A5EFDD5}"/>
    <cellStyle name="Normal 3 6 5 2 5" xfId="14681" xr:uid="{A92231CC-8D72-4724-8BA0-CDBA8CACC042}"/>
    <cellStyle name="Normal 3 6 5 3" xfId="9752" xr:uid="{7F78B202-A3B4-4E68-A2A3-837F8BBAADBB}"/>
    <cellStyle name="Normal 3 6 5 3 2" xfId="13058" xr:uid="{02CB234C-D43E-4D20-9FA9-B3FD7E19532A}"/>
    <cellStyle name="Normal 3 6 5 3 2 2" xfId="49062" xr:uid="{DA07DE33-C638-4848-A059-5FAF8DECBDC1}"/>
    <cellStyle name="Normal 3 6 5 3 3" xfId="20690" xr:uid="{5E10AF4A-28E1-4024-A4CE-2FA057496746}"/>
    <cellStyle name="Normal 3 6 5 3 4" xfId="14996" xr:uid="{CD955E69-F727-4967-A5A5-EB19B3C492D6}"/>
    <cellStyle name="Normal 3 6 5 4" xfId="7248" xr:uid="{D05A9F57-582A-4BDB-8762-B4274BA0D7D6}"/>
    <cellStyle name="Normal 3 6 5 4 2" xfId="48206" xr:uid="{B873B808-6187-4B27-A9B4-99DCE289037C}"/>
    <cellStyle name="Normal 3 6 5 5" xfId="11773" xr:uid="{309F989A-D163-4676-B88C-6D29087CE535}"/>
    <cellStyle name="Normal 3 6 5 5 2" xfId="16538" xr:uid="{F90A4243-ABB9-42EB-8413-8B426F39D205}"/>
    <cellStyle name="Normal 3 6 5 6" xfId="14189" xr:uid="{D6DBF8CE-631A-4A23-87B4-550CFDC37380}"/>
    <cellStyle name="Normal 3 6 6" xfId="5606" xr:uid="{495A4453-3952-4AE3-AC0F-D07AD492BEDD}"/>
    <cellStyle name="Normal 3 6 6 2" xfId="7708" xr:uid="{85704720-D9BB-4E41-A927-8C818A2614B4}"/>
    <cellStyle name="Normal 3 6 6 2 2" xfId="10200" xr:uid="{85D58B16-63A5-4747-B235-563634E46051}"/>
    <cellStyle name="Normal 3 6 6 2 2 2" xfId="13506" xr:uid="{ABFDE9C0-1C9F-4947-85DF-9AF5F58E38C2}"/>
    <cellStyle name="Normal 3 6 6 2 2 3" xfId="48657" xr:uid="{A543623D-93B5-4913-8B2A-B76CDAD752C5}"/>
    <cellStyle name="Normal 3 6 6 2 3" xfId="12221" xr:uid="{C9BAB4B3-6262-4D4B-84BA-9DB408C30570}"/>
    <cellStyle name="Normal 3 6 6 2 3 2" xfId="21951" xr:uid="{9A9A396C-9458-4D21-BBF7-D38FAAFC53AA}"/>
    <cellStyle name="Normal 3 6 6 2 4" xfId="14635" xr:uid="{8509CCF1-D858-4C23-9CB8-277223E2F262}"/>
    <cellStyle name="Normal 3 6 6 3" xfId="9706" xr:uid="{E6458225-DA0E-48D2-B1B3-B07B2ED977B3}"/>
    <cellStyle name="Normal 3 6 6 3 2" xfId="13012" xr:uid="{5BE7FF99-FE26-4B9A-A84F-D1CA2C1B4C1C}"/>
    <cellStyle name="Normal 3 6 6 3 2 2" xfId="49019" xr:uid="{5347811C-1F93-43BC-8F2E-770787CD0DBB}"/>
    <cellStyle name="Normal 3 6 6 3 3" xfId="47440" xr:uid="{C7C0CBBD-9B46-4E2A-B1B9-D5159E6579C8}"/>
    <cellStyle name="Normal 3 6 6 4" xfId="7202" xr:uid="{9EDA8D14-CED6-41A3-B667-5570C6EC3055}"/>
    <cellStyle name="Normal 3 6 6 4 2" xfId="48164" xr:uid="{286B6A63-CDA4-49E7-911B-94E29143989C}"/>
    <cellStyle name="Normal 3 6 6 5" xfId="11727" xr:uid="{36D75562-2B25-40B2-A4D1-FBE96091DB61}"/>
    <cellStyle name="Normal 3 6 6 5 2" xfId="18334" xr:uid="{9FEEE787-0219-49C0-99F7-7F5CB89EA87B}"/>
    <cellStyle name="Normal 3 6 6 6" xfId="14143" xr:uid="{74CE80C9-F825-430F-A5FC-4F413EE9C799}"/>
    <cellStyle name="Normal 3 6 7" xfId="6226" xr:uid="{9B338566-8BFD-470B-9009-2D37F1B26862}"/>
    <cellStyle name="Normal 3 6 7 2" xfId="9435" xr:uid="{39DE28A2-6737-40EC-B956-246CE2718EB5}"/>
    <cellStyle name="Normal 3 6 7 2 2" xfId="12741" xr:uid="{7E5CC7E6-21C3-482E-9646-446358192D4F}"/>
    <cellStyle name="Normal 3 6 7 2 3" xfId="23405" xr:uid="{6DCE5746-CCC8-4283-92FC-BB4CABF9ED3B}"/>
    <cellStyle name="Normal 3 6 7 3" xfId="11456" xr:uid="{0C631128-C343-4130-B110-0F83D8EF6554}"/>
    <cellStyle name="Normal 3 6 7 3 2" xfId="19785" xr:uid="{61A1E5DC-B27E-4B4A-B7FB-984731737891}"/>
    <cellStyle name="Normal 3 6 7 4" xfId="14367" xr:uid="{4FC7E28C-D3E4-40EB-BC66-4642DC3B8AD2}"/>
    <cellStyle name="Normal 3 6 8" xfId="7440" xr:uid="{866816C1-619F-4BA4-B674-23F84DC3FB86}"/>
    <cellStyle name="Normal 3 6 8 2" xfId="9932" xr:uid="{6666F806-DD5D-4DFB-BBFA-1438F536761B}"/>
    <cellStyle name="Normal 3 6 8 2 2" xfId="13238" xr:uid="{0867B256-5A6B-4E24-BC2A-02B9EEFA7C2B}"/>
    <cellStyle name="Normal 3 6 8 2 3" xfId="48413" xr:uid="{940CA808-9915-46F7-AAAB-3E2F0E92D144}"/>
    <cellStyle name="Normal 3 6 8 3" xfId="11953" xr:uid="{670BB3FE-AD92-44AA-8FEE-7E0D70BFF43C}"/>
    <cellStyle name="Normal 3 6 8 3 2" xfId="32152" xr:uid="{8381F79F-07B4-4992-A7E1-08EB324F80BE}"/>
    <cellStyle name="Normal 3 6 8 4" xfId="14950" xr:uid="{C9E17AF1-DDCA-463D-817C-A706E5269D50}"/>
    <cellStyle name="Normal 3 6 9" xfId="8946" xr:uid="{A679168D-B95D-4F08-BBFA-A2ED4DE476C5}"/>
    <cellStyle name="Normal 3 6 9 2" xfId="12692" xr:uid="{CE08C1E0-AC06-4417-B386-1E37C0F55012}"/>
    <cellStyle name="Normal 3 6 9 2 2" xfId="48752" xr:uid="{219E37C8-C314-49E7-BCAE-252A19C7DD31}"/>
    <cellStyle name="Normal 3 6 9 3" xfId="32153" xr:uid="{5108FAD5-2F58-4471-908B-D0562E494599}"/>
    <cellStyle name="Normal 3 7" xfId="3034" xr:uid="{04F61385-D979-4D5B-ACE4-4C90D2E2B426}"/>
    <cellStyle name="Normal 3 7 10" xfId="32154" xr:uid="{D9749650-855C-43B6-BEFD-9DA8D7CB1720}"/>
    <cellStyle name="Normal 3 7 2" xfId="3035" xr:uid="{C4AD084E-2A9D-4B9F-889D-2D8A12317088}"/>
    <cellStyle name="Normal 3 7 2 2" xfId="16794" xr:uid="{AB1F5F7F-8812-40C6-B34B-89ECC9AFA20C}"/>
    <cellStyle name="Normal 3 7 2 2 2" xfId="18341" xr:uid="{6C3711D7-E076-4677-BA88-9D7618A6C65D}"/>
    <cellStyle name="Normal 3 7 2 2 2 2" xfId="21958" xr:uid="{C720E7D2-93BF-4275-AD00-6546C3430C24}"/>
    <cellStyle name="Normal 3 7 2 2 3" xfId="32155" xr:uid="{3DBCE252-048B-40FE-A0AC-AAD9E0540787}"/>
    <cellStyle name="Normal 3 7 2 2 4" xfId="32156" xr:uid="{D6E065E8-E9EB-4148-A2C9-81E84006D9D8}"/>
    <cellStyle name="Normal 3 7 2 2 5" xfId="32157" xr:uid="{F23BC325-ECB6-4073-AADE-AB30FF5F4D02}"/>
    <cellStyle name="Normal 3 7 2 2 6" xfId="32158" xr:uid="{BCCFA088-93D7-4B88-B136-466D3E88CA94}"/>
    <cellStyle name="Normal 3 7 2 3" xfId="16540" xr:uid="{81A09DAD-92AD-4C19-A5F0-291B9EFC3D70}"/>
    <cellStyle name="Normal 3 7 2 3 2" xfId="18342" xr:uid="{21D4E898-EF96-4181-8210-CC05E199922B}"/>
    <cellStyle name="Normal 3 7 2 3 2 2" xfId="21959" xr:uid="{D229F675-35AF-4CA3-9EFE-B7C5791C71E4}"/>
    <cellStyle name="Normal 3 7 2 3 3" xfId="32159" xr:uid="{E20A9C08-D12D-43C0-8996-BC5CAA70A52D}"/>
    <cellStyle name="Normal 3 7 2 3 4" xfId="32160" xr:uid="{DF9796D8-E626-48B5-A3AC-8D49BAE359BB}"/>
    <cellStyle name="Normal 3 7 2 3 5" xfId="32161" xr:uid="{C56DC622-70A5-4256-8D53-ED1534B4786B}"/>
    <cellStyle name="Normal 3 7 2 3 6" xfId="32162" xr:uid="{2947B67B-422F-42F3-AFA8-60A0DDBDCA91}"/>
    <cellStyle name="Normal 3 7 2 4" xfId="18340" xr:uid="{8729E2FF-AE3A-4925-BD82-5767526E3D58}"/>
    <cellStyle name="Normal 3 7 2 4 2" xfId="21957" xr:uid="{272F5A1E-92CC-45DE-931E-0C3FABA6EFAB}"/>
    <cellStyle name="Normal 3 7 2 5" xfId="32163" xr:uid="{ACBD7559-4B91-4197-828A-5A5C5458E489}"/>
    <cellStyle name="Normal 3 7 2 6" xfId="32164" xr:uid="{6ECC661B-6E24-46CA-902C-F4E96FBFBC24}"/>
    <cellStyle name="Normal 3 7 2 7" xfId="32165" xr:uid="{2152B16B-C4BE-46BE-A32E-B35199628310}"/>
    <cellStyle name="Normal 3 7 2 8" xfId="32166" xr:uid="{D8569F48-2F77-40FF-B13D-030496085966}"/>
    <cellStyle name="Normal 3 7 3" xfId="5059" xr:uid="{D86E57BA-8E7C-4AD3-81FC-D99B74378D38}"/>
    <cellStyle name="Normal 3 7 3 2" xfId="18343" xr:uid="{E855846F-A29D-4041-B8A8-E532B85F4A7F}"/>
    <cellStyle name="Normal 3 7 3 2 2" xfId="21960" xr:uid="{7ECB593F-772F-410B-8BC9-B7B45977216F}"/>
    <cellStyle name="Normal 3 7 3 3" xfId="32167" xr:uid="{B266B03F-BD35-4BB4-B4CA-4AD77605D3EE}"/>
    <cellStyle name="Normal 3 7 3 4" xfId="32168" xr:uid="{9D2C35F6-5F8A-4F8B-AE97-AF336785D2B5}"/>
    <cellStyle name="Normal 3 7 3 5" xfId="32169" xr:uid="{8CE7DE7D-0DBA-4F89-9914-E9FC9D222C48}"/>
    <cellStyle name="Normal 3 7 3 6" xfId="32170" xr:uid="{FC42C013-AE8D-414B-8F67-70F383BF0C73}"/>
    <cellStyle name="Normal 3 7 3 7" xfId="43630" xr:uid="{6AEC982E-55F4-4276-8F7A-9762D99E84CB}"/>
    <cellStyle name="Normal 3 7 3 8" xfId="16724" xr:uid="{D7BFC2DB-71F6-4A36-AD44-C9B39C895E1C}"/>
    <cellStyle name="Normal 3 7 4" xfId="4161" xr:uid="{5BC6F78D-A2FE-4A63-B74A-DDF37013B0A5}"/>
    <cellStyle name="Normal 3 7 4 2" xfId="18344" xr:uid="{6FB64244-5A06-49DF-89A7-D0F54524A78D}"/>
    <cellStyle name="Normal 3 7 4 2 2" xfId="21961" xr:uid="{698F6D00-FFD8-4A96-8D06-CA2B19156F2C}"/>
    <cellStyle name="Normal 3 7 4 3" xfId="20691" xr:uid="{0FD4FFCE-1838-41E2-AC7A-A4160F03927D}"/>
    <cellStyle name="Normal 3 7 4 4" xfId="43984" xr:uid="{BAA78B06-BD68-44E0-AEA8-BCF938FF572F}"/>
    <cellStyle name="Normal 3 7 4 5" xfId="16539" xr:uid="{CAF2541D-BB2F-4181-8512-91E259498981}"/>
    <cellStyle name="Normal 3 7 5" xfId="6227" xr:uid="{E22BBB59-B8C9-4B9D-88DD-C5F084A02A2A}"/>
    <cellStyle name="Normal 3 7 5 2" xfId="21956" xr:uid="{61BDCCBD-2BD4-4135-B304-2008481E041D}"/>
    <cellStyle name="Normal 3 7 5 3" xfId="45889" xr:uid="{3C0FE59C-A57F-49B1-A7D0-41635FB68BA1}"/>
    <cellStyle name="Normal 3 7 5 4" xfId="18339" xr:uid="{2266E2C5-6305-49FC-B3AD-D493873CC38B}"/>
    <cellStyle name="Normal 3 7 6" xfId="8948" xr:uid="{29748A22-E9B4-4046-80B8-AEC4D041DF1B}"/>
    <cellStyle name="Normal 3 7 6 2" xfId="32171" xr:uid="{19136769-21CD-431F-871C-64F41800E9F7}"/>
    <cellStyle name="Normal 3 7 7" xfId="32172" xr:uid="{D6B96571-31BA-4D30-A7D7-BEA7D30B5445}"/>
    <cellStyle name="Normal 3 7 8" xfId="32173" xr:uid="{068DD10D-6452-4158-B6A6-F16527B189D4}"/>
    <cellStyle name="Normal 3 7 9" xfId="32174" xr:uid="{3B564F75-B007-4723-BCF0-98A743E84E4D}"/>
    <cellStyle name="Normal 3 8" xfId="3036" xr:uid="{8F4E83CA-2549-4193-BB8F-DB4037AC4727}"/>
    <cellStyle name="Normal 3 8 2" xfId="3037" xr:uid="{6B538927-9A2E-408E-A89F-54BC67AA4486}"/>
    <cellStyle name="Normal 3 8 2 2" xfId="5061" xr:uid="{20FE55D5-E0C5-494B-8F74-6A0993FC3FEA}"/>
    <cellStyle name="Normal 3 8 2 2 2" xfId="21963" xr:uid="{432FE5EB-7A1C-4AAD-A393-64425D62A3EE}"/>
    <cellStyle name="Normal 3 8 2 2 3" xfId="44332" xr:uid="{C0165941-D2D1-4198-83F9-11A35ACE426C}"/>
    <cellStyle name="Normal 3 8 2 2 4" xfId="18346" xr:uid="{4D0C4E5B-B8DE-4929-B7CA-97DD1E2D418E}"/>
    <cellStyle name="Normal 3 8 2 3" xfId="6883" xr:uid="{CFCF8B98-2A16-4688-8E8A-DCC17A43C294}"/>
    <cellStyle name="Normal 3 8 2 3 2" xfId="46348" xr:uid="{433555BD-44FB-4F6E-B853-5A024F2812D7}"/>
    <cellStyle name="Normal 3 8 2 3 3" xfId="32175" xr:uid="{2AB6510A-FABD-4FBD-8FBB-C0947CBF46E6}"/>
    <cellStyle name="Normal 3 8 2 4" xfId="8950" xr:uid="{1A805037-5827-44FE-9B0B-64FD0DF930CB}"/>
    <cellStyle name="Normal 3 8 2 4 2" xfId="32176" xr:uid="{61155C87-19F3-4282-9D07-0DB96D36BD75}"/>
    <cellStyle name="Normal 3 8 2 5" xfId="32177" xr:uid="{3E729F4E-1C83-4F4D-BA4B-400629DDA4EB}"/>
    <cellStyle name="Normal 3 8 2 6" xfId="32178" xr:uid="{56CCBBA2-FD01-4F23-B3D4-C6BF0E39668A}"/>
    <cellStyle name="Normal 3 8 3" xfId="5060" xr:uid="{664C757D-0995-4DB7-B50A-9A012CA18299}"/>
    <cellStyle name="Normal 3 8 3 2" xfId="21962" xr:uid="{E6C46EC8-3D45-4432-AE1F-E18592803F5E}"/>
    <cellStyle name="Normal 3 8 3 3" xfId="43631" xr:uid="{7CC09C46-45B0-4EBD-A408-EDADE832C327}"/>
    <cellStyle name="Normal 3 8 3 4" xfId="18345" xr:uid="{34B20EAD-2F59-4DCA-A987-70D38AE8D0A4}"/>
    <cellStyle name="Normal 3 8 4" xfId="4162" xr:uid="{6A1D461B-4C1B-40CF-A1D3-601E220BDD40}"/>
    <cellStyle name="Normal 3 8 4 2" xfId="32180" xr:uid="{B4D5C887-43A9-4984-B850-E0096D6C823F}"/>
    <cellStyle name="Normal 3 8 4 3" xfId="32181" xr:uid="{4413B247-3100-4749-817B-5C928DE21D45}"/>
    <cellStyle name="Normal 3 8 4 4" xfId="32182" xr:uid="{E40CDFEB-C5E5-4548-90C0-2CF177864E8B}"/>
    <cellStyle name="Normal 3 8 4 5" xfId="32183" xr:uid="{86B4D32C-7F44-465A-BA76-F9EE115DCEDC}"/>
    <cellStyle name="Normal 3 8 4 6" xfId="32179" xr:uid="{EE3690AB-9768-47E6-834B-13A73FA9275D}"/>
    <cellStyle name="Normal 3 8 5" xfId="6228" xr:uid="{E2C38A28-9E97-455E-926B-471ACB3576D7}"/>
    <cellStyle name="Normal 3 8 5 2" xfId="11215" xr:uid="{8421E5E6-F246-4427-AC27-7F4D21BEB10F}"/>
    <cellStyle name="Normal 3 8 5 3" xfId="45890" xr:uid="{8082BAC5-4D82-46BB-A40A-443E9E3B1A05}"/>
    <cellStyle name="Normal 3 8 5 4" xfId="32184" xr:uid="{A3097704-3028-4FB2-A870-580217F048F0}"/>
    <cellStyle name="Normal 3 8 6" xfId="8949" xr:uid="{2A86AB65-95A5-49EB-A4D9-D665779D5FD2}"/>
    <cellStyle name="Normal 3 8 6 2" xfId="32185" xr:uid="{435215EA-CF77-433A-930E-8F2EAEB771CE}"/>
    <cellStyle name="Normal 3 8 7" xfId="32186" xr:uid="{C1003561-20E7-43F3-A998-D340E6D73050}"/>
    <cellStyle name="Normal 3 8 8" xfId="32187" xr:uid="{4A82D899-9FBA-42C6-95E2-5A424121E148}"/>
    <cellStyle name="Normal 3 8 9" xfId="32188" xr:uid="{F0802264-7DCC-430C-A708-5B93AB04A987}"/>
    <cellStyle name="Normal 3 9" xfId="3038" xr:uid="{D6E2DB66-8D33-4639-99D2-9FAD99DFBF91}"/>
    <cellStyle name="Normal 3 9 2" xfId="5062" xr:uid="{CF53C96A-1B7C-4FE9-9134-A23ABF7AB02D}"/>
    <cellStyle name="Normal 3 9 2 2" xfId="18348" xr:uid="{0882FB21-CDB5-4D9D-97C7-A3427E389A88}"/>
    <cellStyle name="Normal 3 9 2 2 2" xfId="21965" xr:uid="{33053709-C328-485B-BA77-8358A2303ADF}"/>
    <cellStyle name="Normal 3 9 2 3" xfId="32189" xr:uid="{6779318D-C303-47BE-85C5-2E04516D12D6}"/>
    <cellStyle name="Normal 3 9 2 4" xfId="32190" xr:uid="{57F3A638-23A4-41E2-AAB1-2733A40568EC}"/>
    <cellStyle name="Normal 3 9 2 5" xfId="32191" xr:uid="{CFA7C3A3-F70D-4800-9F36-1B3C1882AEAC}"/>
    <cellStyle name="Normal 3 9 2 6" xfId="32192" xr:uid="{8A07D88E-BA09-4CF1-9BD3-39F26BB8D775}"/>
    <cellStyle name="Normal 3 9 3" xfId="4163" xr:uid="{EABFA500-651D-41A9-9568-8B7FD3AC6954}"/>
    <cellStyle name="Normal 3 9 3 2" xfId="21964" xr:uid="{88F2709D-F521-41F0-8ACF-A808865A6424}"/>
    <cellStyle name="Normal 3 9 3 3" xfId="43985" xr:uid="{F376D6E2-F0C7-4C83-85FD-14079E8F052E}"/>
    <cellStyle name="Normal 3 9 3 4" xfId="18347" xr:uid="{B18F4CF9-472A-4DF1-AD02-516C9C75D212}"/>
    <cellStyle name="Normal 3 9 4" xfId="6229" xr:uid="{3DC35D25-CC20-47F9-80D3-D260FD1A1B11}"/>
    <cellStyle name="Normal 3 9 4 2" xfId="45891" xr:uid="{2F20B340-56DD-4509-9BD2-51E8CA35839A}"/>
    <cellStyle name="Normal 3 9 4 3" xfId="32193" xr:uid="{72220C95-FFE8-4883-9C9C-4505168CE5AB}"/>
    <cellStyle name="Normal 3 9 5" xfId="8951" xr:uid="{7B6232EB-61B7-4A1F-A692-5A424E181961}"/>
    <cellStyle name="Normal 3 9 5 2" xfId="32194" xr:uid="{FBE0EAD1-0CC8-4E2E-BCAA-3BF939D903C1}"/>
    <cellStyle name="Normal 3 9 6" xfId="32195" xr:uid="{B82AE1AF-CBCD-424B-83C6-E90696565611}"/>
    <cellStyle name="Normal 3 9 7" xfId="32196" xr:uid="{2043E8D1-1CA3-4FFC-B142-669B68F35867}"/>
    <cellStyle name="Normal 3 9 8" xfId="32197" xr:uid="{B736A966-618E-4424-BC54-417183AEF473}"/>
    <cellStyle name="Normal 3_RCA" xfId="3039" xr:uid="{F944A212-66C8-4AA9-953E-258A3F427073}"/>
    <cellStyle name="Normal 30" xfId="3040" xr:uid="{B84294CF-8331-4C4A-A7D4-9EE3097342E4}"/>
    <cellStyle name="Normal 30 10" xfId="32198" xr:uid="{9C4CFC4D-8138-4622-91BA-36DE09B71587}"/>
    <cellStyle name="Normal 30 2" xfId="3041" xr:uid="{E66D69DD-D20B-41CA-9184-47CDABA970F0}"/>
    <cellStyle name="Normal 30 2 2" xfId="8068" xr:uid="{17819C47-45ED-459F-B496-55A89674E36D}"/>
    <cellStyle name="Normal 30 2 2 2" xfId="18351" xr:uid="{553BE6CE-3A3C-4CB3-8C2F-F4869639E6D6}"/>
    <cellStyle name="Normal 30 2 2 2 2" xfId="21968" xr:uid="{862C02A9-3BA0-41CB-AFF4-15BEDF8DB2EA}"/>
    <cellStyle name="Normal 30 2 2 3" xfId="32199" xr:uid="{0878350C-F350-4929-9002-4A60B9635463}"/>
    <cellStyle name="Normal 30 2 2 4" xfId="32200" xr:uid="{A05FDFA5-B527-4C85-9CB4-BCFF9F4F0786}"/>
    <cellStyle name="Normal 30 2 2 5" xfId="32201" xr:uid="{3D0F5A75-9E93-4E31-A75A-1571F5843A14}"/>
    <cellStyle name="Normal 30 2 2 6" xfId="32202" xr:uid="{32C7A44A-ACFC-4B1A-B594-7DD126C6E9B1}"/>
    <cellStyle name="Normal 30 2 2 7" xfId="16802" xr:uid="{7FF7D313-1ACB-4DE3-B69F-CF95019F5727}"/>
    <cellStyle name="Normal 30 2 3" xfId="16541" xr:uid="{AB687DEA-5AE8-4787-8918-A36DC552E96B}"/>
    <cellStyle name="Normal 30 2 3 2" xfId="18352" xr:uid="{42F8789D-6941-44A6-817B-C2F19104ACF4}"/>
    <cellStyle name="Normal 30 2 3 2 2" xfId="21969" xr:uid="{D137DE9B-2AD2-416A-A11F-FB915F322C65}"/>
    <cellStyle name="Normal 30 2 3 3" xfId="32203" xr:uid="{8D28BB6D-0800-4281-9D39-227355C6BBB4}"/>
    <cellStyle name="Normal 30 2 3 4" xfId="32204" xr:uid="{4F2AA4EC-46D4-4515-A77F-314262D574AB}"/>
    <cellStyle name="Normal 30 2 3 5" xfId="32205" xr:uid="{91F434DA-A56A-4166-BB20-F221DFF212C4}"/>
    <cellStyle name="Normal 30 2 3 6" xfId="32206" xr:uid="{4F425EAA-CE8E-481C-A148-A12FE0E97539}"/>
    <cellStyle name="Normal 30 2 4" xfId="18350" xr:uid="{985AC41F-65D6-4951-BE28-73EDE6D3312B}"/>
    <cellStyle name="Normal 30 2 4 2" xfId="21967" xr:uid="{504B82B9-D454-4E56-8A2B-00C2120803D3}"/>
    <cellStyle name="Normal 30 2 5" xfId="32207" xr:uid="{093B0904-3FCA-45AD-816D-C0E9202A73FC}"/>
    <cellStyle name="Normal 30 2 6" xfId="32208" xr:uid="{1F4BC91C-3E24-4C62-AAFE-16F83DF68C05}"/>
    <cellStyle name="Normal 30 2 7" xfId="32209" xr:uid="{C3563C2A-951B-4D7F-A3D4-E2D152671FC7}"/>
    <cellStyle name="Normal 30 2 8" xfId="32210" xr:uid="{E4EC513C-7CA1-4D15-9473-98EAFB8338A4}"/>
    <cellStyle name="Normal 30 3" xfId="5063" xr:uid="{627C0E88-8B46-42CF-9DEA-5DC3AD40469B}"/>
    <cellStyle name="Normal 30 3 2" xfId="18353" xr:uid="{FFB942D9-6A2B-413A-ACF0-6400362A23D8}"/>
    <cellStyle name="Normal 30 3 2 2" xfId="21970" xr:uid="{69466A5B-E8E9-497B-9D9E-A4E9BDE622CD}"/>
    <cellStyle name="Normal 30 3 3" xfId="32211" xr:uid="{B2F0DE8C-1D8E-490B-BBE4-59E817AF3337}"/>
    <cellStyle name="Normal 30 3 4" xfId="32212" xr:uid="{1B66C9AD-4F47-4B3C-A2BD-9DFF8CF58EBD}"/>
    <cellStyle name="Normal 30 3 5" xfId="32213" xr:uid="{7DFDB2EA-9D0B-4AC0-B28E-7786DFEE4EA5}"/>
    <cellStyle name="Normal 30 3 6" xfId="32214" xr:uid="{9EFCB059-4281-4D6D-95CB-6B0E24388438}"/>
    <cellStyle name="Normal 30 4" xfId="4164" xr:uid="{3E6FACB3-B611-490B-9515-1932EFCABD10}"/>
    <cellStyle name="Normal 30 4 2" xfId="18354" xr:uid="{AAFD8161-2EF0-43CC-BAB3-E9FC26B3752D}"/>
    <cellStyle name="Normal 30 4 2 2" xfId="21971" xr:uid="{15ACFC34-0F8B-47BD-AF38-2FB3597B2CB7}"/>
    <cellStyle name="Normal 30 4 3" xfId="32215" xr:uid="{2E34F39D-1D21-4DA4-A193-0660EABC4762}"/>
    <cellStyle name="Normal 30 4 4" xfId="32216" xr:uid="{896F4A63-FC30-4627-AFA5-E6798750E8A6}"/>
    <cellStyle name="Normal 30 4 5" xfId="32217" xr:uid="{1A7FED39-A402-4094-B1A1-CE59AE4BCD35}"/>
    <cellStyle name="Normal 30 4 6" xfId="32218" xr:uid="{B40C2C22-C8CD-46C8-89D9-46BEDA222B2F}"/>
    <cellStyle name="Normal 30 4 7" xfId="43986" xr:uid="{48F9BBF0-D3DA-4897-A7E6-54267D906395}"/>
    <cellStyle name="Normal 30 4 8" xfId="16733" xr:uid="{46E78ED6-A8ED-4662-AF80-250BF4A8E43F}"/>
    <cellStyle name="Normal 30 5" xfId="6230" xr:uid="{0CAF97F7-898B-40A4-9019-3BAD3F435A8F}"/>
    <cellStyle name="Normal 30 5 2" xfId="21966" xr:uid="{27CCACFD-EF48-4185-9BFC-2B8621BA24B9}"/>
    <cellStyle name="Normal 30 5 3" xfId="45892" xr:uid="{F41F92D6-EA1C-4CB9-8DB6-D97D76C5B3F0}"/>
    <cellStyle name="Normal 30 5 4" xfId="18349" xr:uid="{A1FC8938-26E4-41AA-81EB-550409F1DA07}"/>
    <cellStyle name="Normal 30 6" xfId="8952" xr:uid="{13822ADB-86DE-46E6-AF9E-2F06C36FA673}"/>
    <cellStyle name="Normal 30 6 2" xfId="32219" xr:uid="{DCF2E270-2875-473B-A474-DCE63349FB08}"/>
    <cellStyle name="Normal 30 7" xfId="32220" xr:uid="{496FCB96-AE89-484F-A94A-F54335A9B2FB}"/>
    <cellStyle name="Normal 30 8" xfId="32221" xr:uid="{461A1AF3-428D-4FD8-B9CD-60221997548F}"/>
    <cellStyle name="Normal 30 9" xfId="32222" xr:uid="{3A8A80AB-E856-4967-83AE-4C5F1FD54AAB}"/>
    <cellStyle name="Normal 31" xfId="3042" xr:uid="{72CBD9C7-B4F4-46D0-9564-4B932B052CF5}"/>
    <cellStyle name="Normal 31 2" xfId="5064" xr:uid="{07EE31D1-C1B3-43D8-908E-176AEE2A21AE}"/>
    <cellStyle name="Normal 31 2 2" xfId="18356" xr:uid="{4B8B7A8E-E7ED-45BD-88AC-9949F8493CA4}"/>
    <cellStyle name="Normal 31 2 2 2" xfId="21973" xr:uid="{BF10551A-A181-4A6F-B972-351D7C2E1D58}"/>
    <cellStyle name="Normal 31 2 3" xfId="32223" xr:uid="{DE2B1525-4146-4CFF-9CBD-9CA1899BD74F}"/>
    <cellStyle name="Normal 31 2 4" xfId="32224" xr:uid="{13633D23-3A45-471D-B94E-944FA7DD377F}"/>
    <cellStyle name="Normal 31 2 5" xfId="32225" xr:uid="{58FAA089-265B-4024-9056-47B92D05F044}"/>
    <cellStyle name="Normal 31 2 6" xfId="32226" xr:uid="{37DDE10D-E1B2-49CC-AC6A-7259ECE0FC6B}"/>
    <cellStyle name="Normal 31 3" xfId="4165" xr:uid="{185A69BD-4BAE-4CBD-BE75-DA22A680D838}"/>
    <cellStyle name="Normal 31 3 2" xfId="21972" xr:uid="{98644022-F147-40B3-8590-327C791942D0}"/>
    <cellStyle name="Normal 31 3 3" xfId="43987" xr:uid="{76EC8181-7B46-4417-8CBE-983B258D75FA}"/>
    <cellStyle name="Normal 31 3 4" xfId="18355" xr:uid="{45BAA915-65CB-4C18-82EB-BDD4256E511F}"/>
    <cellStyle name="Normal 31 4" xfId="6231" xr:uid="{F74B7E21-638C-4D6C-9FFA-6F78EDDBAC4B}"/>
    <cellStyle name="Normal 31 4 2" xfId="45893" xr:uid="{6963E824-ABFB-4E52-98ED-C8C4EB4BBDE1}"/>
    <cellStyle name="Normal 31 4 3" xfId="32227" xr:uid="{1E89E3BB-D571-4466-A101-C337FBADB10C}"/>
    <cellStyle name="Normal 31 5" xfId="8953" xr:uid="{6888D2CD-2F1E-4817-A340-CAE425F14374}"/>
    <cellStyle name="Normal 31 5 2" xfId="32228" xr:uid="{8B0AECBE-67B7-4F5F-B2A4-57DA5359AE24}"/>
    <cellStyle name="Normal 31 6" xfId="32229" xr:uid="{25E9C63C-F38E-4128-9F04-00C9F58E6CB8}"/>
    <cellStyle name="Normal 31 7" xfId="32230" xr:uid="{997DD9E0-D89C-481F-8FD5-4515110E122E}"/>
    <cellStyle name="Normal 31 8" xfId="32231" xr:uid="{75588F77-2E31-4199-A115-2ED5E861397A}"/>
    <cellStyle name="Normal 32" xfId="3043" xr:uid="{58618BBE-8662-44C6-9AEF-CD1058E75493}"/>
    <cellStyle name="Normal 32 10" xfId="32232" xr:uid="{C6803935-61DE-46B1-9159-A03524BD6673}"/>
    <cellStyle name="Normal 32 2" xfId="3044" xr:uid="{9295D599-5622-40BE-8A96-F66A15F26240}"/>
    <cellStyle name="Normal 32 2 2" xfId="8067" xr:uid="{F05886F7-754E-43D9-84DC-4AC99C36B8D5}"/>
    <cellStyle name="Normal 32 2 2 2" xfId="18359" xr:uid="{6A6E0C3C-56B8-44A0-AE31-BF4A65646381}"/>
    <cellStyle name="Normal 32 2 2 2 2" xfId="21976" xr:uid="{BF7FC9F0-0B68-4EE9-BFC7-B539BDC1B825}"/>
    <cellStyle name="Normal 32 2 2 3" xfId="32233" xr:uid="{11358601-3A4F-4586-AFB8-165AB1EA3805}"/>
    <cellStyle name="Normal 32 2 2 4" xfId="32234" xr:uid="{40868559-63F5-4F70-BFB5-F200AC2701D7}"/>
    <cellStyle name="Normal 32 2 2 5" xfId="32235" xr:uid="{ED9C7616-22E8-43FA-BA4F-36E091DECCBF}"/>
    <cellStyle name="Normal 32 2 2 6" xfId="32236" xr:uid="{8DFD1762-31F1-44C7-9411-6D542F7617C7}"/>
    <cellStyle name="Normal 32 2 2 7" xfId="16803" xr:uid="{33495239-500D-4010-86B5-7E5942A064CF}"/>
    <cellStyle name="Normal 32 2 3" xfId="16542" xr:uid="{089132D0-CF73-4293-B293-C2B2393F1195}"/>
    <cellStyle name="Normal 32 2 3 2" xfId="18360" xr:uid="{E4214EE4-222D-4147-BF19-D5E62E496F4F}"/>
    <cellStyle name="Normal 32 2 3 2 2" xfId="21977" xr:uid="{5814D6DA-3093-485E-AD94-F6BB55DEC9E2}"/>
    <cellStyle name="Normal 32 2 3 3" xfId="32237" xr:uid="{23E49464-8AEA-4CE4-A978-61FBA3A214A1}"/>
    <cellStyle name="Normal 32 2 3 4" xfId="32238" xr:uid="{117F9B9D-D817-4C1A-B821-DE5053E8984A}"/>
    <cellStyle name="Normal 32 2 3 5" xfId="32239" xr:uid="{21BB7E86-8EB7-4542-BC89-64FD739E7F24}"/>
    <cellStyle name="Normal 32 2 3 6" xfId="32240" xr:uid="{54B77F5B-AD4D-4E89-8EC4-6EF8328FC06F}"/>
    <cellStyle name="Normal 32 2 4" xfId="18358" xr:uid="{06F055A7-A37B-4F82-94A4-369EDE3A4A3D}"/>
    <cellStyle name="Normal 32 2 4 2" xfId="21975" xr:uid="{9E55B0DB-31BE-42A8-97FE-2B87D818F467}"/>
    <cellStyle name="Normal 32 2 5" xfId="32241" xr:uid="{0D4202DE-ECEC-4E9D-9BAD-5B5F5F9D96B7}"/>
    <cellStyle name="Normal 32 2 6" xfId="32242" xr:uid="{D6CA0F29-660C-4823-A056-F4F3B84883C7}"/>
    <cellStyle name="Normal 32 2 7" xfId="32243" xr:uid="{C1D33944-6FDB-4A2C-83E4-D40B0CE2EE9B}"/>
    <cellStyle name="Normal 32 2 8" xfId="32244" xr:uid="{069832DA-08EE-4DAA-9A84-F2D63F5D97A4}"/>
    <cellStyle name="Normal 32 3" xfId="5065" xr:uid="{BCD8129C-0369-4D0F-A845-DCBAD7565D8A}"/>
    <cellStyle name="Normal 32 3 2" xfId="18361" xr:uid="{5945501D-E31B-445F-905B-05DDFD8AC49C}"/>
    <cellStyle name="Normal 32 3 2 2" xfId="21978" xr:uid="{7A477C49-C982-43D1-A4BF-FC79A7495B45}"/>
    <cellStyle name="Normal 32 3 3" xfId="32245" xr:uid="{3117E86F-898F-497B-A7C6-5BCC2065AFD7}"/>
    <cellStyle name="Normal 32 3 4" xfId="32246" xr:uid="{1C50B41C-63CB-4769-9E87-632A509B07CC}"/>
    <cellStyle name="Normal 32 3 5" xfId="32247" xr:uid="{42A34EFD-4973-4557-B613-9F46BFD6A305}"/>
    <cellStyle name="Normal 32 3 6" xfId="32248" xr:uid="{5D468668-5DFA-4DB0-AC66-C8EC6678E800}"/>
    <cellStyle name="Normal 32 4" xfId="4166" xr:uid="{43ACE2C0-11A4-4FCC-9673-F37D0D3F522C}"/>
    <cellStyle name="Normal 32 4 2" xfId="18362" xr:uid="{8AF93E2E-A4EF-463C-AA29-C9CB34BFD7A2}"/>
    <cellStyle name="Normal 32 4 2 2" xfId="21979" xr:uid="{9D20BAE7-7D3D-411B-8CAF-56CAF7D1B915}"/>
    <cellStyle name="Normal 32 4 3" xfId="32249" xr:uid="{138C07F2-EBAE-42D7-9F61-FA63DA16DF9A}"/>
    <cellStyle name="Normal 32 4 4" xfId="32250" xr:uid="{82737D3D-6E4D-4DF4-AE2F-CBC4C4540160}"/>
    <cellStyle name="Normal 32 4 5" xfId="32251" xr:uid="{414B1939-3C6B-4C4B-BA77-509257B1BAEF}"/>
    <cellStyle name="Normal 32 4 6" xfId="32252" xr:uid="{4F512131-95A6-4B89-BC3E-1FAE70CD4BCA}"/>
    <cellStyle name="Normal 32 4 7" xfId="43988" xr:uid="{65B4B1D5-0B25-4078-ADA7-12AE5809778F}"/>
    <cellStyle name="Normal 32 4 8" xfId="16734" xr:uid="{631873F0-C11B-49B8-9735-4500A30504A9}"/>
    <cellStyle name="Normal 32 5" xfId="6232" xr:uid="{8D53F3D3-6F07-4C95-B555-BB804A2AA36F}"/>
    <cellStyle name="Normal 32 5 2" xfId="21974" xr:uid="{0EE3C14C-81B4-42A8-8D8B-4B0F68D9F1AC}"/>
    <cellStyle name="Normal 32 5 3" xfId="45894" xr:uid="{591ADBAA-9BA6-433E-BAA8-E031644F4D1D}"/>
    <cellStyle name="Normal 32 5 4" xfId="18357" xr:uid="{07943D82-6E92-4EF9-817F-3D910CC90A55}"/>
    <cellStyle name="Normal 32 6" xfId="8954" xr:uid="{7F9C048E-5E77-4608-9758-DD5E9D62EEF5}"/>
    <cellStyle name="Normal 32 6 2" xfId="32253" xr:uid="{75361B68-C082-408E-961D-1AF819B55CF9}"/>
    <cellStyle name="Normal 32 7" xfId="32254" xr:uid="{13F80F41-5873-42EC-B02C-0E57390E562B}"/>
    <cellStyle name="Normal 32 8" xfId="32255" xr:uid="{BCE4A599-8CE4-4E50-9C0F-9399326987EA}"/>
    <cellStyle name="Normal 32 9" xfId="32256" xr:uid="{2B3AD89E-7554-41C6-857B-29612B2FA2BF}"/>
    <cellStyle name="Normal 33" xfId="3045" xr:uid="{638C910E-E5E6-4725-9608-B1674BE662E4}"/>
    <cellStyle name="Normal 33 10" xfId="32257" xr:uid="{CEA12408-CAE7-4DEF-A97B-3A155B29AD8D}"/>
    <cellStyle name="Normal 33 2" xfId="3046" xr:uid="{C1A69F74-697B-4DCC-8509-62DFA74BAF37}"/>
    <cellStyle name="Normal 33 2 2" xfId="8066" xr:uid="{75ED811C-E7F8-4793-AA06-006AB882DDF8}"/>
    <cellStyle name="Normal 33 2 2 2" xfId="21981" xr:uid="{AA5AB8B2-E93D-4F0B-BD99-658F23936A3D}"/>
    <cellStyle name="Normal 33 2 2 3" xfId="18364" xr:uid="{A7A9B5AD-7686-40A2-90E8-67AD6FF7264B}"/>
    <cellStyle name="Normal 33 2 3" xfId="32258" xr:uid="{0A1A4C56-D94A-4901-A153-4E6EB759ACCC}"/>
    <cellStyle name="Normal 33 2 4" xfId="32259" xr:uid="{F1CC5757-F721-4FB9-A79A-D17EBF10B6BB}"/>
    <cellStyle name="Normal 33 2 5" xfId="32260" xr:uid="{D4163A2A-09CA-4354-9D30-A46293D8D15A}"/>
    <cellStyle name="Normal 33 2 6" xfId="32261" xr:uid="{CE90CDB7-313F-4F75-87E2-7527A0CA4491}"/>
    <cellStyle name="Normal 33 3" xfId="5066" xr:uid="{0F4DE31B-3058-4C73-81DD-D930D947D715}"/>
    <cellStyle name="Normal 33 3 2" xfId="18365" xr:uid="{6099E3FD-A7B3-49B1-9834-1F902E7B42C6}"/>
    <cellStyle name="Normal 33 3 2 2" xfId="21982" xr:uid="{52CF1EC9-7AAB-4F51-BE88-6837EE427029}"/>
    <cellStyle name="Normal 33 3 3" xfId="32262" xr:uid="{D0195C39-5443-4CE8-806F-30EB457DAEE8}"/>
    <cellStyle name="Normal 33 3 4" xfId="32263" xr:uid="{8A21C7DD-07EF-4F31-AD36-427A6B42BAA4}"/>
    <cellStyle name="Normal 33 3 5" xfId="32264" xr:uid="{1BBAF590-160D-4710-BD2F-9A7B95B9F76F}"/>
    <cellStyle name="Normal 33 3 6" xfId="32265" xr:uid="{E123DC39-B5E5-432C-8C51-F879AC098B32}"/>
    <cellStyle name="Normal 33 3 7" xfId="43632" xr:uid="{933219B4-0FFC-4F00-A058-2D255E89D9B4}"/>
    <cellStyle name="Normal 33 3 8" xfId="16735" xr:uid="{A67E6C4B-B282-4F4B-B44F-31FEE413D137}"/>
    <cellStyle name="Normal 33 4" xfId="4167" xr:uid="{8E8A2821-C5F6-4E75-A60B-720AA18991FE}"/>
    <cellStyle name="Normal 33 4 2" xfId="18366" xr:uid="{BA562813-B285-4734-95B1-1848A7AD8581}"/>
    <cellStyle name="Normal 33 4 2 2" xfId="21983" xr:uid="{0B25789D-C07D-4826-9523-68376C160863}"/>
    <cellStyle name="Normal 33 4 3" xfId="32266" xr:uid="{8A56BFF2-15B8-4FE8-B2A2-FBBF070EF938}"/>
    <cellStyle name="Normal 33 4 4" xfId="32267" xr:uid="{4E5AC28E-9113-4AB5-AE1F-641A623AC156}"/>
    <cellStyle name="Normal 33 4 5" xfId="32268" xr:uid="{37739E93-9950-4C2C-950B-2B95BC56E5EF}"/>
    <cellStyle name="Normal 33 4 6" xfId="32269" xr:uid="{D8433152-A8FA-4D9A-8A30-C5075938E0C4}"/>
    <cellStyle name="Normal 33 5" xfId="6233" xr:uid="{57B0544D-0B38-4308-A586-C79DE0D5D073}"/>
    <cellStyle name="Normal 33 5 2" xfId="21980" xr:uid="{2E628BCA-CE91-4BB8-99C6-54F875C4757D}"/>
    <cellStyle name="Normal 33 5 3" xfId="45895" xr:uid="{103F86F6-BD97-4204-8F41-5372794F843E}"/>
    <cellStyle name="Normal 33 5 4" xfId="18363" xr:uid="{DAC0D64C-59DC-4E28-BF7C-9D63EEA068FB}"/>
    <cellStyle name="Normal 33 6" xfId="8955" xr:uid="{716CC183-1724-467F-BFC1-E64234F9528C}"/>
    <cellStyle name="Normal 33 6 2" xfId="32270" xr:uid="{35AB83DD-5C66-49AB-AD5F-D9E17D737809}"/>
    <cellStyle name="Normal 33 7" xfId="32271" xr:uid="{92BF6ED3-0540-4183-8B78-A26B2479A205}"/>
    <cellStyle name="Normal 33 8" xfId="32272" xr:uid="{67D2B25E-F495-4999-A39A-B7F7F8761752}"/>
    <cellStyle name="Normal 33 9" xfId="32273" xr:uid="{48F4DEF8-0237-4DEB-A577-EE6939D7019E}"/>
    <cellStyle name="Normal 34" xfId="3047" xr:uid="{14277D32-CB1F-41E9-8862-FCBF46279241}"/>
    <cellStyle name="Normal 34 10" xfId="32274" xr:uid="{8EE31922-5439-42FA-801C-74BE5999A3EF}"/>
    <cellStyle name="Normal 34 2" xfId="3048" xr:uid="{724B30E7-249F-4976-B262-E6F0AD49BEF7}"/>
    <cellStyle name="Normal 34 2 2" xfId="8065" xr:uid="{6ABB5F19-0EE1-4B43-A35A-DBE85D26E8B4}"/>
    <cellStyle name="Normal 34 2 2 2" xfId="21985" xr:uid="{261329E4-DE46-4D44-8D69-DA546B22BE66}"/>
    <cellStyle name="Normal 34 2 2 3" xfId="18368" xr:uid="{BFB49181-6031-47E6-ABB3-775F52B5CBD0}"/>
    <cellStyle name="Normal 34 2 3" xfId="32275" xr:uid="{0DDC53D2-F919-492E-873F-115160296D34}"/>
    <cellStyle name="Normal 34 2 4" xfId="32276" xr:uid="{5F9D1EBD-B9E0-45C6-A85C-411A6F555EFC}"/>
    <cellStyle name="Normal 34 2 5" xfId="32277" xr:uid="{8FD4AB1A-0C4C-4ACB-9B37-057E8C56069B}"/>
    <cellStyle name="Normal 34 2 6" xfId="32278" xr:uid="{DFB7BCAC-BA5A-4045-927C-7538B54FD8A5}"/>
    <cellStyle name="Normal 34 3" xfId="5067" xr:uid="{774BB48E-5D7D-43DB-A510-F16836548615}"/>
    <cellStyle name="Normal 34 3 2" xfId="18369" xr:uid="{A8934383-764F-49A8-AA7A-44C79BCAC7E0}"/>
    <cellStyle name="Normal 34 3 2 2" xfId="21986" xr:uid="{93C126FD-53B4-4E0B-946E-2B38B3DC3B05}"/>
    <cellStyle name="Normal 34 3 3" xfId="32279" xr:uid="{69DEF0ED-1F45-4D8C-826E-D4CF9F1ECEE4}"/>
    <cellStyle name="Normal 34 3 4" xfId="32280" xr:uid="{FEEC82F7-2E94-4D8C-86AC-31A80D7D093C}"/>
    <cellStyle name="Normal 34 3 5" xfId="32281" xr:uid="{51DC996E-74AF-4E91-8184-6279E3777F18}"/>
    <cellStyle name="Normal 34 3 6" xfId="32282" xr:uid="{7A09EC06-251B-42F1-B229-808360D859E4}"/>
    <cellStyle name="Normal 34 3 7" xfId="43633" xr:uid="{D6A43017-B994-46BA-9249-DF9BB59E111B}"/>
    <cellStyle name="Normal 34 3 8" xfId="16736" xr:uid="{D43E34AC-4EB2-4122-A049-E34E53422354}"/>
    <cellStyle name="Normal 34 4" xfId="4168" xr:uid="{7611B996-2935-4057-8B85-A2E76E1F2016}"/>
    <cellStyle name="Normal 34 4 2" xfId="18370" xr:uid="{1AD4BD6B-5F03-4EF1-ACFB-154D2AF3F5D9}"/>
    <cellStyle name="Normal 34 4 2 2" xfId="21987" xr:uid="{D277F975-FDAB-46AE-B4E8-7619E22AAC0B}"/>
    <cellStyle name="Normal 34 4 3" xfId="32283" xr:uid="{555B2173-43FC-40BF-BC1A-C0BD1C23E3B1}"/>
    <cellStyle name="Normal 34 4 4" xfId="32284" xr:uid="{6669DCAF-615C-46CA-A155-210808DEBC9F}"/>
    <cellStyle name="Normal 34 4 5" xfId="32285" xr:uid="{43167FC3-8A3F-40DB-88DD-6954C9828D1E}"/>
    <cellStyle name="Normal 34 4 6" xfId="32286" xr:uid="{9882BA19-D49C-442C-A43D-C3BD2E718E9A}"/>
    <cellStyle name="Normal 34 5" xfId="6234" xr:uid="{FDBD59FF-A40D-40FD-A3FB-FB31E5FBFE63}"/>
    <cellStyle name="Normal 34 5 2" xfId="21984" xr:uid="{5A4D9CBC-0D05-4797-AF7A-6822AEE50B87}"/>
    <cellStyle name="Normal 34 5 3" xfId="45896" xr:uid="{9C13118C-6BE1-4E71-8CE1-F217611E853A}"/>
    <cellStyle name="Normal 34 5 4" xfId="18367" xr:uid="{E51ED201-984C-4E9B-AD23-BB14FC0F3FDA}"/>
    <cellStyle name="Normal 34 6" xfId="8956" xr:uid="{BCFCBAE1-C0FE-4477-85A4-322A3E6FD041}"/>
    <cellStyle name="Normal 34 6 2" xfId="32287" xr:uid="{DDFE8483-D0DA-4A84-84D7-EB9FFF774C1A}"/>
    <cellStyle name="Normal 34 7" xfId="32288" xr:uid="{9C0DF75B-1B82-41A9-A9ED-CC9C4DADDC07}"/>
    <cellStyle name="Normal 34 8" xfId="32289" xr:uid="{9DD0DE96-73CF-450F-B4D1-CF8203E37E93}"/>
    <cellStyle name="Normal 34 9" xfId="32290" xr:uid="{F90CE4E7-77F7-4C22-9C84-AD7E9EE7EE26}"/>
    <cellStyle name="Normal 35" xfId="3049" xr:uid="{33113C8E-F10D-4719-8D27-031382E438E9}"/>
    <cellStyle name="Normal 35 10" xfId="32291" xr:uid="{C44F9FAC-2BA3-4733-ACBC-451950D2823E}"/>
    <cellStyle name="Normal 35 2" xfId="3050" xr:uid="{DED8BE4B-6774-45D0-B3DC-251FC03EB87F}"/>
    <cellStyle name="Normal 35 2 2" xfId="8064" xr:uid="{A3ABA7DD-175E-4FD6-AB0C-EFC151F0138F}"/>
    <cellStyle name="Normal 35 2 2 2" xfId="21989" xr:uid="{B6450098-4623-4CC2-AC08-E3BC69D3EE8F}"/>
    <cellStyle name="Normal 35 2 2 3" xfId="18372" xr:uid="{CD5F9024-36B8-44E6-B4BF-29FB88BBF8BA}"/>
    <cellStyle name="Normal 35 2 3" xfId="32292" xr:uid="{BB5265EC-4627-439E-BCAE-698220A15CAF}"/>
    <cellStyle name="Normal 35 2 4" xfId="32293" xr:uid="{FA6AC578-2B64-48A9-87F4-002F186C057C}"/>
    <cellStyle name="Normal 35 2 5" xfId="32294" xr:uid="{91EF2221-3190-4F62-A42A-8A8E53D7DD1C}"/>
    <cellStyle name="Normal 35 2 6" xfId="32295" xr:uid="{B65EE3D0-89F1-44A3-80A1-17653F455A9D}"/>
    <cellStyle name="Normal 35 3" xfId="5068" xr:uid="{70DA2919-212A-4621-B3A2-0961F3C1B261}"/>
    <cellStyle name="Normal 35 3 2" xfId="18373" xr:uid="{2604A55D-0EDA-4C6B-8C00-4D4D45D8A654}"/>
    <cellStyle name="Normal 35 3 2 2" xfId="21990" xr:uid="{AC9378AE-81FF-4354-BC32-B8CA17542FA9}"/>
    <cellStyle name="Normal 35 3 3" xfId="32296" xr:uid="{345E1D59-F1F8-4E83-B9F0-DBE1A6FFA3B5}"/>
    <cellStyle name="Normal 35 3 4" xfId="32297" xr:uid="{34F6B1D0-5AA4-4BF6-8E20-201671765A1A}"/>
    <cellStyle name="Normal 35 3 5" xfId="32298" xr:uid="{00EB00E2-5CF1-41CB-8DD8-40939EBF9BAD}"/>
    <cellStyle name="Normal 35 3 6" xfId="32299" xr:uid="{56FF7B92-92C9-4298-BC9C-E072270EC67D}"/>
    <cellStyle name="Normal 35 3 7" xfId="43634" xr:uid="{8BBD9B83-CF35-4BDF-9CC2-E82831928120}"/>
    <cellStyle name="Normal 35 3 8" xfId="16737" xr:uid="{4F5BB176-5CB7-485A-BE44-931DC9B6CFB0}"/>
    <cellStyle name="Normal 35 4" xfId="4169" xr:uid="{FD13744F-060D-4DE9-9686-6B739ADCB769}"/>
    <cellStyle name="Normal 35 4 2" xfId="18374" xr:uid="{ECBE525A-2B71-48BB-9EF9-4C6EBB7DEC5E}"/>
    <cellStyle name="Normal 35 4 2 2" xfId="21991" xr:uid="{07BA69B2-6D57-485B-8B92-3D6A1ECAF3A0}"/>
    <cellStyle name="Normal 35 4 3" xfId="32300" xr:uid="{2D880004-167D-4D95-AC41-CC1E0EA2AD84}"/>
    <cellStyle name="Normal 35 4 4" xfId="32301" xr:uid="{8BB4C286-C0A0-42EC-BC11-D7F0772A1621}"/>
    <cellStyle name="Normal 35 4 5" xfId="32302" xr:uid="{6101170E-89C6-4C38-BCAB-255E7FBF119A}"/>
    <cellStyle name="Normal 35 4 6" xfId="32303" xr:uid="{645FEB09-3A1A-4496-BEB4-E5818C44CD57}"/>
    <cellStyle name="Normal 35 5" xfId="6235" xr:uid="{985D8F3E-AB2C-4B7D-B4FE-472635A4633D}"/>
    <cellStyle name="Normal 35 5 2" xfId="21988" xr:uid="{DA23D725-410F-45FD-820B-74CCDED3074E}"/>
    <cellStyle name="Normal 35 5 3" xfId="45897" xr:uid="{74AFC3EA-7472-4A8B-8355-23245CFD80A4}"/>
    <cellStyle name="Normal 35 5 4" xfId="18371" xr:uid="{B92F5F7B-11C4-4DF7-ADD2-EFF42C115653}"/>
    <cellStyle name="Normal 35 6" xfId="8957" xr:uid="{6C9E5B8F-584E-46D4-BD23-198D20177181}"/>
    <cellStyle name="Normal 35 6 2" xfId="32304" xr:uid="{CD4B60A3-825D-46D0-A309-40271EA86C14}"/>
    <cellStyle name="Normal 35 7" xfId="32305" xr:uid="{4A845FB8-E861-4FBC-9F39-4004990E253F}"/>
    <cellStyle name="Normal 35 8" xfId="32306" xr:uid="{BA16AB47-48C5-4FBA-89F0-C2A363249C78}"/>
    <cellStyle name="Normal 35 9" xfId="32307" xr:uid="{2C287606-D209-4B1A-A95B-E925A679ECAE}"/>
    <cellStyle name="Normal 36" xfId="3051" xr:uid="{A75BC4CD-498D-4A75-9924-178B943BDE5A}"/>
    <cellStyle name="Normal 36 10" xfId="32308" xr:uid="{09450D08-B5C3-4A28-913F-6192DD38EBB8}"/>
    <cellStyle name="Normal 36 2" xfId="3052" xr:uid="{59CE86CB-42CD-4CFE-9F55-4D2AA4D1EBE7}"/>
    <cellStyle name="Normal 36 2 2" xfId="8063" xr:uid="{82EA07F3-1793-4DAE-B34C-B95802EA04E0}"/>
    <cellStyle name="Normal 36 2 2 2" xfId="21993" xr:uid="{17FE3D46-92AB-427E-8C28-CAA2E926E6A4}"/>
    <cellStyle name="Normal 36 2 2 3" xfId="18376" xr:uid="{550D487D-F16D-4732-8DFC-0ED1EBA67270}"/>
    <cellStyle name="Normal 36 2 3" xfId="32309" xr:uid="{774C94F1-4B6A-4211-A266-D7B5FAC36D7F}"/>
    <cellStyle name="Normal 36 2 4" xfId="32310" xr:uid="{50DB6272-DBF2-4843-8435-9ADFF80BB983}"/>
    <cellStyle name="Normal 36 2 5" xfId="32311" xr:uid="{B8E6AB79-C419-4C0E-B076-C0072A786594}"/>
    <cellStyle name="Normal 36 2 6" xfId="32312" xr:uid="{375A3976-5024-4952-A35E-76376F452BE1}"/>
    <cellStyle name="Normal 36 3" xfId="5069" xr:uid="{597E64C2-0F8E-4111-B125-51D9F68BC081}"/>
    <cellStyle name="Normal 36 3 2" xfId="18377" xr:uid="{DD091942-A76A-4F8A-A5B3-D3F86AAF979D}"/>
    <cellStyle name="Normal 36 3 2 2" xfId="21994" xr:uid="{188BBEE9-24E7-430E-A76D-C8F69AF6166F}"/>
    <cellStyle name="Normal 36 3 3" xfId="32313" xr:uid="{C34E3529-CC77-411B-ABBE-EC2657CF1016}"/>
    <cellStyle name="Normal 36 3 4" xfId="32314" xr:uid="{5D1E9268-399D-4633-A56B-EDA5AE84C5C5}"/>
    <cellStyle name="Normal 36 3 5" xfId="32315" xr:uid="{59286F44-9C0D-400E-8A54-3BC9D54EFE65}"/>
    <cellStyle name="Normal 36 3 6" xfId="32316" xr:uid="{74780E2A-0F56-43F8-91D0-23A6B1C7FC09}"/>
    <cellStyle name="Normal 36 4" xfId="4170" xr:uid="{84A47E67-A4C1-47EF-B2D0-AA3040AB7432}"/>
    <cellStyle name="Normal 36 4 2" xfId="18378" xr:uid="{54A2F621-11A6-4A89-92DB-34503FA6E3F8}"/>
    <cellStyle name="Normal 36 4 2 2" xfId="21995" xr:uid="{1A2ECEEC-8D18-48FC-92D0-E1D58EC82D61}"/>
    <cellStyle name="Normal 36 4 3" xfId="32317" xr:uid="{9CF0652F-01B3-43C8-AD35-729C00C60BA6}"/>
    <cellStyle name="Normal 36 4 4" xfId="32318" xr:uid="{07BFF3A9-1D21-47CE-A172-713FDF3AD4B0}"/>
    <cellStyle name="Normal 36 4 5" xfId="32319" xr:uid="{95A0932B-D0B1-449E-97C8-008340673CDB}"/>
    <cellStyle name="Normal 36 4 6" xfId="32320" xr:uid="{75BEEC0A-26E3-4949-A080-5DCE68C704B7}"/>
    <cellStyle name="Normal 36 4 7" xfId="43989" xr:uid="{2F4F97EE-1D04-46F1-9B19-21AC37674F70}"/>
    <cellStyle name="Normal 36 4 8" xfId="16738" xr:uid="{11116034-510C-41E4-83E9-555D58B4D6D8}"/>
    <cellStyle name="Normal 36 5" xfId="6236" xr:uid="{05156B76-4D92-43C9-9846-F37392679521}"/>
    <cellStyle name="Normal 36 5 2" xfId="21992" xr:uid="{B54CEEF9-E457-4870-9092-CB5A2B26E794}"/>
    <cellStyle name="Normal 36 5 3" xfId="45898" xr:uid="{550707C7-42FF-4338-9644-FD5BBDA7269B}"/>
    <cellStyle name="Normal 36 5 4" xfId="18375" xr:uid="{26A3C45D-E6B6-42D6-A637-76C3732D7FF9}"/>
    <cellStyle name="Normal 36 6" xfId="8958" xr:uid="{9FBC909B-C960-45C8-900A-9EC3DFD53397}"/>
    <cellStyle name="Normal 36 6 2" xfId="32321" xr:uid="{C0BBFA9F-0E57-4697-99FF-CCE818855B49}"/>
    <cellStyle name="Normal 36 7" xfId="32322" xr:uid="{6058BCC3-01F9-4D68-8559-F4E7655521BE}"/>
    <cellStyle name="Normal 36 8" xfId="32323" xr:uid="{0CB02054-DB91-4255-8697-8E133AF0C3C6}"/>
    <cellStyle name="Normal 36 9" xfId="32324" xr:uid="{705E0C3F-CA3C-4441-99A1-08891C4BCFF1}"/>
    <cellStyle name="Normal 37" xfId="3053" xr:uid="{4BAB7CE5-2E56-4DE6-AAB5-F886F3EDEAD0}"/>
    <cellStyle name="Normal 37 2" xfId="15385" xr:uid="{2FD78795-AD00-4687-BADD-AEEDEBB3DC65}"/>
    <cellStyle name="Normal 37 2 2" xfId="18380" xr:uid="{94A0B201-202A-4B8A-857F-DFABF053C7CA}"/>
    <cellStyle name="Normal 37 2 2 2" xfId="21997" xr:uid="{ED839324-2570-4B6C-9F56-739451D5E7E0}"/>
    <cellStyle name="Normal 37 2 3" xfId="32325" xr:uid="{10484793-D069-4042-8DAB-D4A2C42F5F18}"/>
    <cellStyle name="Normal 37 2 4" xfId="32326" xr:uid="{ED7ED4F5-53CF-4BFB-9BD2-517A1BE0F937}"/>
    <cellStyle name="Normal 37 2 5" xfId="32327" xr:uid="{89610814-F048-4241-A66F-6FA150B94A2C}"/>
    <cellStyle name="Normal 37 2 6" xfId="32328" xr:uid="{ECAD22B7-2012-4805-B2D5-D2C7EA3B5056}"/>
    <cellStyle name="Normal 37 3" xfId="16739" xr:uid="{FAA62FBF-CFA4-4FF1-B6EF-9939339E6AC1}"/>
    <cellStyle name="Normal 37 3 2" xfId="18381" xr:uid="{C2413CD4-8CD3-4003-AE86-26168C9F6350}"/>
    <cellStyle name="Normal 37 3 2 2" xfId="21998" xr:uid="{2965DE3F-A0B2-449E-8463-007365C7C20E}"/>
    <cellStyle name="Normal 37 3 3" xfId="32329" xr:uid="{9C57B5E5-B598-4D77-AB27-AA89F2DAAF8E}"/>
    <cellStyle name="Normal 37 3 4" xfId="32330" xr:uid="{0F4441C6-74F3-454C-9800-C110AFA61D6C}"/>
    <cellStyle name="Normal 37 3 5" xfId="32331" xr:uid="{D89A262F-F595-48D0-8954-B55063803871}"/>
    <cellStyle name="Normal 37 3 6" xfId="32332" xr:uid="{CD9F8665-4065-4CA7-8389-AEDBE7F764D2}"/>
    <cellStyle name="Normal 37 4" xfId="16543" xr:uid="{1111B40F-1E10-4350-9B55-76FA822F1975}"/>
    <cellStyle name="Normal 37 4 2" xfId="18382" xr:uid="{DA1C30FF-DC52-4297-9707-1C327FE13ED6}"/>
    <cellStyle name="Normal 37 4 2 2" xfId="21999" xr:uid="{CFFADF11-F96A-421F-8FFD-74B2F54EAB07}"/>
    <cellStyle name="Normal 37 4 3" xfId="20692" xr:uid="{189E303E-29B9-4D67-B3D3-E4DFE8A36594}"/>
    <cellStyle name="Normal 37 4 3 2" xfId="32333" xr:uid="{3F72AF2A-3070-4033-AA36-8DC35B51BBD4}"/>
    <cellStyle name="Normal 37 4 4" xfId="32334" xr:uid="{02E3EE5D-6E0B-45C1-B3C9-7DF509E0BEC0}"/>
    <cellStyle name="Normal 37 4 5" xfId="32335" xr:uid="{B534A877-BD76-410E-8652-3AC315FFA79D}"/>
    <cellStyle name="Normal 37 4 6" xfId="32336" xr:uid="{DFF4EE73-BA0D-4A83-87C9-1620C3C75E13}"/>
    <cellStyle name="Normal 37 4 7" xfId="32337" xr:uid="{D503377B-9DE2-4D02-9357-E11F1E06149D}"/>
    <cellStyle name="Normal 37 5" xfId="18379" xr:uid="{A4AAE8A8-7541-4DE5-B03B-7BF245316019}"/>
    <cellStyle name="Normal 37 5 2" xfId="21996" xr:uid="{569204AF-92C7-4AD3-AC4B-DDE15B7DC443}"/>
    <cellStyle name="Normal 37 6" xfId="32338" xr:uid="{6C0A6A73-FAF2-425B-9089-1CB9B176800A}"/>
    <cellStyle name="Normal 37 7" xfId="32339" xr:uid="{2947580B-38B6-44EE-B807-ED79F81BCF4C}"/>
    <cellStyle name="Normal 37 8" xfId="32340" xr:uid="{EF42E233-BA81-41DB-AC2D-7392044A742C}"/>
    <cellStyle name="Normal 37 9" xfId="32341" xr:uid="{F9EF1A2C-E008-4424-A919-1355CAD9C08E}"/>
    <cellStyle name="Normal 38" xfId="3054" xr:uid="{30711F8C-D548-478F-A51E-1E47EF097CD6}"/>
    <cellStyle name="Normal 38 2" xfId="8061" xr:uid="{B1F9969F-4821-4435-8796-F94A8738EEAC}"/>
    <cellStyle name="Normal 38 2 2" xfId="18384" xr:uid="{5898693E-BCF0-48A8-82EE-D3A5B7060EFA}"/>
    <cellStyle name="Normal 38 2 2 2" xfId="22001" xr:uid="{0F5DA06D-8055-4E8D-84D2-3A92BEBE6E03}"/>
    <cellStyle name="Normal 38 2 3" xfId="32342" xr:uid="{8E0C1925-7414-480E-AB53-F7D95C94F437}"/>
    <cellStyle name="Normal 38 2 4" xfId="32343" xr:uid="{14837F0A-D7FF-4D13-9DB8-8987A6DBDA17}"/>
    <cellStyle name="Normal 38 2 5" xfId="32344" xr:uid="{28333202-7249-4518-B4A4-3D8249FFC78A}"/>
    <cellStyle name="Normal 38 2 6" xfId="32345" xr:uid="{CBA33747-07DD-41F4-91FF-1221E9E6BA29}"/>
    <cellStyle name="Normal 38 2 7" xfId="15386" xr:uid="{5BD4D4FF-D093-408F-B406-789B0D1837A4}"/>
    <cellStyle name="Normal 38 3" xfId="8062" xr:uid="{9E662AE9-451B-4E91-99F6-7E796DE73849}"/>
    <cellStyle name="Normal 38 3 2" xfId="18385" xr:uid="{CE8923F3-CF63-4EAE-9F60-FA7A089D42AC}"/>
    <cellStyle name="Normal 38 3 2 2" xfId="22002" xr:uid="{D779CDC9-9CA1-45E8-AAD5-5B340B1979DC}"/>
    <cellStyle name="Normal 38 3 3" xfId="32346" xr:uid="{58D59C16-FC4F-4989-A6E6-BFA82B7DF5B0}"/>
    <cellStyle name="Normal 38 3 4" xfId="32347" xr:uid="{10B786D1-970E-4099-AD78-F3E9A04CB913}"/>
    <cellStyle name="Normal 38 3 5" xfId="32348" xr:uid="{2D45252A-F02D-4EE8-97B8-D89800CFA5DE}"/>
    <cellStyle name="Normal 38 3 6" xfId="32349" xr:uid="{1AA0CA30-2849-4338-B329-43E5A2AC7C9D}"/>
    <cellStyle name="Normal 38 4" xfId="18383" xr:uid="{18F2EB94-D033-4146-B978-7D43E8D85311}"/>
    <cellStyle name="Normal 38 4 2" xfId="22000" xr:uid="{A24BAC29-DE8B-4482-912C-09A81C00EE23}"/>
    <cellStyle name="Normal 38 5" xfId="32350" xr:uid="{3C7BC552-AEB1-4D12-A29A-D260B151222E}"/>
    <cellStyle name="Normal 38 6" xfId="32351" xr:uid="{B37E009B-BCA3-4AB6-BDE1-EA13F9A0B023}"/>
    <cellStyle name="Normal 38 7" xfId="32352" xr:uid="{A8E5EA48-B07E-4279-BE9C-F147D86F0168}"/>
    <cellStyle name="Normal 38 8" xfId="32353" xr:uid="{0055D34A-6061-47FF-A616-1F135D51C7DF}"/>
    <cellStyle name="Normal 39" xfId="3055" xr:uid="{7DF0F12F-5D08-4785-980E-2BEF2448C4C7}"/>
    <cellStyle name="Normal 39 2" xfId="15387" xr:uid="{83F684BF-191F-4574-96F4-8925A8890B20}"/>
    <cellStyle name="Normal 39 2 2" xfId="18387" xr:uid="{3A1E5C1A-849D-49FA-A183-48AA6ABB7860}"/>
    <cellStyle name="Normal 39 2 2 2" xfId="22004" xr:uid="{5447B3B7-D70E-41D2-885A-3F78F7CE9544}"/>
    <cellStyle name="Normal 39 2 3" xfId="32354" xr:uid="{B2768906-0304-478A-866E-A8895E2AE44A}"/>
    <cellStyle name="Normal 39 2 4" xfId="32355" xr:uid="{E5156811-8CFC-4C6C-B100-90A3354C8F02}"/>
    <cellStyle name="Normal 39 2 5" xfId="32356" xr:uid="{C61B0BDD-B4DB-4423-9B13-F0C2F7760866}"/>
    <cellStyle name="Normal 39 2 6" xfId="32357" xr:uid="{4E48C5EA-199B-4A25-9045-732C37CEE096}"/>
    <cellStyle name="Normal 39 3" xfId="16037" xr:uid="{9CF7A0BC-09D4-4E92-80B0-316E8D18A999}"/>
    <cellStyle name="Normal 39 3 2" xfId="18388" xr:uid="{25EF25ED-9536-4108-AAED-197F96C4077B}"/>
    <cellStyle name="Normal 39 3 2 2" xfId="22005" xr:uid="{AD8788CE-B3B5-4393-AD8C-00F2F29E5D61}"/>
    <cellStyle name="Normal 39 3 3" xfId="32358" xr:uid="{9B83F1E4-51B1-4DB4-A80A-C6413C09F546}"/>
    <cellStyle name="Normal 39 3 4" xfId="32359" xr:uid="{0C234464-3B2D-4322-A3BD-FF5DDF46507F}"/>
    <cellStyle name="Normal 39 3 5" xfId="32360" xr:uid="{D0C2D124-934D-4162-B413-19BF4A92FA7C}"/>
    <cellStyle name="Normal 39 3 6" xfId="32361" xr:uid="{30A6F389-0E1C-44BC-A0CA-C81F1E0183C0}"/>
    <cellStyle name="Normal 39 4" xfId="18386" xr:uid="{B815FD82-D99D-417C-BABB-101621F25FD1}"/>
    <cellStyle name="Normal 39 4 2" xfId="22003" xr:uid="{310AFCC5-C7BA-40E8-A843-0C78C484D061}"/>
    <cellStyle name="Normal 39 5" xfId="32362" xr:uid="{42DB9CC5-072C-4C78-88DF-08278F31862D}"/>
    <cellStyle name="Normal 39 6" xfId="32363" xr:uid="{E9E9A2BD-C3F4-4AB0-B162-7B468F20BFEA}"/>
    <cellStyle name="Normal 39 7" xfId="32364" xr:uid="{9A58D1A6-7F06-49BE-B291-97AE41F30768}"/>
    <cellStyle name="Normal 39 8" xfId="32365" xr:uid="{B074B324-D525-4A99-9306-DC2B81C6B95B}"/>
    <cellStyle name="Normal 4" xfId="3056" xr:uid="{0986EEE4-0F04-4BE4-8A41-C59DCFC38B4D}"/>
    <cellStyle name="Normal 4 10" xfId="6237" xr:uid="{B7199686-D292-45E6-9E72-E9B90406CDE8}"/>
    <cellStyle name="Normal 4 10 2" xfId="10625" xr:uid="{CC7533E5-F089-490C-AC6F-F9E002C91F24}"/>
    <cellStyle name="Normal 4 10 2 2" xfId="22007" xr:uid="{74B7554D-6AC7-4938-AC2D-1D2D9E6965AC}"/>
    <cellStyle name="Normal 4 10 2 3" xfId="45899" xr:uid="{6E7D120C-BFE6-4C06-A6D8-0CD7D4CC69A6}"/>
    <cellStyle name="Normal 4 10 2 4" xfId="18390" xr:uid="{8ABC240F-E55C-41D9-A751-2D545377CA40}"/>
    <cellStyle name="Normal 4 10 3" xfId="10514" xr:uid="{04F28C79-1341-4E1E-96B4-8F44EABD8D76}"/>
    <cellStyle name="Normal 4 10 3 2" xfId="13697" xr:uid="{34D48214-DEA7-42C3-A6E5-E578B2874799}"/>
    <cellStyle name="Normal 4 10 3 3" xfId="32366" xr:uid="{E695DDF5-3CB6-4A65-B64B-F2B482DEAEAA}"/>
    <cellStyle name="Normal 4 10 4" xfId="32367" xr:uid="{08232733-78ED-405E-BDB9-71ABB1A66E7D}"/>
    <cellStyle name="Normal 4 10 5" xfId="32368" xr:uid="{CF1F5D62-3062-49C6-AFD4-612644A00506}"/>
    <cellStyle name="Normal 4 10 6" xfId="32369" xr:uid="{C55F4BD2-19D1-4674-B64B-1A731D6C3A1C}"/>
    <cellStyle name="Normal 4 11" xfId="5941" xr:uid="{B5149F00-5D6A-4EB5-8C8E-40E337C6A33C}"/>
    <cellStyle name="Normal 4 11 2" xfId="9401" xr:uid="{1EC92DEE-B1A5-4E03-9D61-260361CB7053}"/>
    <cellStyle name="Normal 4 11 2 2" xfId="12707" xr:uid="{5F03D00B-AF17-45C5-9852-D5C2970C90B3}"/>
    <cellStyle name="Normal 4 11 2 2 2" xfId="22008" xr:uid="{0D5F8BAB-DF77-4DCB-8B6E-7DAF83CB463A}"/>
    <cellStyle name="Normal 4 11 2 3" xfId="18391" xr:uid="{B32409BF-1C4F-4880-A02C-7549038B1F70}"/>
    <cellStyle name="Normal 4 11 3" xfId="11422" xr:uid="{8F2D8EDF-87F9-4C86-9FCD-B78D334D21A5}"/>
    <cellStyle name="Normal 4 11 3 2" xfId="32370" xr:uid="{1E6072D0-1FAB-4F32-AE91-7BC365CD923C}"/>
    <cellStyle name="Normal 4 11 4" xfId="32371" xr:uid="{031E3BDC-A413-4A5F-87B2-98F06F2A6E13}"/>
    <cellStyle name="Normal 4 11 5" xfId="32372" xr:uid="{859132D9-7AB2-445F-BA86-52A5437B7A20}"/>
    <cellStyle name="Normal 4 11 6" xfId="32373" xr:uid="{27F3A76E-970F-482C-B73B-712C82B3299C}"/>
    <cellStyle name="Normal 4 11 7" xfId="16038" xr:uid="{3D7C0DAC-7D70-4326-9C08-B38F712890F1}"/>
    <cellStyle name="Normal 4 11 8" xfId="14333" xr:uid="{A13F5CE7-6507-4024-ADC5-BAF6C3A3AB74}"/>
    <cellStyle name="Normal 4 12" xfId="7406" xr:uid="{29DDAE85-4A2F-40C6-BDBD-84AE0711F0D4}"/>
    <cellStyle name="Normal 4 12 2" xfId="9898" xr:uid="{4367D0D8-2EBC-4849-A8F4-EAD4EA7640D7}"/>
    <cellStyle name="Normal 4 12 2 2" xfId="13204" xr:uid="{8A327333-E89D-4210-B7A0-D9B4B963C574}"/>
    <cellStyle name="Normal 4 12 2 2 2" xfId="22009" xr:uid="{8613FE4F-712B-45E2-AC3F-14977073E1BE}"/>
    <cellStyle name="Normal 4 12 2 3" xfId="18392" xr:uid="{1EC0E99D-C877-4B93-A72D-AA523A0D5DE6}"/>
    <cellStyle name="Normal 4 12 3" xfId="11919" xr:uid="{EC203138-D286-4FAE-B8AD-31BB6796FF7E}"/>
    <cellStyle name="Normal 4 12 3 2" xfId="32374" xr:uid="{787F0EC7-FAA0-4A3B-B9AA-8211A3AAABB9}"/>
    <cellStyle name="Normal 4 12 4" xfId="32375" xr:uid="{2A034F16-6E09-46DA-9EE7-BFDC3738854F}"/>
    <cellStyle name="Normal 4 12 5" xfId="32376" xr:uid="{C1F716B3-EE06-418F-89F4-9E561F2D7D93}"/>
    <cellStyle name="Normal 4 12 6" xfId="32377" xr:uid="{812D1CC8-E35D-433A-82FC-42B74B76C26B}"/>
    <cellStyle name="Normal 4 12 7" xfId="16039" xr:uid="{D196773D-5520-4EC5-B0E1-FCB981478F61}"/>
    <cellStyle name="Normal 4 13" xfId="16040" xr:uid="{43ABF472-52F7-420A-98FF-275177D8DE01}"/>
    <cellStyle name="Normal 4 13 2" xfId="18393" xr:uid="{41577CBD-8AFA-49F5-A800-65FE8EEB1D14}"/>
    <cellStyle name="Normal 4 13 2 2" xfId="22010" xr:uid="{3136F720-175D-4AEF-AF2F-3B3562AB2493}"/>
    <cellStyle name="Normal 4 13 3" xfId="32378" xr:uid="{3B45C04F-AD9F-48C3-85F3-986B3B7B9691}"/>
    <cellStyle name="Normal 4 13 4" xfId="32379" xr:uid="{7CE33285-DB8F-463E-B30F-A4AC9657427B}"/>
    <cellStyle name="Normal 4 13 5" xfId="32380" xr:uid="{2B46B408-973B-4E5E-8B47-E34FF1E28F29}"/>
    <cellStyle name="Normal 4 13 6" xfId="32381" xr:uid="{050F3628-8541-4707-AB82-69317B1DAE06}"/>
    <cellStyle name="Normal 4 14" xfId="16041" xr:uid="{75137666-B254-4701-9425-472E77F9CD87}"/>
    <cellStyle name="Normal 4 14 2" xfId="18394" xr:uid="{A6179CF6-A78D-4D5C-BCE5-9A6558F8BC50}"/>
    <cellStyle name="Normal 4 14 2 2" xfId="22011" xr:uid="{BDD9AE65-F7DE-4767-BFD3-56BD7A048823}"/>
    <cellStyle name="Normal 4 14 3" xfId="32382" xr:uid="{5A4D628E-6DE3-4086-B61B-CA0F08C7B03E}"/>
    <cellStyle name="Normal 4 14 4" xfId="32383" xr:uid="{F34CF833-74A7-4277-ACA7-D56B3A2FE0B3}"/>
    <cellStyle name="Normal 4 14 5" xfId="32384" xr:uid="{EF6A35C1-5F90-4AD8-AAA7-4BFEAD44D6EE}"/>
    <cellStyle name="Normal 4 14 6" xfId="32385" xr:uid="{78906190-2F8A-4B12-9752-D2CD91C2CF79}"/>
    <cellStyle name="Normal 4 15" xfId="16042" xr:uid="{DBD519CA-F080-4868-B6DB-472BEEE89342}"/>
    <cellStyle name="Normal 4 15 2" xfId="18395" xr:uid="{94A426EC-C281-437A-BECB-504ECDEA4659}"/>
    <cellStyle name="Normal 4 15 2 2" xfId="22012" xr:uid="{8557885A-AFDB-4BCE-8811-0C65C483E8DA}"/>
    <cellStyle name="Normal 4 15 3" xfId="32386" xr:uid="{44CDB3FE-9BD3-4155-B19F-F4EB08670DC7}"/>
    <cellStyle name="Normal 4 15 4" xfId="32387" xr:uid="{9570B203-4BA8-4390-8FD4-476D701DE3D2}"/>
    <cellStyle name="Normal 4 15 5" xfId="32388" xr:uid="{1583E004-E5C1-43D6-AC1A-70DD4135BAFD}"/>
    <cellStyle name="Normal 4 15 6" xfId="32389" xr:uid="{F4CFB630-E964-43B8-B9D0-6469E0B436FA}"/>
    <cellStyle name="Normal 4 16" xfId="16043" xr:uid="{4C56AE6F-B839-4E09-9FFA-A94716A6F316}"/>
    <cellStyle name="Normal 4 16 2" xfId="18396" xr:uid="{FA155D6A-459C-4515-A6ED-7CD64A895C97}"/>
    <cellStyle name="Normal 4 16 2 2" xfId="22013" xr:uid="{E6CF30FC-0F67-4EFA-A1D8-2ABA6C801B9E}"/>
    <cellStyle name="Normal 4 16 3" xfId="32390" xr:uid="{9670709A-DF32-4DC1-A329-29DAA9943521}"/>
    <cellStyle name="Normal 4 16 4" xfId="32391" xr:uid="{DFFE6ADD-31DA-43CB-93E2-E4E0DF04AB38}"/>
    <cellStyle name="Normal 4 16 5" xfId="32392" xr:uid="{8ABFB06C-9ADB-4716-866A-62A53FC9F6B0}"/>
    <cellStyle name="Normal 4 16 6" xfId="32393" xr:uid="{47308EE9-6DBC-4EAF-B3E0-72CA574098C9}"/>
    <cellStyle name="Normal 4 17" xfId="16044" xr:uid="{41D408A7-15F2-4681-A3A1-CFFE88006A5D}"/>
    <cellStyle name="Normal 4 17 2" xfId="18397" xr:uid="{6319B3B9-1E35-4026-9EDD-787A0AB8941A}"/>
    <cellStyle name="Normal 4 17 2 2" xfId="22014" xr:uid="{020D4B7A-E5E3-4197-8040-DD9A79DFBC9F}"/>
    <cellStyle name="Normal 4 17 3" xfId="32394" xr:uid="{20373811-82C5-41CB-85EA-8073E35F6A31}"/>
    <cellStyle name="Normal 4 17 4" xfId="32395" xr:uid="{217AEB62-0318-44BB-9EF0-A77A156B1601}"/>
    <cellStyle name="Normal 4 17 5" xfId="32396" xr:uid="{5B7A5B5B-8A25-4D53-A2F9-099636E59C42}"/>
    <cellStyle name="Normal 4 17 6" xfId="32397" xr:uid="{63A21596-5C17-4CB3-800A-5AAC14EFD07D}"/>
    <cellStyle name="Normal 4 18" xfId="18389" xr:uid="{FE7E0B3E-201F-463F-9733-F2A899B784C3}"/>
    <cellStyle name="Normal 4 18 2" xfId="22006" xr:uid="{6B123583-1667-454B-BA3A-03B7F28CE690}"/>
    <cellStyle name="Normal 4 19" xfId="32398" xr:uid="{DD2FF596-875D-4D9A-9A6B-FF546B213344}"/>
    <cellStyle name="Normal 4 2" xfId="3057" xr:uid="{F48DCDCD-766E-4C27-B03E-EF927C42608B}"/>
    <cellStyle name="Normal 4 2 2" xfId="3058" xr:uid="{C5A78FF2-687C-4153-AEB9-8434849BBA33}"/>
    <cellStyle name="Normal 4 2 2 10" xfId="32399" xr:uid="{E360F2B8-FE55-4757-A6A9-5E74AF90664A}"/>
    <cellStyle name="Normal 4 2 2 2" xfId="15370" xr:uid="{3937E840-E3C3-49DC-8C20-CF60845311CA}"/>
    <cellStyle name="Normal 4 2 2 2 2" xfId="18400" xr:uid="{88018C63-EC34-4FB9-B43D-72087DD6A72C}"/>
    <cellStyle name="Normal 4 2 2 2 2 2" xfId="22017" xr:uid="{DE198C12-B17F-4D17-A610-E80DA1905D27}"/>
    <cellStyle name="Normal 4 2 2 2 3" xfId="32400" xr:uid="{626031CF-5F11-4FE7-A3C7-4DFA41D2B356}"/>
    <cellStyle name="Normal 4 2 2 2 4" xfId="32401" xr:uid="{EE8EA66F-08BC-424F-BEC3-AC2DB9372901}"/>
    <cellStyle name="Normal 4 2 2 2 5" xfId="32402" xr:uid="{B9DC96FF-05EA-40AC-AF19-0D35DAC8DF12}"/>
    <cellStyle name="Normal 4 2 2 2 6" xfId="32403" xr:uid="{9E7F1255-DFAA-4B26-8CF1-E4CB6E6A0347}"/>
    <cellStyle name="Normal 4 2 2 3" xfId="16725" xr:uid="{103BB930-FB2F-4D6D-9B90-C8D5F635B6EE}"/>
    <cellStyle name="Normal 4 2 2 3 2" xfId="18401" xr:uid="{1A03BDAC-F621-4B8A-A050-0FF221EC6B71}"/>
    <cellStyle name="Normal 4 2 2 3 2 2" xfId="22018" xr:uid="{E94203C1-467D-4380-B65B-96D4EDBCA2E2}"/>
    <cellStyle name="Normal 4 2 2 3 3" xfId="32404" xr:uid="{C81F1AF4-0598-4778-8FAB-99FB1ECF8736}"/>
    <cellStyle name="Normal 4 2 2 3 4" xfId="32405" xr:uid="{5FB3BBB6-0A82-43C6-8561-26ECE0488E44}"/>
    <cellStyle name="Normal 4 2 2 3 5" xfId="32406" xr:uid="{504D59BA-2DF2-44B2-BAD1-8B98AA04E594}"/>
    <cellStyle name="Normal 4 2 2 3 6" xfId="32407" xr:uid="{78F137EA-9FA6-4501-AE8D-D7240431D4DF}"/>
    <cellStyle name="Normal 4 2 2 4" xfId="16544" xr:uid="{806CE44F-6826-4621-A384-E4969725474D}"/>
    <cellStyle name="Normal 4 2 2 4 2" xfId="18402" xr:uid="{FE14D315-9A1C-49E1-A1FD-F7136BC525E0}"/>
    <cellStyle name="Normal 4 2 2 4 2 2" xfId="22019" xr:uid="{2CE96B46-DCF9-4A4F-B411-178677CDB754}"/>
    <cellStyle name="Normal 4 2 2 4 3" xfId="20693" xr:uid="{24072484-5D75-4FA1-9B62-3B26D7D09BA4}"/>
    <cellStyle name="Normal 4 2 2 5" xfId="18403" xr:uid="{8BD4D97D-9FD9-4575-829B-BE64C2C372FE}"/>
    <cellStyle name="Normal 4 2 2 5 2" xfId="22020" xr:uid="{6D889B45-A348-4030-B58E-AD56578F7053}"/>
    <cellStyle name="Normal 4 2 2 6" xfId="18399" xr:uid="{BB18CF37-AAAF-46AD-B146-BE351F853436}"/>
    <cellStyle name="Normal 4 2 2 6 2" xfId="22016" xr:uid="{8B667BEC-AF80-4ED7-BB28-79D01F0BA4AB}"/>
    <cellStyle name="Normal 4 2 2 7" xfId="32408" xr:uid="{E418DAE4-D090-4736-B827-3CA9B4C88496}"/>
    <cellStyle name="Normal 4 2 2 8" xfId="32409" xr:uid="{6B33BC5F-7A44-44AD-8ACF-005465AC87B7}"/>
    <cellStyle name="Normal 4 2 2 9" xfId="32410" xr:uid="{EC7338BC-6D5D-46A0-AF2A-E57EB205D7C8}"/>
    <cellStyle name="Normal 4 2 3" xfId="3059" xr:uid="{606A5FF0-3625-4FCA-A98F-6979DCC5DD88}"/>
    <cellStyle name="Normal 4 2 3 2" xfId="15371" xr:uid="{0F4131B6-32BF-400D-B923-6FD778A14EFD}"/>
    <cellStyle name="Normal 4 2 3 2 2" xfId="18405" xr:uid="{D3CF1F5C-F5F6-4F19-B18C-AC5183D3946C}"/>
    <cellStyle name="Normal 4 2 3 2 2 2" xfId="22022" xr:uid="{787CFC61-6427-4DD6-928F-5F36CBF9C9E5}"/>
    <cellStyle name="Normal 4 2 3 2 3" xfId="32411" xr:uid="{1E1F2088-EB1C-441F-91D3-1C06D88F7164}"/>
    <cellStyle name="Normal 4 2 3 2 4" xfId="32412" xr:uid="{DC35D21F-2C45-4F3A-9053-6222C76F6D9D}"/>
    <cellStyle name="Normal 4 2 3 2 5" xfId="32413" xr:uid="{2479CEE1-C073-45C3-8631-15EAC0985AB0}"/>
    <cellStyle name="Normal 4 2 3 2 6" xfId="32414" xr:uid="{454539FF-1340-42CC-904C-E694F2A723C8}"/>
    <cellStyle name="Normal 4 2 3 3" xfId="16726" xr:uid="{F691FF21-94EC-46BC-8785-52EE7BA861C2}"/>
    <cellStyle name="Normal 4 2 3 3 2" xfId="18406" xr:uid="{3E157EBD-2521-4153-B47A-75C367192ED7}"/>
    <cellStyle name="Normal 4 2 3 3 2 2" xfId="22023" xr:uid="{13459EDE-518D-4C17-96C7-E8C338E2A1F6}"/>
    <cellStyle name="Normal 4 2 3 3 3" xfId="32415" xr:uid="{BEB1DABC-CB20-4E73-BD2B-57C7D9819038}"/>
    <cellStyle name="Normal 4 2 3 3 4" xfId="32416" xr:uid="{1506439A-3601-4E61-8B31-60CAA7847D70}"/>
    <cellStyle name="Normal 4 2 3 3 5" xfId="32417" xr:uid="{060F8902-D254-470E-8FB7-1FA4BF2085C1}"/>
    <cellStyle name="Normal 4 2 3 3 6" xfId="32418" xr:uid="{B148F1DE-5C60-4F71-8CCC-E7030AFEF4B4}"/>
    <cellStyle name="Normal 4 2 3 4" xfId="16545" xr:uid="{B7CC1619-C29C-4D87-8208-F128D91EA979}"/>
    <cellStyle name="Normal 4 2 3 4 2" xfId="18407" xr:uid="{926C9CBF-EEB1-4CEE-BDC7-4CE56C33FCBE}"/>
    <cellStyle name="Normal 4 2 3 4 2 2" xfId="22024" xr:uid="{155C7E65-39E7-4923-94AA-6766248C5DC3}"/>
    <cellStyle name="Normal 4 2 3 4 3" xfId="20694" xr:uid="{714F9D9B-28CE-44B9-A232-B6E9D9C6301F}"/>
    <cellStyle name="Normal 4 2 3 5" xfId="18404" xr:uid="{AF1A7AEF-ECDD-4E26-BA08-E8EF91646FC5}"/>
    <cellStyle name="Normal 4 2 3 5 2" xfId="22021" xr:uid="{50577918-1986-4672-8DB3-9722E09ED63C}"/>
    <cellStyle name="Normal 4 2 3 6" xfId="32419" xr:uid="{A0A37751-86AA-4C0A-A453-1250A4D36C79}"/>
    <cellStyle name="Normal 4 2 3 7" xfId="32420" xr:uid="{F92E1CC7-3FB2-485F-93E5-B1D20C57D192}"/>
    <cellStyle name="Normal 4 2 3 8" xfId="32421" xr:uid="{69173484-AF55-4D65-A061-D16902B81D77}"/>
    <cellStyle name="Normal 4 2 3 9" xfId="32422" xr:uid="{71BB2F03-E211-4609-BCA8-882328361189}"/>
    <cellStyle name="Normal 4 2 4" xfId="18398" xr:uid="{B7271D0A-0655-4C52-AE67-506A949BA0DC}"/>
    <cellStyle name="Normal 4 2 4 2" xfId="22015" xr:uid="{EE15F2B2-7895-4EF5-B554-6D6ABC8C95A0}"/>
    <cellStyle name="Normal 4 2 5" xfId="32423" xr:uid="{17DE4870-86D6-4925-8778-850354F6F6CA}"/>
    <cellStyle name="Normal 4 2 6" xfId="32424" xr:uid="{F0F9D1BD-1B8D-4222-A3C9-246329269393}"/>
    <cellStyle name="Normal 4 2 7" xfId="32425" xr:uid="{C0A5B223-C8B7-4972-A46D-EAEE0ADB0309}"/>
    <cellStyle name="Normal 4 2 8" xfId="32426" xr:uid="{65401F4E-BC47-4283-8FD7-5D66CAA41FE6}"/>
    <cellStyle name="Normal 4 2 9" xfId="32427" xr:uid="{02A281E3-CA1D-4C35-8AEA-3B8ED47E9F08}"/>
    <cellStyle name="Normal 4 20" xfId="32428" xr:uid="{5A63D38B-1605-48E8-932C-C847A5033733}"/>
    <cellStyle name="Normal 4 21" xfId="32429" xr:uid="{B4DA57B3-0B72-433C-94B9-EAC9771E3CBC}"/>
    <cellStyle name="Normal 4 22" xfId="32430" xr:uid="{5E71A78A-1A0A-4264-B5DB-7097FA97A4AD}"/>
    <cellStyle name="Normal 4 23" xfId="32431" xr:uid="{BA4A79F2-46E2-416E-9A55-5A3092EF92DD}"/>
    <cellStyle name="Normal 4 24" xfId="32432" xr:uid="{40EB8B77-B9D7-4244-983C-2A4BD3544422}"/>
    <cellStyle name="Normal 4 3" xfId="3060" xr:uid="{7C34FC8C-C043-447B-BBCC-2A03D94CD98E}"/>
    <cellStyle name="Normal 4 3 2" xfId="15372" xr:uid="{59C4480E-1EEE-42DA-ABE2-9AB3C4FC7295}"/>
    <cellStyle name="Normal 4 3 2 2" xfId="18409" xr:uid="{D3C58447-937A-436F-A1E1-FCDBA997C339}"/>
    <cellStyle name="Normal 4 3 2 2 2" xfId="22026" xr:uid="{60686AF4-98E1-4D58-9EDC-C25321226E65}"/>
    <cellStyle name="Normal 4 3 2 3" xfId="32433" xr:uid="{EC0D9538-20E2-460C-BC44-ACB85C53F111}"/>
    <cellStyle name="Normal 4 3 2 4" xfId="32434" xr:uid="{47F52E5D-44B8-4051-B477-B7FBA95DB391}"/>
    <cellStyle name="Normal 4 3 2 5" xfId="32435" xr:uid="{E38B7156-2775-4D13-A67C-528A244385D9}"/>
    <cellStyle name="Normal 4 3 2 6" xfId="32436" xr:uid="{7E4BD8EC-E1B3-4AF6-AAAC-5EA033D611DC}"/>
    <cellStyle name="Normal 4 3 3" xfId="16546" xr:uid="{DAD0AD2A-B77A-4CD5-9917-63D9158A67FB}"/>
    <cellStyle name="Normal 4 3 3 2" xfId="18410" xr:uid="{BCDFDC19-D03D-4D0A-87BA-DA5E5DA966BB}"/>
    <cellStyle name="Normal 4 3 3 2 2" xfId="22027" xr:uid="{DEAA4DFB-3E70-4B16-8F56-7CDCDBA5BA0B}"/>
    <cellStyle name="Normal 4 3 3 3" xfId="20695" xr:uid="{25C5F957-EA17-40F6-A715-04E5831A64B2}"/>
    <cellStyle name="Normal 4 3 4" xfId="18408" xr:uid="{40132C31-33C8-4631-85FC-0D56064114AE}"/>
    <cellStyle name="Normal 4 3 4 2" xfId="22025" xr:uid="{FB21A007-F89C-4797-8195-E97D3F4E32EC}"/>
    <cellStyle name="Normal 4 3 5" xfId="32437" xr:uid="{3B3A2B7C-0052-4309-9373-CF7ADC63523E}"/>
    <cellStyle name="Normal 4 3 6" xfId="32438" xr:uid="{5B0C5F63-2975-4C31-A409-DAAAD427AD0A}"/>
    <cellStyle name="Normal 4 3 7" xfId="32439" xr:uid="{0BAF17B8-1918-4A15-9DF7-D59AA20A384F}"/>
    <cellStyle name="Normal 4 3 8" xfId="32440" xr:uid="{2AA4B903-DCED-4EB1-8905-5B4EDC4C2D96}"/>
    <cellStyle name="Normal 4 3 9" xfId="32441" xr:uid="{888A5C53-345A-49C5-A572-9A0BAB53F636}"/>
    <cellStyle name="Normal 4 4" xfId="3061" xr:uid="{3F5BD129-E695-4C71-8A58-C6B9F46A3AEF}"/>
    <cellStyle name="Normal 4 4 2" xfId="15373" xr:uid="{F4700BA5-CFFD-4BCB-BDA4-E74254847EAA}"/>
    <cellStyle name="Normal 4 4 2 2" xfId="18412" xr:uid="{638A2B05-8D79-4F3D-BB77-3D8264A6080F}"/>
    <cellStyle name="Normal 4 4 2 2 2" xfId="22029" xr:uid="{48FE14D3-9317-4545-863F-7FF8A0F0F2A7}"/>
    <cellStyle name="Normal 4 4 2 3" xfId="32442" xr:uid="{703CC79C-BBF0-465E-A3C1-84CE1C48502A}"/>
    <cellStyle name="Normal 4 4 2 4" xfId="32443" xr:uid="{DBE7A42E-0D20-4612-A927-03A08D02A7D7}"/>
    <cellStyle name="Normal 4 4 2 5" xfId="32444" xr:uid="{38D751C9-B8EA-493F-A041-559F3D0E835E}"/>
    <cellStyle name="Normal 4 4 2 6" xfId="32445" xr:uid="{C122E9C2-A4FE-4E85-B1D8-91099EFA3D94}"/>
    <cellStyle name="Normal 4 4 3" xfId="16547" xr:uid="{2AF16295-0DE8-47F5-B108-F0C7F9998B47}"/>
    <cellStyle name="Normal 4 4 3 2" xfId="18413" xr:uid="{A095091F-3F19-4381-96E7-FC85EDDADC61}"/>
    <cellStyle name="Normal 4 4 3 2 2" xfId="22030" xr:uid="{A29C6B78-2E37-44F0-AC5F-AC708B275E8A}"/>
    <cellStyle name="Normal 4 4 3 3" xfId="20696" xr:uid="{FC2922D8-4E29-40A0-A2A0-F1028EA46912}"/>
    <cellStyle name="Normal 4 4 4" xfId="18411" xr:uid="{95B5D725-80D2-4EF6-8443-3ED78B0ADA2A}"/>
    <cellStyle name="Normal 4 4 4 2" xfId="22028" xr:uid="{4DA23D2F-C11A-4FEF-8AC2-61B6DB977C48}"/>
    <cellStyle name="Normal 4 4 5" xfId="32446" xr:uid="{7390922D-5EB4-4851-B60C-DD893EE129E2}"/>
    <cellStyle name="Normal 4 4 6" xfId="32447" xr:uid="{193A579E-EAF9-4C50-8CE5-95C119B006B6}"/>
    <cellStyle name="Normal 4 4 7" xfId="32448" xr:uid="{1D46D882-0ECE-47D9-ACC8-0633122B94DE}"/>
    <cellStyle name="Normal 4 4 8" xfId="32449" xr:uid="{439FB382-6F43-4386-83CE-00444B95D789}"/>
    <cellStyle name="Normal 4 4 9" xfId="32450" xr:uid="{6069188B-C7C1-432A-A4FB-9A998D667726}"/>
    <cellStyle name="Normal 4 5" xfId="3062" xr:uid="{60E6F78E-14B5-4CC0-B14A-3850BE65D71F}"/>
    <cellStyle name="Normal 4 5 2" xfId="15374" xr:uid="{8D05EA1F-0441-4429-ADD9-E1FA14B161E4}"/>
    <cellStyle name="Normal 4 5 2 2" xfId="18415" xr:uid="{23C5A6ED-7305-4367-8DB8-10F85DC5D227}"/>
    <cellStyle name="Normal 4 5 2 2 2" xfId="22032" xr:uid="{E77B61FA-A2ED-4CCA-AB67-33F81AC67C98}"/>
    <cellStyle name="Normal 4 5 2 3" xfId="32451" xr:uid="{1B25355F-4913-4FCD-81C2-63317431DECD}"/>
    <cellStyle name="Normal 4 5 2 4" xfId="32452" xr:uid="{959623FC-E793-4860-B878-95587BD9E656}"/>
    <cellStyle name="Normal 4 5 2 5" xfId="32453" xr:uid="{C253C830-96DB-40DE-A31B-7245F9692A58}"/>
    <cellStyle name="Normal 4 5 2 6" xfId="32454" xr:uid="{A905F891-FB2A-4F5E-8782-39EE57043FCA}"/>
    <cellStyle name="Normal 4 5 3" xfId="16548" xr:uid="{DB7A7226-1A0A-439D-BD09-28AA34DF7EEC}"/>
    <cellStyle name="Normal 4 5 3 2" xfId="18416" xr:uid="{C89C1ECF-461D-43B6-8037-687558FB6E78}"/>
    <cellStyle name="Normal 4 5 3 2 2" xfId="22033" xr:uid="{B5E7E558-54E7-4DD5-A652-09E93379A8E6}"/>
    <cellStyle name="Normal 4 5 3 3" xfId="20697" xr:uid="{0EE711ED-7C4B-4A95-87E3-BB2C5D4BC6D2}"/>
    <cellStyle name="Normal 4 5 4" xfId="18414" xr:uid="{696734E6-0171-4E2B-8389-763813D7CF44}"/>
    <cellStyle name="Normal 4 5 4 2" xfId="22031" xr:uid="{520EA2D1-030B-408C-80C6-DCFC45FB0EC4}"/>
    <cellStyle name="Normal 4 5 5" xfId="32455" xr:uid="{4E6999E1-BD25-440F-81ED-CD6ABE31ABCE}"/>
    <cellStyle name="Normal 4 5 6" xfId="32456" xr:uid="{1226A00B-B3EE-467F-9223-ADE4AF8CC8B8}"/>
    <cellStyle name="Normal 4 5 7" xfId="32457" xr:uid="{972E708D-A44A-4E32-9E53-0B0C91642BCE}"/>
    <cellStyle name="Normal 4 5 8" xfId="32458" xr:uid="{A1DD47C1-13B6-4257-B361-50EB85D5DFD5}"/>
    <cellStyle name="Normal 4 5 9" xfId="32459" xr:uid="{21D23ACA-F50B-4EC0-8902-496B2AE2DEF4}"/>
    <cellStyle name="Normal 4 6" xfId="3063" xr:uid="{DA72F6F7-CA95-408C-9022-11AF56576DB6}"/>
    <cellStyle name="Normal 4 6 2" xfId="15375" xr:uid="{116FAF08-6B13-4513-9CEE-1B7DAC49BC85}"/>
    <cellStyle name="Normal 4 6 2 2" xfId="18418" xr:uid="{4D1574EF-6711-4114-ACDD-B540B44B3884}"/>
    <cellStyle name="Normal 4 6 2 2 2" xfId="22035" xr:uid="{6801D9EC-EA26-4B44-B0BC-00019F939609}"/>
    <cellStyle name="Normal 4 6 2 3" xfId="32460" xr:uid="{F76084C6-8297-4945-A3DB-7A942FB472F4}"/>
    <cellStyle name="Normal 4 6 2 4" xfId="32461" xr:uid="{EB6F5C62-6965-4F96-B90F-50220B02A470}"/>
    <cellStyle name="Normal 4 6 2 5" xfId="32462" xr:uid="{F2FED29C-9477-4474-90C4-78A2C9D5141C}"/>
    <cellStyle name="Normal 4 6 2 6" xfId="32463" xr:uid="{39944395-90BF-4918-A476-21B2A1BC33E8}"/>
    <cellStyle name="Normal 4 6 3" xfId="16549" xr:uid="{C9849301-A429-4C03-85AF-413BB0DD6C7C}"/>
    <cellStyle name="Normal 4 6 3 2" xfId="18419" xr:uid="{251E0D0B-E0B7-4D9C-B88A-72EB3737BFDA}"/>
    <cellStyle name="Normal 4 6 3 2 2" xfId="22036" xr:uid="{6104EEC4-F3C3-4C4D-9012-E69692D7CAB9}"/>
    <cellStyle name="Normal 4 6 3 3" xfId="20698" xr:uid="{BBB2CADE-DB77-4A87-A384-5E2287542538}"/>
    <cellStyle name="Normal 4 6 4" xfId="18417" xr:uid="{ACB1549F-057B-4A83-8EF5-41122008ADD7}"/>
    <cellStyle name="Normal 4 6 4 2" xfId="22034" xr:uid="{6C1C36DF-458E-4F1C-B415-6FA30C44D5BB}"/>
    <cellStyle name="Normal 4 6 5" xfId="32464" xr:uid="{BB83A559-6E8B-47E9-B7EE-88597DDA750E}"/>
    <cellStyle name="Normal 4 6 6" xfId="32465" xr:uid="{C3D95CA2-DAEC-4081-AC53-35C8B51C5400}"/>
    <cellStyle name="Normal 4 6 7" xfId="32466" xr:uid="{4AC639EF-8900-455A-B528-6E1DCADADCB6}"/>
    <cellStyle name="Normal 4 6 8" xfId="32467" xr:uid="{0406C820-217C-45A8-AFE8-22619877946F}"/>
    <cellStyle name="Normal 4 6 9" xfId="32468" xr:uid="{7FCA63CF-ED4F-485B-BAB3-60CE449B9C33}"/>
    <cellStyle name="Normal 4 7" xfId="3064" xr:uid="{11026789-A6DB-4A9B-B01D-A5FCC087050C}"/>
    <cellStyle name="Normal 4 7 2" xfId="15376" xr:uid="{34EB5304-38C0-4156-823D-7A839361066B}"/>
    <cellStyle name="Normal 4 7 2 2" xfId="18421" xr:uid="{DCC83015-59BE-4FF9-93F2-68C46FBAC842}"/>
    <cellStyle name="Normal 4 7 2 2 2" xfId="22038" xr:uid="{4DD32115-97C1-4D3B-B653-39D6572FDBFE}"/>
    <cellStyle name="Normal 4 7 2 3" xfId="32469" xr:uid="{06FCC021-36D9-4AFA-B447-FF5A11FE3940}"/>
    <cellStyle name="Normal 4 7 2 4" xfId="32470" xr:uid="{B89D5580-44B5-4C32-94E3-9CD109A52317}"/>
    <cellStyle name="Normal 4 7 2 5" xfId="32471" xr:uid="{8E9F0676-46B0-4349-B974-AA18641D0C62}"/>
    <cellStyle name="Normal 4 7 2 6" xfId="32472" xr:uid="{7E46775D-666A-41FB-9146-FDAF32D2CC34}"/>
    <cellStyle name="Normal 4 7 3" xfId="16550" xr:uid="{4E7B2D9C-4FE2-4044-8387-EFC111A200D3}"/>
    <cellStyle name="Normal 4 7 3 2" xfId="18422" xr:uid="{D0F7B868-EDAA-4EB7-BB3E-64C8B22FBB1C}"/>
    <cellStyle name="Normal 4 7 3 2 2" xfId="22039" xr:uid="{C78D8412-33C4-4D49-96E5-67CAB013A6BB}"/>
    <cellStyle name="Normal 4 7 3 3" xfId="20699" xr:uid="{E0320357-5EC7-4487-8EA4-51209CBBC251}"/>
    <cellStyle name="Normal 4 7 4" xfId="18420" xr:uid="{6BE2D34B-DB1A-4A24-B1AE-582801CE57A7}"/>
    <cellStyle name="Normal 4 7 4 2" xfId="22037" xr:uid="{330F8E50-856B-47C5-B1C6-EB01F48BAEB1}"/>
    <cellStyle name="Normal 4 7 5" xfId="32473" xr:uid="{E19A8107-3D88-42CB-9014-43D76E0C74FF}"/>
    <cellStyle name="Normal 4 7 6" xfId="32474" xr:uid="{C3C4C66E-6116-4FEB-A3D2-2FD4414900F1}"/>
    <cellStyle name="Normal 4 7 7" xfId="32475" xr:uid="{044FF50F-53AD-4B6D-BF59-247578252473}"/>
    <cellStyle name="Normal 4 7 8" xfId="32476" xr:uid="{5532E075-D100-4D67-90B6-32AA7A5DDB3F}"/>
    <cellStyle name="Normal 4 7 9" xfId="32477" xr:uid="{333165F6-B12C-4BC5-816F-79E895DBCB9A}"/>
    <cellStyle name="Normal 4 8" xfId="3065" xr:uid="{7B4EAB80-8388-415A-8305-F0FB82DC6778}"/>
    <cellStyle name="Normal 4 8 10" xfId="8025" xr:uid="{BB38333E-4F66-450B-A24D-A050E3497AB1}"/>
    <cellStyle name="Normal 4 8 10 2" xfId="12538" xr:uid="{4459B8FC-56E8-4CB8-9974-BE01F1010C19}"/>
    <cellStyle name="Normal 4 8 10 3" xfId="32478" xr:uid="{3D62ECDC-5ABE-48E2-ACC8-40EC223D0699}"/>
    <cellStyle name="Normal 4 8 11" xfId="11282" xr:uid="{0136FABA-2D8D-463D-AE9F-36E6CA05854D}"/>
    <cellStyle name="Normal 4 8 11 2" xfId="13841" xr:uid="{DF5181C6-8A8D-429F-BC83-FEC2C8D610A0}"/>
    <cellStyle name="Normal 4 8 12" xfId="5922" xr:uid="{1E59914D-9817-43BE-884F-DAEFB02FBE70}"/>
    <cellStyle name="Normal 4 8 13" xfId="11410" xr:uid="{AFF07E66-554C-4C80-99ED-4DAA3B48B2D3}"/>
    <cellStyle name="Normal 4 8 14" xfId="13876" xr:uid="{2F186B90-5F35-40D0-9E00-0E44550DFCEE}"/>
    <cellStyle name="Normal 4 8 2" xfId="3066" xr:uid="{0E72DF24-BC55-4DBD-8C8A-AF150B518287}"/>
    <cellStyle name="Normal 4 8 2 2" xfId="10517" xr:uid="{B5B05CE2-942D-4040-B185-23833DF1CC07}"/>
    <cellStyle name="Normal 4 8 2 2 2" xfId="13698" xr:uid="{13EEA691-0F2E-42F7-9743-F200FD766BB6}"/>
    <cellStyle name="Normal 4 8 2 2 2 2" xfId="22041" xr:uid="{64CBB443-CB18-4138-A9EC-06787A498E59}"/>
    <cellStyle name="Normal 4 8 2 2 3" xfId="18424" xr:uid="{ED0FCAF4-85D7-430A-9E07-69759F2A70E8}"/>
    <cellStyle name="Normal 4 8 2 3" xfId="32479" xr:uid="{E926F275-5378-4353-BE02-CDA6BD2CE8D6}"/>
    <cellStyle name="Normal 4 8 2 4" xfId="32480" xr:uid="{D56BE49B-A73E-4BEC-BF84-B390236C637F}"/>
    <cellStyle name="Normal 4 8 2 5" xfId="32481" xr:uid="{F56054A8-79DF-4C90-8CB7-AF84A72E7F29}"/>
    <cellStyle name="Normal 4 8 2 6" xfId="32482" xr:uid="{83548D08-FDAA-41BC-947E-B5502C40026D}"/>
    <cellStyle name="Normal 4 8 3" xfId="3067" xr:uid="{28194AE4-0FFF-4434-9060-97A463A7F024}"/>
    <cellStyle name="Normal 4 8 3 10" xfId="14008" xr:uid="{98928D6C-F7F4-4622-9530-282292E333C3}"/>
    <cellStyle name="Normal 4 8 3 2" xfId="5071" xr:uid="{5A6D77AF-A256-48A2-98A2-DF22BC287816}"/>
    <cellStyle name="Normal 4 8 3 2 2" xfId="5785" xr:uid="{BAA93880-E492-4C58-8BBE-ED869E4A78D2}"/>
    <cellStyle name="Normal 4 8 3 2 2 2" xfId="10379" xr:uid="{B98787FE-BD33-4292-8F5E-ACA95AAFA395}"/>
    <cellStyle name="Normal 4 8 3 2 2 2 2" xfId="13685" xr:uid="{F59FF305-E424-49C1-9ABB-7FE3BF45A7BE}"/>
    <cellStyle name="Normal 4 8 3 2 2 2 3" xfId="48335" xr:uid="{0C91D479-4E0A-4D8C-A9C1-481726213CD1}"/>
    <cellStyle name="Normal 4 8 3 2 2 3" xfId="7887" xr:uid="{6DADA17A-55DF-4DEB-B61B-94EF97DDD4FD}"/>
    <cellStyle name="Normal 4 8 3 2 2 3 2" xfId="22042" xr:uid="{3C432F2F-3EAF-4E80-90B4-6CC12D0EB341}"/>
    <cellStyle name="Normal 4 8 3 2 2 4" xfId="12400" xr:uid="{12D4C05C-8D61-42D3-A57E-B17525E9B435}"/>
    <cellStyle name="Normal 4 8 3 2 2 5" xfId="14814" xr:uid="{40B9E5C9-0962-4575-9A47-30AED377746B}"/>
    <cellStyle name="Normal 4 8 3 2 3" xfId="11260" xr:uid="{B6476B00-696A-4AC2-9D5E-25B05D40D930}"/>
    <cellStyle name="Normal 4 8 3 2 3 2" xfId="13819" xr:uid="{92B0588F-0C68-4EB8-9DFE-EABA9ECE3A86}"/>
    <cellStyle name="Normal 4 8 3 2 3 2 2" xfId="48716" xr:uid="{C8C4E0F7-31C4-43A6-BED6-C5BA31C83684}"/>
    <cellStyle name="Normal 4 8 3 2 3 3" xfId="47150" xr:uid="{C5AA214A-E5F0-4955-9B41-D11FBC45E458}"/>
    <cellStyle name="Normal 4 8 3 2 3 4" xfId="15129" xr:uid="{ECFE92EF-3538-46FD-84C0-2C6C75927B12}"/>
    <cellStyle name="Normal 4 8 3 2 4" xfId="9885" xr:uid="{FD067AC9-91E0-419E-98C5-8E15375EC250}"/>
    <cellStyle name="Normal 4 8 3 2 4 2" xfId="13191" xr:uid="{259BD894-C947-4695-9639-E20EC334224E}"/>
    <cellStyle name="Normal 4 8 3 2 4 2 2" xfId="49194" xr:uid="{198565A9-CF3B-4FBA-B61E-BD9353A101FE}"/>
    <cellStyle name="Normal 4 8 3 2 4 3" xfId="47609" xr:uid="{C487E570-B28E-453C-9DB5-895AD6FADA9E}"/>
    <cellStyle name="Normal 4 8 3 2 5" xfId="7383" xr:uid="{917A3CB2-7C8F-4117-9A5A-AAC7F935D320}"/>
    <cellStyle name="Normal 4 8 3 2 5 2" xfId="47864" xr:uid="{BAF33AC1-3D6F-4D14-8CAA-2A469852E93F}"/>
    <cellStyle name="Normal 4 8 3 2 6" xfId="11906" xr:uid="{E640B4FC-437A-4885-99E6-4462F2388E6C}"/>
    <cellStyle name="Normal 4 8 3 2 6 2" xfId="18425" xr:uid="{09C97388-7EF5-4E5D-BA9B-CE2F0D7B58F3}"/>
    <cellStyle name="Normal 4 8 3 2 7" xfId="14322" xr:uid="{5CD37492-1465-4A89-9A9B-0E44976AC55B}"/>
    <cellStyle name="Normal 4 8 3 3" xfId="5609" xr:uid="{1F33102C-BDEA-4551-A6DA-59706BE5BACD}"/>
    <cellStyle name="Normal 4 8 3 3 2" xfId="7711" xr:uid="{821A8F3B-473A-4AAF-BE78-4FE4324F08C8}"/>
    <cellStyle name="Normal 4 8 3 3 2 2" xfId="10203" xr:uid="{BE928DA2-8546-49D8-AD56-D179EBC3E31D}"/>
    <cellStyle name="Normal 4 8 3 3 2 2 2" xfId="13509" xr:uid="{02A38318-85C2-4FA7-8B9F-84A005BB4A7C}"/>
    <cellStyle name="Normal 4 8 3 3 2 2 3" xfId="49022" xr:uid="{93C5308F-9CCE-4EFF-8215-C3BBEDA1CB48}"/>
    <cellStyle name="Normal 4 8 3 3 2 3" xfId="12224" xr:uid="{E0A86809-8F11-442C-B778-990C3502F487}"/>
    <cellStyle name="Normal 4 8 3 3 2 3 2" xfId="47443" xr:uid="{1064D573-C4C2-464E-9383-589A75332CE6}"/>
    <cellStyle name="Normal 4 8 3 3 2 4" xfId="14638" xr:uid="{4C3B00F2-1300-4664-A378-B420CE66403E}"/>
    <cellStyle name="Normal 4 8 3 3 3" xfId="9709" xr:uid="{E0683A34-4BB1-4C21-9065-267B41C2C260}"/>
    <cellStyle name="Normal 4 8 3 3 3 2" xfId="13015" xr:uid="{8A163EF7-17AE-40F4-9E8C-802F2FF98F1B}"/>
    <cellStyle name="Normal 4 8 3 3 3 3" xfId="48167" xr:uid="{0F6C33A5-6709-4DF5-A428-318C9A7B8E6C}"/>
    <cellStyle name="Normal 4 8 3 3 4" xfId="7205" xr:uid="{A7FB3D21-C501-4439-8A52-EA796F603DEB}"/>
    <cellStyle name="Normal 4 8 3 3 4 2" xfId="32483" xr:uid="{37D87510-4515-4F2C-9D3B-82C1F3F64B11}"/>
    <cellStyle name="Normal 4 8 3 3 5" xfId="11730" xr:uid="{32F38E3A-E979-46A0-9195-73B8533903F9}"/>
    <cellStyle name="Normal 4 8 3 3 6" xfId="14146" xr:uid="{F102A92D-EAC2-4F7D-ACD1-5086911ED9C5}"/>
    <cellStyle name="Normal 4 8 3 4" xfId="6885" xr:uid="{5590A87D-08E4-44FC-8087-BA1172B8120E}"/>
    <cellStyle name="Normal 4 8 3 4 2" xfId="9571" xr:uid="{3F0B376B-0C3A-464F-B35A-B08FF38F3748}"/>
    <cellStyle name="Normal 4 8 3 4 2 2" xfId="12877" xr:uid="{8E099E0E-A29B-4EE9-9853-967549CDE1B0}"/>
    <cellStyle name="Normal 4 8 3 4 2 3" xfId="48032" xr:uid="{3367F55B-420F-4947-A435-B0348C97E606}"/>
    <cellStyle name="Normal 4 8 3 4 3" xfId="11592" xr:uid="{54FA60C8-A376-48F6-BB38-FD330A2CF72E}"/>
    <cellStyle name="Normal 4 8 3 4 3 2" xfId="32484" xr:uid="{0BAF86C8-6A3C-4B23-B55E-3D4C8D5E0A1C}"/>
    <cellStyle name="Normal 4 8 3 4 4" xfId="14500" xr:uid="{7678638D-A191-4A20-9407-F51E6FD00872}"/>
    <cellStyle name="Normal 4 8 3 5" xfId="7573" xr:uid="{A987C661-6C2F-41CE-8C9E-69C5F3350B3A}"/>
    <cellStyle name="Normal 4 8 3 5 2" xfId="10065" xr:uid="{1016ED79-CE49-40D8-9613-253C01179080}"/>
    <cellStyle name="Normal 4 8 3 5 2 2" xfId="13371" xr:uid="{76C90712-3103-4060-A573-C679F6FA4788}"/>
    <cellStyle name="Normal 4 8 3 5 2 3" xfId="48578" xr:uid="{9B4B70B7-5CAB-4DA1-9E0A-5EFF5934D0BE}"/>
    <cellStyle name="Normal 4 8 3 5 3" xfId="12086" xr:uid="{AD4AFD89-2030-4E41-97FB-49B719204BB1}"/>
    <cellStyle name="Normal 4 8 3 5 3 2" xfId="32485" xr:uid="{C4F7C2C5-F299-4610-A797-11E122CE1544}"/>
    <cellStyle name="Normal 4 8 3 5 4" xfId="14953" xr:uid="{84A60C83-DCE4-4718-8B3D-E2C99A230B06}"/>
    <cellStyle name="Normal 4 8 3 6" xfId="8960" xr:uid="{63C81138-E656-4F03-BB4F-825E74EBEB41}"/>
    <cellStyle name="Normal 4 8 3 6 2" xfId="12695" xr:uid="{C58C3DA9-8E7A-4686-8D9D-E2AE45A4622F}"/>
    <cellStyle name="Normal 4 8 3 6 2 2" xfId="48885" xr:uid="{D65BC9A0-9F8C-4B89-8526-515652E7ADC4}"/>
    <cellStyle name="Normal 4 8 3 6 3" xfId="32486" xr:uid="{E0CEB62B-A65E-4B26-9AB9-669FB61C94D7}"/>
    <cellStyle name="Normal 4 8 3 7" xfId="8026" xr:uid="{B7C9ACC4-FE6E-43D4-8C35-EB177EF46F7E}"/>
    <cellStyle name="Normal 4 8 3 7 2" xfId="12539" xr:uid="{46406255-BA0E-48FA-BFED-8BB29C76D1AE}"/>
    <cellStyle name="Normal 4 8 3 7 3" xfId="47729" xr:uid="{656504DD-D902-4ED7-B574-326B8441B2E3}"/>
    <cellStyle name="Normal 4 8 3 8" xfId="5923" xr:uid="{B44BF33A-2D9D-4AFF-9763-C6E7391FDF91}"/>
    <cellStyle name="Normal 4 8 3 8 2" xfId="16727" xr:uid="{FC0C4EF8-4599-45D6-A2D2-558A20042FC3}"/>
    <cellStyle name="Normal 4 8 3 9" xfId="11411" xr:uid="{0EA8B754-0A34-459E-9FE5-D3480E7477DE}"/>
    <cellStyle name="Normal 4 8 4" xfId="5070" xr:uid="{8122CDE0-125B-4AB0-BE97-4E65803D930D}"/>
    <cellStyle name="Normal 4 8 4 2" xfId="5784" xr:uid="{D164E99E-F000-47D0-A002-23BCE6E85CCD}"/>
    <cellStyle name="Normal 4 8 4 2 2" xfId="7886" xr:uid="{D8BC7A0B-D6CB-4280-9B3D-2DA85C04D7E2}"/>
    <cellStyle name="Normal 4 8 4 2 2 2" xfId="10378" xr:uid="{40F3725F-6B98-46C0-98EA-7D515A1066A5}"/>
    <cellStyle name="Normal 4 8 4 2 2 2 2" xfId="13684" xr:uid="{76A9C1B6-A046-42E9-B45F-BDCE27EE8C9D}"/>
    <cellStyle name="Normal 4 8 4 2 2 2 3" xfId="49193" xr:uid="{33D0C1C5-1BA8-4A3C-90C6-BBF61DA53E13}"/>
    <cellStyle name="Normal 4 8 4 2 2 3" xfId="12399" xr:uid="{663525B1-0317-44FE-B222-C73611CA19A1}"/>
    <cellStyle name="Normal 4 8 4 2 2 3 2" xfId="22043" xr:uid="{62F875A1-0122-497C-A323-D90CF6C48EAE}"/>
    <cellStyle name="Normal 4 8 4 2 2 4" xfId="14813" xr:uid="{AD63EEC1-3191-48CF-9368-C53450189E89}"/>
    <cellStyle name="Normal 4 8 4 2 3" xfId="9884" xr:uid="{E6ED8117-E174-417B-BBF6-F1CAE51D9B02}"/>
    <cellStyle name="Normal 4 8 4 2 3 2" xfId="13190" xr:uid="{471C6F68-2E57-4793-BAAA-7A8DF6E15FC8}"/>
    <cellStyle name="Normal 4 8 4 2 3 3" xfId="48334" xr:uid="{B280C7FE-9F8A-4B94-BB7E-3D7E9FAE4F9E}"/>
    <cellStyle name="Normal 4 8 4 2 4" xfId="7382" xr:uid="{38020A79-57E7-4333-94E3-2AB81FD9668E}"/>
    <cellStyle name="Normal 4 8 4 2 4 2" xfId="18426" xr:uid="{2BB54B35-51D9-42BF-A05C-000D035887F7}"/>
    <cellStyle name="Normal 4 8 4 2 5" xfId="11905" xr:uid="{F3843250-C27F-444F-8073-7EA9377BFFEB}"/>
    <cellStyle name="Normal 4 8 4 2 6" xfId="14321" xr:uid="{3EDCCEBB-AE2C-4BB0-BC58-6A056E2D4F92}"/>
    <cellStyle name="Normal 4 8 4 3" xfId="7572" xr:uid="{7811C8CC-F189-4E4A-B1CD-20234CAD41E2}"/>
    <cellStyle name="Normal 4 8 4 3 2" xfId="10064" xr:uid="{B42F3136-1A67-498D-AE5A-0BF4C3AF0EE8}"/>
    <cellStyle name="Normal 4 8 4 3 2 2" xfId="13370" xr:uid="{FCD4FEC3-2478-4B68-9DB0-807FA8419F9C}"/>
    <cellStyle name="Normal 4 8 4 3 2 3" xfId="48031" xr:uid="{563E3C2B-31CA-4F7A-ACCE-535DE3317078}"/>
    <cellStyle name="Normal 4 8 4 3 3" xfId="12085" xr:uid="{5F76205C-87BF-401A-A7E0-4B45BCD14425}"/>
    <cellStyle name="Normal 4 8 4 3 3 2" xfId="20700" xr:uid="{89FF1FCE-EBA0-48D0-B66F-E9572C677D03}"/>
    <cellStyle name="Normal 4 8 4 3 4" xfId="14499" xr:uid="{831F5FEC-2ED4-429E-AECF-C108D2D3F895}"/>
    <cellStyle name="Normal 4 8 4 4" xfId="11188" xr:uid="{E8DCC1B0-BEE4-40BB-9BA1-8741317AB1AD}"/>
    <cellStyle name="Normal 4 8 4 4 2" xfId="13776" xr:uid="{B09BD977-EBFF-49BF-9F6B-948D4669A969}"/>
    <cellStyle name="Normal 4 8 4 4 2 2" xfId="48577" xr:uid="{9BB600E3-B20E-4593-B1B2-791464C3F7DB}"/>
    <cellStyle name="Normal 4 8 4 4 3" xfId="47014" xr:uid="{5A6A3628-94F1-4C81-9615-90FE07130881}"/>
    <cellStyle name="Normal 4 8 4 4 4" xfId="15128" xr:uid="{DA363B1A-B254-4CFC-9967-597A17F36F2D}"/>
    <cellStyle name="Normal 4 8 4 5" xfId="9570" xr:uid="{FAE78094-0D83-405C-8E93-5916003A470C}"/>
    <cellStyle name="Normal 4 8 4 5 2" xfId="12876" xr:uid="{760DB94E-5F0A-44DF-96A1-DC2C2209C2B6}"/>
    <cellStyle name="Normal 4 8 4 5 2 2" xfId="48884" xr:uid="{41C32791-1CB0-4210-A416-F84D4E7434AB}"/>
    <cellStyle name="Normal 4 8 4 5 3" xfId="47311" xr:uid="{99377CF4-72B1-4F7A-805E-EFE85C914967}"/>
    <cellStyle name="Normal 4 8 4 6" xfId="6884" xr:uid="{CD09CC52-8755-4153-A4E8-EBF76A8800CC}"/>
    <cellStyle name="Normal 4 8 4 6 2" xfId="47812" xr:uid="{7D82E684-EDCA-448F-ADFF-557AB4E9D388}"/>
    <cellStyle name="Normal 4 8 4 7" xfId="11591" xr:uid="{12928C30-70D1-4B08-894E-0699CC75FDF8}"/>
    <cellStyle name="Normal 4 8 4 7 2" xfId="16551" xr:uid="{C31F436C-4C81-4CC0-AB50-FBCA238816B0}"/>
    <cellStyle name="Normal 4 8 4 8" xfId="14007" xr:uid="{ED5974D8-39A9-4F28-B091-BE93857CC464}"/>
    <cellStyle name="Normal 4 8 5" xfId="4171" xr:uid="{6429FB70-3339-431A-ABE2-71E641DFCC85}"/>
    <cellStyle name="Normal 4 8 5 2" xfId="5653" xr:uid="{840D9544-9312-4061-B5E7-C6CCE02937F6}"/>
    <cellStyle name="Normal 4 8 5 2 2" xfId="10247" xr:uid="{FAA3393C-17A0-4B2E-AE76-2CD702E2B638}"/>
    <cellStyle name="Normal 4 8 5 2 2 2" xfId="13553" xr:uid="{4F879546-BA35-48E2-A3C9-BFFA7D08F47E}"/>
    <cellStyle name="Normal 4 8 5 2 2 3" xfId="48446" xr:uid="{69B3E634-4528-4D04-9F07-F607E9A6C8E3}"/>
    <cellStyle name="Normal 4 8 5 2 3" xfId="7755" xr:uid="{0D74DBCF-5F39-4951-876F-6123B755184A}"/>
    <cellStyle name="Normal 4 8 5 2 3 2" xfId="22040" xr:uid="{9078874A-1032-4E46-BB7B-84B90E1119F5}"/>
    <cellStyle name="Normal 4 8 5 2 4" xfId="12268" xr:uid="{B626C2AC-8E05-4AE3-8991-6920099EA446}"/>
    <cellStyle name="Normal 4 8 5 2 5" xfId="14682" xr:uid="{DD8234D1-D94F-41A9-B4E8-77717CC5F9C4}"/>
    <cellStyle name="Normal 4 8 5 3" xfId="9753" xr:uid="{1CD69581-492D-4B30-AF29-29EB85F15F0B}"/>
    <cellStyle name="Normal 4 8 5 3 2" xfId="13059" xr:uid="{D6A14A64-2D71-40B8-B5B1-A096E0567C18}"/>
    <cellStyle name="Normal 4 8 5 3 2 2" xfId="49063" xr:uid="{4A06D413-79EB-4038-B87A-8AF530D37CD2}"/>
    <cellStyle name="Normal 4 8 5 3 3" xfId="47480" xr:uid="{323F8AC7-5B46-4476-AC55-8E14BAA13BA8}"/>
    <cellStyle name="Normal 4 8 5 3 4" xfId="14997" xr:uid="{ECE0A6F1-C674-4B8F-998F-B8BEDD600DBC}"/>
    <cellStyle name="Normal 4 8 5 4" xfId="7249" xr:uid="{5EA9969C-AB2C-4464-A61E-947F791B065A}"/>
    <cellStyle name="Normal 4 8 5 4 2" xfId="48207" xr:uid="{5AA9E609-57C8-4A4B-BCFD-E75EBBE2C0E4}"/>
    <cellStyle name="Normal 4 8 5 5" xfId="11774" xr:uid="{380631B4-152E-45C6-8F04-8E3D660F8DF9}"/>
    <cellStyle name="Normal 4 8 5 5 2" xfId="18423" xr:uid="{BFB7F77F-2CEB-49B6-A25D-3030338F0B6F}"/>
    <cellStyle name="Normal 4 8 5 6" xfId="14190" xr:uid="{AF8E474E-F242-47ED-A0FA-B32B48AF5DCB}"/>
    <cellStyle name="Normal 4 8 6" xfId="5608" xr:uid="{5811B23F-2560-4676-82C8-B7C60341A386}"/>
    <cellStyle name="Normal 4 8 6 2" xfId="7710" xr:uid="{6DB1F985-458D-4797-A57C-20E055BAD8EB}"/>
    <cellStyle name="Normal 4 8 6 2 2" xfId="10202" xr:uid="{BBEE40F5-31E0-4F41-8894-685DBF170F0C}"/>
    <cellStyle name="Normal 4 8 6 2 2 2" xfId="13508" xr:uid="{49BF1444-F608-4401-9089-523CA870A8B3}"/>
    <cellStyle name="Normal 4 8 6 2 2 3" xfId="48658" xr:uid="{E1237AEC-A34B-4BAC-B948-C7C52A7EF441}"/>
    <cellStyle name="Normal 4 8 6 2 3" xfId="12223" xr:uid="{9F945819-9CD1-4039-996C-391CC666E41D}"/>
    <cellStyle name="Normal 4 8 6 2 3 2" xfId="23406" xr:uid="{3B6C56AB-C369-4AAF-817B-505B93AFAE3F}"/>
    <cellStyle name="Normal 4 8 6 2 4" xfId="14637" xr:uid="{D33F4ECA-C627-4A90-8D43-80BF37B794BC}"/>
    <cellStyle name="Normal 4 8 6 3" xfId="9708" xr:uid="{0A9F2590-3AE6-4A09-ACD5-B2BE18E92FCA}"/>
    <cellStyle name="Normal 4 8 6 3 2" xfId="13014" xr:uid="{210CEED3-44D1-4544-9F81-D2F818A4DD8A}"/>
    <cellStyle name="Normal 4 8 6 3 2 2" xfId="49021" xr:uid="{A223A8B5-A5C0-48CC-B45E-A6984E76B0E2}"/>
    <cellStyle name="Normal 4 8 6 3 3" xfId="47442" xr:uid="{352C5D4D-A061-4E44-BD80-97F1153570E7}"/>
    <cellStyle name="Normal 4 8 6 4" xfId="7204" xr:uid="{7AF892E6-BF7B-426A-A628-8E9DAE28CF8C}"/>
    <cellStyle name="Normal 4 8 6 4 2" xfId="48166" xr:uid="{8C51B0B5-F579-4509-A862-0892271EF76A}"/>
    <cellStyle name="Normal 4 8 6 5" xfId="11729" xr:uid="{FB95B101-6A60-4EEE-A0B2-A3A1410469DC}"/>
    <cellStyle name="Normal 4 8 6 5 2" xfId="19786" xr:uid="{E957D295-583D-4390-90D6-8BCACE91EBCF}"/>
    <cellStyle name="Normal 4 8 6 6" xfId="14145" xr:uid="{60719B30-BCDC-4D84-96D8-BAF9BBDE2D6F}"/>
    <cellStyle name="Normal 4 8 7" xfId="6238" xr:uid="{841E9EE6-48F1-4EEF-94DC-BAC7837CDA5E}"/>
    <cellStyle name="Normal 4 8 7 2" xfId="9436" xr:uid="{4BC864FE-967A-4855-9441-285CF0581E07}"/>
    <cellStyle name="Normal 4 8 7 2 2" xfId="12742" xr:uid="{D30379A7-002C-4559-A159-0BD189AD0D21}"/>
    <cellStyle name="Normal 4 8 7 2 3" xfId="47901" xr:uid="{4137C768-386D-46CB-81C1-0807216CCBF6}"/>
    <cellStyle name="Normal 4 8 7 3" xfId="11457" xr:uid="{E4531AA8-2FAD-4109-BE52-5239AF3FF5F5}"/>
    <cellStyle name="Normal 4 8 7 3 2" xfId="32487" xr:uid="{2C401AE6-ADB2-49B5-B640-849281E55BD5}"/>
    <cellStyle name="Normal 4 8 7 4" xfId="14368" xr:uid="{19016623-78D1-40FA-B5CE-D87CD3D5C360}"/>
    <cellStyle name="Normal 4 8 8" xfId="7441" xr:uid="{D8C6C937-9069-458A-99E4-A6A223EAEF2F}"/>
    <cellStyle name="Normal 4 8 8 2" xfId="9933" xr:uid="{22E96E64-6350-48CF-A3A8-7AB93AEB7F67}"/>
    <cellStyle name="Normal 4 8 8 2 2" xfId="13239" xr:uid="{DCB24572-5CBA-4AE6-8E05-B1EE0644C7BF}"/>
    <cellStyle name="Normal 4 8 8 2 3" xfId="48414" xr:uid="{41EBB1EF-577B-41B7-8D8C-8A6BA65666CB}"/>
    <cellStyle name="Normal 4 8 8 3" xfId="11954" xr:uid="{DD3A80F1-4680-4E92-A9F8-ED2807A37F65}"/>
    <cellStyle name="Normal 4 8 8 3 2" xfId="32488" xr:uid="{331C2502-F83E-4E12-9B31-261320F3DC1D}"/>
    <cellStyle name="Normal 4 8 8 4" xfId="14952" xr:uid="{A7CBD546-D67B-4CFE-8852-D33A9F0EFA1D}"/>
    <cellStyle name="Normal 4 8 9" xfId="8959" xr:uid="{EF675964-FF6D-4248-B1BF-94CC669BC751}"/>
    <cellStyle name="Normal 4 8 9 2" xfId="12694" xr:uid="{5A6B9F5C-F613-4857-90A9-5FEB41C3C293}"/>
    <cellStyle name="Normal 4 8 9 2 2" xfId="48753" xr:uid="{2F39C03D-3340-46AD-B745-FCC37720ACEB}"/>
    <cellStyle name="Normal 4 8 9 3" xfId="32489" xr:uid="{2E9C779D-B2C5-4B52-9FA8-FF8A982D7698}"/>
    <cellStyle name="Normal 4 9" xfId="3068" xr:uid="{E3BF90CB-21EE-4FCB-88E6-C39771612558}"/>
    <cellStyle name="Normal 4 9 2" xfId="15377" xr:uid="{20E1A9C7-9777-40B5-B6B6-C9E60E6FCF79}"/>
    <cellStyle name="Normal 4 9 2 2" xfId="18428" xr:uid="{3193DE77-811B-4164-83BD-3D75E79AE375}"/>
    <cellStyle name="Normal 4 9 2 2 2" xfId="22045" xr:uid="{693EA3DD-0178-4BE3-AF56-72EFB0624EC4}"/>
    <cellStyle name="Normal 4 9 2 3" xfId="32490" xr:uid="{6515BF03-67B2-48E0-8667-929E8D4DE8F9}"/>
    <cellStyle name="Normal 4 9 2 4" xfId="32491" xr:uid="{0B959835-6678-410B-AC78-1870C26DB5C8}"/>
    <cellStyle name="Normal 4 9 2 5" xfId="32492" xr:uid="{B841B954-CDB1-4164-B575-AE9D4E489EF1}"/>
    <cellStyle name="Normal 4 9 2 6" xfId="32493" xr:uid="{D99ED8F2-6E77-4359-B751-64614C2A94CD}"/>
    <cellStyle name="Normal 4 9 3" xfId="16728" xr:uid="{8B6FB475-9DB9-44D8-AD2A-641789211A0D}"/>
    <cellStyle name="Normal 4 9 3 2" xfId="18429" xr:uid="{0A7BA6CF-8E5B-4D74-8DC7-10F94E33BDF4}"/>
    <cellStyle name="Normal 4 9 3 2 2" xfId="22046" xr:uid="{FBF450F0-F411-4963-A174-86EF6674EF2E}"/>
    <cellStyle name="Normal 4 9 3 3" xfId="32494" xr:uid="{C3640922-B033-45FE-9C36-69D05D9CBC65}"/>
    <cellStyle name="Normal 4 9 3 4" xfId="32495" xr:uid="{7884DA78-648D-40B1-AAB6-B9E9B4A98240}"/>
    <cellStyle name="Normal 4 9 3 5" xfId="32496" xr:uid="{DDDF1FEC-B1C8-4D83-8024-744C800CE01F}"/>
    <cellStyle name="Normal 4 9 3 6" xfId="32497" xr:uid="{F0830BF9-C356-44CA-881D-CED434EE0C2F}"/>
    <cellStyle name="Normal 4 9 4" xfId="16552" xr:uid="{AE6CD61C-6C74-4D36-B205-338E0C46EEC1}"/>
    <cellStyle name="Normal 4 9 4 2" xfId="18430" xr:uid="{7B283DE5-4319-4FF6-A283-EF1C14E697B3}"/>
    <cellStyle name="Normal 4 9 4 2 2" xfId="22047" xr:uid="{5E461C18-B984-4522-A3C3-91ABA56A58F6}"/>
    <cellStyle name="Normal 4 9 4 3" xfId="20701" xr:uid="{3BA64D15-2DDD-442C-B3B9-B237E895FB1D}"/>
    <cellStyle name="Normal 4 9 5" xfId="18427" xr:uid="{25469C2C-6CBA-4701-B2C4-8B9D2BE2A765}"/>
    <cellStyle name="Normal 4 9 5 2" xfId="22044" xr:uid="{C454DA81-F993-4BD4-B3D7-1575A1B2B369}"/>
    <cellStyle name="Normal 4 9 6" xfId="32498" xr:uid="{44EDB655-2DB9-46A7-A9C1-5F150513F75D}"/>
    <cellStyle name="Normal 4 9 7" xfId="32499" xr:uid="{13A2FADD-2A0C-4F24-917A-722210EFA19F}"/>
    <cellStyle name="Normal 4 9 8" xfId="32500" xr:uid="{E767D4B8-6541-41F0-AD55-CEC6F2A39E0C}"/>
    <cellStyle name="Normal 4 9 9" xfId="32501" xr:uid="{F4288C3B-EFEE-4AEA-9A2B-3369AA7C1573}"/>
    <cellStyle name="Normal 40" xfId="3069" xr:uid="{F2461E04-69D9-4E9E-B9F1-32AEF0B058F9}"/>
    <cellStyle name="Normal 40 2" xfId="15388" xr:uid="{5711B644-1C3C-439A-AEBA-DF2BB8B56DBA}"/>
    <cellStyle name="Normal 40 2 2" xfId="18432" xr:uid="{8AD5B59C-F864-44CD-A9FE-85890F1DEDAA}"/>
    <cellStyle name="Normal 40 2 2 2" xfId="22049" xr:uid="{19253E8B-6911-4002-9642-9F8C5ECB86AC}"/>
    <cellStyle name="Normal 40 2 3" xfId="32502" xr:uid="{E3738C8E-16BC-4A38-8D79-F5614549F73C}"/>
    <cellStyle name="Normal 40 2 4" xfId="32503" xr:uid="{0C8CD66A-AC5C-40DF-A0DC-E5AF0EDB12BB}"/>
    <cellStyle name="Normal 40 2 5" xfId="32504" xr:uid="{8BC75DB9-5321-4689-91B2-316DE3F1DD3F}"/>
    <cellStyle name="Normal 40 2 6" xfId="32505" xr:uid="{0CA86EE7-CF48-454F-B890-198ED6F78F52}"/>
    <cellStyle name="Normal 40 3" xfId="18431" xr:uid="{951BD640-EEDB-471A-B3DA-1971EC48CEC0}"/>
    <cellStyle name="Normal 40 3 2" xfId="22048" xr:uid="{D9674EA9-58E2-42EE-B51D-AE33772F42E7}"/>
    <cellStyle name="Normal 40 4" xfId="32506" xr:uid="{1AC62B03-B367-4DAC-A512-A5E1D42E84D6}"/>
    <cellStyle name="Normal 40 5" xfId="32507" xr:uid="{B03CE7CB-F15C-4253-BA7D-F97A93E55BF4}"/>
    <cellStyle name="Normal 40 6" xfId="32508" xr:uid="{5E9455ED-3DD6-4EDF-89B7-4573FE3C0255}"/>
    <cellStyle name="Normal 40 7" xfId="32509" xr:uid="{29862C57-A3BB-4319-B723-2D24392EC319}"/>
    <cellStyle name="Normal 41" xfId="3070" xr:uid="{AAB06A6F-1FDC-4534-92C3-4628FBD0D766}"/>
    <cellStyle name="Normal 41 2" xfId="15389" xr:uid="{DD8BA185-57D0-4C00-9DB7-C44F527CC9C9}"/>
    <cellStyle name="Normal 41 2 2" xfId="18434" xr:uid="{DE652759-485C-46C9-8A63-03F491B8A340}"/>
    <cellStyle name="Normal 41 2 2 2" xfId="22051" xr:uid="{5FC90EFF-795A-40A7-AA04-D9121621903C}"/>
    <cellStyle name="Normal 41 2 3" xfId="32510" xr:uid="{2CD06CFF-B78C-4202-B49D-933B6DECF717}"/>
    <cellStyle name="Normal 41 2 4" xfId="32511" xr:uid="{55B2A9B7-A0C0-49FA-B872-DBF3A2C90AE8}"/>
    <cellStyle name="Normal 41 2 5" xfId="32512" xr:uid="{687DA4F8-85C5-4B21-90C2-77AD26086EB9}"/>
    <cellStyle name="Normal 41 2 6" xfId="32513" xr:uid="{46BD53DD-B68D-4020-93A7-37914517CBC3}"/>
    <cellStyle name="Normal 41 3" xfId="16045" xr:uid="{77D7BA81-06AC-439D-A271-AFDEE291827E}"/>
    <cellStyle name="Normal 41 3 2" xfId="18435" xr:uid="{A5B7F572-D007-48BA-867F-ADD6D4E019F2}"/>
    <cellStyle name="Normal 41 3 2 2" xfId="22052" xr:uid="{6E11C985-21C0-4B17-B36E-27FD3B6C3BDF}"/>
    <cellStyle name="Normal 41 3 3" xfId="32514" xr:uid="{038A05ED-E94C-42DB-BDDF-8DF848ADBCB8}"/>
    <cellStyle name="Normal 41 3 4" xfId="32515" xr:uid="{DCAB0DFC-60A0-44B6-ABC9-10930B89D0D0}"/>
    <cellStyle name="Normal 41 3 5" xfId="32516" xr:uid="{BF570615-BDFF-470D-902A-3C9F922E1D14}"/>
    <cellStyle name="Normal 41 3 6" xfId="32517" xr:uid="{8CD6D873-0B07-4EA0-9B12-0B4FA4712EB5}"/>
    <cellStyle name="Normal 41 4" xfId="18433" xr:uid="{4FDF611E-3B1A-4FE3-BCFB-CB05730DB3F1}"/>
    <cellStyle name="Normal 41 4 2" xfId="22050" xr:uid="{42A03A85-CD53-42CB-B1F2-DD4E2FA1CD57}"/>
    <cellStyle name="Normal 41 5" xfId="32518" xr:uid="{281271B1-4883-49C9-812D-1EE68AEB9468}"/>
    <cellStyle name="Normal 41 6" xfId="32519" xr:uid="{7DB064D5-30DC-4AFB-96CA-DDAE3E4C89B4}"/>
    <cellStyle name="Normal 41 7" xfId="32520" xr:uid="{B3968AF0-5FD8-47D2-AFC0-55E9C3BAAAA6}"/>
    <cellStyle name="Normal 41 8" xfId="32521" xr:uid="{BEEB716A-3D18-4E7B-A68B-099869467BB8}"/>
    <cellStyle name="Normal 42" xfId="3875" xr:uid="{C5D1AB32-1EBC-40DF-BDFF-1E4EEEABF55A}"/>
    <cellStyle name="Normal 42 2" xfId="11216" xr:uid="{764B763E-6C8E-44DB-83F0-EADDB9E0FDD8}"/>
    <cellStyle name="Normal 42 2 2" xfId="18437" xr:uid="{1B183B3A-65F3-49A3-A389-5804B251CABD}"/>
    <cellStyle name="Normal 42 2 2 2" xfId="22054" xr:uid="{B5C4C5DB-4853-478B-B3AE-BAC7A326EC56}"/>
    <cellStyle name="Normal 42 2 3" xfId="20603" xr:uid="{E813FD5D-74E9-40C5-A5BF-561460BBF123}"/>
    <cellStyle name="Normal 42 2 3 2" xfId="32522" xr:uid="{6B7DE36A-C96B-45DB-8E1F-15980D152855}"/>
    <cellStyle name="Normal 42 2 4" xfId="32523" xr:uid="{27E90E07-8249-4C34-90C3-DA32FE9FCB63}"/>
    <cellStyle name="Normal 42 2 5" xfId="32524" xr:uid="{6046619F-F270-4B1A-B1A3-47FAB4B257F8}"/>
    <cellStyle name="Normal 42 2 6" xfId="32525" xr:uid="{C4C04675-F662-4F88-95A8-C262172DCD5F}"/>
    <cellStyle name="Normal 42 2 7" xfId="32526" xr:uid="{A80CEFBF-0FCD-48D6-A5D3-36971B6BB6A5}"/>
    <cellStyle name="Normal 42 3" xfId="11094" xr:uid="{5BCAE33A-BA5E-465D-A503-167BA821DAEF}"/>
    <cellStyle name="Normal 42 3 2" xfId="22053" xr:uid="{10673E33-A46B-4C65-8999-96021A9F8CA6}"/>
    <cellStyle name="Normal 42 3 3" xfId="46860" xr:uid="{2450D787-89F3-47F9-82AC-A8C04A9C3B6B}"/>
    <cellStyle name="Normal 42 3 4" xfId="18436" xr:uid="{021DDDE5-DB5E-4E47-AAF4-BEF2C97F3B52}"/>
    <cellStyle name="Normal 42 4" xfId="10624" xr:uid="{34A36B56-4CBB-4340-B1F5-C88650E3FEE4}"/>
    <cellStyle name="Normal 42 4 2" xfId="13699" xr:uid="{5413E29E-6110-4023-B6BB-C11E37FED3E2}"/>
    <cellStyle name="Normal 42 4 2 2" xfId="47618" xr:uid="{28F0372B-B038-4B9D-B430-F4D93525796D}"/>
    <cellStyle name="Normal 42 4 3" xfId="32527" xr:uid="{2EDA2385-BBC9-46B2-83E9-AA5191839C1D}"/>
    <cellStyle name="Normal 42 5" xfId="32528" xr:uid="{D1A04AE5-7073-458E-9A24-205384D97FED}"/>
    <cellStyle name="Normal 42 6" xfId="32529" xr:uid="{A038AEEC-83D5-4374-BA3C-548838033092}"/>
    <cellStyle name="Normal 42 7" xfId="32530" xr:uid="{F6203EB1-E029-43CD-B9FB-7B380320F0AE}"/>
    <cellStyle name="Normal 43" xfId="4399" xr:uid="{C1D2C40A-DDE1-4A62-8ECC-EDC745333358}"/>
    <cellStyle name="Normal 43 2" xfId="10829" xr:uid="{CC250704-A378-400B-B1AE-6EE9DB207174}"/>
    <cellStyle name="Normal 43 2 2" xfId="13700" xr:uid="{201D6584-13AB-4CAA-9AC1-5682C3A357F1}"/>
    <cellStyle name="Normal 43 2 2 2" xfId="22055" xr:uid="{172C07DA-2940-42CB-87E2-35BC07AE5550}"/>
    <cellStyle name="Normal 43 2 3" xfId="47619" xr:uid="{20FCAD61-40BD-4230-B072-BB6D4118792B}"/>
    <cellStyle name="Normal 43 2 4" xfId="18438" xr:uid="{8CE3E627-110B-4126-B2AA-858506C91AFA}"/>
    <cellStyle name="Normal 43 3" xfId="32531" xr:uid="{DAC3C2B8-3F12-4CBF-8C1A-E1F0D782470A}"/>
    <cellStyle name="Normal 43 4" xfId="32532" xr:uid="{61778585-706E-487C-8C2E-3F1796B1CB1C}"/>
    <cellStyle name="Normal 43 5" xfId="32533" xr:uid="{CFDC467E-DA31-4C0B-B304-C5CD8FEE6241}"/>
    <cellStyle name="Normal 43 6" xfId="32534" xr:uid="{24E771CE-5BA4-46FF-80E0-2AA3C29874C1}"/>
    <cellStyle name="Normal 44" xfId="7395" xr:uid="{89FD8F96-3A8B-4BD7-813F-75C4ED17B762}"/>
    <cellStyle name="Normal 44 2" xfId="18439" xr:uid="{676CED6A-F2B9-40E7-835E-633FEB9583F8}"/>
    <cellStyle name="Normal 44 2 2" xfId="22056" xr:uid="{4DBFBE5E-44D8-418F-B8E1-CE5E331D96B2}"/>
    <cellStyle name="Normal 44 2 3" xfId="47620" xr:uid="{60D8F889-7B4E-49B5-B232-73A1EC407CCD}"/>
    <cellStyle name="Normal 44 3" xfId="32535" xr:uid="{4E194390-FBD4-4036-9017-D666294ACA69}"/>
    <cellStyle name="Normal 44 4" xfId="32536" xr:uid="{98BF7691-E16E-4A6A-848F-D9D6463ADF8E}"/>
    <cellStyle name="Normal 44 5" xfId="32537" xr:uid="{99772CFC-58F3-447F-8FC1-3A5CA2BE5B9A}"/>
    <cellStyle name="Normal 44 6" xfId="32538" xr:uid="{4162D55C-F6F4-42E8-96BD-CFC0F64843DB}"/>
    <cellStyle name="Normal 45" xfId="6467" xr:uid="{01FE5375-7EE9-4AD1-BA8E-6D5B2B3B4053}"/>
    <cellStyle name="Normal 45 2" xfId="18440" xr:uid="{3334D16C-BD47-466E-8EFC-07C2CC4002A7}"/>
    <cellStyle name="Normal 45 2 2" xfId="22057" xr:uid="{35014408-4433-447C-BADC-B7F9EB04F402}"/>
    <cellStyle name="Normal 45 3" xfId="32539" xr:uid="{CEF0CA3A-F81B-42DA-AE86-C56ECC162239}"/>
    <cellStyle name="Normal 45 4" xfId="32540" xr:uid="{CE1917C9-E45D-4D2D-97DD-BA1552634F67}"/>
    <cellStyle name="Normal 45 5" xfId="32541" xr:uid="{C942F7D6-AA85-4BFC-970A-15E796B53D30}"/>
    <cellStyle name="Normal 45 6" xfId="32542" xr:uid="{243B56A0-804E-4A01-91B2-012A8E510AA0}"/>
    <cellStyle name="Normal 46" xfId="6469" xr:uid="{730D8BCF-6841-46ED-AE7D-3EC09631713F}"/>
    <cellStyle name="Normal 46 2" xfId="18441" xr:uid="{E5A71A24-2F4E-471B-92FB-2B4287D80F3E}"/>
    <cellStyle name="Normal 46 2 2" xfId="22058" xr:uid="{E17F28CC-532A-4B9C-92C8-4539D33B9941}"/>
    <cellStyle name="Normal 46 3" xfId="32543" xr:uid="{E0A962C3-51AC-4111-97D2-BF07511CE2ED}"/>
    <cellStyle name="Normal 46 4" xfId="32544" xr:uid="{BD77C7FE-E45B-46C2-BD69-9434EC11CB99}"/>
    <cellStyle name="Normal 46 5" xfId="32545" xr:uid="{14B255AD-396D-421A-85D6-F321E5EFF3A0}"/>
    <cellStyle name="Normal 46 6" xfId="32546" xr:uid="{7FF07A8C-EBC3-4F0B-BB10-613169E70993}"/>
    <cellStyle name="Normal 47" xfId="5944" xr:uid="{7F766FA7-2466-418E-91AB-9659132592A1}"/>
    <cellStyle name="Normal 47 2" xfId="18442" xr:uid="{C7F875E2-568C-4819-B983-63F68D604ED6}"/>
    <cellStyle name="Normal 47 2 2" xfId="22059" xr:uid="{3934B7D8-509A-46F7-89EF-FCBFEC695295}"/>
    <cellStyle name="Normal 47 3" xfId="32547" xr:uid="{9829B85E-667F-4B8C-9DDD-AF9EA473237E}"/>
    <cellStyle name="Normal 47 4" xfId="32548" xr:uid="{C4D7867A-C541-4AD3-80DB-E735034EF731}"/>
    <cellStyle name="Normal 47 5" xfId="32549" xr:uid="{A05F8181-4AA3-4AA7-823C-583B50B4839A}"/>
    <cellStyle name="Normal 47 6" xfId="32550" xr:uid="{5CB1B2CB-080E-4C4C-B69D-B96D24E64FBA}"/>
    <cellStyle name="Normal 48" xfId="9399" xr:uid="{91D79D58-A823-40AD-A404-619EB6693DB1}"/>
    <cellStyle name="Normal 48 2" xfId="12705" xr:uid="{A2D08498-A451-4C24-B27A-B94BA1E29C03}"/>
    <cellStyle name="Normal 48 2 2" xfId="22060" xr:uid="{3F3AEAFC-95BD-45F7-9C67-46A1E7CEA36C}"/>
    <cellStyle name="Normal 48 2 3" xfId="18443" xr:uid="{43CF0B0E-2459-4EC6-99D8-ABD70E86C874}"/>
    <cellStyle name="Normal 48 3" xfId="32551" xr:uid="{26A86E7D-0C17-4FE1-B42C-85E9F4362E01}"/>
    <cellStyle name="Normal 48 4" xfId="32552" xr:uid="{44BA3F0E-F987-4DA1-8A03-351AABDA2EBC}"/>
    <cellStyle name="Normal 48 5" xfId="32553" xr:uid="{105246DF-DD4B-4528-9253-C59DEF7FBE39}"/>
    <cellStyle name="Normal 48 6" xfId="32554" xr:uid="{93C8FD17-44A2-4D21-BA4C-93EA7C3DBB4F}"/>
    <cellStyle name="Normal 48 7" xfId="16046" xr:uid="{0B265198-FE9D-4463-90EE-376D3A9E8D5C}"/>
    <cellStyle name="Normal 49" xfId="8041" xr:uid="{85E23FA0-1D51-4809-9E7C-B8542C4F0483}"/>
    <cellStyle name="Normal 49 2" xfId="12554" xr:uid="{8CF98E69-B47E-4C99-AD84-CDDB9E7E58B6}"/>
    <cellStyle name="Normal 49 2 2" xfId="22061" xr:uid="{D9D2B8D2-EDCF-4C9C-AC1D-8DCB68FFDFA0}"/>
    <cellStyle name="Normal 49 2 3" xfId="18444" xr:uid="{C07831F3-A2D3-4F20-B967-2EF89A9641C8}"/>
    <cellStyle name="Normal 49 3" xfId="32555" xr:uid="{B6AF9823-4F60-4D31-8B08-544F3E654676}"/>
    <cellStyle name="Normal 49 4" xfId="32556" xr:uid="{9219AAE8-B30B-43ED-B212-40F12E236A77}"/>
    <cellStyle name="Normal 49 5" xfId="32557" xr:uid="{0F593F76-168E-4E10-9C24-40B94E87F8E2}"/>
    <cellStyle name="Normal 49 6" xfId="32558" xr:uid="{719BF80C-9A52-4265-9467-C0B0DAA2D21F}"/>
    <cellStyle name="Normal 49 7" xfId="16047" xr:uid="{C9E7502D-E771-4A37-894D-D1455DF2376D}"/>
    <cellStyle name="Normal 5" xfId="3071" xr:uid="{923B828A-E076-4CE8-9734-9C752C8FE792}"/>
    <cellStyle name="Normal 5 10" xfId="3072" xr:uid="{1B9ED323-6B1D-4AD8-B73A-E0962E5F15F2}"/>
    <cellStyle name="Normal 5 10 2" xfId="18446" xr:uid="{E43E25B6-568B-42C9-B56D-A84AB21565A9}"/>
    <cellStyle name="Normal 5 10 2 2" xfId="22063" xr:uid="{050B503C-7527-4D7C-88A0-02C38E059287}"/>
    <cellStyle name="Normal 5 10 3" xfId="32559" xr:uid="{53E0A218-EE9D-4946-B896-FE8C5A9700B9}"/>
    <cellStyle name="Normal 5 10 4" xfId="32560" xr:uid="{47DF7572-A201-490B-A918-1E279326E57F}"/>
    <cellStyle name="Normal 5 10 5" xfId="32561" xr:uid="{85FC4E65-DE8B-4F75-9A63-DE3F5494C500}"/>
    <cellStyle name="Normal 5 10 6" xfId="32562" xr:uid="{D1DD6600-77E7-4A3D-A095-4A1D66516CDB}"/>
    <cellStyle name="Normal 5 11" xfId="3073" xr:uid="{82BF8BFA-373E-4276-92EE-A9AFA70B01C6}"/>
    <cellStyle name="Normal 5 11 2" xfId="18447" xr:uid="{D7AE3EAC-D6E2-42FC-982F-513C7C5EF8F4}"/>
    <cellStyle name="Normal 5 11 2 2" xfId="22064" xr:uid="{446FFB69-D05D-48C7-B0D8-84C340E73931}"/>
    <cellStyle name="Normal 5 11 3" xfId="32563" xr:uid="{B3888E84-C5C1-4F63-9672-FE369F3363B3}"/>
    <cellStyle name="Normal 5 11 4" xfId="32564" xr:uid="{B9EED141-07D1-490F-B2A4-5B450480C0C3}"/>
    <cellStyle name="Normal 5 11 5" xfId="32565" xr:uid="{3FCFFC6E-FFF3-45FD-8D50-2F6A116A962B}"/>
    <cellStyle name="Normal 5 11 6" xfId="32566" xr:uid="{0D40AA44-FBA2-40D5-8DF4-731D7F3C1BAC}"/>
    <cellStyle name="Normal 5 12" xfId="3074" xr:uid="{0AB67812-1853-4284-8714-B23E207455BB}"/>
    <cellStyle name="Normal 5 12 2" xfId="18448" xr:uid="{90E857EC-FA22-4914-A7C5-0102AA379374}"/>
    <cellStyle name="Normal 5 12 2 2" xfId="22065" xr:uid="{6394F965-96D8-4654-845F-E25A8BA2DC88}"/>
    <cellStyle name="Normal 5 12 3" xfId="32567" xr:uid="{A2DD6253-351A-47A1-AC58-646B2EDC14FE}"/>
    <cellStyle name="Normal 5 12 4" xfId="32568" xr:uid="{5744DE6E-B28F-4901-82AC-87D190CB0E01}"/>
    <cellStyle name="Normal 5 12 5" xfId="32569" xr:uid="{EADB9B18-555F-4B6E-B6F0-E998E7829B5A}"/>
    <cellStyle name="Normal 5 12 6" xfId="32570" xr:uid="{0760BCBE-0D3F-4781-A213-D73EEA4FD7E3}"/>
    <cellStyle name="Normal 5 13" xfId="3075" xr:uid="{855B4F2F-0F79-43C8-8EE0-3006A9257073}"/>
    <cellStyle name="Normal 5 13 2" xfId="18449" xr:uid="{4C22AEFD-9034-4E8B-A447-51A2A33417D5}"/>
    <cellStyle name="Normal 5 13 2 2" xfId="22066" xr:uid="{D5C2D63E-E1A4-4829-B00B-6E0C0A47226B}"/>
    <cellStyle name="Normal 5 13 3" xfId="32571" xr:uid="{EAE94212-7F96-420D-A1ED-205ED78D689D}"/>
    <cellStyle name="Normal 5 13 4" xfId="32572" xr:uid="{87CB8401-01F2-412A-94D7-1924CC02C6A8}"/>
    <cellStyle name="Normal 5 13 5" xfId="32573" xr:uid="{D949CEB5-DDF7-4FEF-BFA0-4AA8367F8730}"/>
    <cellStyle name="Normal 5 13 6" xfId="32574" xr:uid="{C3C47108-BB2E-4580-B9B8-A3AF7D8A7E1A}"/>
    <cellStyle name="Normal 5 14" xfId="3076" xr:uid="{24429B41-F10C-44F9-A0B5-F64C7D933352}"/>
    <cellStyle name="Normal 5 14 2" xfId="18450" xr:uid="{90AB495C-577D-4935-B747-7753F53A8699}"/>
    <cellStyle name="Normal 5 14 2 2" xfId="22067" xr:uid="{16B33656-7EC7-4B9D-89B9-522CDAA23E79}"/>
    <cellStyle name="Normal 5 14 3" xfId="32575" xr:uid="{A9D9229F-0325-42E6-AD7B-3932E02410D9}"/>
    <cellStyle name="Normal 5 14 4" xfId="32576" xr:uid="{CDA23D45-FD8A-4A01-AD44-E3FB769C1D4E}"/>
    <cellStyle name="Normal 5 14 5" xfId="32577" xr:uid="{00D4ACAD-BF01-4917-ADBA-336D7A70632B}"/>
    <cellStyle name="Normal 5 14 6" xfId="32578" xr:uid="{FA942F86-6D47-4E99-8B6A-956050594011}"/>
    <cellStyle name="Normal 5 15" xfId="3077" xr:uid="{2CF242B5-D90A-4E11-B4D5-E5523CF0FACC}"/>
    <cellStyle name="Normal 5 15 2" xfId="18451" xr:uid="{D3D4852C-005A-4FD2-9341-21424B459DAD}"/>
    <cellStyle name="Normal 5 15 2 2" xfId="22068" xr:uid="{80A1C187-8CBE-4E30-A12B-AB0474CEF713}"/>
    <cellStyle name="Normal 5 15 3" xfId="32579" xr:uid="{1DB3C4CF-1756-49CB-B694-83ED03F7AD43}"/>
    <cellStyle name="Normal 5 15 4" xfId="32580" xr:uid="{45CF027A-53A3-4F53-914F-BE3258370A69}"/>
    <cellStyle name="Normal 5 15 5" xfId="32581" xr:uid="{C5FA0A8A-E030-4E2A-B7D4-55E9F1230D67}"/>
    <cellStyle name="Normal 5 15 6" xfId="32582" xr:uid="{5563E7D7-A47F-4584-8671-7F967A888ACC}"/>
    <cellStyle name="Normal 5 16" xfId="3078" xr:uid="{A6C4DB14-B53F-4E99-967C-5A7541462335}"/>
    <cellStyle name="Normal 5 16 2" xfId="5072" xr:uid="{5548D96E-C7D8-41AE-B70C-20EBD38AF77C}"/>
    <cellStyle name="Normal 5 16 2 2" xfId="18453" xr:uid="{69A32B9D-9CAE-45D8-9E07-17A995B66A4B}"/>
    <cellStyle name="Normal 5 16 2 2 2" xfId="22070" xr:uid="{97EB5220-273A-4C47-B9BA-DC0ED9B9904D}"/>
    <cellStyle name="Normal 5 16 2 3" xfId="32583" xr:uid="{341A94EF-115F-4CEE-9E26-D8852CCF45CC}"/>
    <cellStyle name="Normal 5 16 2 4" xfId="32584" xr:uid="{A3D93893-4C63-48CD-8DF7-7D7CB164AE10}"/>
    <cellStyle name="Normal 5 16 2 5" xfId="32585" xr:uid="{1103B7F3-2B7F-4F6D-ACB3-2BAED86A7805}"/>
    <cellStyle name="Normal 5 16 2 6" xfId="32586" xr:uid="{295978C8-DD1F-442E-9499-769D963315B4}"/>
    <cellStyle name="Normal 5 16 3" xfId="6886" xr:uid="{56F04E94-E24B-4DCB-950C-29D0C97DB312}"/>
    <cellStyle name="Normal 5 16 3 2" xfId="18454" xr:uid="{4DC4F95D-ABF0-45FB-B74D-E3161E332AA3}"/>
    <cellStyle name="Normal 5 16 3 2 2" xfId="22071" xr:uid="{198F83C6-2260-43AB-8A0E-30903A11CE2B}"/>
    <cellStyle name="Normal 5 16 3 3" xfId="32587" xr:uid="{03090B85-0D7E-4391-B6F7-1C8232E3E6DE}"/>
    <cellStyle name="Normal 5 16 3 4" xfId="32588" xr:uid="{A52F69F7-FA95-454B-A7EE-2C4D4BE5978C}"/>
    <cellStyle name="Normal 5 16 3 5" xfId="32589" xr:uid="{3C018BE3-8B15-4CA7-A16E-075FD34C1282}"/>
    <cellStyle name="Normal 5 16 3 6" xfId="32590" xr:uid="{2F3B15FA-0EC0-43AE-B764-E47193122D07}"/>
    <cellStyle name="Normal 5 16 3 7" xfId="46349" xr:uid="{C5016AF8-2F42-4FBE-A44F-9EE2030C206C}"/>
    <cellStyle name="Normal 5 16 3 8" xfId="16048" xr:uid="{2A53D7D7-E6DF-4AD7-B648-534D5734F388}"/>
    <cellStyle name="Normal 5 16 4" xfId="8962" xr:uid="{CE777D32-1D2C-402D-8BD6-22F5A3EF150C}"/>
    <cellStyle name="Normal 5 16 4 2" xfId="22069" xr:uid="{F3A6DC63-4A5D-46AB-8EE0-4A87C2DEA7C0}"/>
    <cellStyle name="Normal 5 16 4 3" xfId="18452" xr:uid="{9AE9C946-3468-4753-AB93-D041BD3011CE}"/>
    <cellStyle name="Normal 5 16 5" xfId="32591" xr:uid="{BD173C3E-705B-4F25-8029-50CEC6955353}"/>
    <cellStyle name="Normal 5 16 6" xfId="32592" xr:uid="{9252D5F3-E38F-4464-A79E-0E661635CD95}"/>
    <cellStyle name="Normal 5 16 7" xfId="32593" xr:uid="{5444B913-6E7B-45E7-A0F4-C2997F1D9F5A}"/>
    <cellStyle name="Normal 5 16 8" xfId="32594" xr:uid="{B688BA1A-E43A-44CA-B737-1647995A966D}"/>
    <cellStyle name="Normal 5 17" xfId="16049" xr:uid="{754033F3-E27D-4F40-B8C9-23C8D3A20775}"/>
    <cellStyle name="Normal 5 17 2" xfId="18455" xr:uid="{ADD417D1-F264-4F92-99D3-189E2877F241}"/>
    <cellStyle name="Normal 5 17 2 2" xfId="22072" xr:uid="{CC0E385E-CB89-4180-8608-09BCDE8332A6}"/>
    <cellStyle name="Normal 5 17 3" xfId="32595" xr:uid="{B8C8AAFE-5406-4888-A0D1-6CDCB1D168A8}"/>
    <cellStyle name="Normal 5 17 4" xfId="32596" xr:uid="{85843758-01BC-42BA-9A2F-1A6DD59B5589}"/>
    <cellStyle name="Normal 5 17 5" xfId="32597" xr:uid="{CCCAFCD2-69A6-4252-A3F2-85A6C4A4EF72}"/>
    <cellStyle name="Normal 5 17 6" xfId="32598" xr:uid="{EB37C6AF-AE6B-4251-956F-07E1CB1B6718}"/>
    <cellStyle name="Normal 5 18" xfId="18445" xr:uid="{A005A842-A244-481A-8D1C-284F2E25CBE4}"/>
    <cellStyle name="Normal 5 18 2" xfId="22062" xr:uid="{12CA49DF-C99B-4E81-8A93-C9C2A98FA795}"/>
    <cellStyle name="Normal 5 19" xfId="32599" xr:uid="{6C8C6509-B856-4920-A077-4088FA881170}"/>
    <cellStyle name="Normal 5 2" xfId="3079" xr:uid="{B74967D7-4176-46BE-A63F-9E60D7F6F54B}"/>
    <cellStyle name="Normal 5 2 2" xfId="18456" xr:uid="{8FC4DE0D-3ECD-41FF-95B3-80CA6D4E12F4}"/>
    <cellStyle name="Normal 5 2 2 2" xfId="22073" xr:uid="{5FDB1992-27BF-40E6-9D0A-FA900FB7176D}"/>
    <cellStyle name="Normal 5 2 3" xfId="32600" xr:uid="{9429A07F-42F0-478E-B4B3-A934FA059D09}"/>
    <cellStyle name="Normal 5 2 4" xfId="32601" xr:uid="{21BDE987-A4DF-4B4B-BCDF-C6B38F8DECB2}"/>
    <cellStyle name="Normal 5 2 5" xfId="32602" xr:uid="{AD7F41C3-70B8-4C81-8FFD-EE5EFB24152F}"/>
    <cellStyle name="Normal 5 2 6" xfId="32603" xr:uid="{DDFFF106-CF6D-44E9-9148-AE6773F8EF36}"/>
    <cellStyle name="Normal 5 2 7" xfId="32604" xr:uid="{6770F8C4-8E6C-47A3-A943-BB3F8CE3F37C}"/>
    <cellStyle name="Normal 5 20" xfId="32605" xr:uid="{0F686B1F-39E5-4671-BABE-94F70C854A4C}"/>
    <cellStyle name="Normal 5 21" xfId="32606" xr:uid="{69FD01E9-EEB9-490D-8529-3845E8DB011B}"/>
    <cellStyle name="Normal 5 22" xfId="32607" xr:uid="{D37B4B21-EFAF-4F34-9073-0022896DBA5B}"/>
    <cellStyle name="Normal 5 23" xfId="32608" xr:uid="{28ACA624-7904-4F5D-8427-62D39399EA20}"/>
    <cellStyle name="Normal 5 24" xfId="32609" xr:uid="{FD4729E6-A4E2-4273-969F-CCB44D9B8514}"/>
    <cellStyle name="Normal 5 3" xfId="3080" xr:uid="{E5D95845-D6A8-4203-91B3-07C5E64FCC24}"/>
    <cellStyle name="Normal 5 3 2" xfId="18457" xr:uid="{B2FAEFB1-69B8-438A-90D5-99FA3233B451}"/>
    <cellStyle name="Normal 5 3 2 2" xfId="22074" xr:uid="{24B62841-CDD5-4A03-BA8D-718DB3DBC90D}"/>
    <cellStyle name="Normal 5 3 3" xfId="32610" xr:uid="{7D789707-4BE8-41C0-A30A-B7EC8264D962}"/>
    <cellStyle name="Normal 5 3 4" xfId="32611" xr:uid="{BE0DED0C-D8D6-4829-92C7-88785F504779}"/>
    <cellStyle name="Normal 5 3 5" xfId="32612" xr:uid="{4C08C3C8-36AB-49F9-9C55-D78EF2C3C96F}"/>
    <cellStyle name="Normal 5 3 6" xfId="32613" xr:uid="{5F3C0A1E-E310-4164-9886-9E7FEBA23702}"/>
    <cellStyle name="Normal 5 3 7" xfId="32614" xr:uid="{A33D42C6-D278-467B-921B-33FF9C35BF77}"/>
    <cellStyle name="Normal 5 4" xfId="3081" xr:uid="{1EB3ED6A-CBAC-43A4-BD77-C3BC2815253C}"/>
    <cellStyle name="Normal 5 4 2" xfId="18458" xr:uid="{682E6B89-0C17-4ED1-9DA1-3881C277E8BF}"/>
    <cellStyle name="Normal 5 4 2 2" xfId="22075" xr:uid="{3B71A131-C158-4AD2-859C-EACAFFC91F1D}"/>
    <cellStyle name="Normal 5 4 3" xfId="32615" xr:uid="{3F29F115-92CE-48E6-A9A7-CF21ED87516D}"/>
    <cellStyle name="Normal 5 4 4" xfId="32616" xr:uid="{68F09D21-74DD-4833-9274-9B147E4BB17A}"/>
    <cellStyle name="Normal 5 4 5" xfId="32617" xr:uid="{2E228C22-9C7B-4227-AFBA-612C777FA2B7}"/>
    <cellStyle name="Normal 5 4 6" xfId="32618" xr:uid="{5509C1E9-A90D-4C7A-B716-DB596BC9F80D}"/>
    <cellStyle name="Normal 5 4 7" xfId="32619" xr:uid="{1F9B2B81-8796-4FFE-8BF3-3AD6CD4FDE0F}"/>
    <cellStyle name="Normal 5 5" xfId="3082" xr:uid="{E8CE04B4-4ED3-4385-ACCD-95623C493B3B}"/>
    <cellStyle name="Normal 5 5 2" xfId="18459" xr:uid="{24B051A2-8EB2-492D-A948-C3B985E0E611}"/>
    <cellStyle name="Normal 5 5 2 2" xfId="22076" xr:uid="{C4E8F134-46F9-4816-849E-050990B5790C}"/>
    <cellStyle name="Normal 5 5 3" xfId="32620" xr:uid="{9073A1C6-2224-4185-BD89-E4508C685A7A}"/>
    <cellStyle name="Normal 5 5 4" xfId="32621" xr:uid="{739567D4-83C3-4FF9-8428-9D820455208E}"/>
    <cellStyle name="Normal 5 5 5" xfId="32622" xr:uid="{14D61720-CCBD-428B-B4E8-DA7EB26D8840}"/>
    <cellStyle name="Normal 5 5 6" xfId="32623" xr:uid="{61C81A02-4C6D-437D-8707-9F885F6848BF}"/>
    <cellStyle name="Normal 5 5 7" xfId="32624" xr:uid="{8EEE6B84-C12F-4EE6-928F-EECD674C9A02}"/>
    <cellStyle name="Normal 5 6" xfId="3083" xr:uid="{9A672E90-F831-4A51-9047-338B3F0EF665}"/>
    <cellStyle name="Normal 5 6 2" xfId="18460" xr:uid="{7AA3B4D4-8AAD-449F-90AF-78F000E0E29D}"/>
    <cellStyle name="Normal 5 6 2 2" xfId="22077" xr:uid="{293553A2-A597-48CA-9626-C850AE838098}"/>
    <cellStyle name="Normal 5 6 3" xfId="32625" xr:uid="{FCDCC749-1524-4563-A0B6-80D6B8420F31}"/>
    <cellStyle name="Normal 5 6 4" xfId="32626" xr:uid="{EF99E04F-0F1B-48E9-81FD-7CD86CC7B572}"/>
    <cellStyle name="Normal 5 6 5" xfId="32627" xr:uid="{E7671413-24B9-4D60-8A0E-24F5E7063CAD}"/>
    <cellStyle name="Normal 5 6 6" xfId="32628" xr:uid="{9DC72220-1669-4794-A56A-026C8DA51B96}"/>
    <cellStyle name="Normal 5 6 7" xfId="32629" xr:uid="{DE3961C5-1294-42AC-B87F-D007418C5E06}"/>
    <cellStyle name="Normal 5 7" xfId="3084" xr:uid="{64511A87-C55E-4786-B91D-667D2781E635}"/>
    <cellStyle name="Normal 5 7 2" xfId="18461" xr:uid="{A26D8065-7531-431C-BF41-C5CB111A233C}"/>
    <cellStyle name="Normal 5 7 2 2" xfId="22078" xr:uid="{0D9F42A1-64FB-444F-925E-430A92882EDA}"/>
    <cellStyle name="Normal 5 7 3" xfId="32630" xr:uid="{485B8097-B6F6-4519-8A97-A9EDC89B9AAC}"/>
    <cellStyle name="Normal 5 7 4" xfId="32631" xr:uid="{B240E6D5-2F00-48DF-86C9-FFF34250ADD2}"/>
    <cellStyle name="Normal 5 7 5" xfId="32632" xr:uid="{FC4BB7A9-BB64-446B-A982-1403FC696E64}"/>
    <cellStyle name="Normal 5 7 6" xfId="32633" xr:uid="{4D44C8DA-A072-485B-A5B2-1856DBB3FA21}"/>
    <cellStyle name="Normal 5 7 7" xfId="32634" xr:uid="{027A9F9E-CE25-4001-A77F-B006365BFA71}"/>
    <cellStyle name="Normal 5 8" xfId="3085" xr:uid="{6DD29B00-1EA4-438F-9C79-C36E0BC9A532}"/>
    <cellStyle name="Normal 5 8 2" xfId="18462" xr:uid="{6CA07BB3-6292-42A6-BBF0-68B4CE0D9B61}"/>
    <cellStyle name="Normal 5 8 2 2" xfId="22079" xr:uid="{5FA82FC9-1560-4B2D-9F24-6E9DC3535FA4}"/>
    <cellStyle name="Normal 5 8 3" xfId="32635" xr:uid="{D64026EC-4E50-4FA1-9958-274FE3B903C8}"/>
    <cellStyle name="Normal 5 8 4" xfId="32636" xr:uid="{189EAED8-1CDC-42EC-B3EC-42B01F340B90}"/>
    <cellStyle name="Normal 5 8 5" xfId="32637" xr:uid="{40A5225E-42C9-43A6-984A-8C5DF47D90E0}"/>
    <cellStyle name="Normal 5 8 6" xfId="32638" xr:uid="{CF2D1F8F-084C-493F-83B9-EDCBC0393CB4}"/>
    <cellStyle name="Normal 5 9" xfId="3086" xr:uid="{CAEEDCB9-CAB4-4321-A19C-5A9EAE32B7F7}"/>
    <cellStyle name="Normal 5 9 2" xfId="18463" xr:uid="{4E9847CB-68CE-4130-91FF-AE548E2DBF21}"/>
    <cellStyle name="Normal 5 9 2 2" xfId="22080" xr:uid="{ED2FB10E-7ABD-4E37-8531-49777F6CEBE3}"/>
    <cellStyle name="Normal 5 9 3" xfId="32639" xr:uid="{23C61A1D-80A2-40BB-A444-2835ECA463EA}"/>
    <cellStyle name="Normal 5 9 4" xfId="32640" xr:uid="{1CECCF22-A7CA-419D-AA78-CCB252708218}"/>
    <cellStyle name="Normal 5 9 5" xfId="32641" xr:uid="{127816AB-6718-4718-B31E-8078EC1F40AD}"/>
    <cellStyle name="Normal 5 9 6" xfId="32642" xr:uid="{893A95BD-CF48-4980-8766-F0991BAFB3E6}"/>
    <cellStyle name="Normal 50" xfId="8040" xr:uid="{7E2E7C38-EE32-4B13-9E1C-FCBBB1878A3B}"/>
    <cellStyle name="Normal 50 2" xfId="12553" xr:uid="{D9F3A8A5-E510-4B65-97C3-D96B2B1FA4AA}"/>
    <cellStyle name="Normal 50 2 2" xfId="22081" xr:uid="{CAAE132C-F5FF-4C22-BCF9-0BB52B5B7AC5}"/>
    <cellStyle name="Normal 50 2 3" xfId="18464" xr:uid="{4B0963A1-4D97-49B7-A52A-D7FD37D47C01}"/>
    <cellStyle name="Normal 50 3" xfId="32643" xr:uid="{7635755F-270B-4900-A37A-D037A0492C3F}"/>
    <cellStyle name="Normal 50 4" xfId="32644" xr:uid="{CB57A8F9-1905-4AC1-89F5-E945C0B1EE81}"/>
    <cellStyle name="Normal 50 5" xfId="32645" xr:uid="{2DAF4F07-D0F4-4F78-AD46-1A6D098FFDA8}"/>
    <cellStyle name="Normal 50 6" xfId="32646" xr:uid="{083F1C6E-87EC-45C7-942E-DDD82CC669F2}"/>
    <cellStyle name="Normal 50 7" xfId="16050" xr:uid="{B00E5FA2-BE39-41FC-9652-8C876E7ABF67}"/>
    <cellStyle name="Normal 51" xfId="8039" xr:uid="{3C4C05AD-1861-45B9-88D7-892D0ECA7F6A}"/>
    <cellStyle name="Normal 51 2" xfId="12552" xr:uid="{D49FFEDF-C16B-435C-9D6B-F6953CF20990}"/>
    <cellStyle name="Normal 51 2 2" xfId="22082" xr:uid="{851EA7F2-7746-4A0E-A8A5-6D1CA77C5063}"/>
    <cellStyle name="Normal 51 2 3" xfId="18465" xr:uid="{FAA21EB0-E03B-48F5-AC30-7D997A58A60E}"/>
    <cellStyle name="Normal 51 3" xfId="32647" xr:uid="{2A0F19E4-2264-4B10-AE21-049DF22CB65F}"/>
    <cellStyle name="Normal 51 4" xfId="32648" xr:uid="{611BD5FA-D767-4AB1-B650-BB41E77EFEB2}"/>
    <cellStyle name="Normal 51 5" xfId="32649" xr:uid="{E27614F1-8053-4FF3-94DD-8B22D0DAD4A3}"/>
    <cellStyle name="Normal 51 6" xfId="32650" xr:uid="{13E83531-7D82-4459-B452-4BE6AD0AE3C3}"/>
    <cellStyle name="Normal 51 7" xfId="16051" xr:uid="{97F2F744-A6D1-4B33-9A94-4250F160FACE}"/>
    <cellStyle name="Normal 52" xfId="8038" xr:uid="{37A66755-84B3-4855-9270-2D869F0EA17F}"/>
    <cellStyle name="Normal 52 2" xfId="12551" xr:uid="{EBA6F3C5-94DB-4935-A76C-8C3F50BACAA3}"/>
    <cellStyle name="Normal 52 2 2" xfId="22083" xr:uid="{7009FFCD-60C5-479B-9601-FE8DA0E23508}"/>
    <cellStyle name="Normal 52 2 3" xfId="18466" xr:uid="{D004FC0B-4D51-410D-A1CD-ABBFA4A2E432}"/>
    <cellStyle name="Normal 52 3" xfId="32651" xr:uid="{5F6DC2A2-B117-4AB9-AC0F-3FC283653DCD}"/>
    <cellStyle name="Normal 52 4" xfId="32652" xr:uid="{852BC18A-10C6-46D4-B71A-020FE7D7A9D9}"/>
    <cellStyle name="Normal 52 5" xfId="32653" xr:uid="{C62BB511-2604-4F30-88AF-0B54BFEDA6D0}"/>
    <cellStyle name="Normal 52 6" xfId="32654" xr:uid="{C513874F-657A-42E0-9FFF-833F99AF6462}"/>
    <cellStyle name="Normal 52 7" xfId="16052" xr:uid="{E2C1BD3B-C97A-48C5-93A2-E9C8B105FEB0}"/>
    <cellStyle name="Normal 53" xfId="8037" xr:uid="{D3D95D8E-4657-4740-9C2D-15FDFFF1C24A}"/>
    <cellStyle name="Normal 53 2" xfId="12550" xr:uid="{BA13F947-173D-483B-91FA-DACC794C1914}"/>
    <cellStyle name="Normal 53 2 2" xfId="22084" xr:uid="{6BA7453B-112A-4FEC-9C0C-A42FC0625DDA}"/>
    <cellStyle name="Normal 53 2 3" xfId="18467" xr:uid="{CC62FC55-D39A-4925-86CD-820462B002DB}"/>
    <cellStyle name="Normal 53 3" xfId="32655" xr:uid="{6AFCFD8B-DE67-4F2E-8448-966724908C56}"/>
    <cellStyle name="Normal 53 4" xfId="32656" xr:uid="{1985BCA2-3904-4164-A756-D69DEA724C53}"/>
    <cellStyle name="Normal 53 5" xfId="32657" xr:uid="{98B7E6CB-3352-4D3B-A5B2-E642360055D5}"/>
    <cellStyle name="Normal 53 6" xfId="32658" xr:uid="{022ABF63-8AB4-4253-8B93-EAA0FEC80508}"/>
    <cellStyle name="Normal 53 7" xfId="16053" xr:uid="{2A5ABC67-B41D-4FF0-A44B-EBD8A274BE6B}"/>
    <cellStyle name="Normal 54" xfId="8036" xr:uid="{59830CBA-FF48-487F-86B2-469097A0CD91}"/>
    <cellStyle name="Normal 54 2" xfId="12549" xr:uid="{3E1E2F0A-866D-4E01-9261-C81C507875CC}"/>
    <cellStyle name="Normal 54 2 2" xfId="22085" xr:uid="{A661EDC8-6C35-488E-83B3-83E64197A35D}"/>
    <cellStyle name="Normal 54 2 3" xfId="18468" xr:uid="{9E0AF87A-CA50-420D-BD6A-3FA8E8040363}"/>
    <cellStyle name="Normal 54 3" xfId="32659" xr:uid="{A44C29C4-852C-4A35-B6C5-AF4A931AD966}"/>
    <cellStyle name="Normal 54 4" xfId="32660" xr:uid="{22432719-C578-45D1-9C97-FA37975C6ABC}"/>
    <cellStyle name="Normal 54 5" xfId="32661" xr:uid="{14E1969F-241B-45AE-A081-0005AD8C4471}"/>
    <cellStyle name="Normal 54 6" xfId="32662" xr:uid="{DB5813E2-FDAF-4416-B776-227871B3CABC}"/>
    <cellStyle name="Normal 54 7" xfId="16054" xr:uid="{C1DA19D0-2C7C-4976-9CFF-BDF41E6995DA}"/>
    <cellStyle name="Normal 55" xfId="11265" xr:uid="{EF27FB15-7708-4497-9B3B-D91FFBC8B0F5}"/>
    <cellStyle name="Normal 55 2" xfId="13824" xr:uid="{F179694C-D07F-41FE-9ECF-7FA3041A2B0C}"/>
    <cellStyle name="Normal 55 2 2" xfId="22086" xr:uid="{C4E5624B-C910-4614-AE43-D7A451FFA2C4}"/>
    <cellStyle name="Normal 55 2 3" xfId="18469" xr:uid="{53A03C25-247F-48E9-9291-BCA5D1775A13}"/>
    <cellStyle name="Normal 55 3" xfId="32663" xr:uid="{C119237A-3816-4713-A97E-087F7FBD406B}"/>
    <cellStyle name="Normal 55 4" xfId="32664" xr:uid="{51C6CA03-19C9-4D4D-A4E2-8B7349976440}"/>
    <cellStyle name="Normal 55 5" xfId="32665" xr:uid="{0ED1157A-3E02-404C-9F4D-283BB93DBA1D}"/>
    <cellStyle name="Normal 55 6" xfId="32666" xr:uid="{C85243DF-E0EC-4E50-8288-64067ECC2D1E}"/>
    <cellStyle name="Normal 55 7" xfId="16055" xr:uid="{6281A404-BFD1-458C-A380-A9186EC517D0}"/>
    <cellStyle name="Normal 56" xfId="16056" xr:uid="{6D954B4F-08E1-493C-9A79-9A67FAD28822}"/>
    <cellStyle name="Normal 56 2" xfId="18470" xr:uid="{F2E5205A-0440-4EB9-AFF5-DB218CF50A5B}"/>
    <cellStyle name="Normal 56 2 2" xfId="22087" xr:uid="{FA3401E1-51C8-4202-BA16-7BD42B5CEA32}"/>
    <cellStyle name="Normal 56 3" xfId="32667" xr:uid="{6E5A3451-D740-4C66-932B-1FC241BF7B5C}"/>
    <cellStyle name="Normal 56 4" xfId="32668" xr:uid="{DAD82EBB-6E2F-43B1-B056-D48F5B1825FA}"/>
    <cellStyle name="Normal 56 5" xfId="32669" xr:uid="{10DEBF41-2322-46C6-ABFE-C546ACFD8821}"/>
    <cellStyle name="Normal 56 6" xfId="32670" xr:uid="{81F53941-25EA-493B-8314-6041CF6507BE}"/>
    <cellStyle name="Normal 57" xfId="15390" xr:uid="{0CF1B7D1-5410-4E8A-B3BB-B3EB71FE3BB7}"/>
    <cellStyle name="Normal 57 2" xfId="16804" xr:uid="{110780C6-0A39-41CD-856C-DAFA7A7D80C5}"/>
    <cellStyle name="Normal 57 2 2" xfId="18472" xr:uid="{FD701215-62BB-492A-950D-FCA092FB0A3F}"/>
    <cellStyle name="Normal 57 2 2 2" xfId="22089" xr:uid="{00C76F9A-B58E-4894-A34A-5C414B735CCB}"/>
    <cellStyle name="Normal 57 2 3" xfId="20806" xr:uid="{5B249B6C-36BE-4509-B32F-D73759BB58F7}"/>
    <cellStyle name="Normal 57 3" xfId="18471" xr:uid="{9DEB8CBD-285D-4CE9-A22B-B6378CA92830}"/>
    <cellStyle name="Normal 57 3 2" xfId="22088" xr:uid="{3A7AFAF7-0197-466C-8118-5929BDEC4034}"/>
    <cellStyle name="Normal 57 4" xfId="20522" xr:uid="{0E2BF19E-6C99-4983-9EB0-389E831CC1AC}"/>
    <cellStyle name="Normal 58" xfId="16626" xr:uid="{5ADA9ED9-F3ED-4239-94AF-F3DB265427A4}"/>
    <cellStyle name="Normal 58 2" xfId="18473" xr:uid="{9E93016E-DD64-4F5D-8763-F09BC3120857}"/>
    <cellStyle name="Normal 58 2 2" xfId="22090" xr:uid="{EBC96D8C-EE0F-4803-AABB-686ACD33301A}"/>
    <cellStyle name="Normal 58 3" xfId="20725" xr:uid="{41DC30D7-8917-425D-A4CB-9D369E31BCFB}"/>
    <cellStyle name="Normal 58 3 2" xfId="32671" xr:uid="{1949F8CD-9025-4302-8D9C-53347CD0273B}"/>
    <cellStyle name="Normal 58 4" xfId="32672" xr:uid="{75BF684A-9986-4C7E-9336-21576BE5C149}"/>
    <cellStyle name="Normal 58 5" xfId="32673" xr:uid="{B81564DB-36F1-48DE-8E58-A410E4E0F81E}"/>
    <cellStyle name="Normal 58 6" xfId="32674" xr:uid="{D0922440-58DB-4314-B561-FC8625E77614}"/>
    <cellStyle name="Normal 58 7" xfId="32675" xr:uid="{65068265-6226-4B11-9B82-8CDADBB9EA5F}"/>
    <cellStyle name="Normal 59" xfId="16732" xr:uid="{413BF8BE-9F92-419C-A079-C5AA09A210B7}"/>
    <cellStyle name="Normal 59 2" xfId="18474" xr:uid="{75597B61-9A5F-431F-A577-F013C9C5AF1E}"/>
    <cellStyle name="Normal 59 2 2" xfId="22091" xr:uid="{A3E018DE-2F54-4CDB-ADFF-1539823669D6}"/>
    <cellStyle name="Normal 59 3" xfId="20765" xr:uid="{9725010A-2154-415A-ADBA-6AA87AC91340}"/>
    <cellStyle name="Normal 59 3 2" xfId="32676" xr:uid="{A28552D5-53D2-429C-9F95-88FB475B2235}"/>
    <cellStyle name="Normal 59 4" xfId="32677" xr:uid="{6972CE2B-4085-4B9D-99E7-24B5064DF109}"/>
    <cellStyle name="Normal 59 5" xfId="32678" xr:uid="{8F6B2732-15B9-4ABA-9C1F-A9B47DE55037}"/>
    <cellStyle name="Normal 59 6" xfId="32679" xr:uid="{C3AF244C-B29C-47BA-991F-D54B765CFFC7}"/>
    <cellStyle name="Normal 59 7" xfId="32680" xr:uid="{E380322F-764F-4D1B-8A50-9F47A75B8695}"/>
    <cellStyle name="Normal 6" xfId="3087" xr:uid="{93260D5E-5876-41EE-BBB8-71462AD0CFC3}"/>
    <cellStyle name="Normal 6 10" xfId="6468" xr:uid="{7C5932FE-E2E9-4311-B21B-1CB2B2E5C3AC}"/>
    <cellStyle name="Normal 6 10 2" xfId="32681" xr:uid="{E54578EA-27E0-4C03-B486-8CFA2EED6433}"/>
    <cellStyle name="Normal 6 11" xfId="8965" xr:uid="{012D963D-DC6D-4AB2-B4C1-6E1F4E9A335A}"/>
    <cellStyle name="Normal 6 11 2" xfId="32682" xr:uid="{0F4ECDC2-B201-4C18-A5D9-F8E1294D983A}"/>
    <cellStyle name="Normal 6 12" xfId="32683" xr:uid="{E365816D-92EE-435A-9DAB-8525B8411C0F}"/>
    <cellStyle name="Normal 6 2" xfId="3088" xr:uid="{37D82D71-C81C-4B52-A114-9F95AD437929}"/>
    <cellStyle name="Normal 6 2 10" xfId="32684" xr:uid="{791A55F5-F0DB-4ADD-BB05-B887AB0BFC1E}"/>
    <cellStyle name="Normal 6 2 2" xfId="3089" xr:uid="{88821165-00A9-42BF-ADE3-A81178E917D7}"/>
    <cellStyle name="Normal 6 2 2 2" xfId="3090" xr:uid="{1FC719E7-1E42-4215-B176-B835096FAE02}"/>
    <cellStyle name="Normal 6 2 2 2 2" xfId="5075" xr:uid="{4C544EB5-EA17-4F34-B6BC-B3783FBCE705}"/>
    <cellStyle name="Normal 6 2 2 2 2 2" xfId="18479" xr:uid="{1104988B-E9AA-4F88-80BC-B96DEDF4DA22}"/>
    <cellStyle name="Normal 6 2 2 2 2 2 2" xfId="22096" xr:uid="{282CCC33-ABFB-43D0-AA87-0BC7F7B50A4C}"/>
    <cellStyle name="Normal 6 2 2 2 2 3" xfId="32685" xr:uid="{0E93C04C-CCC6-4059-BA15-F16C37E13C0D}"/>
    <cellStyle name="Normal 6 2 2 2 2 4" xfId="32686" xr:uid="{223745EF-6792-4686-A899-DD2A3071B561}"/>
    <cellStyle name="Normal 6 2 2 2 2 5" xfId="32687" xr:uid="{03E36AC4-7E71-4D6C-87AA-804CD725B487}"/>
    <cellStyle name="Normal 6 2 2 2 2 6" xfId="32688" xr:uid="{3815D69B-9BA4-4614-B443-B5ABE83A73CE}"/>
    <cellStyle name="Normal 6 2 2 2 3" xfId="6887" xr:uid="{561D9634-EBAA-4C4F-AED8-9C8A542A34F4}"/>
    <cellStyle name="Normal 6 2 2 2 3 2" xfId="22095" xr:uid="{CDBB0DEB-DC34-45AF-84FD-16914FE5C88B}"/>
    <cellStyle name="Normal 6 2 2 2 3 3" xfId="46350" xr:uid="{0529A778-AEB2-40A7-B031-7A6794EF0D9D}"/>
    <cellStyle name="Normal 6 2 2 2 3 4" xfId="18478" xr:uid="{C990AE5F-4276-4F29-953C-3811C445DED5}"/>
    <cellStyle name="Normal 6 2 2 2 4" xfId="8967" xr:uid="{7BC1A57B-75B0-4CC2-BB4E-424D3CE2C9E4}"/>
    <cellStyle name="Normal 6 2 2 2 4 2" xfId="32689" xr:uid="{88A04CFC-41B6-47BF-A5D7-219119B08B49}"/>
    <cellStyle name="Normal 6 2 2 2 5" xfId="32690" xr:uid="{99CB9F4A-5DE9-49E3-BFB5-04C36CF15CB6}"/>
    <cellStyle name="Normal 6 2 2 2 6" xfId="32691" xr:uid="{F79D3183-3AD9-419B-B600-37679EB61022}"/>
    <cellStyle name="Normal 6 2 2 2 7" xfId="32692" xr:uid="{D425C593-94A1-4EC7-B2D4-47E24A15F2BF}"/>
    <cellStyle name="Normal 6 2 2 3" xfId="16618" xr:uid="{2827900B-30C4-4D21-B881-C40D56071CD0}"/>
    <cellStyle name="Normal 6 2 2 3 2" xfId="18480" xr:uid="{CDE23F31-5E03-4F7E-84C4-800342C64ECD}"/>
    <cellStyle name="Normal 6 2 2 3 2 2" xfId="22097" xr:uid="{1CB23B76-5279-4864-8CE9-83AA08D75369}"/>
    <cellStyle name="Normal 6 2 2 3 3" xfId="32693" xr:uid="{DF83AFF8-7B9A-4448-A74B-5F906250148D}"/>
    <cellStyle name="Normal 6 2 2 3 4" xfId="32694" xr:uid="{1A508468-77EC-4C80-9900-1BB13F0ACA6F}"/>
    <cellStyle name="Normal 6 2 2 3 5" xfId="32695" xr:uid="{A68C71C8-F38E-45EB-8A86-ECF594489B65}"/>
    <cellStyle name="Normal 6 2 2 3 6" xfId="32696" xr:uid="{B6F0DBD0-CE2A-4EF1-B57D-C45975D8B00F}"/>
    <cellStyle name="Normal 6 2 2 4" xfId="18477" xr:uid="{EF0E43D3-A4E5-49BC-930A-F62EA89BCAB0}"/>
    <cellStyle name="Normal 6 2 2 4 2" xfId="22094" xr:uid="{61D80A3E-E674-4B37-991A-F669339A21CD}"/>
    <cellStyle name="Normal 6 2 2 5" xfId="32697" xr:uid="{27C4E9F3-EC53-481A-A3EC-7F6B7F6DE086}"/>
    <cellStyle name="Normal 6 2 2 6" xfId="32698" xr:uid="{A703BC7A-2F59-40A9-AC86-BDDB9F077245}"/>
    <cellStyle name="Normal 6 2 2 7" xfId="32699" xr:uid="{312A6E04-7EB6-4CD4-87B1-9FF37DD84D87}"/>
    <cellStyle name="Normal 6 2 2 8" xfId="32700" xr:uid="{11B0E117-72B1-46E4-BD82-B74D1F1AEF58}"/>
    <cellStyle name="Normal 6 2 3" xfId="3091" xr:uid="{A946FF1A-4AD1-4D5F-9020-84F5D4A8B185}"/>
    <cellStyle name="Normal 6 2 3 2" xfId="16630" xr:uid="{DD80516D-FC60-4E7E-9C1F-A5DF37D9C0A8}"/>
    <cellStyle name="Normal 6 2 3 2 2" xfId="18482" xr:uid="{4F0C7FAB-046D-4122-9A0B-9FA397096D71}"/>
    <cellStyle name="Normal 6 2 3 2 2 2" xfId="22099" xr:uid="{14894618-6CBE-49FB-A9FD-BDF6EF9A3992}"/>
    <cellStyle name="Normal 6 2 3 2 3" xfId="32701" xr:uid="{F15D0225-8DBD-417C-948E-2D753C30D6A3}"/>
    <cellStyle name="Normal 6 2 3 2 4" xfId="32702" xr:uid="{55247F55-B0B7-4E8C-8314-727C772C891C}"/>
    <cellStyle name="Normal 6 2 3 2 5" xfId="32703" xr:uid="{19597120-AF45-4260-9DCF-C5F3E0558A91}"/>
    <cellStyle name="Normal 6 2 3 2 6" xfId="32704" xr:uid="{43911E0B-A00D-46C5-8A3F-40930E0C5FBB}"/>
    <cellStyle name="Normal 6 2 3 3" xfId="18481" xr:uid="{3A3DB4A0-D67B-413B-995D-D00CC2FF674D}"/>
    <cellStyle name="Normal 6 2 3 3 2" xfId="22098" xr:uid="{2F42C461-5EC1-4B33-8122-30D668607CCE}"/>
    <cellStyle name="Normal 6 2 3 4" xfId="20721" xr:uid="{7AB781E2-F4E2-43A0-B127-09F15558DFFA}"/>
    <cellStyle name="Normal 6 2 3 5" xfId="16619" xr:uid="{D2CED499-5ED1-4AAB-BD72-A2371B9B932C}"/>
    <cellStyle name="Normal 6 2 4" xfId="5074" xr:uid="{799E84BC-519C-4FBA-883E-A2128CAB7A61}"/>
    <cellStyle name="Normal 6 2 4 2" xfId="18483" xr:uid="{3A20AF61-5335-439C-A5F8-67E7E537E89D}"/>
    <cellStyle name="Normal 6 2 4 2 2" xfId="22100" xr:uid="{B682E1B2-F369-464D-A9EF-FD17572118EC}"/>
    <cellStyle name="Normal 6 2 4 3" xfId="20702" xr:uid="{D9498754-7D67-4151-988E-6605350DEEE8}"/>
    <cellStyle name="Normal 6 2 4 4" xfId="43636" xr:uid="{DC001701-9E13-4C57-95D1-A6C461EED4D6}"/>
    <cellStyle name="Normal 6 2 4 5" xfId="16553" xr:uid="{47906690-BA26-49EF-90FC-09C345220017}"/>
    <cellStyle name="Normal 6 2 5" xfId="4173" xr:uid="{3345130F-B1F8-470B-B244-C55E28FE37D2}"/>
    <cellStyle name="Normal 6 2 5 2" xfId="22093" xr:uid="{67E0BC73-71DF-46C5-898D-21389D5546B6}"/>
    <cellStyle name="Normal 6 2 5 3" xfId="43991" xr:uid="{0AF7754C-7FBE-4871-B37C-847FE3CE7F58}"/>
    <cellStyle name="Normal 6 2 5 4" xfId="18476" xr:uid="{E81E13F8-1E7F-4579-9FD3-13FC73569809}"/>
    <cellStyle name="Normal 6 2 6" xfId="6240" xr:uid="{C12DDD95-A423-4BDB-A61D-EF422E589EE3}"/>
    <cellStyle name="Normal 6 2 6 2" xfId="45901" xr:uid="{542DA3FA-634D-447D-8DAB-C23F129DF864}"/>
    <cellStyle name="Normal 6 2 6 3" xfId="32705" xr:uid="{795B153B-39AA-48B3-9DEB-BA95AF4428A2}"/>
    <cellStyle name="Normal 6 2 7" xfId="8966" xr:uid="{0B99AE90-2C6A-442F-AAB5-DCAACA26B5D8}"/>
    <cellStyle name="Normal 6 2 7 2" xfId="32706" xr:uid="{D6DCAD3E-5E24-42DD-9789-A18F7358EF75}"/>
    <cellStyle name="Normal 6 2 8" xfId="32707" xr:uid="{6A5C61B4-D24D-475B-8E00-55585296CC2D}"/>
    <cellStyle name="Normal 6 2 9" xfId="32708" xr:uid="{FA7D2539-3397-4CB0-A409-94EF18C7B978}"/>
    <cellStyle name="Normal 6 2_INPUTtoVEDA_importpriceNT" xfId="16620" xr:uid="{264D0E21-A1D9-4210-9A56-4CD1CDEAC892}"/>
    <cellStyle name="Normal 6 3" xfId="3092" xr:uid="{1AA8B0EC-1AF7-451F-9040-3169A98CBA08}"/>
    <cellStyle name="Normal 6 3 10" xfId="32709" xr:uid="{F9786FFB-C013-4F7B-9376-0BED416A3DA6}"/>
    <cellStyle name="Normal 6 3 11" xfId="32710" xr:uid="{6DD97A03-36D8-456D-8211-00434D491741}"/>
    <cellStyle name="Normal 6 3 2" xfId="3093" xr:uid="{37E3F4ED-5887-4E51-A714-873AB45E72EE}"/>
    <cellStyle name="Normal 6 3 2 2" xfId="16795" xr:uid="{48738A07-746E-485F-ACDC-F3AAD52842CE}"/>
    <cellStyle name="Normal 6 3 2 2 2" xfId="18486" xr:uid="{C9222689-91F1-4F7F-B20F-B53EEBED8F01}"/>
    <cellStyle name="Normal 6 3 2 2 2 2" xfId="22103" xr:uid="{18A4A7C3-3D24-4782-8B6B-610CB6086B49}"/>
    <cellStyle name="Normal 6 3 2 2 3" xfId="32711" xr:uid="{590622CB-B485-481C-89EF-D0FE04AA45B1}"/>
    <cellStyle name="Normal 6 3 2 2 4" xfId="32712" xr:uid="{1448A880-375D-4B5C-A27B-3A161ED4A068}"/>
    <cellStyle name="Normal 6 3 2 2 5" xfId="32713" xr:uid="{05F4B7AC-1CE7-432A-A205-239585845E72}"/>
    <cellStyle name="Normal 6 3 2 2 6" xfId="32714" xr:uid="{995B1239-DCE5-45E0-AE98-2110976AC123}"/>
    <cellStyle name="Normal 6 3 2 3" xfId="16555" xr:uid="{BB840C21-3E04-4170-BFF9-95EC5209A527}"/>
    <cellStyle name="Normal 6 3 2 3 2" xfId="18487" xr:uid="{20ACF135-2963-43AD-87D1-CF1E6D3DA286}"/>
    <cellStyle name="Normal 6 3 2 3 2 2" xfId="22104" xr:uid="{51376F9D-E01D-4938-BBB9-9442491E48E7}"/>
    <cellStyle name="Normal 6 3 2 3 3" xfId="32715" xr:uid="{41535B89-A682-4C69-9772-CE0F47B99CD2}"/>
    <cellStyle name="Normal 6 3 2 3 4" xfId="32716" xr:uid="{0DF31D98-704E-4BCD-97EC-90BB5040E09E}"/>
    <cellStyle name="Normal 6 3 2 3 5" xfId="32717" xr:uid="{5358367F-C9B2-46BC-8D69-A09CB468586F}"/>
    <cellStyle name="Normal 6 3 2 3 6" xfId="32718" xr:uid="{77A94525-E091-46D6-BA78-961BB42E0731}"/>
    <cellStyle name="Normal 6 3 2 4" xfId="18485" xr:uid="{D0FB1964-989A-4495-B25A-1E32DD165C22}"/>
    <cellStyle name="Normal 6 3 2 4 2" xfId="22102" xr:uid="{9F65EA0C-161D-47AC-8B16-985F183D465F}"/>
    <cellStyle name="Normal 6 3 2 5" xfId="32719" xr:uid="{C6922453-2275-41FD-8C66-B4E54D69A44C}"/>
    <cellStyle name="Normal 6 3 2 6" xfId="32720" xr:uid="{474B961F-A6AD-445C-80E0-CF6ACB83C647}"/>
    <cellStyle name="Normal 6 3 2 7" xfId="32721" xr:uid="{2D24EF77-C9F5-4B0D-BA10-761F7822EE42}"/>
    <cellStyle name="Normal 6 3 2 8" xfId="32722" xr:uid="{A8B77717-18D6-4405-A5A4-07127BE40322}"/>
    <cellStyle name="Normal 6 3 3" xfId="5076" xr:uid="{087F6776-F198-40BB-A54C-C7DFBDB3A37A}"/>
    <cellStyle name="Normal 6 3 3 2" xfId="18488" xr:uid="{5FEED040-7FAA-4380-8336-0827BB3737B9}"/>
    <cellStyle name="Normal 6 3 3 2 2" xfId="22105" xr:uid="{15C4E240-5003-4787-B183-5AF5E59C6D03}"/>
    <cellStyle name="Normal 6 3 3 3" xfId="32723" xr:uid="{06E985CE-2418-4BAA-8650-8D7305E3A954}"/>
    <cellStyle name="Normal 6 3 3 4" xfId="32724" xr:uid="{B67195AC-83F4-4C3E-93A8-3B071D2F9498}"/>
    <cellStyle name="Normal 6 3 3 5" xfId="32725" xr:uid="{7AE45BE1-CF25-4D83-93B1-ECBEEC0C8067}"/>
    <cellStyle name="Normal 6 3 3 6" xfId="32726" xr:uid="{EB7A2E74-3F3C-414B-A047-8A92AA684158}"/>
    <cellStyle name="Normal 6 3 3 7" xfId="43637" xr:uid="{15A170FD-6369-48F8-9B12-40452DC2585D}"/>
    <cellStyle name="Normal 6 3 3 8" xfId="16729" xr:uid="{3DB73730-47A9-4169-B019-791D9987D894}"/>
    <cellStyle name="Normal 6 3 4" xfId="4174" xr:uid="{52941074-5C49-48D3-B857-78B283F246B3}"/>
    <cellStyle name="Normal 6 3 4 2" xfId="18489" xr:uid="{5C49E800-AC04-41B7-9BB8-5F36EA641B8C}"/>
    <cellStyle name="Normal 6 3 4 2 2" xfId="22106" xr:uid="{AA8C47BD-1E42-4CCC-882E-002189FFCE47}"/>
    <cellStyle name="Normal 6 3 4 3" xfId="20703" xr:uid="{C14638B5-0A91-4FAC-8BE7-23A547BDA2A5}"/>
    <cellStyle name="Normal 6 3 4 4" xfId="43992" xr:uid="{9CAB64AA-72CF-4178-B1B0-464E361F311E}"/>
    <cellStyle name="Normal 6 3 4 5" xfId="16554" xr:uid="{759BE5C1-0FBA-4135-B038-3DF5A3E1A574}"/>
    <cellStyle name="Normal 6 3 5" xfId="6241" xr:uid="{80A14072-7D26-44EF-8475-B1635295F929}"/>
    <cellStyle name="Normal 6 3 5 2" xfId="22107" xr:uid="{2DE4A9C2-CDEE-4BA2-8EBD-6D648C27D295}"/>
    <cellStyle name="Normal 6 3 5 3" xfId="45902" xr:uid="{121401F3-18B8-4C99-8851-6E953519DF59}"/>
    <cellStyle name="Normal 6 3 5 4" xfId="18490" xr:uid="{2D2463F4-32A8-4D24-B4DD-72B187AADFDA}"/>
    <cellStyle name="Normal 6 3 6" xfId="8968" xr:uid="{5BB6B10F-1103-440C-8E0E-6B91D40FBA4E}"/>
    <cellStyle name="Normal 6 3 6 2" xfId="22101" xr:uid="{553A2D45-5C30-49D0-A668-A9C454BA7C9D}"/>
    <cellStyle name="Normal 6 3 6 3" xfId="18484" xr:uid="{3AD2CF7C-D49E-46BD-BF0D-CD13AE73244D}"/>
    <cellStyle name="Normal 6 3 7" xfId="32727" xr:uid="{5DA8EE83-C985-4481-A5F6-0D03E7234032}"/>
    <cellStyle name="Normal 6 3 8" xfId="32728" xr:uid="{A1F86C4A-7D11-432D-9D00-66A4EEA06387}"/>
    <cellStyle name="Normal 6 3 9" xfId="32729" xr:uid="{CCB1FFD3-9E03-4D2C-A781-180B1319847C}"/>
    <cellStyle name="Normal 6 4" xfId="3094" xr:uid="{58744286-C63F-4B92-9ECC-A1C2CD3579F6}"/>
    <cellStyle name="Normal 6 4 2" xfId="5077" xr:uid="{AE815AE9-EF9D-401F-8917-D292C352B7D5}"/>
    <cellStyle name="Normal 6 4 2 2" xfId="22108" xr:uid="{03497212-CDBF-4842-B9E1-9BCA857C040D}"/>
    <cellStyle name="Normal 6 4 2 3" xfId="43638" xr:uid="{A52E8F1F-024D-4F70-9037-AD28201FF50E}"/>
    <cellStyle name="Normal 6 4 2 4" xfId="18491" xr:uid="{336B6456-4C9B-4E10-A3AC-49EECA148E12}"/>
    <cellStyle name="Normal 6 4 3" xfId="4175" xr:uid="{CD9FA015-D527-4916-B14A-D6CB4A487FE2}"/>
    <cellStyle name="Normal 6 4 3 2" xfId="43993" xr:uid="{A126A912-A5EB-4629-8AB6-E1E47C83543E}"/>
    <cellStyle name="Normal 6 4 3 3" xfId="32730" xr:uid="{6B09146C-971B-42D7-9B70-7DFA577FA0B9}"/>
    <cellStyle name="Normal 6 4 4" xfId="6242" xr:uid="{D41E127E-894A-4ADD-9E6F-5FD3B035BA39}"/>
    <cellStyle name="Normal 6 4 4 2" xfId="45903" xr:uid="{B35576CB-9AE2-4670-B51D-ABEE3EA61725}"/>
    <cellStyle name="Normal 6 4 4 3" xfId="32731" xr:uid="{37F3F27E-D432-4DA0-B81F-7EA2AC89DC8E}"/>
    <cellStyle name="Normal 6 4 5" xfId="8969" xr:uid="{638A5D1F-0347-4040-ADCB-9A3002B4DF6E}"/>
    <cellStyle name="Normal 6 4 5 2" xfId="32732" xr:uid="{1DFE41EF-7700-452A-8495-071CC6F28FAE}"/>
    <cellStyle name="Normal 6 4 6" xfId="32733" xr:uid="{08F88504-A31D-46FF-A881-10071739CA76}"/>
    <cellStyle name="Normal 6 4 7" xfId="32734" xr:uid="{EB36DD26-911C-4325-83AB-E4414DF35BEB}"/>
    <cellStyle name="Normal 6 5" xfId="5073" xr:uid="{C6B29377-C3E5-4BB4-B654-157C889474C2}"/>
    <cellStyle name="Normal 6 5 2" xfId="18492" xr:uid="{23A98FA0-72C2-4E9E-8E4C-A742A757EBF0}"/>
    <cellStyle name="Normal 6 5 2 2" xfId="22109" xr:uid="{DDFBB0C5-E44F-4263-8D11-F82A5B2B8B6C}"/>
    <cellStyle name="Normal 6 5 3" xfId="32735" xr:uid="{D50B6941-5A50-4A73-B8AE-0A2906BEEFAA}"/>
    <cellStyle name="Normal 6 5 4" xfId="32736" xr:uid="{AE21D8D9-DDF9-4579-8DF2-F24B6CADDA9D}"/>
    <cellStyle name="Normal 6 5 5" xfId="32737" xr:uid="{7DF66271-461C-4E57-8EE4-7927583E4E8F}"/>
    <cellStyle name="Normal 6 5 6" xfId="32738" xr:uid="{8B1F1B90-837E-4433-B539-074B8F1029DB}"/>
    <cellStyle name="Normal 6 5 7" xfId="43635" xr:uid="{293BDFAF-A09B-4B18-A167-7E2C948EC63B}"/>
    <cellStyle name="Normal 6 5 8" xfId="16617" xr:uid="{B92EEC17-7853-4CA3-95E7-37AB34DCE3E7}"/>
    <cellStyle name="Normal 6 6" xfId="4172" xr:uid="{38505C39-EA16-4529-9996-779EDD55B92D}"/>
    <cellStyle name="Normal 6 6 2" xfId="22092" xr:uid="{DEF8014B-2DC6-4C38-B8E6-9BC8C6319598}"/>
    <cellStyle name="Normal 6 6 3" xfId="43990" xr:uid="{7026C20A-A03E-4E1B-A6F2-41338773DF90}"/>
    <cellStyle name="Normal 6 6 4" xfId="18475" xr:uid="{35832EFC-11BC-45E9-8779-3CCE055CD8C4}"/>
    <cellStyle name="Normal 6 7" xfId="6239" xr:uid="{47F6F974-5081-4D8E-B912-C77D93171301}"/>
    <cellStyle name="Normal 6 7 2" xfId="45900" xr:uid="{28A59916-ABC3-4746-B1D5-54AD734D6C98}"/>
    <cellStyle name="Normal 6 7 3" xfId="32739" xr:uid="{9E451341-C0CD-4314-B2A1-D22A316CC4B9}"/>
    <cellStyle name="Normal 6 8" xfId="6464" xr:uid="{D017AF4A-6CBF-4FD1-94AF-3EF8C788C08C}"/>
    <cellStyle name="Normal 6 8 2" xfId="32740" xr:uid="{0AB5FE7D-74CF-44F9-99AE-9F28F4389DB6}"/>
    <cellStyle name="Normal 6 9" xfId="5943" xr:uid="{5FC8509E-3938-4E9D-ABDD-7A6AB74031D0}"/>
    <cellStyle name="Normal 6 9 2" xfId="32741" xr:uid="{2CF8396F-6252-404B-A833-8D6CBA70410D}"/>
    <cellStyle name="Normal 6_TRA" xfId="3095" xr:uid="{6208DE4A-6185-4F37-9CF4-9998B9F6AEF2}"/>
    <cellStyle name="Normal 60" xfId="16149" xr:uid="{A234B13F-58F7-4ED0-A287-07CC765A6ABB}"/>
    <cellStyle name="Normal 60 2" xfId="18493" xr:uid="{B4C456C7-5494-438E-A637-53EF58F2ADAD}"/>
    <cellStyle name="Normal 60 2 2" xfId="22110" xr:uid="{C1DC803A-A20E-41F2-982D-8D023599D8DE}"/>
    <cellStyle name="Normal 60 3" xfId="20599" xr:uid="{2489CA97-A7F9-4BDA-AAA8-36CA48C4D876}"/>
    <cellStyle name="Normal 61" xfId="16599" xr:uid="{1F6F4244-40D4-4BDC-99EF-61CD3F7EE9DB}"/>
    <cellStyle name="Normal 61 2" xfId="18494" xr:uid="{3472B170-543E-42FB-8B1A-CF0E10009154}"/>
    <cellStyle name="Normal 61 2 2" xfId="22111" xr:uid="{62E2B711-4B63-4E38-A1D0-EA16BA538D37}"/>
    <cellStyle name="Normal 61 3" xfId="20709" xr:uid="{8A6493D3-F713-47D4-95FE-95A59D9E4E2E}"/>
    <cellStyle name="Normal 62" xfId="16225" xr:uid="{5FB6D0AC-A753-4A4D-8FD9-816ECE220B54}"/>
    <cellStyle name="Normal 62 2" xfId="18495" xr:uid="{E1AD191D-6C05-4D3E-B753-9980F6692ED0}"/>
    <cellStyle name="Normal 62 2 2" xfId="22112" xr:uid="{716BB0D5-8A78-4E2D-B296-B606BA05F24C}"/>
    <cellStyle name="Normal 62 3" xfId="20600" xr:uid="{1DC36E2C-83CC-4D32-999B-834BAE265472}"/>
    <cellStyle name="Normal 63" xfId="18496" xr:uid="{C616AB90-5B37-44F7-8D91-D7474B48378E}"/>
    <cellStyle name="Normal 63 2" xfId="22113" xr:uid="{685D6606-418A-4DFA-915F-44128C258103}"/>
    <cellStyle name="Normal 64" xfId="16885" xr:uid="{AB6A9DAF-FDEF-40A7-8B0C-0E494DBA192C}"/>
    <cellStyle name="Normal 64 2" xfId="20883" xr:uid="{BF3B4EF5-1E3D-493A-A69A-7207115AB458}"/>
    <cellStyle name="Normal 65" xfId="19793" xr:uid="{223EC183-491E-4796-9BE3-8DE1E20673CA}"/>
    <cellStyle name="Normal 65 2" xfId="23413" xr:uid="{49E8DA15-09C3-4216-816A-51F04E639ED9}"/>
    <cellStyle name="Normal 66" xfId="19796" xr:uid="{AB79EFEF-A492-41C1-89FA-E7CE05BD3B80}"/>
    <cellStyle name="Normal 66 2" xfId="23415" xr:uid="{5BFD9A8D-AF0C-47BC-94AF-3ED21C20FB9E}"/>
    <cellStyle name="Normal 67" xfId="19798" xr:uid="{3013018C-83FE-47EA-8972-33B5489482B7}"/>
    <cellStyle name="Normal 67 2" xfId="23416" xr:uid="{1DC115E0-CBB9-4F9E-AED4-72BFF318DBF8}"/>
    <cellStyle name="Normal 68" xfId="19800" xr:uid="{47466F2B-03ED-4582-A1B0-61FE380D0A87}"/>
    <cellStyle name="Normal 68 2" xfId="23417" xr:uid="{16ED4E68-5265-4431-AF0F-D36D1E39D50E}"/>
    <cellStyle name="Normal 69" xfId="19823" xr:uid="{79C7EC51-945C-49D1-B440-6E524FBF6A77}"/>
    <cellStyle name="Normal 69 2" xfId="23434" xr:uid="{A23C145E-2C81-4C2B-87DB-0FD24FBE4010}"/>
    <cellStyle name="Normal 7" xfId="3096" xr:uid="{9AA0BA21-4A03-4BCC-94D8-B8CFC0720AC8}"/>
    <cellStyle name="Normal 7 10" xfId="32742" xr:uid="{313D76FE-0B8A-49DE-8724-2F073B253F49}"/>
    <cellStyle name="Normal 7 11" xfId="32743" xr:uid="{A4FDB53D-7887-4758-AFF3-9A5E453A417C}"/>
    <cellStyle name="Normal 7 2" xfId="3097" xr:uid="{26E58D45-3F92-4691-B96D-56D34656DD02}"/>
    <cellStyle name="Normal 7 2 2" xfId="5079" xr:uid="{2EABD4AB-C675-4F51-8FE1-0DE0034DDD0F}"/>
    <cellStyle name="Normal 7 2 2 2" xfId="22115" xr:uid="{F8903062-1ECA-4D8A-BA0E-82E628F4B13E}"/>
    <cellStyle name="Normal 7 2 2 3" xfId="43640" xr:uid="{3A22AAFF-88C8-4C57-9FBA-DA0F401E2C4D}"/>
    <cellStyle name="Normal 7 2 2 4" xfId="18498" xr:uid="{19CFA10B-B241-4AA4-823D-732A91FE5BAD}"/>
    <cellStyle name="Normal 7 2 3" xfId="4177" xr:uid="{BFAD65A9-98BD-4655-A763-811F06904175}"/>
    <cellStyle name="Normal 7 2 3 2" xfId="43995" xr:uid="{23852819-AC30-42A1-8845-EBBE4F0F859A}"/>
    <cellStyle name="Normal 7 2 3 3" xfId="32744" xr:uid="{85EF534A-3EEE-40C9-B27A-8A0F71258360}"/>
    <cellStyle name="Normal 7 2 4" xfId="6244" xr:uid="{80A5DB87-2266-40F5-ACD3-81C72FB809C5}"/>
    <cellStyle name="Normal 7 2 4 2" xfId="45905" xr:uid="{B4F6C8E8-DD20-4595-8193-171A6ECDF02E}"/>
    <cellStyle name="Normal 7 2 4 3" xfId="32745" xr:uid="{72CEF54F-27E1-43B5-B806-D893F0621000}"/>
    <cellStyle name="Normal 7 2 5" xfId="8971" xr:uid="{980C70B6-51AD-46B5-B79C-301564A39F63}"/>
    <cellStyle name="Normal 7 2 5 2" xfId="32746" xr:uid="{B3565B19-C176-476C-894E-05DA4D953045}"/>
    <cellStyle name="Normal 7 2 6" xfId="32747" xr:uid="{68CF4A1B-AD30-405C-A5ED-D642EF0644B4}"/>
    <cellStyle name="Normal 7 2 7" xfId="32748" xr:uid="{A393070B-239C-4AEA-A487-476BC2C242E4}"/>
    <cellStyle name="Normal 7 3" xfId="3098" xr:uid="{4874C5B3-5EEF-44F1-B8E3-6F4D53BDC040}"/>
    <cellStyle name="Normal 7 3 2" xfId="5080" xr:uid="{63AD8ABD-D5E0-45BE-9F96-8BF327569841}"/>
    <cellStyle name="Normal 7 3 2 2" xfId="22116" xr:uid="{13607275-DD75-4160-949E-D5560773E66B}"/>
    <cellStyle name="Normal 7 3 2 3" xfId="43641" xr:uid="{9C71B169-760C-4287-8C1D-2DECBDD9F399}"/>
    <cellStyle name="Normal 7 3 2 4" xfId="18499" xr:uid="{1A39E774-18A4-4B87-A2CA-9B3F4A940B69}"/>
    <cellStyle name="Normal 7 3 3" xfId="4178" xr:uid="{344A1844-4AE0-4478-B1BD-4E649DD0D977}"/>
    <cellStyle name="Normal 7 3 3 2" xfId="43996" xr:uid="{2C208509-2DE2-47AE-AA99-572DA6E3D9A2}"/>
    <cellStyle name="Normal 7 3 3 3" xfId="32749" xr:uid="{7644AF76-443F-46CF-B137-FC50D1A25148}"/>
    <cellStyle name="Normal 7 3 4" xfId="6245" xr:uid="{55B819D9-67FF-4CB9-8003-38F97573590A}"/>
    <cellStyle name="Normal 7 3 4 2" xfId="45906" xr:uid="{05ACBAC6-0437-441C-B353-91D94E068231}"/>
    <cellStyle name="Normal 7 3 4 3" xfId="32750" xr:uid="{DBADF510-53CC-4C09-B90D-4E36C9E5C476}"/>
    <cellStyle name="Normal 7 3 5" xfId="8972" xr:uid="{7E6596A5-11A3-433E-8980-821B0B26ACDF}"/>
    <cellStyle name="Normal 7 3 5 2" xfId="32751" xr:uid="{3BFD7DA0-08A7-4E10-99EE-D3458E0325F6}"/>
    <cellStyle name="Normal 7 3 6" xfId="32752" xr:uid="{EC944294-81FF-4F38-A3B4-CFF97B86D676}"/>
    <cellStyle name="Normal 7 3 7" xfId="32753" xr:uid="{BD6497F3-22B5-4F8F-8697-C738353C6886}"/>
    <cellStyle name="Normal 7 4" xfId="3099" xr:uid="{E9048BE0-F2AE-44CB-A29A-5DD4E0C35267}"/>
    <cellStyle name="Normal 7 4 2" xfId="5081" xr:uid="{D5804539-A243-40ED-BB3A-7CF62844FFFF}"/>
    <cellStyle name="Normal 7 4 2 2" xfId="22117" xr:uid="{593DD93B-F618-48DA-AD47-FD74AF0C8C7A}"/>
    <cellStyle name="Normal 7 4 2 3" xfId="43642" xr:uid="{2BE889F1-993A-4043-9E37-BBBB2789748C}"/>
    <cellStyle name="Normal 7 4 2 4" xfId="18500" xr:uid="{40CBDEF0-B770-49AC-907C-DEE16615EED7}"/>
    <cellStyle name="Normal 7 4 3" xfId="4179" xr:uid="{79F271D2-EA8D-4B79-BAE5-FAA536570BEE}"/>
    <cellStyle name="Normal 7 4 3 2" xfId="43997" xr:uid="{8BBAAE86-6DFB-4797-8EC3-4A318FD5DB49}"/>
    <cellStyle name="Normal 7 4 3 3" xfId="32754" xr:uid="{980BAD06-D3DF-4670-8AE0-6A3B4C63CF43}"/>
    <cellStyle name="Normal 7 4 4" xfId="6246" xr:uid="{AE62721F-CF3C-4C79-A199-70539B9935BA}"/>
    <cellStyle name="Normal 7 4 4 2" xfId="45907" xr:uid="{9CE4D5F9-8BDC-4767-999B-2835F4EB8BC7}"/>
    <cellStyle name="Normal 7 4 4 3" xfId="32755" xr:uid="{E3FB1EB6-AACE-4C4F-ADAB-2D6ECE97A526}"/>
    <cellStyle name="Normal 7 4 5" xfId="8973" xr:uid="{8B312000-83C0-4191-A500-F37DEF13B585}"/>
    <cellStyle name="Normal 7 4 5 2" xfId="32756" xr:uid="{77323CDF-A303-40FE-B911-B634A905457F}"/>
    <cellStyle name="Normal 7 4 6" xfId="32757" xr:uid="{C6849540-A9D2-4785-AE60-D1AB4E9720BC}"/>
    <cellStyle name="Normal 7 4 7" xfId="32758" xr:uid="{BAC2DAD1-4876-48D5-B272-745230F55C9F}"/>
    <cellStyle name="Normal 7 5" xfId="5078" xr:uid="{D41D7531-6723-4C8A-8CD4-F4A4794CDEDF}"/>
    <cellStyle name="Normal 7 5 2" xfId="22114" xr:uid="{7D527216-2C5D-4541-B0A4-4A97D2BEF274}"/>
    <cellStyle name="Normal 7 5 3" xfId="43639" xr:uid="{FCA3D742-01F1-45CA-8C95-CF102555E4EC}"/>
    <cellStyle name="Normal 7 5 4" xfId="18497" xr:uid="{4C8398FC-A089-4E41-A47F-4404CC94E535}"/>
    <cellStyle name="Normal 7 6" xfId="4176" xr:uid="{8B0C491B-1FD7-4C13-B7E2-CE754F360F92}"/>
    <cellStyle name="Normal 7 6 2" xfId="43994" xr:uid="{8C3CBD97-9292-4374-A8A5-D2629CD9CC50}"/>
    <cellStyle name="Normal 7 6 3" xfId="32759" xr:uid="{C6813AD4-608C-43CE-B63E-C9EDBF1EC431}"/>
    <cellStyle name="Normal 7 7" xfId="6243" xr:uid="{F6195B8A-26D0-4871-9764-E7331D58626B}"/>
    <cellStyle name="Normal 7 7 2" xfId="45904" xr:uid="{25367093-AB34-45D6-91D0-3BEAD3DAB17B}"/>
    <cellStyle name="Normal 7 7 3" xfId="32760" xr:uid="{603C5BBB-823A-420A-9C06-04E922A9D5FA}"/>
    <cellStyle name="Normal 7 8" xfId="6463" xr:uid="{0A7DEAB1-24FA-4994-8F40-910E3D4AAEF5}"/>
    <cellStyle name="Normal 7 8 2" xfId="9440" xr:uid="{B0A70D83-5BAA-4C64-908F-A1AB58B930F1}"/>
    <cellStyle name="Normal 7 8 2 2" xfId="12746" xr:uid="{852D14B2-0AF4-4A56-BA16-536FFDDAA149}"/>
    <cellStyle name="Normal 7 8 3" xfId="11461" xr:uid="{C3B268F2-4767-4F51-BB00-E3CCB4AC16AB}"/>
    <cellStyle name="Normal 7 8 4" xfId="32761" xr:uid="{D7B026A5-F4B2-4303-AFFC-9D9C48AFF722}"/>
    <cellStyle name="Normal 7 9" xfId="8970" xr:uid="{AC4CBE7A-A645-41E5-A0DD-0991BAA2A633}"/>
    <cellStyle name="Normal 7 9 2" xfId="32762" xr:uid="{C8E23ECD-7E21-49F1-BE06-1F89D2D99933}"/>
    <cellStyle name="Normal 70" xfId="19826" xr:uid="{ED52D6D6-0672-46EB-A95F-72411E6136D5}"/>
    <cellStyle name="Normal 70 2" xfId="23436" xr:uid="{1551C4FB-603B-4E99-B543-29A7B5444FBE}"/>
    <cellStyle name="Normal 71" xfId="19801" xr:uid="{2E797C00-F1C0-467A-BD64-3B01354C1FAC}"/>
    <cellStyle name="Normal 71 2" xfId="23418" xr:uid="{3F6F3ED9-4326-4ED3-A393-9B46BC478342}"/>
    <cellStyle name="Normal 72" xfId="19803" xr:uid="{238D994D-D9E6-4D76-A531-2E95CCA00A77}"/>
    <cellStyle name="Normal 72 2" xfId="23419" xr:uid="{7FF6CD5D-C190-4FCB-B38E-D1880FB28F38}"/>
    <cellStyle name="Normal 73" xfId="19805" xr:uid="{1EEB4F8A-E15F-4ED7-A042-DF5BE9026572}"/>
    <cellStyle name="Normal 73 2" xfId="23420" xr:uid="{ADDD167F-914D-4998-B646-CCC3193269E8}"/>
    <cellStyle name="Normal 74" xfId="19807" xr:uid="{23763E7C-1718-4A17-A955-135221B08808}"/>
    <cellStyle name="Normal 74 2" xfId="23421" xr:uid="{90836FAA-8504-48D9-9F55-97AD4241388D}"/>
    <cellStyle name="Normal 75" xfId="19809" xr:uid="{A211CB74-3849-4162-AF9C-8B64793E4D50}"/>
    <cellStyle name="Normal 75 2" xfId="23422" xr:uid="{1BC000E8-7F6F-47A3-9E11-04E6A2979058}"/>
    <cellStyle name="Normal 76" xfId="19817" xr:uid="{B6DDC91A-65F6-4D42-BD7E-867DC981275D}"/>
    <cellStyle name="Normal 76 2" xfId="23429" xr:uid="{59A3B31D-B712-4ACB-9553-290528B2E70E}"/>
    <cellStyle name="Normal 77" xfId="19839" xr:uid="{5A477879-F8A3-4EC0-B74C-88730B39A430}"/>
    <cellStyle name="Normal 77 2" xfId="23443" xr:uid="{206D426D-9E35-42A7-9EC7-495289B600F7}"/>
    <cellStyle name="Normal 78" xfId="19820" xr:uid="{AAAEB35B-CB0E-4F26-A4E0-3806DCF3C3AF}"/>
    <cellStyle name="Normal 78 2" xfId="23432" xr:uid="{5EA62C43-2302-4C44-A989-21A53FE03850}"/>
    <cellStyle name="Normal 79" xfId="19822" xr:uid="{4AB4FB0A-6835-4416-9C3D-01365221D899}"/>
    <cellStyle name="Normal 79 2" xfId="23433" xr:uid="{11B01C33-F213-44E5-9F0A-732F98C0C90E}"/>
    <cellStyle name="Normal 8" xfId="3100" xr:uid="{8E83B2C7-ED79-455F-8091-CFED56EE7D47}"/>
    <cellStyle name="Normal 8 10" xfId="3101" xr:uid="{AD8E10E4-28AB-463D-A24F-84D899586BAF}"/>
    <cellStyle name="Normal 8 10 2" xfId="11095" xr:uid="{7E2F6A64-4F90-4C05-8CD8-79DF58A865E1}"/>
    <cellStyle name="Normal 8 10 2 2" xfId="11217" xr:uid="{97EEC905-D419-425D-8C30-456D0BA93B0D}"/>
    <cellStyle name="Normal 8 10 2 2 2" xfId="13782" xr:uid="{113DFC37-7828-4509-A861-2934CD56F313}"/>
    <cellStyle name="Normal 8 10 2 2 2 2" xfId="22120" xr:uid="{7F1C6857-0268-412A-9A5A-8AC88EE84068}"/>
    <cellStyle name="Normal 8 10 2 2 3" xfId="18503" xr:uid="{A3384CE3-1FA0-491B-975D-CB29ED1E1F22}"/>
    <cellStyle name="Normal 8 10 2 3" xfId="13701" xr:uid="{9FCB90CE-7348-4FB5-90FC-58050A3B1949}"/>
    <cellStyle name="Normal 8 10 2 3 2" xfId="20602" xr:uid="{60A5B9E6-2A4D-4A58-AB72-7C62CE48F3B3}"/>
    <cellStyle name="Normal 8 10 2 4" xfId="16330" xr:uid="{66B48212-3475-4647-95FC-A4161DF6A557}"/>
    <cellStyle name="Normal 8 10 3" xfId="18502" xr:uid="{ECF821D8-7B3B-476F-8DBA-7728CB3B668E}"/>
    <cellStyle name="Normal 8 10 3 2" xfId="22119" xr:uid="{4B2774D6-851B-4713-ABB7-53EC4CC7D97C}"/>
    <cellStyle name="Normal 8 10 4" xfId="32763" xr:uid="{7ABCD839-4F19-42AE-8C9C-6F3EEE74B1C1}"/>
    <cellStyle name="Normal 8 10 5" xfId="32764" xr:uid="{3B2F690A-6E6B-45B2-8A5F-BC6BB073F7A5}"/>
    <cellStyle name="Normal 8 10 6" xfId="32765" xr:uid="{DD8CAA86-91AD-4DD1-A060-EBCDDBDD67B6}"/>
    <cellStyle name="Normal 8 10 7" xfId="32766" xr:uid="{E68D7CD9-6E79-49D3-888F-C42C841B4594}"/>
    <cellStyle name="Normal 8 11" xfId="3102" xr:uid="{B0071EA8-2622-458D-B508-9670F136F139}"/>
    <cellStyle name="Normal 8 11 10" xfId="14010" xr:uid="{D405D633-33E3-407D-A4BA-9DC73533CD00}"/>
    <cellStyle name="Normal 8 11 2" xfId="5083" xr:uid="{30077973-389C-45C6-B920-973CF289B8DA}"/>
    <cellStyle name="Normal 8 11 2 2" xfId="5787" xr:uid="{30DED5CD-2B92-4F53-83ED-99817B74FDE6}"/>
    <cellStyle name="Normal 8 11 2 2 2" xfId="10381" xr:uid="{3BC52043-5538-4E01-A559-1AADF5E2F18C}"/>
    <cellStyle name="Normal 8 11 2 2 2 2" xfId="13687" xr:uid="{A83B6280-AAEE-4766-A20B-63B958FF473B}"/>
    <cellStyle name="Normal 8 11 2 2 2 3" xfId="48337" xr:uid="{B6D03DDB-7306-4182-B43C-A5152D79A448}"/>
    <cellStyle name="Normal 8 11 2 2 3" xfId="7889" xr:uid="{C258BCDC-3BDE-48DC-9471-346065A92FA3}"/>
    <cellStyle name="Normal 8 11 2 2 3 2" xfId="22121" xr:uid="{829ADB49-E961-4310-B3B1-5A5E85B7618E}"/>
    <cellStyle name="Normal 8 11 2 2 4" xfId="12402" xr:uid="{8CC416E1-A566-4C0F-90B3-87A1B8691BB9}"/>
    <cellStyle name="Normal 8 11 2 2 5" xfId="14816" xr:uid="{3FA961D2-3A46-487E-B480-1DBF1E282423}"/>
    <cellStyle name="Normal 8 11 2 3" xfId="11261" xr:uid="{B3542331-5BB1-4F21-BD16-37071EC951B7}"/>
    <cellStyle name="Normal 8 11 2 3 2" xfId="13820" xr:uid="{41F46F76-4C27-4408-B300-AB095AB87B2B}"/>
    <cellStyle name="Normal 8 11 2 3 2 2" xfId="48717" xr:uid="{549A8E77-5A85-485F-BF4D-F04AADB2D1E8}"/>
    <cellStyle name="Normal 8 11 2 3 3" xfId="47151" xr:uid="{C6529091-8D2C-4C43-BC11-F11BF7D74A48}"/>
    <cellStyle name="Normal 8 11 2 3 4" xfId="15131" xr:uid="{A228EA35-2741-4DF1-A961-AE84B96D1E61}"/>
    <cellStyle name="Normal 8 11 2 4" xfId="9887" xr:uid="{986A91A3-6C16-47FA-97D3-43E69A939350}"/>
    <cellStyle name="Normal 8 11 2 4 2" xfId="13193" xr:uid="{5810BC00-B524-4E50-AF76-E189FDAB8078}"/>
    <cellStyle name="Normal 8 11 2 4 2 2" xfId="49196" xr:uid="{D0EBB12F-F300-418E-B70A-47256AB438C4}"/>
    <cellStyle name="Normal 8 11 2 4 3" xfId="47611" xr:uid="{F724A57A-31FD-4E91-80F2-B99BBFF58C19}"/>
    <cellStyle name="Normal 8 11 2 5" xfId="7385" xr:uid="{6D59114D-DE5F-4BC8-921D-09C3B33129EB}"/>
    <cellStyle name="Normal 8 11 2 5 2" xfId="47865" xr:uid="{386C9EA7-2AAE-4F2D-81C4-3827F9B079B1}"/>
    <cellStyle name="Normal 8 11 2 6" xfId="11908" xr:uid="{25302D59-070B-4ED3-9D92-063A03F64787}"/>
    <cellStyle name="Normal 8 11 2 6 2" xfId="18504" xr:uid="{3A5CD336-E15C-4912-8DB4-8073EF2C9B7B}"/>
    <cellStyle name="Normal 8 11 2 7" xfId="14324" xr:uid="{CB934C30-1DC7-424C-91C8-2A7468AF32BD}"/>
    <cellStyle name="Normal 8 11 3" xfId="5611" xr:uid="{9EC451F5-486B-4001-A7FF-8CF2D1C200E3}"/>
    <cellStyle name="Normal 8 11 3 2" xfId="7713" xr:uid="{212F064E-1269-4EE5-85CD-A0B70F4DF7D9}"/>
    <cellStyle name="Normal 8 11 3 2 2" xfId="10205" xr:uid="{F02837E7-F6FF-454F-AB18-8A8527D3E52B}"/>
    <cellStyle name="Normal 8 11 3 2 2 2" xfId="13511" xr:uid="{D27AE733-2F3A-43A4-8DFB-9C2A870F13C6}"/>
    <cellStyle name="Normal 8 11 3 2 2 3" xfId="49024" xr:uid="{F36EE344-2E22-444D-9439-2A7F6F09F779}"/>
    <cellStyle name="Normal 8 11 3 2 3" xfId="12226" xr:uid="{C9FF76D5-2672-4021-92B9-494DE9C0F6C2}"/>
    <cellStyle name="Normal 8 11 3 2 3 2" xfId="47444" xr:uid="{A280D532-CC89-4669-956A-4F4913B71ACC}"/>
    <cellStyle name="Normal 8 11 3 2 4" xfId="14640" xr:uid="{FB13575E-9333-4CC3-8666-6EC21DD2E891}"/>
    <cellStyle name="Normal 8 11 3 3" xfId="9711" xr:uid="{20B2FD83-3DA5-4338-B09A-C27D1675F4F3}"/>
    <cellStyle name="Normal 8 11 3 3 2" xfId="13017" xr:uid="{E648AE77-FE54-4E08-8147-B926AB6F83E3}"/>
    <cellStyle name="Normal 8 11 3 3 3" xfId="48169" xr:uid="{300DD98F-520C-4B69-A6E1-F6A21A0EF9C2}"/>
    <cellStyle name="Normal 8 11 3 4" xfId="7207" xr:uid="{F0CB8D51-412E-4044-8ABC-CAAF2FF8E570}"/>
    <cellStyle name="Normal 8 11 3 4 2" xfId="20804" xr:uid="{E31571E9-C151-4FBD-8180-83098CF1B23A}"/>
    <cellStyle name="Normal 8 11 3 5" xfId="11732" xr:uid="{135D4C14-6C7A-4A2F-86A7-3FB36B95DCA8}"/>
    <cellStyle name="Normal 8 11 3 6" xfId="14148" xr:uid="{ECDF99BC-8BF9-478D-A2D0-AFEA4531B167}"/>
    <cellStyle name="Normal 8 11 4" xfId="6889" xr:uid="{098E9B1C-FCB5-46C1-A7FF-514C212B3E1E}"/>
    <cellStyle name="Normal 8 11 4 2" xfId="9573" xr:uid="{59C3240C-E496-4F2A-A608-17FB181CCB51}"/>
    <cellStyle name="Normal 8 11 4 2 2" xfId="12879" xr:uid="{02C0288E-7F16-4AE4-869D-FC050E4829E7}"/>
    <cellStyle name="Normal 8 11 4 2 3" xfId="48034" xr:uid="{EB75CEBC-5076-4F8A-B4A8-D66E2F70BE4A}"/>
    <cellStyle name="Normal 8 11 4 3" xfId="11594" xr:uid="{B7BA21D2-06E4-4F1F-8947-B20FB8147D5D}"/>
    <cellStyle name="Normal 8 11 4 3 2" xfId="46352" xr:uid="{0D5D499D-B6A9-4BC7-8AB5-0B4831D73ED6}"/>
    <cellStyle name="Normal 8 11 4 4" xfId="14502" xr:uid="{86DF5D07-01D3-4D4B-9A8D-6C8837C54BC0}"/>
    <cellStyle name="Normal 8 11 5" xfId="7575" xr:uid="{4A54FF15-73F1-486D-AEC1-896B55BEA342}"/>
    <cellStyle name="Normal 8 11 5 2" xfId="10067" xr:uid="{CBE4A83F-D177-477E-8D98-F461CA777795}"/>
    <cellStyle name="Normal 8 11 5 2 2" xfId="13373" xr:uid="{248F1187-1BB4-4B79-BD26-2D2118B7350D}"/>
    <cellStyle name="Normal 8 11 5 2 3" xfId="48580" xr:uid="{75D90226-4EB2-4356-B9D1-B4CCCA899D15}"/>
    <cellStyle name="Normal 8 11 5 3" xfId="12088" xr:uid="{502E5C13-07CF-4785-9D48-EFB396A78998}"/>
    <cellStyle name="Normal 8 11 5 3 2" xfId="47016" xr:uid="{763EC167-AA04-49D2-A488-F1A743E9BF33}"/>
    <cellStyle name="Normal 8 11 5 4" xfId="14955" xr:uid="{1A157719-0B67-4B66-B177-FE10E1B6C5FA}"/>
    <cellStyle name="Normal 8 11 6" xfId="8975" xr:uid="{33E36D52-B886-4275-B737-2F90D943A48B}"/>
    <cellStyle name="Normal 8 11 6 2" xfId="12697" xr:uid="{5CFD027F-78D5-4C02-A114-62466DA5B54A}"/>
    <cellStyle name="Normal 8 11 6 2 2" xfId="48887" xr:uid="{46FFBEF1-525A-47BA-B9C6-EBF07BCB61C9}"/>
    <cellStyle name="Normal 8 11 6 3" xfId="47313" xr:uid="{10481B76-1078-4E73-954C-AADF68A17868}"/>
    <cellStyle name="Normal 8 11 7" xfId="8028" xr:uid="{AAA561EE-C903-45FD-B848-7E61D2198A96}"/>
    <cellStyle name="Normal 8 11 7 2" xfId="12541" xr:uid="{D441BB24-DAE6-4BD3-9846-F683A648C5AA}"/>
    <cellStyle name="Normal 8 11 7 3" xfId="47730" xr:uid="{9F7CC850-365E-474D-B1C5-E7A42EF4497D}"/>
    <cellStyle name="Normal 8 11 8" xfId="5925" xr:uid="{20C219DE-6E00-4AF1-9906-490E811C029E}"/>
    <cellStyle name="Normal 8 11 8 2" xfId="16798" xr:uid="{54484E8A-3413-4D51-A9A7-FF438D6D7DE4}"/>
    <cellStyle name="Normal 8 11 9" xfId="11413" xr:uid="{4E312DAF-9631-41DB-A923-FCADC7BDBB29}"/>
    <cellStyle name="Normal 8 12" xfId="5082" xr:uid="{9D33B1F0-17B5-4837-98FA-15794D6CE510}"/>
    <cellStyle name="Normal 8 12 2" xfId="5786" xr:uid="{5C7E7CB9-2011-44E6-8037-65632026C315}"/>
    <cellStyle name="Normal 8 12 2 2" xfId="7888" xr:uid="{5D2ACC52-7C1F-413F-B022-9819E5BF3E87}"/>
    <cellStyle name="Normal 8 12 2 2 2" xfId="10380" xr:uid="{94A569AC-94CE-4F1A-87A0-8FC7C2DBD4DA}"/>
    <cellStyle name="Normal 8 12 2 2 2 2" xfId="13686" xr:uid="{F832F2A9-3390-4C3A-BA56-59E219FC25DD}"/>
    <cellStyle name="Normal 8 12 2 2 2 3" xfId="49195" xr:uid="{F8B2F3BD-ABAD-476E-BFD7-B3B3F81205AD}"/>
    <cellStyle name="Normal 8 12 2 2 3" xfId="12401" xr:uid="{529F489E-3CE4-4FA7-BB3D-CCD9D2A2DD3A}"/>
    <cellStyle name="Normal 8 12 2 2 3 2" xfId="47610" xr:uid="{FFE96B12-4DEB-4509-8F77-D0AD0A4498AE}"/>
    <cellStyle name="Normal 8 12 2 2 4" xfId="14815" xr:uid="{B5720BBB-A993-48EE-B3E2-25197AB9EC55}"/>
    <cellStyle name="Normal 8 12 2 3" xfId="9886" xr:uid="{9AD8E3AF-58D9-49CB-9B62-7E2CF81ADC87}"/>
    <cellStyle name="Normal 8 12 2 3 2" xfId="13192" xr:uid="{5AE5D0DC-EA62-41DC-9551-1B9450360F16}"/>
    <cellStyle name="Normal 8 12 2 3 3" xfId="48336" xr:uid="{8BA735B9-4335-46BE-B0B3-2D33F2DA9E12}"/>
    <cellStyle name="Normal 8 12 2 4" xfId="7384" xr:uid="{F3F43BB7-2454-4968-A269-F7E6D1F2E84F}"/>
    <cellStyle name="Normal 8 12 2 4 2" xfId="22122" xr:uid="{B634CE49-FA19-4A03-B14A-B2D213661B7A}"/>
    <cellStyle name="Normal 8 12 2 5" xfId="11907" xr:uid="{DF7B83BC-196F-4363-9FFA-19D568AD1272}"/>
    <cellStyle name="Normal 8 12 2 6" xfId="14323" xr:uid="{0B369772-777A-4837-88EF-70CA99C24637}"/>
    <cellStyle name="Normal 8 12 3" xfId="7574" xr:uid="{6A5C1046-A656-4450-8D49-3035816D529B}"/>
    <cellStyle name="Normal 8 12 3 2" xfId="10066" xr:uid="{72EC0A40-B63C-4829-B9B0-0AEAC8F3A1A5}"/>
    <cellStyle name="Normal 8 12 3 2 2" xfId="13372" xr:uid="{4CC47565-7AEC-4F1E-A2BE-02BDE1072D3D}"/>
    <cellStyle name="Normal 8 12 3 2 3" xfId="48033" xr:uid="{E8DC1D84-232C-4962-8805-61F0B0F1708E}"/>
    <cellStyle name="Normal 8 12 3 3" xfId="12087" xr:uid="{17D3DF12-416A-4AC1-AAFB-24738BA42D3E}"/>
    <cellStyle name="Normal 8 12 3 3 2" xfId="46351" xr:uid="{31AF3715-B23C-406D-93C0-38F98742319F}"/>
    <cellStyle name="Normal 8 12 3 4" xfId="14501" xr:uid="{B3E9AF73-CFB6-44A5-BBE2-4CF3255B9221}"/>
    <cellStyle name="Normal 8 12 4" xfId="11189" xr:uid="{13F3EC76-F186-48D0-888D-A8870E398D11}"/>
    <cellStyle name="Normal 8 12 4 2" xfId="13777" xr:uid="{6DBBF56B-4772-4F55-98C7-FFB63606CC8F}"/>
    <cellStyle name="Normal 8 12 4 2 2" xfId="48579" xr:uid="{F79CE023-687A-4C24-B6CB-0E73CA090722}"/>
    <cellStyle name="Normal 8 12 4 3" xfId="47015" xr:uid="{F4A72847-2F24-45A5-8E59-3D36EC59DCAA}"/>
    <cellStyle name="Normal 8 12 4 4" xfId="15130" xr:uid="{C2250653-AA9B-4164-82EF-106ECB733EDD}"/>
    <cellStyle name="Normal 8 12 5" xfId="11229" xr:uid="{E43686F5-5792-461B-8F54-18CA25959E32}"/>
    <cellStyle name="Normal 8 12 5 2" xfId="48886" xr:uid="{40BB4E52-FFD8-48C5-A226-87E4DEE5F6F6}"/>
    <cellStyle name="Normal 8 12 5 3" xfId="47312" xr:uid="{401424FE-011B-46DE-89EC-DA07525FB891}"/>
    <cellStyle name="Normal 8 12 6" xfId="9572" xr:uid="{83C47784-38D9-4EC9-AF18-BEFACE3EB749}"/>
    <cellStyle name="Normal 8 12 6 2" xfId="12878" xr:uid="{BF0346B3-56F4-4C69-B200-FBB2A054C17F}"/>
    <cellStyle name="Normal 8 12 6 3" xfId="47813" xr:uid="{9ED4171E-D6F4-44F7-9BA1-F47FB3722E54}"/>
    <cellStyle name="Normal 8 12 7" xfId="6888" xr:uid="{17925DB0-EFBF-4090-92BD-F5368DABE644}"/>
    <cellStyle name="Normal 8 12 7 2" xfId="18505" xr:uid="{F23C23CA-7CDE-4BC5-B086-CC6570184B78}"/>
    <cellStyle name="Normal 8 12 8" xfId="11593" xr:uid="{1560B16E-73D2-472D-AAEB-A079494A749C}"/>
    <cellStyle name="Normal 8 12 9" xfId="14009" xr:uid="{35FF437E-0FDF-4B9D-BD49-44C424CD3350}"/>
    <cellStyle name="Normal 8 13" xfId="4180" xr:uid="{3A824408-303A-4330-899E-287C5160CA1B}"/>
    <cellStyle name="Normal 8 13 2" xfId="5654" xr:uid="{F37CEB02-58F4-4FDA-A124-AD44D7343B38}"/>
    <cellStyle name="Normal 8 13 2 2" xfId="10248" xr:uid="{68C2CE6B-2466-4B51-9BA7-C12B071749D3}"/>
    <cellStyle name="Normal 8 13 2 2 2" xfId="13554" xr:uid="{99BCF38A-A54E-4EC7-A0F4-FF027F7FC1A9}"/>
    <cellStyle name="Normal 8 13 2 2 3" xfId="48661" xr:uid="{5E3097EC-9122-4D63-8648-67B61D2C7318}"/>
    <cellStyle name="Normal 8 13 2 3" xfId="7756" xr:uid="{AB130E57-A047-4FAA-832E-7F803616BA31}"/>
    <cellStyle name="Normal 8 13 2 3 2" xfId="22118" xr:uid="{5C677AC1-C9C4-4FF3-839A-D67413B675D6}"/>
    <cellStyle name="Normal 8 13 2 4" xfId="12269" xr:uid="{C6B1139D-ADDF-4CD4-8869-409977B461C1}"/>
    <cellStyle name="Normal 8 13 2 5" xfId="14683" xr:uid="{8DD248A7-DDAC-4E66-8661-F897DA07FB45}"/>
    <cellStyle name="Normal 8 13 3" xfId="9754" xr:uid="{CDA1D3B1-E6BA-4DB2-861A-D02C9E1A3C6E}"/>
    <cellStyle name="Normal 8 13 3 2" xfId="13060" xr:uid="{E161CE9A-AE82-46E1-8E2E-169784615DC0}"/>
    <cellStyle name="Normal 8 13 3 2 2" xfId="49064" xr:uid="{AF2F5A00-FA16-4E23-9639-433385D9E493}"/>
    <cellStyle name="Normal 8 13 3 3" xfId="47481" xr:uid="{824000D9-1626-4911-A194-65B05DB35701}"/>
    <cellStyle name="Normal 8 13 3 4" xfId="14998" xr:uid="{D67381FE-C559-412C-AD66-DCF7D76D709E}"/>
    <cellStyle name="Normal 8 13 4" xfId="7250" xr:uid="{6DACD22D-5B26-468E-88C7-40FF0A4AF873}"/>
    <cellStyle name="Normal 8 13 4 2" xfId="48208" xr:uid="{144A8C0B-BD52-4455-92C9-5290F98B8C7E}"/>
    <cellStyle name="Normal 8 13 5" xfId="11775" xr:uid="{A2123D2F-524D-4787-A833-33965C304B81}"/>
    <cellStyle name="Normal 8 13 5 2" xfId="18501" xr:uid="{6813C64D-BC72-4AA1-8DD4-3BA1E8D234FB}"/>
    <cellStyle name="Normal 8 13 6" xfId="14191" xr:uid="{864F27CA-9E82-4300-9756-C4DF1F78C5BF}"/>
    <cellStyle name="Normal 8 14" xfId="5610" xr:uid="{49C6F68C-4123-4592-8249-A79F3DE28934}"/>
    <cellStyle name="Normal 8 14 2" xfId="7712" xr:uid="{11D946E0-05A3-42DA-BD9D-4AB4AAB6172E}"/>
    <cellStyle name="Normal 8 14 2 2" xfId="10204" xr:uid="{C2270726-E0F9-4EB4-9621-F68D6C10C7FA}"/>
    <cellStyle name="Normal 8 14 2 2 2" xfId="13510" xr:uid="{3AE4C6BB-4C74-4BB3-A032-3DB412C2A247}"/>
    <cellStyle name="Normal 8 14 2 2 3" xfId="49023" xr:uid="{9C9AC6D2-4A9C-4918-95AF-5C8F1674B9EA}"/>
    <cellStyle name="Normal 8 14 2 3" xfId="12225" xr:uid="{3F04B739-DC73-4AF1-9FD6-65273BDB0C0B}"/>
    <cellStyle name="Normal 8 14 2 3 2" xfId="23407" xr:uid="{F308D830-7976-40FF-81BD-210CB5861809}"/>
    <cellStyle name="Normal 8 14 2 4" xfId="14639" xr:uid="{3345F72E-B9F8-4608-AA1F-8224BB6C3213}"/>
    <cellStyle name="Normal 8 14 3" xfId="9710" xr:uid="{F2F9D0E1-19CD-4222-8FC4-59944194D6D2}"/>
    <cellStyle name="Normal 8 14 3 2" xfId="13016" xr:uid="{399DF347-66EA-4D2D-89CA-C02E661DA1B2}"/>
    <cellStyle name="Normal 8 14 3 3" xfId="48168" xr:uid="{44B800D7-5906-4EC0-97CE-95EB4B88B9F0}"/>
    <cellStyle name="Normal 8 14 4" xfId="7206" xr:uid="{0C20E186-8199-418B-B6EA-DBD1E698CE01}"/>
    <cellStyle name="Normal 8 14 4 2" xfId="19787" xr:uid="{5A2FB809-BE3E-4D08-A13E-4A003934F3EF}"/>
    <cellStyle name="Normal 8 14 5" xfId="11731" xr:uid="{1351F221-BCEF-47CB-BEE9-3AAAD3F8C209}"/>
    <cellStyle name="Normal 8 14 6" xfId="14147" xr:uid="{CE01D985-5FD7-4092-A45E-C3D47B1A8264}"/>
    <cellStyle name="Normal 8 15" xfId="6247" xr:uid="{1FE4D0B8-C6E4-462F-A0D7-618190BA3ED1}"/>
    <cellStyle name="Normal 8 15 2" xfId="9437" xr:uid="{37CC5E9E-FD39-4B6D-97AC-305BF613EFCA}"/>
    <cellStyle name="Normal 8 15 2 2" xfId="12743" xr:uid="{DD863561-8540-43FA-B418-726817914940}"/>
    <cellStyle name="Normal 8 15 2 3" xfId="47902" xr:uid="{6E307BBB-570C-4F9B-AA16-ADC6293F8591}"/>
    <cellStyle name="Normal 8 15 3" xfId="11458" xr:uid="{9A2EAFD3-CC1D-487F-8574-B44BC9D7CB32}"/>
    <cellStyle name="Normal 8 15 3 2" xfId="32767" xr:uid="{A027C69F-648F-4C6C-9400-4828D2C64F8D}"/>
    <cellStyle name="Normal 8 15 4" xfId="14369" xr:uid="{D1F939A5-2761-4EE0-95BA-6A79D6201DCE}"/>
    <cellStyle name="Normal 8 16" xfId="7442" xr:uid="{E359669D-5068-44CF-9EA4-7A8B91F64F44}"/>
    <cellStyle name="Normal 8 16 2" xfId="9934" xr:uid="{338715F9-9EA6-47FD-8E69-ABD9B6715542}"/>
    <cellStyle name="Normal 8 16 2 2" xfId="13240" xr:uid="{9CDF8CAC-27D3-4F3A-BCC6-8DF2B4FBC8B3}"/>
    <cellStyle name="Normal 8 16 2 3" xfId="48447" xr:uid="{B58DA45C-E809-47E6-AA68-16BCC9414AF8}"/>
    <cellStyle name="Normal 8 16 3" xfId="11955" xr:uid="{8A37A652-8721-44DD-A6CE-8D1D0C0369F6}"/>
    <cellStyle name="Normal 8 16 3 2" xfId="32768" xr:uid="{674472B1-D6BE-4836-B755-F70D5629AFD7}"/>
    <cellStyle name="Normal 8 16 4" xfId="14954" xr:uid="{98AD3FB5-AB01-49B4-B176-A79A17035DF5}"/>
    <cellStyle name="Normal 8 17" xfId="8974" xr:uid="{51FF927C-9AFD-4FB5-8F2D-F6895271ABF1}"/>
    <cellStyle name="Normal 8 17 2" xfId="12696" xr:uid="{B626BBF2-4479-4BC7-89A2-D855562AA745}"/>
    <cellStyle name="Normal 8 17 2 2" xfId="48754" xr:uid="{D54F2229-F62A-4FDB-A1DC-24933C7C0CF5}"/>
    <cellStyle name="Normal 8 17 3" xfId="32769" xr:uid="{55BAFECD-4104-4701-ABC7-057C8FAF84EE}"/>
    <cellStyle name="Normal 8 18" xfId="8027" xr:uid="{87C1182F-82B1-4930-93D1-7EC58CBCB900}"/>
    <cellStyle name="Normal 8 18 2" xfId="12540" xr:uid="{8482EC52-8612-4DF1-8045-228C4AC6DEA9}"/>
    <cellStyle name="Normal 8 18 3" xfId="32770" xr:uid="{24035AD5-FE60-4CD5-936A-1E5B960859E1}"/>
    <cellStyle name="Normal 8 19" xfId="5924" xr:uid="{6C7C0886-1B9E-4B5F-B5F9-D9B9353410B2}"/>
    <cellStyle name="Normal 8 2" xfId="3103" xr:uid="{383033EE-2FBB-4468-B7BA-B2DB1A94A827}"/>
    <cellStyle name="Normal 8 2 2" xfId="3104" xr:uid="{55AD527A-F81E-4213-99FF-DF8A748B78C0}"/>
    <cellStyle name="Normal 8 2 2 2" xfId="5085" xr:uid="{D5A22CB5-D0F8-4F71-B569-E4437C3E68D9}"/>
    <cellStyle name="Normal 8 2 2 2 2" xfId="18508" xr:uid="{DE530B56-B9C1-47E7-A72B-1BDEAC9BB7E9}"/>
    <cellStyle name="Normal 8 2 2 2 2 2" xfId="22125" xr:uid="{056B7014-4531-44A0-93DA-68457E5144A7}"/>
    <cellStyle name="Normal 8 2 2 2 3" xfId="32771" xr:uid="{F810AD59-7D01-4B25-8427-F2FFED5589F9}"/>
    <cellStyle name="Normal 8 2 2 2 4" xfId="32772" xr:uid="{B6C2C328-C2D4-4409-BDDB-2F472CEE43DD}"/>
    <cellStyle name="Normal 8 2 2 2 5" xfId="32773" xr:uid="{4DDB0238-0AC5-4F49-A9F5-6BAECD577BAA}"/>
    <cellStyle name="Normal 8 2 2 2 6" xfId="32774" xr:uid="{9488752D-B7D6-4C52-8964-AF3A6A115C5F}"/>
    <cellStyle name="Normal 8 2 2 3" xfId="6890" xr:uid="{44883D29-E643-4A01-9E81-DE6C788776A0}"/>
    <cellStyle name="Normal 8 2 2 3 2" xfId="22124" xr:uid="{D172691F-4499-4919-8363-42EEC946EDC7}"/>
    <cellStyle name="Normal 8 2 2 3 3" xfId="46353" xr:uid="{3F73B7BF-1FB1-40A5-BC63-BC5A18BF6AF8}"/>
    <cellStyle name="Normal 8 2 2 3 4" xfId="18507" xr:uid="{4D669DB5-89B2-4E3B-8676-0ED5472E1CE5}"/>
    <cellStyle name="Normal 8 2 2 4" xfId="8977" xr:uid="{BF0C7245-F272-4C59-94FB-68436984C3AF}"/>
    <cellStyle name="Normal 8 2 2 4 2" xfId="32775" xr:uid="{DB68A55A-88F8-4198-8731-90C75410D029}"/>
    <cellStyle name="Normal 8 2 2 5" xfId="32776" xr:uid="{9FCEA454-6661-415F-A371-BA0CE2F85A80}"/>
    <cellStyle name="Normal 8 2 2 6" xfId="32777" xr:uid="{E1D8369F-1EC3-4099-A763-9A4CD8E701AD}"/>
    <cellStyle name="Normal 8 2 2 7" xfId="32778" xr:uid="{1C243895-3478-4768-8172-E78D223A3FB6}"/>
    <cellStyle name="Normal 8 2 3" xfId="5084" xr:uid="{1981696B-A8E3-4B84-92F2-2D6369E7CE6F}"/>
    <cellStyle name="Normal 8 2 3 2" xfId="18509" xr:uid="{EB6F205C-700D-47A4-B3E3-A4DD1E66063A}"/>
    <cellStyle name="Normal 8 2 3 2 2" xfId="22126" xr:uid="{137C7A9E-5981-4AC9-9927-3B51927642E2}"/>
    <cellStyle name="Normal 8 2 3 3" xfId="32779" xr:uid="{5757EFE3-B2E4-4D1A-9481-9CB6FAB383E2}"/>
    <cellStyle name="Normal 8 2 3 4" xfId="32780" xr:uid="{CC86F929-28C0-4174-A1A7-DC9D32287139}"/>
    <cellStyle name="Normal 8 2 3 5" xfId="32781" xr:uid="{CE48E31C-2CE6-4807-A99F-07E36BB1AFF9}"/>
    <cellStyle name="Normal 8 2 3 6" xfId="32782" xr:uid="{B08BE739-0C82-448A-9527-25F9D14F67DD}"/>
    <cellStyle name="Normal 8 2 4" xfId="4181" xr:uid="{59A87C8A-DEB3-4F65-8526-F9A30203B2B9}"/>
    <cellStyle name="Normal 8 2 4 2" xfId="22123" xr:uid="{E24A0548-1EB6-4208-B931-7126F8AE12EA}"/>
    <cellStyle name="Normal 8 2 4 3" xfId="43998" xr:uid="{62818FD0-1EDB-46CA-BDE2-C97F83DAD9B3}"/>
    <cellStyle name="Normal 8 2 4 4" xfId="18506" xr:uid="{61E99B5B-E22B-4906-8F18-F8885B3D7139}"/>
    <cellStyle name="Normal 8 2 5" xfId="6248" xr:uid="{3DC8CFC1-9FE6-469F-AFDA-F5A31B879942}"/>
    <cellStyle name="Normal 8 2 5 2" xfId="45908" xr:uid="{63DF6A76-B35A-4D23-9274-BB9EFFD498C9}"/>
    <cellStyle name="Normal 8 2 5 3" xfId="32783" xr:uid="{DA1844B4-1E04-41B0-AF2E-F037F304D6E8}"/>
    <cellStyle name="Normal 8 2 6" xfId="8976" xr:uid="{B7AA377F-9FF4-48D5-B5B1-C6C5FC98170E}"/>
    <cellStyle name="Normal 8 2 6 2" xfId="32784" xr:uid="{D73687AD-A03C-480C-A7DD-43244C6DB916}"/>
    <cellStyle name="Normal 8 2 7" xfId="32785" xr:uid="{849FB1FB-90E3-4E89-862E-0FB8BF88585E}"/>
    <cellStyle name="Normal 8 2 8" xfId="32786" xr:uid="{7F520F2F-7C70-4774-8CFB-8F92A9F6DBEF}"/>
    <cellStyle name="Normal 8 2 9" xfId="32787" xr:uid="{DAADBB94-787D-4912-AEDA-C07DA92D8957}"/>
    <cellStyle name="Normal 8 2_ELC" xfId="3105" xr:uid="{402E2CB1-5F3E-4924-8A97-E475028D1D76}"/>
    <cellStyle name="Normal 8 20" xfId="11412" xr:uid="{5077306F-B35A-4D0F-8EE5-1F1CF67AD80C}"/>
    <cellStyle name="Normal 8 21" xfId="13877" xr:uid="{5EC21019-A0CD-47FA-9026-98282085A509}"/>
    <cellStyle name="Normal 8 3" xfId="3106" xr:uid="{77497A56-49A2-4382-B47B-B7B42FC30A9B}"/>
    <cellStyle name="Normal 8 3 10" xfId="8029" xr:uid="{5695E0D1-B30E-4D50-8500-04C42EF0B4F3}"/>
    <cellStyle name="Normal 8 3 10 2" xfId="12542" xr:uid="{1FD19FB9-E88D-4BFC-A65A-BC6F088F6B0F}"/>
    <cellStyle name="Normal 8 3 10 3" xfId="47649" xr:uid="{9642D78A-72DA-452D-8B1F-F050D9CDAE2C}"/>
    <cellStyle name="Normal 8 3 11" xfId="5926" xr:uid="{A1EFCC96-026B-42CC-ABE6-9FFF6ECA269F}"/>
    <cellStyle name="Normal 8 3 12" xfId="11414" xr:uid="{3DF8FE76-BEC2-4652-92D6-48FC36B03DF6}"/>
    <cellStyle name="Normal 8 3 13" xfId="13878" xr:uid="{910C3E14-4207-4A97-A7D8-6C3E5826B450}"/>
    <cellStyle name="Normal 8 3 2" xfId="3107" xr:uid="{C3278502-FE7E-4063-9037-78C699E05003}"/>
    <cellStyle name="Normal 8 3 2 2" xfId="5087" xr:uid="{FF83D5B6-E698-43CF-987E-54F793A1FF69}"/>
    <cellStyle name="Normal 8 3 2 2 2" xfId="18512" xr:uid="{35A49557-A2D2-4FF5-B87D-CED3B9452370}"/>
    <cellStyle name="Normal 8 3 2 2 2 2" xfId="22129" xr:uid="{18AEB278-0B51-41FA-85AA-6CA9CDC6B909}"/>
    <cellStyle name="Normal 8 3 2 2 3" xfId="32788" xr:uid="{4A135CD3-164C-4395-97C9-7239500E2913}"/>
    <cellStyle name="Normal 8 3 2 2 4" xfId="32789" xr:uid="{E1D25993-6D7A-4224-A360-948406E5914E}"/>
    <cellStyle name="Normal 8 3 2 2 5" xfId="32790" xr:uid="{B823747D-59F6-424F-BD6E-D896A04B37B8}"/>
    <cellStyle name="Normal 8 3 2 2 6" xfId="32791" xr:uid="{86C2084C-9154-4ADE-9279-D12669FF83CE}"/>
    <cellStyle name="Normal 8 3 2 3" xfId="6892" xr:uid="{45EF077A-7001-4D25-BA31-20172A9C2FD9}"/>
    <cellStyle name="Normal 8 3 2 3 2" xfId="18513" xr:uid="{499FDDD9-4B6A-4FB3-9323-D0D445941EBA}"/>
    <cellStyle name="Normal 8 3 2 3 2 2" xfId="22130" xr:uid="{86E64938-2AF8-4E3F-8420-D6FDA7C1DBD7}"/>
    <cellStyle name="Normal 8 3 2 3 3" xfId="20704" xr:uid="{2C0C5216-C637-464F-B73B-0BD7B665F10A}"/>
    <cellStyle name="Normal 8 3 2 3 4" xfId="46355" xr:uid="{F7C0DE13-DD80-41FA-883E-056484AB18AA}"/>
    <cellStyle name="Normal 8 3 2 3 5" xfId="16556" xr:uid="{0A4C6161-AAD1-4B98-AED5-255544522531}"/>
    <cellStyle name="Normal 8 3 2 4" xfId="8979" xr:uid="{78899ED8-9A46-4DF5-A036-2DB1D4CE34D1}"/>
    <cellStyle name="Normal 8 3 2 4 2" xfId="22128" xr:uid="{1CD9271E-C6CC-44DA-84E4-FA582601AF24}"/>
    <cellStyle name="Normal 8 3 2 4 3" xfId="18511" xr:uid="{64DE94F7-B445-4ED3-9040-2290DDE99206}"/>
    <cellStyle name="Normal 8 3 2 5" xfId="32792" xr:uid="{DEB9299C-A007-49C6-B7BE-2A477623EB8D}"/>
    <cellStyle name="Normal 8 3 2 6" xfId="32793" xr:uid="{41B9584F-4D0F-400C-A269-1F8C76F7576C}"/>
    <cellStyle name="Normal 8 3 2 7" xfId="32794" xr:uid="{435B7231-67F9-4A39-A478-C4ACB177E500}"/>
    <cellStyle name="Normal 8 3 2 8" xfId="32795" xr:uid="{BA996910-7F8B-438B-A3DD-C58C66DFFBC9}"/>
    <cellStyle name="Normal 8 3 3" xfId="3108" xr:uid="{9E6E6D16-2266-4CDA-88FA-514086CF6D40}"/>
    <cellStyle name="Normal 8 3 3 10" xfId="14012" xr:uid="{96C5F986-44B5-4078-8E1E-2008D640800D}"/>
    <cellStyle name="Normal 8 3 3 2" xfId="5088" xr:uid="{27683907-8D2D-4765-865F-5223D35899B6}"/>
    <cellStyle name="Normal 8 3 3 2 2" xfId="5789" xr:uid="{53AB5ECD-6C8F-4A84-8C12-17374AB1773E}"/>
    <cellStyle name="Normal 8 3 3 2 2 2" xfId="10383" xr:uid="{B900E5EC-FBF4-45C0-81F3-CF2113D338DF}"/>
    <cellStyle name="Normal 8 3 3 2 2 2 2" xfId="13689" xr:uid="{59A35F0E-9E31-417C-B562-BBE8C873384D}"/>
    <cellStyle name="Normal 8 3 3 2 2 2 3" xfId="48339" xr:uid="{336BD10A-C2E9-4D11-AB40-189DFF07364E}"/>
    <cellStyle name="Normal 8 3 3 2 2 3" xfId="7891" xr:uid="{B417453E-8238-488F-A898-EB1AC8B17789}"/>
    <cellStyle name="Normal 8 3 3 2 2 3 2" xfId="46786" xr:uid="{1A1F0824-4EEE-42A4-9442-BB9B102AAB3B}"/>
    <cellStyle name="Normal 8 3 3 2 2 4" xfId="12404" xr:uid="{585DEFC1-6E2D-4CB9-91CB-E8B2917E2A9E}"/>
    <cellStyle name="Normal 8 3 3 2 2 5" xfId="14818" xr:uid="{E806C33B-5B74-4E2C-B546-3080E224192B}"/>
    <cellStyle name="Normal 8 3 3 2 3" xfId="11262" xr:uid="{EEEC5BEF-F115-4A39-BCC5-6DBF10F19AAD}"/>
    <cellStyle name="Normal 8 3 3 2 3 2" xfId="13821" xr:uid="{E3DFEA7B-C763-4E61-9ABB-4C93E0F086C0}"/>
    <cellStyle name="Normal 8 3 3 2 3 2 2" xfId="48718" xr:uid="{444D37F8-2F48-4171-8E47-802A0A8AAA91}"/>
    <cellStyle name="Normal 8 3 3 2 3 3" xfId="47152" xr:uid="{4ACD1803-3FB2-46C9-9AB8-B7EC34D55081}"/>
    <cellStyle name="Normal 8 3 3 2 3 4" xfId="15133" xr:uid="{DE49B8E1-3C13-4AF0-8645-24246A8710A0}"/>
    <cellStyle name="Normal 8 3 3 2 4" xfId="9889" xr:uid="{CB0EFA63-8850-4E33-9C10-0144EFA2DB10}"/>
    <cellStyle name="Normal 8 3 3 2 4 2" xfId="13195" xr:uid="{1A6C1559-0F4B-49FE-A5D7-B0D1CD8BF803}"/>
    <cellStyle name="Normal 8 3 3 2 4 2 2" xfId="49198" xr:uid="{FDDD0BF8-BF79-46FB-8F59-721C21A6DDDE}"/>
    <cellStyle name="Normal 8 3 3 2 4 3" xfId="47613" xr:uid="{BFDCFFED-DB9E-46FF-B551-3DCE368FB2B7}"/>
    <cellStyle name="Normal 8 3 3 2 5" xfId="7387" xr:uid="{05B6D945-846C-4463-9C92-7E9F896F7CAD}"/>
    <cellStyle name="Normal 8 3 3 2 5 2" xfId="47866" xr:uid="{4167075D-FD2E-4880-91D6-8EA88C3C6A0E}"/>
    <cellStyle name="Normal 8 3 3 2 6" xfId="11910" xr:uid="{D0158A9B-24F1-4789-BA5D-CF64A2083884}"/>
    <cellStyle name="Normal 8 3 3 2 6 2" xfId="22127" xr:uid="{F9C6A320-E9C4-4609-8C0E-0C5531EF80D2}"/>
    <cellStyle name="Normal 8 3 3 2 7" xfId="14326" xr:uid="{1A63F7B7-E994-44DD-BDA6-7FB1C72FF99B}"/>
    <cellStyle name="Normal 8 3 3 3" xfId="5613" xr:uid="{8A400CCE-E77E-4F66-B501-4594F2525DE0}"/>
    <cellStyle name="Normal 8 3 3 3 2" xfId="7715" xr:uid="{9A1D7578-9275-42A1-AE2D-E075CA19DCA2}"/>
    <cellStyle name="Normal 8 3 3 3 2 2" xfId="10207" xr:uid="{5D023CB6-32CD-4A56-A955-5F290D4C2454}"/>
    <cellStyle name="Normal 8 3 3 3 2 2 2" xfId="13513" xr:uid="{45BD564F-36CF-40F4-938F-02A20DE33253}"/>
    <cellStyle name="Normal 8 3 3 3 2 2 3" xfId="49026" xr:uid="{4461ACA2-7040-4B5F-B80A-1923FE0E476F}"/>
    <cellStyle name="Normal 8 3 3 3 2 3" xfId="12228" xr:uid="{951AA285-8576-426C-8134-2A4708E723D4}"/>
    <cellStyle name="Normal 8 3 3 3 2 3 2" xfId="47446" xr:uid="{87EB7B8B-DC67-4D4A-B1B1-41129586607D}"/>
    <cellStyle name="Normal 8 3 3 3 2 4" xfId="14642" xr:uid="{04FB1712-94E3-4375-949D-19D9AF60E214}"/>
    <cellStyle name="Normal 8 3 3 3 3" xfId="9713" xr:uid="{AD57BCDB-F328-45AA-9AB7-413AFF7682A6}"/>
    <cellStyle name="Normal 8 3 3 3 3 2" xfId="13019" xr:uid="{532B789C-E833-420F-8C82-E7DCAAA0A077}"/>
    <cellStyle name="Normal 8 3 3 3 3 3" xfId="48171" xr:uid="{42B77C17-D1E0-4F1B-A136-2C18A2FCAA21}"/>
    <cellStyle name="Normal 8 3 3 3 4" xfId="7209" xr:uid="{870CE55A-5BA7-4C46-B003-C2455646D0BF}"/>
    <cellStyle name="Normal 8 3 3 3 4 2" xfId="43886" xr:uid="{62ED6CBE-E19F-4A91-9C07-F8418FCF3456}"/>
    <cellStyle name="Normal 8 3 3 3 5" xfId="11734" xr:uid="{C5CEAE1E-5D9E-45D6-A029-A7728BF343DF}"/>
    <cellStyle name="Normal 8 3 3 3 6" xfId="14150" xr:uid="{5C21EEBB-1E3B-4C60-AC68-BD7B2801388C}"/>
    <cellStyle name="Normal 8 3 3 4" xfId="6893" xr:uid="{0BD3C35D-1F3D-4DB0-B581-D1DBE50CDA0B}"/>
    <cellStyle name="Normal 8 3 3 4 2" xfId="9575" xr:uid="{60824AAC-192F-46E9-83BB-8353E9B61857}"/>
    <cellStyle name="Normal 8 3 3 4 2 2" xfId="12881" xr:uid="{56534735-0BF8-46F3-8418-E1865F0197D2}"/>
    <cellStyle name="Normal 8 3 3 4 2 3" xfId="48036" xr:uid="{7F0A9E7E-5AEC-407B-92BF-53DAC571CCE0}"/>
    <cellStyle name="Normal 8 3 3 4 3" xfId="11596" xr:uid="{6A8EC039-53BE-4D4B-92C1-799CC1703466}"/>
    <cellStyle name="Normal 8 3 3 4 3 2" xfId="46356" xr:uid="{2B0CA6F9-7F61-41F6-8604-536C539B7C9B}"/>
    <cellStyle name="Normal 8 3 3 4 4" xfId="14504" xr:uid="{F8FD0AAB-9125-436D-82A7-A369BD587765}"/>
    <cellStyle name="Normal 8 3 3 5" xfId="7577" xr:uid="{4527FEB4-7295-462B-BCF5-3B9D4F0C11C7}"/>
    <cellStyle name="Normal 8 3 3 5 2" xfId="10069" xr:uid="{8C699546-33F5-4F3C-BE7B-DAA01A65D1C5}"/>
    <cellStyle name="Normal 8 3 3 5 2 2" xfId="13375" xr:uid="{2D7ED168-A62E-4ECB-AD0E-DD39D01F8C11}"/>
    <cellStyle name="Normal 8 3 3 5 2 3" xfId="48582" xr:uid="{C414E9D0-45E8-41D3-8C42-684A115104CB}"/>
    <cellStyle name="Normal 8 3 3 5 3" xfId="12090" xr:uid="{3AA83A54-1D3E-4F72-A42B-A45004E16799}"/>
    <cellStyle name="Normal 8 3 3 5 3 2" xfId="47018" xr:uid="{9121C42C-1E3C-4902-85EE-E36849A92E73}"/>
    <cellStyle name="Normal 8 3 3 5 4" xfId="14957" xr:uid="{BC90CBD9-CF99-4FE0-AF9A-7A23BF8C7749}"/>
    <cellStyle name="Normal 8 3 3 6" xfId="8980" xr:uid="{58C9AD3B-C46F-4437-A77F-D7CBFDB5B228}"/>
    <cellStyle name="Normal 8 3 3 6 2" xfId="12699" xr:uid="{0B1FE194-76E3-4D21-A6F1-77ABCD210A6D}"/>
    <cellStyle name="Normal 8 3 3 6 2 2" xfId="48889" xr:uid="{C609C854-E815-4E54-9331-F7863BDFF009}"/>
    <cellStyle name="Normal 8 3 3 6 3" xfId="47315" xr:uid="{6A760572-CF67-4D4C-B4B5-83A4392F6363}"/>
    <cellStyle name="Normal 8 3 3 7" xfId="8030" xr:uid="{9CFC70D1-2CD7-4C05-9C44-53F3D54D59B8}"/>
    <cellStyle name="Normal 8 3 3 7 2" xfId="12543" xr:uid="{D9F248F4-A339-4B7C-AE64-123DC5F7DF02}"/>
    <cellStyle name="Normal 8 3 3 7 3" xfId="47731" xr:uid="{F20899E7-68B5-4CD3-AB2B-2ACDE2A0D501}"/>
    <cellStyle name="Normal 8 3 3 8" xfId="5927" xr:uid="{4D4DA81F-E01F-41C4-9173-BCC0F05778DE}"/>
    <cellStyle name="Normal 8 3 3 8 2" xfId="18510" xr:uid="{35DA347F-6946-48B3-AA0B-6DDD03ADB2F6}"/>
    <cellStyle name="Normal 8 3 3 9" xfId="11415" xr:uid="{77AF7060-C0B6-4CB6-81D1-5102F6F374CF}"/>
    <cellStyle name="Normal 8 3 4" xfId="5086" xr:uid="{18B3E452-8D0D-4259-830C-D06F588474ED}"/>
    <cellStyle name="Normal 8 3 4 2" xfId="5788" xr:uid="{DD796F01-EDEF-4BCE-B6F4-7E0934696AB7}"/>
    <cellStyle name="Normal 8 3 4 2 2" xfId="7890" xr:uid="{AB567219-AD32-46A3-B4BC-796516DD88B9}"/>
    <cellStyle name="Normal 8 3 4 2 2 2" xfId="10382" xr:uid="{275E1ECB-FF59-44DC-9BB7-207206046563}"/>
    <cellStyle name="Normal 8 3 4 2 2 2 2" xfId="13688" xr:uid="{A68D7EFF-2D0A-46DB-A717-863487A273DA}"/>
    <cellStyle name="Normal 8 3 4 2 2 2 3" xfId="49197" xr:uid="{4D29878A-BA12-4C72-A316-F7782ED06A27}"/>
    <cellStyle name="Normal 8 3 4 2 2 3" xfId="12403" xr:uid="{99772DC8-BF00-44D8-BB3C-10258274C580}"/>
    <cellStyle name="Normal 8 3 4 2 2 3 2" xfId="47612" xr:uid="{1736E6E3-51CB-4A3C-9E0C-804E472275F8}"/>
    <cellStyle name="Normal 8 3 4 2 2 4" xfId="14817" xr:uid="{740084A7-263F-4A43-84C8-14D94F6CE77A}"/>
    <cellStyle name="Normal 8 3 4 2 3" xfId="9888" xr:uid="{008D1F24-5D06-4D6F-931A-4B1152BC57AD}"/>
    <cellStyle name="Normal 8 3 4 2 3 2" xfId="13194" xr:uid="{0171F004-64E9-465A-A33D-3103D47F3310}"/>
    <cellStyle name="Normal 8 3 4 2 3 3" xfId="48338" xr:uid="{F3BB9AD1-EB51-4159-901D-AA3202E523CD}"/>
    <cellStyle name="Normal 8 3 4 2 4" xfId="7386" xr:uid="{EED7717A-5073-450A-91F6-9320933871D7}"/>
    <cellStyle name="Normal 8 3 4 2 4 2" xfId="23408" xr:uid="{541EA548-47F5-4DC0-9931-9590CA135C47}"/>
    <cellStyle name="Normal 8 3 4 2 5" xfId="11909" xr:uid="{A91DD70F-9924-41FF-8F4B-776DB24BE136}"/>
    <cellStyle name="Normal 8 3 4 2 6" xfId="14325" xr:uid="{89CE2102-F829-4E32-B143-0E8ACCD47368}"/>
    <cellStyle name="Normal 8 3 4 3" xfId="7576" xr:uid="{EC3F9FC5-9D6D-4946-A343-A02859226F67}"/>
    <cellStyle name="Normal 8 3 4 3 2" xfId="10068" xr:uid="{63029F11-4369-43CA-88E4-381C7B427D58}"/>
    <cellStyle name="Normal 8 3 4 3 2 2" xfId="13374" xr:uid="{89EA44C7-267B-4561-8819-411535EA7273}"/>
    <cellStyle name="Normal 8 3 4 3 2 3" xfId="48035" xr:uid="{52CFBECD-1F58-4FD6-A6F9-53FCE7FDA1FE}"/>
    <cellStyle name="Normal 8 3 4 3 3" xfId="12089" xr:uid="{BBEC0E8E-6B3C-43AD-B4A3-99B5D9ACA9E0}"/>
    <cellStyle name="Normal 8 3 4 3 3 2" xfId="46354" xr:uid="{8A39AAA3-B0BD-4294-A195-1606E4796F28}"/>
    <cellStyle name="Normal 8 3 4 3 4" xfId="14503" xr:uid="{CC0E12A0-8929-4E46-8C3C-096899DA5DCE}"/>
    <cellStyle name="Normal 8 3 4 4" xfId="11190" xr:uid="{6C208C88-9953-4693-A8C5-D29B21B9A8B8}"/>
    <cellStyle name="Normal 8 3 4 4 2" xfId="13778" xr:uid="{1194050F-1371-4F88-BBA4-1A98AFE74B6B}"/>
    <cellStyle name="Normal 8 3 4 4 2 2" xfId="48581" xr:uid="{75AB1016-1FEE-4201-B5B8-37BC30CAC677}"/>
    <cellStyle name="Normal 8 3 4 4 3" xfId="47017" xr:uid="{98F7F4EB-0A0D-44B7-8A3E-8F9E9DD3A057}"/>
    <cellStyle name="Normal 8 3 4 4 4" xfId="15132" xr:uid="{F988055B-2422-4C9A-ACB8-A402D730315E}"/>
    <cellStyle name="Normal 8 3 4 5" xfId="9574" xr:uid="{5FE8B59F-99A4-4ED2-B518-31B6F61FD48C}"/>
    <cellStyle name="Normal 8 3 4 5 2" xfId="12880" xr:uid="{A00D707B-78F0-4775-910D-2D62DF83E2A7}"/>
    <cellStyle name="Normal 8 3 4 5 2 2" xfId="48888" xr:uid="{E35C5D1E-3027-482C-A586-B041A3ABCCA1}"/>
    <cellStyle name="Normal 8 3 4 5 3" xfId="47314" xr:uid="{EBC765CC-1F59-4B9F-A2D2-1C3710DA21F1}"/>
    <cellStyle name="Normal 8 3 4 6" xfId="6891" xr:uid="{AF3FAF0F-09D0-4276-9184-9CC9E58F5E14}"/>
    <cellStyle name="Normal 8 3 4 6 2" xfId="47814" xr:uid="{297F47AE-9183-4A33-94D9-FC7342069F97}"/>
    <cellStyle name="Normal 8 3 4 7" xfId="11595" xr:uid="{B7BEBAF8-D8A1-4EEB-9F32-41819959A6DA}"/>
    <cellStyle name="Normal 8 3 4 7 2" xfId="19788" xr:uid="{BDA775BE-060B-4369-B47E-E5368FBDF956}"/>
    <cellStyle name="Normal 8 3 4 8" xfId="14011" xr:uid="{E3F8B9E1-C59B-478A-9B98-F40A2179DADB}"/>
    <cellStyle name="Normal 8 3 5" xfId="4182" xr:uid="{F50D598E-8BFC-465B-8F3A-8F9CF8456065}"/>
    <cellStyle name="Normal 8 3 5 2" xfId="5655" xr:uid="{8036B953-6374-4066-888E-DD71AB53589E}"/>
    <cellStyle name="Normal 8 3 5 2 2" xfId="10249" xr:uid="{2B9ADC01-CE46-4021-BB18-B4233E0258B7}"/>
    <cellStyle name="Normal 8 3 5 2 2 2" xfId="13555" xr:uid="{A2238E57-073F-45D3-8EE8-BB8324A7DB31}"/>
    <cellStyle name="Normal 8 3 5 2 2 3" xfId="48448" xr:uid="{2CB92C3E-E8A4-4DB9-B972-9CC528A56310}"/>
    <cellStyle name="Normal 8 3 5 2 3" xfId="7757" xr:uid="{65DB3ADC-F362-4AE6-8769-86BB26C23D83}"/>
    <cellStyle name="Normal 8 3 5 2 3 2" xfId="46887" xr:uid="{2ADC3AA8-D4A6-4965-B85B-6FADF119D66C}"/>
    <cellStyle name="Normal 8 3 5 2 4" xfId="12270" xr:uid="{A3046A91-59AB-4993-A5B2-4642938F8024}"/>
    <cellStyle name="Normal 8 3 5 2 5" xfId="14684" xr:uid="{76D7A8D0-E283-40E1-BC78-5A344492A35D}"/>
    <cellStyle name="Normal 8 3 5 3" xfId="9755" xr:uid="{821FAC29-B446-4FC8-809A-5E056685EE35}"/>
    <cellStyle name="Normal 8 3 5 3 2" xfId="13061" xr:uid="{4402F6E7-0E7B-4097-B752-0BD6F8B789D1}"/>
    <cellStyle name="Normal 8 3 5 3 2 2" xfId="49065" xr:uid="{35CFA560-5546-49B2-ACC7-ABD495A60BDB}"/>
    <cellStyle name="Normal 8 3 5 3 3" xfId="47482" xr:uid="{76E4196A-FF15-4FA5-84AA-FBAC22AE2ABB}"/>
    <cellStyle name="Normal 8 3 5 3 4" xfId="14999" xr:uid="{668538DB-36EF-4C17-B57F-5234BF17C33A}"/>
    <cellStyle name="Normal 8 3 5 4" xfId="7251" xr:uid="{F729CFC2-1441-414B-AAFB-B2DA0C47C34F}"/>
    <cellStyle name="Normal 8 3 5 4 2" xfId="48209" xr:uid="{901EC8EF-4F23-4505-BB19-25065B4B6EC0}"/>
    <cellStyle name="Normal 8 3 5 5" xfId="11776" xr:uid="{7DAF63E5-C171-4D78-8CCD-B20E53E5E171}"/>
    <cellStyle name="Normal 8 3 5 5 2" xfId="32796" xr:uid="{63F4EF02-F535-4BD2-8F06-2D41D081BAF5}"/>
    <cellStyle name="Normal 8 3 5 6" xfId="14192" xr:uid="{85D46459-7090-4E62-B759-28537ED1CDBF}"/>
    <cellStyle name="Normal 8 3 6" xfId="5612" xr:uid="{0C8B7C2F-C7F2-4621-B98A-20E1417A4427}"/>
    <cellStyle name="Normal 8 3 6 2" xfId="7714" xr:uid="{E4A95B36-8B46-4CDF-B004-ED5EF79EF9B3}"/>
    <cellStyle name="Normal 8 3 6 2 2" xfId="10206" xr:uid="{F28AA448-FCF6-4490-9FE5-AE04173828E9}"/>
    <cellStyle name="Normal 8 3 6 2 2 2" xfId="13512" xr:uid="{696F84BC-B677-4B17-9B47-446082F84DC4}"/>
    <cellStyle name="Normal 8 3 6 2 2 3" xfId="48659" xr:uid="{AD47732A-C8D1-4478-BB4B-4C77237D0ED0}"/>
    <cellStyle name="Normal 8 3 6 2 3" xfId="12227" xr:uid="{C01D945F-CE02-4BAF-8BCF-1C26797E081B}"/>
    <cellStyle name="Normal 8 3 6 2 3 2" xfId="47093" xr:uid="{92E447D0-5670-415D-B633-34E99091C801}"/>
    <cellStyle name="Normal 8 3 6 2 4" xfId="14641" xr:uid="{07030919-38DB-4BFD-B98A-60C8275E44C0}"/>
    <cellStyle name="Normal 8 3 6 3" xfId="9712" xr:uid="{FDE01495-7822-4EB3-B396-95ACD35FCC18}"/>
    <cellStyle name="Normal 8 3 6 3 2" xfId="13018" xr:uid="{57E6272B-4641-4B73-8A58-AD1FA5768607}"/>
    <cellStyle name="Normal 8 3 6 3 2 2" xfId="49025" xr:uid="{1867A43F-FC18-41CD-9464-B455648BE69E}"/>
    <cellStyle name="Normal 8 3 6 3 3" xfId="47445" xr:uid="{AFC0BEBB-FBEF-423A-85E3-649102D197D2}"/>
    <cellStyle name="Normal 8 3 6 4" xfId="7208" xr:uid="{899F0406-1614-471C-BF42-50F50B0E5327}"/>
    <cellStyle name="Normal 8 3 6 4 2" xfId="48170" xr:uid="{18D86AFF-B834-490C-B79C-F4F09E2F20EE}"/>
    <cellStyle name="Normal 8 3 6 5" xfId="11733" xr:uid="{A372B700-C64C-430A-ABEF-A6053C8DC7F1}"/>
    <cellStyle name="Normal 8 3 6 5 2" xfId="32797" xr:uid="{DBE531E9-8322-448D-BE13-C7CA8ED1CB04}"/>
    <cellStyle name="Normal 8 3 6 6" xfId="14149" xr:uid="{BA1EDF40-D894-4EEB-A5CE-A26B219D096B}"/>
    <cellStyle name="Normal 8 3 7" xfId="6249" xr:uid="{072574ED-829C-472F-B00C-DFAEFB62E486}"/>
    <cellStyle name="Normal 8 3 7 2" xfId="9438" xr:uid="{EEF928D4-2400-4147-AE05-2268A5D74B49}"/>
    <cellStyle name="Normal 8 3 7 2 2" xfId="12744" xr:uid="{8E4491F1-4498-405A-8688-E66CEED7157F}"/>
    <cellStyle name="Normal 8 3 7 2 3" xfId="47903" xr:uid="{4F69079C-DEF2-4DC8-B6E7-225FC50BE561}"/>
    <cellStyle name="Normal 8 3 7 3" xfId="11459" xr:uid="{EE7F720D-6F6C-4771-A54A-977C326E77B3}"/>
    <cellStyle name="Normal 8 3 7 3 2" xfId="32798" xr:uid="{109AB97A-7A9D-4583-A092-CA955D59767B}"/>
    <cellStyle name="Normal 8 3 7 4" xfId="14370" xr:uid="{ECACF2F6-387B-4F5A-99D7-E4EB0435D0F4}"/>
    <cellStyle name="Normal 8 3 8" xfId="7443" xr:uid="{E9B52FDA-6064-4EED-BB6F-2FC5BEFC2FC0}"/>
    <cellStyle name="Normal 8 3 8 2" xfId="9935" xr:uid="{4831307F-6C13-4300-AA09-9416383FAD0A}"/>
    <cellStyle name="Normal 8 3 8 2 2" xfId="13241" xr:uid="{F406E986-020F-4944-AAD6-94B7BCFBC591}"/>
    <cellStyle name="Normal 8 3 8 2 3" xfId="48415" xr:uid="{19B40462-7A26-4F50-A7E9-BF5D559FB3C5}"/>
    <cellStyle name="Normal 8 3 8 3" xfId="11956" xr:uid="{55786ACF-DEFF-44C8-B41C-312F78B3BB20}"/>
    <cellStyle name="Normal 8 3 8 3 2" xfId="32799" xr:uid="{1181D0AA-1EA1-4C4B-8751-098B686B2172}"/>
    <cellStyle name="Normal 8 3 8 4" xfId="14956" xr:uid="{3C9EFC98-13A5-4BD8-8727-CB75FFFCA543}"/>
    <cellStyle name="Normal 8 3 9" xfId="8978" xr:uid="{97AA3EBE-5D04-4FE3-93BC-19894D2C420E}"/>
    <cellStyle name="Normal 8 3 9 2" xfId="12698" xr:uid="{576AC52B-2F06-40D9-82ED-0AE8381C6EA8}"/>
    <cellStyle name="Normal 8 3 9 2 2" xfId="48755" xr:uid="{EC816225-0550-4587-A950-B7D6198B56E8}"/>
    <cellStyle name="Normal 8 3 9 3" xfId="47184" xr:uid="{57B9735B-DD49-4334-BF2F-EDC31D86DC00}"/>
    <cellStyle name="Normal 8 4" xfId="3109" xr:uid="{D4BA88A9-132C-4F3C-9735-47B24B9E2751}"/>
    <cellStyle name="Normal 8 4 2" xfId="5089" xr:uid="{631EA05C-8B89-4AEC-AE51-37B5C451D3ED}"/>
    <cellStyle name="Normal 8 4 2 2" xfId="18515" xr:uid="{5FBB2629-CD06-4893-8C68-DB9292080E61}"/>
    <cellStyle name="Normal 8 4 2 2 2" xfId="22132" xr:uid="{591176B3-3CFC-41C5-A1BA-D8D2B749A5D0}"/>
    <cellStyle name="Normal 8 4 2 3" xfId="32800" xr:uid="{04D33C2A-CBFC-414B-BF49-981B3BBC60FD}"/>
    <cellStyle name="Normal 8 4 2 4" xfId="32801" xr:uid="{41E4EC26-7AC6-4749-9F91-EDC3A12AA714}"/>
    <cellStyle name="Normal 8 4 2 5" xfId="32802" xr:uid="{40F22F4D-1C03-4D0B-A77D-69F43EEBF45F}"/>
    <cellStyle name="Normal 8 4 2 6" xfId="32803" xr:uid="{A20E0793-F31D-4979-A0CE-AF025D4D81ED}"/>
    <cellStyle name="Normal 8 4 3" xfId="6894" xr:uid="{4AE8B531-56BC-4A68-B11B-8B5626E0F559}"/>
    <cellStyle name="Normal 8 4 3 2" xfId="22131" xr:uid="{FB93F629-3401-46E2-A0BC-E0BDF077B176}"/>
    <cellStyle name="Normal 8 4 3 3" xfId="46357" xr:uid="{F71E3BD8-CEBA-416E-A4BE-EA9F2862277A}"/>
    <cellStyle name="Normal 8 4 3 4" xfId="18514" xr:uid="{41F37FF9-7C73-4DB4-B1C0-4FB9826E61C6}"/>
    <cellStyle name="Normal 8 4 4" xfId="8981" xr:uid="{A3EC62CF-3BB5-4368-A8C3-B9150234F3A7}"/>
    <cellStyle name="Normal 8 4 4 2" xfId="32804" xr:uid="{5AEFB863-7AB0-4DA8-9944-35DE190BF3A2}"/>
    <cellStyle name="Normal 8 4 5" xfId="32805" xr:uid="{883F598D-5561-4273-A145-D5E2E24C39B3}"/>
    <cellStyle name="Normal 8 4 6" xfId="32806" xr:uid="{90F5419F-B5DA-435D-AB8D-0908A88D90F6}"/>
    <cellStyle name="Normal 8 4 7" xfId="32807" xr:uid="{A0A8E206-46F7-4737-87CD-51AB47E2AE69}"/>
    <cellStyle name="Normal 8 5" xfId="3110" xr:uid="{C2392F0D-7370-415A-BAD8-31E4BFFBEF5F}"/>
    <cellStyle name="Normal 8 5 2" xfId="5090" xr:uid="{E36E724E-B83E-44D5-A860-CACF69756519}"/>
    <cellStyle name="Normal 8 5 2 2" xfId="18517" xr:uid="{7D229553-1E99-4A24-8B9C-779C8754A364}"/>
    <cellStyle name="Normal 8 5 2 2 2" xfId="22134" xr:uid="{CB6FD958-F210-480A-92FA-F4619EAFC633}"/>
    <cellStyle name="Normal 8 5 2 3" xfId="32808" xr:uid="{28EB41AD-5291-43B0-A93D-D789864A4CAE}"/>
    <cellStyle name="Normal 8 5 2 4" xfId="32809" xr:uid="{1D217B78-78CC-45C0-AD73-CF069134096B}"/>
    <cellStyle name="Normal 8 5 2 5" xfId="32810" xr:uid="{F6394FEE-9C2F-4441-83B3-F0344B090932}"/>
    <cellStyle name="Normal 8 5 2 6" xfId="32811" xr:uid="{52861997-7CF2-45CC-8455-76D26850672A}"/>
    <cellStyle name="Normal 8 5 3" xfId="6895" xr:uid="{55D900D7-BCC9-4FAF-AB8A-908D168C31FA}"/>
    <cellStyle name="Normal 8 5 3 2" xfId="22133" xr:uid="{976BAAEE-D6E6-4759-B5E5-FD0AC18EA2BD}"/>
    <cellStyle name="Normal 8 5 3 3" xfId="46358" xr:uid="{CA37E462-2BCC-43F4-813C-B574B5CEC5BE}"/>
    <cellStyle name="Normal 8 5 3 4" xfId="18516" xr:uid="{B568F57F-B3DF-40C4-A882-5A487433984B}"/>
    <cellStyle name="Normal 8 5 4" xfId="8982" xr:uid="{1AEFD8D0-D501-4A4B-913C-00EF94BECDF4}"/>
    <cellStyle name="Normal 8 5 4 2" xfId="32812" xr:uid="{63B28A0A-456F-43DB-B6A7-636580D01DCF}"/>
    <cellStyle name="Normal 8 5 5" xfId="32813" xr:uid="{799D3E37-A52B-4828-88F3-28EF14EDF724}"/>
    <cellStyle name="Normal 8 5 6" xfId="32814" xr:uid="{805521F0-D929-44DE-B52C-A194BA4352F0}"/>
    <cellStyle name="Normal 8 5 7" xfId="32815" xr:uid="{B85D1CFD-E0B8-40D1-A8B2-AFA2D14628D7}"/>
    <cellStyle name="Normal 8 6" xfId="3111" xr:uid="{C92802C7-B828-4182-B88B-4BE7EAD8A733}"/>
    <cellStyle name="Normal 8 6 2" xfId="5091" xr:uid="{452D68F3-B78A-4DEA-AFFC-873FC0A8CEBB}"/>
    <cellStyle name="Normal 8 6 2 2" xfId="18519" xr:uid="{6179FFC6-9CF8-482F-99C7-1C480C380056}"/>
    <cellStyle name="Normal 8 6 2 2 2" xfId="22136" xr:uid="{EAD5D78D-A41A-49D2-BD74-B3C8071D8E5E}"/>
    <cellStyle name="Normal 8 6 2 3" xfId="32816" xr:uid="{2E1E86E1-5D9E-4429-8678-8B9D467FC580}"/>
    <cellStyle name="Normal 8 6 2 4" xfId="32817" xr:uid="{FF31ABC8-6DF5-4BE8-BBA2-B71858F769C3}"/>
    <cellStyle name="Normal 8 6 2 5" xfId="32818" xr:uid="{D77FC6CB-C189-4EB7-8A14-A0A46F121BB9}"/>
    <cellStyle name="Normal 8 6 2 6" xfId="32819" xr:uid="{C096C1C0-16E8-4613-8ADF-E52589876770}"/>
    <cellStyle name="Normal 8 6 3" xfId="6896" xr:uid="{BBA5A7F8-5173-4E81-84C8-D54D668897B7}"/>
    <cellStyle name="Normal 8 6 3 2" xfId="22135" xr:uid="{3B1DC07E-D24A-426F-9266-841B2BFFE944}"/>
    <cellStyle name="Normal 8 6 3 3" xfId="46359" xr:uid="{344C7054-DBB8-4D6A-AD0B-3BAB7EE88D2F}"/>
    <cellStyle name="Normal 8 6 3 4" xfId="18518" xr:uid="{301840BB-83B0-4DCE-A5CA-773F8C372D87}"/>
    <cellStyle name="Normal 8 6 4" xfId="8983" xr:uid="{E7A44623-7BB2-4C37-A999-DBCDCE0A402B}"/>
    <cellStyle name="Normal 8 6 4 2" xfId="32820" xr:uid="{A9B0F972-EDA7-4CC4-A91B-5F114DF49D37}"/>
    <cellStyle name="Normal 8 6 5" xfId="32821" xr:uid="{89A987C2-0BBB-4D68-85AD-F39E50C2F608}"/>
    <cellStyle name="Normal 8 6 6" xfId="32822" xr:uid="{1F4C0782-3CF3-404E-A758-CDC8EA0EAC06}"/>
    <cellStyle name="Normal 8 6 7" xfId="32823" xr:uid="{9037160D-0FED-4CD4-944C-4C539CC835DA}"/>
    <cellStyle name="Normal 8 7" xfId="3112" xr:uid="{4D8D3A8C-4D9E-418D-8A71-25E383DB3E13}"/>
    <cellStyle name="Normal 8 7 2" xfId="5092" xr:uid="{7D3A5276-6F39-46D3-9781-DC7E0EBAEE35}"/>
    <cellStyle name="Normal 8 7 2 2" xfId="18521" xr:uid="{DB09AC41-AE9B-4257-A09C-6B18CD4146EE}"/>
    <cellStyle name="Normal 8 7 2 2 2" xfId="22138" xr:uid="{FE35CD0B-44E2-4F1D-8585-3E2EC525B862}"/>
    <cellStyle name="Normal 8 7 2 3" xfId="32824" xr:uid="{138ABB18-5401-4747-AF54-16ED6D894E52}"/>
    <cellStyle name="Normal 8 7 2 4" xfId="32825" xr:uid="{1E749D78-0E9A-406B-AB7E-C4415936E1F0}"/>
    <cellStyle name="Normal 8 7 2 5" xfId="32826" xr:uid="{42869900-47E9-4691-B15B-16D6929FD098}"/>
    <cellStyle name="Normal 8 7 2 6" xfId="32827" xr:uid="{51373CF1-7C04-4062-B229-584F951EBCD3}"/>
    <cellStyle name="Normal 8 7 3" xfId="6897" xr:uid="{18213500-2D5A-4174-9D79-FD5BF8A1DCF0}"/>
    <cellStyle name="Normal 8 7 3 2" xfId="22137" xr:uid="{21B837FA-4FB9-4843-8897-69E7FD9F10B1}"/>
    <cellStyle name="Normal 8 7 3 3" xfId="46360" xr:uid="{183A9062-043C-4E37-87FA-29666B2BEAD8}"/>
    <cellStyle name="Normal 8 7 3 4" xfId="18520" xr:uid="{F2CAABE4-5AD2-4635-8FA8-358E09B33FF2}"/>
    <cellStyle name="Normal 8 7 4" xfId="8984" xr:uid="{2C5BBC34-1567-459D-AC53-4BF56D6B02EA}"/>
    <cellStyle name="Normal 8 7 4 2" xfId="32828" xr:uid="{ACCDAB0F-7944-4EAD-BCA6-0726B0AD0D74}"/>
    <cellStyle name="Normal 8 7 5" xfId="32829" xr:uid="{6C17A21C-F5E2-44DC-AA55-1D59B36AF185}"/>
    <cellStyle name="Normal 8 7 6" xfId="32830" xr:uid="{FEDD172D-C08C-4465-ABE5-415EB8D30AB4}"/>
    <cellStyle name="Normal 8 7 7" xfId="32831" xr:uid="{A37666CA-9A14-4FFC-9D15-CAF06A4C72E1}"/>
    <cellStyle name="Normal 8 8" xfId="3113" xr:uid="{C538AEDF-452D-47FB-8E56-2E9E8CED8BE3}"/>
    <cellStyle name="Normal 8 8 2" xfId="5093" xr:uid="{82CFE652-E6F3-4BA2-A59E-D0B3D01EF73A}"/>
    <cellStyle name="Normal 8 8 2 2" xfId="18523" xr:uid="{BB13DDB2-E78E-4BD0-BB31-2ACFCBB14A5F}"/>
    <cellStyle name="Normal 8 8 2 2 2" xfId="22140" xr:uid="{D52EA617-17F6-4018-AE7B-4A002249E7E5}"/>
    <cellStyle name="Normal 8 8 2 3" xfId="32832" xr:uid="{5DE6592A-97DD-4929-958C-6BB093DE94D2}"/>
    <cellStyle name="Normal 8 8 2 4" xfId="32833" xr:uid="{C2697E10-DA46-4F03-9209-10C4C70CB52F}"/>
    <cellStyle name="Normal 8 8 2 5" xfId="32834" xr:uid="{6E0F1D63-7E01-44D6-A508-6D35F700FAAF}"/>
    <cellStyle name="Normal 8 8 2 6" xfId="32835" xr:uid="{7AB58CF5-6F06-47E1-9530-C484F0DA41AE}"/>
    <cellStyle name="Normal 8 8 3" xfId="6898" xr:uid="{C81FE218-BFEA-4A1F-8AA8-404118B17EB2}"/>
    <cellStyle name="Normal 8 8 3 2" xfId="22139" xr:uid="{17DEFAD0-73E5-4C7E-99F3-CE67C5A7A3C1}"/>
    <cellStyle name="Normal 8 8 3 3" xfId="46361" xr:uid="{6AD4EE1E-0DA6-4F66-B04F-F6C0D9A3E3D4}"/>
    <cellStyle name="Normal 8 8 3 4" xfId="18522" xr:uid="{F67C0991-6193-4CBD-BE80-01ED94EC91B5}"/>
    <cellStyle name="Normal 8 8 4" xfId="8985" xr:uid="{FCEB2364-78F0-4C64-8974-CB46D68988FB}"/>
    <cellStyle name="Normal 8 8 4 2" xfId="32836" xr:uid="{728F9CE0-D370-45CF-A4B1-D6B4C7BD4A90}"/>
    <cellStyle name="Normal 8 8 5" xfId="32837" xr:uid="{F67BBB33-A6E7-461D-A74F-56E76C3A42F2}"/>
    <cellStyle name="Normal 8 8 6" xfId="32838" xr:uid="{4E21F7BA-B9B4-4778-9ECF-6C3500A4965D}"/>
    <cellStyle name="Normal 8 8 7" xfId="32839" xr:uid="{2BB1F037-22BB-4D80-B8D1-2105A4689D58}"/>
    <cellStyle name="Normal 8 9" xfId="3114" xr:uid="{1AF58B35-E466-42AF-8EF7-4FA7874AC365}"/>
    <cellStyle name="Normal 8 9 10" xfId="15378" xr:uid="{1922D019-8952-4ABF-84F8-5D17512F70EE}"/>
    <cellStyle name="Normal 8 9 11" xfId="14013" xr:uid="{018F6898-253A-4D9A-9098-8BFC60748803}"/>
    <cellStyle name="Normal 8 9 2" xfId="5094" xr:uid="{BCB80C4D-0405-4E5C-9094-E36E0BBB3595}"/>
    <cellStyle name="Normal 8 9 2 2" xfId="5790" xr:uid="{B542D64F-E865-42BE-8ED1-26EB0A037DC0}"/>
    <cellStyle name="Normal 8 9 2 2 2" xfId="10384" xr:uid="{9E3D8031-35CD-4694-8485-D7898A0ECF5E}"/>
    <cellStyle name="Normal 8 9 2 2 2 2" xfId="13690" xr:uid="{FD347951-0528-47C2-82BB-E26807C5E139}"/>
    <cellStyle name="Normal 8 9 2 2 2 3" xfId="22142" xr:uid="{E7C3F3E1-B13B-412C-8355-BC6361ABFFCA}"/>
    <cellStyle name="Normal 8 9 2 2 3" xfId="7892" xr:uid="{4656D1D1-5D6F-445F-ADB2-10800F618F5B}"/>
    <cellStyle name="Normal 8 9 2 2 3 2" xfId="18525" xr:uid="{96C57F34-0CEA-4B78-849E-4F067E82EC44}"/>
    <cellStyle name="Normal 8 9 2 2 4" xfId="12405" xr:uid="{BEC1F477-A065-49D6-9DE7-22455BF099B6}"/>
    <cellStyle name="Normal 8 9 2 2 5" xfId="14819" xr:uid="{5743C149-44EC-42BD-B9C3-A5D2D8481FB8}"/>
    <cellStyle name="Normal 8 9 2 3" xfId="11191" xr:uid="{7D84F54F-78E0-4D30-AF4C-278479907242}"/>
    <cellStyle name="Normal 8 9 2 3 2" xfId="13779" xr:uid="{24128244-5AE8-46ED-B863-946A04B7E825}"/>
    <cellStyle name="Normal 8 9 2 3 2 2" xfId="48583" xr:uid="{A53184F2-6E87-4231-A0AC-BEE3283AA6B5}"/>
    <cellStyle name="Normal 8 9 2 3 3" xfId="32840" xr:uid="{62CEC2F3-4A34-4B37-8AFC-7BC606572495}"/>
    <cellStyle name="Normal 8 9 2 3 4" xfId="15134" xr:uid="{E40B951F-596C-4207-AE68-980E0B673833}"/>
    <cellStyle name="Normal 8 9 2 4" xfId="9890" xr:uid="{DA301C39-44A6-409D-8C6C-C75731E83CAB}"/>
    <cellStyle name="Normal 8 9 2 4 2" xfId="13196" xr:uid="{AF405483-476F-4A15-BCD7-829805F01136}"/>
    <cellStyle name="Normal 8 9 2 4 2 2" xfId="49199" xr:uid="{E509705E-F687-4E13-ABAF-C9B00C9DEA5B}"/>
    <cellStyle name="Normal 8 9 2 4 3" xfId="32841" xr:uid="{C0692FD7-CAC4-403F-8D77-EA00B7A487D2}"/>
    <cellStyle name="Normal 8 9 2 5" xfId="7388" xr:uid="{DDC7DDB2-7BC8-4960-9E32-B5ECCB69A42C}"/>
    <cellStyle name="Normal 8 9 2 5 2" xfId="32842" xr:uid="{6877DCC5-10CC-4ADF-B532-BA936852D5A4}"/>
    <cellStyle name="Normal 8 9 2 6" xfId="11911" xr:uid="{07D342B5-97BE-4D51-B329-6308FEE863AC}"/>
    <cellStyle name="Normal 8 9 2 6 2" xfId="32843" xr:uid="{618C2F8B-BE82-414E-B4BB-EFFF14AA6823}"/>
    <cellStyle name="Normal 8 9 2 7" xfId="16796" xr:uid="{3E4F223B-66A2-4D53-8489-D2F9CC1ED422}"/>
    <cellStyle name="Normal 8 9 2 8" xfId="14327" xr:uid="{B059A282-6D82-4CE4-AD0C-6EA6957A0D96}"/>
    <cellStyle name="Normal 8 9 3" xfId="5614" xr:uid="{40B44771-FEDC-46B5-8D2A-6E9D8A6D1435}"/>
    <cellStyle name="Normal 8 9 3 2" xfId="7716" xr:uid="{B504C10C-4D42-41AD-AF2D-D4F4FAA78762}"/>
    <cellStyle name="Normal 8 9 3 2 2" xfId="10208" xr:uid="{E5955B82-818F-4271-9754-D74A1B5EEC7F}"/>
    <cellStyle name="Normal 8 9 3 2 2 2" xfId="13514" xr:uid="{EF0FF343-21F7-4556-95BA-A4783A53FE98}"/>
    <cellStyle name="Normal 8 9 3 2 2 3" xfId="22143" xr:uid="{F14A5FF8-B59D-47EA-B1D1-9F6FB786CA36}"/>
    <cellStyle name="Normal 8 9 3 2 3" xfId="12229" xr:uid="{75CB3A38-EEC9-4BDE-990D-6D5FCD74D2B0}"/>
    <cellStyle name="Normal 8 9 3 2 3 2" xfId="18526" xr:uid="{0D076697-D88D-4BC3-9F9F-867094931321}"/>
    <cellStyle name="Normal 8 9 3 2 4" xfId="14643" xr:uid="{6AE37602-D12D-47CA-9400-3E05E7E99371}"/>
    <cellStyle name="Normal 8 9 3 3" xfId="9714" xr:uid="{147600D6-FD08-4C69-955F-50C6E721EB5E}"/>
    <cellStyle name="Normal 8 9 3 3 2" xfId="13020" xr:uid="{971A7B99-17D1-4DFA-916F-49CF486EB753}"/>
    <cellStyle name="Normal 8 9 3 3 2 2" xfId="49027" xr:uid="{00D680AF-76E5-423D-B151-FF4676A9691C}"/>
    <cellStyle name="Normal 8 9 3 3 3" xfId="20705" xr:uid="{33F3E8DC-8C88-4BBC-8456-7A636016757D}"/>
    <cellStyle name="Normal 8 9 3 4" xfId="7210" xr:uid="{62D32829-C8CA-4F20-82C1-905B4BF4FF31}"/>
    <cellStyle name="Normal 8 9 3 4 2" xfId="48172" xr:uid="{BC69AD55-F179-4CAB-BD4A-E4646E183AF4}"/>
    <cellStyle name="Normal 8 9 3 5" xfId="11735" xr:uid="{9571993A-5A20-4A42-813B-80DAC3B31554}"/>
    <cellStyle name="Normal 8 9 3 5 2" xfId="16557" xr:uid="{B6684CE2-47BE-4345-ACF0-FC216B511697}"/>
    <cellStyle name="Normal 8 9 3 6" xfId="14151" xr:uid="{08047FFE-0F77-4D65-9B9D-A6C02620DCF2}"/>
    <cellStyle name="Normal 8 9 4" xfId="6899" xr:uid="{5A1852D8-1A8F-4D98-91E8-F607D3405CD8}"/>
    <cellStyle name="Normal 8 9 4 2" xfId="9576" xr:uid="{8CF0F7FF-3560-4DF6-92B0-96DDDCBF4D8F}"/>
    <cellStyle name="Normal 8 9 4 2 2" xfId="12882" xr:uid="{72717A62-C9FE-4DE4-8513-B731F8E9473F}"/>
    <cellStyle name="Normal 8 9 4 2 3" xfId="22141" xr:uid="{82674624-FD71-4E78-BCF1-D90FF40C4E47}"/>
    <cellStyle name="Normal 8 9 4 3" xfId="11597" xr:uid="{6DA94FFF-3385-4B2C-9682-C0047E63EC3D}"/>
    <cellStyle name="Normal 8 9 4 3 2" xfId="18524" xr:uid="{46BE49CA-10EA-4FA5-87C9-F8E8BFC7882F}"/>
    <cellStyle name="Normal 8 9 4 4" xfId="14505" xr:uid="{FE417144-5A08-4757-953A-F647ECA1D8E0}"/>
    <cellStyle name="Normal 8 9 5" xfId="7578" xr:uid="{F11F72BF-04BF-41B8-B7AF-EA56AE50F1E7}"/>
    <cellStyle name="Normal 8 9 5 2" xfId="10070" xr:uid="{12128C70-66A0-4073-A0DC-0562EA5DF019}"/>
    <cellStyle name="Normal 8 9 5 2 2" xfId="13376" xr:uid="{114E358B-6DAE-4F5D-BF6A-892C15299219}"/>
    <cellStyle name="Normal 8 9 5 2 3" xfId="23409" xr:uid="{D6D4DE2A-1E5E-4DF3-9C3E-D732123405CD}"/>
    <cellStyle name="Normal 8 9 5 3" xfId="12091" xr:uid="{3EE1BFCD-28DF-400C-AC01-8918A9409E91}"/>
    <cellStyle name="Normal 8 9 5 3 2" xfId="19789" xr:uid="{7E1B304D-7E1B-478C-ABF4-6605691FA2D0}"/>
    <cellStyle name="Normal 8 9 5 4" xfId="14958" xr:uid="{99600F1B-0955-4525-A2E9-3FCA5273A300}"/>
    <cellStyle name="Normal 8 9 6" xfId="8986" xr:uid="{ED7C253E-F01E-41A7-90BD-EAD6F81CDEF6}"/>
    <cellStyle name="Normal 8 9 6 2" xfId="12700" xr:uid="{45EA2170-2556-4EA4-8872-531D3766B817}"/>
    <cellStyle name="Normal 8 9 6 2 2" xfId="48890" xr:uid="{5811863F-4CF6-499F-915D-C85520E7F55C}"/>
    <cellStyle name="Normal 8 9 6 3" xfId="32844" xr:uid="{CFA7661D-6619-484D-A070-07506715813D}"/>
    <cellStyle name="Normal 8 9 7" xfId="8031" xr:uid="{4DBF55CB-5187-4545-BD7C-45953F3C6F75}"/>
    <cellStyle name="Normal 8 9 7 2" xfId="12544" xr:uid="{3D8A034E-6472-4255-8998-227A37E0FB56}"/>
    <cellStyle name="Normal 8 9 7 3" xfId="32845" xr:uid="{4B23E5A1-D919-44CD-978C-5F5D9811D3FC}"/>
    <cellStyle name="Normal 8 9 8" xfId="5928" xr:uid="{26D366DC-8A26-46E8-A7BF-F47D1A61E555}"/>
    <cellStyle name="Normal 8 9 8 2" xfId="32846" xr:uid="{443484CA-24C5-4902-8FF1-16AE28BD6EC2}"/>
    <cellStyle name="Normal 8 9 9" xfId="11416" xr:uid="{4E404589-F97C-45F9-B274-62F9334A4D07}"/>
    <cellStyle name="Normal 8 9 9 2" xfId="32847" xr:uid="{3EEECBA8-C6EE-4874-BB6A-5CF433464DB5}"/>
    <cellStyle name="Normal 8_ELC" xfId="15254" xr:uid="{BE208690-F41A-48A0-A8D4-4817EF7F8F51}"/>
    <cellStyle name="Normal 80" xfId="19828" xr:uid="{89B5255B-2F59-4159-8D68-0341BE6DA3F6}"/>
    <cellStyle name="Normal 80 2" xfId="23437" xr:uid="{7C27E6BF-F350-41F0-A80B-4F2CD22C710C}"/>
    <cellStyle name="Normal 81" xfId="19830" xr:uid="{B9181741-58F3-4985-9D40-3583C417F55D}"/>
    <cellStyle name="Normal 81 2" xfId="23438" xr:uid="{59940B4D-868B-4FE4-ADDD-7350571D3FCA}"/>
    <cellStyle name="Normal 82" xfId="19832" xr:uid="{34616DD4-03E5-4D05-9F49-DB66F661873D}"/>
    <cellStyle name="Normal 82 2" xfId="23439" xr:uid="{A568F4B6-E3B1-47A6-BE97-70C9EBEE58AB}"/>
    <cellStyle name="Normal 83" xfId="19834" xr:uid="{EA071629-D7EC-4F6C-B411-F7B28942BDB9}"/>
    <cellStyle name="Normal 83 2" xfId="23440" xr:uid="{BCDBB6C1-86E2-4351-898C-F28568DFE1C4}"/>
    <cellStyle name="Normal 84" xfId="19836" xr:uid="{67DA5D6F-FE58-492C-80B1-3A53CC5F19AA}"/>
    <cellStyle name="Normal 84 2" xfId="23441" xr:uid="{2834A218-56C6-4156-B710-E4279DBFB42D}"/>
    <cellStyle name="Normal 85" xfId="19838" xr:uid="{9F7BE584-04A7-4507-B96E-73D65D6F5516}"/>
    <cellStyle name="Normal 85 2" xfId="23442" xr:uid="{1ABFD180-054C-4C8B-A933-232C312559B4}"/>
    <cellStyle name="Normal 86" xfId="19841" xr:uid="{38ECA7F3-1163-4E4C-B342-A192BEE52625}"/>
    <cellStyle name="Normal 86 2" xfId="23444" xr:uid="{62F90976-DFF4-4B29-A333-085AF38C9E36}"/>
    <cellStyle name="Normal 87" xfId="19843" xr:uid="{E1EA6DF8-D0C1-4B49-8906-DBB4C4A3965F}"/>
    <cellStyle name="Normal 87 2" xfId="23445" xr:uid="{5551DE3A-AA57-4F1E-BDF5-7BCBB29CFE8E}"/>
    <cellStyle name="Normal 87 2 2" xfId="45542" xr:uid="{0AFF544E-1CD5-4127-AE83-EBF85FA249D8}"/>
    <cellStyle name="Normal 88" xfId="19846" xr:uid="{6986B0E1-03D4-4245-A1F5-BF1FAE853BB8}"/>
    <cellStyle name="Normal 88 2" xfId="23446" xr:uid="{F61FFD12-146D-4293-A318-A2EB15FAED32}"/>
    <cellStyle name="Normal 88 2 2" xfId="45543" xr:uid="{410B9B4A-3992-4B4D-8EC3-35276939AEE4}"/>
    <cellStyle name="Normal 89" xfId="19849" xr:uid="{15D32D04-90EA-4D0F-9797-3FEF2C71DB03}"/>
    <cellStyle name="Normal 89 2" xfId="23447" xr:uid="{36B91E88-7D74-4C83-B5A6-8D91C316EE1E}"/>
    <cellStyle name="Normal 89 2 2" xfId="45544" xr:uid="{823D926A-5196-4238-83C4-D4720B5BB3AA}"/>
    <cellStyle name="Normal 9" xfId="3115" xr:uid="{E19C5D89-183C-4821-A1FB-3F954049E667}"/>
    <cellStyle name="Normal 9 10" xfId="3116" xr:uid="{2560DB54-CAAF-43D7-ADFE-2AF42174DBEE}"/>
    <cellStyle name="Normal 9 10 2" xfId="5096" xr:uid="{C8BE3492-93F8-4B9E-820F-78CD71197B89}"/>
    <cellStyle name="Normal 9 10 2 2" xfId="18529" xr:uid="{BED6BA72-FEE0-4230-A04C-DC59767AE9EE}"/>
    <cellStyle name="Normal 9 10 2 2 2" xfId="22146" xr:uid="{EE173F14-CA83-45DB-958A-1410ED67083B}"/>
    <cellStyle name="Normal 9 10 2 3" xfId="32848" xr:uid="{7B062ED5-2550-46D4-9A48-13B8193084E0}"/>
    <cellStyle name="Normal 9 10 2 4" xfId="32849" xr:uid="{99C7E37D-3505-4F26-A014-53AC26377E4F}"/>
    <cellStyle name="Normal 9 10 2 5" xfId="32850" xr:uid="{57B09A20-EB01-473F-8F86-375702E89086}"/>
    <cellStyle name="Normal 9 10 2 6" xfId="32851" xr:uid="{3154E64D-C95A-4936-AE38-39004FE0C14C}"/>
    <cellStyle name="Normal 9 10 3" xfId="6901" xr:uid="{40338FA1-F6F2-4F12-9DBC-57399CBA3D28}"/>
    <cellStyle name="Normal 9 10 3 2" xfId="22145" xr:uid="{60847BE2-BA8B-4365-A35C-56983B42BFF7}"/>
    <cellStyle name="Normal 9 10 3 3" xfId="46363" xr:uid="{B27C0390-18A5-4E37-8534-0899723665A4}"/>
    <cellStyle name="Normal 9 10 3 4" xfId="18528" xr:uid="{83D6CDD5-B039-4471-BFC2-8EA681493878}"/>
    <cellStyle name="Normal 9 10 4" xfId="8988" xr:uid="{B6104897-6E45-44C2-A42E-B5CE307625DC}"/>
    <cellStyle name="Normal 9 10 4 2" xfId="32852" xr:uid="{C6263328-A518-42C7-9B2D-883A2B07427A}"/>
    <cellStyle name="Normal 9 10 5" xfId="32853" xr:uid="{86245426-E2AD-43F0-8790-CA822719471D}"/>
    <cellStyle name="Normal 9 10 6" xfId="32854" xr:uid="{EF5BF169-E073-43AC-BA30-1969E929E2D7}"/>
    <cellStyle name="Normal 9 10 7" xfId="32855" xr:uid="{15CEB12F-CD1F-410A-9045-A755EB1CBCCA}"/>
    <cellStyle name="Normal 9 11" xfId="3117" xr:uid="{4A91277B-7C9B-4219-9124-3E3B7B720145}"/>
    <cellStyle name="Normal 9 11 2" xfId="5097" xr:uid="{8E553199-01D8-4852-B6DF-91ED5D35F6EC}"/>
    <cellStyle name="Normal 9 11 2 2" xfId="18531" xr:uid="{EBBB8D9F-5CF3-4CA4-9150-99CCF6EE60A4}"/>
    <cellStyle name="Normal 9 11 2 2 2" xfId="22148" xr:uid="{E4684F2E-F30C-42A7-A237-AD1C986B73E7}"/>
    <cellStyle name="Normal 9 11 2 3" xfId="32856" xr:uid="{B95294CC-3B79-42AA-9EDF-D1BBDE9093EA}"/>
    <cellStyle name="Normal 9 11 2 4" xfId="32857" xr:uid="{E4D7BAC6-D838-487F-AE6D-3116AB3635FA}"/>
    <cellStyle name="Normal 9 11 2 5" xfId="32858" xr:uid="{92B0D3FF-5DA7-4C4F-80D5-5AD0FEC7B0FA}"/>
    <cellStyle name="Normal 9 11 2 6" xfId="32859" xr:uid="{76E0E182-BFD1-4AA7-8863-330A33826091}"/>
    <cellStyle name="Normal 9 11 3" xfId="6902" xr:uid="{6935C0A4-EEF7-4626-9B33-7180B56D3139}"/>
    <cellStyle name="Normal 9 11 3 2" xfId="22147" xr:uid="{7748C038-344F-4D25-AC14-54E29E32CE99}"/>
    <cellStyle name="Normal 9 11 3 3" xfId="46364" xr:uid="{BB076598-C9FA-4C17-AC87-05E99DFFD49E}"/>
    <cellStyle name="Normal 9 11 3 4" xfId="18530" xr:uid="{CDE9E464-A625-4441-BCE1-6A3EC0BE8090}"/>
    <cellStyle name="Normal 9 11 4" xfId="8989" xr:uid="{6D9B497E-7446-42E1-A136-EB6E932C78FF}"/>
    <cellStyle name="Normal 9 11 4 2" xfId="32860" xr:uid="{0FBFDB0B-43A3-4CFA-AA54-9862272D6C0D}"/>
    <cellStyle name="Normal 9 11 5" xfId="32861" xr:uid="{A5F393FA-9207-4877-B382-7AC8A10CF99C}"/>
    <cellStyle name="Normal 9 11 6" xfId="32862" xr:uid="{5CD46533-6078-4A90-B0B2-FC220805A2F8}"/>
    <cellStyle name="Normal 9 11 7" xfId="32863" xr:uid="{F3F31FE0-9FCE-4FE7-830A-A51C56C100EC}"/>
    <cellStyle name="Normal 9 12" xfId="3118" xr:uid="{5BD862AB-93AF-415D-82C6-1926D0C07EDD}"/>
    <cellStyle name="Normal 9 12 10" xfId="14015" xr:uid="{3987BB5F-F42C-41C5-97A5-E1FDBE38DBAE}"/>
    <cellStyle name="Normal 9 12 2" xfId="5098" xr:uid="{A266B36A-E4D0-45EC-A5D3-EF0A1B31FB8C}"/>
    <cellStyle name="Normal 9 12 2 2" xfId="5792" xr:uid="{A5C220B2-9B85-4BF8-9131-7CAE63D50458}"/>
    <cellStyle name="Normal 9 12 2 2 2" xfId="10386" xr:uid="{CEE6DC35-7060-449A-8FBE-81136B7AD341}"/>
    <cellStyle name="Normal 9 12 2 2 2 2" xfId="13692" xr:uid="{FBEB22C6-4CF7-49CD-8CA3-D0759DFBD7F3}"/>
    <cellStyle name="Normal 9 12 2 2 2 3" xfId="22150" xr:uid="{AE5845DA-DD3C-4E4A-BB0B-DE94066F1D5D}"/>
    <cellStyle name="Normal 9 12 2 2 3" xfId="7894" xr:uid="{B3C88EAD-3617-4FF8-BE00-2E857E905366}"/>
    <cellStyle name="Normal 9 12 2 2 3 2" xfId="18533" xr:uid="{8811D216-0E73-45AE-8F68-E877DF59C028}"/>
    <cellStyle name="Normal 9 12 2 2 4" xfId="12407" xr:uid="{9DF5B3AC-C090-4BD6-A80D-D06FF28D2878}"/>
    <cellStyle name="Normal 9 12 2 2 5" xfId="14821" xr:uid="{7F1ABCB4-3D0B-4192-9CD3-599072A8741C}"/>
    <cellStyle name="Normal 9 12 2 3" xfId="11263" xr:uid="{3F4B8F5C-367D-4317-A590-69DE52D08A62}"/>
    <cellStyle name="Normal 9 12 2 3 2" xfId="13822" xr:uid="{B6F9F5A5-A6F0-4938-934C-A85053E0EED2}"/>
    <cellStyle name="Normal 9 12 2 3 2 2" xfId="48719" xr:uid="{0AD20BD3-5916-4B7D-9D64-0308B0AC9BC0}"/>
    <cellStyle name="Normal 9 12 2 3 3" xfId="32864" xr:uid="{4C711C66-1357-41A5-A15E-C523BFBC62DA}"/>
    <cellStyle name="Normal 9 12 2 3 4" xfId="15136" xr:uid="{C1A9285D-71B4-464C-A075-C041AE301565}"/>
    <cellStyle name="Normal 9 12 2 4" xfId="9892" xr:uid="{89CA1DC7-02E8-41E9-91A5-87308F5D9B6F}"/>
    <cellStyle name="Normal 9 12 2 4 2" xfId="13198" xr:uid="{32F2DC32-446F-481E-8BEA-000A8BDED108}"/>
    <cellStyle name="Normal 9 12 2 4 2 2" xfId="49201" xr:uid="{C50E9884-9B20-4264-81D2-16C7FD0FDB67}"/>
    <cellStyle name="Normal 9 12 2 4 3" xfId="32865" xr:uid="{0D3103E0-FA65-42F5-8FC0-8225C02EC44F}"/>
    <cellStyle name="Normal 9 12 2 5" xfId="7390" xr:uid="{558D63D8-0EDD-4B44-A2F7-B42F14698661}"/>
    <cellStyle name="Normal 9 12 2 5 2" xfId="32866" xr:uid="{F25EAB76-B706-4BCC-A8FC-C2E0D3AB340C}"/>
    <cellStyle name="Normal 9 12 2 6" xfId="11913" xr:uid="{9942D5A7-982B-44DE-AB72-F0B16942D877}"/>
    <cellStyle name="Normal 9 12 2 6 2" xfId="32867" xr:uid="{64C38194-4823-44C5-8F81-7BEC90E22A85}"/>
    <cellStyle name="Normal 9 12 2 7" xfId="16797" xr:uid="{14A5C1C3-DD93-4148-A564-71963E7F43A8}"/>
    <cellStyle name="Normal 9 12 2 8" xfId="14329" xr:uid="{8F604B3A-FE36-488C-AF8D-34801D2B12FB}"/>
    <cellStyle name="Normal 9 12 3" xfId="5616" xr:uid="{73EB04F6-F3A9-4642-9FC5-DDCA9A803981}"/>
    <cellStyle name="Normal 9 12 3 2" xfId="7718" xr:uid="{A61B5133-F6A0-4E14-9A83-C93D47239935}"/>
    <cellStyle name="Normal 9 12 3 2 2" xfId="10210" xr:uid="{F0772244-D6B5-4F0C-973E-228D6F95B264}"/>
    <cellStyle name="Normal 9 12 3 2 2 2" xfId="13516" xr:uid="{D6CD5F03-6BCC-4C34-AF62-84191638F0A1}"/>
    <cellStyle name="Normal 9 12 3 2 2 3" xfId="22151" xr:uid="{201C41DA-B997-43E8-9767-E79B9CC0ABDF}"/>
    <cellStyle name="Normal 9 12 3 2 3" xfId="12231" xr:uid="{A6F3A518-2E87-495C-8D72-E215961C6E2E}"/>
    <cellStyle name="Normal 9 12 3 2 3 2" xfId="18534" xr:uid="{8E2478F9-028F-4F4D-A76A-446EAB6AF5D6}"/>
    <cellStyle name="Normal 9 12 3 2 4" xfId="14645" xr:uid="{EF5EB107-C8A5-4C6F-9C54-0E4B5F8826F5}"/>
    <cellStyle name="Normal 9 12 3 3" xfId="9716" xr:uid="{92F1BCCF-820A-47AF-8A34-3BBDA9D7AC4E}"/>
    <cellStyle name="Normal 9 12 3 3 2" xfId="13022" xr:uid="{B4F12ADD-99BE-463D-90F8-601C37F2DB18}"/>
    <cellStyle name="Normal 9 12 3 3 3" xfId="20706" xr:uid="{2C6D0720-7C0B-4635-B0E6-13FE461A6BFF}"/>
    <cellStyle name="Normal 9 12 3 4" xfId="7212" xr:uid="{87AE5D45-F175-4613-823F-89A22E835146}"/>
    <cellStyle name="Normal 9 12 3 4 2" xfId="16558" xr:uid="{9C56B441-3AEB-4374-9FA7-131E23D7E467}"/>
    <cellStyle name="Normal 9 12 3 5" xfId="11737" xr:uid="{980722EA-41D5-48D8-A0F0-BF964BA344B1}"/>
    <cellStyle name="Normal 9 12 3 6" xfId="14153" xr:uid="{DF3982FC-3F6B-4EF4-93D4-AEE016476758}"/>
    <cellStyle name="Normal 9 12 4" xfId="6903" xr:uid="{BB490B12-6B64-4BA6-93A5-816CBB4D35C5}"/>
    <cellStyle name="Normal 9 12 4 2" xfId="9578" xr:uid="{B02F9329-B569-4987-B923-8A356F4F73FE}"/>
    <cellStyle name="Normal 9 12 4 2 2" xfId="12884" xr:uid="{F33F3672-59E0-4D72-AD06-BC8D8087A9DA}"/>
    <cellStyle name="Normal 9 12 4 2 3" xfId="22149" xr:uid="{BAB58580-83F4-4D8D-ADBC-B4E5B24FB573}"/>
    <cellStyle name="Normal 9 12 4 3" xfId="11599" xr:uid="{696B6966-26B1-4B91-9726-E060A8214738}"/>
    <cellStyle name="Normal 9 12 4 3 2" xfId="18532" xr:uid="{C76CAAF3-2A6A-46A7-A09B-2BD7EBC5F712}"/>
    <cellStyle name="Normal 9 12 4 4" xfId="14507" xr:uid="{CCA8D8AE-08FD-4058-8E5D-0F887033E417}"/>
    <cellStyle name="Normal 9 12 5" xfId="7580" xr:uid="{99C29E55-6FC6-428E-A15A-C100DC8C07D4}"/>
    <cellStyle name="Normal 9 12 5 2" xfId="10072" xr:uid="{0EE45143-1D58-420C-AC50-DD5B16C1F7D2}"/>
    <cellStyle name="Normal 9 12 5 2 2" xfId="13378" xr:uid="{7BF3E1CA-5C5A-4319-9C1E-B8E579E937F1}"/>
    <cellStyle name="Normal 9 12 5 2 3" xfId="48585" xr:uid="{3D6F8C8A-BC76-4300-AC8E-AE6EA1A2483D}"/>
    <cellStyle name="Normal 9 12 5 3" xfId="12093" xr:uid="{50325684-8F6E-40E4-8729-65A62E2F7ECA}"/>
    <cellStyle name="Normal 9 12 5 3 2" xfId="32868" xr:uid="{C6F9243F-2A9D-4DF7-B1A6-E956788D2974}"/>
    <cellStyle name="Normal 9 12 5 4" xfId="14960" xr:uid="{20075D1A-4A4C-4D1D-8795-C1650C61AAFC}"/>
    <cellStyle name="Normal 9 12 6" xfId="8990" xr:uid="{1AE9690D-8049-43D0-B2E1-FFAD174E95D7}"/>
    <cellStyle name="Normal 9 12 6 2" xfId="12702" xr:uid="{F751D503-ED9B-4525-816D-02F14776A87C}"/>
    <cellStyle name="Normal 9 12 6 2 2" xfId="48892" xr:uid="{C4089257-F9B8-4AC6-8FA2-32457DE739F4}"/>
    <cellStyle name="Normal 9 12 6 3" xfId="32869" xr:uid="{95F4DD59-8B9F-4C88-825A-9151CF7E2419}"/>
    <cellStyle name="Normal 9 12 7" xfId="8033" xr:uid="{798F9865-3A82-49C4-9B2C-693F237BFB0A}"/>
    <cellStyle name="Normal 9 12 7 2" xfId="12546" xr:uid="{FEFD1DB7-2010-4F77-B820-95CEEC7E705E}"/>
    <cellStyle name="Normal 9 12 7 3" xfId="32870" xr:uid="{005A6C27-8471-403F-A887-57F4A30D4ECD}"/>
    <cellStyle name="Normal 9 12 8" xfId="5930" xr:uid="{432C2AA1-7963-4DD1-AE46-B954A9880546}"/>
    <cellStyle name="Normal 9 12 8 2" xfId="32871" xr:uid="{7291630A-4875-42AA-94ED-BB471C893E63}"/>
    <cellStyle name="Normal 9 12 9" xfId="11418" xr:uid="{2800D3F4-C03C-405B-B517-3F5D416E7963}"/>
    <cellStyle name="Normal 9 12 9 2" xfId="15379" xr:uid="{A13E9B76-749E-44A0-BA50-36F00BA7B0CC}"/>
    <cellStyle name="Normal 9 13" xfId="5095" xr:uid="{D3AB911B-57E9-4F12-99F8-F59197F3CB86}"/>
    <cellStyle name="Normal 9 13 2" xfId="5791" xr:uid="{C487EB60-E379-4964-A190-E21D6494F0D0}"/>
    <cellStyle name="Normal 9 13 2 2" xfId="7893" xr:uid="{122406C6-A810-41C8-94C6-7A09CE575A07}"/>
    <cellStyle name="Normal 9 13 2 2 2" xfId="10385" xr:uid="{0B2D09AD-5A18-450B-AF04-CA8FE97D614B}"/>
    <cellStyle name="Normal 9 13 2 2 2 2" xfId="13691" xr:uid="{00F7667C-CDF4-428D-AACB-A82D2CFE962B}"/>
    <cellStyle name="Normal 9 13 2 2 2 3" xfId="49200" xr:uid="{C3524540-35CB-44A8-A6FB-3AA72E4D4DC6}"/>
    <cellStyle name="Normal 9 13 2 2 3" xfId="12406" xr:uid="{801BD838-E6B9-4F79-AAFB-217064E3201E}"/>
    <cellStyle name="Normal 9 13 2 2 3 2" xfId="47614" xr:uid="{D9C2A7E5-8273-4656-99EF-138A634EBE01}"/>
    <cellStyle name="Normal 9 13 2 2 4" xfId="14820" xr:uid="{93705644-C2F0-4260-9B88-BED19E2625BB}"/>
    <cellStyle name="Normal 9 13 2 3" xfId="9891" xr:uid="{BB50B1B0-3941-4184-A726-6A2289BE74FC}"/>
    <cellStyle name="Normal 9 13 2 3 2" xfId="13197" xr:uid="{835A1822-3CFB-46C3-A13D-A62936F870D5}"/>
    <cellStyle name="Normal 9 13 2 3 3" xfId="48340" xr:uid="{EB7C600C-3DEA-478E-8E0D-86310FA58F56}"/>
    <cellStyle name="Normal 9 13 2 4" xfId="7389" xr:uid="{8EC576C9-5482-4C68-B122-B14E52E3BEB4}"/>
    <cellStyle name="Normal 9 13 2 4 2" xfId="22144" xr:uid="{541A664B-652F-4496-B64A-2850552A095C}"/>
    <cellStyle name="Normal 9 13 2 5" xfId="11912" xr:uid="{81E91E57-DE7A-46A5-BB3D-8EBDF4B68E10}"/>
    <cellStyle name="Normal 9 13 2 6" xfId="14328" xr:uid="{0A4A8639-B843-4DB4-A2AB-A0BC85A4876A}"/>
    <cellStyle name="Normal 9 13 3" xfId="7579" xr:uid="{9E1FF40E-DE9B-45B3-A66C-5BC859520A63}"/>
    <cellStyle name="Normal 9 13 3 2" xfId="10071" xr:uid="{D45BD263-7929-4398-B361-717E5CCE1183}"/>
    <cellStyle name="Normal 9 13 3 2 2" xfId="13377" xr:uid="{A8C48E2B-6F66-4525-9B79-A7F15CE5D7E5}"/>
    <cellStyle name="Normal 9 13 3 2 3" xfId="48037" xr:uid="{42B97A15-4F82-4AC2-9F5B-4A1251640C11}"/>
    <cellStyle name="Normal 9 13 3 3" xfId="12092" xr:uid="{26F6B790-6718-44BA-9AD9-C2F3F94B205A}"/>
    <cellStyle name="Normal 9 13 3 3 2" xfId="46362" xr:uid="{951FFC4D-9896-47FA-9F2C-BFCBD595A605}"/>
    <cellStyle name="Normal 9 13 3 4" xfId="14506" xr:uid="{932FB9C3-93B3-48C5-B245-B4A341231627}"/>
    <cellStyle name="Normal 9 13 4" xfId="11192" xr:uid="{D078C4C3-D90B-497D-8646-9CB59139837A}"/>
    <cellStyle name="Normal 9 13 4 2" xfId="13780" xr:uid="{34CC7202-DDE1-49B0-B694-812946B27047}"/>
    <cellStyle name="Normal 9 13 4 2 2" xfId="48584" xr:uid="{D706982A-2291-428E-84D6-CA26B048F7B3}"/>
    <cellStyle name="Normal 9 13 4 3" xfId="47019" xr:uid="{AE979C6A-E701-4D96-9A7A-658860595BAA}"/>
    <cellStyle name="Normal 9 13 4 4" xfId="15135" xr:uid="{7AC92F08-8957-43AC-881A-42C76C2D1C34}"/>
    <cellStyle name="Normal 9 13 5" xfId="10502" xr:uid="{68C2FEDF-EA41-4C52-8F1F-CAD30C36B896}"/>
    <cellStyle name="Normal 9 13 5 2" xfId="48891" xr:uid="{23C4FD29-5890-4C16-8926-DF2FEBEFA6B2}"/>
    <cellStyle name="Normal 9 13 5 3" xfId="47316" xr:uid="{3C047DF7-6948-4AB7-8E03-A401102CDC99}"/>
    <cellStyle name="Normal 9 13 6" xfId="9577" xr:uid="{025343A5-70DD-4309-917C-66D68598AD41}"/>
    <cellStyle name="Normal 9 13 6 2" xfId="12883" xr:uid="{A934C07C-6906-4AEA-9385-AE602F344D05}"/>
    <cellStyle name="Normal 9 13 6 3" xfId="47815" xr:uid="{1B109106-0C24-41CE-9A6E-30F1690A81B4}"/>
    <cellStyle name="Normal 9 13 7" xfId="6900" xr:uid="{F4B4A040-0AC4-45D9-A6DD-42F4ED0DF0C3}"/>
    <cellStyle name="Normal 9 13 7 2" xfId="18527" xr:uid="{CB1C7BD3-A564-46FE-B1E4-984816527FD6}"/>
    <cellStyle name="Normal 9 13 8" xfId="11598" xr:uid="{6398A4F5-649A-4832-97BC-9823EBB9C23F}"/>
    <cellStyle name="Normal 9 13 9" xfId="14014" xr:uid="{91CAE8C8-8B25-441B-A50E-26DB4A38C7B2}"/>
    <cellStyle name="Normal 9 14" xfId="4183" xr:uid="{F16153CB-188B-448C-80A5-B85DFD42FEB9}"/>
    <cellStyle name="Normal 9 14 2" xfId="23410" xr:uid="{1FAB2FB9-102B-4E46-86E3-D737E52CF0FA}"/>
    <cellStyle name="Normal 9 14 3" xfId="43999" xr:uid="{04D35A02-99FA-4735-A37C-4D0834868673}"/>
    <cellStyle name="Normal 9 14 4" xfId="19790" xr:uid="{0E969CCF-ABDB-4415-B7A1-FB6B66DB1F46}"/>
    <cellStyle name="Normal 9 15" xfId="5615" xr:uid="{E81801C6-4FD2-465F-8A7D-E8B8CDC0D5D6}"/>
    <cellStyle name="Normal 9 15 2" xfId="7717" xr:uid="{E0DC03A5-2EB5-4AC6-A9AA-EA6EA50006CE}"/>
    <cellStyle name="Normal 9 15 2 2" xfId="10209" xr:uid="{93BF410C-5632-4910-8FD2-C0AD079B10E1}"/>
    <cellStyle name="Normal 9 15 2 2 2" xfId="13515" xr:uid="{BF728E80-EF1F-417D-8E7C-E96020622601}"/>
    <cellStyle name="Normal 9 15 2 2 3" xfId="49028" xr:uid="{43EB58A6-96F3-437B-B352-E270F790FC70}"/>
    <cellStyle name="Normal 9 15 2 3" xfId="12230" xr:uid="{22AAD152-041E-4CE7-9B86-01EA91C4F41F}"/>
    <cellStyle name="Normal 9 15 2 3 2" xfId="47447" xr:uid="{F5B47E27-5CA8-4886-9BAD-CBFE1B1EB931}"/>
    <cellStyle name="Normal 9 15 2 4" xfId="14644" xr:uid="{8140AFDC-3A59-4384-8219-759B39C341CE}"/>
    <cellStyle name="Normal 9 15 3" xfId="9715" xr:uid="{403F0743-0811-477D-97C7-93606FE106D5}"/>
    <cellStyle name="Normal 9 15 3 2" xfId="13021" xr:uid="{5FAE43DB-B225-4A7B-8AFE-FB9AEBE0E042}"/>
    <cellStyle name="Normal 9 15 3 3" xfId="48173" xr:uid="{9036F1CB-2EA4-4952-8EF8-03076BCA77E4}"/>
    <cellStyle name="Normal 9 15 4" xfId="7211" xr:uid="{7175DD5F-0364-4F06-82EB-C00DCF4E717A}"/>
    <cellStyle name="Normal 9 15 4 2" xfId="32872" xr:uid="{52A002DE-8BC6-42BF-AB6B-80B5990689CA}"/>
    <cellStyle name="Normal 9 15 5" xfId="11736" xr:uid="{85D2D32E-64D5-45FE-AB31-3BC5956EA803}"/>
    <cellStyle name="Normal 9 15 6" xfId="14152" xr:uid="{C4AAD242-2687-4548-8C5F-1F7D4440204D}"/>
    <cellStyle name="Normal 9 16" xfId="6250" xr:uid="{F4B8F606-35C4-4E33-9897-737AA58FA5E1}"/>
    <cellStyle name="Normal 9 16 2" xfId="45909" xr:uid="{08B772B1-539F-46DB-819D-2E3070F8E3C5}"/>
    <cellStyle name="Normal 9 16 3" xfId="32873" xr:uid="{D3BD146F-D22F-4BE9-A1EA-4B09A54C2A75}"/>
    <cellStyle name="Normal 9 16 4" xfId="14959" xr:uid="{B7EA7780-3CE9-47A5-A711-00BD0007E078}"/>
    <cellStyle name="Normal 9 17" xfId="8987" xr:uid="{0037F196-C280-4FB3-94C8-CA077819309A}"/>
    <cellStyle name="Normal 9 17 2" xfId="12701" xr:uid="{15F23C4B-77E9-4E64-80B3-AC4D19700AAD}"/>
    <cellStyle name="Normal 9 17 3" xfId="32874" xr:uid="{A7A15C3C-D801-42F1-97E2-A290F0F34416}"/>
    <cellStyle name="Normal 9 18" xfId="8032" xr:uid="{7D71799E-78DC-44BA-BE7C-0FF955803B3E}"/>
    <cellStyle name="Normal 9 18 2" xfId="12545" xr:uid="{FB7C79C5-0BE3-436F-A423-A2DE421EE138}"/>
    <cellStyle name="Normal 9 18 3" xfId="32875" xr:uid="{BC43621F-D404-48FC-9E54-0AC58F4CF212}"/>
    <cellStyle name="Normal 9 19" xfId="5929" xr:uid="{55687042-D9F6-4987-BFB3-E60DF328B2B7}"/>
    <cellStyle name="Normal 9 19 2" xfId="32876" xr:uid="{6BF073F5-5C80-4619-8034-BA430A41D2AD}"/>
    <cellStyle name="Normal 9 2" xfId="3119" xr:uid="{D88AE82D-92EF-4E88-B830-1E0282268F8C}"/>
    <cellStyle name="Normal 9 2 2" xfId="5099" xr:uid="{58B949D6-462A-40BC-8041-CC2AE86E0CF7}"/>
    <cellStyle name="Normal 9 2 2 2" xfId="18536" xr:uid="{56AED81B-D822-4CC9-8281-24A1611B4FE7}"/>
    <cellStyle name="Normal 9 2 2 2 2" xfId="22153" xr:uid="{77E22BFF-166B-41FC-BCCB-930C6307DBA8}"/>
    <cellStyle name="Normal 9 2 2 3" xfId="32877" xr:uid="{6FA94E28-E790-4C67-BC52-FC10CC649BAE}"/>
    <cellStyle name="Normal 9 2 2 4" xfId="32878" xr:uid="{8EA9058F-E5F5-4631-B7E0-76421EF88D05}"/>
    <cellStyle name="Normal 9 2 2 5" xfId="32879" xr:uid="{22DA5102-84B3-4435-8461-F5372FF0417C}"/>
    <cellStyle name="Normal 9 2 2 6" xfId="32880" xr:uid="{94353F36-99CB-4E7F-A0D1-031A34EAA094}"/>
    <cellStyle name="Normal 9 2 3" xfId="4184" xr:uid="{9D73664F-161E-43EE-BD03-0DEBE23A855A}"/>
    <cellStyle name="Normal 9 2 3 2" xfId="22152" xr:uid="{4479BA70-5D20-4F3D-8E5B-1104CE4C41CE}"/>
    <cellStyle name="Normal 9 2 3 3" xfId="44000" xr:uid="{6A76FFF8-040D-4F56-A62B-215EA70E98DA}"/>
    <cellStyle name="Normal 9 2 3 4" xfId="18535" xr:uid="{2DDCF073-BED9-490A-AB55-65F8ABB693FB}"/>
    <cellStyle name="Normal 9 2 4" xfId="6251" xr:uid="{E9BE3320-0C37-4AA3-940A-F1EC47C65800}"/>
    <cellStyle name="Normal 9 2 4 2" xfId="45910" xr:uid="{CCB5C501-A674-4263-9332-7DD32CDEF809}"/>
    <cellStyle name="Normal 9 2 4 3" xfId="32881" xr:uid="{2F0E064C-18CD-40C3-B032-D455D445C0A8}"/>
    <cellStyle name="Normal 9 2 5" xfId="8991" xr:uid="{C0D59EC2-551F-40A0-B259-0E2821ECC280}"/>
    <cellStyle name="Normal 9 2 5 2" xfId="32882" xr:uid="{CB93E697-11CF-4092-AA7B-93F1317E3277}"/>
    <cellStyle name="Normal 9 2 6" xfId="32883" xr:uid="{BC33F43D-8E1C-4BD9-9FC5-E918F19C5BBF}"/>
    <cellStyle name="Normal 9 2 7" xfId="32884" xr:uid="{62C50F6D-F8A9-49D8-9CC1-D9368ED47D99}"/>
    <cellStyle name="Normal 9 2 8" xfId="32885" xr:uid="{5240B6B5-CF9C-4A46-B438-E16BE6F70271}"/>
    <cellStyle name="Normal 9 20" xfId="11417" xr:uid="{A1384590-46F7-4452-9A19-ED4B57EC743B}"/>
    <cellStyle name="Normal 9 3" xfId="3120" xr:uid="{5A531946-CF8C-49EE-8501-C422A1B7AF3B}"/>
    <cellStyle name="Normal 9 3 10" xfId="32886" xr:uid="{5AB8A743-75E2-41FF-A56E-D44686BACFC1}"/>
    <cellStyle name="Normal 9 3 2" xfId="5100" xr:uid="{B8BBB0E6-A1B1-4C73-BC2D-0D5119A981E3}"/>
    <cellStyle name="Normal 9 3 2 2" xfId="18538" xr:uid="{AFB288B4-1C5C-4A29-96C6-B616953C6F38}"/>
    <cellStyle name="Normal 9 3 2 2 2" xfId="22155" xr:uid="{D9230A7F-AE18-4B5C-A67C-7A629F2E205D}"/>
    <cellStyle name="Normal 9 3 2 3" xfId="32887" xr:uid="{87C2711A-901C-4925-B092-A52E5F77CD66}"/>
    <cellStyle name="Normal 9 3 2 4" xfId="32888" xr:uid="{6F5D66F2-4DA3-4F9D-80FA-77D0A07C1921}"/>
    <cellStyle name="Normal 9 3 2 5" xfId="32889" xr:uid="{8C8B8A02-3806-46A2-8905-12F208A44144}"/>
    <cellStyle name="Normal 9 3 2 6" xfId="32890" xr:uid="{8BBF4547-39A2-42DE-A567-84FB819DB0CF}"/>
    <cellStyle name="Normal 9 3 3" xfId="4185" xr:uid="{A713DB83-DECB-49C3-AB31-7892C4AB0AF6}"/>
    <cellStyle name="Normal 9 3 3 2" xfId="18539" xr:uid="{9BBC477A-2E6D-4D81-94F9-7CF0E8D1EB61}"/>
    <cellStyle name="Normal 9 3 3 2 2" xfId="22156" xr:uid="{A623A1E8-B6A3-4400-B609-AA03C5B267A3}"/>
    <cellStyle name="Normal 9 3 3 3" xfId="20722" xr:uid="{EE7E4A3E-0A55-4512-8F43-E12572CA088C}"/>
    <cellStyle name="Normal 9 3 3 4" xfId="44001" xr:uid="{4A802A02-6719-4C84-8D52-E2B4A624C2F3}"/>
    <cellStyle name="Normal 9 3 3 5" xfId="16621" xr:uid="{E6B9D35C-24C5-4745-88DF-97D936B77A84}"/>
    <cellStyle name="Normal 9 3 4" xfId="6252" xr:uid="{F90DB0D5-60F0-434E-84C1-6EA3C9271CEB}"/>
    <cellStyle name="Normal 9 3 4 2" xfId="22157" xr:uid="{EE431971-2AB3-41B1-B426-FF2C2262D30C}"/>
    <cellStyle name="Normal 9 3 4 3" xfId="45911" xr:uid="{398C5168-FB8A-4253-AEC8-3BEEC5A731EA}"/>
    <cellStyle name="Normal 9 3 4 4" xfId="18540" xr:uid="{B91A1F44-5576-4FBD-AD89-97D4D73D57DD}"/>
    <cellStyle name="Normal 9 3 5" xfId="8992" xr:uid="{261CEA3A-7A15-4CEA-8194-30362BD9B314}"/>
    <cellStyle name="Normal 9 3 5 2" xfId="22154" xr:uid="{C9B2AF53-AEBF-4FBB-A90A-F5AEF344D682}"/>
    <cellStyle name="Normal 9 3 5 3" xfId="18537" xr:uid="{8473A890-B1C5-4495-B37D-2310FC11FB47}"/>
    <cellStyle name="Normal 9 3 6" xfId="32891" xr:uid="{4EB73179-3E58-4C4D-AACC-88F002A8D344}"/>
    <cellStyle name="Normal 9 3 7" xfId="32892" xr:uid="{19E43635-443D-4984-B84D-07C714CD6F3D}"/>
    <cellStyle name="Normal 9 3 8" xfId="32893" xr:uid="{56C34AEE-D46C-4393-8391-B4A095E7A47E}"/>
    <cellStyle name="Normal 9 3 9" xfId="32894" xr:uid="{8125D0BE-69F7-4309-A378-17FC769EDEF9}"/>
    <cellStyle name="Normal 9 4" xfId="3121" xr:uid="{7C36A178-91ED-4A3B-B9E4-80524FF70FFA}"/>
    <cellStyle name="Normal 9 4 2" xfId="5101" xr:uid="{66385583-B54D-47FF-BAF8-D6AA80D37409}"/>
    <cellStyle name="Normal 9 4 2 2" xfId="18542" xr:uid="{8768B80A-0E0E-4B37-8595-1B77C0D4E6D4}"/>
    <cellStyle name="Normal 9 4 2 2 2" xfId="22159" xr:uid="{2562F8FB-0D0A-42FE-950E-4078FE7F693E}"/>
    <cellStyle name="Normal 9 4 2 3" xfId="32895" xr:uid="{91789748-D51B-4BE4-976B-7F51EE5F9048}"/>
    <cellStyle name="Normal 9 4 2 4" xfId="32896" xr:uid="{92713F64-6147-451F-9406-58E21A2DE7C2}"/>
    <cellStyle name="Normal 9 4 2 5" xfId="32897" xr:uid="{4C90ED76-C90B-4C92-87F4-CB0F0AF85166}"/>
    <cellStyle name="Normal 9 4 2 6" xfId="32898" xr:uid="{54B09FE8-1AD8-4D72-B445-5F2209E2E1D3}"/>
    <cellStyle name="Normal 9 4 3" xfId="4186" xr:uid="{12CFB318-DD8C-479D-B884-C7891D3B6BB6}"/>
    <cellStyle name="Normal 9 4 3 2" xfId="22158" xr:uid="{73D1BA42-4AFE-4206-93C1-4DC3E746FFE0}"/>
    <cellStyle name="Normal 9 4 3 3" xfId="44002" xr:uid="{2E9A11EF-7FEF-4E25-BC6A-1AD7AE523882}"/>
    <cellStyle name="Normal 9 4 3 4" xfId="18541" xr:uid="{B79F16C1-29C4-4574-BA1B-7051B1D916AD}"/>
    <cellStyle name="Normal 9 4 4" xfId="6253" xr:uid="{9B4C83F9-E5D9-4AFF-8517-758635089C9A}"/>
    <cellStyle name="Normal 9 4 4 2" xfId="45912" xr:uid="{14D78617-2635-4B92-88A0-44441DCB8ED9}"/>
    <cellStyle name="Normal 9 4 4 3" xfId="32899" xr:uid="{1D8E8D9A-5CB2-49C8-BADE-E4B89F0D5869}"/>
    <cellStyle name="Normal 9 4 5" xfId="8993" xr:uid="{DB396689-44F8-4ECA-8624-D4BE0915C120}"/>
    <cellStyle name="Normal 9 4 5 2" xfId="32900" xr:uid="{5A6AAD84-1250-49B1-9DC5-4DB6300D5A01}"/>
    <cellStyle name="Normal 9 4 6" xfId="32901" xr:uid="{219AD1CF-A477-48CC-9CFC-95D2CEA5E109}"/>
    <cellStyle name="Normal 9 4 7" xfId="32902" xr:uid="{66D10735-165E-4E18-8491-A8B670D246B0}"/>
    <cellStyle name="Normal 9 4 8" xfId="32903" xr:uid="{19AA6552-DD29-410C-9654-574BBC34A209}"/>
    <cellStyle name="Normal 9 5" xfId="3122" xr:uid="{80FF8637-B8FB-4FC2-B067-2CB8054AEDC3}"/>
    <cellStyle name="Normal 9 5 10" xfId="8034" xr:uid="{7B328706-1E5B-4C70-B686-AABB80476EAB}"/>
    <cellStyle name="Normal 9 5 10 2" xfId="12547" xr:uid="{A1EE2750-83F3-46E6-9F0A-F7787F09335B}"/>
    <cellStyle name="Normal 9 5 10 3" xfId="47650" xr:uid="{821186EE-A91B-4A87-BF41-FEB08CB36237}"/>
    <cellStyle name="Normal 9 5 11" xfId="5931" xr:uid="{7754FCD9-2BB8-4CE4-83DE-23F431BFC266}"/>
    <cellStyle name="Normal 9 5 12" xfId="11419" xr:uid="{BC8AAAF3-B893-42E2-9EFD-937BC83B6FC6}"/>
    <cellStyle name="Normal 9 5 13" xfId="13879" xr:uid="{80FDD3E9-B9D2-4444-AD52-2055E7DE0506}"/>
    <cellStyle name="Normal 9 5 2" xfId="3123" xr:uid="{D13466BD-1764-4B5F-A7E1-F0710E4676C6}"/>
    <cellStyle name="Normal 9 5 2 2" xfId="5103" xr:uid="{6FE23C44-BBB8-4D80-9D66-D410EC7E3BDA}"/>
    <cellStyle name="Normal 9 5 2 2 2" xfId="18545" xr:uid="{4DF39932-B741-47C5-8AA6-CEB5F5DEB231}"/>
    <cellStyle name="Normal 9 5 2 2 2 2" xfId="22162" xr:uid="{9FEB6943-73CB-4E7E-8379-30E2D48AEA73}"/>
    <cellStyle name="Normal 9 5 2 2 3" xfId="32904" xr:uid="{29022ADF-6924-483F-B939-B94D41D19D51}"/>
    <cellStyle name="Normal 9 5 2 2 4" xfId="32905" xr:uid="{B6F6F5A1-5409-4F58-ABDD-B07DE22B4F18}"/>
    <cellStyle name="Normal 9 5 2 2 5" xfId="32906" xr:uid="{C4949C03-B0DA-44E5-A3D3-1D909FDABEEC}"/>
    <cellStyle name="Normal 9 5 2 2 6" xfId="32907" xr:uid="{1EBA924D-D51B-4483-9204-82E850AE7A51}"/>
    <cellStyle name="Normal 9 5 2 3" xfId="6905" xr:uid="{AB42BD53-4EA4-4CF9-A644-8ECB1829231C}"/>
    <cellStyle name="Normal 9 5 2 3 2" xfId="18546" xr:uid="{03531D03-F851-41DF-9C26-B1695A65A133}"/>
    <cellStyle name="Normal 9 5 2 3 2 2" xfId="22163" xr:uid="{C8119C65-1F5A-4CAB-816C-9332DD144971}"/>
    <cellStyle name="Normal 9 5 2 3 3" xfId="20707" xr:uid="{6A14C164-A7C8-4924-82F4-5873C07B3380}"/>
    <cellStyle name="Normal 9 5 2 3 4" xfId="46366" xr:uid="{1C9A19A0-179A-4B31-A938-87848E99FB35}"/>
    <cellStyle name="Normal 9 5 2 3 5" xfId="16559" xr:uid="{8B6971C7-30E7-45B4-8141-92BD60CE534D}"/>
    <cellStyle name="Normal 9 5 2 4" xfId="8995" xr:uid="{4B8817D9-5633-47CF-96E8-6FE14F0E4711}"/>
    <cellStyle name="Normal 9 5 2 4 2" xfId="22161" xr:uid="{0A85905A-D558-4487-82D5-3B0942E6F4C7}"/>
    <cellStyle name="Normal 9 5 2 4 3" xfId="18544" xr:uid="{A18529C9-365D-45D5-BFDE-49C9941B3C99}"/>
    <cellStyle name="Normal 9 5 2 5" xfId="32908" xr:uid="{51949050-35BF-4A24-94BD-2990C1354911}"/>
    <cellStyle name="Normal 9 5 2 6" xfId="32909" xr:uid="{B804E20A-852E-439F-815C-799FB784816F}"/>
    <cellStyle name="Normal 9 5 2 7" xfId="32910" xr:uid="{0317FB51-DF46-4DAF-9976-C4EB7B574A07}"/>
    <cellStyle name="Normal 9 5 2 8" xfId="32911" xr:uid="{D375D8F7-905C-46EF-9548-1E51E69C5AD9}"/>
    <cellStyle name="Normal 9 5 3" xfId="3124" xr:uid="{96E49506-FC3F-4B99-84CC-F956615EF5C7}"/>
    <cellStyle name="Normal 9 5 3 10" xfId="14017" xr:uid="{C93B94B7-D952-499B-84F6-882739F99673}"/>
    <cellStyle name="Normal 9 5 3 2" xfId="5104" xr:uid="{48DE0D9A-5F50-4264-B8A4-8A323796F581}"/>
    <cellStyle name="Normal 9 5 3 2 2" xfId="5794" xr:uid="{088C64E3-320F-4BA0-8BC6-C1134F93C8CD}"/>
    <cellStyle name="Normal 9 5 3 2 2 2" xfId="10388" xr:uid="{669AB939-557D-412A-B342-2894E3EF7169}"/>
    <cellStyle name="Normal 9 5 3 2 2 2 2" xfId="13694" xr:uid="{35A6CDA5-CA11-4A92-BA8C-DDF4E67BD038}"/>
    <cellStyle name="Normal 9 5 3 2 2 2 3" xfId="48342" xr:uid="{AE98A598-85DC-4399-AD27-A1F1A69A1509}"/>
    <cellStyle name="Normal 9 5 3 2 2 3" xfId="7896" xr:uid="{CB27E137-629B-48B2-8D79-CDC37B20B492}"/>
    <cellStyle name="Normal 9 5 3 2 2 3 2" xfId="46787" xr:uid="{AE71AEA5-817A-4FBF-A1CE-86C25E46C509}"/>
    <cellStyle name="Normal 9 5 3 2 2 4" xfId="12409" xr:uid="{D90478F0-30AD-4E39-B046-4FA36767B2D4}"/>
    <cellStyle name="Normal 9 5 3 2 2 5" xfId="14823" xr:uid="{194229EF-F25D-4A40-9681-48725FA7A76D}"/>
    <cellStyle name="Normal 9 5 3 2 3" xfId="11264" xr:uid="{6B2BE574-9773-46E0-B506-2F943C3F98F6}"/>
    <cellStyle name="Normal 9 5 3 2 3 2" xfId="13823" xr:uid="{C9F9EC43-DA65-4829-B96D-CE2A355B38F1}"/>
    <cellStyle name="Normal 9 5 3 2 3 2 2" xfId="48720" xr:uid="{4A289366-0812-4C8C-912A-3691BBC8E3AD}"/>
    <cellStyle name="Normal 9 5 3 2 3 3" xfId="47153" xr:uid="{40A374BC-96EE-4C51-824C-1D20258E0530}"/>
    <cellStyle name="Normal 9 5 3 2 3 4" xfId="15138" xr:uid="{303DE935-6FFD-46A1-9361-51F230E91604}"/>
    <cellStyle name="Normal 9 5 3 2 4" xfId="9894" xr:uid="{31696382-C094-4260-BE26-0EDBFFF6074C}"/>
    <cellStyle name="Normal 9 5 3 2 4 2" xfId="13200" xr:uid="{1F149CBE-1C0C-44B8-8E12-D4DC58D1606C}"/>
    <cellStyle name="Normal 9 5 3 2 4 2 2" xfId="49203" xr:uid="{EF8E9EA7-CD12-428A-8E49-5B2C3135B194}"/>
    <cellStyle name="Normal 9 5 3 2 4 3" xfId="47616" xr:uid="{14D01D64-EED6-4D67-B529-1FD734CD61FE}"/>
    <cellStyle name="Normal 9 5 3 2 5" xfId="7392" xr:uid="{AA021B0C-35AB-4DCB-8C92-CFD5AAD747EF}"/>
    <cellStyle name="Normal 9 5 3 2 5 2" xfId="47867" xr:uid="{FDD727E4-8343-4A47-8A92-00825DADF3C1}"/>
    <cellStyle name="Normal 9 5 3 2 6" xfId="11915" xr:uid="{1DD79F9F-55A6-4853-9FC7-95473EEC8D45}"/>
    <cellStyle name="Normal 9 5 3 2 6 2" xfId="22160" xr:uid="{2CAEB262-6A3C-43AA-8993-BE80331FED34}"/>
    <cellStyle name="Normal 9 5 3 2 7" xfId="14331" xr:uid="{8953EA25-7CCF-4C3C-8994-0106569821E5}"/>
    <cellStyle name="Normal 9 5 3 3" xfId="5618" xr:uid="{B3FFF3C5-4B09-47E0-8733-770C99328EE0}"/>
    <cellStyle name="Normal 9 5 3 3 2" xfId="7720" xr:uid="{C9226A87-CBA2-4602-B104-851F9849D0E8}"/>
    <cellStyle name="Normal 9 5 3 3 2 2" xfId="10212" xr:uid="{46412850-95B4-4467-9978-8C0B8271F17F}"/>
    <cellStyle name="Normal 9 5 3 3 2 2 2" xfId="13518" xr:uid="{8A2583B8-4061-4660-8976-9AC221E5574C}"/>
    <cellStyle name="Normal 9 5 3 3 2 2 3" xfId="49030" xr:uid="{A8C0D1D0-097A-48FA-B032-B4CFB4E96443}"/>
    <cellStyle name="Normal 9 5 3 3 2 3" xfId="12233" xr:uid="{25F35A71-CEF9-4942-AC2F-7EC93F853808}"/>
    <cellStyle name="Normal 9 5 3 3 2 3 2" xfId="47449" xr:uid="{09004C7B-9E40-4371-A38D-2931C6ACC068}"/>
    <cellStyle name="Normal 9 5 3 3 2 4" xfId="14647" xr:uid="{06FF3C37-8B7E-489B-A5E1-499393459B33}"/>
    <cellStyle name="Normal 9 5 3 3 3" xfId="9718" xr:uid="{B188FF06-7FEF-42BE-8B46-9E881766BDCD}"/>
    <cellStyle name="Normal 9 5 3 3 3 2" xfId="13024" xr:uid="{78F55831-8534-45F8-AFE6-145BAB9DD908}"/>
    <cellStyle name="Normal 9 5 3 3 3 3" xfId="48175" xr:uid="{AAE9F5B4-ABE0-4419-92E0-1F2DA829DB1C}"/>
    <cellStyle name="Normal 9 5 3 3 4" xfId="7214" xr:uid="{8431AACE-0DF1-4B70-8D25-48372D9E649E}"/>
    <cellStyle name="Normal 9 5 3 3 4 2" xfId="43887" xr:uid="{7A1CDA04-DBF0-4DC3-8592-52B36CC398A5}"/>
    <cellStyle name="Normal 9 5 3 3 5" xfId="11739" xr:uid="{F1BFB6DB-A8AE-4ECA-8A0D-F80B850F4B59}"/>
    <cellStyle name="Normal 9 5 3 3 6" xfId="14155" xr:uid="{72680C0A-AD50-4B61-A6A7-B002E57E2EF4}"/>
    <cellStyle name="Normal 9 5 3 4" xfId="6906" xr:uid="{320EED5B-4E3E-4EBF-865E-A6AA9D0BD96C}"/>
    <cellStyle name="Normal 9 5 3 4 2" xfId="9580" xr:uid="{72BE43E6-0077-46DE-B2B8-9F782F11E4EC}"/>
    <cellStyle name="Normal 9 5 3 4 2 2" xfId="12886" xr:uid="{95862D99-6846-44A2-820F-3433EB8F92E4}"/>
    <cellStyle name="Normal 9 5 3 4 2 3" xfId="48039" xr:uid="{387A1862-3C7D-4326-8996-15BD20F967FC}"/>
    <cellStyle name="Normal 9 5 3 4 3" xfId="11601" xr:uid="{89DF5CC6-FEB1-4B87-BA9C-7F15C3CA0E78}"/>
    <cellStyle name="Normal 9 5 3 4 3 2" xfId="46367" xr:uid="{D77F0771-E234-4B6D-8C76-FBD0C0CACA3E}"/>
    <cellStyle name="Normal 9 5 3 4 4" xfId="14509" xr:uid="{CC6D26D6-1175-4ADE-877B-B38647C0EB0D}"/>
    <cellStyle name="Normal 9 5 3 5" xfId="7582" xr:uid="{D56D85FB-B703-4A13-A613-F3B44AC24A64}"/>
    <cellStyle name="Normal 9 5 3 5 2" xfId="10074" xr:uid="{7115E53C-53B9-4FC5-9C32-A684EDB268FE}"/>
    <cellStyle name="Normal 9 5 3 5 2 2" xfId="13380" xr:uid="{452A183B-4AD5-4DDA-805D-75E9EA3CCE16}"/>
    <cellStyle name="Normal 9 5 3 5 2 3" xfId="48587" xr:uid="{8329ECC1-F669-49C2-8CAA-5DD337E11DC7}"/>
    <cellStyle name="Normal 9 5 3 5 3" xfId="12095" xr:uid="{0382A069-4B94-4BC9-873D-F817A3BC64FA}"/>
    <cellStyle name="Normal 9 5 3 5 3 2" xfId="47021" xr:uid="{028854C6-262A-46CE-980A-A9BEDD3E8C6E}"/>
    <cellStyle name="Normal 9 5 3 5 4" xfId="14962" xr:uid="{FA2BBDEA-602C-40B6-A807-986B44057AC1}"/>
    <cellStyle name="Normal 9 5 3 6" xfId="8996" xr:uid="{DDDB09B8-7047-4B55-8096-693757C004DF}"/>
    <cellStyle name="Normal 9 5 3 6 2" xfId="12704" xr:uid="{74D084A0-2884-4D33-B923-63267EB501DF}"/>
    <cellStyle name="Normal 9 5 3 6 2 2" xfId="48894" xr:uid="{E37F3B9B-F56D-44DC-A2C9-088E18DD96C0}"/>
    <cellStyle name="Normal 9 5 3 6 3" xfId="47318" xr:uid="{88141BB0-FEDA-4949-9E0D-F45387AD956C}"/>
    <cellStyle name="Normal 9 5 3 7" xfId="8035" xr:uid="{13D62BF8-1DC4-4F7D-BA34-2B1CCA46EFD6}"/>
    <cellStyle name="Normal 9 5 3 7 2" xfId="12548" xr:uid="{6E9914CA-2A63-4B6E-94B4-6D651C932B41}"/>
    <cellStyle name="Normal 9 5 3 7 3" xfId="47732" xr:uid="{4071061B-602F-44BC-8E35-CF1A747B5D89}"/>
    <cellStyle name="Normal 9 5 3 8" xfId="5932" xr:uid="{0D4FF358-57D4-4F7E-A9D0-01C601889533}"/>
    <cellStyle name="Normal 9 5 3 8 2" xfId="18543" xr:uid="{9F420ABE-AD7D-4E7D-8C3E-AE47003A6AF7}"/>
    <cellStyle name="Normal 9 5 3 9" xfId="11420" xr:uid="{B1CDD133-0BAF-42B5-998B-D0691E0FABB7}"/>
    <cellStyle name="Normal 9 5 4" xfId="5102" xr:uid="{3CB0B431-3358-4FF2-B247-C7DE8C389F97}"/>
    <cellStyle name="Normal 9 5 4 2" xfId="5793" xr:uid="{69D2660B-696B-48F5-90AE-8EA76EEDBBD4}"/>
    <cellStyle name="Normal 9 5 4 2 2" xfId="7895" xr:uid="{4C89B107-8148-4A8E-A6E6-2CC0A8E9F208}"/>
    <cellStyle name="Normal 9 5 4 2 2 2" xfId="10387" xr:uid="{5F8CEAA8-FD21-4BCA-8962-7D8986C4F1F2}"/>
    <cellStyle name="Normal 9 5 4 2 2 2 2" xfId="13693" xr:uid="{2923F5DD-57D2-4130-B097-F30B0543C469}"/>
    <cellStyle name="Normal 9 5 4 2 2 2 3" xfId="49202" xr:uid="{CE661EC7-526F-4B22-A003-78AC1C6B70BF}"/>
    <cellStyle name="Normal 9 5 4 2 2 3" xfId="12408" xr:uid="{482BC2A9-D944-4977-AA11-9A9978D9F51B}"/>
    <cellStyle name="Normal 9 5 4 2 2 3 2" xfId="47615" xr:uid="{93458D21-EB49-408A-A8E5-903364A22678}"/>
    <cellStyle name="Normal 9 5 4 2 2 4" xfId="14822" xr:uid="{6BB12D2F-0C07-4FE8-A8BD-581EFDDBDAAE}"/>
    <cellStyle name="Normal 9 5 4 2 3" xfId="9893" xr:uid="{11636706-91B7-4C1E-BE20-0E885CEE9B0B}"/>
    <cellStyle name="Normal 9 5 4 2 3 2" xfId="13199" xr:uid="{CC6B82DC-AC88-492E-BD65-ABD2B20B0F6A}"/>
    <cellStyle name="Normal 9 5 4 2 3 3" xfId="48341" xr:uid="{1ED6C8CA-5707-4A12-B04B-99AA9B3DEAF6}"/>
    <cellStyle name="Normal 9 5 4 2 4" xfId="7391" xr:uid="{C7B54AD3-F05E-488C-B7DB-08CD79ED6BD0}"/>
    <cellStyle name="Normal 9 5 4 2 4 2" xfId="23411" xr:uid="{1F860A63-5AE2-4ADB-95CE-B10E790EEFF5}"/>
    <cellStyle name="Normal 9 5 4 2 5" xfId="11914" xr:uid="{D9AC4273-8290-4939-B561-5BC9D7C438F5}"/>
    <cellStyle name="Normal 9 5 4 2 6" xfId="14330" xr:uid="{C52C941B-54C6-4988-ADD2-143C20FB75ED}"/>
    <cellStyle name="Normal 9 5 4 3" xfId="7581" xr:uid="{3A1ED312-C1D9-48F3-BA8D-5E8EE2242FEB}"/>
    <cellStyle name="Normal 9 5 4 3 2" xfId="10073" xr:uid="{D4DBF9CB-87B0-4861-83D6-EC195E8CFAA8}"/>
    <cellStyle name="Normal 9 5 4 3 2 2" xfId="13379" xr:uid="{A07FBD76-404A-4E5D-9507-3314478370F2}"/>
    <cellStyle name="Normal 9 5 4 3 2 3" xfId="48038" xr:uid="{5211129B-FF8E-4A60-85CB-33231F613813}"/>
    <cellStyle name="Normal 9 5 4 3 3" xfId="12094" xr:uid="{BCC03931-FC93-44E1-A0DB-2C64CE7BD017}"/>
    <cellStyle name="Normal 9 5 4 3 3 2" xfId="46365" xr:uid="{5EF8A591-160F-4591-8D98-4B288FBC7EE3}"/>
    <cellStyle name="Normal 9 5 4 3 4" xfId="14508" xr:uid="{02D744CC-1781-4884-84FE-BE479E534FCF}"/>
    <cellStyle name="Normal 9 5 4 4" xfId="11193" xr:uid="{A96124F4-0481-4B81-B48D-5AC6BDD8AD5A}"/>
    <cellStyle name="Normal 9 5 4 4 2" xfId="13781" xr:uid="{CB5B8760-246F-454E-8FFB-444B43754222}"/>
    <cellStyle name="Normal 9 5 4 4 2 2" xfId="48586" xr:uid="{FE4BCC20-E5AE-4A07-A5EB-D832B12EADDE}"/>
    <cellStyle name="Normal 9 5 4 4 3" xfId="47020" xr:uid="{2100F9EF-4EFA-4BE8-8EE8-8ACAAA0087DD}"/>
    <cellStyle name="Normal 9 5 4 4 4" xfId="15137" xr:uid="{DD232617-E88B-4E86-A474-7232B56CA6A3}"/>
    <cellStyle name="Normal 9 5 4 5" xfId="10968" xr:uid="{9151A1DF-3F96-4F60-85C8-046000423CE0}"/>
    <cellStyle name="Normal 9 5 4 5 2" xfId="48893" xr:uid="{A5E44E71-C074-48C4-AAA5-7E728637F70A}"/>
    <cellStyle name="Normal 9 5 4 5 3" xfId="47317" xr:uid="{6BA33E38-D9A1-4A06-8CA9-771094CB2F93}"/>
    <cellStyle name="Normal 9 5 4 6" xfId="9579" xr:uid="{197CC752-F254-4F87-AFBC-473358D4CC2B}"/>
    <cellStyle name="Normal 9 5 4 6 2" xfId="12885" xr:uid="{CE7E3869-D3E8-49FB-A1AC-A71C32C01BA3}"/>
    <cellStyle name="Normal 9 5 4 6 3" xfId="47816" xr:uid="{4B013BE7-3DBC-4420-80FD-886CAAB523D7}"/>
    <cellStyle name="Normal 9 5 4 7" xfId="6904" xr:uid="{293C89B1-8D10-46A8-A1D8-19B4C2BF39B8}"/>
    <cellStyle name="Normal 9 5 4 7 2" xfId="19791" xr:uid="{04648D90-9D00-418F-8146-BA381326D176}"/>
    <cellStyle name="Normal 9 5 4 8" xfId="11600" xr:uid="{5EF85B78-DC1C-4C75-9850-6A6BDA253776}"/>
    <cellStyle name="Normal 9 5 4 9" xfId="14016" xr:uid="{175E0DA5-4838-472C-80DF-EEA613E14AB7}"/>
    <cellStyle name="Normal 9 5 5" xfId="4187" xr:uid="{9FC0FD9D-7001-4827-818D-2E7644939918}"/>
    <cellStyle name="Normal 9 5 5 2" xfId="5656" xr:uid="{9C5A5480-19A3-4A32-9980-BB05C3D1D5E0}"/>
    <cellStyle name="Normal 9 5 5 2 2" xfId="10250" xr:uid="{A9D20B6D-CA35-4CF7-9F58-F78658F2975E}"/>
    <cellStyle name="Normal 9 5 5 2 2 2" xfId="13556" xr:uid="{207D65A9-E36B-4CEB-9493-27206E06EF10}"/>
    <cellStyle name="Normal 9 5 5 2 2 3" xfId="48449" xr:uid="{64ECDA88-06DF-4E5A-A917-3B912EFF2751}"/>
    <cellStyle name="Normal 9 5 5 2 3" xfId="7758" xr:uid="{09CF03B4-C57E-48D0-A599-72686BDD3F16}"/>
    <cellStyle name="Normal 9 5 5 2 3 2" xfId="46888" xr:uid="{3AD71338-FF6A-42FB-B323-3EB04392BD8B}"/>
    <cellStyle name="Normal 9 5 5 2 4" xfId="12271" xr:uid="{3902167A-E274-4C61-BE6B-1983EA5AEF82}"/>
    <cellStyle name="Normal 9 5 5 2 5" xfId="14685" xr:uid="{5E78320F-A9CA-4D16-ABF2-D360205BAB9D}"/>
    <cellStyle name="Normal 9 5 5 3" xfId="9756" xr:uid="{492FDB59-AC22-4D1F-84E8-30ABDAB30A53}"/>
    <cellStyle name="Normal 9 5 5 3 2" xfId="13062" xr:uid="{D1247CEE-8D56-4DA2-9ED4-D15B46E99916}"/>
    <cellStyle name="Normal 9 5 5 3 2 2" xfId="49066" xr:uid="{E5390DA6-34A7-471F-BC0E-2D3205898192}"/>
    <cellStyle name="Normal 9 5 5 3 3" xfId="47483" xr:uid="{F702E30E-7DE9-410C-8B8D-EADDDA7E6A28}"/>
    <cellStyle name="Normal 9 5 5 3 4" xfId="15000" xr:uid="{91618D4B-1999-45E8-B582-71C085D7FB9C}"/>
    <cellStyle name="Normal 9 5 5 4" xfId="7252" xr:uid="{696E79E3-021F-42E1-A392-11852E8D1140}"/>
    <cellStyle name="Normal 9 5 5 4 2" xfId="48210" xr:uid="{F7216BC1-444E-4DC7-B368-1063FAA90BF2}"/>
    <cellStyle name="Normal 9 5 5 5" xfId="11777" xr:uid="{6F1AF8DA-79FA-4BB6-861B-444A9FA63863}"/>
    <cellStyle name="Normal 9 5 5 5 2" xfId="32912" xr:uid="{7CF6B9AF-429B-484B-A6ED-F5EC3A0E9D3E}"/>
    <cellStyle name="Normal 9 5 5 6" xfId="14193" xr:uid="{FD360F62-BB08-4705-B402-53C94F3BB5B9}"/>
    <cellStyle name="Normal 9 5 6" xfId="5617" xr:uid="{425F9C54-A2BE-434A-8EB6-2F783A8B8D5A}"/>
    <cellStyle name="Normal 9 5 6 2" xfId="7719" xr:uid="{786D84BA-AC6C-481B-92FB-AA6D8A2DF374}"/>
    <cellStyle name="Normal 9 5 6 2 2" xfId="10211" xr:uid="{936E03F5-F65A-4856-8644-0181E36CDAD5}"/>
    <cellStyle name="Normal 9 5 6 2 2 2" xfId="13517" xr:uid="{D6EFE119-9A69-46C1-A54A-FDABFCE60F62}"/>
    <cellStyle name="Normal 9 5 6 2 2 3" xfId="48660" xr:uid="{51F22443-534D-4A24-8C97-DC0CA932F6C1}"/>
    <cellStyle name="Normal 9 5 6 2 3" xfId="12232" xr:uid="{B8E6FD80-A6DC-4B8D-9B7B-9476B189964A}"/>
    <cellStyle name="Normal 9 5 6 2 3 2" xfId="47094" xr:uid="{90A5C529-1FBC-48E4-8E03-07128D4C390D}"/>
    <cellStyle name="Normal 9 5 6 2 4" xfId="14646" xr:uid="{D54559AD-8550-4E59-B389-43B5659F5C37}"/>
    <cellStyle name="Normal 9 5 6 3" xfId="9717" xr:uid="{559D043F-2A1C-444B-B504-49EA654207E7}"/>
    <cellStyle name="Normal 9 5 6 3 2" xfId="13023" xr:uid="{68B82237-61C4-4C3A-902F-7025C7CF881B}"/>
    <cellStyle name="Normal 9 5 6 3 2 2" xfId="49029" xr:uid="{FD99F8C1-B0B8-4FC7-9CDF-3DAE230D4D47}"/>
    <cellStyle name="Normal 9 5 6 3 3" xfId="47448" xr:uid="{9DEA7FD8-7FC9-4F4F-B7BF-E3A720769D6E}"/>
    <cellStyle name="Normal 9 5 6 4" xfId="7213" xr:uid="{7148F7E7-BD18-4875-B053-ADF34A61ED8C}"/>
    <cellStyle name="Normal 9 5 6 4 2" xfId="48174" xr:uid="{209D6805-1E7A-4116-ABA3-3BD8397CC213}"/>
    <cellStyle name="Normal 9 5 6 5" xfId="11738" xr:uid="{EA5FA8B1-359D-4B17-94E9-390D933141D0}"/>
    <cellStyle name="Normal 9 5 6 5 2" xfId="32913" xr:uid="{541059A4-6C42-4633-86FD-D9B5969460B4}"/>
    <cellStyle name="Normal 9 5 6 6" xfId="14154" xr:uid="{CA7EC530-4D28-4CF6-AEA5-D7E83275D89E}"/>
    <cellStyle name="Normal 9 5 7" xfId="6254" xr:uid="{06E7A4EF-F1F7-4407-8398-D2CA04FED2F1}"/>
    <cellStyle name="Normal 9 5 7 2" xfId="9439" xr:uid="{43630DF1-6CDA-4A36-B4F4-CEA21C19C35E}"/>
    <cellStyle name="Normal 9 5 7 2 2" xfId="12745" xr:uid="{4FBB5C0E-1313-4FC2-A4CE-736F09077769}"/>
    <cellStyle name="Normal 9 5 7 2 3" xfId="47904" xr:uid="{E3EB8673-AD2E-432B-911B-67FE23230F89}"/>
    <cellStyle name="Normal 9 5 7 3" xfId="11460" xr:uid="{1153AEBA-0A81-4519-8DEE-B957C53DC990}"/>
    <cellStyle name="Normal 9 5 7 3 2" xfId="32914" xr:uid="{5C28AF42-B26E-4066-AE85-A43BC2F41AB9}"/>
    <cellStyle name="Normal 9 5 7 4" xfId="14371" xr:uid="{C4C5A9CB-231A-4E44-94FF-B0D7A7A79237}"/>
    <cellStyle name="Normal 9 5 8" xfId="7444" xr:uid="{8FA54528-A4E7-477D-9DE4-AE79696C5681}"/>
    <cellStyle name="Normal 9 5 8 2" xfId="9936" xr:uid="{19B5D425-EF4F-48CA-87BC-F0FF4125640E}"/>
    <cellStyle name="Normal 9 5 8 2 2" xfId="13242" xr:uid="{D99AC32C-0189-400D-BD68-3DE2C9FD5797}"/>
    <cellStyle name="Normal 9 5 8 2 3" xfId="48416" xr:uid="{27AFF8F3-CA99-4025-A3AD-0E0AA96A5304}"/>
    <cellStyle name="Normal 9 5 8 3" xfId="11957" xr:uid="{B36A3B13-6CD3-4D35-81CE-380DA167BAE4}"/>
    <cellStyle name="Normal 9 5 8 3 2" xfId="32915" xr:uid="{13628375-599F-46DC-A5E7-952093E3A23A}"/>
    <cellStyle name="Normal 9 5 8 4" xfId="14961" xr:uid="{E723FF89-6C8D-4FEC-BA7D-72F6DE6D06DA}"/>
    <cellStyle name="Normal 9 5 9" xfId="8994" xr:uid="{02628372-8866-48AD-9F4F-5768496B8AB1}"/>
    <cellStyle name="Normal 9 5 9 2" xfId="12703" xr:uid="{8EBE51B6-7FE5-42F1-9C9A-E0CFCC8740A2}"/>
    <cellStyle name="Normal 9 5 9 2 2" xfId="48756" xr:uid="{F37FC525-5A6D-4261-9E4D-7884B5C763D7}"/>
    <cellStyle name="Normal 9 5 9 3" xfId="47185" xr:uid="{A67D8A6A-4533-4D08-944E-65F8AB8DAD3C}"/>
    <cellStyle name="Normal 9 6" xfId="3125" xr:uid="{0246D788-9FF5-4FB2-8367-E516028D8B1F}"/>
    <cellStyle name="Normal 9 6 2" xfId="5105" xr:uid="{837D8149-8098-4C72-B256-79E99278E1A0}"/>
    <cellStyle name="Normal 9 6 2 2" xfId="18548" xr:uid="{5F48CE13-4150-429A-9FE7-E5DDC6DD4F53}"/>
    <cellStyle name="Normal 9 6 2 2 2" xfId="22165" xr:uid="{68B034A6-FF23-400F-9156-22C83638D3A2}"/>
    <cellStyle name="Normal 9 6 2 3" xfId="32916" xr:uid="{49279C3A-4C0D-41F1-84BB-08B884F8DCF8}"/>
    <cellStyle name="Normal 9 6 2 4" xfId="32917" xr:uid="{C69FFBD7-7438-4032-8FF2-6EA2E60A1887}"/>
    <cellStyle name="Normal 9 6 2 5" xfId="32918" xr:uid="{C6864368-181D-4317-BB33-D6A8E26519E3}"/>
    <cellStyle name="Normal 9 6 2 6" xfId="32919" xr:uid="{A91676B6-2B02-4A6C-980A-4D7635003A5A}"/>
    <cellStyle name="Normal 9 6 3" xfId="6907" xr:uid="{CD0CD180-F9CB-4950-A53E-5CF6FCBD1E36}"/>
    <cellStyle name="Normal 9 6 3 2" xfId="22164" xr:uid="{9E1A6961-9A5F-4E6C-8DB3-AFE443B0781C}"/>
    <cellStyle name="Normal 9 6 3 3" xfId="46368" xr:uid="{0D1BB7E2-1BFD-4678-A971-F9F2DC84EAD0}"/>
    <cellStyle name="Normal 9 6 3 4" xfId="18547" xr:uid="{D741C488-4114-4B16-B069-04001B6F07A0}"/>
    <cellStyle name="Normal 9 6 4" xfId="8997" xr:uid="{0C30A795-FBCA-4E52-B96F-2853E1A91304}"/>
    <cellStyle name="Normal 9 6 4 2" xfId="32920" xr:uid="{DE5CB6F4-379A-4BCD-A6DD-CF8BD8400E10}"/>
    <cellStyle name="Normal 9 6 5" xfId="32921" xr:uid="{2008B78D-5C2C-4090-B087-732EA84AF053}"/>
    <cellStyle name="Normal 9 6 6" xfId="32922" xr:uid="{10383FEC-F301-4471-9979-B837086AAED9}"/>
    <cellStyle name="Normal 9 6 7" xfId="32923" xr:uid="{C46F9511-E0EB-464F-B989-1B44C121C523}"/>
    <cellStyle name="Normal 9 7" xfId="3126" xr:uid="{E2BD8B9F-4D54-4B25-B3E4-85B8AC22393D}"/>
    <cellStyle name="Normal 9 7 2" xfId="5106" xr:uid="{2D33AB34-5DBF-4148-A96B-428E5CA51598}"/>
    <cellStyle name="Normal 9 7 2 2" xfId="18550" xr:uid="{FE952117-2D00-49B7-9771-D687C9B9CEFA}"/>
    <cellStyle name="Normal 9 7 2 2 2" xfId="22167" xr:uid="{F385487D-CCF8-4DFF-9E62-7F8DA1114DF0}"/>
    <cellStyle name="Normal 9 7 2 3" xfId="32924" xr:uid="{A1A68286-8C2B-4040-B8DB-74CC1FCE53FC}"/>
    <cellStyle name="Normal 9 7 2 4" xfId="32925" xr:uid="{A585A994-1DB2-48D3-B4D3-2CE0903CACCF}"/>
    <cellStyle name="Normal 9 7 2 5" xfId="32926" xr:uid="{90793DAD-D336-49B8-83B1-6EE226DCEECF}"/>
    <cellStyle name="Normal 9 7 2 6" xfId="32927" xr:uid="{5BDB927A-D83F-43BF-9A43-288EB0DA3E29}"/>
    <cellStyle name="Normal 9 7 3" xfId="6908" xr:uid="{7E1AC25F-1B04-47D8-A0F6-5DA66DDD4E4A}"/>
    <cellStyle name="Normal 9 7 3 2" xfId="22166" xr:uid="{026E655B-AAEC-4FE7-8B4C-F74EADBC459B}"/>
    <cellStyle name="Normal 9 7 3 3" xfId="46369" xr:uid="{B04354F1-894D-4DDB-A1A7-DACF1BCE12DB}"/>
    <cellStyle name="Normal 9 7 3 4" xfId="18549" xr:uid="{E9F59C97-0787-4090-955D-16102F64F0D2}"/>
    <cellStyle name="Normal 9 7 4" xfId="8998" xr:uid="{3EFABA46-7BBA-425E-AB2F-7EF2BFACA4B4}"/>
    <cellStyle name="Normal 9 7 4 2" xfId="32928" xr:uid="{8BBAD6B2-BDE8-4C4B-9A7A-7935463B8B96}"/>
    <cellStyle name="Normal 9 7 5" xfId="32929" xr:uid="{687C563E-6F09-4DA1-8302-C7F1CBFE402D}"/>
    <cellStyle name="Normal 9 7 6" xfId="32930" xr:uid="{BC635600-B429-43F0-893F-FEE66F6392AB}"/>
    <cellStyle name="Normal 9 7 7" xfId="32931" xr:uid="{92BC5213-8F55-4498-B55D-2DF9D8336148}"/>
    <cellStyle name="Normal 9 8" xfId="3127" xr:uid="{9604797F-823C-4DDC-9B93-7992632C80F5}"/>
    <cellStyle name="Normal 9 8 2" xfId="5107" xr:uid="{D3B562C2-BBCC-4FAB-859C-892066098E5E}"/>
    <cellStyle name="Normal 9 8 2 2" xfId="18552" xr:uid="{47AD2B62-2785-4E1D-9209-09749CECF851}"/>
    <cellStyle name="Normal 9 8 2 2 2" xfId="22169" xr:uid="{0C028FC8-8B18-42B1-8E13-15D39780B71C}"/>
    <cellStyle name="Normal 9 8 2 3" xfId="32932" xr:uid="{0A1E63B9-5EA1-4270-9237-FC9096AA4E98}"/>
    <cellStyle name="Normal 9 8 2 4" xfId="32933" xr:uid="{181F9DA9-699C-4EBD-AAC3-66FE5B613E4F}"/>
    <cellStyle name="Normal 9 8 2 5" xfId="32934" xr:uid="{D5F0C479-7F88-4B6A-8950-912B1AA20F23}"/>
    <cellStyle name="Normal 9 8 2 6" xfId="32935" xr:uid="{E6C22373-E2C4-4B94-910B-33147D7DC2F0}"/>
    <cellStyle name="Normal 9 8 3" xfId="6909" xr:uid="{BEFBEEFE-D029-4169-9AF8-F80A111DD559}"/>
    <cellStyle name="Normal 9 8 3 2" xfId="22168" xr:uid="{16781511-910A-4D64-AA50-4FB713D64B24}"/>
    <cellStyle name="Normal 9 8 3 3" xfId="46370" xr:uid="{6C5022D1-B6BD-4C51-A154-AEE19C955257}"/>
    <cellStyle name="Normal 9 8 3 4" xfId="18551" xr:uid="{E3BB67CE-DBA8-484B-BB9B-3FAD08499BF6}"/>
    <cellStyle name="Normal 9 8 4" xfId="8999" xr:uid="{C530B9B8-0AF3-475B-A079-EBA7AA1BD57F}"/>
    <cellStyle name="Normal 9 8 4 2" xfId="32936" xr:uid="{28F32B1E-6D70-4BDC-AFE9-130CF190F25A}"/>
    <cellStyle name="Normal 9 8 5" xfId="32937" xr:uid="{03FF9AA6-D444-46DE-A424-F51DF9E5870A}"/>
    <cellStyle name="Normal 9 8 6" xfId="32938" xr:uid="{DF3FBAED-9B5C-49FF-9CC7-0136A37CE174}"/>
    <cellStyle name="Normal 9 8 7" xfId="32939" xr:uid="{17B65676-A4F7-407C-B1BD-8C7744D3F8AC}"/>
    <cellStyle name="Normal 9 9" xfId="3128" xr:uid="{B90C3163-0954-4AA3-BB88-FF0205BC7012}"/>
    <cellStyle name="Normal 9 9 2" xfId="5108" xr:uid="{7D598768-E043-49B2-849B-283A73871C1A}"/>
    <cellStyle name="Normal 9 9 2 2" xfId="18554" xr:uid="{7787DDF0-8D18-4FF5-A011-C5C8EDABD383}"/>
    <cellStyle name="Normal 9 9 2 2 2" xfId="22171" xr:uid="{C93BF8E1-9FEC-4C84-9374-AC873A611E05}"/>
    <cellStyle name="Normal 9 9 2 3" xfId="32940" xr:uid="{BA6077DD-F74F-40EF-9A28-AF93054A0F8F}"/>
    <cellStyle name="Normal 9 9 2 4" xfId="32941" xr:uid="{DBFF1FAB-34A9-4229-9A1E-1546B190E596}"/>
    <cellStyle name="Normal 9 9 2 5" xfId="32942" xr:uid="{B212B870-0A5D-4B82-B6DE-E109B1C94BBF}"/>
    <cellStyle name="Normal 9 9 2 6" xfId="32943" xr:uid="{8FFCF594-39BA-4A4F-84A4-02B9E7866B4E}"/>
    <cellStyle name="Normal 9 9 3" xfId="6910" xr:uid="{F82D5A4B-9A5F-4ED4-8DD6-B4755F8D3E6A}"/>
    <cellStyle name="Normal 9 9 3 2" xfId="22170" xr:uid="{E3FF5625-4274-4E29-9705-F6034D8FE168}"/>
    <cellStyle name="Normal 9 9 3 3" xfId="46371" xr:uid="{BED3AEC1-813D-429F-A0BA-8DB1E6D140EC}"/>
    <cellStyle name="Normal 9 9 3 4" xfId="18553" xr:uid="{657FC032-E072-4690-9028-BFE05F334C09}"/>
    <cellStyle name="Normal 9 9 4" xfId="9000" xr:uid="{D499A998-2CFC-4477-B6C1-3EC2644AF7C2}"/>
    <cellStyle name="Normal 9 9 4 2" xfId="32944" xr:uid="{78936921-6DFE-4429-9142-C5232A99680B}"/>
    <cellStyle name="Normal 9 9 5" xfId="32945" xr:uid="{E595A3E4-F8FE-450C-A943-B25E00F15518}"/>
    <cellStyle name="Normal 9 9 6" xfId="32946" xr:uid="{CD783D33-AEA5-459C-BA7E-2742CBE7CF31}"/>
    <cellStyle name="Normal 9 9 7" xfId="32947" xr:uid="{389B20FB-2104-43C3-9BD3-E152A82BFE0D}"/>
    <cellStyle name="Normal 9_Sheet1" xfId="15255" xr:uid="{FA4A3CD1-5CD6-4625-87E5-FAC330F787B3}"/>
    <cellStyle name="Normal 90" xfId="15140" xr:uid="{145D0026-A409-4068-8795-42669006E640}"/>
    <cellStyle name="Normal 90 2" xfId="45545" xr:uid="{5FD11027-FD56-49F8-AA91-218C6A19CC2E}"/>
    <cellStyle name="Normal 91" xfId="19850" xr:uid="{14F10816-6C69-4E05-8E76-F1401709B3E6}"/>
    <cellStyle name="Normal 91 2" xfId="45547" xr:uid="{D730BD54-91AD-4F91-86E5-6E7A5E3F4D7D}"/>
    <cellStyle name="Normal 92" xfId="19890" xr:uid="{2B782DAD-2C6A-40FC-9F1E-0DD3C023567B}"/>
    <cellStyle name="Normal 92 2" xfId="45550" xr:uid="{80044DB6-1AA9-445E-A2E1-EB2F84A287D6}"/>
    <cellStyle name="Normal 93" xfId="19929" xr:uid="{08964981-4DD0-4C2B-9559-027C255F42A1}"/>
    <cellStyle name="Normal 93 2" xfId="45552" xr:uid="{E5F2D404-1170-47B8-8602-6FBE9E33AD9B}"/>
    <cellStyle name="Normal 94" xfId="20439" xr:uid="{CB47B7B7-BD49-42FB-9B6E-05AC5C4CD744}"/>
    <cellStyle name="Normal 94 2" xfId="45554" xr:uid="{6F9AB301-E359-4CC5-AB4A-05BA40ABFF0A}"/>
    <cellStyle name="Normal 95" xfId="19851" xr:uid="{833B45DD-8AA8-42C1-95A0-023C1BF517AD}"/>
    <cellStyle name="Normal 95 2" xfId="45556" xr:uid="{2421D0AC-BFA8-4669-B293-659D9DF9DB55}"/>
    <cellStyle name="Normal 96" xfId="38609" xr:uid="{D4F56DCB-7551-4FE8-9E3B-63E5A2A79214}"/>
    <cellStyle name="Normal 96 2" xfId="45558" xr:uid="{B1158AF5-3DA0-47D5-B21B-2D3E638FB826}"/>
    <cellStyle name="Normal 97" xfId="41645" xr:uid="{9B0F920F-D0F5-4287-AAF1-AB5A18E88DDC}"/>
    <cellStyle name="Normal 97 2" xfId="45560" xr:uid="{BADBCF84-7CBF-4FA8-AF56-0B7910547AF6}"/>
    <cellStyle name="Normal 98" xfId="40433" xr:uid="{1F324074-0711-4E07-8F94-995EE59E9A16}"/>
    <cellStyle name="Normal 98 2" xfId="45562" xr:uid="{F17F9C72-15AA-4076-911F-7ECAA6B2DF4C}"/>
    <cellStyle name="Normal 99" xfId="42286" xr:uid="{1073C7FB-270D-45C7-8AF1-73A7AF21A9CF}"/>
    <cellStyle name="Normal 99 2" xfId="45564" xr:uid="{4AEE9D23-6F37-442A-BB63-4B27B93784E8}"/>
    <cellStyle name="Normal GHG Numbers (0.00)" xfId="3129" xr:uid="{4F93F212-A967-4C49-BD8D-B14510C90AF9}"/>
    <cellStyle name="Normal GHG Numbers (0.00) 2" xfId="18555" xr:uid="{68101E0D-C28A-40FC-A251-355446F88B27}"/>
    <cellStyle name="Normal GHG Numbers (0.00) 2 2" xfId="22172" xr:uid="{28D1A30B-0B34-4B23-B6AC-3DCF693DCC51}"/>
    <cellStyle name="Normal GHG Numbers (0.00) 3" xfId="32948" xr:uid="{0224E498-ADA7-486C-A19B-953F46717260}"/>
    <cellStyle name="Normal GHG Numbers (0.00) 4" xfId="32949" xr:uid="{40859E2F-7F2B-40C1-81F8-962599B46307}"/>
    <cellStyle name="Normal GHG Numbers (0.00) 5" xfId="32950" xr:uid="{EAF0B2EC-952B-44E9-AD35-4500D07264EC}"/>
    <cellStyle name="Normal GHG Numbers (0.00) 6" xfId="32951" xr:uid="{1D2127E7-8408-4DA2-9DD4-8E37A94A661E}"/>
    <cellStyle name="Normal GHG Numbers (0.00) 7" xfId="32952" xr:uid="{97957F29-72DD-4A13-A66C-CA68A9F675B4}"/>
    <cellStyle name="Normal GHG Numbers (0.00) 8" xfId="32953" xr:uid="{71E92111-27B5-4807-B4CD-7CA44FA915E2}"/>
    <cellStyle name="Normal GHG Textfiels Bold" xfId="3130" xr:uid="{4E4F866A-418F-4402-AF90-0955CD7CB8DB}"/>
    <cellStyle name="Normal GHG Textfiels Bold 2" xfId="18556" xr:uid="{7E95A755-6E59-4264-A2FC-2BA9B38ABB3E}"/>
    <cellStyle name="Normal GHG Textfiels Bold 2 2" xfId="22173" xr:uid="{31719DC9-6F21-4274-B771-164710002AC4}"/>
    <cellStyle name="Normal GHG Textfiels Bold 3" xfId="32954" xr:uid="{0F80CE75-1144-46FD-B52E-134EFA4377D7}"/>
    <cellStyle name="Normal GHG Textfiels Bold 4" xfId="32955" xr:uid="{C9C54165-7B68-4359-BAB0-6FCB6FA21E70}"/>
    <cellStyle name="Normal GHG Textfiels Bold 5" xfId="32956" xr:uid="{896EBA2D-F912-4DA9-878A-3E0DB3F3296E}"/>
    <cellStyle name="Normal GHG Textfiels Bold 6" xfId="32957" xr:uid="{19070739-4680-41A0-9714-285ECEC2D28E}"/>
    <cellStyle name="Normal GHG Textfiels Bold 7" xfId="32958" xr:uid="{6E98E35C-5A59-4F7D-B60C-22B8EF5F07E0}"/>
    <cellStyle name="Normal GHG Textfiels Bold 8" xfId="32959" xr:uid="{4DD3F501-CB33-4DE6-BC71-81CCACBE0BD5}"/>
    <cellStyle name="Normal GHG whole table" xfId="3131" xr:uid="{C0180163-3F5D-4EE9-9FE7-12B0446B7D94}"/>
    <cellStyle name="Normal GHG whole table 2" xfId="18557" xr:uid="{30144E90-172B-4402-8AA3-EDC28A3F4870}"/>
    <cellStyle name="Normal GHG whole table 2 2" xfId="22174" xr:uid="{95524E86-9D89-4988-94FE-D410BCD04464}"/>
    <cellStyle name="Normal GHG whole table 3" xfId="32960" xr:uid="{966E65CD-025D-4042-AB34-C84F54BD3E2C}"/>
    <cellStyle name="Normal GHG whole table 4" xfId="32961" xr:uid="{A7CE11AD-5B0E-42B1-BBC0-9B6DD073A14E}"/>
    <cellStyle name="Normal GHG whole table 5" xfId="32962" xr:uid="{6AEE60CA-B3BE-491E-8C21-CC1B888F6359}"/>
    <cellStyle name="Normal GHG whole table 6" xfId="32963" xr:uid="{D9E9E149-AB7B-45E3-8166-44BA880CA7B3}"/>
    <cellStyle name="Normal GHG whole table 7" xfId="32964" xr:uid="{5CC90202-B015-4A60-B604-EFBD7933A710}"/>
    <cellStyle name="Normal GHG whole table 8" xfId="32965" xr:uid="{94180480-D0D8-4D77-B3CA-D1D13FDC1576}"/>
    <cellStyle name="Normal GHG-Shade" xfId="3132" xr:uid="{E5FA94E1-EE2B-46B1-BCA5-1BA69B65A1B6}"/>
    <cellStyle name="Normal GHG-Shade 2" xfId="18558" xr:uid="{2F9B11AD-AE8D-47DD-9A20-174ADA9FEA7F}"/>
    <cellStyle name="Normal GHG-Shade 2 2" xfId="22175" xr:uid="{D05A8251-8E0B-463B-AE06-AB095D25BFD2}"/>
    <cellStyle name="Normal GHG-Shade 3" xfId="32966" xr:uid="{5409786F-3F3F-4B37-AC27-413DB6FA706F}"/>
    <cellStyle name="Normal GHG-Shade 4" xfId="32967" xr:uid="{7E02A83F-0D21-4F8C-B617-171736A7BD8F}"/>
    <cellStyle name="Normal GHG-Shade 5" xfId="32968" xr:uid="{8E5AD0E5-E030-4B41-92F9-C02019FF8D88}"/>
    <cellStyle name="Normal GHG-Shade 6" xfId="32969" xr:uid="{D4000B88-075B-440E-9C7D-A3F7EAC6C10E}"/>
    <cellStyle name="Normal GHG-Shade 7" xfId="32970" xr:uid="{BA228A64-2EB1-4BE6-B3CC-BA037B8CC96C}"/>
    <cellStyle name="Normal GHG-Shade 8" xfId="32971" xr:uid="{D5178091-7D5D-4734-8DA1-CCFB2ABF4CEF}"/>
    <cellStyle name="Normal_SUBRES_B-NTech-BE" xfId="7" xr:uid="{1A978A82-E032-4DF1-8FFC-BF2A16AE44F0}"/>
    <cellStyle name="Normale_B2020" xfId="3133" xr:uid="{F004A020-2383-4F8C-8F8B-7C1E5BF4D3CD}"/>
    <cellStyle name="Nota" xfId="3134" xr:uid="{937D2665-5666-4877-9E09-41B87D556519}"/>
    <cellStyle name="Nota 10" xfId="32972" xr:uid="{93023E70-9AF1-49D3-B243-A1244345C4A4}"/>
    <cellStyle name="Nota 11" xfId="32973" xr:uid="{4D5FCE53-2E53-441E-814F-6BFEDC1D03BD}"/>
    <cellStyle name="Nota 2" xfId="3135" xr:uid="{07660809-A232-48AE-B678-FBD20484C8D4}"/>
    <cellStyle name="Nota 2 2" xfId="5110" xr:uid="{597DC448-34B0-458B-8912-2586A8AA5C17}"/>
    <cellStyle name="Nota 2 2 2" xfId="22177" xr:uid="{2BF4C57E-0E6A-401A-AAEC-6E8EA94828DF}"/>
    <cellStyle name="Nota 2 2 3" xfId="43644" xr:uid="{1502EB6A-E6D3-4136-BF4E-3415E0214D9C}"/>
    <cellStyle name="Nota 2 2 4" xfId="18560" xr:uid="{84B3566B-54CB-449D-9EE6-0352A2777E83}"/>
    <cellStyle name="Nota 2 3" xfId="4189" xr:uid="{2A1364DB-3020-46D4-A981-047484FABE7E}"/>
    <cellStyle name="Nota 2 3 2" xfId="44004" xr:uid="{C184EF51-8583-4DFB-97BB-94D02EE558AE}"/>
    <cellStyle name="Nota 2 3 3" xfId="32974" xr:uid="{141C440D-7BA4-43CE-A663-B863D66F4435}"/>
    <cellStyle name="Nota 2 4" xfId="6256" xr:uid="{F028AA7C-269E-4DE4-8700-6DB8E110BD40}"/>
    <cellStyle name="Nota 2 4 2" xfId="45914" xr:uid="{BBF31F41-8A1D-4C52-9B31-9BFB923BBC08}"/>
    <cellStyle name="Nota 2 4 3" xfId="32975" xr:uid="{A642B9E4-73C4-4F5E-BAF4-3558351C5B50}"/>
    <cellStyle name="Nota 2 5" xfId="9002" xr:uid="{0866A4BF-C5C8-462B-94D4-DF766288EE66}"/>
    <cellStyle name="Nota 2 5 2" xfId="32976" xr:uid="{C323A73B-FA8C-4156-A63A-BECCDC21B5DB}"/>
    <cellStyle name="Nota 2 6" xfId="32977" xr:uid="{5E1F87DF-E50C-463F-8343-5C10C8F24132}"/>
    <cellStyle name="Nota 2 7" xfId="32978" xr:uid="{B6E83DA3-6FF9-4625-885D-6E8AED24FD80}"/>
    <cellStyle name="Nota 3" xfId="3136" xr:uid="{A46F1B77-D10F-44AE-9FE7-3D3CFD8EB5FE}"/>
    <cellStyle name="Nota 3 2" xfId="5111" xr:uid="{00E0F065-E06B-4BA1-A4B5-6FBA39C3C647}"/>
    <cellStyle name="Nota 3 2 2" xfId="22178" xr:uid="{7842749A-FEE4-4684-8D75-0424A3ED942B}"/>
    <cellStyle name="Nota 3 2 3" xfId="43645" xr:uid="{8177B91E-D205-4B83-823B-E80AAB2B57C0}"/>
    <cellStyle name="Nota 3 2 4" xfId="18561" xr:uid="{C007C976-90A1-4F6E-B0DC-384AD7318DA9}"/>
    <cellStyle name="Nota 3 3" xfId="4190" xr:uid="{27198A82-6041-400D-A8EA-2E44EBF15608}"/>
    <cellStyle name="Nota 3 3 2" xfId="44005" xr:uid="{B59066B8-8E0E-4534-BAA5-F9F2E371721C}"/>
    <cellStyle name="Nota 3 3 3" xfId="32979" xr:uid="{ED00076A-690D-4921-A5F1-94AEADCF253F}"/>
    <cellStyle name="Nota 3 4" xfId="6257" xr:uid="{9D16DF03-3518-4A6E-8879-4C62DF131EED}"/>
    <cellStyle name="Nota 3 4 2" xfId="45915" xr:uid="{E9E3079F-D022-43EB-BE2F-4D98B9E5F24D}"/>
    <cellStyle name="Nota 3 4 3" xfId="32980" xr:uid="{456CBEAC-1BF4-45A9-B408-695584082D63}"/>
    <cellStyle name="Nota 3 5" xfId="9003" xr:uid="{C16F34DC-3624-493E-B078-2B76BCD22F89}"/>
    <cellStyle name="Nota 3 5 2" xfId="32981" xr:uid="{F4A83863-664F-4009-8BB1-30051715E586}"/>
    <cellStyle name="Nota 3 6" xfId="32982" xr:uid="{A6F78448-1371-4040-ABF2-0998E2CFB7C5}"/>
    <cellStyle name="Nota 3 7" xfId="32983" xr:uid="{85CF34E5-0039-4277-81F7-9978FFD9B1A5}"/>
    <cellStyle name="Nota 4" xfId="3137" xr:uid="{AFF52BEC-CE95-4C7F-9738-B447ADF0ACD6}"/>
    <cellStyle name="Nota 4 2" xfId="5112" xr:uid="{FA3AFAE1-0198-4C21-82FA-348EC7B09B0D}"/>
    <cellStyle name="Nota 4 2 2" xfId="22179" xr:uid="{A689A9B6-AD88-4CC8-BB27-971BF094489E}"/>
    <cellStyle name="Nota 4 2 3" xfId="43646" xr:uid="{A4D85808-55E1-4C7F-843C-08CC361070AB}"/>
    <cellStyle name="Nota 4 2 4" xfId="18562" xr:uid="{62E6A3EA-446F-472D-A4C2-00A6876F0E8C}"/>
    <cellStyle name="Nota 4 3" xfId="4191" xr:uid="{31DAE552-DC4A-4A3E-B471-421A1503675A}"/>
    <cellStyle name="Nota 4 3 2" xfId="44006" xr:uid="{4AAD51C9-6E3A-4536-AC97-A9E8DFF86A6E}"/>
    <cellStyle name="Nota 4 3 3" xfId="32984" xr:uid="{C4305F76-F876-4834-9A73-371DD196665E}"/>
    <cellStyle name="Nota 4 4" xfId="6258" xr:uid="{733C007C-EBEC-4044-B98B-BF7F8BACAFF9}"/>
    <cellStyle name="Nota 4 4 2" xfId="45916" xr:uid="{E99BBD53-9DEF-4621-8DE3-57FB7BCAC9D2}"/>
    <cellStyle name="Nota 4 4 3" xfId="32985" xr:uid="{B88E6F1A-895B-4409-B484-0A5EE7FFC85F}"/>
    <cellStyle name="Nota 4 5" xfId="9004" xr:uid="{317EF4A2-047A-46F5-8D2F-1638201FF25D}"/>
    <cellStyle name="Nota 4 5 2" xfId="32986" xr:uid="{DAB20D22-90B5-4F28-9A1F-E158447CC09C}"/>
    <cellStyle name="Nota 4 6" xfId="32987" xr:uid="{CA7C0908-4655-448B-9E1F-2BBB4E3CAC9E}"/>
    <cellStyle name="Nota 4 7" xfId="32988" xr:uid="{FDFCBB47-36F8-4602-A132-525E1B959D2B}"/>
    <cellStyle name="Nota 5" xfId="5109" xr:uid="{F87A5056-18A3-4A53-9B41-D953B1F36285}"/>
    <cellStyle name="Nota 5 2" xfId="22176" xr:uid="{6DFF14E8-98C1-416C-84AB-85A29C8DCC48}"/>
    <cellStyle name="Nota 5 3" xfId="43643" xr:uid="{9CECE735-AFC5-4830-A91B-D5659C1A2046}"/>
    <cellStyle name="Nota 5 4" xfId="18559" xr:uid="{1CF1EDC5-12C2-43BC-90B3-84DED4EACD69}"/>
    <cellStyle name="Nota 6" xfId="4188" xr:uid="{D202A854-FD2E-449B-9A24-CF4ED49A3DC1}"/>
    <cellStyle name="Nota 6 2" xfId="44003" xr:uid="{9D1E4B90-E1BE-4905-899F-42FA8CA20E38}"/>
    <cellStyle name="Nota 6 3" xfId="32989" xr:uid="{12038E11-0D6F-4393-B82F-5EE691AC1FFA}"/>
    <cellStyle name="Nota 7" xfId="6255" xr:uid="{B719B810-0396-42C3-A880-8932E421A6C4}"/>
    <cellStyle name="Nota 7 2" xfId="45913" xr:uid="{0B959CF7-A7DB-4796-90DF-CE5E2F25D66A}"/>
    <cellStyle name="Nota 7 3" xfId="32990" xr:uid="{9F77F11D-5E51-454B-8DD1-F1F90747BE0F}"/>
    <cellStyle name="Nota 8" xfId="9001" xr:uid="{390B096A-1188-4DB5-8834-8CDD9829B144}"/>
    <cellStyle name="Nota 8 2" xfId="32991" xr:uid="{EF7C57D5-1717-47F9-BA9B-0053834C0E6A}"/>
    <cellStyle name="Nota 9" xfId="32992" xr:uid="{A0FCEB71-3EF2-436A-AAE4-01C1DCF81676}"/>
    <cellStyle name="Note 10" xfId="3138" xr:uid="{F0B92F24-CE27-47FA-BE2D-3E00C8D7FD51}"/>
    <cellStyle name="Note 10 10" xfId="16057" xr:uid="{FA70EE96-A68D-41E7-A5CC-DD5A1DB5638E}"/>
    <cellStyle name="Note 10 10 2" xfId="18564" xr:uid="{74AE815B-ED0C-436C-9CE3-52ED9D13BB8C}"/>
    <cellStyle name="Note 10 10 2 2" xfId="22181" xr:uid="{7D1B4894-9920-43F1-9C69-1BDC27DCA9A4}"/>
    <cellStyle name="Note 10 10 3" xfId="32993" xr:uid="{B0985D00-D5DF-4FB4-B56F-9BC8E26112CF}"/>
    <cellStyle name="Note 10 10 4" xfId="32994" xr:uid="{2022AC1F-A522-40D8-A38B-14CA292BEBB7}"/>
    <cellStyle name="Note 10 10 5" xfId="32995" xr:uid="{D57B4B2A-8096-4696-90F7-B7DB83753A2A}"/>
    <cellStyle name="Note 10 10 6" xfId="32996" xr:uid="{FAEF9599-D686-43EA-B66A-F72888C7671E}"/>
    <cellStyle name="Note 10 11" xfId="16058" xr:uid="{8D437EB7-1057-4F78-9757-5EEE254EA60E}"/>
    <cellStyle name="Note 10 11 2" xfId="18565" xr:uid="{DCBAEE69-D442-4CDA-A51A-356A35982A4A}"/>
    <cellStyle name="Note 10 11 2 2" xfId="22182" xr:uid="{BBF44B28-DB4F-4D22-AF1F-8642B0A52A07}"/>
    <cellStyle name="Note 10 11 3" xfId="32997" xr:uid="{40E5BBBE-0C3B-46F4-A257-81AC6163E19E}"/>
    <cellStyle name="Note 10 11 4" xfId="32998" xr:uid="{1D4C8E0D-DE8F-42CC-A959-E518485E74AF}"/>
    <cellStyle name="Note 10 11 5" xfId="32999" xr:uid="{A673E50E-E77B-43BF-AF31-F797669C1F04}"/>
    <cellStyle name="Note 10 11 6" xfId="33000" xr:uid="{5FC726F6-2BDD-4BDE-8392-02CA7C4DC095}"/>
    <cellStyle name="Note 10 12" xfId="16059" xr:uid="{ED737C91-E8E2-4321-B603-05BE315AD972}"/>
    <cellStyle name="Note 10 12 2" xfId="18566" xr:uid="{BDDAF447-39DB-40E1-A3DA-6255830B9764}"/>
    <cellStyle name="Note 10 12 2 2" xfId="22183" xr:uid="{3CD38ED8-BDB4-418C-B3B8-535FA24817F8}"/>
    <cellStyle name="Note 10 12 3" xfId="33001" xr:uid="{AFE86688-18B6-42DA-ACEF-FEBAA8937F11}"/>
    <cellStyle name="Note 10 12 4" xfId="33002" xr:uid="{40CD95AD-BDA7-4003-B825-6F20F4F0333C}"/>
    <cellStyle name="Note 10 12 5" xfId="33003" xr:uid="{48F101AA-66E5-4B15-ABFE-D2798CCAECA5}"/>
    <cellStyle name="Note 10 12 6" xfId="33004" xr:uid="{38DFE32B-8F2A-4CCD-9780-6ACC378CBE42}"/>
    <cellStyle name="Note 10 13" xfId="16060" xr:uid="{D6AF8EB9-3BBE-4C09-8F11-9604FF40A6A8}"/>
    <cellStyle name="Note 10 13 2" xfId="18567" xr:uid="{8C8282BD-E902-4DC2-A50D-33BB8E4B78F3}"/>
    <cellStyle name="Note 10 13 2 2" xfId="22184" xr:uid="{0D564973-5063-4DE2-AF6C-C1513BD7EE6A}"/>
    <cellStyle name="Note 10 13 3" xfId="33005" xr:uid="{8EFA79BB-0B56-493C-B7B2-230808D2E57B}"/>
    <cellStyle name="Note 10 13 4" xfId="33006" xr:uid="{AE667CF6-1131-43DA-B59E-1C16F1D3735E}"/>
    <cellStyle name="Note 10 13 5" xfId="33007" xr:uid="{7594D0A8-1D66-4DCA-BA5E-A0C9B0342432}"/>
    <cellStyle name="Note 10 13 6" xfId="33008" xr:uid="{8394D3DA-E3DD-4EB5-B776-3E6D8196F3EE}"/>
    <cellStyle name="Note 10 14" xfId="16061" xr:uid="{8D64CE6D-35B9-4656-9EC8-9CBFA15CA487}"/>
    <cellStyle name="Note 10 14 2" xfId="18568" xr:uid="{B606321F-C74D-4FED-84AD-B7532A7A145F}"/>
    <cellStyle name="Note 10 14 2 2" xfId="22185" xr:uid="{74F61144-5E4C-4B8E-95CC-F17AED73660E}"/>
    <cellStyle name="Note 10 14 3" xfId="33009" xr:uid="{DD82DD78-15C4-42DD-A87C-0076C04A2286}"/>
    <cellStyle name="Note 10 14 4" xfId="33010" xr:uid="{13778082-5C01-48C7-8E6E-A8D80FB4A875}"/>
    <cellStyle name="Note 10 14 5" xfId="33011" xr:uid="{D5538CA0-A1C4-4613-8F29-7278909BCD3B}"/>
    <cellStyle name="Note 10 14 6" xfId="33012" xr:uid="{F219E6DD-32BF-4FDA-B6E2-7B471D3D12CE}"/>
    <cellStyle name="Note 10 15" xfId="18563" xr:uid="{A91794ED-6AB1-4BCB-86F1-0C5A03E2E165}"/>
    <cellStyle name="Note 10 15 2" xfId="22180" xr:uid="{CC20BBF9-74E0-4C23-9D64-1FA28CBEAB55}"/>
    <cellStyle name="Note 10 16" xfId="33013" xr:uid="{B22486F3-077F-4FC9-A367-FF31AD0E0D01}"/>
    <cellStyle name="Note 10 17" xfId="33014" xr:uid="{F3B174B0-1FC0-4B0A-B0F2-5F738A020102}"/>
    <cellStyle name="Note 10 18" xfId="33015" xr:uid="{385FFA2E-0730-4806-BDFD-ECBA3AADF321}"/>
    <cellStyle name="Note 10 19" xfId="33016" xr:uid="{3AE7DC5E-9F1F-438E-A757-0CD38768C74E}"/>
    <cellStyle name="Note 10 2" xfId="3139" xr:uid="{BDC1340E-1ED1-4BFF-B3C0-52D7E453401A}"/>
    <cellStyle name="Note 10 2 2" xfId="18569" xr:uid="{76C05EC3-0039-4F57-B0EF-89AF70E2796E}"/>
    <cellStyle name="Note 10 2 2 2" xfId="22186" xr:uid="{CB007B3E-843D-4EBA-995A-480E02A14F8E}"/>
    <cellStyle name="Note 10 2 3" xfId="33017" xr:uid="{38C2BA22-26D6-4981-854D-DE6D1708C578}"/>
    <cellStyle name="Note 10 2 4" xfId="33018" xr:uid="{5F1FC56D-0506-44EF-AA6A-5EABEF1939DC}"/>
    <cellStyle name="Note 10 2 5" xfId="33019" xr:uid="{61ADA797-DDC9-4C12-AA8A-6D2C431BCFEE}"/>
    <cellStyle name="Note 10 2 6" xfId="33020" xr:uid="{4E474D84-A628-4F96-88AD-0C1DDA2E1B1C}"/>
    <cellStyle name="Note 10 2 7" xfId="33021" xr:uid="{1EDA1326-62D9-46B4-9B7F-9C08B7003A8C}"/>
    <cellStyle name="Note 10 20" xfId="33022" xr:uid="{20B809EE-BD2A-44D9-BA62-F94A3FE3C8CB}"/>
    <cellStyle name="Note 10 3" xfId="3140" xr:uid="{8ADB8311-CA58-405A-9791-615CBDDA0F13}"/>
    <cellStyle name="Note 10 3 2" xfId="18570" xr:uid="{8017E39A-748C-4286-8D88-D6529A67A84A}"/>
    <cellStyle name="Note 10 3 2 2" xfId="22187" xr:uid="{8D27BDE6-B84A-4460-A1EF-3F4D0C977416}"/>
    <cellStyle name="Note 10 3 3" xfId="33023" xr:uid="{AE38C36D-72BC-4CDE-ABF0-1EA73D3585C1}"/>
    <cellStyle name="Note 10 3 4" xfId="33024" xr:uid="{BEAC8234-D3A4-4F3F-85A7-20C77F550B72}"/>
    <cellStyle name="Note 10 3 5" xfId="33025" xr:uid="{68AF5FA0-0723-4989-8044-F60A9E1C918C}"/>
    <cellStyle name="Note 10 3 6" xfId="33026" xr:uid="{3014B3E5-6973-49C4-81BF-5F624D3C1DDC}"/>
    <cellStyle name="Note 10 3 7" xfId="33027" xr:uid="{62CCCF44-EB64-4EC3-863C-BB9AE8D1828A}"/>
    <cellStyle name="Note 10 4" xfId="3141" xr:uid="{1FEFE754-1EEE-4935-81C1-AD8DDFD71023}"/>
    <cellStyle name="Note 10 4 2" xfId="18571" xr:uid="{79A5688E-DEEB-48F9-A4CA-81DD9D1ADA24}"/>
    <cellStyle name="Note 10 4 2 2" xfId="22188" xr:uid="{DB9DE4C2-F26C-47E1-8615-A9C283B5EB04}"/>
    <cellStyle name="Note 10 4 3" xfId="33028" xr:uid="{EFCC1DF7-A100-40C3-83DC-A85E5AA4F2DB}"/>
    <cellStyle name="Note 10 4 4" xfId="33029" xr:uid="{11C0CC88-FAF8-4B6F-A3FC-21C9F80AF8FC}"/>
    <cellStyle name="Note 10 4 5" xfId="33030" xr:uid="{CC0AA0F7-05B7-423B-91AA-F1FF3ED066BF}"/>
    <cellStyle name="Note 10 4 6" xfId="33031" xr:uid="{BEE31211-DFAA-4260-A33E-7CB9E15C44D6}"/>
    <cellStyle name="Note 10 5" xfId="3142" xr:uid="{384AD213-3B87-45A6-A9BB-6F7F4B71E213}"/>
    <cellStyle name="Note 10 5 2" xfId="18572" xr:uid="{540CC3B3-35D9-450D-BADE-F625B0D5FD73}"/>
    <cellStyle name="Note 10 5 2 2" xfId="22189" xr:uid="{FA8A5EFD-2F85-4A14-868F-7697FEE78A0C}"/>
    <cellStyle name="Note 10 5 3" xfId="33032" xr:uid="{139ED5DE-BAC9-4F36-90F7-F9BA85AF9DF9}"/>
    <cellStyle name="Note 10 5 4" xfId="33033" xr:uid="{85F97AAB-63D9-44B9-8DD1-24565082877F}"/>
    <cellStyle name="Note 10 5 5" xfId="33034" xr:uid="{73CFA97D-2023-4351-92DB-9970928EBDF5}"/>
    <cellStyle name="Note 10 5 6" xfId="33035" xr:uid="{ECB33477-7C1F-404A-90B0-5739E6569267}"/>
    <cellStyle name="Note 10 6" xfId="3143" xr:uid="{CF3DA4EA-7E16-4F3B-80E9-2EAE166B147F}"/>
    <cellStyle name="Note 10 6 2" xfId="18573" xr:uid="{C8E9469D-D9AA-4F9B-980F-D4AC0966C278}"/>
    <cellStyle name="Note 10 6 2 2" xfId="22190" xr:uid="{810EEF59-E99A-4A0E-8F16-CE2CEC14CF99}"/>
    <cellStyle name="Note 10 6 3" xfId="33036" xr:uid="{744DE470-EB23-41F2-8D82-A817D123BC6C}"/>
    <cellStyle name="Note 10 6 4" xfId="33037" xr:uid="{29E16899-5122-41F0-83E2-4B4286749B31}"/>
    <cellStyle name="Note 10 6 5" xfId="33038" xr:uid="{C334B56B-A68E-4B35-A9F2-744230CFA2A6}"/>
    <cellStyle name="Note 10 6 6" xfId="33039" xr:uid="{2DE1C10F-009F-425A-9CB3-FE29F4DE6D75}"/>
    <cellStyle name="Note 10 7" xfId="3144" xr:uid="{B9FCCDA6-C391-40A5-B0BC-2D35D1BF6216}"/>
    <cellStyle name="Note 10 7 2" xfId="5113" xr:uid="{D2C7FA5D-628F-4056-B5CE-944DC680823D}"/>
    <cellStyle name="Note 10 7 2 2" xfId="18575" xr:uid="{78EE2382-B8C6-440A-84CC-B18B1ACDC89E}"/>
    <cellStyle name="Note 10 7 2 2 2" xfId="22192" xr:uid="{A0080CB0-3BE0-49CF-8872-9964B951C028}"/>
    <cellStyle name="Note 10 7 2 3" xfId="33040" xr:uid="{79548713-0405-4841-9398-DF1FEAF959FF}"/>
    <cellStyle name="Note 10 7 2 4" xfId="33041" xr:uid="{82AFFECC-3AD0-472A-9DBF-FAC1F16A0E5E}"/>
    <cellStyle name="Note 10 7 2 5" xfId="33042" xr:uid="{FB68865C-3DAF-43EC-A6CC-D9D98A78F037}"/>
    <cellStyle name="Note 10 7 2 6" xfId="33043" xr:uid="{1C88B0AC-764C-4D58-BE97-4BA43766E0B8}"/>
    <cellStyle name="Note 10 7 3" xfId="6911" xr:uid="{79F5D716-BC16-44A8-BF5C-33BEBBEA524A}"/>
    <cellStyle name="Note 10 7 3 2" xfId="18576" xr:uid="{9066BF27-D883-445E-8A1D-B8EBE0288F74}"/>
    <cellStyle name="Note 10 7 3 2 2" xfId="22193" xr:uid="{BEE03A60-5D69-4FA5-942B-9C66C80E230C}"/>
    <cellStyle name="Note 10 7 3 3" xfId="33044" xr:uid="{DCCE1C47-C682-441E-B1ED-5463374D3F33}"/>
    <cellStyle name="Note 10 7 3 4" xfId="33045" xr:uid="{592CFD27-AEB7-475D-9F9A-C2A0D6003BC1}"/>
    <cellStyle name="Note 10 7 3 5" xfId="33046" xr:uid="{7A1A0680-9003-40FB-813F-DF80FC70F14A}"/>
    <cellStyle name="Note 10 7 3 6" xfId="33047" xr:uid="{7915D016-033F-46F8-BD48-E58ACB8EE655}"/>
    <cellStyle name="Note 10 7 3 7" xfId="46372" xr:uid="{2F69A292-51E1-43E4-B16B-359CEA8E8B82}"/>
    <cellStyle name="Note 10 7 3 8" xfId="16062" xr:uid="{57F1EFDE-709C-4C58-82F5-C74125102D83}"/>
    <cellStyle name="Note 10 7 4" xfId="9005" xr:uid="{9A01D721-58A3-45B7-9E38-801BA9514C90}"/>
    <cellStyle name="Note 10 7 4 2" xfId="22191" xr:uid="{9631E43D-750B-4022-A38D-7C4FD7BB5484}"/>
    <cellStyle name="Note 10 7 4 3" xfId="18574" xr:uid="{5EFB4C9C-C9AC-4A61-8875-43FA9E0E5303}"/>
    <cellStyle name="Note 10 7 5" xfId="33048" xr:uid="{B4035CAA-268D-4529-8380-431AE54929C6}"/>
    <cellStyle name="Note 10 7 6" xfId="33049" xr:uid="{47CFCC65-DDA7-4E4E-BB46-D936A1506DEB}"/>
    <cellStyle name="Note 10 7 7" xfId="33050" xr:uid="{7379DACE-D7E5-4869-A1E4-B9487E4C79E2}"/>
    <cellStyle name="Note 10 7 8" xfId="33051" xr:uid="{8FDA7D15-3AE4-45A5-871D-6659B832D56B}"/>
    <cellStyle name="Note 10 8" xfId="3145" xr:uid="{894C7EE4-3381-4E76-B834-D7B3B878BB34}"/>
    <cellStyle name="Note 10 8 2" xfId="5114" xr:uid="{570E552D-25C1-4AC2-97AB-46B49AC112E5}"/>
    <cellStyle name="Note 10 8 2 2" xfId="18578" xr:uid="{9FFF7969-E0D1-4C09-8E92-7B6A5D152A35}"/>
    <cellStyle name="Note 10 8 2 2 2" xfId="22195" xr:uid="{24CB9344-ED25-46B0-AED7-A7E4D7ED9D90}"/>
    <cellStyle name="Note 10 8 2 3" xfId="33052" xr:uid="{DA9B262A-3331-4045-B6EC-A7E79917E8C7}"/>
    <cellStyle name="Note 10 8 2 4" xfId="33053" xr:uid="{F92AC973-E84B-4B90-9295-2122F9A5B67A}"/>
    <cellStyle name="Note 10 8 2 5" xfId="33054" xr:uid="{E9C6278C-59B2-4BF0-A537-FC32E8657013}"/>
    <cellStyle name="Note 10 8 2 6" xfId="33055" xr:uid="{83F36E24-96CC-4725-9B8A-946F9B835DAF}"/>
    <cellStyle name="Note 10 8 3" xfId="6912" xr:uid="{BFBC536C-3D2A-4895-928A-0FEC022E1C25}"/>
    <cellStyle name="Note 10 8 3 2" xfId="18579" xr:uid="{25F1CD3A-697A-4750-959E-16A2142B557B}"/>
    <cellStyle name="Note 10 8 3 2 2" xfId="22196" xr:uid="{C120801F-8FEE-4AA8-9024-4DD1BCD2B795}"/>
    <cellStyle name="Note 10 8 3 3" xfId="33056" xr:uid="{CB14A2D3-2875-410F-8CF9-FAC912FC44D8}"/>
    <cellStyle name="Note 10 8 3 4" xfId="33057" xr:uid="{84151AC3-DEFE-4792-8A75-2672F8EB839B}"/>
    <cellStyle name="Note 10 8 3 5" xfId="33058" xr:uid="{EA4586A6-ACD0-4844-8DCC-CC2A9C105162}"/>
    <cellStyle name="Note 10 8 3 6" xfId="33059" xr:uid="{02EAA716-A785-4C54-BC5C-6F9DB2AE06A9}"/>
    <cellStyle name="Note 10 8 3 7" xfId="46373" xr:uid="{FA18A56C-4F7C-4E3F-B6D7-69BA92019460}"/>
    <cellStyle name="Note 10 8 3 8" xfId="16063" xr:uid="{C46B6B2C-F8D9-40B3-BF8A-359B1D93A2C7}"/>
    <cellStyle name="Note 10 8 4" xfId="9006" xr:uid="{0F6DAF0E-AE4C-45FE-8386-7FE7C0D80DA7}"/>
    <cellStyle name="Note 10 8 4 2" xfId="22194" xr:uid="{24BED26A-AD07-49EE-AC8D-CFB6CB05ADC6}"/>
    <cellStyle name="Note 10 8 4 3" xfId="18577" xr:uid="{94C24658-59E7-4163-9FD2-F158C85895DC}"/>
    <cellStyle name="Note 10 8 5" xfId="33060" xr:uid="{CC8DFB52-2B80-41FB-8A0B-F3E4FB72A757}"/>
    <cellStyle name="Note 10 8 6" xfId="33061" xr:uid="{72C18656-BB30-43C8-B10A-ABAF5A4B9BB7}"/>
    <cellStyle name="Note 10 8 7" xfId="33062" xr:uid="{1FC6CDDB-3B82-479E-A207-B24BEFD238AB}"/>
    <cellStyle name="Note 10 8 8" xfId="33063" xr:uid="{C75F9B1A-343C-47FF-BF22-D63EDF14AA89}"/>
    <cellStyle name="Note 10 9" xfId="16064" xr:uid="{5BC7B678-1986-4914-B8D3-D2F948F29F8E}"/>
    <cellStyle name="Note 10 9 2" xfId="18580" xr:uid="{66CFB957-AE42-4FBF-8F09-7BF5CE50AF8F}"/>
    <cellStyle name="Note 10 9 2 2" xfId="22197" xr:uid="{54D9694E-A49A-4ADE-ACC7-6B63B0A4818A}"/>
    <cellStyle name="Note 10 9 3" xfId="33064" xr:uid="{316CDB0F-DCF8-4E8B-9390-6D78CDAD3AD7}"/>
    <cellStyle name="Note 10 9 4" xfId="33065" xr:uid="{FED0CE23-3300-4053-AF5E-4E1BDC8E8BB3}"/>
    <cellStyle name="Note 10 9 5" xfId="33066" xr:uid="{C72D8C80-AE8A-4806-AC93-6EA1895564BC}"/>
    <cellStyle name="Note 10 9 6" xfId="33067" xr:uid="{3A995A1D-E514-4E74-A7F5-916D712E4375}"/>
    <cellStyle name="Note 10_IND_UC" xfId="3146" xr:uid="{AD08E7F9-7CEC-4956-9A05-303989ED2EF9}"/>
    <cellStyle name="Note 11" xfId="3147" xr:uid="{D4AE6B44-64B6-4448-9729-986039E382EC}"/>
    <cellStyle name="Note 11 10" xfId="16065" xr:uid="{ECBCE9E2-4C8A-4F58-A6FF-C87C06A2B3FA}"/>
    <cellStyle name="Note 11 10 2" xfId="18582" xr:uid="{21D20671-1AC5-4CA8-ADB1-071E86E63418}"/>
    <cellStyle name="Note 11 10 2 2" xfId="22199" xr:uid="{B9F5AD2B-7B91-46BD-B3E2-CE4154009E75}"/>
    <cellStyle name="Note 11 10 3" xfId="33068" xr:uid="{9E341493-DE4E-43EE-8C63-8A81F04C9342}"/>
    <cellStyle name="Note 11 10 4" xfId="33069" xr:uid="{A274816D-0E39-4E69-8208-2E024BD00D6B}"/>
    <cellStyle name="Note 11 10 5" xfId="33070" xr:uid="{B375AA07-2B4B-4BC4-8039-4EC9E12C3B4D}"/>
    <cellStyle name="Note 11 10 6" xfId="33071" xr:uid="{7B19C65C-9C68-4CC3-A394-368A2F7CE0D0}"/>
    <cellStyle name="Note 11 11" xfId="16066" xr:uid="{4F8E526F-5537-4805-BC28-8780CB6B301A}"/>
    <cellStyle name="Note 11 11 2" xfId="18583" xr:uid="{A23C9C5E-FF57-4BBF-875F-38A96D06BC75}"/>
    <cellStyle name="Note 11 11 2 2" xfId="22200" xr:uid="{B34B9150-F485-40CB-AD7F-7B706376ADD5}"/>
    <cellStyle name="Note 11 11 3" xfId="33072" xr:uid="{CF3FC654-BC5F-4175-8CDB-C2D57F5F9AB0}"/>
    <cellStyle name="Note 11 11 4" xfId="33073" xr:uid="{2ED54ADE-F7F3-48E3-AC07-F18871DC49A3}"/>
    <cellStyle name="Note 11 11 5" xfId="33074" xr:uid="{C44FDF25-7268-4169-BA35-C40BE94D504E}"/>
    <cellStyle name="Note 11 11 6" xfId="33075" xr:uid="{7DD352A1-C281-47CF-8814-3E35CE1ACA37}"/>
    <cellStyle name="Note 11 12" xfId="16067" xr:uid="{47072344-AF4F-469A-B77C-017A0D845FC0}"/>
    <cellStyle name="Note 11 12 2" xfId="18584" xr:uid="{E790CBC8-BFF3-4E07-916F-6E7CC8919219}"/>
    <cellStyle name="Note 11 12 2 2" xfId="22201" xr:uid="{3DF25489-F004-47DC-A081-8BF79055D9E9}"/>
    <cellStyle name="Note 11 12 3" xfId="33076" xr:uid="{9B2FC60F-E846-4C25-8182-4F6FCAA1A117}"/>
    <cellStyle name="Note 11 12 4" xfId="33077" xr:uid="{61C9546C-7F97-436F-8F18-CA274EE11B37}"/>
    <cellStyle name="Note 11 12 5" xfId="33078" xr:uid="{011A11D3-1FA7-4AA5-B324-65ED8E0FA20D}"/>
    <cellStyle name="Note 11 12 6" xfId="33079" xr:uid="{6ED238D0-893F-4FEF-BD15-E3741E26DA80}"/>
    <cellStyle name="Note 11 13" xfId="16068" xr:uid="{04DBB2A8-495E-4CA6-A7FD-D6286AD4119E}"/>
    <cellStyle name="Note 11 13 2" xfId="18585" xr:uid="{6721E07D-E45B-4D96-BC3E-FC20D02244E6}"/>
    <cellStyle name="Note 11 13 2 2" xfId="22202" xr:uid="{D301AB8C-0958-46E9-B9AE-7E211F173077}"/>
    <cellStyle name="Note 11 13 3" xfId="33080" xr:uid="{A710C24C-662C-462D-923D-DC63B82CF153}"/>
    <cellStyle name="Note 11 13 4" xfId="33081" xr:uid="{09C74470-E703-45A1-8FBF-98CEF25A1612}"/>
    <cellStyle name="Note 11 13 5" xfId="33082" xr:uid="{9FB6F24A-03DB-4D41-BF19-95A90AA7ED7F}"/>
    <cellStyle name="Note 11 13 6" xfId="33083" xr:uid="{26CA5252-CEC0-432A-9430-0E0513AFDBDF}"/>
    <cellStyle name="Note 11 14" xfId="16069" xr:uid="{772C3524-739B-44DC-853E-6E7698C003FF}"/>
    <cellStyle name="Note 11 14 2" xfId="18586" xr:uid="{AB8B840B-9B29-4133-8049-00F6F347A0C9}"/>
    <cellStyle name="Note 11 14 2 2" xfId="22203" xr:uid="{483C2E21-5AF8-43E7-A13F-F1413E08E029}"/>
    <cellStyle name="Note 11 14 3" xfId="33084" xr:uid="{CF696B08-5E98-4936-B29F-2D5203AC71BC}"/>
    <cellStyle name="Note 11 14 4" xfId="33085" xr:uid="{0EAE093C-CACC-4683-BB63-276DF33F8216}"/>
    <cellStyle name="Note 11 14 5" xfId="33086" xr:uid="{A7D3C450-49B5-44F2-B539-F7946F08EBD1}"/>
    <cellStyle name="Note 11 14 6" xfId="33087" xr:uid="{439B591B-21DE-4E40-B3E9-EA419336F76F}"/>
    <cellStyle name="Note 11 15" xfId="18581" xr:uid="{6089F795-FA08-4A5E-AA8C-C06A6B190402}"/>
    <cellStyle name="Note 11 15 2" xfId="22198" xr:uid="{0977C074-50C8-483B-8482-31D2A00E947D}"/>
    <cellStyle name="Note 11 16" xfId="33088" xr:uid="{43C0719F-E1D9-458A-9BD7-76A451EC03FE}"/>
    <cellStyle name="Note 11 17" xfId="33089" xr:uid="{164CA0E9-BEEB-4D79-9BAC-559DD04FFDD1}"/>
    <cellStyle name="Note 11 18" xfId="33090" xr:uid="{4F5C882D-656A-44E3-9782-EDE7BDD1F502}"/>
    <cellStyle name="Note 11 19" xfId="33091" xr:uid="{BECF541D-96A1-47A1-9EEF-B0D1062E9241}"/>
    <cellStyle name="Note 11 2" xfId="3148" xr:uid="{CC783721-4D19-4E7D-934D-591BACC06123}"/>
    <cellStyle name="Note 11 2 2" xfId="18587" xr:uid="{9FBB6748-6AC8-4212-8048-A95ACF4C783C}"/>
    <cellStyle name="Note 11 2 2 2" xfId="22204" xr:uid="{6491CC29-8231-4070-8936-7EED47353B69}"/>
    <cellStyle name="Note 11 2 3" xfId="33092" xr:uid="{8DCE2D83-5CDE-498A-AC2F-9E3C562D2ABF}"/>
    <cellStyle name="Note 11 2 4" xfId="33093" xr:uid="{B7130F39-F8E7-4AB9-BB4E-BB97810F342F}"/>
    <cellStyle name="Note 11 2 5" xfId="33094" xr:uid="{A8098A42-2C04-49E3-83AF-70F0919471AF}"/>
    <cellStyle name="Note 11 2 6" xfId="33095" xr:uid="{8C88D965-FD25-4925-9E8E-1FA426153CAB}"/>
    <cellStyle name="Note 11 2 7" xfId="33096" xr:uid="{F9C394A6-C39F-4338-AB15-6A81BD75A7E6}"/>
    <cellStyle name="Note 11 20" xfId="33097" xr:uid="{24660DE2-3C4D-4533-99F4-734707FA1E78}"/>
    <cellStyle name="Note 11 3" xfId="3149" xr:uid="{5662E15F-25A6-41B9-9BCD-3B208A729B62}"/>
    <cellStyle name="Note 11 3 2" xfId="18588" xr:uid="{83C53289-03E5-4329-AE9E-2905A7E99940}"/>
    <cellStyle name="Note 11 3 2 2" xfId="22205" xr:uid="{A9BD1792-E8D6-4AD4-B631-1044F355B017}"/>
    <cellStyle name="Note 11 3 3" xfId="33098" xr:uid="{F2D17673-ACC1-49C4-8425-53FAA67FC4D4}"/>
    <cellStyle name="Note 11 3 4" xfId="33099" xr:uid="{6661D19D-BEBE-499A-95FD-153742CE4F8C}"/>
    <cellStyle name="Note 11 3 5" xfId="33100" xr:uid="{D0583B0E-532E-4867-831F-CB7ABEBDA7D5}"/>
    <cellStyle name="Note 11 3 6" xfId="33101" xr:uid="{B95C0A0D-1C1C-4717-A9B5-B973965445A9}"/>
    <cellStyle name="Note 11 3 7" xfId="33102" xr:uid="{93DB6C2C-3EBB-4F4E-AE08-BF028876919A}"/>
    <cellStyle name="Note 11 4" xfId="3150" xr:uid="{9A7ACD79-D045-495C-925D-56007964A328}"/>
    <cellStyle name="Note 11 4 2" xfId="18589" xr:uid="{4CCFBF38-07EA-46C4-8D25-F3384711EFCE}"/>
    <cellStyle name="Note 11 4 2 2" xfId="22206" xr:uid="{E2C913D3-0D0B-405E-B20F-E0F191CE2E7E}"/>
    <cellStyle name="Note 11 4 3" xfId="33103" xr:uid="{B2E002BD-BBA0-4273-B1B6-3FAEFB17EB9E}"/>
    <cellStyle name="Note 11 4 4" xfId="33104" xr:uid="{9113B389-C555-42CA-A0A6-2300D0FD41B3}"/>
    <cellStyle name="Note 11 4 5" xfId="33105" xr:uid="{70367826-DD17-4BB5-93A5-854CEF47F192}"/>
    <cellStyle name="Note 11 4 6" xfId="33106" xr:uid="{48222B7F-6986-4BA5-BED9-5F51AC2E6523}"/>
    <cellStyle name="Note 11 5" xfId="3151" xr:uid="{55EDB3BC-6389-43E0-B67C-A1F88D06F46E}"/>
    <cellStyle name="Note 11 5 2" xfId="18590" xr:uid="{FB11F514-A363-4B1F-9007-D19402F870E9}"/>
    <cellStyle name="Note 11 5 2 2" xfId="22207" xr:uid="{9AE5D898-9B78-4245-BDD2-E28992FF99AC}"/>
    <cellStyle name="Note 11 5 3" xfId="33107" xr:uid="{99601082-DB64-4D66-AC9B-3ECBA8C341A7}"/>
    <cellStyle name="Note 11 5 4" xfId="33108" xr:uid="{42DC54C3-3725-4145-A90A-868918FCF6E8}"/>
    <cellStyle name="Note 11 5 5" xfId="33109" xr:uid="{13523A6E-73BD-4AF3-9E14-BB4F25F0F750}"/>
    <cellStyle name="Note 11 5 6" xfId="33110" xr:uid="{0C7BAFF2-83FF-4846-9512-08EB76BB59DD}"/>
    <cellStyle name="Note 11 6" xfId="3152" xr:uid="{EDC28F49-905E-491C-88B6-69FAF150DA8B}"/>
    <cellStyle name="Note 11 6 2" xfId="18591" xr:uid="{B00A502B-6B20-4862-88EE-8533BDCD083A}"/>
    <cellStyle name="Note 11 6 2 2" xfId="22208" xr:uid="{A31E8848-26C4-47F6-ACBB-23DE160C8342}"/>
    <cellStyle name="Note 11 6 3" xfId="33111" xr:uid="{97759617-BB21-4A5A-B08C-CD22B2AC2D7D}"/>
    <cellStyle name="Note 11 6 4" xfId="33112" xr:uid="{2AA357DD-76D9-44B5-8E67-8AD0D0510045}"/>
    <cellStyle name="Note 11 6 5" xfId="33113" xr:uid="{CD43B3CF-18EB-417D-B9D9-A1CD1DFC8082}"/>
    <cellStyle name="Note 11 6 6" xfId="33114" xr:uid="{31C581F2-0988-4EFC-B796-3D842E9D1A52}"/>
    <cellStyle name="Note 11 7" xfId="3153" xr:uid="{A13AEA99-10A8-476C-B2FF-D9B55EED7B91}"/>
    <cellStyle name="Note 11 7 2" xfId="5115" xr:uid="{0C904BE1-9B72-4F40-8161-25FA9FB7052F}"/>
    <cellStyle name="Note 11 7 2 2" xfId="18593" xr:uid="{A703BB24-A359-4FFB-95E1-11B15A75703D}"/>
    <cellStyle name="Note 11 7 2 2 2" xfId="22210" xr:uid="{447699C3-0499-4B3A-8F12-FFAAED41322C}"/>
    <cellStyle name="Note 11 7 2 3" xfId="33115" xr:uid="{59E06D4C-1AAF-414E-AB37-204F79EF1D5F}"/>
    <cellStyle name="Note 11 7 2 4" xfId="33116" xr:uid="{4679DE77-EF27-4481-883B-1F0C490974AB}"/>
    <cellStyle name="Note 11 7 2 5" xfId="33117" xr:uid="{61CA0312-A026-4885-9095-DCDF371A407D}"/>
    <cellStyle name="Note 11 7 2 6" xfId="33118" xr:uid="{9018044D-B7FD-4260-9C48-BFC062E62CFA}"/>
    <cellStyle name="Note 11 7 3" xfId="6913" xr:uid="{2C1D1A05-F252-4EC9-8411-B67D8187EFB0}"/>
    <cellStyle name="Note 11 7 3 2" xfId="18594" xr:uid="{3C6F822B-5FA3-4084-8A32-B75217B9F584}"/>
    <cellStyle name="Note 11 7 3 2 2" xfId="22211" xr:uid="{E242D21F-4471-4F13-9816-7D0093261728}"/>
    <cellStyle name="Note 11 7 3 3" xfId="33119" xr:uid="{078C9F6E-ADBE-4009-AE70-252192A6D11C}"/>
    <cellStyle name="Note 11 7 3 4" xfId="33120" xr:uid="{A60A078B-0CAD-473D-BCDE-4EE9873E2147}"/>
    <cellStyle name="Note 11 7 3 5" xfId="33121" xr:uid="{6D04FD5E-3E96-461D-95CA-19F8D6B9863E}"/>
    <cellStyle name="Note 11 7 3 6" xfId="33122" xr:uid="{6B74729D-DBAF-48B5-9AC6-A848BB1D1941}"/>
    <cellStyle name="Note 11 7 3 7" xfId="46374" xr:uid="{38C6A593-279E-49C9-B7C7-3C491D0EA1ED}"/>
    <cellStyle name="Note 11 7 3 8" xfId="16070" xr:uid="{2C542D2C-86B3-4B03-9AB9-3CA5C4A6EAC1}"/>
    <cellStyle name="Note 11 7 4" xfId="9007" xr:uid="{008BD79E-315C-4055-BCE7-8DA8332648B4}"/>
    <cellStyle name="Note 11 7 4 2" xfId="22209" xr:uid="{2AD06057-E127-4C83-9F4D-ECCF2DC43051}"/>
    <cellStyle name="Note 11 7 4 3" xfId="18592" xr:uid="{58EAA498-ADA8-4D4E-8220-0D145A0655B6}"/>
    <cellStyle name="Note 11 7 5" xfId="33123" xr:uid="{D3195092-17E0-4C81-942E-21B342D568B6}"/>
    <cellStyle name="Note 11 7 6" xfId="33124" xr:uid="{DD3D7605-C001-46BD-9F10-E106A956DC81}"/>
    <cellStyle name="Note 11 7 7" xfId="33125" xr:uid="{964EE918-5056-4D54-A550-E045A75D5D4B}"/>
    <cellStyle name="Note 11 7 8" xfId="33126" xr:uid="{55FAD8DE-8418-40C2-B068-A14BCE3627D8}"/>
    <cellStyle name="Note 11 8" xfId="3154" xr:uid="{156FD4F2-5C1B-4B52-AE93-D9F1554BDC7F}"/>
    <cellStyle name="Note 11 8 2" xfId="5116" xr:uid="{60CDA34B-15C1-4429-9C71-BF93EEBB70E2}"/>
    <cellStyle name="Note 11 8 2 2" xfId="18596" xr:uid="{22B67D4A-8239-4B07-963C-754A18FEE1F5}"/>
    <cellStyle name="Note 11 8 2 2 2" xfId="22213" xr:uid="{0CE29903-4643-4F7A-9794-11AF630C7106}"/>
    <cellStyle name="Note 11 8 2 3" xfId="33127" xr:uid="{DA9A3CFB-0F3F-4957-9785-25CC2160346D}"/>
    <cellStyle name="Note 11 8 2 4" xfId="33128" xr:uid="{7CD70B3D-5D04-4F48-8B57-564D3BAB228E}"/>
    <cellStyle name="Note 11 8 2 5" xfId="33129" xr:uid="{71F62A38-DD30-4796-AEDF-A8B1E10C3FED}"/>
    <cellStyle name="Note 11 8 2 6" xfId="33130" xr:uid="{6A6177FE-7303-4AD2-9247-53BD0240510F}"/>
    <cellStyle name="Note 11 8 3" xfId="6914" xr:uid="{6585601A-9A2D-4293-AC62-99E132992AC8}"/>
    <cellStyle name="Note 11 8 3 2" xfId="18597" xr:uid="{17BC2370-F979-4B6F-8BFB-80113220FF10}"/>
    <cellStyle name="Note 11 8 3 2 2" xfId="22214" xr:uid="{E6D1CED2-A927-4D6C-9542-F445AD761315}"/>
    <cellStyle name="Note 11 8 3 3" xfId="33131" xr:uid="{FB79FA58-3BDF-4C8D-8F11-0B07AC43AC52}"/>
    <cellStyle name="Note 11 8 3 4" xfId="33132" xr:uid="{F08364D4-E9AC-4D54-BD31-A7099BA7E457}"/>
    <cellStyle name="Note 11 8 3 5" xfId="33133" xr:uid="{58B80FDC-C5A2-4CCE-BD91-AEB58BE0CFEF}"/>
    <cellStyle name="Note 11 8 3 6" xfId="33134" xr:uid="{A73B78EE-568A-47D2-9699-51B4F88A4CC9}"/>
    <cellStyle name="Note 11 8 3 7" xfId="46375" xr:uid="{A7D3C690-833C-41AB-9F9E-CE39E5B3F999}"/>
    <cellStyle name="Note 11 8 3 8" xfId="16071" xr:uid="{978DBC6E-AAFB-4751-91CD-A42C9BE28DB7}"/>
    <cellStyle name="Note 11 8 4" xfId="9008" xr:uid="{DEFE8C0C-2268-4C6F-A414-17A64460939A}"/>
    <cellStyle name="Note 11 8 4 2" xfId="22212" xr:uid="{8D3153E7-0AA9-4BAF-85AF-3B1D695EDD38}"/>
    <cellStyle name="Note 11 8 4 3" xfId="18595" xr:uid="{73CCC3BB-77EE-4083-AB9B-53AB6401931E}"/>
    <cellStyle name="Note 11 8 5" xfId="33135" xr:uid="{AAEB3AFF-59BD-434B-AA5F-5F94A284A6F6}"/>
    <cellStyle name="Note 11 8 6" xfId="33136" xr:uid="{7DC5E463-E85F-498A-B6A4-85A76F9C5EF8}"/>
    <cellStyle name="Note 11 8 7" xfId="33137" xr:uid="{5001B591-7C04-4075-9F4C-E51F236817AF}"/>
    <cellStyle name="Note 11 8 8" xfId="33138" xr:uid="{CA9F986E-1D3F-4E4A-9321-C433E5FADE3E}"/>
    <cellStyle name="Note 11 9" xfId="16072" xr:uid="{7EEA0B1E-507F-426A-A535-FCB88BB8F15A}"/>
    <cellStyle name="Note 11 9 2" xfId="18598" xr:uid="{79374E30-E51B-401D-8FA1-3ADC753022EF}"/>
    <cellStyle name="Note 11 9 2 2" xfId="22215" xr:uid="{3778BAC9-8C03-4F63-8F9D-E98EBC5ABD3F}"/>
    <cellStyle name="Note 11 9 3" xfId="33139" xr:uid="{D69EB644-C055-4A99-B152-05D87FC1A949}"/>
    <cellStyle name="Note 11 9 4" xfId="33140" xr:uid="{CF9AFFA9-2163-4428-9536-A6BA365D2337}"/>
    <cellStyle name="Note 11 9 5" xfId="33141" xr:uid="{B7E0CD1C-95CF-44FC-A385-20D49DB2D1C0}"/>
    <cellStyle name="Note 11 9 6" xfId="33142" xr:uid="{5E1B66E1-CD93-4DF7-99DB-E3C1E5A4DFE2}"/>
    <cellStyle name="Note 11_IND_UC" xfId="3155" xr:uid="{9474239A-1ECF-44B7-B27A-1274291CFEA1}"/>
    <cellStyle name="Note 12" xfId="3156" xr:uid="{AA1358AB-07CD-48B0-B462-FB19C37AB7D6}"/>
    <cellStyle name="Note 12 10" xfId="4192" xr:uid="{F6B0E8C2-225B-4B55-84D1-1204F860F121}"/>
    <cellStyle name="Note 12 10 2" xfId="22216" xr:uid="{D93639E9-9DAC-4E99-BFE0-FA6DCCD3998B}"/>
    <cellStyle name="Note 12 10 3" xfId="44007" xr:uid="{222612B5-AE4E-4070-9C60-33191345FDED}"/>
    <cellStyle name="Note 12 10 4" xfId="18599" xr:uid="{5A10A8BC-E660-42E2-B3B0-44DA4D3F5A24}"/>
    <cellStyle name="Note 12 11" xfId="6259" xr:uid="{6B5D5607-7CC1-4DC3-B535-648BCD507EEB}"/>
    <cellStyle name="Note 12 11 2" xfId="45917" xr:uid="{78FD5274-EEC0-49C8-A733-FEDB22D001EF}"/>
    <cellStyle name="Note 12 11 3" xfId="33143" xr:uid="{02CB3E98-DA19-49CD-BD09-1DB741EEE462}"/>
    <cellStyle name="Note 12 12" xfId="9009" xr:uid="{84C241B2-20F5-496E-BBD3-305AFBA69B3A}"/>
    <cellStyle name="Note 12 12 2" xfId="33144" xr:uid="{3AC95A5B-D9BA-410A-B92A-6D1F70511BAC}"/>
    <cellStyle name="Note 12 13" xfId="33145" xr:uid="{ED6A3930-DE65-47D9-A23B-DBE1E9FB72CF}"/>
    <cellStyle name="Note 12 14" xfId="33146" xr:uid="{4E64D482-4391-4CBB-9C05-D39090F3301D}"/>
    <cellStyle name="Note 12 15" xfId="33147" xr:uid="{1A9039FE-7CE3-4186-B88C-3319FF66ED1A}"/>
    <cellStyle name="Note 12 2" xfId="3157" xr:uid="{ABCFB712-1901-4C36-B377-A3687D42AF53}"/>
    <cellStyle name="Note 12 2 2" xfId="3158" xr:uid="{4A524BEF-7C74-463B-912A-801D1DA87CBF}"/>
    <cellStyle name="Note 12 2 2 2" xfId="5119" xr:uid="{6A247EE4-AFB5-4BC5-B070-7A494EF582F4}"/>
    <cellStyle name="Note 12 2 2 2 2" xfId="18602" xr:uid="{F5CC4049-93EF-4691-BC9D-9DFB5DBC1736}"/>
    <cellStyle name="Note 12 2 2 2 2 2" xfId="22219" xr:uid="{C96F884B-DF6E-4B27-A66E-EEA83E343DDF}"/>
    <cellStyle name="Note 12 2 2 2 3" xfId="33148" xr:uid="{98AF6512-705E-468E-AD8C-CA238E33E85A}"/>
    <cellStyle name="Note 12 2 2 2 4" xfId="33149" xr:uid="{B81A0216-7C10-47DF-B424-D7AFE88F45F9}"/>
    <cellStyle name="Note 12 2 2 2 5" xfId="33150" xr:uid="{21CFBF16-4472-4A39-AAA2-CEC7E1B02D82}"/>
    <cellStyle name="Note 12 2 2 2 6" xfId="33151" xr:uid="{50BC2055-BDAD-42A9-98A1-27FD05CCBF1C}"/>
    <cellStyle name="Note 12 2 2 3" xfId="6915" xr:uid="{3F0B6380-AD18-4463-8E5E-901E0BBC1327}"/>
    <cellStyle name="Note 12 2 2 3 2" xfId="22218" xr:uid="{F598AC60-60E8-47C8-A3FE-853F54F88521}"/>
    <cellStyle name="Note 12 2 2 3 3" xfId="46376" xr:uid="{CAEA756A-19B5-4853-B6BB-8E9D7392EE0B}"/>
    <cellStyle name="Note 12 2 2 3 4" xfId="18601" xr:uid="{73E7A8FF-EC35-495D-B6FA-B0BB2D0F94A3}"/>
    <cellStyle name="Note 12 2 2 4" xfId="9011" xr:uid="{4627BE4E-F7EF-4705-A574-C34D35064180}"/>
    <cellStyle name="Note 12 2 2 4 2" xfId="33152" xr:uid="{C9E52D1B-3A8A-40DD-81BA-9C153C04A61A}"/>
    <cellStyle name="Note 12 2 2 5" xfId="33153" xr:uid="{7B2D29F4-44C8-4B1C-9E00-3D2557CD67DF}"/>
    <cellStyle name="Note 12 2 2 6" xfId="33154" xr:uid="{4205A983-98BF-4DBA-A4E0-50E150A836D9}"/>
    <cellStyle name="Note 12 2 2 7" xfId="33155" xr:uid="{D437804E-92F5-4E5F-B080-C4716643C7DE}"/>
    <cellStyle name="Note 12 2 3" xfId="5118" xr:uid="{DCFDC6F3-E970-4738-A75C-50A0C59929E9}"/>
    <cellStyle name="Note 12 2 3 2" xfId="18603" xr:uid="{815D2810-338E-4939-88B6-62461B1C68D8}"/>
    <cellStyle name="Note 12 2 3 2 2" xfId="22220" xr:uid="{0ABED3D4-BF19-49D7-B72D-F7F2CED2F1D2}"/>
    <cellStyle name="Note 12 2 3 3" xfId="33156" xr:uid="{D3FE355B-2F4A-4217-A895-99082AF74CE7}"/>
    <cellStyle name="Note 12 2 3 4" xfId="33157" xr:uid="{E325DD03-6906-4282-9318-421C2F3868AF}"/>
    <cellStyle name="Note 12 2 3 5" xfId="33158" xr:uid="{675D4EB6-D9EE-4D84-9DCA-0E151EF0049E}"/>
    <cellStyle name="Note 12 2 3 6" xfId="33159" xr:uid="{3EAB7DD0-D5FD-4130-9E8B-E5D2F8553247}"/>
    <cellStyle name="Note 12 2 4" xfId="4193" xr:uid="{0ED62689-FA55-493D-9D6A-F0C481B2DDDA}"/>
    <cellStyle name="Note 12 2 4 2" xfId="22217" xr:uid="{1BCFB4DC-5B2A-441C-9010-240867051131}"/>
    <cellStyle name="Note 12 2 4 3" xfId="44008" xr:uid="{4710093D-1C58-42A0-B2CE-99326383FC1D}"/>
    <cellStyle name="Note 12 2 4 4" xfId="18600" xr:uid="{BAAF7689-4303-4F3D-9A05-56A907082396}"/>
    <cellStyle name="Note 12 2 5" xfId="6260" xr:uid="{36DFF167-1AFD-45C7-A56D-6EC0CD9A79D7}"/>
    <cellStyle name="Note 12 2 5 2" xfId="45918" xr:uid="{2588081F-AF74-481F-AE89-B4453784D498}"/>
    <cellStyle name="Note 12 2 5 3" xfId="33160" xr:uid="{61AD4878-97FC-434F-8DCC-06C3B721CCA3}"/>
    <cellStyle name="Note 12 2 6" xfId="9010" xr:uid="{C7F117B2-F22E-415F-A8FE-BA0A9C6B583C}"/>
    <cellStyle name="Note 12 2 6 2" xfId="33161" xr:uid="{98EABFEA-2458-4B4C-B6CA-957CA9A3AADC}"/>
    <cellStyle name="Note 12 2 7" xfId="33162" xr:uid="{4CBD1694-B92B-4B79-976B-522CFCBE24F0}"/>
    <cellStyle name="Note 12 2 8" xfId="33163" xr:uid="{DAD31E4A-F336-4D98-9E3E-73EBB8B90246}"/>
    <cellStyle name="Note 12 2 9" xfId="33164" xr:uid="{150BCEC4-3004-4D07-85EE-84A5CADBC36C}"/>
    <cellStyle name="Note 12 3" xfId="3159" xr:uid="{FD17752B-744D-4305-A346-554EBE14C79F}"/>
    <cellStyle name="Note 12 3 2" xfId="5120" xr:uid="{0DE3106B-FF7C-486C-8B4A-7038486E91CA}"/>
    <cellStyle name="Note 12 3 2 2" xfId="18605" xr:uid="{52A5A717-FEB2-41C1-9D42-0FA4C31A63EC}"/>
    <cellStyle name="Note 12 3 2 2 2" xfId="22222" xr:uid="{B8E8E9C6-9970-4875-ACCE-C8758290D8BE}"/>
    <cellStyle name="Note 12 3 2 3" xfId="33165" xr:uid="{1F4F85E8-31A5-4BA8-A8EC-45432B33DAFB}"/>
    <cellStyle name="Note 12 3 2 4" xfId="33166" xr:uid="{01598FC7-4A68-4069-A597-58ED24B3CF0F}"/>
    <cellStyle name="Note 12 3 2 5" xfId="33167" xr:uid="{13F4475D-676B-47B8-B324-E9AF5FF9C2F2}"/>
    <cellStyle name="Note 12 3 2 6" xfId="33168" xr:uid="{AC2886E8-967E-4B98-AB23-EB2C9C22BCDD}"/>
    <cellStyle name="Note 12 3 3" xfId="4194" xr:uid="{A71CDF26-16F5-46DB-866F-88570F1087EE}"/>
    <cellStyle name="Note 12 3 3 2" xfId="22221" xr:uid="{7644A217-918F-421E-91C8-4EF64DC1C6DF}"/>
    <cellStyle name="Note 12 3 3 3" xfId="44009" xr:uid="{3EA0F284-1518-4A72-8376-799E28B9F513}"/>
    <cellStyle name="Note 12 3 3 4" xfId="18604" xr:uid="{A2CB89DA-1D8E-4502-80FB-F8D6AEAD959D}"/>
    <cellStyle name="Note 12 3 4" xfId="6261" xr:uid="{688596CE-B185-4CF0-B34A-35514767AA5E}"/>
    <cellStyle name="Note 12 3 4 2" xfId="45919" xr:uid="{2D75D170-D4EE-464A-BB18-7CB5F9A4900F}"/>
    <cellStyle name="Note 12 3 4 3" xfId="33169" xr:uid="{576067C8-7A57-4977-BF82-59067D9EE551}"/>
    <cellStyle name="Note 12 3 5" xfId="9012" xr:uid="{E4BFB710-FE7D-4BA4-91D4-134E7B821863}"/>
    <cellStyle name="Note 12 3 5 2" xfId="33170" xr:uid="{5399C0EF-FBBE-4C1F-A3A0-52AB0610B8C3}"/>
    <cellStyle name="Note 12 3 6" xfId="33171" xr:uid="{27C68424-8121-4845-B352-3F9BA84DB9F6}"/>
    <cellStyle name="Note 12 3 7" xfId="33172" xr:uid="{78F6CE1A-5F84-4BD9-B84F-664731503120}"/>
    <cellStyle name="Note 12 3 8" xfId="33173" xr:uid="{39735841-5289-40C2-B6CC-8F82A422EEA5}"/>
    <cellStyle name="Note 12 4" xfId="3160" xr:uid="{D226B49B-54F3-461E-B59B-1957FB5FFF57}"/>
    <cellStyle name="Note 12 4 2" xfId="5121" xr:uid="{C2AF1E31-82EF-4CB3-B438-F18DD41598B6}"/>
    <cellStyle name="Note 12 4 2 2" xfId="18607" xr:uid="{3875C69B-CF88-403A-9283-2644AF087C4A}"/>
    <cellStyle name="Note 12 4 2 2 2" xfId="22224" xr:uid="{C82EDB4F-7696-4ADE-8F22-06A640DF85FA}"/>
    <cellStyle name="Note 12 4 2 3" xfId="33174" xr:uid="{0DF885EA-ED3B-41A5-B63C-53933B165769}"/>
    <cellStyle name="Note 12 4 2 4" xfId="33175" xr:uid="{FD8E0FE9-1B13-4D20-8648-16A25F888265}"/>
    <cellStyle name="Note 12 4 2 5" xfId="33176" xr:uid="{06A14994-66BF-41E7-91C5-0FFAB662B4AE}"/>
    <cellStyle name="Note 12 4 2 6" xfId="33177" xr:uid="{029578D3-3442-4E01-905F-C6A6E1526347}"/>
    <cellStyle name="Note 12 4 3" xfId="4195" xr:uid="{8341DC0A-5C97-44AC-87ED-BF1942CBF761}"/>
    <cellStyle name="Note 12 4 3 2" xfId="22223" xr:uid="{F46F53E1-C518-43A1-8CFE-A1CC22750D60}"/>
    <cellStyle name="Note 12 4 3 3" xfId="44010" xr:uid="{722E92B6-307E-4508-ADBF-61D055A3961D}"/>
    <cellStyle name="Note 12 4 3 4" xfId="18606" xr:uid="{853CA57B-5EBB-4471-8D62-94F51AD9A891}"/>
    <cellStyle name="Note 12 4 4" xfId="6262" xr:uid="{096A1B31-F5EB-43D3-BF3D-AF446C21E2A9}"/>
    <cellStyle name="Note 12 4 4 2" xfId="45920" xr:uid="{180AA8D0-4042-4C08-9660-1602956BE480}"/>
    <cellStyle name="Note 12 4 4 3" xfId="33178" xr:uid="{69899EB8-BE5B-46D0-91BA-BE4C6760D478}"/>
    <cellStyle name="Note 12 4 5" xfId="9013" xr:uid="{2E359C8C-6AE9-4CFB-8002-DD1D59459A89}"/>
    <cellStyle name="Note 12 4 5 2" xfId="33179" xr:uid="{1E1A78BC-C2E4-4B66-BEFE-167B1B6FEF91}"/>
    <cellStyle name="Note 12 4 6" xfId="33180" xr:uid="{62621A01-2350-473A-A7EF-DF3850B687B5}"/>
    <cellStyle name="Note 12 4 7" xfId="33181" xr:uid="{3858B854-AD2C-41D9-83F3-287020B54CDA}"/>
    <cellStyle name="Note 12 4 8" xfId="33182" xr:uid="{B2528AE1-64E9-49A0-ADA0-D84A9C77C24A}"/>
    <cellStyle name="Note 12 5" xfId="3161" xr:uid="{AC9E8ED2-AAC2-4A0C-AF41-559BF2E8351F}"/>
    <cellStyle name="Note 12 5 2" xfId="5122" xr:uid="{027C7B1D-3DD6-4B29-81AB-29F598011FC0}"/>
    <cellStyle name="Note 12 5 2 2" xfId="18609" xr:uid="{6FD94A6D-15E3-4B37-8F07-EB6431CF77AC}"/>
    <cellStyle name="Note 12 5 2 2 2" xfId="22226" xr:uid="{54B278A2-154E-4AD9-AC2B-C541DC955494}"/>
    <cellStyle name="Note 12 5 2 3" xfId="33183" xr:uid="{0663E405-38EE-4E63-9DE7-2A77E41C5215}"/>
    <cellStyle name="Note 12 5 2 4" xfId="33184" xr:uid="{5D1B3860-0D6C-4E1C-AF5C-D1EBBEDBF39C}"/>
    <cellStyle name="Note 12 5 2 5" xfId="33185" xr:uid="{9496E09B-EEB0-45F5-90B6-81ADE6EAAC75}"/>
    <cellStyle name="Note 12 5 2 6" xfId="33186" xr:uid="{EE998CCF-50AA-4301-ADD9-8104E072E57C}"/>
    <cellStyle name="Note 12 5 3" xfId="6916" xr:uid="{4C55816E-29B5-4DCC-ACCA-A1E526F7BB2D}"/>
    <cellStyle name="Note 12 5 3 2" xfId="22225" xr:uid="{24DA40C8-AF06-403E-86A6-F5BCE33BC9D5}"/>
    <cellStyle name="Note 12 5 3 3" xfId="46377" xr:uid="{A014BD8D-04C8-47BF-8B18-C70EC8EC5BD3}"/>
    <cellStyle name="Note 12 5 3 4" xfId="18608" xr:uid="{5CF84894-FF46-41AE-B155-32590DB2B7F8}"/>
    <cellStyle name="Note 12 5 4" xfId="9014" xr:uid="{54B2661A-3D30-4A12-B732-27B34B7E412F}"/>
    <cellStyle name="Note 12 5 4 2" xfId="33187" xr:uid="{4BD3745C-A48B-48C3-AC08-6D4FC30C5D46}"/>
    <cellStyle name="Note 12 5 5" xfId="33188" xr:uid="{AF423082-DD98-46B6-8722-1F200540E8C8}"/>
    <cellStyle name="Note 12 5 6" xfId="33189" xr:uid="{5CD0B85F-C457-4CD8-9079-A482BBA4565F}"/>
    <cellStyle name="Note 12 5 7" xfId="33190" xr:uid="{7726CA04-5B76-4ACF-95CB-56CE017B2F30}"/>
    <cellStyle name="Note 12 6" xfId="3162" xr:uid="{DB2B915B-186A-4BC2-8F90-B62B7ABC3700}"/>
    <cellStyle name="Note 12 6 2" xfId="5123" xr:uid="{C46F173A-B9CE-40F8-A837-777E2B1EFC0F}"/>
    <cellStyle name="Note 12 6 2 2" xfId="18611" xr:uid="{269CF4B1-8827-4863-92A1-E70571D117F5}"/>
    <cellStyle name="Note 12 6 2 2 2" xfId="22228" xr:uid="{4E2E9193-4ABC-4177-AE59-BE0ED4D1506F}"/>
    <cellStyle name="Note 12 6 2 3" xfId="33191" xr:uid="{B6846C54-E92E-437F-814E-8218D9951DE4}"/>
    <cellStyle name="Note 12 6 2 4" xfId="33192" xr:uid="{44B8049B-C078-4066-9552-CF8BE10D90FD}"/>
    <cellStyle name="Note 12 6 2 5" xfId="33193" xr:uid="{29C2662E-9060-4955-A8A3-38500EDDFAD4}"/>
    <cellStyle name="Note 12 6 2 6" xfId="33194" xr:uid="{A1182BD4-C1A4-481C-81AC-009EA90B4567}"/>
    <cellStyle name="Note 12 6 3" xfId="6917" xr:uid="{0EF69E1B-9205-4475-A58E-D24E85C39B65}"/>
    <cellStyle name="Note 12 6 3 2" xfId="22227" xr:uid="{E88038E9-1828-4B3E-8AB6-590DEAA0EB20}"/>
    <cellStyle name="Note 12 6 3 3" xfId="46378" xr:uid="{5DCD44F2-BE93-4DCF-BD5C-B3C4E14F345C}"/>
    <cellStyle name="Note 12 6 3 4" xfId="18610" xr:uid="{17190A95-24AC-4E63-8630-F5D9A7F2AD55}"/>
    <cellStyle name="Note 12 6 4" xfId="9015" xr:uid="{E93D9C0C-28B9-4664-A39D-898503B2195D}"/>
    <cellStyle name="Note 12 6 4 2" xfId="33195" xr:uid="{CD8C541E-DF72-4853-814B-C72EB0DB1909}"/>
    <cellStyle name="Note 12 6 5" xfId="33196" xr:uid="{1AADBA9A-1A8F-44CD-83D7-D7A20D0918EA}"/>
    <cellStyle name="Note 12 6 6" xfId="33197" xr:uid="{F75720B1-2E4A-4314-B984-328C2C474F7C}"/>
    <cellStyle name="Note 12 6 7" xfId="33198" xr:uid="{0F13C9DA-B5DB-465C-B302-C3B5B9974414}"/>
    <cellStyle name="Note 12 7" xfId="3163" xr:uid="{94155C3E-2B7B-41FE-81CD-36493BB2E5FA}"/>
    <cellStyle name="Note 12 7 2" xfId="5124" xr:uid="{42D07499-5124-4DF2-A188-9E2A0AA9999B}"/>
    <cellStyle name="Note 12 7 2 2" xfId="18613" xr:uid="{16870D9C-B085-4E1D-B81A-24B271DE9B06}"/>
    <cellStyle name="Note 12 7 2 2 2" xfId="22230" xr:uid="{A4029AA1-784B-4052-98C3-09CFC3808129}"/>
    <cellStyle name="Note 12 7 2 3" xfId="33199" xr:uid="{E337D0E0-2ADE-40A5-8ADB-767372B0A506}"/>
    <cellStyle name="Note 12 7 2 4" xfId="33200" xr:uid="{78222AB9-98B3-49EF-A683-ED35784D0C36}"/>
    <cellStyle name="Note 12 7 2 5" xfId="33201" xr:uid="{C89749B3-817F-442A-90D3-D0C55C35C930}"/>
    <cellStyle name="Note 12 7 2 6" xfId="33202" xr:uid="{A8E5BFB9-5DCF-4A53-8571-B58DA0C79267}"/>
    <cellStyle name="Note 12 7 3" xfId="6918" xr:uid="{732F8C98-BA57-47F9-80F2-DB3E48293A09}"/>
    <cellStyle name="Note 12 7 3 2" xfId="22229" xr:uid="{AB52FA9E-B118-4913-A711-29AACB6F4C4C}"/>
    <cellStyle name="Note 12 7 3 3" xfId="46379" xr:uid="{16AE0264-04B2-4D5D-BB5E-7059A76DDD8D}"/>
    <cellStyle name="Note 12 7 3 4" xfId="18612" xr:uid="{60198C51-00A8-417A-83EC-2F414AE8C741}"/>
    <cellStyle name="Note 12 7 4" xfId="9016" xr:uid="{97F56D32-2BC8-4936-A88C-BF672D876D9B}"/>
    <cellStyle name="Note 12 7 4 2" xfId="33203" xr:uid="{1271508C-914B-4356-B3BB-ED0E21B3E686}"/>
    <cellStyle name="Note 12 7 5" xfId="33204" xr:uid="{3E00230C-FCCC-430E-BE8B-24BF4685721F}"/>
    <cellStyle name="Note 12 7 6" xfId="33205" xr:uid="{F8671861-753D-4ECD-A789-EF58A42F01A2}"/>
    <cellStyle name="Note 12 7 7" xfId="33206" xr:uid="{7C05C85C-0408-414F-AE8F-69759D1FC0E7}"/>
    <cellStyle name="Note 12 8" xfId="3164" xr:uid="{46124D13-4D56-41D4-A4E9-7BEE0776CD58}"/>
    <cellStyle name="Note 12 8 2" xfId="5125" xr:uid="{05245225-0CD0-4375-A5B2-67FE4FB142D3}"/>
    <cellStyle name="Note 12 8 2 2" xfId="18615" xr:uid="{9530CD5F-A1E9-4F4D-AE33-3AFC0D4C199E}"/>
    <cellStyle name="Note 12 8 2 2 2" xfId="22232" xr:uid="{344F4624-711D-4E26-AB34-BC8922F31108}"/>
    <cellStyle name="Note 12 8 2 3" xfId="33207" xr:uid="{B3D8E6F3-886E-4F23-8EA8-F76153CFD39A}"/>
    <cellStyle name="Note 12 8 2 4" xfId="33208" xr:uid="{ED634725-7041-4A2C-B52F-77348EC41A9C}"/>
    <cellStyle name="Note 12 8 2 5" xfId="33209" xr:uid="{8471A024-2099-4714-9A3A-0103E6D69F14}"/>
    <cellStyle name="Note 12 8 2 6" xfId="33210" xr:uid="{FCF7D413-1610-41DD-AC56-9CE1A0A144EB}"/>
    <cellStyle name="Note 12 8 3" xfId="6919" xr:uid="{A0B9A477-9802-46E7-BB73-41CEF6034826}"/>
    <cellStyle name="Note 12 8 3 2" xfId="22231" xr:uid="{2AE2A235-CD10-4368-833C-C15332D34A8F}"/>
    <cellStyle name="Note 12 8 3 3" xfId="46380" xr:uid="{38F4D8F9-1EE7-4862-85E8-80AB6CEBAB1D}"/>
    <cellStyle name="Note 12 8 3 4" xfId="18614" xr:uid="{6D3D3EAD-B204-4D82-B41A-76AFE79E6142}"/>
    <cellStyle name="Note 12 8 4" xfId="9017" xr:uid="{47694BF8-B948-42DB-9CA4-17748BC840CC}"/>
    <cellStyle name="Note 12 8 4 2" xfId="33211" xr:uid="{C3619515-249E-48E4-B7EC-04DE714E3A13}"/>
    <cellStyle name="Note 12 8 5" xfId="33212" xr:uid="{D0D205DE-CA2B-4426-A800-F6DF568E3CEE}"/>
    <cellStyle name="Note 12 8 6" xfId="33213" xr:uid="{16A50BD1-33D6-4933-BE2A-C86AB8D66DCD}"/>
    <cellStyle name="Note 12 8 7" xfId="33214" xr:uid="{108917F7-E51B-485D-A5B1-E44BDD831807}"/>
    <cellStyle name="Note 12 9" xfId="5117" xr:uid="{5694890E-0D0D-47A2-B26F-309DD7C7E753}"/>
    <cellStyle name="Note 12 9 2" xfId="18616" xr:uid="{F8D8743F-5637-4D55-9A88-0B237DDE8BEC}"/>
    <cellStyle name="Note 12 9 2 2" xfId="22233" xr:uid="{D41A58FE-2305-4AD4-B0E3-04C99ECA9D29}"/>
    <cellStyle name="Note 12 9 3" xfId="33215" xr:uid="{8D2823AB-672F-4D26-9FD0-14251D20013A}"/>
    <cellStyle name="Note 12 9 4" xfId="33216" xr:uid="{8776072D-267B-4CC8-950A-006BBD468E4B}"/>
    <cellStyle name="Note 12 9 5" xfId="33217" xr:uid="{6766904D-A32F-408B-8A8B-38AA3FF6D4C1}"/>
    <cellStyle name="Note 12 9 6" xfId="33218" xr:uid="{71C2C123-A78D-4B14-B648-5AB5504529E8}"/>
    <cellStyle name="Note 12_IND_UC" xfId="3165" xr:uid="{6068B7B0-10E3-4BAA-B3B5-B234786BA707}"/>
    <cellStyle name="Note 13" xfId="3166" xr:uid="{8DD2CE6A-CE26-4634-80F9-21133862A40A}"/>
    <cellStyle name="Note 13 10" xfId="4196" xr:uid="{FD476921-C8AA-44EA-B55F-ACECA135098E}"/>
    <cellStyle name="Note 13 10 2" xfId="22234" xr:uid="{0EC6AAAF-B621-4719-8667-1A9E168F8E30}"/>
    <cellStyle name="Note 13 10 3" xfId="44011" xr:uid="{025F1C72-881A-474F-85DD-7155D8CDE339}"/>
    <cellStyle name="Note 13 10 4" xfId="18617" xr:uid="{E668670B-08C4-4DC8-9551-583657B4DF06}"/>
    <cellStyle name="Note 13 11" xfId="6263" xr:uid="{FE07A3A1-5066-4E7E-859B-961D04FDBDEE}"/>
    <cellStyle name="Note 13 11 2" xfId="45921" xr:uid="{E425F0E1-436D-46E4-A6C4-C4B3AA04861A}"/>
    <cellStyle name="Note 13 11 3" xfId="33219" xr:uid="{9F963692-F94E-470E-8950-19A0E233B749}"/>
    <cellStyle name="Note 13 12" xfId="9018" xr:uid="{621C7235-0B43-430D-AD47-481E13EF7E86}"/>
    <cellStyle name="Note 13 12 2" xfId="33220" xr:uid="{83264153-B3DA-44D2-B7A4-378D9FCB566A}"/>
    <cellStyle name="Note 13 13" xfId="33221" xr:uid="{4EB2173C-8162-4BBB-B8D8-BA4A7E93267D}"/>
    <cellStyle name="Note 13 14" xfId="33222" xr:uid="{F48B1D7D-89F5-4D97-A6EC-674D6DBFDDA8}"/>
    <cellStyle name="Note 13 15" xfId="33223" xr:uid="{8BAF3445-6B79-40C0-A61E-99D66C12F96D}"/>
    <cellStyle name="Note 13 2" xfId="3167" xr:uid="{6D63EAC1-90DF-4345-B84F-FA9FF3689875}"/>
    <cellStyle name="Note 13 2 2" xfId="3168" xr:uid="{C2C807E4-6F98-4E3E-8805-E03AD9C96DA3}"/>
    <cellStyle name="Note 13 2 2 2" xfId="5128" xr:uid="{5B186FF7-5220-45AF-867A-3A255AB32185}"/>
    <cellStyle name="Note 13 2 2 2 2" xfId="18620" xr:uid="{47FE8A43-85B5-4866-86FB-5B732C952D8E}"/>
    <cellStyle name="Note 13 2 2 2 2 2" xfId="22237" xr:uid="{1533F31B-A946-4F45-BEB8-3B21BC3A319B}"/>
    <cellStyle name="Note 13 2 2 2 3" xfId="33224" xr:uid="{A7D78939-D53A-4921-BEFC-80BFD7797C6B}"/>
    <cellStyle name="Note 13 2 2 2 4" xfId="33225" xr:uid="{A35ED536-AD73-41EA-802D-8773D00D1F4E}"/>
    <cellStyle name="Note 13 2 2 2 5" xfId="33226" xr:uid="{884DBAED-FA68-4E90-B96C-818C6CEC9290}"/>
    <cellStyle name="Note 13 2 2 2 6" xfId="33227" xr:uid="{53BB2CE5-CA38-4C1B-9651-733AC14F97AA}"/>
    <cellStyle name="Note 13 2 2 3" xfId="6920" xr:uid="{0D785A43-BC84-4C0E-BEAF-C3ED101FF5F1}"/>
    <cellStyle name="Note 13 2 2 3 2" xfId="22236" xr:uid="{9F548725-F387-4971-ABC9-A8CDE9EBDC0A}"/>
    <cellStyle name="Note 13 2 2 3 3" xfId="46381" xr:uid="{72DEE553-B036-41D9-A691-1AAE9A75DA22}"/>
    <cellStyle name="Note 13 2 2 3 4" xfId="18619" xr:uid="{9A829922-692F-4A41-89C0-FCAE1C049A58}"/>
    <cellStyle name="Note 13 2 2 4" xfId="9020" xr:uid="{26335EC3-93EB-4ABA-89AA-A5AA1DB4A3B5}"/>
    <cellStyle name="Note 13 2 2 4 2" xfId="33228" xr:uid="{0809C043-6218-4B53-BF20-EFD3FDB64657}"/>
    <cellStyle name="Note 13 2 2 5" xfId="33229" xr:uid="{F9202DEF-CA4C-410C-A0E5-4D676B53013A}"/>
    <cellStyle name="Note 13 2 2 6" xfId="33230" xr:uid="{3F767123-03CF-4830-8F52-90158F84EF6D}"/>
    <cellStyle name="Note 13 2 2 7" xfId="33231" xr:uid="{D50CDAE4-2D78-4871-A961-9BD027E34CF9}"/>
    <cellStyle name="Note 13 2 3" xfId="5127" xr:uid="{B5561226-C3F7-4F36-BCAC-23759F3365CE}"/>
    <cellStyle name="Note 13 2 3 2" xfId="18621" xr:uid="{654BE769-BC78-47D4-8E4D-E30B0F761200}"/>
    <cellStyle name="Note 13 2 3 2 2" xfId="22238" xr:uid="{08B4A9BF-6378-443E-8E8B-130DDF611E07}"/>
    <cellStyle name="Note 13 2 3 3" xfId="33232" xr:uid="{75DD1040-5DED-4085-9168-65D90838644F}"/>
    <cellStyle name="Note 13 2 3 4" xfId="33233" xr:uid="{9F29F63D-A081-4DAF-8E07-2F9799364DB7}"/>
    <cellStyle name="Note 13 2 3 5" xfId="33234" xr:uid="{42E8CD1F-0976-4680-80E2-83911C3F22F7}"/>
    <cellStyle name="Note 13 2 3 6" xfId="33235" xr:uid="{0BE634E7-D53D-402C-9679-D5E2289F7374}"/>
    <cellStyle name="Note 13 2 4" xfId="4197" xr:uid="{A7AD647C-FAE6-484D-83ED-74306C5FEEF0}"/>
    <cellStyle name="Note 13 2 4 2" xfId="22235" xr:uid="{04D04AD2-A187-4155-BEDA-F922293DADD7}"/>
    <cellStyle name="Note 13 2 4 3" xfId="44012" xr:uid="{1A45CE2A-BABA-4A2C-B39E-BCAD139C5959}"/>
    <cellStyle name="Note 13 2 4 4" xfId="18618" xr:uid="{DB8FA10D-A8A8-4EE8-BA46-B3C1105B1C9A}"/>
    <cellStyle name="Note 13 2 5" xfId="6264" xr:uid="{19272C34-C734-4A51-9BBC-E9717CF27DE4}"/>
    <cellStyle name="Note 13 2 5 2" xfId="45922" xr:uid="{E9BA1404-1F32-444F-9FFE-4981D318648B}"/>
    <cellStyle name="Note 13 2 5 3" xfId="33236" xr:uid="{F5660FAA-2D21-429A-B649-F25C8168E3B2}"/>
    <cellStyle name="Note 13 2 6" xfId="9019" xr:uid="{65BB25F9-F5C6-49F3-B1AF-BC9D205D501D}"/>
    <cellStyle name="Note 13 2 6 2" xfId="33237" xr:uid="{ACCED58A-CDFE-4986-BAC2-9F92D1415E51}"/>
    <cellStyle name="Note 13 2 7" xfId="33238" xr:uid="{EDCAF1C0-E454-4537-B82B-C74781F27432}"/>
    <cellStyle name="Note 13 2 8" xfId="33239" xr:uid="{06D4A85F-4298-45C5-92E4-9B7252453050}"/>
    <cellStyle name="Note 13 2 9" xfId="33240" xr:uid="{D58C553B-8C58-48ED-BC1C-47BE8758E42B}"/>
    <cellStyle name="Note 13 3" xfId="3169" xr:uid="{28B75393-E34A-4E51-B126-C2AED5E3C173}"/>
    <cellStyle name="Note 13 3 2" xfId="5129" xr:uid="{1BE9ADFF-82CB-4322-980B-824800F6946A}"/>
    <cellStyle name="Note 13 3 2 2" xfId="18623" xr:uid="{A17ED4AF-3C51-4177-B625-7A071BB7A14D}"/>
    <cellStyle name="Note 13 3 2 2 2" xfId="22240" xr:uid="{BCEC9E5F-BD87-41B2-8915-2907A26A50A1}"/>
    <cellStyle name="Note 13 3 2 3" xfId="33241" xr:uid="{194F10D8-06BD-4A2E-A119-9E3579991A1A}"/>
    <cellStyle name="Note 13 3 2 4" xfId="33242" xr:uid="{D56515BB-6853-40A5-A751-F3ED801CC8D5}"/>
    <cellStyle name="Note 13 3 2 5" xfId="33243" xr:uid="{1CAF1102-0EE2-47EF-8AB3-4C91CF064AD0}"/>
    <cellStyle name="Note 13 3 2 6" xfId="33244" xr:uid="{CC380137-5B20-48A5-BFB4-77EF0CD5EB0D}"/>
    <cellStyle name="Note 13 3 3" xfId="4198" xr:uid="{56CCB33F-1C49-4CA4-8186-644641B6BFCC}"/>
    <cellStyle name="Note 13 3 3 2" xfId="22239" xr:uid="{8FF2EDB2-5272-4A65-BB1B-4F65CFCEB71B}"/>
    <cellStyle name="Note 13 3 3 3" xfId="44013" xr:uid="{9D63EBF1-C5C4-4DFD-A11A-92C2B0153ACE}"/>
    <cellStyle name="Note 13 3 3 4" xfId="18622" xr:uid="{492AAE39-94FF-46D2-9A22-385964DF3272}"/>
    <cellStyle name="Note 13 3 4" xfId="6265" xr:uid="{1F3A46E8-FF0D-4AAB-816D-9E12AF144DA3}"/>
    <cellStyle name="Note 13 3 4 2" xfId="45923" xr:uid="{056DD202-761A-431F-A68A-16810FFCA8D3}"/>
    <cellStyle name="Note 13 3 4 3" xfId="33245" xr:uid="{A23F5FA1-6538-4676-A253-99A9A3889D42}"/>
    <cellStyle name="Note 13 3 5" xfId="9021" xr:uid="{77904DCE-7F11-4BB7-B282-7462391A42E2}"/>
    <cellStyle name="Note 13 3 5 2" xfId="33246" xr:uid="{2DB1E5FA-88E9-444C-B1AB-547DCAD209C7}"/>
    <cellStyle name="Note 13 3 6" xfId="33247" xr:uid="{E11EA1B2-18B1-4D2C-AC82-897F9C3C8176}"/>
    <cellStyle name="Note 13 3 7" xfId="33248" xr:uid="{E48A4A6D-DB1B-447A-AD1A-1CA532D12E1C}"/>
    <cellStyle name="Note 13 3 8" xfId="33249" xr:uid="{A7986D72-2C19-4918-8BF2-634C30162A0C}"/>
    <cellStyle name="Note 13 4" xfId="3170" xr:uid="{4DB8375B-1CFB-4644-B5B2-FD6E7BE5E55A}"/>
    <cellStyle name="Note 13 4 2" xfId="5130" xr:uid="{7F591D03-87C1-4968-A8E1-CBCC28B7A9D9}"/>
    <cellStyle name="Note 13 4 2 2" xfId="18625" xr:uid="{BF9B9C37-8FAC-4DE6-A275-19774EBB5DE7}"/>
    <cellStyle name="Note 13 4 2 2 2" xfId="22242" xr:uid="{7489F243-4B7F-48E6-89BB-00D879ACF4BC}"/>
    <cellStyle name="Note 13 4 2 3" xfId="33250" xr:uid="{C21EFFD4-CB37-4665-AC7A-0D99309C089C}"/>
    <cellStyle name="Note 13 4 2 4" xfId="33251" xr:uid="{2894DB3B-EAE8-4F69-A188-E99B1930C7A7}"/>
    <cellStyle name="Note 13 4 2 5" xfId="33252" xr:uid="{D5632C65-DCF3-4FD9-BF04-3123B590E933}"/>
    <cellStyle name="Note 13 4 2 6" xfId="33253" xr:uid="{20A432A9-CA5C-4A9B-A8FA-BC58E55ADE88}"/>
    <cellStyle name="Note 13 4 3" xfId="4199" xr:uid="{4BFA89B6-1F79-40B8-9E78-323129D512DE}"/>
    <cellStyle name="Note 13 4 3 2" xfId="22241" xr:uid="{EAE8157D-8D39-4616-947E-5675E253BF7A}"/>
    <cellStyle name="Note 13 4 3 3" xfId="44014" xr:uid="{7D4D929A-E84C-42FA-A5AC-72B8BEDA6C0B}"/>
    <cellStyle name="Note 13 4 3 4" xfId="18624" xr:uid="{69F47519-6F5F-47A4-B1FC-297EC993C805}"/>
    <cellStyle name="Note 13 4 4" xfId="6266" xr:uid="{F747D0ED-C513-4ED2-B83E-6249E34E5720}"/>
    <cellStyle name="Note 13 4 4 2" xfId="45924" xr:uid="{BB8C344B-7396-4E0D-9A2E-8BF420731D85}"/>
    <cellStyle name="Note 13 4 4 3" xfId="33254" xr:uid="{11704723-9583-4D31-B79D-BF6D28F1B246}"/>
    <cellStyle name="Note 13 4 5" xfId="9022" xr:uid="{3F332E28-B957-4DD7-ABE2-A2A327D8933A}"/>
    <cellStyle name="Note 13 4 5 2" xfId="33255" xr:uid="{EC59A5A5-AE67-43E1-B51B-A3B5DE507D84}"/>
    <cellStyle name="Note 13 4 6" xfId="33256" xr:uid="{86A407A5-387D-4680-B1E5-A684F26C3C18}"/>
    <cellStyle name="Note 13 4 7" xfId="33257" xr:uid="{15C89D6F-1E57-4921-BC79-81C50BBC8069}"/>
    <cellStyle name="Note 13 4 8" xfId="33258" xr:uid="{4B902211-69E7-4EC2-AC25-11D234EE9A07}"/>
    <cellStyle name="Note 13 5" xfId="3171" xr:uid="{371E387E-BBFE-48F9-9B49-4E6B281681F8}"/>
    <cellStyle name="Note 13 5 2" xfId="5131" xr:uid="{975332F3-9BDE-474B-899B-312D695D1686}"/>
    <cellStyle name="Note 13 5 2 2" xfId="18627" xr:uid="{983F3ECD-D808-45B1-A878-F588D02D35BE}"/>
    <cellStyle name="Note 13 5 2 2 2" xfId="22244" xr:uid="{246F6A01-EB9C-40A7-8D33-E45225107DD8}"/>
    <cellStyle name="Note 13 5 2 3" xfId="33259" xr:uid="{54A600D1-372B-44A3-A41B-065AE2BF12A8}"/>
    <cellStyle name="Note 13 5 2 4" xfId="33260" xr:uid="{63E1305D-C045-40ED-A075-70031EB61669}"/>
    <cellStyle name="Note 13 5 2 5" xfId="33261" xr:uid="{D8B3551B-B42A-4521-A7C6-78C3815E5CEA}"/>
    <cellStyle name="Note 13 5 2 6" xfId="33262" xr:uid="{1E5896B9-A0A3-4DB2-8444-660651F6825D}"/>
    <cellStyle name="Note 13 5 3" xfId="6921" xr:uid="{4F6979EF-801C-49E5-A6E1-627E93E9A981}"/>
    <cellStyle name="Note 13 5 3 2" xfId="22243" xr:uid="{BD4646FB-B077-41F7-BD6A-9C9F038B21AF}"/>
    <cellStyle name="Note 13 5 3 3" xfId="46382" xr:uid="{0B666AA9-176E-42DD-BA4F-2BA9F53B16B7}"/>
    <cellStyle name="Note 13 5 3 4" xfId="18626" xr:uid="{AE687C6B-E85C-4555-B0F3-2A2A2432B772}"/>
    <cellStyle name="Note 13 5 4" xfId="9023" xr:uid="{6B4C8092-EA19-4F4C-8B95-040E40DFD57F}"/>
    <cellStyle name="Note 13 5 4 2" xfId="33263" xr:uid="{46FBB28C-DC1F-44EC-8FE4-1C0ED10F4CAE}"/>
    <cellStyle name="Note 13 5 5" xfId="33264" xr:uid="{BF74BFA5-BAA1-4453-B33A-1E6890E0F40B}"/>
    <cellStyle name="Note 13 5 6" xfId="33265" xr:uid="{FD6513F3-6B94-49FF-8C74-233EFC41F7C3}"/>
    <cellStyle name="Note 13 5 7" xfId="33266" xr:uid="{0F34D5E1-C194-43BD-BBD1-F2D69CA3F0DB}"/>
    <cellStyle name="Note 13 6" xfId="3172" xr:uid="{BEDF6549-8C98-4E0D-89BA-0E9DDA7027D5}"/>
    <cellStyle name="Note 13 6 2" xfId="5132" xr:uid="{B1BA5375-B51D-4331-B738-B53DD27B178D}"/>
    <cellStyle name="Note 13 6 2 2" xfId="18629" xr:uid="{B7B3C36C-310A-4A68-907B-57CC3163A72E}"/>
    <cellStyle name="Note 13 6 2 2 2" xfId="22246" xr:uid="{7DED2DD0-9536-414F-A0C7-0E1918C0BC2A}"/>
    <cellStyle name="Note 13 6 2 3" xfId="33267" xr:uid="{5EA25123-630D-4F82-890F-9DF3FFA8848F}"/>
    <cellStyle name="Note 13 6 2 4" xfId="33268" xr:uid="{5E6AC10B-8E98-4054-9F5A-896F0A0900BE}"/>
    <cellStyle name="Note 13 6 2 5" xfId="33269" xr:uid="{81A86C59-D62C-44A9-9D9D-CBECBCF29E9B}"/>
    <cellStyle name="Note 13 6 2 6" xfId="33270" xr:uid="{40ECA640-EF39-4BAC-ADC6-EB5E7F3BC6F4}"/>
    <cellStyle name="Note 13 6 3" xfId="6922" xr:uid="{B6899D1A-DD16-475F-91A5-C58AEBE52A2C}"/>
    <cellStyle name="Note 13 6 3 2" xfId="22245" xr:uid="{E12E14EA-91DD-42E4-8C3A-F3CC8D319F7B}"/>
    <cellStyle name="Note 13 6 3 3" xfId="46383" xr:uid="{73FB37AE-C7DA-438C-A70E-615DCC41755B}"/>
    <cellStyle name="Note 13 6 3 4" xfId="18628" xr:uid="{ED6BEDF3-3217-4798-AF2C-23C21DEFB079}"/>
    <cellStyle name="Note 13 6 4" xfId="9024" xr:uid="{4A446BE1-89C0-446C-AC04-7F5872B56CBD}"/>
    <cellStyle name="Note 13 6 4 2" xfId="33271" xr:uid="{62027F38-3F2B-46EB-BC35-CAD8F5F98848}"/>
    <cellStyle name="Note 13 6 5" xfId="33272" xr:uid="{F3BF0563-B9A5-48E9-AD56-9240BDC9ACE4}"/>
    <cellStyle name="Note 13 6 6" xfId="33273" xr:uid="{94842AAA-62FE-4C05-84D8-8AAC737A055A}"/>
    <cellStyle name="Note 13 6 7" xfId="33274" xr:uid="{9E7E65DC-901B-402C-A7FD-5EA420E64E23}"/>
    <cellStyle name="Note 13 7" xfId="3173" xr:uid="{DA0F6C51-6AB2-4BF0-B077-EE181CB248BA}"/>
    <cellStyle name="Note 13 7 2" xfId="18630" xr:uid="{A419D5C7-1C24-478F-817A-CF59AE79FA2B}"/>
    <cellStyle name="Note 13 7 2 2" xfId="22247" xr:uid="{F6A98B53-D0ED-4A66-BFE9-E509F55B70F6}"/>
    <cellStyle name="Note 13 7 3" xfId="33275" xr:uid="{1D14FD5F-F7BC-4C88-9FE8-541F4EC177A1}"/>
    <cellStyle name="Note 13 7 4" xfId="33276" xr:uid="{DD487855-4875-42D5-B7B3-FDF214382447}"/>
    <cellStyle name="Note 13 7 5" xfId="33277" xr:uid="{6EB9C793-D166-4BA7-A8BB-94A4FAD66143}"/>
    <cellStyle name="Note 13 7 6" xfId="33278" xr:uid="{CF221B1B-DEE8-4353-973D-BF6199A1DF09}"/>
    <cellStyle name="Note 13 8" xfId="3174" xr:uid="{2A83C483-682C-45E4-AFF7-F2B206641CFF}"/>
    <cellStyle name="Note 13 8 2" xfId="18631" xr:uid="{9D86A116-F870-4355-BA9A-E43ACA9204AB}"/>
    <cellStyle name="Note 13 8 2 2" xfId="22248" xr:uid="{928D6C5A-47E8-4C07-BD67-898EAF7820CA}"/>
    <cellStyle name="Note 13 8 3" xfId="33279" xr:uid="{1A12850D-007F-4AE6-AB5C-351FFB204501}"/>
    <cellStyle name="Note 13 8 4" xfId="33280" xr:uid="{2F6B2BA6-4D92-4AFC-A3D0-D10E0933AE1F}"/>
    <cellStyle name="Note 13 8 5" xfId="33281" xr:uid="{05F818D1-4DE0-4E03-8BE8-B6697551D0A0}"/>
    <cellStyle name="Note 13 8 6" xfId="33282" xr:uid="{AF073A78-AEEC-49D7-A4B8-ECBD76F3F267}"/>
    <cellStyle name="Note 13 9" xfId="5126" xr:uid="{F8148AA4-F2AA-483D-96AD-5F831AB76670}"/>
    <cellStyle name="Note 13 9 2" xfId="18632" xr:uid="{88C2BA24-E100-4F88-90A0-CEE2A89A635A}"/>
    <cellStyle name="Note 13 9 2 2" xfId="22249" xr:uid="{5F72209C-C92F-4436-A362-B696FA0833B0}"/>
    <cellStyle name="Note 13 9 3" xfId="33283" xr:uid="{B03E07A0-9336-4C62-83C8-E6482292CED0}"/>
    <cellStyle name="Note 13 9 4" xfId="33284" xr:uid="{C4D17BF8-BBD5-4165-9FA1-1009347DE889}"/>
    <cellStyle name="Note 13 9 5" xfId="33285" xr:uid="{8E7737AF-D217-4D56-ACBD-5725BD5A4BC3}"/>
    <cellStyle name="Note 13 9 6" xfId="33286" xr:uid="{180443BB-C4D0-4D03-88E4-157FD37321C6}"/>
    <cellStyle name="Note 13_IND_UC" xfId="3175" xr:uid="{45D1616D-3DA3-4693-A442-A0E0F358E22D}"/>
    <cellStyle name="Note 14" xfId="3176" xr:uid="{FA825AAC-155E-414C-A473-9D752AC24830}"/>
    <cellStyle name="Note 14 10" xfId="4200" xr:uid="{520F07D0-B0D1-40B5-9A30-BBF1F2C1CE5E}"/>
    <cellStyle name="Note 14 10 2" xfId="22250" xr:uid="{CF8EEE4C-7E1A-49D0-ACDD-ADA53CBB3078}"/>
    <cellStyle name="Note 14 10 3" xfId="44015" xr:uid="{CE9EB412-4DF6-484D-835F-42C7C42DFF9B}"/>
    <cellStyle name="Note 14 10 4" xfId="18633" xr:uid="{D1572B31-AB5B-4B08-8B9D-09219FB09C9E}"/>
    <cellStyle name="Note 14 11" xfId="6267" xr:uid="{3730886F-F865-4249-A2F9-F94E9BD1F2C9}"/>
    <cellStyle name="Note 14 11 2" xfId="45925" xr:uid="{461D0EE9-1E89-40EC-949D-4354293044AB}"/>
    <cellStyle name="Note 14 11 3" xfId="33287" xr:uid="{9B8A2FBF-D50E-4825-B227-E9F8CCF69A8A}"/>
    <cellStyle name="Note 14 12" xfId="9025" xr:uid="{1C98A9BF-8928-4BA4-9092-34D528E26B34}"/>
    <cellStyle name="Note 14 12 2" xfId="33288" xr:uid="{9C843550-AC27-402E-B02A-103AD05EB20C}"/>
    <cellStyle name="Note 14 13" xfId="33289" xr:uid="{0D157115-DA19-43EC-A86C-58B37F433137}"/>
    <cellStyle name="Note 14 14" xfId="33290" xr:uid="{795ED28E-07B8-462F-8FDD-84F0D570562C}"/>
    <cellStyle name="Note 14 15" xfId="33291" xr:uid="{65380889-0181-438E-8D65-D046EABC0F61}"/>
    <cellStyle name="Note 14 2" xfId="3177" xr:uid="{8C2F1B95-5FB1-47F2-B895-77FA1B079549}"/>
    <cellStyle name="Note 14 2 2" xfId="3178" xr:uid="{D70125D9-D135-459A-B527-2A6216517FF1}"/>
    <cellStyle name="Note 14 2 2 2" xfId="5135" xr:uid="{D5E3CD29-2B61-4C4C-8D12-16FD425E3692}"/>
    <cellStyle name="Note 14 2 2 2 2" xfId="18636" xr:uid="{85B5C581-371D-471E-8D7A-2E0939B7317D}"/>
    <cellStyle name="Note 14 2 2 2 2 2" xfId="22253" xr:uid="{CFDCC74C-18EE-4072-8003-35C97766878A}"/>
    <cellStyle name="Note 14 2 2 2 3" xfId="33292" xr:uid="{73DE2266-ADE6-4093-876D-F64D3C605F0E}"/>
    <cellStyle name="Note 14 2 2 2 4" xfId="33293" xr:uid="{56F27418-8F6C-4F38-8571-DC120D976B1A}"/>
    <cellStyle name="Note 14 2 2 2 5" xfId="33294" xr:uid="{2478BE29-6EC1-4B8D-8565-2DE26F4513B5}"/>
    <cellStyle name="Note 14 2 2 2 6" xfId="33295" xr:uid="{F50EC7B8-26E7-4FC6-AF4B-E61E903D2397}"/>
    <cellStyle name="Note 14 2 2 3" xfId="6923" xr:uid="{05C1ADEE-42C8-4199-83D2-968563D574E9}"/>
    <cellStyle name="Note 14 2 2 3 2" xfId="22252" xr:uid="{59C67508-9238-4756-B380-720DB3781DF8}"/>
    <cellStyle name="Note 14 2 2 3 3" xfId="46384" xr:uid="{EC870158-0E1E-41BC-B033-DE6C201B1200}"/>
    <cellStyle name="Note 14 2 2 3 4" xfId="18635" xr:uid="{F712344C-D73B-4D65-967D-5654D352DE79}"/>
    <cellStyle name="Note 14 2 2 4" xfId="9027" xr:uid="{4BF2857F-DE0E-410B-A020-5E798EBF0621}"/>
    <cellStyle name="Note 14 2 2 4 2" xfId="33296" xr:uid="{C38FB0B6-4C04-493D-A418-DA273A1892DD}"/>
    <cellStyle name="Note 14 2 2 5" xfId="33297" xr:uid="{143D9927-7872-49C9-858F-D25663AD420F}"/>
    <cellStyle name="Note 14 2 2 6" xfId="33298" xr:uid="{DEB543D0-D7FA-48A6-8729-FAB9A5D5C13E}"/>
    <cellStyle name="Note 14 2 2 7" xfId="33299" xr:uid="{469C3A81-CB9F-47E7-B6EB-30719FD83E07}"/>
    <cellStyle name="Note 14 2 3" xfId="5134" xr:uid="{1F6DDBBC-6FA2-4577-8AB0-5A69BFD5ABA8}"/>
    <cellStyle name="Note 14 2 3 2" xfId="18637" xr:uid="{278013CE-A572-4364-8085-8CC0AAC41388}"/>
    <cellStyle name="Note 14 2 3 2 2" xfId="22254" xr:uid="{FC92302A-8F81-4F5C-83BE-62E02532D5A7}"/>
    <cellStyle name="Note 14 2 3 3" xfId="33300" xr:uid="{8ACD5984-64BA-4304-92AB-B051B1ECAD6B}"/>
    <cellStyle name="Note 14 2 3 4" xfId="33301" xr:uid="{03A86E8F-1DBE-43F1-BDD5-393627773A2C}"/>
    <cellStyle name="Note 14 2 3 5" xfId="33302" xr:uid="{5FBAFB85-0AF8-4DEE-B31A-BC8D73E11078}"/>
    <cellStyle name="Note 14 2 3 6" xfId="33303" xr:uid="{8F56B1FA-82D9-489C-9AA1-F415DCFEA551}"/>
    <cellStyle name="Note 14 2 4" xfId="4201" xr:uid="{44AE4DB6-F6B2-4E8B-BF9A-276D3D139B1E}"/>
    <cellStyle name="Note 14 2 4 2" xfId="22251" xr:uid="{D7BCE3A2-DEE8-4C04-A5D8-F330C104755F}"/>
    <cellStyle name="Note 14 2 4 3" xfId="44016" xr:uid="{65973F8F-7EC9-4F00-9249-EF7762551129}"/>
    <cellStyle name="Note 14 2 4 4" xfId="18634" xr:uid="{4754CDE0-F120-4FF7-B9B3-3CE40CED41AA}"/>
    <cellStyle name="Note 14 2 5" xfId="6268" xr:uid="{B1E567AE-1DB6-479C-9407-7F46CE874CBC}"/>
    <cellStyle name="Note 14 2 5 2" xfId="45926" xr:uid="{3B0309EC-ED87-4B02-8AD9-BFA3C7BBAF23}"/>
    <cellStyle name="Note 14 2 5 3" xfId="33304" xr:uid="{FF940AB8-7AE4-4DC4-8428-5313F64687BD}"/>
    <cellStyle name="Note 14 2 6" xfId="9026" xr:uid="{59451F02-8BF6-46C8-9AC0-5C2B723879DC}"/>
    <cellStyle name="Note 14 2 6 2" xfId="33305" xr:uid="{11248195-2EC2-4F52-8751-B9986F3FE1BB}"/>
    <cellStyle name="Note 14 2 7" xfId="33306" xr:uid="{BD7D0447-6A8F-47CB-B483-737DBEDA3E11}"/>
    <cellStyle name="Note 14 2 8" xfId="33307" xr:uid="{1181A7A6-C264-4457-B55D-B60B38834080}"/>
    <cellStyle name="Note 14 2 9" xfId="33308" xr:uid="{55E4DFA0-BC51-4D02-8C6A-1DD9F531C08A}"/>
    <cellStyle name="Note 14 3" xfId="3179" xr:uid="{A5C20943-72DD-499A-B38E-87672BA58084}"/>
    <cellStyle name="Note 14 3 2" xfId="5136" xr:uid="{0E16E52A-D4B8-430D-ABC0-644D2B7DBBD2}"/>
    <cellStyle name="Note 14 3 2 2" xfId="18639" xr:uid="{1EBB134F-BD4C-495C-8B62-E50CA31B04E7}"/>
    <cellStyle name="Note 14 3 2 2 2" xfId="22256" xr:uid="{78B4BAE3-0A1B-4383-AB5D-3042300B80A8}"/>
    <cellStyle name="Note 14 3 2 3" xfId="33309" xr:uid="{F6295B3D-002E-4292-922A-53D3E2319135}"/>
    <cellStyle name="Note 14 3 2 4" xfId="33310" xr:uid="{D76B5EA7-67BA-443A-818E-60C25AEEC645}"/>
    <cellStyle name="Note 14 3 2 5" xfId="33311" xr:uid="{5B3AD88A-0EB9-4509-8F7F-512B16391285}"/>
    <cellStyle name="Note 14 3 2 6" xfId="33312" xr:uid="{979BE99B-340C-4069-9168-956CC4B359E1}"/>
    <cellStyle name="Note 14 3 3" xfId="4202" xr:uid="{ACB5AC4C-AA0E-4F17-BC7A-4B79B98F67F8}"/>
    <cellStyle name="Note 14 3 3 2" xfId="22255" xr:uid="{16555CD2-6966-4A66-BFCD-A125E7F4E17E}"/>
    <cellStyle name="Note 14 3 3 3" xfId="44017" xr:uid="{E4450BDF-B4E2-4FD2-B744-667DABD28C01}"/>
    <cellStyle name="Note 14 3 3 4" xfId="18638" xr:uid="{8D9B6F3E-BDD6-49E6-B2D2-1B4AC8B78B9B}"/>
    <cellStyle name="Note 14 3 4" xfId="6269" xr:uid="{954029BC-BF48-41F5-A88D-4034B8B668B7}"/>
    <cellStyle name="Note 14 3 4 2" xfId="45927" xr:uid="{BD32D3D1-0ACF-47CD-B022-37D13F53ECEF}"/>
    <cellStyle name="Note 14 3 4 3" xfId="33313" xr:uid="{63075FEB-1E1A-442B-A507-F12F0BEBCE40}"/>
    <cellStyle name="Note 14 3 5" xfId="9028" xr:uid="{B8580680-A5E9-4C22-8E74-F7DD2E7A41B3}"/>
    <cellStyle name="Note 14 3 5 2" xfId="33314" xr:uid="{0AE3847B-74FA-4D01-BCFD-76F3A820AEAE}"/>
    <cellStyle name="Note 14 3 6" xfId="33315" xr:uid="{2CEF0439-4D32-4FF1-B56B-FC6261A422ED}"/>
    <cellStyle name="Note 14 3 7" xfId="33316" xr:uid="{C7BF2DE0-E05F-4A17-86BD-9892D31D53CA}"/>
    <cellStyle name="Note 14 3 8" xfId="33317" xr:uid="{8046E691-BB20-44EF-99A1-89682370C2CF}"/>
    <cellStyle name="Note 14 4" xfId="3180" xr:uid="{CBC3F62F-3DA4-4E1E-A16E-2DEBFD79A735}"/>
    <cellStyle name="Note 14 4 2" xfId="5137" xr:uid="{1482DFB8-D138-4D1A-837C-65865811FD90}"/>
    <cellStyle name="Note 14 4 2 2" xfId="18641" xr:uid="{D84BEED4-95B7-48A4-8DAE-E4BBE47E90D3}"/>
    <cellStyle name="Note 14 4 2 2 2" xfId="22258" xr:uid="{FFABEFD2-A3F3-4E76-A8E9-4CC3B03B00F4}"/>
    <cellStyle name="Note 14 4 2 3" xfId="33318" xr:uid="{618810C9-6C83-4256-8F90-1E54F936296E}"/>
    <cellStyle name="Note 14 4 2 4" xfId="33319" xr:uid="{CCF77432-EAC8-4E69-B931-14F81130D77A}"/>
    <cellStyle name="Note 14 4 2 5" xfId="33320" xr:uid="{078351A9-0BAA-4066-AF2A-FFA350CA3673}"/>
    <cellStyle name="Note 14 4 2 6" xfId="33321" xr:uid="{51F8D501-5A89-42A8-AA3C-79174F5897F2}"/>
    <cellStyle name="Note 14 4 3" xfId="4203" xr:uid="{1E8D055A-C68A-4D34-A2F5-26286DF9CD8B}"/>
    <cellStyle name="Note 14 4 3 2" xfId="22257" xr:uid="{1C467205-7CF4-4486-8A46-8F0C8A7B00B8}"/>
    <cellStyle name="Note 14 4 3 3" xfId="44018" xr:uid="{A6756152-B4F4-45FA-AC88-DD29458EAF81}"/>
    <cellStyle name="Note 14 4 3 4" xfId="18640" xr:uid="{D7D8C7AD-BB64-46C3-854B-C4B9524A9A53}"/>
    <cellStyle name="Note 14 4 4" xfId="6270" xr:uid="{6C35038A-927E-4095-97E4-74F61356ADF0}"/>
    <cellStyle name="Note 14 4 4 2" xfId="45928" xr:uid="{C7AC9A0C-2DA0-4291-9673-917258C24299}"/>
    <cellStyle name="Note 14 4 4 3" xfId="33322" xr:uid="{7299DF37-F621-4FB4-9923-ED4FFFCC2723}"/>
    <cellStyle name="Note 14 4 5" xfId="9029" xr:uid="{E21FE2F9-A9F6-48B4-803E-EEC4AB1E2A26}"/>
    <cellStyle name="Note 14 4 5 2" xfId="33323" xr:uid="{F0C99E4F-CB81-44C8-B532-B9CCAC08D40C}"/>
    <cellStyle name="Note 14 4 6" xfId="33324" xr:uid="{50D19E9E-C17F-42C8-9107-6B37AFCC11AF}"/>
    <cellStyle name="Note 14 4 7" xfId="33325" xr:uid="{6091858C-E8A4-4F42-BB3A-BF5A1217E674}"/>
    <cellStyle name="Note 14 4 8" xfId="33326" xr:uid="{72FEF04F-C301-4EB6-93D7-39E388B15DBC}"/>
    <cellStyle name="Note 14 5" xfId="3181" xr:uid="{F3A50369-B737-4B16-98F2-31FB5A688564}"/>
    <cellStyle name="Note 14 5 2" xfId="5138" xr:uid="{87A9B9C2-A287-4DE5-B0DB-4C6FD5BAE1C0}"/>
    <cellStyle name="Note 14 5 2 2" xfId="18643" xr:uid="{19A749C6-1A1D-4420-BF39-10B4B73869E2}"/>
    <cellStyle name="Note 14 5 2 2 2" xfId="22260" xr:uid="{7DEE561F-E147-4105-A923-DEC441D0A3C2}"/>
    <cellStyle name="Note 14 5 2 3" xfId="33327" xr:uid="{F1149BAD-AF9A-4A4D-8438-C5F6F0711FFA}"/>
    <cellStyle name="Note 14 5 2 4" xfId="33328" xr:uid="{390230E3-2BF4-4AAF-8DF0-6AA4DADA2AEF}"/>
    <cellStyle name="Note 14 5 2 5" xfId="33329" xr:uid="{70B27DE1-D057-49F6-A9CC-CD66E7478A5C}"/>
    <cellStyle name="Note 14 5 2 6" xfId="33330" xr:uid="{6030AFB2-1A57-4831-BB7D-B4289CD7B73D}"/>
    <cellStyle name="Note 14 5 3" xfId="6924" xr:uid="{BADAFDAD-3CD3-4A37-8881-741C8B324505}"/>
    <cellStyle name="Note 14 5 3 2" xfId="22259" xr:uid="{9C6FA60C-341E-47D5-93F8-4E0934F75333}"/>
    <cellStyle name="Note 14 5 3 3" xfId="46385" xr:uid="{41727DC5-003D-4FE5-8112-56B6D9F697CF}"/>
    <cellStyle name="Note 14 5 3 4" xfId="18642" xr:uid="{CCAFE858-F9BE-40BE-AC67-B3D7C8AE2264}"/>
    <cellStyle name="Note 14 5 4" xfId="9030" xr:uid="{D999985B-D646-4365-8561-9DB8A7FE2D35}"/>
    <cellStyle name="Note 14 5 4 2" xfId="33331" xr:uid="{6B0EDE57-919A-482F-A0F3-3304B9B9F8B4}"/>
    <cellStyle name="Note 14 5 5" xfId="33332" xr:uid="{37F19E63-21F0-4836-AAA7-B894784F2978}"/>
    <cellStyle name="Note 14 5 6" xfId="33333" xr:uid="{C11A3F20-9620-45C5-8492-A1D62D820C90}"/>
    <cellStyle name="Note 14 5 7" xfId="33334" xr:uid="{E60EFFCB-254D-4745-9E1B-F8E84BF38B03}"/>
    <cellStyle name="Note 14 6" xfId="3182" xr:uid="{64F08149-F77D-4878-9F68-7B1E6F94672F}"/>
    <cellStyle name="Note 14 6 2" xfId="5139" xr:uid="{C4890E12-098B-4648-A7A3-F3D7F9803ECF}"/>
    <cellStyle name="Note 14 6 2 2" xfId="18645" xr:uid="{C37BB1E4-F447-462E-AD36-8173BEC3A8EB}"/>
    <cellStyle name="Note 14 6 2 2 2" xfId="22262" xr:uid="{6EEA1D90-B5CA-41B6-B4C6-000E230DD0B0}"/>
    <cellStyle name="Note 14 6 2 3" xfId="33335" xr:uid="{37B8558D-C486-4C5A-A3CC-2445AEA8DC80}"/>
    <cellStyle name="Note 14 6 2 4" xfId="33336" xr:uid="{8BFDB8A0-E87C-4033-947D-FBAB77CF7596}"/>
    <cellStyle name="Note 14 6 2 5" xfId="33337" xr:uid="{576C0C36-3297-428C-AF51-4802273DE41B}"/>
    <cellStyle name="Note 14 6 2 6" xfId="33338" xr:uid="{709D83B4-6A30-46F3-97DE-5FE20871926C}"/>
    <cellStyle name="Note 14 6 3" xfId="6925" xr:uid="{5F4A03D2-1BEE-4E52-9B5B-BCDF432FE3A0}"/>
    <cellStyle name="Note 14 6 3 2" xfId="22261" xr:uid="{51FA09F8-7EA2-4FF7-AD5F-14E0FF2CF8A7}"/>
    <cellStyle name="Note 14 6 3 3" xfId="46386" xr:uid="{4C6BADD8-862D-4E00-B852-5EA83C0D50CE}"/>
    <cellStyle name="Note 14 6 3 4" xfId="18644" xr:uid="{9A09BD21-5DE1-41B4-A0DB-9A54094C6298}"/>
    <cellStyle name="Note 14 6 4" xfId="9031" xr:uid="{681DAD93-0156-45E1-B3CA-DC1AE79156DB}"/>
    <cellStyle name="Note 14 6 4 2" xfId="33339" xr:uid="{DA2BD11C-134F-4AF9-9C3C-79DBEEA9C081}"/>
    <cellStyle name="Note 14 6 5" xfId="33340" xr:uid="{721C6D25-7628-4904-98E0-AD5C3DFC013D}"/>
    <cellStyle name="Note 14 6 6" xfId="33341" xr:uid="{3F29C1A5-C62F-4346-A11F-546989CF03D0}"/>
    <cellStyle name="Note 14 6 7" xfId="33342" xr:uid="{5B2DFFA4-9799-4972-8D0B-3405C3BB34D7}"/>
    <cellStyle name="Note 14 7" xfId="3183" xr:uid="{1B39306F-0ED7-4D44-A01C-72A6DF4DB869}"/>
    <cellStyle name="Note 14 7 2" xfId="18646" xr:uid="{54AA09F5-DD8E-4CCB-8E8B-AC8031AA7D7B}"/>
    <cellStyle name="Note 14 7 2 2" xfId="22263" xr:uid="{D8D8251B-F05E-4282-A02B-72C46F9F543D}"/>
    <cellStyle name="Note 14 7 3" xfId="33343" xr:uid="{79090423-36B7-43BE-8742-D9B45FD64C86}"/>
    <cellStyle name="Note 14 7 4" xfId="33344" xr:uid="{7EE97CE9-A4D2-4034-8710-B9F18907DE82}"/>
    <cellStyle name="Note 14 7 5" xfId="33345" xr:uid="{D315767D-6531-44CF-83FB-AB04F3596925}"/>
    <cellStyle name="Note 14 7 6" xfId="33346" xr:uid="{95179B67-8CC4-41B4-96D6-B6C256E7EE31}"/>
    <cellStyle name="Note 14 8" xfId="3184" xr:uid="{9D306CB4-1558-44F1-AE28-DB03B461A498}"/>
    <cellStyle name="Note 14 8 2" xfId="18647" xr:uid="{C7AC54BC-F091-4396-8FCB-41668CBC9ABB}"/>
    <cellStyle name="Note 14 8 2 2" xfId="22264" xr:uid="{43493C75-C0A9-4B30-85A5-EAA88FE4D9B9}"/>
    <cellStyle name="Note 14 8 3" xfId="33347" xr:uid="{B5FDD1B7-F33D-4137-8355-0A1EB9FBFC3B}"/>
    <cellStyle name="Note 14 8 4" xfId="33348" xr:uid="{D0CC86C3-D9B3-4075-B278-F1060BC47599}"/>
    <cellStyle name="Note 14 8 5" xfId="33349" xr:uid="{2A1928DD-31EC-4653-8114-6CFCDB13A3B7}"/>
    <cellStyle name="Note 14 8 6" xfId="33350" xr:uid="{10243EFD-FD16-45E4-8607-A524E628C365}"/>
    <cellStyle name="Note 14 9" xfId="5133" xr:uid="{EAB0B356-6785-425D-A3C9-193604CAB8CC}"/>
    <cellStyle name="Note 14 9 2" xfId="18648" xr:uid="{793E5BF8-3DB7-4241-BF30-0E78B85DA8E2}"/>
    <cellStyle name="Note 14 9 2 2" xfId="22265" xr:uid="{6AB0CAC2-21E4-470B-A41C-5A0DC0FE46CA}"/>
    <cellStyle name="Note 14 9 3" xfId="33351" xr:uid="{B4C27A58-7E32-4DF0-A22A-392EA7DA384F}"/>
    <cellStyle name="Note 14 9 4" xfId="33352" xr:uid="{C03C6983-7111-42F4-BB5F-2FB163BA6FF2}"/>
    <cellStyle name="Note 14 9 5" xfId="33353" xr:uid="{F15EF321-9A72-4877-8231-9F5A7840231F}"/>
    <cellStyle name="Note 14 9 6" xfId="33354" xr:uid="{6BDF85D1-3543-4F05-993F-61950FA20970}"/>
    <cellStyle name="Note 14_IND_UC" xfId="3185" xr:uid="{AE070840-C04D-4DC1-993D-6F280D050FF4}"/>
    <cellStyle name="Note 15" xfId="3186" xr:uid="{1B9D2D84-87B9-4417-A686-97257860C6C5}"/>
    <cellStyle name="Note 15 10" xfId="4204" xr:uid="{BCDA3B4E-DEE1-4B17-AC30-E43CB2C69C1D}"/>
    <cellStyle name="Note 15 10 2" xfId="22266" xr:uid="{7E90DE49-2653-40E6-8494-9D40B88D564A}"/>
    <cellStyle name="Note 15 10 3" xfId="44019" xr:uid="{77470D75-5F8B-47D8-8193-22306D96BF7D}"/>
    <cellStyle name="Note 15 10 4" xfId="18649" xr:uid="{DCC2F720-4523-4E74-A72A-F6B0269C3EEB}"/>
    <cellStyle name="Note 15 11" xfId="6271" xr:uid="{E70DD2A1-A1D1-4A33-A623-BE2CC74FC1CE}"/>
    <cellStyle name="Note 15 11 2" xfId="45929" xr:uid="{F5685869-BADE-4AB6-A975-CEAB9A53D308}"/>
    <cellStyle name="Note 15 11 3" xfId="33355" xr:uid="{2C4D8B53-5CEC-4AD8-B71C-DB41B71D035E}"/>
    <cellStyle name="Note 15 12" xfId="9032" xr:uid="{218AAF01-8A02-40B6-B8EF-AE2D8F52DBF3}"/>
    <cellStyle name="Note 15 12 2" xfId="33356" xr:uid="{1E076E62-1B0A-466B-917F-DB00B28BC9B8}"/>
    <cellStyle name="Note 15 13" xfId="33357" xr:uid="{9A9FAC32-27D9-474B-9CCC-9AE64F684A69}"/>
    <cellStyle name="Note 15 14" xfId="33358" xr:uid="{37F46E31-8615-4500-B03F-48451830398F}"/>
    <cellStyle name="Note 15 15" xfId="33359" xr:uid="{A9967705-A109-4FE5-9492-6116330D2C9E}"/>
    <cellStyle name="Note 15 2" xfId="3187" xr:uid="{9329A6BA-6943-4AAB-9506-0C8DC8B33499}"/>
    <cellStyle name="Note 15 2 2" xfId="5141" xr:uid="{28AB0FA3-E10F-4DA8-A94E-86A03E518618}"/>
    <cellStyle name="Note 15 2 2 2" xfId="18651" xr:uid="{66C72271-C198-485E-86C5-CDAC9510B611}"/>
    <cellStyle name="Note 15 2 2 2 2" xfId="22268" xr:uid="{7D51DFFF-A1F4-4009-B2C6-C455DCE12AF6}"/>
    <cellStyle name="Note 15 2 2 3" xfId="33360" xr:uid="{DDF63727-B614-44F6-A87C-B7E9B9381F69}"/>
    <cellStyle name="Note 15 2 2 4" xfId="33361" xr:uid="{A3EFE099-8BE1-48A6-B439-A82452A1F1F5}"/>
    <cellStyle name="Note 15 2 2 5" xfId="33362" xr:uid="{1AA01CEA-3801-48BC-8A7C-F94FC334FAA0}"/>
    <cellStyle name="Note 15 2 2 6" xfId="33363" xr:uid="{8CCB56E1-2C51-4C0B-9D38-184E03E20CEB}"/>
    <cellStyle name="Note 15 2 3" xfId="4205" xr:uid="{E2880D1A-04A6-42C4-B598-EB258D54DDF3}"/>
    <cellStyle name="Note 15 2 3 2" xfId="22267" xr:uid="{B065914D-4C4A-462F-9CDB-A60CBC6FBBA8}"/>
    <cellStyle name="Note 15 2 3 3" xfId="44020" xr:uid="{167C00A4-97CA-4A72-AC6F-7FE8F80454A0}"/>
    <cellStyle name="Note 15 2 3 4" xfId="18650" xr:uid="{E6FED36D-3991-4237-BC0C-0AF19800C53D}"/>
    <cellStyle name="Note 15 2 4" xfId="6272" xr:uid="{FC2F3DD4-C841-496E-BBD2-6D28B96BF47B}"/>
    <cellStyle name="Note 15 2 4 2" xfId="45930" xr:uid="{4F9CE285-47F1-4C8B-BD37-0713E417786C}"/>
    <cellStyle name="Note 15 2 4 3" xfId="33364" xr:uid="{D5F7DAB6-2BF0-4171-AB16-4EFDCD620B37}"/>
    <cellStyle name="Note 15 2 5" xfId="9033" xr:uid="{1CBC6A8D-94D3-419B-A76E-97BC5C44C009}"/>
    <cellStyle name="Note 15 2 5 2" xfId="33365" xr:uid="{C116E34C-7E41-4381-B93D-F273D80179CE}"/>
    <cellStyle name="Note 15 2 6" xfId="33366" xr:uid="{FFB52059-B0C5-4233-90FC-811DA8C2BD71}"/>
    <cellStyle name="Note 15 2 7" xfId="33367" xr:uid="{7308031B-C475-4200-B631-2461F0131C39}"/>
    <cellStyle name="Note 15 2 8" xfId="33368" xr:uid="{0A2E943D-CF25-48A7-B39C-F7199020134E}"/>
    <cellStyle name="Note 15 3" xfId="3188" xr:uid="{E5785C8D-E27A-4054-B62C-D55142781EF3}"/>
    <cellStyle name="Note 15 3 2" xfId="5142" xr:uid="{686E5C0F-808F-46AC-BCA8-4678EB67334E}"/>
    <cellStyle name="Note 15 3 2 2" xfId="18653" xr:uid="{02E55078-0B33-4C38-9406-A14CC33CE428}"/>
    <cellStyle name="Note 15 3 2 2 2" xfId="22270" xr:uid="{4EFB9233-7D2E-44AB-A5BF-32E54992E91E}"/>
    <cellStyle name="Note 15 3 2 3" xfId="33369" xr:uid="{9314D8BC-E725-4800-97A4-606017AA23E2}"/>
    <cellStyle name="Note 15 3 2 4" xfId="33370" xr:uid="{3995B055-3FA2-4123-86AD-C59B91CCE702}"/>
    <cellStyle name="Note 15 3 2 5" xfId="33371" xr:uid="{80112A39-69D5-4E8C-B23F-C4B039493965}"/>
    <cellStyle name="Note 15 3 2 6" xfId="33372" xr:uid="{F64A65D2-0E86-4CAF-8DD6-45C0309A92C2}"/>
    <cellStyle name="Note 15 3 3" xfId="4206" xr:uid="{3B9447AD-DBB3-45B7-B07F-6C8410E46CF5}"/>
    <cellStyle name="Note 15 3 3 2" xfId="22269" xr:uid="{880CC636-935E-43CA-BD91-68A372174261}"/>
    <cellStyle name="Note 15 3 3 3" xfId="44021" xr:uid="{FFFBD46B-8CF3-4EC0-9857-3B0BB8973620}"/>
    <cellStyle name="Note 15 3 3 4" xfId="18652" xr:uid="{5F3C51ED-2C35-4B08-82FB-A81B79DEB530}"/>
    <cellStyle name="Note 15 3 4" xfId="6273" xr:uid="{9E6E9A99-C491-4812-9C91-F510CE9C18C8}"/>
    <cellStyle name="Note 15 3 4 2" xfId="45931" xr:uid="{1F555A49-D055-4A1C-8845-26180B20D2B5}"/>
    <cellStyle name="Note 15 3 4 3" xfId="33373" xr:uid="{FCBA6AA3-15D0-47E1-BC26-78C6C0F4DF9A}"/>
    <cellStyle name="Note 15 3 5" xfId="9034" xr:uid="{80D67239-07DD-49B1-9551-6C393C03259A}"/>
    <cellStyle name="Note 15 3 5 2" xfId="33374" xr:uid="{389EC3DB-74E5-40F8-846C-F17B8457751D}"/>
    <cellStyle name="Note 15 3 6" xfId="33375" xr:uid="{B5E403C5-FD38-4202-A384-86B7CDE5BE9E}"/>
    <cellStyle name="Note 15 3 7" xfId="33376" xr:uid="{2809B9D2-ACC0-4336-91D2-F9F7A5BE872B}"/>
    <cellStyle name="Note 15 3 8" xfId="33377" xr:uid="{A1D7D6B4-10F5-459A-B352-F6A555082C3C}"/>
    <cellStyle name="Note 15 4" xfId="3189" xr:uid="{0DEB56AA-63C0-4563-B183-1819EA95AFD2}"/>
    <cellStyle name="Note 15 4 2" xfId="5143" xr:uid="{7B3E12B1-5B58-4E98-BB75-F02F634D7550}"/>
    <cellStyle name="Note 15 4 2 2" xfId="18655" xr:uid="{E56902D9-83B7-4D50-ADC8-65E75BA54403}"/>
    <cellStyle name="Note 15 4 2 2 2" xfId="22272" xr:uid="{143FD315-D1F2-40F9-AB9A-AA4288316AB4}"/>
    <cellStyle name="Note 15 4 2 3" xfId="33378" xr:uid="{415B5C7E-E015-4412-A73D-483EF5FB534E}"/>
    <cellStyle name="Note 15 4 2 4" xfId="33379" xr:uid="{2C179B97-11E6-484B-812F-F59146ABA9E9}"/>
    <cellStyle name="Note 15 4 2 5" xfId="33380" xr:uid="{38C6D3C8-C818-4DE0-B97A-CB5A44D7CAEA}"/>
    <cellStyle name="Note 15 4 2 6" xfId="33381" xr:uid="{BDEB6430-8092-4784-981C-6D1696E16E83}"/>
    <cellStyle name="Note 15 4 3" xfId="6926" xr:uid="{23094B07-8DB9-4A87-9D1A-AA248E010BC4}"/>
    <cellStyle name="Note 15 4 3 2" xfId="22271" xr:uid="{2A6AC605-E6F9-42F1-8310-BCCBA7CD7E40}"/>
    <cellStyle name="Note 15 4 3 3" xfId="46387" xr:uid="{5504F7C8-CB72-43FD-AF6B-C130519E71AF}"/>
    <cellStyle name="Note 15 4 3 4" xfId="18654" xr:uid="{48682F24-E216-414C-A8C2-52C74D5AF270}"/>
    <cellStyle name="Note 15 4 4" xfId="9035" xr:uid="{A0039725-6CA3-4179-BB8B-9995578E25E1}"/>
    <cellStyle name="Note 15 4 4 2" xfId="33382" xr:uid="{617C2718-0ADA-4B11-B5CA-D7C56B8A1722}"/>
    <cellStyle name="Note 15 4 5" xfId="33383" xr:uid="{77A2FC5E-6FBF-4293-B678-A754B7F7DF6E}"/>
    <cellStyle name="Note 15 4 6" xfId="33384" xr:uid="{467D1EA6-6F34-460D-B4BD-EC0265FF6F5C}"/>
    <cellStyle name="Note 15 4 7" xfId="33385" xr:uid="{4A1BFA46-B975-4C9A-A1E4-5E0810035D14}"/>
    <cellStyle name="Note 15 5" xfId="3190" xr:uid="{09EC6677-E0F1-410E-9E0A-7F540FDB15D4}"/>
    <cellStyle name="Note 15 5 2" xfId="5144" xr:uid="{56321995-4DF6-4A10-9718-7E585DE0F926}"/>
    <cellStyle name="Note 15 5 2 2" xfId="18657" xr:uid="{117679B7-84C3-4DE9-80F7-70AC5138D250}"/>
    <cellStyle name="Note 15 5 2 2 2" xfId="22274" xr:uid="{0DAABD70-9DDB-48A1-A9A0-B003B56061EF}"/>
    <cellStyle name="Note 15 5 2 3" xfId="33386" xr:uid="{2C12A1DD-2705-4CF8-B886-DC43E93577DB}"/>
    <cellStyle name="Note 15 5 2 4" xfId="33387" xr:uid="{878E8068-7B39-42E2-8B5C-124DD6CD950F}"/>
    <cellStyle name="Note 15 5 2 5" xfId="33388" xr:uid="{97531F19-B843-4B45-A960-3B0BC29D3E2B}"/>
    <cellStyle name="Note 15 5 2 6" xfId="33389" xr:uid="{FA4A991E-D73C-4A52-B902-78A6537F6FAD}"/>
    <cellStyle name="Note 15 5 3" xfId="6927" xr:uid="{B96F8A29-26F8-4BD4-B429-917BAB586D9D}"/>
    <cellStyle name="Note 15 5 3 2" xfId="22273" xr:uid="{B4B70068-989E-40DF-A83A-03B98EA4AD8F}"/>
    <cellStyle name="Note 15 5 3 3" xfId="46388" xr:uid="{2286C1E9-9929-445B-BBD2-4A5DAFE47C3E}"/>
    <cellStyle name="Note 15 5 3 4" xfId="18656" xr:uid="{36A43E03-A0E0-4BCC-A833-D2C14AEDEB31}"/>
    <cellStyle name="Note 15 5 4" xfId="9036" xr:uid="{88A7ABB7-0744-419F-B0AD-44B44A52E19A}"/>
    <cellStyle name="Note 15 5 4 2" xfId="33390" xr:uid="{DF1A700B-CD3C-4BCE-B22D-02C040C1AFB1}"/>
    <cellStyle name="Note 15 5 5" xfId="33391" xr:uid="{8122976A-92B5-4594-ACBD-BDD8C8191626}"/>
    <cellStyle name="Note 15 5 6" xfId="33392" xr:uid="{7F0C857B-780F-4F4C-AC05-3641299FF065}"/>
    <cellStyle name="Note 15 5 7" xfId="33393" xr:uid="{B3B08443-3F23-4B81-9575-74F609C39B7F}"/>
    <cellStyle name="Note 15 6" xfId="3191" xr:uid="{B82DDD63-1208-45DE-8118-EF02E221C220}"/>
    <cellStyle name="Note 15 6 2" xfId="5145" xr:uid="{0BFACB9F-E4FB-4BC3-BC84-740DEF9BF66A}"/>
    <cellStyle name="Note 15 6 2 2" xfId="18659" xr:uid="{E6A857CD-DD80-4256-B8E2-56B6B6AAC6D5}"/>
    <cellStyle name="Note 15 6 2 2 2" xfId="22276" xr:uid="{57BF6FEC-9F84-44CC-A501-6D34B3B47E24}"/>
    <cellStyle name="Note 15 6 2 3" xfId="33394" xr:uid="{D6520F13-0704-486B-8122-127888B38361}"/>
    <cellStyle name="Note 15 6 2 4" xfId="33395" xr:uid="{6A9E3FE8-A676-4AEA-ADC3-CEA43447343A}"/>
    <cellStyle name="Note 15 6 2 5" xfId="33396" xr:uid="{80C141BE-9CB0-4D1C-BFB8-6397F3831C3E}"/>
    <cellStyle name="Note 15 6 2 6" xfId="33397" xr:uid="{523D2D87-2F10-4422-AD5B-A5B31571D053}"/>
    <cellStyle name="Note 15 6 3" xfId="6928" xr:uid="{45F256E0-0438-4565-8D2B-7DC2985E9AA3}"/>
    <cellStyle name="Note 15 6 3 2" xfId="22275" xr:uid="{5A0C7B77-72CA-4379-889F-7252FF40280C}"/>
    <cellStyle name="Note 15 6 3 3" xfId="46389" xr:uid="{E4608AF3-7F63-4F40-BF1C-1BD62B672F3A}"/>
    <cellStyle name="Note 15 6 3 4" xfId="18658" xr:uid="{892AF6B0-D484-4641-93C4-2EB45C373DCE}"/>
    <cellStyle name="Note 15 6 4" xfId="9037" xr:uid="{14443B55-670A-43BA-ADDC-C4B76DDB924A}"/>
    <cellStyle name="Note 15 6 4 2" xfId="33398" xr:uid="{77CF2280-5756-4EE4-B49A-8564FC974657}"/>
    <cellStyle name="Note 15 6 5" xfId="33399" xr:uid="{10C9E382-CDB7-47FD-9E57-9A3781709878}"/>
    <cellStyle name="Note 15 6 6" xfId="33400" xr:uid="{D710BF6E-C5A7-4F59-BC6C-3CAA083FB417}"/>
    <cellStyle name="Note 15 6 7" xfId="33401" xr:uid="{643E5A83-B137-4990-A100-DE495F2A09F1}"/>
    <cellStyle name="Note 15 7" xfId="3192" xr:uid="{68F49896-CB01-424D-9788-E3853BE9AB5F}"/>
    <cellStyle name="Note 15 7 2" xfId="18660" xr:uid="{BFFE92CF-F45C-467E-AEE4-B5053DA2A86F}"/>
    <cellStyle name="Note 15 7 2 2" xfId="22277" xr:uid="{30410AFC-3F45-4659-8CA3-2F315AE7F714}"/>
    <cellStyle name="Note 15 7 3" xfId="33402" xr:uid="{184AA168-9641-43BC-96B2-61FA3AC0B921}"/>
    <cellStyle name="Note 15 7 4" xfId="33403" xr:uid="{3C85AB5F-C197-4712-AD3F-7168FC33B245}"/>
    <cellStyle name="Note 15 7 5" xfId="33404" xr:uid="{8DC2E521-2403-41DC-86EB-2D42518CD7E8}"/>
    <cellStyle name="Note 15 7 6" xfId="33405" xr:uid="{62CA8F67-309C-4278-A093-1A7F875D72C6}"/>
    <cellStyle name="Note 15 8" xfId="3193" xr:uid="{2592CC5E-40BA-44AE-B3CC-1276BACC426A}"/>
    <cellStyle name="Note 15 8 2" xfId="18661" xr:uid="{FF0AE490-269D-4708-9492-07E451C834B9}"/>
    <cellStyle name="Note 15 8 2 2" xfId="22278" xr:uid="{87AAA83D-8C61-4EAC-9B58-839BAFC5985D}"/>
    <cellStyle name="Note 15 8 3" xfId="33406" xr:uid="{79753630-AE99-493E-8444-0DE2C69556BB}"/>
    <cellStyle name="Note 15 8 4" xfId="33407" xr:uid="{7C461961-628C-4F97-959D-279519248DDC}"/>
    <cellStyle name="Note 15 8 5" xfId="33408" xr:uid="{9899B773-FD1B-4B16-A06B-CA3813AA226D}"/>
    <cellStyle name="Note 15 8 6" xfId="33409" xr:uid="{1D477148-A4A2-42FD-B8E3-E550EE6963B4}"/>
    <cellStyle name="Note 15 9" xfId="5140" xr:uid="{04FE42BE-9BBA-468B-9E33-E27A2D3E37CC}"/>
    <cellStyle name="Note 15 9 2" xfId="18662" xr:uid="{0938EBC1-6900-4523-AFC5-E7CC2FD617E0}"/>
    <cellStyle name="Note 15 9 2 2" xfId="22279" xr:uid="{4943BD63-DFBF-4AD1-ABB2-C2E24A568F46}"/>
    <cellStyle name="Note 15 9 3" xfId="33410" xr:uid="{BDD00D19-194B-4BC6-AEBC-CAE6056F8201}"/>
    <cellStyle name="Note 15 9 4" xfId="33411" xr:uid="{A0122AAD-7EF5-4607-8BCB-A1714CA12C03}"/>
    <cellStyle name="Note 15 9 5" xfId="33412" xr:uid="{561721AF-0F8D-4F4F-ACBA-28C4821C96D7}"/>
    <cellStyle name="Note 15 9 6" xfId="33413" xr:uid="{A846E3FE-0510-471B-BE6E-6299B1E1528D}"/>
    <cellStyle name="Note 15_IND_UC" xfId="3194" xr:uid="{B3736B5E-70F8-4B15-8435-3A982503EC15}"/>
    <cellStyle name="Note 16" xfId="3195" xr:uid="{6B18DC91-F315-4707-A33D-AFE14A10D13B}"/>
    <cellStyle name="Note 16 10" xfId="4207" xr:uid="{C2911DBA-D8D5-4776-BBED-C57A5CA155B7}"/>
    <cellStyle name="Note 16 10 2" xfId="22280" xr:uid="{C4C00D59-2442-4B11-A7D6-FDBB7044C4B1}"/>
    <cellStyle name="Note 16 10 3" xfId="44022" xr:uid="{C66D2893-F0AD-4BF2-ADD5-2321ED5C0A7D}"/>
    <cellStyle name="Note 16 10 4" xfId="18663" xr:uid="{B5649DF1-1785-4805-A3C8-501F27C71D10}"/>
    <cellStyle name="Note 16 11" xfId="6274" xr:uid="{44A09DB2-672E-4B4E-A587-4224D470D126}"/>
    <cellStyle name="Note 16 11 2" xfId="45932" xr:uid="{D2E51AF4-C186-4414-8E27-E99D621A6F37}"/>
    <cellStyle name="Note 16 11 3" xfId="33414" xr:uid="{15A8E727-8D61-41E5-87BB-CB497F7E1B9D}"/>
    <cellStyle name="Note 16 12" xfId="9039" xr:uid="{A936FB3F-497C-49C4-8735-3B56BFEEE078}"/>
    <cellStyle name="Note 16 12 2" xfId="33415" xr:uid="{6E16B7E8-EB94-4F6C-9749-4B076D77CE4A}"/>
    <cellStyle name="Note 16 13" xfId="33416" xr:uid="{6057BB44-2890-4762-A4BB-0D261FA21C80}"/>
    <cellStyle name="Note 16 14" xfId="33417" xr:uid="{CBFE124E-0216-4552-8803-99D26165AC29}"/>
    <cellStyle name="Note 16 15" xfId="33418" xr:uid="{8EC7DF4B-3A3D-4BA4-806F-29F9799E9D00}"/>
    <cellStyle name="Note 16 2" xfId="3196" xr:uid="{6D6CA32B-8DCF-4BE3-B953-C8775AE3FED2}"/>
    <cellStyle name="Note 16 2 2" xfId="5147" xr:uid="{2FD76177-041A-4CEB-ADD3-215AF8BEF36C}"/>
    <cellStyle name="Note 16 2 2 2" xfId="18665" xr:uid="{F1652E29-2C58-42C6-A584-E1CCAEBC11ED}"/>
    <cellStyle name="Note 16 2 2 2 2" xfId="22282" xr:uid="{1121F200-2FA5-4CC6-912F-0B2C976DFCED}"/>
    <cellStyle name="Note 16 2 2 3" xfId="33419" xr:uid="{B268174C-EEAF-4333-A842-4B5DBD63C280}"/>
    <cellStyle name="Note 16 2 2 4" xfId="33420" xr:uid="{A8E54FE1-E168-4BCA-9D60-54A4B48951FE}"/>
    <cellStyle name="Note 16 2 2 5" xfId="33421" xr:uid="{F15220B5-958B-4B07-9724-2ECE4EDEF29C}"/>
    <cellStyle name="Note 16 2 2 6" xfId="33422" xr:uid="{CC257C7D-B89A-4FC5-A90F-2F3C321CDDD9}"/>
    <cellStyle name="Note 16 2 3" xfId="4208" xr:uid="{6AB878CD-8FBF-4B54-8E4F-AB612B3A3CB7}"/>
    <cellStyle name="Note 16 2 3 2" xfId="22281" xr:uid="{E6ACEA2F-03FF-48B6-A836-38516B8F8018}"/>
    <cellStyle name="Note 16 2 3 3" xfId="44023" xr:uid="{DC95779A-33C0-4A1A-8A68-52C96B5EFBE7}"/>
    <cellStyle name="Note 16 2 3 4" xfId="18664" xr:uid="{F3A049B5-7482-4C5A-9454-40613B8962B7}"/>
    <cellStyle name="Note 16 2 4" xfId="6275" xr:uid="{BB0FA730-0C1D-4623-8276-D7F09C11CA90}"/>
    <cellStyle name="Note 16 2 4 2" xfId="45933" xr:uid="{F76E078B-7298-4654-A4E4-C566972495CD}"/>
    <cellStyle name="Note 16 2 4 3" xfId="33423" xr:uid="{27BF581D-2FA8-4656-80FF-9F293BF88A98}"/>
    <cellStyle name="Note 16 2 5" xfId="9040" xr:uid="{B5777F87-97C8-48EE-B5BF-655A0E3DCDAC}"/>
    <cellStyle name="Note 16 2 5 2" xfId="33424" xr:uid="{5B161902-0277-4595-ADBD-88CA4E6F5B2E}"/>
    <cellStyle name="Note 16 2 6" xfId="33425" xr:uid="{3201E724-235A-4230-8F76-0830AE420EE8}"/>
    <cellStyle name="Note 16 2 7" xfId="33426" xr:uid="{F14B9DCB-FE9B-43DE-B2FC-32536D70A096}"/>
    <cellStyle name="Note 16 2 8" xfId="33427" xr:uid="{3123A5B1-DC8C-4812-A2A4-82A5BC799448}"/>
    <cellStyle name="Note 16 3" xfId="3197" xr:uid="{4ED0175D-D092-4B82-BA9A-0112DD33B478}"/>
    <cellStyle name="Note 16 3 2" xfId="5148" xr:uid="{BD59337A-F741-4568-BB41-4BBE1C9F559D}"/>
    <cellStyle name="Note 16 3 2 2" xfId="18667" xr:uid="{AC41018D-24A8-405D-9D94-40C91DA4ECA5}"/>
    <cellStyle name="Note 16 3 2 2 2" xfId="22284" xr:uid="{0B7599F4-052D-411B-93CD-206CAE70543F}"/>
    <cellStyle name="Note 16 3 2 3" xfId="33428" xr:uid="{8B77E5D5-5E84-4696-A182-B939218718D4}"/>
    <cellStyle name="Note 16 3 2 4" xfId="33429" xr:uid="{A783DBC1-0F0B-42C9-BB66-C779D3CE0BA2}"/>
    <cellStyle name="Note 16 3 2 5" xfId="33430" xr:uid="{2C550254-5F26-42E9-98AD-801405CB1D45}"/>
    <cellStyle name="Note 16 3 2 6" xfId="33431" xr:uid="{7E279F0A-E0B7-40D7-81F2-0C01C98A2AE9}"/>
    <cellStyle name="Note 16 3 3" xfId="4209" xr:uid="{DA21365B-6F1E-4B80-8798-7836BEAD21B7}"/>
    <cellStyle name="Note 16 3 3 2" xfId="22283" xr:uid="{8575C84A-1373-48B9-897A-266E420814CA}"/>
    <cellStyle name="Note 16 3 3 3" xfId="44024" xr:uid="{E24FAEEB-B95C-430D-A1AD-C29747333695}"/>
    <cellStyle name="Note 16 3 3 4" xfId="18666" xr:uid="{17F18741-79E7-497F-B265-4C25B41B8212}"/>
    <cellStyle name="Note 16 3 4" xfId="6276" xr:uid="{5028430A-C07F-4FD4-AD5E-0CBB3C20CA89}"/>
    <cellStyle name="Note 16 3 4 2" xfId="45934" xr:uid="{0414AA37-71B4-4490-9794-399AF921C74A}"/>
    <cellStyle name="Note 16 3 4 3" xfId="33432" xr:uid="{CDBEE847-4E38-47CA-8806-DF6C23378E85}"/>
    <cellStyle name="Note 16 3 5" xfId="9041" xr:uid="{1D9796EC-A7CC-48CE-80D3-D882AAAD7C6E}"/>
    <cellStyle name="Note 16 3 5 2" xfId="33433" xr:uid="{8DC15C7B-94A3-4A51-A584-AD5CA33DA94C}"/>
    <cellStyle name="Note 16 3 6" xfId="33434" xr:uid="{ACCB6FEF-9C16-48EF-9518-7CDEDFE49FDE}"/>
    <cellStyle name="Note 16 3 7" xfId="33435" xr:uid="{69E3EC77-BFBD-414D-ADEC-5157403919A3}"/>
    <cellStyle name="Note 16 3 8" xfId="33436" xr:uid="{8DFE0649-E59E-460D-841F-E0376AC39EE6}"/>
    <cellStyle name="Note 16 4" xfId="3198" xr:uid="{A4F26CF7-603E-4D21-816C-ABDB62A1B067}"/>
    <cellStyle name="Note 16 4 2" xfId="5149" xr:uid="{8B07AC72-AC9F-4FD5-BA41-2046D8B83458}"/>
    <cellStyle name="Note 16 4 2 2" xfId="18669" xr:uid="{7197798E-C8BC-40BF-BD2B-EDEA6DCD7204}"/>
    <cellStyle name="Note 16 4 2 2 2" xfId="22286" xr:uid="{CAEFE2DF-4331-4050-9948-3A18439AD9EC}"/>
    <cellStyle name="Note 16 4 2 3" xfId="33437" xr:uid="{C8AF78FC-FCF0-41B1-BDA2-BC444E49BE80}"/>
    <cellStyle name="Note 16 4 2 4" xfId="33438" xr:uid="{39DFBA66-1FD7-4540-83E4-8D61CE903B5E}"/>
    <cellStyle name="Note 16 4 2 5" xfId="33439" xr:uid="{8358F323-9E5C-4334-8827-753FF9ECF516}"/>
    <cellStyle name="Note 16 4 2 6" xfId="33440" xr:uid="{974BD709-F83F-4E0D-8AB3-F303D636D4D4}"/>
    <cellStyle name="Note 16 4 3" xfId="6929" xr:uid="{BD13D581-6D12-49C0-A9B9-24E971D7A541}"/>
    <cellStyle name="Note 16 4 3 2" xfId="22285" xr:uid="{D1F78213-7CF3-4127-9B7F-19EC7519BF1F}"/>
    <cellStyle name="Note 16 4 3 3" xfId="46390" xr:uid="{321728B3-1D4D-45A1-A691-BBA3BFBE9CFD}"/>
    <cellStyle name="Note 16 4 3 4" xfId="18668" xr:uid="{41606EE1-ED22-4FAE-A963-9277B6BC8499}"/>
    <cellStyle name="Note 16 4 4" xfId="9042" xr:uid="{D31A5CBF-53A3-4669-B482-DC3516631D97}"/>
    <cellStyle name="Note 16 4 4 2" xfId="33441" xr:uid="{0FBE1F19-617A-4ED9-971C-798DA37B5712}"/>
    <cellStyle name="Note 16 4 5" xfId="33442" xr:uid="{C45242FA-E341-465A-98B0-852EB659D6B6}"/>
    <cellStyle name="Note 16 4 6" xfId="33443" xr:uid="{949AE914-9ED5-41D9-A2EC-DA508DEA78D6}"/>
    <cellStyle name="Note 16 4 7" xfId="33444" xr:uid="{1934DDD4-92BD-4DBB-AA8F-2842A20A47A5}"/>
    <cellStyle name="Note 16 5" xfId="3199" xr:uid="{368D51AA-8499-4216-B905-7753BBF4B517}"/>
    <cellStyle name="Note 16 5 2" xfId="5150" xr:uid="{CF7076F9-CF8F-440E-AC89-3F940E194765}"/>
    <cellStyle name="Note 16 5 2 2" xfId="18671" xr:uid="{D395F8F7-9154-4656-86C9-BD682F42D6AC}"/>
    <cellStyle name="Note 16 5 2 2 2" xfId="22288" xr:uid="{CE075FBB-7CE7-4273-8CEC-C63EBF5D581E}"/>
    <cellStyle name="Note 16 5 2 3" xfId="33445" xr:uid="{6F1BA207-E5C6-456E-9393-BAB6061B73F0}"/>
    <cellStyle name="Note 16 5 2 4" xfId="33446" xr:uid="{8C43E2C3-8F35-4CF7-B79C-8738DDF6472D}"/>
    <cellStyle name="Note 16 5 2 5" xfId="33447" xr:uid="{FA5CF3E3-A03E-4337-910A-B200FD314D42}"/>
    <cellStyle name="Note 16 5 2 6" xfId="33448" xr:uid="{7AC4A72D-DBBE-42A7-ACC5-E190B3236FF9}"/>
    <cellStyle name="Note 16 5 3" xfId="6930" xr:uid="{D4F16D2C-68F3-4109-8431-8C7DF4A58A0E}"/>
    <cellStyle name="Note 16 5 3 2" xfId="22287" xr:uid="{224C14F2-9F30-42B7-AFBE-6A608842153C}"/>
    <cellStyle name="Note 16 5 3 3" xfId="46391" xr:uid="{6E0D8534-9BBD-4CD0-8D08-F01502620F3B}"/>
    <cellStyle name="Note 16 5 3 4" xfId="18670" xr:uid="{CC10A7F5-3BF1-4ED5-8F83-A10A756B5F11}"/>
    <cellStyle name="Note 16 5 4" xfId="9043" xr:uid="{F78EC46B-F9CF-420E-9DE9-7921A87E6EC7}"/>
    <cellStyle name="Note 16 5 4 2" xfId="33449" xr:uid="{DB34ED49-25DD-4590-98D7-0730EAF574CC}"/>
    <cellStyle name="Note 16 5 5" xfId="33450" xr:uid="{8FF3A148-DAA8-4C4F-AD26-CA662691E2CF}"/>
    <cellStyle name="Note 16 5 6" xfId="33451" xr:uid="{3E40E957-0461-4ED3-95C7-89A25859FC05}"/>
    <cellStyle name="Note 16 5 7" xfId="33452" xr:uid="{3C6063A6-0E00-460A-B292-C954F57B4419}"/>
    <cellStyle name="Note 16 6" xfId="3200" xr:uid="{C9AF4519-3957-4F87-80B3-333C7BFAECBA}"/>
    <cellStyle name="Note 16 6 2" xfId="5151" xr:uid="{A2480FCF-0319-4616-AE69-4B7996F7BEFC}"/>
    <cellStyle name="Note 16 6 2 2" xfId="18673" xr:uid="{EE456894-9D0E-4A07-BD2F-A8ADA935196F}"/>
    <cellStyle name="Note 16 6 2 2 2" xfId="22290" xr:uid="{AD2E3772-033C-4D9F-BA7F-94E253F77E75}"/>
    <cellStyle name="Note 16 6 2 3" xfId="33453" xr:uid="{A05ACD55-0EA0-4643-96BA-0F55C503B795}"/>
    <cellStyle name="Note 16 6 2 4" xfId="33454" xr:uid="{75F09CE6-3A6C-4FCB-82F8-DB1B00E1337E}"/>
    <cellStyle name="Note 16 6 2 5" xfId="33455" xr:uid="{53B15B0F-1EF7-4EA6-89F5-D51CF1E8D460}"/>
    <cellStyle name="Note 16 6 2 6" xfId="33456" xr:uid="{0715ADBF-BF0C-4F1C-9D0F-D29D85DC8BDF}"/>
    <cellStyle name="Note 16 6 3" xfId="6931" xr:uid="{37ED8BA8-80AE-4040-BEC2-76EF2A3EA61D}"/>
    <cellStyle name="Note 16 6 3 2" xfId="22289" xr:uid="{684FC2F2-235C-4E94-BC3F-6164905EB397}"/>
    <cellStyle name="Note 16 6 3 3" xfId="46392" xr:uid="{953DF249-777E-4B29-8932-00F1293CED1B}"/>
    <cellStyle name="Note 16 6 3 4" xfId="18672" xr:uid="{47ADCBA9-FE21-4004-85C6-76861081DE75}"/>
    <cellStyle name="Note 16 6 4" xfId="9044" xr:uid="{D5E6923E-DD80-493B-9960-79711941B38C}"/>
    <cellStyle name="Note 16 6 4 2" xfId="33457" xr:uid="{33CB1E5C-4649-4914-AF53-548B25800865}"/>
    <cellStyle name="Note 16 6 5" xfId="33458" xr:uid="{B87F9CC5-3FE1-424C-A63C-F015487FD4F9}"/>
    <cellStyle name="Note 16 6 6" xfId="33459" xr:uid="{8A897744-2340-4E3D-BC42-F1D2E49CD1C8}"/>
    <cellStyle name="Note 16 6 7" xfId="33460" xr:uid="{4BA54E9F-DD31-47BD-93C1-ACF185ED0FD2}"/>
    <cellStyle name="Note 16 7" xfId="3201" xr:uid="{91D6AE62-0DC3-4ACB-BF09-A63EC8DDDD1B}"/>
    <cellStyle name="Note 16 7 2" xfId="5152" xr:uid="{EE1352FB-4B4D-4E38-B386-F27CB29F1F0E}"/>
    <cellStyle name="Note 16 7 2 2" xfId="18675" xr:uid="{A49584D0-870C-4679-AE24-F8CCF65D5FB9}"/>
    <cellStyle name="Note 16 7 2 2 2" xfId="22292" xr:uid="{61FD93CF-4DB1-4747-9769-AE1D3F590E24}"/>
    <cellStyle name="Note 16 7 2 3" xfId="33461" xr:uid="{56134032-8F38-4AD2-8680-69BED934C80B}"/>
    <cellStyle name="Note 16 7 2 4" xfId="33462" xr:uid="{8CF6E435-1A47-4C31-BBD2-66DD1E8B4088}"/>
    <cellStyle name="Note 16 7 2 5" xfId="33463" xr:uid="{CEBD89F0-502B-456B-9EA3-5254C2BB006C}"/>
    <cellStyle name="Note 16 7 2 6" xfId="33464" xr:uid="{4F7C8D95-C969-4A90-9950-D3B23BFA9945}"/>
    <cellStyle name="Note 16 7 3" xfId="6932" xr:uid="{06499478-A9DC-4AF6-A163-1848D5801C80}"/>
    <cellStyle name="Note 16 7 3 2" xfId="22291" xr:uid="{3BE958C2-E8E8-4B5D-9935-5B9BD8E07B3B}"/>
    <cellStyle name="Note 16 7 3 3" xfId="46393" xr:uid="{4F0500C2-F152-4D33-ACC0-F0003D3B37AA}"/>
    <cellStyle name="Note 16 7 3 4" xfId="18674" xr:uid="{F1C3E208-1E22-4C80-9757-C7FB9E6A2822}"/>
    <cellStyle name="Note 16 7 4" xfId="9045" xr:uid="{BC68C8EE-AB05-4A1D-84A3-EF18D67B6FB0}"/>
    <cellStyle name="Note 16 7 4 2" xfId="33465" xr:uid="{DCB9A9F0-4C3B-46D6-B3BB-9D921A4BE757}"/>
    <cellStyle name="Note 16 7 5" xfId="33466" xr:uid="{1B9392F6-8EE5-4199-A417-A665FA613010}"/>
    <cellStyle name="Note 16 7 6" xfId="33467" xr:uid="{E163B488-7B1A-4C4A-9981-9700F99D6311}"/>
    <cellStyle name="Note 16 7 7" xfId="33468" xr:uid="{0A7833D4-BFF4-4126-9997-810910E4CC2B}"/>
    <cellStyle name="Note 16 8" xfId="3202" xr:uid="{6F9F3A27-CC2E-4060-B054-F746925AAA48}"/>
    <cellStyle name="Note 16 8 2" xfId="5153" xr:uid="{E5C7AEF0-D39A-47BE-9D44-CDEB591A4D82}"/>
    <cellStyle name="Note 16 8 2 2" xfId="18677" xr:uid="{9CB1D82B-6F0E-4947-9AB4-B4D38DB3BAEF}"/>
    <cellStyle name="Note 16 8 2 2 2" xfId="22294" xr:uid="{7385522B-CB5D-42F6-AB92-C4C7DEEDB51B}"/>
    <cellStyle name="Note 16 8 2 3" xfId="33469" xr:uid="{3463DD1F-2399-4FA9-A37E-638DF45C9D91}"/>
    <cellStyle name="Note 16 8 2 4" xfId="33470" xr:uid="{F428451C-D411-469A-82C4-901CCA0BA58E}"/>
    <cellStyle name="Note 16 8 2 5" xfId="33471" xr:uid="{FCC86206-FB8C-42AB-AB94-ADF52180A529}"/>
    <cellStyle name="Note 16 8 2 6" xfId="33472" xr:uid="{64410725-4AC3-41E3-8432-8C53C63D31E4}"/>
    <cellStyle name="Note 16 8 3" xfId="6933" xr:uid="{09F8DCDE-C2A1-4478-8674-BB30CD83E68B}"/>
    <cellStyle name="Note 16 8 3 2" xfId="22293" xr:uid="{C22FFF18-0321-4245-8127-98B74E263823}"/>
    <cellStyle name="Note 16 8 3 3" xfId="46394" xr:uid="{4A60BE8E-7C4D-4EC8-8171-B2C67560F63D}"/>
    <cellStyle name="Note 16 8 3 4" xfId="18676" xr:uid="{A3EA1125-73C0-47C9-958E-B902EBF8192D}"/>
    <cellStyle name="Note 16 8 4" xfId="9046" xr:uid="{705DB7D1-5E50-48F1-A44F-14CB4BE23CF0}"/>
    <cellStyle name="Note 16 8 4 2" xfId="33473" xr:uid="{CA86480A-DCD8-44AD-9F9A-D50EBA860C14}"/>
    <cellStyle name="Note 16 8 5" xfId="33474" xr:uid="{A77DB2FD-6567-47E2-8C0C-ADAD223DCEB0}"/>
    <cellStyle name="Note 16 8 6" xfId="33475" xr:uid="{1B1D0114-2AF2-45EA-AF7C-39ACED45BE78}"/>
    <cellStyle name="Note 16 8 7" xfId="33476" xr:uid="{5ED5D7F5-1F14-4442-AD46-EAAC9A9BBC60}"/>
    <cellStyle name="Note 16 9" xfId="5146" xr:uid="{C3579AFE-10A5-4D12-8EF8-C51AD386FD7B}"/>
    <cellStyle name="Note 16 9 2" xfId="18678" xr:uid="{532163F2-AE55-4F1B-9656-39FF15A4BDC2}"/>
    <cellStyle name="Note 16 9 2 2" xfId="22295" xr:uid="{E0DFFBD0-4BF4-4AB9-BC12-9446033763F9}"/>
    <cellStyle name="Note 16 9 3" xfId="33477" xr:uid="{44BAC5D1-7EAE-400E-80A1-667A927E56D7}"/>
    <cellStyle name="Note 16 9 4" xfId="33478" xr:uid="{1D062C1E-983D-44A1-B5FE-DB04340E821E}"/>
    <cellStyle name="Note 16 9 5" xfId="33479" xr:uid="{8DD8BC0B-D37C-4716-A02A-6F84E239C262}"/>
    <cellStyle name="Note 16 9 6" xfId="33480" xr:uid="{D5293D05-5078-499D-BB87-59C28361D23C}"/>
    <cellStyle name="Note 16_IND_UC" xfId="3203" xr:uid="{693455EB-5E19-44D6-8034-556E3E31E1A4}"/>
    <cellStyle name="Note 17" xfId="3204" xr:uid="{F92834D7-47F9-47B5-B6E0-021CB848A16B}"/>
    <cellStyle name="Note 17 10" xfId="4210" xr:uid="{AE2A4D0B-9590-4EA3-9E05-24D11EE450D8}"/>
    <cellStyle name="Note 17 10 2" xfId="22296" xr:uid="{6D8FB02D-1E5A-4841-B2F9-887726FE4999}"/>
    <cellStyle name="Note 17 10 3" xfId="44025" xr:uid="{0188BE0F-AD43-44ED-8EC8-A9B4159752B1}"/>
    <cellStyle name="Note 17 10 4" xfId="18679" xr:uid="{FD30A725-72FD-4D88-90F7-0A093B47E74B}"/>
    <cellStyle name="Note 17 11" xfId="6277" xr:uid="{66579F7E-5A49-4901-9F1E-9F4E588C2250}"/>
    <cellStyle name="Note 17 11 2" xfId="45935" xr:uid="{7584A1DE-C3D8-4BE3-9208-21992F2DAEDC}"/>
    <cellStyle name="Note 17 11 3" xfId="33481" xr:uid="{73890888-9C4C-48C7-9373-5E156A62D87D}"/>
    <cellStyle name="Note 17 12" xfId="9047" xr:uid="{1010C5C3-5A80-43D1-9719-425E350ACBD7}"/>
    <cellStyle name="Note 17 12 2" xfId="33482" xr:uid="{3FF99166-C40C-4A85-B833-B90AD1C66F00}"/>
    <cellStyle name="Note 17 13" xfId="33483" xr:uid="{02E8E869-3165-4B2B-93F3-7BD121B9F15B}"/>
    <cellStyle name="Note 17 14" xfId="33484" xr:uid="{A07F67DA-6CA4-4A28-A77C-E0F9B10F9E9B}"/>
    <cellStyle name="Note 17 15" xfId="33485" xr:uid="{E2EF96DE-ACC8-4FF9-89F7-281F9AC9DB60}"/>
    <cellStyle name="Note 17 2" xfId="3205" xr:uid="{50597296-8CE3-4EB2-AE50-C42F5E129486}"/>
    <cellStyle name="Note 17 2 2" xfId="5155" xr:uid="{575DA130-8E9A-406F-8055-0BF7063E3E41}"/>
    <cellStyle name="Note 17 2 2 2" xfId="18681" xr:uid="{DB212A5D-80FB-4D00-A84B-21112E7F19B6}"/>
    <cellStyle name="Note 17 2 2 2 2" xfId="22298" xr:uid="{C8F6A119-4A75-4A2F-9388-F378F7779356}"/>
    <cellStyle name="Note 17 2 2 3" xfId="33486" xr:uid="{241387D0-6A44-4F84-863C-1EA44DB80268}"/>
    <cellStyle name="Note 17 2 2 4" xfId="33487" xr:uid="{213C1046-4138-4E99-BAED-68F35CDBD3FE}"/>
    <cellStyle name="Note 17 2 2 5" xfId="33488" xr:uid="{A977DD97-E858-4173-BDE9-869585331E24}"/>
    <cellStyle name="Note 17 2 2 6" xfId="33489" xr:uid="{AE092D08-EFFA-465A-9773-7C0548E7DB38}"/>
    <cellStyle name="Note 17 2 3" xfId="4211" xr:uid="{A66DEB2C-AB62-448D-B49F-3CD53AA213B3}"/>
    <cellStyle name="Note 17 2 3 2" xfId="22297" xr:uid="{55C46B37-795F-490D-9CFD-B4E3EE917011}"/>
    <cellStyle name="Note 17 2 3 3" xfId="44026" xr:uid="{9D6741C1-FBF3-40A5-8443-F7590D5456EC}"/>
    <cellStyle name="Note 17 2 3 4" xfId="18680" xr:uid="{7F8BB226-E55A-4266-BC46-17D70A67D3F3}"/>
    <cellStyle name="Note 17 2 4" xfId="6278" xr:uid="{57E3A863-B942-4DD2-9485-A4B1449ACFA4}"/>
    <cellStyle name="Note 17 2 4 2" xfId="45936" xr:uid="{B56AE261-5F59-4F51-A9B5-3EA96092B0D5}"/>
    <cellStyle name="Note 17 2 4 3" xfId="33490" xr:uid="{DAADABEC-ABDE-44E8-A2E2-CA6F49D35D6C}"/>
    <cellStyle name="Note 17 2 5" xfId="9048" xr:uid="{0BC1D059-CE73-4749-830B-CB214E69A129}"/>
    <cellStyle name="Note 17 2 5 2" xfId="33491" xr:uid="{111AAD55-2B98-42CD-8AB5-1D40B1B70D6C}"/>
    <cellStyle name="Note 17 2 6" xfId="33492" xr:uid="{DB84206D-E7E8-45C3-B26C-7A251DDB61CB}"/>
    <cellStyle name="Note 17 2 7" xfId="33493" xr:uid="{88047F0F-12D7-4717-80EC-C17E09E2E080}"/>
    <cellStyle name="Note 17 2 8" xfId="33494" xr:uid="{5FB5F4CE-2E7B-4D41-A713-9C96F9516B23}"/>
    <cellStyle name="Note 17 3" xfId="3206" xr:uid="{2F849225-7646-45D2-AE2C-C922519190AA}"/>
    <cellStyle name="Note 17 3 2" xfId="5156" xr:uid="{D5EA155D-8BC8-4201-84A4-4F746347F269}"/>
    <cellStyle name="Note 17 3 2 2" xfId="18683" xr:uid="{50E12402-1004-435C-8F8F-E743EBF6EEF6}"/>
    <cellStyle name="Note 17 3 2 2 2" xfId="22300" xr:uid="{BCED3EE8-1F6F-41AE-BC06-C272A282E9B8}"/>
    <cellStyle name="Note 17 3 2 3" xfId="33495" xr:uid="{EACBA894-1201-4ED3-AC1B-6723CDB34750}"/>
    <cellStyle name="Note 17 3 2 4" xfId="33496" xr:uid="{8226E0AE-C172-4840-A4A7-995536569252}"/>
    <cellStyle name="Note 17 3 2 5" xfId="33497" xr:uid="{40349515-0054-4B8D-AEDB-8E3479415273}"/>
    <cellStyle name="Note 17 3 2 6" xfId="33498" xr:uid="{468FAD90-6DC3-4B27-96F6-A2AB24FB1D19}"/>
    <cellStyle name="Note 17 3 3" xfId="4212" xr:uid="{D7F80ACC-5C58-4FE8-911E-46C153E493C6}"/>
    <cellStyle name="Note 17 3 3 2" xfId="22299" xr:uid="{2E66F80A-F4BF-4350-8529-1AA00D203B7F}"/>
    <cellStyle name="Note 17 3 3 3" xfId="44027" xr:uid="{C6158B31-0834-490C-BC7A-477D5DE9222B}"/>
    <cellStyle name="Note 17 3 3 4" xfId="18682" xr:uid="{57223B82-259A-4450-8CB5-950E66EDBD23}"/>
    <cellStyle name="Note 17 3 4" xfId="6279" xr:uid="{F6331D52-1D83-412D-8E04-ACD52B08C782}"/>
    <cellStyle name="Note 17 3 4 2" xfId="45937" xr:uid="{8C32F91E-FC3B-4FC1-AF06-1A1043F977A6}"/>
    <cellStyle name="Note 17 3 4 3" xfId="33499" xr:uid="{758EA6BD-5DC9-4EB1-85E6-E93096E5F96A}"/>
    <cellStyle name="Note 17 3 5" xfId="9049" xr:uid="{884C35A6-DEA1-410A-87F3-4F83EB5035D0}"/>
    <cellStyle name="Note 17 3 5 2" xfId="33500" xr:uid="{4344E8B1-AC33-4308-B0CF-901A413939DE}"/>
    <cellStyle name="Note 17 3 6" xfId="33501" xr:uid="{38A8AB7D-6A72-4869-97F8-E39A3A5CAE57}"/>
    <cellStyle name="Note 17 3 7" xfId="33502" xr:uid="{1BD4A74E-4E15-4D5F-AE80-55336EDBB82E}"/>
    <cellStyle name="Note 17 3 8" xfId="33503" xr:uid="{342C4D22-3A72-44AB-9D1B-022ACD734C25}"/>
    <cellStyle name="Note 17 4" xfId="3207" xr:uid="{C568F6B4-E9E3-475E-A4D3-EB5F21A94A19}"/>
    <cellStyle name="Note 17 4 2" xfId="5157" xr:uid="{5B7B5278-377C-4769-B7ED-9AB02B84B6CC}"/>
    <cellStyle name="Note 17 4 2 2" xfId="18685" xr:uid="{9E86C45B-531F-4DB3-90DC-371CE4DCC21B}"/>
    <cellStyle name="Note 17 4 2 2 2" xfId="22302" xr:uid="{6961494B-8DF3-49D1-BACA-FBE92F153071}"/>
    <cellStyle name="Note 17 4 2 3" xfId="33504" xr:uid="{9EA57598-E09F-4FB7-87C8-FF231C71153E}"/>
    <cellStyle name="Note 17 4 2 4" xfId="33505" xr:uid="{9290BD95-DF75-41A9-AB5A-1F3C68C54E90}"/>
    <cellStyle name="Note 17 4 2 5" xfId="33506" xr:uid="{BBA94F7B-9C63-4295-AF8C-CB46644E0768}"/>
    <cellStyle name="Note 17 4 2 6" xfId="33507" xr:uid="{AC976883-66F4-4541-BC8F-60B17736FD27}"/>
    <cellStyle name="Note 17 4 3" xfId="6934" xr:uid="{49FD87AC-84E4-4C5A-A227-79D9B824E7F7}"/>
    <cellStyle name="Note 17 4 3 2" xfId="22301" xr:uid="{775A2E0F-CF26-4A9E-8B67-C8797D3B5E55}"/>
    <cellStyle name="Note 17 4 3 3" xfId="46395" xr:uid="{84BAF719-E14E-4A96-A6C7-4573502978F7}"/>
    <cellStyle name="Note 17 4 3 4" xfId="18684" xr:uid="{C15315A1-322D-40C2-87F5-13AFDB22BB0D}"/>
    <cellStyle name="Note 17 4 4" xfId="9050" xr:uid="{F4B65F28-8C75-49A2-8F81-69EDA43CABD7}"/>
    <cellStyle name="Note 17 4 4 2" xfId="33508" xr:uid="{CFC3C0CE-363D-4B72-9A98-F018534E020D}"/>
    <cellStyle name="Note 17 4 5" xfId="33509" xr:uid="{0C6533F9-A2A2-4436-A732-898D0923B4C9}"/>
    <cellStyle name="Note 17 4 6" xfId="33510" xr:uid="{20EA2000-19DE-4DE0-A357-73D2BBACDBF7}"/>
    <cellStyle name="Note 17 4 7" xfId="33511" xr:uid="{D9FBF7F9-D33C-4D30-95BD-AD79DE526D29}"/>
    <cellStyle name="Note 17 5" xfId="3208" xr:uid="{99532DD7-FE7F-494B-A79C-8081C9865309}"/>
    <cellStyle name="Note 17 5 2" xfId="5158" xr:uid="{D1A72F63-88DF-4673-AADC-6EE1D86CA2BB}"/>
    <cellStyle name="Note 17 5 2 2" xfId="18687" xr:uid="{FE30E0D9-543E-4D9C-933B-E552E41FA367}"/>
    <cellStyle name="Note 17 5 2 2 2" xfId="22304" xr:uid="{B5C15366-4888-47DC-B3BD-49B1F980BD1E}"/>
    <cellStyle name="Note 17 5 2 3" xfId="33512" xr:uid="{3983912A-FCA6-418E-9561-3A729C51104B}"/>
    <cellStyle name="Note 17 5 2 4" xfId="33513" xr:uid="{47D955DF-8F21-42E2-A597-946A784CE72E}"/>
    <cellStyle name="Note 17 5 2 5" xfId="33514" xr:uid="{6D5BB6FB-03F6-4A52-B2D5-681D6A845663}"/>
    <cellStyle name="Note 17 5 2 6" xfId="33515" xr:uid="{5AA06CE4-AB15-4E8C-AB09-7984F1DF3C92}"/>
    <cellStyle name="Note 17 5 3" xfId="6935" xr:uid="{9016F8C6-05BA-401C-9377-3DAB6C7B5543}"/>
    <cellStyle name="Note 17 5 3 2" xfId="22303" xr:uid="{66B895B7-9142-4DCE-97C2-91966A1FA671}"/>
    <cellStyle name="Note 17 5 3 3" xfId="46396" xr:uid="{CAAF6BE1-22E4-4E3C-B9A6-AD072B9ECD37}"/>
    <cellStyle name="Note 17 5 3 4" xfId="18686" xr:uid="{8B1F8ED4-97FE-4F56-8EC6-E7EC4870CA14}"/>
    <cellStyle name="Note 17 5 4" xfId="9051" xr:uid="{01A2A92E-EF9F-4FCB-ADFB-FED4DB850A37}"/>
    <cellStyle name="Note 17 5 4 2" xfId="33516" xr:uid="{09B59D79-DD57-4B24-9DB4-EDCCC1E98609}"/>
    <cellStyle name="Note 17 5 5" xfId="33517" xr:uid="{18F53CD8-C73A-453E-9DAE-91A7AA5B2A6D}"/>
    <cellStyle name="Note 17 5 6" xfId="33518" xr:uid="{775F28BA-C610-41C7-9810-C69EE6F27D34}"/>
    <cellStyle name="Note 17 5 7" xfId="33519" xr:uid="{4C7DDF7B-B685-40A3-AACE-2A00E3B25C02}"/>
    <cellStyle name="Note 17 6" xfId="3209" xr:uid="{F8B0186F-6C18-40E3-A173-59BB9FCECC3E}"/>
    <cellStyle name="Note 17 6 2" xfId="5159" xr:uid="{0C5254EF-779E-4874-85EC-7A1179252D10}"/>
    <cellStyle name="Note 17 6 2 2" xfId="18689" xr:uid="{F662B8B0-31C2-4C89-926F-37D7F8683FF5}"/>
    <cellStyle name="Note 17 6 2 2 2" xfId="22306" xr:uid="{207F07E3-F3E1-4C97-9592-6881EF937881}"/>
    <cellStyle name="Note 17 6 2 3" xfId="33520" xr:uid="{DF3C31AB-9F49-4F00-A6C1-5BF205ED8BA4}"/>
    <cellStyle name="Note 17 6 2 4" xfId="33521" xr:uid="{B41CD71E-81C5-4FA4-B725-11A8187F09CB}"/>
    <cellStyle name="Note 17 6 2 5" xfId="33522" xr:uid="{317BE885-A67B-47A9-94D7-8C24EDB688C8}"/>
    <cellStyle name="Note 17 6 2 6" xfId="33523" xr:uid="{4C8166F7-A970-4FB6-8C96-EBC22865081D}"/>
    <cellStyle name="Note 17 6 3" xfId="6936" xr:uid="{D408E81C-00B0-487B-BE8D-5D40FC59D174}"/>
    <cellStyle name="Note 17 6 3 2" xfId="22305" xr:uid="{FB1C2A7D-C101-4D7C-976E-0CEE2222097E}"/>
    <cellStyle name="Note 17 6 3 3" xfId="46397" xr:uid="{F011D2BB-567F-45B1-AFE4-FF13FC577133}"/>
    <cellStyle name="Note 17 6 3 4" xfId="18688" xr:uid="{2DA0B4A3-E21C-4262-AE63-7E7CC89BA484}"/>
    <cellStyle name="Note 17 6 4" xfId="9052" xr:uid="{C218EB97-ADDC-4A7F-917F-0D6DAE466916}"/>
    <cellStyle name="Note 17 6 4 2" xfId="33524" xr:uid="{0B854D88-9E3F-43BA-ADD2-32FBD9117519}"/>
    <cellStyle name="Note 17 6 5" xfId="33525" xr:uid="{9A0302B8-C94B-4087-8401-218D6F67B529}"/>
    <cellStyle name="Note 17 6 6" xfId="33526" xr:uid="{4439EFFE-DDB6-4E33-967A-2AA1708F7316}"/>
    <cellStyle name="Note 17 6 7" xfId="33527" xr:uid="{18CD642E-5CFD-4A8B-B166-C29A5E579255}"/>
    <cellStyle name="Note 17 7" xfId="3210" xr:uid="{ABAAC8B1-56E0-46DA-862D-18B06B3701B1}"/>
    <cellStyle name="Note 17 7 2" xfId="5160" xr:uid="{AF6FCD75-929B-4FA0-AA09-34847FAA41BE}"/>
    <cellStyle name="Note 17 7 2 2" xfId="18691" xr:uid="{F7BBA9C8-DADA-4BEF-958C-52146D9EA46F}"/>
    <cellStyle name="Note 17 7 2 2 2" xfId="22308" xr:uid="{50FC7C5A-34FF-4EC6-9044-114E61222A51}"/>
    <cellStyle name="Note 17 7 2 3" xfId="33528" xr:uid="{9AB092B9-9425-4570-9B9B-E22160240574}"/>
    <cellStyle name="Note 17 7 2 4" xfId="33529" xr:uid="{B7A9BDC2-CB78-4D3C-BC44-95AA8AA1D0EE}"/>
    <cellStyle name="Note 17 7 2 5" xfId="33530" xr:uid="{16FAC4FC-E7DE-4598-AEBE-F5C76A5DDA3C}"/>
    <cellStyle name="Note 17 7 2 6" xfId="33531" xr:uid="{202FBB55-623F-4948-A6AC-A69D244BA120}"/>
    <cellStyle name="Note 17 7 3" xfId="6937" xr:uid="{131BD6D6-E698-4F9C-B70D-9C0794348B83}"/>
    <cellStyle name="Note 17 7 3 2" xfId="22307" xr:uid="{5E1678D1-F7E3-4A9A-A652-040D10656C28}"/>
    <cellStyle name="Note 17 7 3 3" xfId="46398" xr:uid="{71251D1E-DE28-4CEB-8122-7EF7DEB98870}"/>
    <cellStyle name="Note 17 7 3 4" xfId="18690" xr:uid="{E644B5DE-E728-4B5B-A208-2975DC0B7610}"/>
    <cellStyle name="Note 17 7 4" xfId="9053" xr:uid="{3BB6A0E1-44AC-4FFD-8005-C3D1769E6250}"/>
    <cellStyle name="Note 17 7 4 2" xfId="33532" xr:uid="{DF53EE9C-D40A-464A-A02D-AF953679F7A5}"/>
    <cellStyle name="Note 17 7 5" xfId="33533" xr:uid="{D52744F2-626F-4914-9561-CB4CEA4BF0C5}"/>
    <cellStyle name="Note 17 7 6" xfId="33534" xr:uid="{C450E4BC-A19C-4E30-A40D-0B7C24CF9B4B}"/>
    <cellStyle name="Note 17 7 7" xfId="33535" xr:uid="{808076C7-D4B4-4F15-9DD1-ADC084F19169}"/>
    <cellStyle name="Note 17 8" xfId="3211" xr:uid="{E15721FE-CB36-4136-BF7D-5FC19A515A17}"/>
    <cellStyle name="Note 17 8 2" xfId="5161" xr:uid="{52344625-D244-47E6-9BFB-ABDCEB57D0D6}"/>
    <cellStyle name="Note 17 8 2 2" xfId="18693" xr:uid="{A329C2BD-4AFA-423B-BB59-7B0599FB6E54}"/>
    <cellStyle name="Note 17 8 2 2 2" xfId="22310" xr:uid="{729FFBD9-C82B-48F0-B789-3AC5DF740A03}"/>
    <cellStyle name="Note 17 8 2 3" xfId="33536" xr:uid="{7AC2CD42-AE1F-41DE-8E15-F12F429A01DA}"/>
    <cellStyle name="Note 17 8 2 4" xfId="33537" xr:uid="{A5203FC8-CB93-48EA-B246-CD93F1AFDE64}"/>
    <cellStyle name="Note 17 8 2 5" xfId="33538" xr:uid="{DB0C78F2-A218-4B45-A92D-BD0A42302BEA}"/>
    <cellStyle name="Note 17 8 2 6" xfId="33539" xr:uid="{CE849C7E-3C6B-4763-BC9D-C6E03F2A8D3B}"/>
    <cellStyle name="Note 17 8 3" xfId="6938" xr:uid="{AE63ABBA-FA24-4169-B871-267E469259AA}"/>
    <cellStyle name="Note 17 8 3 2" xfId="22309" xr:uid="{FC2A66EA-1DC0-44CE-B380-9D90336E3928}"/>
    <cellStyle name="Note 17 8 3 3" xfId="46399" xr:uid="{F8B7F866-C2FA-4698-8C20-96A5614562BD}"/>
    <cellStyle name="Note 17 8 3 4" xfId="18692" xr:uid="{9F2BC4B5-58B3-4511-84A8-374C77FB4E9A}"/>
    <cellStyle name="Note 17 8 4" xfId="9054" xr:uid="{F15F5618-13F0-4689-B5DD-6C4E162953BE}"/>
    <cellStyle name="Note 17 8 4 2" xfId="33540" xr:uid="{83AFA401-31D6-4C63-B754-1F3D31E1D536}"/>
    <cellStyle name="Note 17 8 5" xfId="33541" xr:uid="{2A8846D4-646F-4621-8835-1A098AEC9645}"/>
    <cellStyle name="Note 17 8 6" xfId="33542" xr:uid="{545A9BD5-DDF8-4379-ACD2-97B771D78471}"/>
    <cellStyle name="Note 17 8 7" xfId="33543" xr:uid="{99754699-BEFB-4D96-9223-6D9CFB9873FF}"/>
    <cellStyle name="Note 17 9" xfId="5154" xr:uid="{76BF8201-CD9B-4CE3-B22F-5EE397097837}"/>
    <cellStyle name="Note 17 9 2" xfId="18694" xr:uid="{1080CD87-4FB8-479F-8B7C-2336BD45C90B}"/>
    <cellStyle name="Note 17 9 2 2" xfId="22311" xr:uid="{70E6CB18-B373-4C67-9CA3-FC4FBED27DFA}"/>
    <cellStyle name="Note 17 9 3" xfId="33544" xr:uid="{ED6FA8A2-2566-48E3-8365-A1FA74F219D7}"/>
    <cellStyle name="Note 17 9 4" xfId="33545" xr:uid="{70BF2311-210B-4325-85D3-6E4B740F5DB7}"/>
    <cellStyle name="Note 17 9 5" xfId="33546" xr:uid="{FCA7E82D-753E-42DE-8A44-44F7E4EC20C5}"/>
    <cellStyle name="Note 17 9 6" xfId="33547" xr:uid="{FCE0E643-3728-4E4F-BFF6-53E40DC9DF80}"/>
    <cellStyle name="Note 17_IND_UC" xfId="3212" xr:uid="{430AD330-59BA-40E6-8468-7A0148EF0015}"/>
    <cellStyle name="Note 18" xfId="3213" xr:uid="{47112EBC-BA19-43F0-83DD-E6AEDC49DB0F}"/>
    <cellStyle name="Note 18 10" xfId="4213" xr:uid="{AD7FFEB4-1A16-42E4-B54B-4141A8EF0D70}"/>
    <cellStyle name="Note 18 10 2" xfId="22312" xr:uid="{80F0704A-E3DD-41AC-94EE-9DE4AA8D633E}"/>
    <cellStyle name="Note 18 10 3" xfId="44028" xr:uid="{827624C4-432A-4AA6-8FE1-B5CDE10BE28B}"/>
    <cellStyle name="Note 18 10 4" xfId="18695" xr:uid="{CB91793A-29A0-4882-B3C5-F01DB8C33BB1}"/>
    <cellStyle name="Note 18 11" xfId="6280" xr:uid="{1C4BC86C-ED64-4C3F-957E-72B9AAA97F33}"/>
    <cellStyle name="Note 18 11 2" xfId="45938" xr:uid="{6BE25EBD-0FB1-47F0-8179-C9D12845464D}"/>
    <cellStyle name="Note 18 11 3" xfId="33548" xr:uid="{71F7C052-303A-49DF-AA24-99094E1C2D4C}"/>
    <cellStyle name="Note 18 12" xfId="9055" xr:uid="{C3920FCD-6439-4A96-B88E-44AE2707EE41}"/>
    <cellStyle name="Note 18 12 2" xfId="33549" xr:uid="{6F25843B-2CEC-48C4-9D8E-7D9549AB98E2}"/>
    <cellStyle name="Note 18 13" xfId="33550" xr:uid="{5D18E9CC-6097-4DA6-B6FD-619BC3D97CB9}"/>
    <cellStyle name="Note 18 14" xfId="33551" xr:uid="{2FF125F5-5BF6-4AF5-ACB0-49810536455C}"/>
    <cellStyle name="Note 18 15" xfId="33552" xr:uid="{11DA6F18-1957-4ED2-B348-E213CE601C49}"/>
    <cellStyle name="Note 18 2" xfId="3214" xr:uid="{3C639A24-8EF9-4D2D-8EAD-7EEBF67EA1F6}"/>
    <cellStyle name="Note 18 2 2" xfId="5163" xr:uid="{9FBEF184-EFAF-4BDB-8A94-34BD82F2A49F}"/>
    <cellStyle name="Note 18 2 2 2" xfId="18697" xr:uid="{833E4F00-9179-43E8-8793-A3CF0D105722}"/>
    <cellStyle name="Note 18 2 2 2 2" xfId="22314" xr:uid="{D53D4C1B-2559-4E09-8415-81775D7EE15A}"/>
    <cellStyle name="Note 18 2 2 3" xfId="33553" xr:uid="{4C6F04BA-67BD-4C13-99FB-E517C5185CCA}"/>
    <cellStyle name="Note 18 2 2 4" xfId="33554" xr:uid="{9AADC524-2BA6-4544-935C-E1069F14478A}"/>
    <cellStyle name="Note 18 2 2 5" xfId="33555" xr:uid="{23216C82-BE2B-444D-871D-BD3FA477CB6F}"/>
    <cellStyle name="Note 18 2 2 6" xfId="33556" xr:uid="{50FFA0DE-1BB6-4720-8289-A1EF43722E81}"/>
    <cellStyle name="Note 18 2 3" xfId="6939" xr:uid="{E4691431-71DB-41DB-B3D4-8304BC247578}"/>
    <cellStyle name="Note 18 2 3 2" xfId="22313" xr:uid="{EFDFE310-2BC7-4137-8FE7-ED6787312B19}"/>
    <cellStyle name="Note 18 2 3 3" xfId="46400" xr:uid="{E489B5E1-F05A-4AD1-8644-A57BD7133D64}"/>
    <cellStyle name="Note 18 2 3 4" xfId="18696" xr:uid="{C1BD3654-18D2-43F7-9C3D-4E449BD46991}"/>
    <cellStyle name="Note 18 2 4" xfId="9056" xr:uid="{B1CBC021-3070-4B60-A180-69E931674797}"/>
    <cellStyle name="Note 18 2 4 2" xfId="33557" xr:uid="{AAD7E760-3D62-4B95-B519-14D466528E3F}"/>
    <cellStyle name="Note 18 2 5" xfId="33558" xr:uid="{D7ADAE33-E11E-458A-8B88-EC77710EBD9E}"/>
    <cellStyle name="Note 18 2 6" xfId="33559" xr:uid="{2DD229B6-C657-4310-A67C-96F371D4AF02}"/>
    <cellStyle name="Note 18 2 7" xfId="33560" xr:uid="{20696D47-EF13-4C12-8349-C7F0C27AA23F}"/>
    <cellStyle name="Note 18 3" xfId="3215" xr:uid="{67C9D80D-0817-4E1C-A289-4A36F0EDD7BD}"/>
    <cellStyle name="Note 18 3 2" xfId="5164" xr:uid="{6C76407D-BD15-404A-94D2-AF5F7ADAEE05}"/>
    <cellStyle name="Note 18 3 2 2" xfId="18699" xr:uid="{65C3EF6F-2F32-4A89-B72F-DFF000B9DFEE}"/>
    <cellStyle name="Note 18 3 2 2 2" xfId="22316" xr:uid="{8E7082FB-5B07-4732-BBF1-C4F8A897AB1D}"/>
    <cellStyle name="Note 18 3 2 3" xfId="33561" xr:uid="{519BB7E4-B234-443D-9837-BB21024659FE}"/>
    <cellStyle name="Note 18 3 2 4" xfId="33562" xr:uid="{94579740-171B-4738-A35F-399ED19768B6}"/>
    <cellStyle name="Note 18 3 2 5" xfId="33563" xr:uid="{8E67B157-12BB-46EB-9898-25D99E7FD3D7}"/>
    <cellStyle name="Note 18 3 2 6" xfId="33564" xr:uid="{58B13717-A1FB-4EC1-8BAB-D8CADA8263AF}"/>
    <cellStyle name="Note 18 3 3" xfId="6940" xr:uid="{B39E6A46-8F1F-46B7-A342-56793BC1734A}"/>
    <cellStyle name="Note 18 3 3 2" xfId="22315" xr:uid="{515F59C4-81CB-4640-AF3D-C0A9B2999884}"/>
    <cellStyle name="Note 18 3 3 3" xfId="46401" xr:uid="{31A0595C-260E-4832-A866-B50DC9ADB1A8}"/>
    <cellStyle name="Note 18 3 3 4" xfId="18698" xr:uid="{1382535D-5570-4483-B1A8-0E77A49D59F3}"/>
    <cellStyle name="Note 18 3 4" xfId="9057" xr:uid="{85309E41-2B76-440A-8342-33092ECBAA08}"/>
    <cellStyle name="Note 18 3 4 2" xfId="33565" xr:uid="{25DAA6DA-C7E9-43AA-8853-5DCC0310AEB5}"/>
    <cellStyle name="Note 18 3 5" xfId="33566" xr:uid="{AE7F5821-1C30-4BAD-8480-14D405172556}"/>
    <cellStyle name="Note 18 3 6" xfId="33567" xr:uid="{F987831E-C18B-490F-85F4-0ADE5289CFF5}"/>
    <cellStyle name="Note 18 3 7" xfId="33568" xr:uid="{078A69E7-FF14-4CB3-8DCB-B913777E6EC4}"/>
    <cellStyle name="Note 18 4" xfId="3216" xr:uid="{91D015CB-536D-4A2F-BF8F-708BA0794A84}"/>
    <cellStyle name="Note 18 4 2" xfId="5165" xr:uid="{FC149197-7BC2-49E6-B132-73375DD934C3}"/>
    <cellStyle name="Note 18 4 2 2" xfId="18701" xr:uid="{F2D828D4-0966-4725-B2E9-FBC90CB69DD2}"/>
    <cellStyle name="Note 18 4 2 2 2" xfId="22318" xr:uid="{DBF2ECE4-2E67-47A1-886B-63429F4B6D25}"/>
    <cellStyle name="Note 18 4 2 3" xfId="33569" xr:uid="{8D3DCE21-31A8-4ECF-92DA-C54D83BC8595}"/>
    <cellStyle name="Note 18 4 2 4" xfId="33570" xr:uid="{7A5EB140-8128-4B0A-A5C7-CB298C09C377}"/>
    <cellStyle name="Note 18 4 2 5" xfId="33571" xr:uid="{09C08F2B-E52A-4EED-81DB-99B323CEB3D7}"/>
    <cellStyle name="Note 18 4 2 6" xfId="33572" xr:uid="{89F66082-D65B-429F-BDC0-4626D8F70AC6}"/>
    <cellStyle name="Note 18 4 3" xfId="6941" xr:uid="{CC6DE9DC-ADC2-4ECB-892D-7B86B1209883}"/>
    <cellStyle name="Note 18 4 3 2" xfId="22317" xr:uid="{9B026EE5-6A64-420F-A03F-5FD4E3AFBF6C}"/>
    <cellStyle name="Note 18 4 3 3" xfId="46402" xr:uid="{A8453D8A-B604-4702-967F-621738C55D61}"/>
    <cellStyle name="Note 18 4 3 4" xfId="18700" xr:uid="{ABAF7141-8E81-4970-B7F5-EAFFFB6105B6}"/>
    <cellStyle name="Note 18 4 4" xfId="9058" xr:uid="{9C1E34F5-A733-4FDC-9150-03B8391F8EDD}"/>
    <cellStyle name="Note 18 4 4 2" xfId="33573" xr:uid="{45B23214-9B52-4CF4-8882-FC7372EE9B83}"/>
    <cellStyle name="Note 18 4 5" xfId="33574" xr:uid="{E12F85A8-4BDE-41AA-9E3F-6125FEB00699}"/>
    <cellStyle name="Note 18 4 6" xfId="33575" xr:uid="{385F022F-2ABE-48A6-8572-F2CFB8DEC26E}"/>
    <cellStyle name="Note 18 4 7" xfId="33576" xr:uid="{2EA32FBB-0C99-4061-ADFB-2ABFA530BBDE}"/>
    <cellStyle name="Note 18 5" xfId="3217" xr:uid="{93842F2A-375E-4F52-9D26-87916F439ABF}"/>
    <cellStyle name="Note 18 5 2" xfId="5166" xr:uid="{9D5B3B3D-6641-4F6F-9965-F304F188CBB4}"/>
    <cellStyle name="Note 18 5 2 2" xfId="18703" xr:uid="{636E8B6E-F822-463E-88B2-B9AB6060D69A}"/>
    <cellStyle name="Note 18 5 2 2 2" xfId="22320" xr:uid="{CA9F5738-316C-4481-B61E-EEA50C25A428}"/>
    <cellStyle name="Note 18 5 2 3" xfId="33577" xr:uid="{F6240884-5B3F-4475-86B1-5EAE4FADF788}"/>
    <cellStyle name="Note 18 5 2 4" xfId="33578" xr:uid="{8E39A566-34DA-4671-8742-659A27DBB682}"/>
    <cellStyle name="Note 18 5 2 5" xfId="33579" xr:uid="{0934F634-B4F2-4789-8AB5-568ED8755E76}"/>
    <cellStyle name="Note 18 5 2 6" xfId="33580" xr:uid="{66C93ED7-53D9-41D3-A350-DAA547CBB197}"/>
    <cellStyle name="Note 18 5 3" xfId="6942" xr:uid="{F8B1E4A1-F4A7-4F14-A3DB-527CC27598EF}"/>
    <cellStyle name="Note 18 5 3 2" xfId="22319" xr:uid="{D1627A3F-6224-4609-BD89-325AB8816272}"/>
    <cellStyle name="Note 18 5 3 3" xfId="46403" xr:uid="{F938271D-1A0D-4EB1-9F05-7A274FF3EC27}"/>
    <cellStyle name="Note 18 5 3 4" xfId="18702" xr:uid="{219B4EE5-EBF7-4180-9207-D9EDF124C6E5}"/>
    <cellStyle name="Note 18 5 4" xfId="9059" xr:uid="{D757E1EB-8D35-4687-964C-E7872D9722DA}"/>
    <cellStyle name="Note 18 5 4 2" xfId="33581" xr:uid="{7EECC2A0-8F67-4514-A28B-A7DD869CFF8A}"/>
    <cellStyle name="Note 18 5 5" xfId="33582" xr:uid="{761097D7-D841-4421-A786-D09004DC3B85}"/>
    <cellStyle name="Note 18 5 6" xfId="33583" xr:uid="{3525D827-C7E6-4FD4-83C8-1903119F12D2}"/>
    <cellStyle name="Note 18 5 7" xfId="33584" xr:uid="{42D50816-B17C-414F-8BBB-688C85F5453D}"/>
    <cellStyle name="Note 18 6" xfId="3218" xr:uid="{9658FD5E-D435-4779-BC2B-FC0FB0EB0CAB}"/>
    <cellStyle name="Note 18 6 2" xfId="5167" xr:uid="{A0E1CC77-CD29-4F8F-822A-F2FB600400E0}"/>
    <cellStyle name="Note 18 6 2 2" xfId="18705" xr:uid="{2F52CE67-5CEB-4CD9-B2A7-18F5F6AD5DC2}"/>
    <cellStyle name="Note 18 6 2 2 2" xfId="22322" xr:uid="{24D51909-FF0F-4A55-8E94-962636FB4D28}"/>
    <cellStyle name="Note 18 6 2 3" xfId="33585" xr:uid="{6B730B89-5883-46DA-9DA7-0DBBB792FECE}"/>
    <cellStyle name="Note 18 6 2 4" xfId="33586" xr:uid="{57062DCE-1EC5-410A-983F-1310B0966B44}"/>
    <cellStyle name="Note 18 6 2 5" xfId="33587" xr:uid="{8CAB56DD-8103-4D1A-A08D-0F101432FF89}"/>
    <cellStyle name="Note 18 6 2 6" xfId="33588" xr:uid="{9F51A320-1C51-4ECE-AB09-DA91216CD93B}"/>
    <cellStyle name="Note 18 6 3" xfId="6943" xr:uid="{4A8F3434-6887-499D-8FA6-7608779A2807}"/>
    <cellStyle name="Note 18 6 3 2" xfId="22321" xr:uid="{AB88EE13-4066-42B1-9986-4D36FE1D60E2}"/>
    <cellStyle name="Note 18 6 3 3" xfId="46404" xr:uid="{9D2B99C6-9346-4BCC-944A-CE55FE4E6219}"/>
    <cellStyle name="Note 18 6 3 4" xfId="18704" xr:uid="{2030C4D1-24EB-4FB2-84C8-645155753C00}"/>
    <cellStyle name="Note 18 6 4" xfId="9060" xr:uid="{00944EB7-38D1-4956-B7B5-573B2D088C24}"/>
    <cellStyle name="Note 18 6 4 2" xfId="33589" xr:uid="{EDE7C9E1-7AF1-41A1-B7C4-92EA1C7CE908}"/>
    <cellStyle name="Note 18 6 5" xfId="33590" xr:uid="{E5D7B91F-E655-4D23-BD9B-2084B5303A1A}"/>
    <cellStyle name="Note 18 6 6" xfId="33591" xr:uid="{050E7CFF-1144-4C26-9F3A-B1B8D82F8ABE}"/>
    <cellStyle name="Note 18 6 7" xfId="33592" xr:uid="{075250C7-4CBC-4546-923B-F42F1ABDD57D}"/>
    <cellStyle name="Note 18 7" xfId="3219" xr:uid="{92FDF585-3C82-4ED3-A9F6-2295255F9606}"/>
    <cellStyle name="Note 18 7 2" xfId="5168" xr:uid="{DC524538-F1D2-422C-8626-39C3CBA0CD90}"/>
    <cellStyle name="Note 18 7 2 2" xfId="18707" xr:uid="{3088EA2F-42D2-4C4A-AEB7-E1374994495F}"/>
    <cellStyle name="Note 18 7 2 2 2" xfId="22324" xr:uid="{E5436F5F-53C6-4E05-8CB1-2301B1B5A591}"/>
    <cellStyle name="Note 18 7 2 3" xfId="33593" xr:uid="{A47DABCA-CFCE-475E-872A-42AD562108D2}"/>
    <cellStyle name="Note 18 7 2 4" xfId="33594" xr:uid="{B5789848-8CFF-48E6-B573-0EF3DE159FBB}"/>
    <cellStyle name="Note 18 7 2 5" xfId="33595" xr:uid="{79F1665C-208A-4ED4-A2AC-D1F91F53AF37}"/>
    <cellStyle name="Note 18 7 2 6" xfId="33596" xr:uid="{A0533F37-AE11-4A70-9DD2-EF4D66D3B079}"/>
    <cellStyle name="Note 18 7 3" xfId="6944" xr:uid="{D2CA6F04-748C-4397-8BC1-4B0211E812FC}"/>
    <cellStyle name="Note 18 7 3 2" xfId="22323" xr:uid="{FAB7F15F-2ED4-40EC-BCFE-6399069B0C64}"/>
    <cellStyle name="Note 18 7 3 3" xfId="46405" xr:uid="{44A97E2F-EEC2-4125-9AC0-EFF300314B4B}"/>
    <cellStyle name="Note 18 7 3 4" xfId="18706" xr:uid="{9ED21F63-6839-45B9-864B-AB66D433F358}"/>
    <cellStyle name="Note 18 7 4" xfId="9061" xr:uid="{D4D91C42-432A-4E37-98B7-08F820A6F6F5}"/>
    <cellStyle name="Note 18 7 4 2" xfId="33597" xr:uid="{5683D9F7-CC93-4DDC-8D37-BDE912B7B594}"/>
    <cellStyle name="Note 18 7 5" xfId="33598" xr:uid="{72EFF7F5-BB76-410C-B2C4-20D842C8C0B2}"/>
    <cellStyle name="Note 18 7 6" xfId="33599" xr:uid="{1845850A-93C0-4121-8061-54C92C21A039}"/>
    <cellStyle name="Note 18 7 7" xfId="33600" xr:uid="{9B333C70-715F-4CCE-A3D3-1CF162811455}"/>
    <cellStyle name="Note 18 8" xfId="3220" xr:uid="{B6324F80-9D65-4E35-B1B1-CA49BA33ED97}"/>
    <cellStyle name="Note 18 8 2" xfId="5169" xr:uid="{1615156B-DEF7-4B8C-9266-D327BC8735EA}"/>
    <cellStyle name="Note 18 8 2 2" xfId="18709" xr:uid="{6D9D687C-F7D9-4007-8BDD-1F172E9956E9}"/>
    <cellStyle name="Note 18 8 2 2 2" xfId="22326" xr:uid="{CBE47514-CBA1-4551-AB43-A48296874728}"/>
    <cellStyle name="Note 18 8 2 3" xfId="33601" xr:uid="{F06570A5-AB79-43AC-BDEC-A8FF20E5CEA3}"/>
    <cellStyle name="Note 18 8 2 4" xfId="33602" xr:uid="{C18A42F5-3C81-4B8F-B5C4-E81CCB8806B8}"/>
    <cellStyle name="Note 18 8 2 5" xfId="33603" xr:uid="{B5CDAB34-05FB-4842-AE81-01A117DADE0E}"/>
    <cellStyle name="Note 18 8 2 6" xfId="33604" xr:uid="{C60DF75C-73F3-44F4-B73B-0E2F1D77B0F0}"/>
    <cellStyle name="Note 18 8 3" xfId="6945" xr:uid="{E4ABAF5A-85FA-4525-90B7-8AEF637C07A8}"/>
    <cellStyle name="Note 18 8 3 2" xfId="22325" xr:uid="{358EBB19-B061-4E28-9956-BA984484ECC4}"/>
    <cellStyle name="Note 18 8 3 3" xfId="46406" xr:uid="{411C439E-9B40-461E-8CE8-B854220DDB48}"/>
    <cellStyle name="Note 18 8 3 4" xfId="18708" xr:uid="{E0A65E04-161D-4E0A-9D7B-63BAAECB577D}"/>
    <cellStyle name="Note 18 8 4" xfId="9062" xr:uid="{6C62616B-525C-4DDF-9A2E-243BB783E916}"/>
    <cellStyle name="Note 18 8 4 2" xfId="33605" xr:uid="{D32BDE40-B0F9-4655-98BB-A54A90B456CF}"/>
    <cellStyle name="Note 18 8 5" xfId="33606" xr:uid="{C615FCEA-DBC3-412C-B992-A97A70E87465}"/>
    <cellStyle name="Note 18 8 6" xfId="33607" xr:uid="{6D3CC84A-B058-4D93-AE02-3C382ABBCF40}"/>
    <cellStyle name="Note 18 8 7" xfId="33608" xr:uid="{B9AF18BD-8E12-47AC-86FF-54EDFB162D95}"/>
    <cellStyle name="Note 18 9" xfId="5162" xr:uid="{1954CCC2-7CDA-4895-BD82-B9FDD12E4614}"/>
    <cellStyle name="Note 18 9 2" xfId="18710" xr:uid="{90997B9E-6D0F-4C5E-8968-0AE629437D2E}"/>
    <cellStyle name="Note 18 9 2 2" xfId="22327" xr:uid="{5264911D-07A4-4876-A3C6-EABFD2A7B6B6}"/>
    <cellStyle name="Note 18 9 3" xfId="33609" xr:uid="{20DA52F4-B97C-401A-9871-7CCFE851C2DC}"/>
    <cellStyle name="Note 18 9 4" xfId="33610" xr:uid="{5E4F238A-1E2A-4211-AEAF-64F159220B73}"/>
    <cellStyle name="Note 18 9 5" xfId="33611" xr:uid="{B2AECCE4-4A85-4E83-86BB-B9764840032D}"/>
    <cellStyle name="Note 18 9 6" xfId="33612" xr:uid="{B512E3BF-9577-40FC-A594-3B520A431C0B}"/>
    <cellStyle name="Note 18_IND_UC" xfId="3221" xr:uid="{698C286E-09EB-4AAC-9797-E2F3B14C383F}"/>
    <cellStyle name="Note 19" xfId="3222" xr:uid="{5B15F492-91E1-4980-9055-1DC29ACF5A6C}"/>
    <cellStyle name="Note 19 2" xfId="3223" xr:uid="{CF6895D2-A6B0-4D59-8D16-E01D18FF3443}"/>
    <cellStyle name="Note 19 2 2" xfId="5171" xr:uid="{83F15474-90B7-419E-B36A-0B8F9659BC8E}"/>
    <cellStyle name="Note 19 2 2 2" xfId="22329" xr:uid="{149E5EC0-EA64-4E90-A6B2-652433B9ECC0}"/>
    <cellStyle name="Note 19 2 2 3" xfId="44333" xr:uid="{F1EB19B8-001D-4A7F-8FA5-E2FA1C87EE8B}"/>
    <cellStyle name="Note 19 2 2 4" xfId="18712" xr:uid="{C6807ED4-97E5-4B99-9633-8CB94085954E}"/>
    <cellStyle name="Note 19 2 3" xfId="6946" xr:uid="{B23CCFE3-3A7A-4812-B28B-DA2E8E483E8A}"/>
    <cellStyle name="Note 19 2 3 2" xfId="46407" xr:uid="{1D525AD7-F234-4E14-90AE-A174D46CE189}"/>
    <cellStyle name="Note 19 2 3 3" xfId="33613" xr:uid="{78D9F87E-ADA5-4A82-B1AC-58A39F33F075}"/>
    <cellStyle name="Note 19 2 4" xfId="9064" xr:uid="{4D7EE552-573F-486B-92D3-6B3E9473CDE2}"/>
    <cellStyle name="Note 19 2 4 2" xfId="33614" xr:uid="{44ADEC8F-B826-4AE5-A276-6410A31A7CC2}"/>
    <cellStyle name="Note 19 2 5" xfId="33615" xr:uid="{F2D6ED87-F04D-40DC-9066-B41B409F407E}"/>
    <cellStyle name="Note 19 2 6" xfId="33616" xr:uid="{23D2EC5E-FA87-4DD8-947E-E39C53D586EF}"/>
    <cellStyle name="Note 19 3" xfId="5170" xr:uid="{C2112E4B-50D2-4D24-BDB9-0660414A1C0C}"/>
    <cellStyle name="Note 19 3 2" xfId="22328" xr:uid="{3BB92402-1AEE-4FAA-A1E9-56EDB9CDD82F}"/>
    <cellStyle name="Note 19 3 3" xfId="43647" xr:uid="{33F268BA-6DA8-4053-98C8-3F99E6EF45F9}"/>
    <cellStyle name="Note 19 3 4" xfId="18711" xr:uid="{220A84C0-A314-458A-B8E7-161204C314F7}"/>
    <cellStyle name="Note 19 4" xfId="4214" xr:uid="{9BB9E493-3796-4EED-9639-0C0377B7F5C3}"/>
    <cellStyle name="Note 19 4 2" xfId="44029" xr:uid="{088C30B7-787F-46C5-8834-F39F98B7A336}"/>
    <cellStyle name="Note 19 4 3" xfId="33617" xr:uid="{7429537B-A376-4707-912C-316ED40AD389}"/>
    <cellStyle name="Note 19 5" xfId="6281" xr:uid="{DAAAE07C-9668-42CC-91A6-AA52619FB0E9}"/>
    <cellStyle name="Note 19 5 2" xfId="45939" xr:uid="{313A7107-3D89-4E5A-AD8A-AAFD342D0500}"/>
    <cellStyle name="Note 19 5 3" xfId="33618" xr:uid="{D6FC6E89-464A-4BB7-8213-4214311E3BC9}"/>
    <cellStyle name="Note 19 6" xfId="9063" xr:uid="{30C1F9FF-BA0C-4D8B-AE62-98B56F3C505B}"/>
    <cellStyle name="Note 19 6 2" xfId="33619" xr:uid="{87087436-4AE0-4D68-AE12-CD101D892EE8}"/>
    <cellStyle name="Note 19 7" xfId="33620" xr:uid="{3D087073-53F4-4230-A82C-DAE48860D545}"/>
    <cellStyle name="Note 19 8" xfId="33621" xr:uid="{2F55C6B1-B1F7-42CC-A16E-F15A67840ED1}"/>
    <cellStyle name="Note 2" xfId="3224" xr:uid="{DBCF5843-0754-4D78-A839-B76BAFFD5D26}"/>
    <cellStyle name="Note 2 10" xfId="3225" xr:uid="{8864E4B6-392E-4E9B-A331-84D7443DB5FF}"/>
    <cellStyle name="Note 2 10 10" xfId="33622" xr:uid="{85C043F1-F20E-490B-819C-4F95BB681F8C}"/>
    <cellStyle name="Note 2 10 2" xfId="3226" xr:uid="{289E152C-06E5-499C-953E-1AD595B8E16C}"/>
    <cellStyle name="Note 2 10 2 2" xfId="5174" xr:uid="{9DDDDCA3-E356-4C97-BC31-8DFA10E14458}"/>
    <cellStyle name="Note 2 10 2 2 2" xfId="22332" xr:uid="{E304A44F-E21D-4A92-A577-433D0FFA6CB8}"/>
    <cellStyle name="Note 2 10 2 2 3" xfId="43650" xr:uid="{BC097EAA-816B-49CA-973D-F07C4C63524E}"/>
    <cellStyle name="Note 2 10 2 2 4" xfId="18715" xr:uid="{2B3AB855-C489-480A-A401-DBC77FB97084}"/>
    <cellStyle name="Note 2 10 2 3" xfId="4217" xr:uid="{ED7CB41F-113B-48FA-A5F7-27D065B6F3A3}"/>
    <cellStyle name="Note 2 10 2 3 2" xfId="44032" xr:uid="{D034FAE8-0FE0-4F68-AEF1-E9EC1FC32892}"/>
    <cellStyle name="Note 2 10 2 3 3" xfId="33623" xr:uid="{0754402B-F748-449D-9B7A-9F3495FC1FA5}"/>
    <cellStyle name="Note 2 10 2 4" xfId="6284" xr:uid="{B56EFBD1-A361-421B-9517-E861932D3C5B}"/>
    <cellStyle name="Note 2 10 2 4 2" xfId="45942" xr:uid="{381A8A28-62C6-48A5-9BAE-B8AB06650972}"/>
    <cellStyle name="Note 2 10 2 4 3" xfId="33624" xr:uid="{D74A8A29-6D23-47ED-B8D4-E6686D5BE35D}"/>
    <cellStyle name="Note 2 10 2 5" xfId="9067" xr:uid="{6F50814B-1D2E-44BD-B3E7-85E8112CF0AB}"/>
    <cellStyle name="Note 2 10 2 5 2" xfId="33625" xr:uid="{BE0EFBC4-B330-4DE4-AE6B-E5830B90E8E2}"/>
    <cellStyle name="Note 2 10 2 6" xfId="33626" xr:uid="{2EA7AC40-2B04-44CC-A6DF-13927EA709C9}"/>
    <cellStyle name="Note 2 10 2 7" xfId="33627" xr:uid="{F4772476-8ADA-4FBA-8D57-66A62FE6C74E}"/>
    <cellStyle name="Note 2 10 3" xfId="3227" xr:uid="{6BBA7E38-9D29-485F-B15E-5ECB98EE4971}"/>
    <cellStyle name="Note 2 10 3 2" xfId="5175" xr:uid="{18BADB8A-3B2F-436C-92D0-2C451ED72716}"/>
    <cellStyle name="Note 2 10 3 2 2" xfId="22333" xr:uid="{0E5A83EE-3B90-4ACA-A88A-CC300AF6D2C5}"/>
    <cellStyle name="Note 2 10 3 2 3" xfId="43651" xr:uid="{C034163F-05A0-4EBB-8995-A3CDC9BD5A61}"/>
    <cellStyle name="Note 2 10 3 2 4" xfId="18716" xr:uid="{9DD9FBDF-49B5-4D50-A95E-641CBE34ED56}"/>
    <cellStyle name="Note 2 10 3 3" xfId="4218" xr:uid="{6C814537-299A-4E6E-A6C0-DBC4E95E6930}"/>
    <cellStyle name="Note 2 10 3 3 2" xfId="44033" xr:uid="{3B1CD3D4-664D-46AF-A25A-B0C1150C81D6}"/>
    <cellStyle name="Note 2 10 3 3 3" xfId="33628" xr:uid="{CF62586D-649C-4FBF-A1CD-F29CBD60E359}"/>
    <cellStyle name="Note 2 10 3 4" xfId="6285" xr:uid="{85D14024-EDE0-49E5-8402-F6919E224C1D}"/>
    <cellStyle name="Note 2 10 3 4 2" xfId="45943" xr:uid="{46CDD833-C1D6-4DEE-B7CE-D1CFA6C85531}"/>
    <cellStyle name="Note 2 10 3 4 3" xfId="33629" xr:uid="{BE17B817-C6AF-4A15-A24A-5EE5CA300FAB}"/>
    <cellStyle name="Note 2 10 3 5" xfId="9068" xr:uid="{001FA1EF-DF15-4468-9725-D58951B087DB}"/>
    <cellStyle name="Note 2 10 3 5 2" xfId="33630" xr:uid="{F498B542-DBC4-4384-A998-3DD3AC5DFD12}"/>
    <cellStyle name="Note 2 10 3 6" xfId="33631" xr:uid="{95B8C563-373C-4F0B-AEEA-1A14BBA4DED6}"/>
    <cellStyle name="Note 2 10 3 7" xfId="33632" xr:uid="{B1239BFA-142C-4779-A14A-325192699F49}"/>
    <cellStyle name="Note 2 10 4" xfId="3228" xr:uid="{D2FF5504-E2BF-4AFA-A3AD-317ADFE910DD}"/>
    <cellStyle name="Note 2 10 4 2" xfId="5176" xr:uid="{774957A0-B627-4296-8AE8-AA423BFDBFFC}"/>
    <cellStyle name="Note 2 10 4 2 2" xfId="22334" xr:uid="{4FB48217-D482-4C96-ACCC-CB5CF4855610}"/>
    <cellStyle name="Note 2 10 4 2 3" xfId="43652" xr:uid="{44C3C696-EF1D-4D70-BB59-75459F5ABE8E}"/>
    <cellStyle name="Note 2 10 4 2 4" xfId="18717" xr:uid="{B061CAAA-89F1-4E99-9D66-C69D33138FB3}"/>
    <cellStyle name="Note 2 10 4 3" xfId="4219" xr:uid="{F5780796-AE3B-4FD4-A27F-3592F3AE1A6B}"/>
    <cellStyle name="Note 2 10 4 3 2" xfId="44034" xr:uid="{D02F7656-2B65-43A4-B3BB-BE91DA0F0975}"/>
    <cellStyle name="Note 2 10 4 3 3" xfId="33633" xr:uid="{89539C82-2310-4880-A598-548013EB4A4E}"/>
    <cellStyle name="Note 2 10 4 4" xfId="6286" xr:uid="{AE48E476-625F-4CE0-8B08-76AA7034D6B6}"/>
    <cellStyle name="Note 2 10 4 4 2" xfId="45944" xr:uid="{F49F1AC0-8751-4094-B678-3BCDEB13D9E4}"/>
    <cellStyle name="Note 2 10 4 4 3" xfId="33634" xr:uid="{BB42D35E-AB79-4A1E-9B95-529DECB0D4B8}"/>
    <cellStyle name="Note 2 10 4 5" xfId="9069" xr:uid="{5EFAEA37-637A-4E79-B4AF-2D1459774A4B}"/>
    <cellStyle name="Note 2 10 4 5 2" xfId="33635" xr:uid="{AB6E50CC-0BF2-4FDC-9E7B-49A87344E306}"/>
    <cellStyle name="Note 2 10 4 6" xfId="33636" xr:uid="{437A6809-63A7-47C3-8B38-44AB2B159595}"/>
    <cellStyle name="Note 2 10 4 7" xfId="33637" xr:uid="{99DB425D-6EFD-4C16-A257-F151EB7A32DC}"/>
    <cellStyle name="Note 2 10 5" xfId="5173" xr:uid="{D7264007-D686-4677-BED9-BFA18E4AFC82}"/>
    <cellStyle name="Note 2 10 5 2" xfId="22331" xr:uid="{50B3CFC0-0C46-4789-9D49-47C8B4D22C69}"/>
    <cellStyle name="Note 2 10 5 3" xfId="43649" xr:uid="{A9828E7B-E358-482E-9078-CD087457D97B}"/>
    <cellStyle name="Note 2 10 5 4" xfId="18714" xr:uid="{E8913269-F7BA-4496-A455-E905511ACB36}"/>
    <cellStyle name="Note 2 10 6" xfId="4216" xr:uid="{B3164335-7031-4CDC-B761-B5E6E29DA816}"/>
    <cellStyle name="Note 2 10 6 2" xfId="44031" xr:uid="{28A78683-E531-4CE4-865C-2452718B4B46}"/>
    <cellStyle name="Note 2 10 6 3" xfId="33638" xr:uid="{0FAB06FC-C791-4FD6-8038-BD37D22CCEA6}"/>
    <cellStyle name="Note 2 10 7" xfId="6283" xr:uid="{BBE03CCA-F99D-4AAB-99DC-0FCD26B1D7D5}"/>
    <cellStyle name="Note 2 10 7 2" xfId="45941" xr:uid="{09128F45-03FB-4B0B-ADCB-E9F4FB25C45E}"/>
    <cellStyle name="Note 2 10 7 3" xfId="33639" xr:uid="{BDE08A51-1CD1-4058-A00C-886CE8E03A5F}"/>
    <cellStyle name="Note 2 10 8" xfId="9066" xr:uid="{B99793F1-BD14-49D9-94C5-A7C2B5BC8971}"/>
    <cellStyle name="Note 2 10 8 2" xfId="33640" xr:uid="{D2F290BC-D3DF-4DBB-93B8-7E3DB03AC6D8}"/>
    <cellStyle name="Note 2 10 9" xfId="33641" xr:uid="{A4A93254-4449-4074-9F78-A2D05869CD9A}"/>
    <cellStyle name="Note 2 11" xfId="3229" xr:uid="{B78C2393-002D-4802-B72F-C5F6C9955CA8}"/>
    <cellStyle name="Note 2 11 10" xfId="33642" xr:uid="{E8FE0A58-7534-4F33-9ED6-F835734E72CB}"/>
    <cellStyle name="Note 2 11 2" xfId="3230" xr:uid="{A87A3083-AB9E-4EAB-9025-E0D20D402346}"/>
    <cellStyle name="Note 2 11 2 2" xfId="5178" xr:uid="{53045465-AC8E-4A0D-8259-D09995853225}"/>
    <cellStyle name="Note 2 11 2 2 2" xfId="22336" xr:uid="{7D0AB097-BCE0-4A12-980E-4DDFF3674F17}"/>
    <cellStyle name="Note 2 11 2 2 3" xfId="43654" xr:uid="{30496E01-F5C7-431E-A6BC-D5B4F2201079}"/>
    <cellStyle name="Note 2 11 2 2 4" xfId="18719" xr:uid="{2327877C-2086-4EA0-B5C4-AD982CEB1298}"/>
    <cellStyle name="Note 2 11 2 3" xfId="4221" xr:uid="{D19ADA6C-7CEF-4716-BB90-5277549E35A3}"/>
    <cellStyle name="Note 2 11 2 3 2" xfId="44036" xr:uid="{B353335E-EE6B-4931-BF8D-EE8D0913BD78}"/>
    <cellStyle name="Note 2 11 2 3 3" xfId="33643" xr:uid="{200DE7B7-6408-4FA7-8DCD-811562567D38}"/>
    <cellStyle name="Note 2 11 2 4" xfId="6288" xr:uid="{D3250C5F-71E3-4DF0-A87F-6B62DF46BD97}"/>
    <cellStyle name="Note 2 11 2 4 2" xfId="45946" xr:uid="{F31C6112-C360-428C-A023-27C813D36A04}"/>
    <cellStyle name="Note 2 11 2 4 3" xfId="33644" xr:uid="{FA973419-3385-4AE0-913F-EF6271775B41}"/>
    <cellStyle name="Note 2 11 2 5" xfId="9071" xr:uid="{83C9073D-A05E-4475-84C9-EEA9BDCE75CA}"/>
    <cellStyle name="Note 2 11 2 5 2" xfId="33645" xr:uid="{671CE205-B325-453F-A81A-B946DD43C6A0}"/>
    <cellStyle name="Note 2 11 2 6" xfId="33646" xr:uid="{E61D1054-4C82-40B7-B116-5679500CBF14}"/>
    <cellStyle name="Note 2 11 2 7" xfId="33647" xr:uid="{C0B7092F-C611-40C0-A460-6DAEC1FF86D4}"/>
    <cellStyle name="Note 2 11 3" xfId="3231" xr:uid="{9C6D448D-A84B-414E-AC59-21EB406F0CC0}"/>
    <cellStyle name="Note 2 11 3 2" xfId="5179" xr:uid="{718C5DCA-21F5-44FD-906E-BC9166647D6B}"/>
    <cellStyle name="Note 2 11 3 2 2" xfId="22337" xr:uid="{C44DA8E2-865A-4C19-9C48-1D084A24B987}"/>
    <cellStyle name="Note 2 11 3 2 3" xfId="43655" xr:uid="{B775109D-937A-4C2B-9B94-C2184F8889FD}"/>
    <cellStyle name="Note 2 11 3 2 4" xfId="18720" xr:uid="{EFFD5A39-B219-4800-A932-21B01CAF6B1F}"/>
    <cellStyle name="Note 2 11 3 3" xfId="4222" xr:uid="{0948D691-6152-48B0-B429-064EA8700BA6}"/>
    <cellStyle name="Note 2 11 3 3 2" xfId="44037" xr:uid="{C99E6C78-931A-4324-A82D-35217A56AAEC}"/>
    <cellStyle name="Note 2 11 3 3 3" xfId="33648" xr:uid="{E94FD8E3-2D1C-47B7-9B99-DBFA066A6799}"/>
    <cellStyle name="Note 2 11 3 4" xfId="6289" xr:uid="{FAA61C9A-E923-4565-B841-E93366AD402D}"/>
    <cellStyle name="Note 2 11 3 4 2" xfId="45947" xr:uid="{5E42A4BF-C8E2-4A5F-B909-66365364F379}"/>
    <cellStyle name="Note 2 11 3 4 3" xfId="33649" xr:uid="{5577A944-0878-443C-869D-156DD8FFC65F}"/>
    <cellStyle name="Note 2 11 3 5" xfId="9072" xr:uid="{7A872A63-A4BA-4216-844B-AA7DB98A9FDB}"/>
    <cellStyle name="Note 2 11 3 5 2" xfId="33650" xr:uid="{2E50DE19-07B6-42B1-A5CD-2A01CCD7A500}"/>
    <cellStyle name="Note 2 11 3 6" xfId="33651" xr:uid="{22251260-AA65-4FE5-90B5-E5DCBCC350CF}"/>
    <cellStyle name="Note 2 11 3 7" xfId="33652" xr:uid="{FC75D6FD-12CA-4129-88FA-0FF68EE00916}"/>
    <cellStyle name="Note 2 11 4" xfId="3232" xr:uid="{86D813B8-1ED2-470C-83F8-82CE44F900DD}"/>
    <cellStyle name="Note 2 11 4 2" xfId="5180" xr:uid="{87C6541A-6A23-4D59-A2D8-F5D1C7A80F12}"/>
    <cellStyle name="Note 2 11 4 2 2" xfId="22338" xr:uid="{BD7234A2-076C-4BDA-ACFE-992C53A11E59}"/>
    <cellStyle name="Note 2 11 4 2 3" xfId="43656" xr:uid="{A9D8A2FA-BB28-498F-8560-A15C7A5C04DA}"/>
    <cellStyle name="Note 2 11 4 2 4" xfId="18721" xr:uid="{DF69117F-271B-4A37-8E10-42FBFE4D2198}"/>
    <cellStyle name="Note 2 11 4 3" xfId="4223" xr:uid="{30D31217-3A75-4C06-93B5-7AFC8B9EBD75}"/>
    <cellStyle name="Note 2 11 4 3 2" xfId="44038" xr:uid="{1929C332-1A06-4F9C-9E94-177226E70E5C}"/>
    <cellStyle name="Note 2 11 4 3 3" xfId="33653" xr:uid="{3AD6A099-8623-486F-80B7-7DA433732111}"/>
    <cellStyle name="Note 2 11 4 4" xfId="6290" xr:uid="{C61FE931-F456-4305-BC49-65E31CF46065}"/>
    <cellStyle name="Note 2 11 4 4 2" xfId="45948" xr:uid="{DD824E9C-670D-4F35-ACF6-F22717005D22}"/>
    <cellStyle name="Note 2 11 4 4 3" xfId="33654" xr:uid="{D7317185-768F-424F-95CB-22D280C0D7FD}"/>
    <cellStyle name="Note 2 11 4 5" xfId="9073" xr:uid="{AC219700-4CE5-4E2A-9BEF-1409724818F5}"/>
    <cellStyle name="Note 2 11 4 5 2" xfId="33655" xr:uid="{A4F3C21C-1F8B-48F8-B678-77D74FF82412}"/>
    <cellStyle name="Note 2 11 4 6" xfId="33656" xr:uid="{1D9BFC85-73FD-49E7-BF52-8960C9C1A821}"/>
    <cellStyle name="Note 2 11 4 7" xfId="33657" xr:uid="{F48FB195-D40C-4F67-9C3A-7F36E1710DF3}"/>
    <cellStyle name="Note 2 11 5" xfId="5177" xr:uid="{0E90D1AE-EF1A-4CE7-85C4-CB68B0B83E8D}"/>
    <cellStyle name="Note 2 11 5 2" xfId="22335" xr:uid="{DA49F2FB-494F-4287-AD9B-95B2A81E6BA0}"/>
    <cellStyle name="Note 2 11 5 3" xfId="43653" xr:uid="{137AD6F1-1724-4E8F-8F82-47B19B6FBC1E}"/>
    <cellStyle name="Note 2 11 5 4" xfId="18718" xr:uid="{F9887145-728E-4FE3-AFAE-F4495AA529BB}"/>
    <cellStyle name="Note 2 11 6" xfId="4220" xr:uid="{074878AB-0127-4A7F-8C8A-8440F4E4B05C}"/>
    <cellStyle name="Note 2 11 6 2" xfId="44035" xr:uid="{3D9C6164-A4BC-4454-A060-2EA80911A588}"/>
    <cellStyle name="Note 2 11 6 3" xfId="33658" xr:uid="{4F273862-1E84-4880-8D1C-961AD0ED81DA}"/>
    <cellStyle name="Note 2 11 7" xfId="6287" xr:uid="{94F1F5A4-E0A1-4B42-B5F5-76F70097EB68}"/>
    <cellStyle name="Note 2 11 7 2" xfId="45945" xr:uid="{F8302241-F3E7-484C-9113-5CC668B9EF09}"/>
    <cellStyle name="Note 2 11 7 3" xfId="33659" xr:uid="{0F7B8053-3A48-4E1E-8E92-4104808CEF19}"/>
    <cellStyle name="Note 2 11 8" xfId="9070" xr:uid="{FA5EFBBE-1464-41C9-963E-4FBA410047B4}"/>
    <cellStyle name="Note 2 11 8 2" xfId="33660" xr:uid="{D74746DA-72A1-4A16-94EF-7A5ABF5D2BB1}"/>
    <cellStyle name="Note 2 11 9" xfId="33661" xr:uid="{3A09A1DB-32AA-49BC-AAB9-DEF9417F7D7E}"/>
    <cellStyle name="Note 2 12" xfId="3233" xr:uid="{32C4B516-8A25-4140-9363-37856A8B721E}"/>
    <cellStyle name="Note 2 12 10" xfId="33662" xr:uid="{BAED8603-6249-4020-9489-D109780D583B}"/>
    <cellStyle name="Note 2 12 2" xfId="3234" xr:uid="{611D9CC4-E6E6-47C8-A448-F3B5275B7B81}"/>
    <cellStyle name="Note 2 12 2 2" xfId="5182" xr:uid="{D164050D-0F7A-4594-85C2-E6AB05AB14C4}"/>
    <cellStyle name="Note 2 12 2 2 2" xfId="22340" xr:uid="{8A5D6B55-F3B5-4FDE-A414-164D95AB70DA}"/>
    <cellStyle name="Note 2 12 2 2 3" xfId="43658" xr:uid="{79CA6B5D-E945-4062-B209-402C2C828D47}"/>
    <cellStyle name="Note 2 12 2 2 4" xfId="18723" xr:uid="{C0AFE038-590D-499C-B832-9DBE0275264A}"/>
    <cellStyle name="Note 2 12 2 3" xfId="4225" xr:uid="{FA93F92F-A40D-4EE3-A7FC-C80B14DBC622}"/>
    <cellStyle name="Note 2 12 2 3 2" xfId="44040" xr:uid="{E49441CF-2D67-4CE5-A0FC-D4737F1A7CA8}"/>
    <cellStyle name="Note 2 12 2 3 3" xfId="33663" xr:uid="{E59B2849-AB12-4469-9E69-AD60213A5058}"/>
    <cellStyle name="Note 2 12 2 4" xfId="6292" xr:uid="{044A4081-05C5-4266-A454-52BA2CDE2574}"/>
    <cellStyle name="Note 2 12 2 4 2" xfId="45950" xr:uid="{A40DA4C5-7884-452A-8555-BEBECE61B9F2}"/>
    <cellStyle name="Note 2 12 2 4 3" xfId="33664" xr:uid="{B729013A-874A-4B7B-9DE1-84B327DF763E}"/>
    <cellStyle name="Note 2 12 2 5" xfId="9075" xr:uid="{C6D2B40A-3571-4133-A986-0F7CE0A6FA37}"/>
    <cellStyle name="Note 2 12 2 5 2" xfId="33665" xr:uid="{87756292-FFC1-4AEE-B2E2-78BCCB9C0F20}"/>
    <cellStyle name="Note 2 12 2 6" xfId="33666" xr:uid="{089F1504-C1E2-4439-8E2F-1937255F8BB8}"/>
    <cellStyle name="Note 2 12 2 7" xfId="33667" xr:uid="{8384EC1B-62C1-4ADA-9A14-EEB2325408A8}"/>
    <cellStyle name="Note 2 12 3" xfId="3235" xr:uid="{0537CD38-9098-4E7D-9855-3251972E6B2D}"/>
    <cellStyle name="Note 2 12 3 2" xfId="5183" xr:uid="{CDFD87B5-572F-422D-9ED1-5053C46F088F}"/>
    <cellStyle name="Note 2 12 3 2 2" xfId="22341" xr:uid="{A393CB7A-4404-45E4-AF72-2723BE54E752}"/>
    <cellStyle name="Note 2 12 3 2 3" xfId="43659" xr:uid="{30235607-8786-4390-9658-62072DFA98E8}"/>
    <cellStyle name="Note 2 12 3 2 4" xfId="18724" xr:uid="{BC85D014-2972-4745-ABC1-3D987180780A}"/>
    <cellStyle name="Note 2 12 3 3" xfId="4226" xr:uid="{F50CBFEA-640F-43B4-BFA9-06E4F695755E}"/>
    <cellStyle name="Note 2 12 3 3 2" xfId="44041" xr:uid="{2A36BBF1-5575-432B-96AD-1553DFABD570}"/>
    <cellStyle name="Note 2 12 3 3 3" xfId="33668" xr:uid="{327A616A-C0F4-4D35-B64C-FC798CFD6ED1}"/>
    <cellStyle name="Note 2 12 3 4" xfId="6293" xr:uid="{DB6E36CD-B109-4601-8290-AF379FFF9475}"/>
    <cellStyle name="Note 2 12 3 4 2" xfId="45951" xr:uid="{E39CF0E5-CBA3-4548-AEFC-45650FB5F2D1}"/>
    <cellStyle name="Note 2 12 3 4 3" xfId="33669" xr:uid="{C05901EB-D8DB-478E-AF50-648B89CB6443}"/>
    <cellStyle name="Note 2 12 3 5" xfId="9076" xr:uid="{7269EC53-B2E1-4B78-B536-8FC7C41C9F69}"/>
    <cellStyle name="Note 2 12 3 5 2" xfId="33670" xr:uid="{AB32A3BF-C837-4DA7-A863-536938BED093}"/>
    <cellStyle name="Note 2 12 3 6" xfId="33671" xr:uid="{9EC7A95E-9AA4-487F-A524-F292D5EFD206}"/>
    <cellStyle name="Note 2 12 3 7" xfId="33672" xr:uid="{D5B27616-E5A5-4781-95D9-E281EE170C92}"/>
    <cellStyle name="Note 2 12 4" xfId="3236" xr:uid="{69505A78-6834-4967-B19D-561A07655C24}"/>
    <cellStyle name="Note 2 12 4 2" xfId="5184" xr:uid="{AD8CDC53-ECC5-4CA5-9A7D-2F6CA476CEF0}"/>
    <cellStyle name="Note 2 12 4 2 2" xfId="22342" xr:uid="{5E269A2B-9A1F-4F62-B481-EB32219E75D6}"/>
    <cellStyle name="Note 2 12 4 2 3" xfId="43660" xr:uid="{EE6E5250-2066-46AD-918C-B12FE1C332E3}"/>
    <cellStyle name="Note 2 12 4 2 4" xfId="18725" xr:uid="{D16E8DBF-F8C2-4FF4-9FB4-060319CFCC2D}"/>
    <cellStyle name="Note 2 12 4 3" xfId="4227" xr:uid="{474F3302-6FE8-49B1-85C2-08BBCF0C5AE9}"/>
    <cellStyle name="Note 2 12 4 3 2" xfId="44042" xr:uid="{29554F6B-F10E-4933-B09F-067A611B200F}"/>
    <cellStyle name="Note 2 12 4 3 3" xfId="33673" xr:uid="{1A54E641-63B1-4225-9529-1D932ED2B90C}"/>
    <cellStyle name="Note 2 12 4 4" xfId="6294" xr:uid="{14BF47E6-84E4-4953-8EC0-556AE54C880C}"/>
    <cellStyle name="Note 2 12 4 4 2" xfId="45952" xr:uid="{77F83B40-D1F6-4E36-B0CD-19D19F412C40}"/>
    <cellStyle name="Note 2 12 4 4 3" xfId="33674" xr:uid="{9C1CB6DB-736F-4564-B77F-80CE1C3BC3F6}"/>
    <cellStyle name="Note 2 12 4 5" xfId="9077" xr:uid="{AAAF2B77-6199-41F5-8E19-8C4CA37B332B}"/>
    <cellStyle name="Note 2 12 4 5 2" xfId="33675" xr:uid="{1DF38D46-1D74-40FB-9690-5944AB056A4E}"/>
    <cellStyle name="Note 2 12 4 6" xfId="33676" xr:uid="{FFB3B467-1A7B-4C58-BA18-17A18A28215B}"/>
    <cellStyle name="Note 2 12 4 7" xfId="33677" xr:uid="{23EA272A-2B0A-488C-9CA0-4BBCDA49088D}"/>
    <cellStyle name="Note 2 12 5" xfId="5181" xr:uid="{3844C189-FE3C-4F4F-A59E-553BDFACDBDD}"/>
    <cellStyle name="Note 2 12 5 2" xfId="22339" xr:uid="{81AD8DBB-EA16-48C8-B5E1-CF77A12F16FE}"/>
    <cellStyle name="Note 2 12 5 3" xfId="43657" xr:uid="{DC83C0C6-E962-48AB-89A8-970A762FC4C9}"/>
    <cellStyle name="Note 2 12 5 4" xfId="18722" xr:uid="{ECE21C8C-DF19-4D71-ABC5-4F39B3C22305}"/>
    <cellStyle name="Note 2 12 6" xfId="4224" xr:uid="{F7F51523-E121-4B50-9A3E-2ADA5D9ECA0C}"/>
    <cellStyle name="Note 2 12 6 2" xfId="44039" xr:uid="{0C313EAC-47FD-4CA2-883E-7F11A4096C00}"/>
    <cellStyle name="Note 2 12 6 3" xfId="33678" xr:uid="{45FAEB37-2F68-45A9-A328-0B8E14CFDD98}"/>
    <cellStyle name="Note 2 12 7" xfId="6291" xr:uid="{5EB4FD12-60F0-4FD7-8D71-0132A1FC4981}"/>
    <cellStyle name="Note 2 12 7 2" xfId="45949" xr:uid="{FA33F8EA-2548-46BD-9C68-036B67105C94}"/>
    <cellStyle name="Note 2 12 7 3" xfId="33679" xr:uid="{3F190E69-8306-49E4-B5FC-A431FD3BDC8B}"/>
    <cellStyle name="Note 2 12 8" xfId="9074" xr:uid="{51DC248E-8637-4219-B667-3C9D5130A1E5}"/>
    <cellStyle name="Note 2 12 8 2" xfId="33680" xr:uid="{8921627A-2FC6-4360-AA8F-D57958337D5D}"/>
    <cellStyle name="Note 2 12 9" xfId="33681" xr:uid="{29C05D81-F7CF-4785-923D-E3ED13453F78}"/>
    <cellStyle name="Note 2 13" xfId="3237" xr:uid="{F49D3E7D-1E66-4822-B034-034C60546CD4}"/>
    <cellStyle name="Note 2 13 10" xfId="33682" xr:uid="{902F699D-E7A7-43A9-97FF-C7597559184F}"/>
    <cellStyle name="Note 2 13 2" xfId="3238" xr:uid="{2F2E3143-A1E0-4FB4-855E-C54357E63981}"/>
    <cellStyle name="Note 2 13 2 2" xfId="5186" xr:uid="{BF5F1D5C-2879-44A9-80E7-A8AFA04E47A3}"/>
    <cellStyle name="Note 2 13 2 2 2" xfId="22344" xr:uid="{C5E4618B-88AC-4595-B4E6-D4DEBF48B045}"/>
    <cellStyle name="Note 2 13 2 2 3" xfId="43662" xr:uid="{D490D23B-C1EC-427A-B62E-BCC41B5610F7}"/>
    <cellStyle name="Note 2 13 2 2 4" xfId="18727" xr:uid="{4FB619A5-FCBE-44F8-82E2-D4BAD0417012}"/>
    <cellStyle name="Note 2 13 2 3" xfId="4229" xr:uid="{D636F17B-0C76-4BEF-B31B-77853546B6A5}"/>
    <cellStyle name="Note 2 13 2 3 2" xfId="44044" xr:uid="{7480BD7E-A95C-4F6E-BE65-F55D5D724E38}"/>
    <cellStyle name="Note 2 13 2 3 3" xfId="33683" xr:uid="{CF954B56-D77B-4216-A82A-A978FE3028FF}"/>
    <cellStyle name="Note 2 13 2 4" xfId="6296" xr:uid="{8EF14D67-3CC6-4571-B687-6A6D9536817D}"/>
    <cellStyle name="Note 2 13 2 4 2" xfId="45954" xr:uid="{3A1257EF-6FEC-432A-B504-C638E243941C}"/>
    <cellStyle name="Note 2 13 2 4 3" xfId="33684" xr:uid="{4C1B7624-3015-4222-B1F2-15336E1A1FC8}"/>
    <cellStyle name="Note 2 13 2 5" xfId="9079" xr:uid="{1E1B6596-CD50-4D57-8A76-3BA08DB55F5C}"/>
    <cellStyle name="Note 2 13 2 5 2" xfId="33685" xr:uid="{559A123C-0D24-4BCC-A4C6-F0FF1E49F8D0}"/>
    <cellStyle name="Note 2 13 2 6" xfId="33686" xr:uid="{09EF2F0C-0471-4875-B1C1-5BBCAA8F052B}"/>
    <cellStyle name="Note 2 13 2 7" xfId="33687" xr:uid="{862E92D7-0723-451A-AEA5-3CBF91AE756F}"/>
    <cellStyle name="Note 2 13 3" xfId="3239" xr:uid="{4AED5CAA-4FAB-4F68-9BF0-B016892259D0}"/>
    <cellStyle name="Note 2 13 3 2" xfId="5187" xr:uid="{949DCEC7-78D2-42F5-B58C-DD899E2F37BC}"/>
    <cellStyle name="Note 2 13 3 2 2" xfId="22345" xr:uid="{09E2F9C7-03EE-4517-9E26-B2761741162A}"/>
    <cellStyle name="Note 2 13 3 2 3" xfId="43663" xr:uid="{FCFCE876-6565-4053-9CD5-CE65EFE491FA}"/>
    <cellStyle name="Note 2 13 3 2 4" xfId="18728" xr:uid="{7D4276F7-1186-4B4F-B169-1CDE919C0069}"/>
    <cellStyle name="Note 2 13 3 3" xfId="4230" xr:uid="{257D4DF1-37ED-4614-B2CA-731C9D64251C}"/>
    <cellStyle name="Note 2 13 3 3 2" xfId="44045" xr:uid="{F4729F54-B957-47E8-9B4C-273602416D9C}"/>
    <cellStyle name="Note 2 13 3 3 3" xfId="33688" xr:uid="{086826C6-C8EA-4558-B8C1-A2CB6759E491}"/>
    <cellStyle name="Note 2 13 3 4" xfId="6297" xr:uid="{6DDD6854-FB64-4268-9182-99F68E62BCDA}"/>
    <cellStyle name="Note 2 13 3 4 2" xfId="45955" xr:uid="{26CC8F7B-769A-4E4A-AAC8-47C866221550}"/>
    <cellStyle name="Note 2 13 3 4 3" xfId="33689" xr:uid="{2D42E288-9115-4E9A-A621-273310B2A0C5}"/>
    <cellStyle name="Note 2 13 3 5" xfId="9080" xr:uid="{21819C5E-2659-455E-A16D-E17D98B68ED9}"/>
    <cellStyle name="Note 2 13 3 5 2" xfId="33690" xr:uid="{2FFFAC7B-247D-4B4F-816F-A96D7BBA29BD}"/>
    <cellStyle name="Note 2 13 3 6" xfId="33691" xr:uid="{86130967-6B20-494B-B796-3B2586430E39}"/>
    <cellStyle name="Note 2 13 3 7" xfId="33692" xr:uid="{56A07DF7-F4F5-4438-9D56-05190EF37845}"/>
    <cellStyle name="Note 2 13 4" xfId="3240" xr:uid="{3B61D4E1-96E6-4A28-BF30-472CB2D4C57A}"/>
    <cellStyle name="Note 2 13 4 2" xfId="5188" xr:uid="{BDA179D8-0D15-4F06-BA85-842D94918AC6}"/>
    <cellStyle name="Note 2 13 4 2 2" xfId="22346" xr:uid="{D09E179A-0B80-4946-95BF-51252E24E5BC}"/>
    <cellStyle name="Note 2 13 4 2 3" xfId="43664" xr:uid="{C0143DDC-E94C-480A-9BAE-CA614A9466F6}"/>
    <cellStyle name="Note 2 13 4 2 4" xfId="18729" xr:uid="{30829184-B911-422A-A902-A91AAC79A17C}"/>
    <cellStyle name="Note 2 13 4 3" xfId="4231" xr:uid="{15453BD8-420B-473E-91EE-98A0F56345AE}"/>
    <cellStyle name="Note 2 13 4 3 2" xfId="44046" xr:uid="{AB3AE7D4-E49C-43CA-907A-A15D7E8270E6}"/>
    <cellStyle name="Note 2 13 4 3 3" xfId="33693" xr:uid="{2FBF7CD6-BFEE-4DE7-8D5F-6B6B8DA36F8A}"/>
    <cellStyle name="Note 2 13 4 4" xfId="6298" xr:uid="{48A572F0-8AA4-457A-A57D-8DBF940CA57A}"/>
    <cellStyle name="Note 2 13 4 4 2" xfId="45956" xr:uid="{B1F2AB27-2E4E-4324-9ADD-F5D54423D07A}"/>
    <cellStyle name="Note 2 13 4 4 3" xfId="33694" xr:uid="{B03C6395-558C-41BA-A0B9-7D9CA714E0E3}"/>
    <cellStyle name="Note 2 13 4 5" xfId="9081" xr:uid="{2D4D1A6F-0805-4843-9CB0-5BE951F2091E}"/>
    <cellStyle name="Note 2 13 4 5 2" xfId="33695" xr:uid="{F39A569C-38F2-4C18-83F7-BB3576F4A3E9}"/>
    <cellStyle name="Note 2 13 4 6" xfId="33696" xr:uid="{C3125FFE-6167-4320-9E5A-E63B1EB9B606}"/>
    <cellStyle name="Note 2 13 4 7" xfId="33697" xr:uid="{01C51EF0-2EF2-43AC-865A-0792E192F363}"/>
    <cellStyle name="Note 2 13 5" xfId="5185" xr:uid="{9A9CFBFD-E013-4ED9-8758-B900F9221826}"/>
    <cellStyle name="Note 2 13 5 2" xfId="22343" xr:uid="{FBE4E224-1032-442B-B2C7-21BD19C4AD12}"/>
    <cellStyle name="Note 2 13 5 3" xfId="43661" xr:uid="{1F444B6A-41D6-4D52-B9E7-DB3972D3E37F}"/>
    <cellStyle name="Note 2 13 5 4" xfId="18726" xr:uid="{DD8DA0C4-3AC7-48F2-9075-F7135274F180}"/>
    <cellStyle name="Note 2 13 6" xfId="4228" xr:uid="{A9522AA0-02F6-4620-853A-0B6D511EF051}"/>
    <cellStyle name="Note 2 13 6 2" xfId="44043" xr:uid="{60B56FBA-1E66-422A-82C4-A990992AE470}"/>
    <cellStyle name="Note 2 13 6 3" xfId="33698" xr:uid="{3E99B090-D8D2-4057-ADAE-ACD25997A7D4}"/>
    <cellStyle name="Note 2 13 7" xfId="6295" xr:uid="{96DCCA7A-4AD4-4525-B0A9-DA500438FFDD}"/>
    <cellStyle name="Note 2 13 7 2" xfId="45953" xr:uid="{1A86C15D-68CE-4E74-A958-416F0E75C5DC}"/>
    <cellStyle name="Note 2 13 7 3" xfId="33699" xr:uid="{EBA58008-3BB9-4A77-8989-241AEE3D9E53}"/>
    <cellStyle name="Note 2 13 8" xfId="9078" xr:uid="{DBED2765-DC71-40EA-979F-F2D916B4F970}"/>
    <cellStyle name="Note 2 13 8 2" xfId="33700" xr:uid="{D2D3B23E-183E-4666-9298-0D2F5936EB2E}"/>
    <cellStyle name="Note 2 13 9" xfId="33701" xr:uid="{905FC190-46AE-4C66-B8CF-87C126414AC4}"/>
    <cellStyle name="Note 2 14" xfId="3241" xr:uid="{108D613D-9DF9-48BD-84DF-40E2D840CBA3}"/>
    <cellStyle name="Note 2 14 10" xfId="33702" xr:uid="{8AD5E364-72AB-4C34-A245-3D81AE1B7C10}"/>
    <cellStyle name="Note 2 14 2" xfId="3242" xr:uid="{4F0DBDEF-0D1F-48A2-975D-CCEF9F8E8A73}"/>
    <cellStyle name="Note 2 14 2 2" xfId="5190" xr:uid="{288409D3-E540-41C7-9EC4-F1A918C6630A}"/>
    <cellStyle name="Note 2 14 2 2 2" xfId="22348" xr:uid="{9F0B4172-DA3C-46DC-B9E4-F02EC1E2136E}"/>
    <cellStyle name="Note 2 14 2 2 3" xfId="43666" xr:uid="{A58EFE41-C53D-431C-9C85-52B28FE18E9B}"/>
    <cellStyle name="Note 2 14 2 2 4" xfId="18731" xr:uid="{BD28F524-D87F-499A-88B3-627425AE3804}"/>
    <cellStyle name="Note 2 14 2 3" xfId="4233" xr:uid="{D231E4A7-36DA-4175-98E4-8BBDC34698B4}"/>
    <cellStyle name="Note 2 14 2 3 2" xfId="44048" xr:uid="{581F9DA2-B9B6-481B-9213-6E148AC509DF}"/>
    <cellStyle name="Note 2 14 2 3 3" xfId="33703" xr:uid="{E5B5BB45-78B0-413F-934F-316737170CA2}"/>
    <cellStyle name="Note 2 14 2 4" xfId="6300" xr:uid="{436BC4B7-BF8B-4DAC-9FEC-DE0A2CADA03F}"/>
    <cellStyle name="Note 2 14 2 4 2" xfId="45958" xr:uid="{8FF87209-EFDB-4A40-9512-A08EE4931EF4}"/>
    <cellStyle name="Note 2 14 2 4 3" xfId="33704" xr:uid="{522A2AF3-F6A0-4063-8521-792ECD516874}"/>
    <cellStyle name="Note 2 14 2 5" xfId="9083" xr:uid="{72AD412B-099D-4651-B9EA-C6FBE51EBC2F}"/>
    <cellStyle name="Note 2 14 2 5 2" xfId="33705" xr:uid="{D0AF47D0-0167-459F-84CA-A910C23D6173}"/>
    <cellStyle name="Note 2 14 2 6" xfId="33706" xr:uid="{82CA0FA0-CF12-4177-8CE4-FE90889F131B}"/>
    <cellStyle name="Note 2 14 2 7" xfId="33707" xr:uid="{6C6E5119-8F60-4A15-8EA4-6259D88E6817}"/>
    <cellStyle name="Note 2 14 3" xfId="3243" xr:uid="{6C4CAC05-C235-4B9D-BA0D-0E654A039EC8}"/>
    <cellStyle name="Note 2 14 3 2" xfId="5191" xr:uid="{B50CF3DA-EC91-4F84-9010-A67D6EF6D7E1}"/>
    <cellStyle name="Note 2 14 3 2 2" xfId="22349" xr:uid="{3A791787-769C-45A9-B6C6-D6BDE2C939CE}"/>
    <cellStyle name="Note 2 14 3 2 3" xfId="43667" xr:uid="{B228C36F-9A12-4E6A-A50F-14966F0170C0}"/>
    <cellStyle name="Note 2 14 3 2 4" xfId="18732" xr:uid="{5DD48304-BECB-4711-A61D-D7BAA73ADC28}"/>
    <cellStyle name="Note 2 14 3 3" xfId="4234" xr:uid="{F35A3A77-7AB5-4BA2-AEF1-53A8D5AE2CF8}"/>
    <cellStyle name="Note 2 14 3 3 2" xfId="44049" xr:uid="{25FCDC4A-6A4B-41E5-BDFA-6B92A5DE49F2}"/>
    <cellStyle name="Note 2 14 3 3 3" xfId="33708" xr:uid="{5B0E8310-17F9-42D2-A31B-EE664A6EE07C}"/>
    <cellStyle name="Note 2 14 3 4" xfId="6301" xr:uid="{46B519C0-7CA2-4045-9FC4-74BC65749855}"/>
    <cellStyle name="Note 2 14 3 4 2" xfId="45959" xr:uid="{EF99087F-5C70-41FF-9AC4-5AE584CAA17F}"/>
    <cellStyle name="Note 2 14 3 4 3" xfId="33709" xr:uid="{8D785C5C-AA1C-4969-B591-48209189D1CD}"/>
    <cellStyle name="Note 2 14 3 5" xfId="9084" xr:uid="{F37600AA-0DBE-4476-A587-CC2023792AA2}"/>
    <cellStyle name="Note 2 14 3 5 2" xfId="33710" xr:uid="{43E94A5C-E857-4123-A160-AF705AA640F9}"/>
    <cellStyle name="Note 2 14 3 6" xfId="33711" xr:uid="{3B960F3C-BE8D-4F9E-9A3E-9E83B05C3AC1}"/>
    <cellStyle name="Note 2 14 3 7" xfId="33712" xr:uid="{7E55ABDC-FD47-44F1-A434-4E1C7A24EAAE}"/>
    <cellStyle name="Note 2 14 4" xfId="3244" xr:uid="{AF8A59D2-4AE9-47DF-ACA4-9363EA777FD4}"/>
    <cellStyle name="Note 2 14 4 2" xfId="5192" xr:uid="{E7E488EC-F4A2-409D-8D8A-D2EB8CA3410D}"/>
    <cellStyle name="Note 2 14 4 2 2" xfId="22350" xr:uid="{D063250B-37C4-446D-A881-12A0668E2BD8}"/>
    <cellStyle name="Note 2 14 4 2 3" xfId="43668" xr:uid="{37678E3F-D26E-4D98-9592-1FBC1E9B22AB}"/>
    <cellStyle name="Note 2 14 4 2 4" xfId="18733" xr:uid="{407F8337-191B-4D20-BA79-A62841ECDE03}"/>
    <cellStyle name="Note 2 14 4 3" xfId="4235" xr:uid="{6E9E4659-1B4B-40D8-BF60-9084582DE948}"/>
    <cellStyle name="Note 2 14 4 3 2" xfId="44050" xr:uid="{3ABE767C-50CD-4983-8BCE-FC015EF99F75}"/>
    <cellStyle name="Note 2 14 4 3 3" xfId="33713" xr:uid="{CCADC40B-BF78-4AC2-8CCC-865622E06876}"/>
    <cellStyle name="Note 2 14 4 4" xfId="6302" xr:uid="{14CA984F-BC10-4F6B-9FAA-512AE3437244}"/>
    <cellStyle name="Note 2 14 4 4 2" xfId="45960" xr:uid="{FA3C670E-49BB-439D-9BE2-AA22CEA83C97}"/>
    <cellStyle name="Note 2 14 4 4 3" xfId="33714" xr:uid="{041DC346-1A70-42B0-A10F-91C9244CA25F}"/>
    <cellStyle name="Note 2 14 4 5" xfId="9085" xr:uid="{C34E4EA0-791F-4912-BCDB-9B7371F71F57}"/>
    <cellStyle name="Note 2 14 4 5 2" xfId="33715" xr:uid="{34B3DA6D-1E8D-413A-B563-A030C2AD7F0C}"/>
    <cellStyle name="Note 2 14 4 6" xfId="33716" xr:uid="{2F2B9572-47A1-4D82-B258-D8B217A62527}"/>
    <cellStyle name="Note 2 14 4 7" xfId="33717" xr:uid="{CBB8F31C-E3B6-48C5-AAA9-E8CF2168FDC5}"/>
    <cellStyle name="Note 2 14 5" xfId="5189" xr:uid="{B4347163-CA7D-429A-82E6-ECFBBDF7FDB4}"/>
    <cellStyle name="Note 2 14 5 2" xfId="22347" xr:uid="{4299E773-CAAE-4F02-A06B-562E634CFFF5}"/>
    <cellStyle name="Note 2 14 5 3" xfId="43665" xr:uid="{4E7CCA90-A7FB-494A-B106-08AD6703E496}"/>
    <cellStyle name="Note 2 14 5 4" xfId="18730" xr:uid="{CB7B3C44-1DFD-4728-865D-D44FA6FF10CD}"/>
    <cellStyle name="Note 2 14 6" xfId="4232" xr:uid="{E8D89D96-3E9A-4E35-93BB-9F6EB70A6266}"/>
    <cellStyle name="Note 2 14 6 2" xfId="44047" xr:uid="{0C6034BA-41FE-45F7-A4B3-C1C5DB6C35E0}"/>
    <cellStyle name="Note 2 14 6 3" xfId="33718" xr:uid="{EFFC5A41-ABE5-4ADF-836B-2E8C615284B2}"/>
    <cellStyle name="Note 2 14 7" xfId="6299" xr:uid="{3CA9FF46-FB14-4309-887A-4BAEE66FA3B5}"/>
    <cellStyle name="Note 2 14 7 2" xfId="45957" xr:uid="{94B30A9C-5460-4A62-BDE5-FD3D9E57FAB7}"/>
    <cellStyle name="Note 2 14 7 3" xfId="33719" xr:uid="{9824B051-9B87-4C63-8AC1-EEEC713156A9}"/>
    <cellStyle name="Note 2 14 8" xfId="9082" xr:uid="{6DD44945-F959-4127-B894-53A333AB082C}"/>
    <cellStyle name="Note 2 14 8 2" xfId="33720" xr:uid="{13BAD751-D532-45DB-AAAF-208422B666BA}"/>
    <cellStyle name="Note 2 14 9" xfId="33721" xr:uid="{D20BF0F0-1763-4661-8B14-B9D0F81D81F6}"/>
    <cellStyle name="Note 2 15" xfId="3245" xr:uid="{CFFDCB4D-EF74-48C9-AB03-C8A9A1FC4598}"/>
    <cellStyle name="Note 2 15 10" xfId="33722" xr:uid="{463EBB37-E574-4E38-AA23-862400AA45A8}"/>
    <cellStyle name="Note 2 15 2" xfId="3246" xr:uid="{5161145D-04A6-4F49-93A3-0D1DECB58271}"/>
    <cellStyle name="Note 2 15 2 2" xfId="5194" xr:uid="{CA98BCF3-217D-4D45-A624-E91060E8416B}"/>
    <cellStyle name="Note 2 15 2 2 2" xfId="22352" xr:uid="{77B4B174-7D01-4462-8F0C-8817A19F5145}"/>
    <cellStyle name="Note 2 15 2 2 3" xfId="43670" xr:uid="{EFFB0C04-ECAE-420C-898D-EB168604E3C4}"/>
    <cellStyle name="Note 2 15 2 2 4" xfId="18735" xr:uid="{1811CA66-2485-49FD-BE22-B599FD30AB91}"/>
    <cellStyle name="Note 2 15 2 3" xfId="4237" xr:uid="{7E8E1226-D382-41D2-8B94-D2B86181FE53}"/>
    <cellStyle name="Note 2 15 2 3 2" xfId="44052" xr:uid="{C993E1A4-D71A-4ECA-A683-D7942D5D8F68}"/>
    <cellStyle name="Note 2 15 2 3 3" xfId="33723" xr:uid="{598A0D08-D46D-40E6-9DC2-11F8D5F0E38B}"/>
    <cellStyle name="Note 2 15 2 4" xfId="6304" xr:uid="{8BDB6862-432A-4D5B-8A25-E056A20B6140}"/>
    <cellStyle name="Note 2 15 2 4 2" xfId="45962" xr:uid="{43E6B6F5-33F5-4648-BECD-6EA437A6B486}"/>
    <cellStyle name="Note 2 15 2 4 3" xfId="33724" xr:uid="{D4640951-16F0-48AB-A770-D859EF344F16}"/>
    <cellStyle name="Note 2 15 2 5" xfId="9087" xr:uid="{E0A71840-EF59-46AC-985A-0091A80FF54E}"/>
    <cellStyle name="Note 2 15 2 5 2" xfId="33725" xr:uid="{8D804B5C-4A60-4771-B1CC-8982073AE789}"/>
    <cellStyle name="Note 2 15 2 6" xfId="33726" xr:uid="{87040AB4-AE2F-4AF5-A20D-A46AB47D7B5B}"/>
    <cellStyle name="Note 2 15 2 7" xfId="33727" xr:uid="{20ED6B79-0E67-4969-8FAE-1372355C49A2}"/>
    <cellStyle name="Note 2 15 3" xfId="3247" xr:uid="{FED44D5D-91E0-4F10-9989-637C32C85DE8}"/>
    <cellStyle name="Note 2 15 3 2" xfId="5195" xr:uid="{11544B9E-D432-43F2-9554-D25BC7F73C22}"/>
    <cellStyle name="Note 2 15 3 2 2" xfId="22353" xr:uid="{E76D4437-DF74-403F-AC42-7D7FA66EDAE6}"/>
    <cellStyle name="Note 2 15 3 2 3" xfId="43671" xr:uid="{FCA6B88B-41AB-4824-B57F-B8DCB1E09238}"/>
    <cellStyle name="Note 2 15 3 2 4" xfId="18736" xr:uid="{C2F4D711-E2A8-4001-AC9D-BB26B2265998}"/>
    <cellStyle name="Note 2 15 3 3" xfId="4238" xr:uid="{36154B75-1193-4E6B-9E2D-754F3732BCC9}"/>
    <cellStyle name="Note 2 15 3 3 2" xfId="44053" xr:uid="{1E97A8BF-BD97-4FBF-8AE5-8A58E8B4DC86}"/>
    <cellStyle name="Note 2 15 3 3 3" xfId="33728" xr:uid="{3BA13EBB-4085-4509-BD6F-D899403609BE}"/>
    <cellStyle name="Note 2 15 3 4" xfId="6305" xr:uid="{A8AAC820-2051-48EF-8597-E4F61AAD66EC}"/>
    <cellStyle name="Note 2 15 3 4 2" xfId="45963" xr:uid="{43B15B05-27BF-47BD-9A5B-3F8AE841E897}"/>
    <cellStyle name="Note 2 15 3 4 3" xfId="33729" xr:uid="{6ED1C15D-4565-4992-BE1F-9B393A073B22}"/>
    <cellStyle name="Note 2 15 3 5" xfId="9088" xr:uid="{C503BFFC-8A10-4165-8B40-32F749D86BC0}"/>
    <cellStyle name="Note 2 15 3 5 2" xfId="33730" xr:uid="{AE6AAB04-11E4-4B85-81AB-04DACB7A3E10}"/>
    <cellStyle name="Note 2 15 3 6" xfId="33731" xr:uid="{962E6F42-9E36-4847-A2E1-72151787E559}"/>
    <cellStyle name="Note 2 15 3 7" xfId="33732" xr:uid="{D37EFFF6-E527-48C7-9D8B-D7CB31E0D03D}"/>
    <cellStyle name="Note 2 15 4" xfId="3248" xr:uid="{C95454D1-403A-4768-B430-99539B810C5A}"/>
    <cellStyle name="Note 2 15 4 2" xfId="5196" xr:uid="{A642DEAA-F65A-441A-9B25-CC1B3A3ABA1B}"/>
    <cellStyle name="Note 2 15 4 2 2" xfId="22354" xr:uid="{917436B9-2F90-43D8-9C5D-D38B4E1FE853}"/>
    <cellStyle name="Note 2 15 4 2 3" xfId="43672" xr:uid="{0F55C218-1E92-433D-B066-87A5621CAF1A}"/>
    <cellStyle name="Note 2 15 4 2 4" xfId="18737" xr:uid="{8D7ABB24-5ABB-4778-8901-3FF6B7E99C5E}"/>
    <cellStyle name="Note 2 15 4 3" xfId="4239" xr:uid="{D1A4CB94-2B45-42A6-B08B-3A7F8506A872}"/>
    <cellStyle name="Note 2 15 4 3 2" xfId="44054" xr:uid="{DA7B3B1D-6C0A-4A8C-A823-F822CC061DEB}"/>
    <cellStyle name="Note 2 15 4 3 3" xfId="33733" xr:uid="{0352E702-DB07-4E0F-B07D-25A05A608EA9}"/>
    <cellStyle name="Note 2 15 4 4" xfId="6306" xr:uid="{2260EBF6-27F8-4E1A-9CCB-4E3B70CA3B8B}"/>
    <cellStyle name="Note 2 15 4 4 2" xfId="45964" xr:uid="{587030E7-D7A0-41A1-9ECE-6B6070D3679E}"/>
    <cellStyle name="Note 2 15 4 4 3" xfId="33734" xr:uid="{D936C51F-7A33-4BEA-830F-852C7768EDE5}"/>
    <cellStyle name="Note 2 15 4 5" xfId="9089" xr:uid="{8CD7BF68-A8B5-4F7F-9E4D-911BEE76A448}"/>
    <cellStyle name="Note 2 15 4 5 2" xfId="33735" xr:uid="{B1C3A46B-C65A-455A-B22A-69034F04029C}"/>
    <cellStyle name="Note 2 15 4 6" xfId="33736" xr:uid="{D08EB954-723A-4DA3-8990-D9BD3CEEFD5B}"/>
    <cellStyle name="Note 2 15 4 7" xfId="33737" xr:uid="{94DD5AD8-E40F-4776-8CE5-44AEB500E1A7}"/>
    <cellStyle name="Note 2 15 5" xfId="5193" xr:uid="{460F9F4A-F602-412E-B526-760349215AAB}"/>
    <cellStyle name="Note 2 15 5 2" xfId="22351" xr:uid="{8CD352CA-E0C7-4048-BC16-97A199A83141}"/>
    <cellStyle name="Note 2 15 5 3" xfId="43669" xr:uid="{7E072DE5-67BA-45E7-8BA8-8F91EAD94028}"/>
    <cellStyle name="Note 2 15 5 4" xfId="18734" xr:uid="{8F96781A-8CA0-4000-8AAA-CA23EF2A9BDC}"/>
    <cellStyle name="Note 2 15 6" xfId="4236" xr:uid="{80CE84BB-F2A6-48AE-A994-833454CE96F4}"/>
    <cellStyle name="Note 2 15 6 2" xfId="44051" xr:uid="{9A923C40-72CB-4D2F-80A5-4A75C3AF2DE9}"/>
    <cellStyle name="Note 2 15 6 3" xfId="33738" xr:uid="{C9514330-18B2-4E4A-BD12-203CC94DDAAF}"/>
    <cellStyle name="Note 2 15 7" xfId="6303" xr:uid="{016886E1-FF29-4ED2-9575-BF0C32B2E430}"/>
    <cellStyle name="Note 2 15 7 2" xfId="45961" xr:uid="{091B32CB-9483-4AED-A719-699BEEF29B59}"/>
    <cellStyle name="Note 2 15 7 3" xfId="33739" xr:uid="{0A59C532-FF5B-4EEA-B869-F583E7CB028E}"/>
    <cellStyle name="Note 2 15 8" xfId="9086" xr:uid="{03474754-114C-40EC-AD17-AC6640611B77}"/>
    <cellStyle name="Note 2 15 8 2" xfId="33740" xr:uid="{070E11F2-0FE2-4B02-BDCD-A96875BF2482}"/>
    <cellStyle name="Note 2 15 9" xfId="33741" xr:uid="{F367D9C9-C543-43FE-BEBB-1FC85776D830}"/>
    <cellStyle name="Note 2 16" xfId="3249" xr:uid="{4F85478D-7B0C-4AC3-AA63-949788F6CAFD}"/>
    <cellStyle name="Note 2 16 10" xfId="4240" xr:uid="{4F2760E9-CA12-47E3-AA01-42C9BCECEAEE}"/>
    <cellStyle name="Note 2 16 10 2" xfId="22355" xr:uid="{355194FE-6863-4EAB-B1E2-C7F84B07D361}"/>
    <cellStyle name="Note 2 16 10 3" xfId="44055" xr:uid="{D97D8FD3-BBE3-4136-9A32-A2E8F3690B30}"/>
    <cellStyle name="Note 2 16 10 4" xfId="18738" xr:uid="{A053DA85-FA2D-4761-B0C2-9A2C04A97775}"/>
    <cellStyle name="Note 2 16 11" xfId="6307" xr:uid="{9943FDE2-B765-445C-9CAC-06AFA743E946}"/>
    <cellStyle name="Note 2 16 11 2" xfId="45965" xr:uid="{FAC9C053-560D-498D-A411-06786C463DE9}"/>
    <cellStyle name="Note 2 16 11 3" xfId="33742" xr:uid="{1C7A754D-5537-4F39-99A7-6BE148B9659A}"/>
    <cellStyle name="Note 2 16 12" xfId="9090" xr:uid="{C854A926-3F9B-4D07-AB6B-9BF498890392}"/>
    <cellStyle name="Note 2 16 12 2" xfId="33743" xr:uid="{E20B5AE1-CECB-4F84-ACB8-ECE2D0F273EA}"/>
    <cellStyle name="Note 2 16 13" xfId="33744" xr:uid="{04CE9440-0C08-4701-A381-8CCC6FBE011E}"/>
    <cellStyle name="Note 2 16 14" xfId="33745" xr:uid="{90B8C4F7-7CB7-4237-A671-B2C08DE9CE93}"/>
    <cellStyle name="Note 2 16 15" xfId="33746" xr:uid="{38EC9A58-D4D6-4BD5-8348-4A32EC645B89}"/>
    <cellStyle name="Note 2 16 2" xfId="3250" xr:uid="{532EB009-E077-4537-9273-7DB502CFCB59}"/>
    <cellStyle name="Note 2 16 2 10" xfId="33747" xr:uid="{D7F37B48-E1AA-4FC5-B741-8FF9F1679489}"/>
    <cellStyle name="Note 2 16 2 2" xfId="3251" xr:uid="{3324B8E5-6BA9-4A5C-9742-C5BD9344704C}"/>
    <cellStyle name="Note 2 16 2 2 2" xfId="5199" xr:uid="{5E5D7689-6A05-42ED-A436-E32E1AAA5CB8}"/>
    <cellStyle name="Note 2 16 2 2 2 2" xfId="18741" xr:uid="{B78069F5-8709-4824-9E32-003CA0E99B1B}"/>
    <cellStyle name="Note 2 16 2 2 2 2 2" xfId="22358" xr:uid="{9FC4345E-4E10-4BF9-8662-47462DF61B87}"/>
    <cellStyle name="Note 2 16 2 2 2 3" xfId="33748" xr:uid="{5E6FAF9F-A3F1-4EBF-B1C7-4C8AD5649D42}"/>
    <cellStyle name="Note 2 16 2 2 2 4" xfId="33749" xr:uid="{B6828FC2-AEFE-44E9-A6D7-1E2F7E2B3A84}"/>
    <cellStyle name="Note 2 16 2 2 2 5" xfId="33750" xr:uid="{23A7C60B-0AE2-4E63-B103-8EF4E06354B6}"/>
    <cellStyle name="Note 2 16 2 2 2 6" xfId="33751" xr:uid="{DE2869BF-96D5-4AA8-AEB8-EA1292F36118}"/>
    <cellStyle name="Note 2 16 2 2 3" xfId="6947" xr:uid="{18FAC70A-29AE-4A26-B01E-D65394D06C7B}"/>
    <cellStyle name="Note 2 16 2 2 3 2" xfId="22357" xr:uid="{E31CC0FB-F7C7-4242-A598-DEEC3F865485}"/>
    <cellStyle name="Note 2 16 2 2 3 3" xfId="46408" xr:uid="{8300C9AC-5197-4971-B218-4B63EA549DD5}"/>
    <cellStyle name="Note 2 16 2 2 3 4" xfId="18740" xr:uid="{06CE0369-7370-4AF7-B082-B77CCB09EBE8}"/>
    <cellStyle name="Note 2 16 2 2 4" xfId="9092" xr:uid="{0CB1B20E-95B3-41AC-A665-1AB3854B7146}"/>
    <cellStyle name="Note 2 16 2 2 4 2" xfId="33752" xr:uid="{CBFDCA0C-76F6-4C38-9029-F26225618B90}"/>
    <cellStyle name="Note 2 16 2 2 5" xfId="33753" xr:uid="{2F517A40-CBB6-480C-8EE2-6E9D33AD0F27}"/>
    <cellStyle name="Note 2 16 2 2 6" xfId="33754" xr:uid="{DBCB75AA-ED9A-4EAC-A2FB-B7650BDCE59C}"/>
    <cellStyle name="Note 2 16 2 2 7" xfId="33755" xr:uid="{BB85574C-1BA7-42B6-9380-A6515525E7B8}"/>
    <cellStyle name="Note 2 16 2 3" xfId="3252" xr:uid="{FB6EB869-E870-400F-B1F5-67154D1EED32}"/>
    <cellStyle name="Note 2 16 2 3 2" xfId="5200" xr:uid="{7652731E-BC28-4136-A78F-BEB98E3562C1}"/>
    <cellStyle name="Note 2 16 2 3 2 2" xfId="18743" xr:uid="{4F5D8D2E-A93E-42CD-B7D8-FF0C669D657F}"/>
    <cellStyle name="Note 2 16 2 3 2 2 2" xfId="22360" xr:uid="{3FA8C298-717C-40A2-BE3E-8E273E18B010}"/>
    <cellStyle name="Note 2 16 2 3 2 3" xfId="33756" xr:uid="{54D7D693-6523-4F63-9FFE-6E02E5B428EB}"/>
    <cellStyle name="Note 2 16 2 3 2 4" xfId="33757" xr:uid="{98104C82-F331-4E15-8165-5DED9847BDD3}"/>
    <cellStyle name="Note 2 16 2 3 2 5" xfId="33758" xr:uid="{F31B9F4A-97FB-463A-82BD-BF9CAFE59F8D}"/>
    <cellStyle name="Note 2 16 2 3 2 6" xfId="33759" xr:uid="{B68B8A8B-8FE0-4248-99CC-FB79D491F5D3}"/>
    <cellStyle name="Note 2 16 2 3 3" xfId="6948" xr:uid="{BAD57DE8-9D8C-4067-A61C-8DE6D400F5EB}"/>
    <cellStyle name="Note 2 16 2 3 3 2" xfId="22359" xr:uid="{35265C91-6815-460D-80AC-D4F95F72B870}"/>
    <cellStyle name="Note 2 16 2 3 3 3" xfId="46409" xr:uid="{81403E90-DE91-4133-A417-60425FF06658}"/>
    <cellStyle name="Note 2 16 2 3 3 4" xfId="18742" xr:uid="{31245676-8842-437A-8DD2-599BF9A73768}"/>
    <cellStyle name="Note 2 16 2 3 4" xfId="9093" xr:uid="{2D40B3C0-A427-43C7-B92A-38DF60638270}"/>
    <cellStyle name="Note 2 16 2 3 4 2" xfId="33760" xr:uid="{99FD7DE3-0685-405A-A229-CEED19FCE401}"/>
    <cellStyle name="Note 2 16 2 3 5" xfId="33761" xr:uid="{0B28259A-1D00-4FA0-A0F9-9612E53E64BA}"/>
    <cellStyle name="Note 2 16 2 3 6" xfId="33762" xr:uid="{BFAB81F3-508E-43E8-898D-A11CD45DD53E}"/>
    <cellStyle name="Note 2 16 2 3 7" xfId="33763" xr:uid="{B1F33B60-0B89-43FC-B2C3-0D8B922F621F}"/>
    <cellStyle name="Note 2 16 2 4" xfId="5198" xr:uid="{3140E724-3BD2-466F-BAAD-2C3DF30B4000}"/>
    <cellStyle name="Note 2 16 2 4 2" xfId="18744" xr:uid="{A1D9AF87-D908-4D3F-BD8B-7EF0E505061E}"/>
    <cellStyle name="Note 2 16 2 4 2 2" xfId="22361" xr:uid="{2DFC9713-3EE7-48BD-B2F0-AA134AECA010}"/>
    <cellStyle name="Note 2 16 2 4 3" xfId="33764" xr:uid="{B66FFB59-0A3E-4C86-B788-AD9E6A52A554}"/>
    <cellStyle name="Note 2 16 2 4 4" xfId="33765" xr:uid="{A9AF4564-3DE2-4BFE-B564-374434962464}"/>
    <cellStyle name="Note 2 16 2 4 5" xfId="33766" xr:uid="{DA19DFFB-716C-4AA1-9B48-5A1F65695981}"/>
    <cellStyle name="Note 2 16 2 4 6" xfId="33767" xr:uid="{2C07AE18-D639-4764-B641-1A8F39319417}"/>
    <cellStyle name="Note 2 16 2 5" xfId="4241" xr:uid="{A53014D0-AF5F-47B2-BFA0-6090B6E98F79}"/>
    <cellStyle name="Note 2 16 2 5 2" xfId="22356" xr:uid="{B4D6D547-946D-433D-BE93-C2E0DB8067E2}"/>
    <cellStyle name="Note 2 16 2 5 3" xfId="44056" xr:uid="{0A663E06-CFBC-4955-8C2E-5EDFAB638EA8}"/>
    <cellStyle name="Note 2 16 2 5 4" xfId="18739" xr:uid="{2F13A6C3-4CD3-47F3-91BE-1A113A14088B}"/>
    <cellStyle name="Note 2 16 2 6" xfId="6308" xr:uid="{E7F50D06-CDB0-4A99-87C3-731249AA8FA9}"/>
    <cellStyle name="Note 2 16 2 6 2" xfId="45966" xr:uid="{CFD39CCC-31BB-41AA-A982-E6FA0A3B8DBE}"/>
    <cellStyle name="Note 2 16 2 6 3" xfId="33768" xr:uid="{99B3BD56-24F1-4FAE-A267-11392CA47B1E}"/>
    <cellStyle name="Note 2 16 2 7" xfId="9091" xr:uid="{5ED6B928-0135-4BA1-A8FC-5D177D5923DF}"/>
    <cellStyle name="Note 2 16 2 7 2" xfId="33769" xr:uid="{43C1FED5-4F2C-4DA3-96B5-E12260C0621E}"/>
    <cellStyle name="Note 2 16 2 8" xfId="33770" xr:uid="{14E2FBFB-F1D5-43E5-9A08-DB70D0F3BF55}"/>
    <cellStyle name="Note 2 16 2 9" xfId="33771" xr:uid="{B60C50F2-4FEE-42C5-BAE7-1BD3C1ED35DA}"/>
    <cellStyle name="Note 2 16 3" xfId="3253" xr:uid="{6D10BF45-EF84-447D-9DDC-08B49F0E1955}"/>
    <cellStyle name="Note 2 16 3 10" xfId="33772" xr:uid="{D463C54B-2AF4-452E-8CFE-88A3A449B404}"/>
    <cellStyle name="Note 2 16 3 2" xfId="3254" xr:uid="{58E2C2B0-58B7-4C09-8B16-34CA413AD1BF}"/>
    <cellStyle name="Note 2 16 3 2 2" xfId="5202" xr:uid="{0F4D1B56-83F2-4A91-ABC8-591DEC085648}"/>
    <cellStyle name="Note 2 16 3 2 2 2" xfId="18747" xr:uid="{5E0A39D8-D500-425D-A898-16E03D0DA9BF}"/>
    <cellStyle name="Note 2 16 3 2 2 2 2" xfId="22364" xr:uid="{D39A4841-C488-4988-99D4-AA55FBF4F34A}"/>
    <cellStyle name="Note 2 16 3 2 2 3" xfId="33773" xr:uid="{184CCE7E-026B-4EA7-9BE4-E706455457C6}"/>
    <cellStyle name="Note 2 16 3 2 2 4" xfId="33774" xr:uid="{1E679430-873C-4E73-B3F3-F70811A9B23C}"/>
    <cellStyle name="Note 2 16 3 2 2 5" xfId="33775" xr:uid="{13DA7343-1F48-463C-BBA9-F38ED0E45C4D}"/>
    <cellStyle name="Note 2 16 3 2 2 6" xfId="33776" xr:uid="{AB1A04E7-FD36-4334-B17F-2620123EB85D}"/>
    <cellStyle name="Note 2 16 3 2 3" xfId="6949" xr:uid="{6EC6A31C-6738-4271-9705-234DF74D2108}"/>
    <cellStyle name="Note 2 16 3 2 3 2" xfId="22363" xr:uid="{D3D2C83B-9E45-4BF2-9444-2CECDD3DBA3A}"/>
    <cellStyle name="Note 2 16 3 2 3 3" xfId="46410" xr:uid="{164A5DA7-83E0-40F6-B3A4-3B08F785C1AC}"/>
    <cellStyle name="Note 2 16 3 2 3 4" xfId="18746" xr:uid="{88BD13E0-2AEA-452F-9791-BF1FB61580F2}"/>
    <cellStyle name="Note 2 16 3 2 4" xfId="9095" xr:uid="{55B2CFD9-0247-4BD8-8212-DE4E4EF3FD62}"/>
    <cellStyle name="Note 2 16 3 2 4 2" xfId="33777" xr:uid="{62A166AF-12E3-43CD-9211-553651E20F36}"/>
    <cellStyle name="Note 2 16 3 2 5" xfId="33778" xr:uid="{CA784796-3B9C-4345-B298-DAED4DE9AAEF}"/>
    <cellStyle name="Note 2 16 3 2 6" xfId="33779" xr:uid="{BA728AB7-F9FB-496D-9126-0CB573CB7684}"/>
    <cellStyle name="Note 2 16 3 2 7" xfId="33780" xr:uid="{B1DA1BBC-8100-41B4-B315-170240144FC0}"/>
    <cellStyle name="Note 2 16 3 3" xfId="3255" xr:uid="{9A0819F1-1792-4E10-AA85-501EC978647E}"/>
    <cellStyle name="Note 2 16 3 3 2" xfId="5203" xr:uid="{6021BFA3-B698-42C4-AF0C-F626F3DF790A}"/>
    <cellStyle name="Note 2 16 3 3 2 2" xfId="18749" xr:uid="{F958A726-69B0-4948-B423-C9D210FF4693}"/>
    <cellStyle name="Note 2 16 3 3 2 2 2" xfId="22366" xr:uid="{D97E6804-FFAA-4F2F-9112-C76E98FBB7E2}"/>
    <cellStyle name="Note 2 16 3 3 2 3" xfId="33781" xr:uid="{164F8C7C-CE46-443D-900E-552837AD35B0}"/>
    <cellStyle name="Note 2 16 3 3 2 4" xfId="33782" xr:uid="{29AE8C86-9743-4C67-815F-A759A3D6D185}"/>
    <cellStyle name="Note 2 16 3 3 2 5" xfId="33783" xr:uid="{ECAA7319-46EE-4094-98AD-6780E99667BC}"/>
    <cellStyle name="Note 2 16 3 3 2 6" xfId="33784" xr:uid="{9062AADD-950D-4931-A5BA-129A8C048EAE}"/>
    <cellStyle name="Note 2 16 3 3 3" xfId="6950" xr:uid="{F5A59F4B-C72B-4433-9EDB-845250F6D249}"/>
    <cellStyle name="Note 2 16 3 3 3 2" xfId="22365" xr:uid="{29898119-580A-4FD8-BD11-E16E6E830E57}"/>
    <cellStyle name="Note 2 16 3 3 3 3" xfId="46411" xr:uid="{1FCCE7B9-0E89-4D7F-8441-A5D1F00A5584}"/>
    <cellStyle name="Note 2 16 3 3 3 4" xfId="18748" xr:uid="{F8846BB7-2E0C-4C61-8AC1-BB42AC59E097}"/>
    <cellStyle name="Note 2 16 3 3 4" xfId="9096" xr:uid="{F5625E0D-F97E-48D8-8272-40D69ADFCD23}"/>
    <cellStyle name="Note 2 16 3 3 4 2" xfId="33785" xr:uid="{FB4CA392-4114-4E0D-BDDA-1910BF6084A3}"/>
    <cellStyle name="Note 2 16 3 3 5" xfId="33786" xr:uid="{3A5A6CB1-84EC-448D-A33E-7782E2D0B200}"/>
    <cellStyle name="Note 2 16 3 3 6" xfId="33787" xr:uid="{62B583B0-EBF3-435D-A016-D6B2D1913094}"/>
    <cellStyle name="Note 2 16 3 3 7" xfId="33788" xr:uid="{CBED332B-62FC-4C61-A701-7FC818F18977}"/>
    <cellStyle name="Note 2 16 3 4" xfId="5201" xr:uid="{E2B9239E-49E5-4E5F-B4A1-7CAFDDCF768A}"/>
    <cellStyle name="Note 2 16 3 4 2" xfId="18750" xr:uid="{867B3AEC-B292-4013-9038-A06FEB860CEB}"/>
    <cellStyle name="Note 2 16 3 4 2 2" xfId="22367" xr:uid="{017DA7E3-1C7C-4B80-90DC-7DEBFE510CF2}"/>
    <cellStyle name="Note 2 16 3 4 3" xfId="33789" xr:uid="{5CCCDA5D-A094-45C9-B1D6-068068044A96}"/>
    <cellStyle name="Note 2 16 3 4 4" xfId="33790" xr:uid="{D2D95716-529D-443F-B754-03B7B7EE49D8}"/>
    <cellStyle name="Note 2 16 3 4 5" xfId="33791" xr:uid="{88307C94-B711-4423-AA0C-0EADC8A071B7}"/>
    <cellStyle name="Note 2 16 3 4 6" xfId="33792" xr:uid="{F695D2CF-835D-4B7D-96DF-AF03B4691499}"/>
    <cellStyle name="Note 2 16 3 5" xfId="4242" xr:uid="{5B040EF7-E84C-44B1-AB8D-FF7EC7D35726}"/>
    <cellStyle name="Note 2 16 3 5 2" xfId="22362" xr:uid="{08773674-B162-4B58-B307-F158D8CCE11C}"/>
    <cellStyle name="Note 2 16 3 5 3" xfId="44057" xr:uid="{7AE74B49-2CCF-4039-B304-B7FBEA0911E1}"/>
    <cellStyle name="Note 2 16 3 5 4" xfId="18745" xr:uid="{92BB8C39-892A-4094-B89E-835B2ED4869D}"/>
    <cellStyle name="Note 2 16 3 6" xfId="6309" xr:uid="{9E946470-EEC9-4705-AF80-BE0D073A2AF4}"/>
    <cellStyle name="Note 2 16 3 6 2" xfId="45967" xr:uid="{5096ECAD-5FE6-401E-BB01-FDB6ADB23CF3}"/>
    <cellStyle name="Note 2 16 3 6 3" xfId="33793" xr:uid="{691E21B4-29CA-4302-8029-78AB3B369AA1}"/>
    <cellStyle name="Note 2 16 3 7" xfId="9094" xr:uid="{4E226BB5-D08B-4D28-B2F9-E8AD29AC9A13}"/>
    <cellStyle name="Note 2 16 3 7 2" xfId="33794" xr:uid="{E5623F03-405C-49BA-87CC-2BB1EA499650}"/>
    <cellStyle name="Note 2 16 3 8" xfId="33795" xr:uid="{031368F4-AA24-4BD4-AD76-6EED7AABC28F}"/>
    <cellStyle name="Note 2 16 3 9" xfId="33796" xr:uid="{E8A0F729-0472-4AF8-A5BD-48417B990916}"/>
    <cellStyle name="Note 2 16 4" xfId="3256" xr:uid="{F88D046E-9303-45BA-9E7A-1457E5B2A012}"/>
    <cellStyle name="Note 2 16 4 2" xfId="5204" xr:uid="{D725BF40-086E-4C0B-9C46-C4453C7A50AD}"/>
    <cellStyle name="Note 2 16 4 2 2" xfId="18752" xr:uid="{BA13A0D5-442F-4F36-8328-1FED300180F0}"/>
    <cellStyle name="Note 2 16 4 2 2 2" xfId="22369" xr:uid="{DACA0FE2-A9C8-45EF-898A-801D129CFC41}"/>
    <cellStyle name="Note 2 16 4 2 3" xfId="33797" xr:uid="{ABC93A8E-9B7F-4FA8-8C6E-D9F623F13748}"/>
    <cellStyle name="Note 2 16 4 2 4" xfId="33798" xr:uid="{67C2F312-405E-4F5B-B6ED-919B1D0A69E5}"/>
    <cellStyle name="Note 2 16 4 2 5" xfId="33799" xr:uid="{7ADC1E7B-E5FB-4ABF-AA86-BF840EA05257}"/>
    <cellStyle name="Note 2 16 4 2 6" xfId="33800" xr:uid="{47EC87F8-ABA9-4549-9522-251C3C9758AE}"/>
    <cellStyle name="Note 2 16 4 3" xfId="4243" xr:uid="{5AE7B1D2-B309-497B-AA7A-F38A3FC63173}"/>
    <cellStyle name="Note 2 16 4 3 2" xfId="22368" xr:uid="{6675C915-2481-4884-B607-A814781762BA}"/>
    <cellStyle name="Note 2 16 4 3 3" xfId="44058" xr:uid="{0D162405-6E06-4A14-8AC1-7F525F47370F}"/>
    <cellStyle name="Note 2 16 4 3 4" xfId="18751" xr:uid="{AB5C9216-52B3-4E8E-89E5-2E2F99C711D7}"/>
    <cellStyle name="Note 2 16 4 4" xfId="6310" xr:uid="{D6A815F6-C12F-48C2-A493-EEF043E9309B}"/>
    <cellStyle name="Note 2 16 4 4 2" xfId="45968" xr:uid="{CB511966-A6DF-44EC-9B51-DEA0E689121A}"/>
    <cellStyle name="Note 2 16 4 4 3" xfId="33801" xr:uid="{C9993FEC-F306-4BD2-A314-79E158193097}"/>
    <cellStyle name="Note 2 16 4 5" xfId="9097" xr:uid="{95590B20-E710-4D0D-BA92-E2B1A070A7EE}"/>
    <cellStyle name="Note 2 16 4 5 2" xfId="33802" xr:uid="{6538BCE9-A6B8-489E-AEF5-0FEE7D0226FE}"/>
    <cellStyle name="Note 2 16 4 6" xfId="33803" xr:uid="{675A7709-7125-495D-BBC6-2E574617F990}"/>
    <cellStyle name="Note 2 16 4 7" xfId="33804" xr:uid="{1E088AF2-F884-4AAE-820A-3D2A280536EE}"/>
    <cellStyle name="Note 2 16 4 8" xfId="33805" xr:uid="{731DEED9-4CBA-413F-828A-767E93F126A5}"/>
    <cellStyle name="Note 2 16 5" xfId="3257" xr:uid="{104691D4-D13F-439A-93D7-5D420654EC4A}"/>
    <cellStyle name="Note 2 16 5 2" xfId="5205" xr:uid="{A3718DFF-8867-494B-B10C-B55C3FD7C898}"/>
    <cellStyle name="Note 2 16 5 2 2" xfId="18754" xr:uid="{932FD1EC-7915-4851-944C-A14AA2985F44}"/>
    <cellStyle name="Note 2 16 5 2 2 2" xfId="22371" xr:uid="{C67057CA-E549-4D5D-8DFB-A5B52FB61E2D}"/>
    <cellStyle name="Note 2 16 5 2 3" xfId="33806" xr:uid="{9A8B1C4C-D031-4EC9-A464-E49E3E59AA76}"/>
    <cellStyle name="Note 2 16 5 2 4" xfId="33807" xr:uid="{64BFB094-46E9-4244-A81D-8EAA5B407371}"/>
    <cellStyle name="Note 2 16 5 2 5" xfId="33808" xr:uid="{229903A5-F28C-4E40-A3F4-302B75822632}"/>
    <cellStyle name="Note 2 16 5 2 6" xfId="33809" xr:uid="{26331123-AD3A-4D9B-968A-AF05F6BE7176}"/>
    <cellStyle name="Note 2 16 5 3" xfId="6951" xr:uid="{764D3BD5-7EC3-4355-99A6-75393126ADCC}"/>
    <cellStyle name="Note 2 16 5 3 2" xfId="22370" xr:uid="{8A7B9719-E801-443B-BF75-0A9AFB8C2FAC}"/>
    <cellStyle name="Note 2 16 5 3 3" xfId="46412" xr:uid="{ECA58BB1-78A0-4F4F-9E6F-CDBF47B3D3DF}"/>
    <cellStyle name="Note 2 16 5 3 4" xfId="18753" xr:uid="{0ECC05DE-B4A1-4C8B-B831-9501951A3C36}"/>
    <cellStyle name="Note 2 16 5 4" xfId="9098" xr:uid="{5A47BA0A-1CBB-44B9-A448-1FB3E9C27846}"/>
    <cellStyle name="Note 2 16 5 4 2" xfId="33810" xr:uid="{DD99FEA4-07E0-42AD-9785-E3B9E0A43843}"/>
    <cellStyle name="Note 2 16 5 5" xfId="33811" xr:uid="{DE8BB01B-07C6-4266-8B7E-0ED07EEBCECB}"/>
    <cellStyle name="Note 2 16 5 6" xfId="33812" xr:uid="{4BBC3550-257F-4E8A-AD7F-B855F900C621}"/>
    <cellStyle name="Note 2 16 5 7" xfId="33813" xr:uid="{F3D92066-F769-4151-900C-D4E1252EB62E}"/>
    <cellStyle name="Note 2 16 6" xfId="3258" xr:uid="{05B2EC01-205C-4904-84C8-E69CE7FFEE59}"/>
    <cellStyle name="Note 2 16 6 2" xfId="5206" xr:uid="{C51DCD6A-63AF-402E-8FB9-6110F1C4830A}"/>
    <cellStyle name="Note 2 16 6 2 2" xfId="18756" xr:uid="{50F35EF5-EB3F-4D7E-8362-1335A01F4C9F}"/>
    <cellStyle name="Note 2 16 6 2 2 2" xfId="22373" xr:uid="{56384811-3EBA-4699-A76E-DC578C6F3CDC}"/>
    <cellStyle name="Note 2 16 6 2 3" xfId="33814" xr:uid="{F2814214-33CD-44D1-965D-BA23F30A2DC7}"/>
    <cellStyle name="Note 2 16 6 2 4" xfId="33815" xr:uid="{F07D720C-8507-484A-8CA8-BDC2B1C9F559}"/>
    <cellStyle name="Note 2 16 6 2 5" xfId="33816" xr:uid="{D5CAF839-7439-48BD-B87F-A6C03B1A3BE1}"/>
    <cellStyle name="Note 2 16 6 2 6" xfId="33817" xr:uid="{C8DC9D68-444F-4068-8126-D034810456D4}"/>
    <cellStyle name="Note 2 16 6 3" xfId="6952" xr:uid="{F7C5A453-D6F0-4BF8-BBE7-DDD5CAABF65A}"/>
    <cellStyle name="Note 2 16 6 3 2" xfId="22372" xr:uid="{8921B2DF-A95F-4FC2-98B1-79E1168F7E3A}"/>
    <cellStyle name="Note 2 16 6 3 3" xfId="46413" xr:uid="{A358418A-7747-413B-BD1F-2D16696DA060}"/>
    <cellStyle name="Note 2 16 6 3 4" xfId="18755" xr:uid="{A45048CE-33DA-435F-BE3D-2678DA99D6DE}"/>
    <cellStyle name="Note 2 16 6 4" xfId="9099" xr:uid="{B59F8094-47B8-4C36-BFF9-67B50172431A}"/>
    <cellStyle name="Note 2 16 6 4 2" xfId="33818" xr:uid="{75C4B384-5626-4B91-AC9D-A94BDDA86A0F}"/>
    <cellStyle name="Note 2 16 6 5" xfId="33819" xr:uid="{5C0EE849-4BE9-4A98-A299-80439E2004F4}"/>
    <cellStyle name="Note 2 16 6 6" xfId="33820" xr:uid="{1F3E8593-92D1-4CDC-8B78-7A000EC9C5E3}"/>
    <cellStyle name="Note 2 16 6 7" xfId="33821" xr:uid="{1E012B19-6E78-433E-92AD-D96A45F41BB6}"/>
    <cellStyle name="Note 2 16 7" xfId="3259" xr:uid="{075CA887-9A6D-497E-80FE-114139439D27}"/>
    <cellStyle name="Note 2 16 7 2" xfId="5207" xr:uid="{4E00BAFF-B2A8-47AE-8710-6A4E3E1C35A2}"/>
    <cellStyle name="Note 2 16 7 2 2" xfId="18758" xr:uid="{4997803B-047F-45D2-B0F8-E83C8BD9BB76}"/>
    <cellStyle name="Note 2 16 7 2 2 2" xfId="22375" xr:uid="{492C4E93-5938-4FC1-9989-FC93D8E4BA9E}"/>
    <cellStyle name="Note 2 16 7 2 3" xfId="33822" xr:uid="{9B2C0E1B-308D-4F33-A245-BB7542BE0764}"/>
    <cellStyle name="Note 2 16 7 2 4" xfId="33823" xr:uid="{EBB2D34F-A6F8-44E5-85C5-89899AD27F40}"/>
    <cellStyle name="Note 2 16 7 2 5" xfId="33824" xr:uid="{C684AF95-79B5-4F71-9403-457342E009C9}"/>
    <cellStyle name="Note 2 16 7 2 6" xfId="33825" xr:uid="{63D5DC90-9D4A-426D-98F2-ADF9FFF8A0DF}"/>
    <cellStyle name="Note 2 16 7 3" xfId="6953" xr:uid="{B9571C9E-487C-4596-A785-7712C1EB0E33}"/>
    <cellStyle name="Note 2 16 7 3 2" xfId="22374" xr:uid="{B96C5349-702D-460C-B4CF-2CF6AB4A74BB}"/>
    <cellStyle name="Note 2 16 7 3 3" xfId="46414" xr:uid="{840793BC-2747-41FB-B193-42F7DEF8A2CA}"/>
    <cellStyle name="Note 2 16 7 3 4" xfId="18757" xr:uid="{C5DEC1EE-8A6E-45A0-9CAB-1ADC1A07194C}"/>
    <cellStyle name="Note 2 16 7 4" xfId="9100" xr:uid="{2A35867D-D796-46B4-AB00-91BA85CA8A3A}"/>
    <cellStyle name="Note 2 16 7 4 2" xfId="33826" xr:uid="{6EE0AB81-DD59-49C0-AF31-8BF609AEB41C}"/>
    <cellStyle name="Note 2 16 7 5" xfId="33827" xr:uid="{348C6680-2818-4C52-96B2-691E7449CF60}"/>
    <cellStyle name="Note 2 16 7 6" xfId="33828" xr:uid="{F37083D9-452E-47E0-B7E9-C665A08493CA}"/>
    <cellStyle name="Note 2 16 7 7" xfId="33829" xr:uid="{C3FB9DFF-5902-4547-A08F-BB075A1237CE}"/>
    <cellStyle name="Note 2 16 8" xfId="3260" xr:uid="{58800AC9-AA17-443E-A33B-CF607D6D9D0F}"/>
    <cellStyle name="Note 2 16 8 2" xfId="5208" xr:uid="{735DDE70-49DE-48DA-AFAC-0911105128A6}"/>
    <cellStyle name="Note 2 16 8 2 2" xfId="18760" xr:uid="{755696DE-D71A-40E5-B3FB-FBAED56C2462}"/>
    <cellStyle name="Note 2 16 8 2 2 2" xfId="22377" xr:uid="{6A134E14-7C08-459E-B1DC-A50C5175CB0B}"/>
    <cellStyle name="Note 2 16 8 2 3" xfId="33830" xr:uid="{7B939E9F-38A6-458F-88F2-C7F0A6E8246C}"/>
    <cellStyle name="Note 2 16 8 2 4" xfId="33831" xr:uid="{1ECAD73F-0888-4A19-A807-6A0834087E30}"/>
    <cellStyle name="Note 2 16 8 2 5" xfId="33832" xr:uid="{5E3B4280-605A-4FDA-83BA-09EBC2B4EE5E}"/>
    <cellStyle name="Note 2 16 8 2 6" xfId="33833" xr:uid="{76A02B62-8204-4FEB-9585-7339E42D96A6}"/>
    <cellStyle name="Note 2 16 8 3" xfId="6954" xr:uid="{7FA96214-E7DC-4509-8D40-4892F5B44A17}"/>
    <cellStyle name="Note 2 16 8 3 2" xfId="22376" xr:uid="{B9576677-A5B8-43E2-A01D-2A47B6B8A14C}"/>
    <cellStyle name="Note 2 16 8 3 3" xfId="46415" xr:uid="{AB8D4D6B-1989-4420-BA59-32DB17EE48C7}"/>
    <cellStyle name="Note 2 16 8 3 4" xfId="18759" xr:uid="{D24939F4-40DB-4196-B1DF-A6FDB8D43E8A}"/>
    <cellStyle name="Note 2 16 8 4" xfId="9101" xr:uid="{07B7C53C-CF1B-4955-8912-8854033CA20A}"/>
    <cellStyle name="Note 2 16 8 4 2" xfId="33834" xr:uid="{EDCE2A11-9164-478F-AB80-23B6265954CA}"/>
    <cellStyle name="Note 2 16 8 5" xfId="33835" xr:uid="{D0F44179-09D7-4EFF-B7FF-BCB4928E6879}"/>
    <cellStyle name="Note 2 16 8 6" xfId="33836" xr:uid="{9E04464E-8312-497E-BBDF-A1437934D62C}"/>
    <cellStyle name="Note 2 16 8 7" xfId="33837" xr:uid="{53ADF9F0-CDC3-4016-9B4B-73F20C15136F}"/>
    <cellStyle name="Note 2 16 9" xfId="5197" xr:uid="{39A3D7BE-0586-4183-B08B-5395DB36FC29}"/>
    <cellStyle name="Note 2 16 9 2" xfId="18761" xr:uid="{328A19B2-B8DC-48CD-BF05-553B4F9A3D13}"/>
    <cellStyle name="Note 2 16 9 2 2" xfId="22378" xr:uid="{6C3C5764-BAE2-4F93-8322-2BAD233F3AEC}"/>
    <cellStyle name="Note 2 16 9 3" xfId="33838" xr:uid="{16250B27-714F-42C4-97F6-C2F8CE114BA1}"/>
    <cellStyle name="Note 2 16 9 4" xfId="33839" xr:uid="{FBC43A7C-D857-4FAA-B93E-ABFC118FA511}"/>
    <cellStyle name="Note 2 16 9 5" xfId="33840" xr:uid="{5C41FA67-A05C-4A20-988F-61FF7903E397}"/>
    <cellStyle name="Note 2 16 9 6" xfId="33841" xr:uid="{0D89D8E4-D884-4F5C-9E91-AD927C104EAD}"/>
    <cellStyle name="Note 2 16_IND_UC" xfId="3261" xr:uid="{E0D7C76A-3201-470A-BC38-7EBB5DF9B46C}"/>
    <cellStyle name="Note 2 17" xfId="3262" xr:uid="{C5A28A07-6ABA-4052-A915-852D1F0E183C}"/>
    <cellStyle name="Note 2 17 10" xfId="33842" xr:uid="{EBB33DA2-5729-4D66-92A3-17EEDD20E518}"/>
    <cellStyle name="Note 2 17 11" xfId="33843" xr:uid="{7598031D-E35E-4CAF-A444-4076004CBD53}"/>
    <cellStyle name="Note 2 17 2" xfId="3263" xr:uid="{F2B516D7-6D8C-47F5-9F4C-A36BD383B3C7}"/>
    <cellStyle name="Note 2 17 2 10" xfId="15380" xr:uid="{F7E642AB-521A-4CAC-BEAF-C315E8619F19}"/>
    <cellStyle name="Note 2 17 2 2" xfId="16073" xr:uid="{E4CE36A6-A2A3-47EC-AEB1-E925771D09D7}"/>
    <cellStyle name="Note 2 17 2 2 2" xfId="18764" xr:uid="{4F7B2385-B232-4EA8-89D9-7227227A6175}"/>
    <cellStyle name="Note 2 17 2 2 2 2" xfId="22381" xr:uid="{F09449DE-A24F-40F5-84C8-03971C8FBC95}"/>
    <cellStyle name="Note 2 17 2 2 3" xfId="33844" xr:uid="{61A295C0-3BEF-468E-91EA-476E9A4D037D}"/>
    <cellStyle name="Note 2 17 2 2 4" xfId="33845" xr:uid="{5BB27D55-0BF2-49AD-B476-0FFF02573C0F}"/>
    <cellStyle name="Note 2 17 2 2 5" xfId="33846" xr:uid="{C039AE74-DECB-42DC-A3F6-B6793009D092}"/>
    <cellStyle name="Note 2 17 2 2 6" xfId="33847" xr:uid="{E0C60A8F-6A6D-4056-968C-74E7E831C0D8}"/>
    <cellStyle name="Note 2 17 2 3" xfId="16800" xr:uid="{5D1C3542-EC50-45B8-A980-4548B7BB762B}"/>
    <cellStyle name="Note 2 17 2 3 2" xfId="18765" xr:uid="{6E64613B-0C0B-4B3F-AA1F-9E87522D3188}"/>
    <cellStyle name="Note 2 17 2 3 2 2" xfId="22382" xr:uid="{7FC780FD-25E8-4B75-BBEF-612FD388B0A1}"/>
    <cellStyle name="Note 2 17 2 3 3" xfId="33848" xr:uid="{86DA09C8-ADF2-4FAA-8C62-70A1F9EF819B}"/>
    <cellStyle name="Note 2 17 2 3 4" xfId="33849" xr:uid="{8735D278-AA87-4DB2-A9FE-2F9F5395DE0E}"/>
    <cellStyle name="Note 2 17 2 3 5" xfId="33850" xr:uid="{79D15991-615C-4262-BB92-B63E46DA5042}"/>
    <cellStyle name="Note 2 17 2 3 6" xfId="33851" xr:uid="{368DA3BD-E659-4128-809E-001E2ED00F97}"/>
    <cellStyle name="Note 2 17 2 4" xfId="18763" xr:uid="{6F067616-C0D4-40EA-B6E9-B3A7432DC0C8}"/>
    <cellStyle name="Note 2 17 2 4 2" xfId="22380" xr:uid="{2B66A8EA-1925-4CEE-BD69-6C8A90D34013}"/>
    <cellStyle name="Note 2 17 2 5" xfId="33852" xr:uid="{EFBC27D1-F451-4F6E-880E-635E5480C7EE}"/>
    <cellStyle name="Note 2 17 2 6" xfId="33853" xr:uid="{31ECEF79-6A0A-4702-AEF9-96FBCAC11F56}"/>
    <cellStyle name="Note 2 17 2 7" xfId="33854" xr:uid="{3FA66185-0CCF-4509-8B42-39F1FF36C4D9}"/>
    <cellStyle name="Note 2 17 2 8" xfId="33855" xr:uid="{DC12B372-5738-4201-A1FF-DBB0F9C93A17}"/>
    <cellStyle name="Note 2 17 2 9" xfId="33856" xr:uid="{B6E78540-7A5D-40F2-A94A-48ADD69EC363}"/>
    <cellStyle name="Note 2 17 3" xfId="5209" xr:uid="{767828AC-E8B0-4AFF-B867-354484E937E0}"/>
    <cellStyle name="Note 2 17 3 2" xfId="18766" xr:uid="{E9AFA3DF-1953-46BD-87A2-10461E72A7ED}"/>
    <cellStyle name="Note 2 17 3 2 2" xfId="22383" xr:uid="{0FF2017F-0227-4F10-812A-17D56D2CF6CB}"/>
    <cellStyle name="Note 2 17 3 3" xfId="33857" xr:uid="{7D2C2E60-FD70-45CD-BAEB-492895C72744}"/>
    <cellStyle name="Note 2 17 3 4" xfId="33858" xr:uid="{D4B18905-BC60-4642-80B1-9677AD7E27D9}"/>
    <cellStyle name="Note 2 17 3 5" xfId="33859" xr:uid="{E37E776D-4F1E-406A-BEBD-F6FE6CF75B1D}"/>
    <cellStyle name="Note 2 17 3 6" xfId="33860" xr:uid="{AC1254C8-C86C-474E-B17F-DB2A523F87C2}"/>
    <cellStyle name="Note 2 17 3 7" xfId="43673" xr:uid="{7B9BEBFE-0856-44CE-BCAE-0B2AFF5ACB75}"/>
    <cellStyle name="Note 2 17 3 8" xfId="16074" xr:uid="{7593DD06-D9A6-4B89-BE1D-B8172C520B2C}"/>
    <cellStyle name="Note 2 17 4" xfId="4244" xr:uid="{1DDDC193-63E6-4FEB-9BB8-1648C431A311}"/>
    <cellStyle name="Note 2 17 4 2" xfId="18767" xr:uid="{DEFEE585-8C3E-4A52-9E27-8320597CD94E}"/>
    <cellStyle name="Note 2 17 4 2 2" xfId="22384" xr:uid="{FCB13D91-8EF0-4968-8243-63758604AA33}"/>
    <cellStyle name="Note 2 17 4 3" xfId="33861" xr:uid="{E6F953E0-A600-40F2-9633-5333632C8602}"/>
    <cellStyle name="Note 2 17 4 4" xfId="33862" xr:uid="{3E8CC4C4-855D-4E3A-9243-2B24C9D4470C}"/>
    <cellStyle name="Note 2 17 4 5" xfId="33863" xr:uid="{F56351DE-216E-440C-8DFB-7E29209CC6E8}"/>
    <cellStyle name="Note 2 17 4 6" xfId="33864" xr:uid="{75F4E061-C96C-4A7F-A199-5892AB64D0F9}"/>
    <cellStyle name="Note 2 17 4 7" xfId="44059" xr:uid="{2AF38470-68E6-4F31-BC2C-8EC6A2CA1EFD}"/>
    <cellStyle name="Note 2 17 4 8" xfId="16075" xr:uid="{8033154C-D0F0-4E9F-B35B-F7F430FD5CF0}"/>
    <cellStyle name="Note 2 17 5" xfId="6311" xr:uid="{4638AF7B-0F31-4BF7-A7C2-010221BC5BE6}"/>
    <cellStyle name="Note 2 17 5 2" xfId="18768" xr:uid="{BFDBF78E-0F19-4EED-8B7A-56662F031A50}"/>
    <cellStyle name="Note 2 17 5 2 2" xfId="22385" xr:uid="{504408BB-FBFE-40F4-B218-10ECA310ADE0}"/>
    <cellStyle name="Note 2 17 5 3" xfId="33865" xr:uid="{C241E73C-A43E-4969-8325-FE00BB6DA4EA}"/>
    <cellStyle name="Note 2 17 5 4" xfId="33866" xr:uid="{DACA14DD-7FD4-4641-AFF4-234BCEFF45E6}"/>
    <cellStyle name="Note 2 17 5 5" xfId="33867" xr:uid="{6F635610-D6AC-4175-BA42-399F7A8E5EB7}"/>
    <cellStyle name="Note 2 17 5 6" xfId="33868" xr:uid="{86A25D17-9AA6-42B9-B040-B4D1F7279100}"/>
    <cellStyle name="Note 2 17 5 7" xfId="45969" xr:uid="{9DCB9B06-58C6-4DD3-ADCD-4E15E92A44AB}"/>
    <cellStyle name="Note 2 17 5 8" xfId="16076" xr:uid="{6CDD5B9E-0421-4A17-9203-FDAC6CFF5391}"/>
    <cellStyle name="Note 2 17 6" xfId="9102" xr:uid="{D10D4237-ACBC-4BBA-8D5A-5FBC63C7A7F3}"/>
    <cellStyle name="Note 2 17 6 2" xfId="22379" xr:uid="{140D89B8-C625-4C20-9A85-7A83802B145B}"/>
    <cellStyle name="Note 2 17 6 3" xfId="18762" xr:uid="{24AE25CD-82C3-44F7-9FF4-5A0EF303CC96}"/>
    <cellStyle name="Note 2 17 7" xfId="33869" xr:uid="{CABE5F3B-0897-4CC5-ADA7-40ED3E4EB8A6}"/>
    <cellStyle name="Note 2 17 8" xfId="33870" xr:uid="{57FF7729-38D2-44D8-8187-8112DCE4FD8F}"/>
    <cellStyle name="Note 2 17 9" xfId="33871" xr:uid="{C5D4E49D-0057-43AB-BD71-0637070F6572}"/>
    <cellStyle name="Note 2 18" xfId="3264" xr:uid="{7D6C83FE-754B-4300-AF54-3B82E225AAB3}"/>
    <cellStyle name="Note 2 18 2" xfId="5210" xr:uid="{1D8689C6-A64C-4E2F-AAD2-A67EE9500F24}"/>
    <cellStyle name="Note 2 18 2 2" xfId="18770" xr:uid="{B70405D6-C5CB-454A-8D1E-83D048E92626}"/>
    <cellStyle name="Note 2 18 2 2 2" xfId="22387" xr:uid="{36C5D5EB-B578-43B7-8C7A-06ECEAD44308}"/>
    <cellStyle name="Note 2 18 2 3" xfId="33872" xr:uid="{01FD8304-FFE0-4FBA-8DC9-E20AE647FA62}"/>
    <cellStyle name="Note 2 18 2 4" xfId="33873" xr:uid="{38BD3ABE-BF76-4903-B6AB-D51DB5B0CBD8}"/>
    <cellStyle name="Note 2 18 2 5" xfId="33874" xr:uid="{6F4FFF75-AD98-4296-83D9-C71BA18B8B7E}"/>
    <cellStyle name="Note 2 18 2 6" xfId="33875" xr:uid="{4003E45A-B4BE-4330-A2B5-FC43F656486A}"/>
    <cellStyle name="Note 2 18 3" xfId="4245" xr:uid="{2706A3D8-5987-4AFD-9255-1CC21A24D80F}"/>
    <cellStyle name="Note 2 18 3 2" xfId="22386" xr:uid="{FB172DE8-31B3-414C-83D3-A51C656C9FFD}"/>
    <cellStyle name="Note 2 18 3 3" xfId="44060" xr:uid="{E5059DEB-3787-4D88-BD1F-F29867AF9733}"/>
    <cellStyle name="Note 2 18 3 4" xfId="18769" xr:uid="{5CF01F12-EA39-4331-99F8-A355E4A8AFE8}"/>
    <cellStyle name="Note 2 18 4" xfId="6312" xr:uid="{B67CFCEA-821C-4B77-8B96-2782B562CEAA}"/>
    <cellStyle name="Note 2 18 4 2" xfId="45970" xr:uid="{4615FA36-ACBF-4673-BADA-CD224F14AA26}"/>
    <cellStyle name="Note 2 18 4 3" xfId="33876" xr:uid="{621BCAF7-CDF7-4D72-A4B9-8243784B5EF0}"/>
    <cellStyle name="Note 2 18 5" xfId="9103" xr:uid="{20A5F328-0924-486A-A29F-22F6A9F132AD}"/>
    <cellStyle name="Note 2 18 5 2" xfId="33877" xr:uid="{8212D531-D72A-40C1-83F8-126CD01BDEC1}"/>
    <cellStyle name="Note 2 18 6" xfId="33878" xr:uid="{FC8AE67C-4F75-44F3-9770-083CCDA24DCD}"/>
    <cellStyle name="Note 2 18 7" xfId="33879" xr:uid="{7EB251FC-3A64-45AA-B2A5-110A09EE5E7B}"/>
    <cellStyle name="Note 2 18 8" xfId="33880" xr:uid="{42A3F47A-47E9-40B5-A6E4-1EA74C633A2D}"/>
    <cellStyle name="Note 2 19" xfId="3265" xr:uid="{5CF064B6-7B5A-4B12-9DE0-58FD7CF0A5F4}"/>
    <cellStyle name="Note 2 19 2" xfId="5211" xr:uid="{FFDE66CC-3DDE-4165-9E70-794122E58F8E}"/>
    <cellStyle name="Note 2 19 2 2" xfId="18772" xr:uid="{34F3394A-B294-4584-A1AD-3187C16DD8B3}"/>
    <cellStyle name="Note 2 19 2 2 2" xfId="22389" xr:uid="{83C4341C-FD5D-4374-B284-F286A39052B8}"/>
    <cellStyle name="Note 2 19 2 3" xfId="33881" xr:uid="{2D8E4A65-9222-4AB5-B9EB-E80DEEE73DA4}"/>
    <cellStyle name="Note 2 19 2 4" xfId="33882" xr:uid="{6284708C-A372-488A-8045-547F63291601}"/>
    <cellStyle name="Note 2 19 2 5" xfId="33883" xr:uid="{C9BD171E-9F4F-4581-A616-520253AE89EB}"/>
    <cellStyle name="Note 2 19 2 6" xfId="33884" xr:uid="{24F3D8C4-0609-44C4-B22D-4E937BD06938}"/>
    <cellStyle name="Note 2 19 3" xfId="4246" xr:uid="{C0D476DD-89A5-4899-8DDE-E5F8FA3A097E}"/>
    <cellStyle name="Note 2 19 3 2" xfId="22388" xr:uid="{D678FD02-F204-4E09-873E-28B52E34A373}"/>
    <cellStyle name="Note 2 19 3 3" xfId="44061" xr:uid="{4C2D6BED-AF70-4CC2-875D-96A4060CC972}"/>
    <cellStyle name="Note 2 19 3 4" xfId="18771" xr:uid="{95920826-5EFA-4784-B272-3D05C8D810E3}"/>
    <cellStyle name="Note 2 19 4" xfId="6313" xr:uid="{A9191CA9-DFAC-41A5-8AFE-54EA18D4A9A2}"/>
    <cellStyle name="Note 2 19 4 2" xfId="45971" xr:uid="{C2B4AE36-0DE1-427B-820F-D89AD730A282}"/>
    <cellStyle name="Note 2 19 4 3" xfId="33885" xr:uid="{F03657A7-5D32-40F7-8F7E-400C5C5B3453}"/>
    <cellStyle name="Note 2 19 5" xfId="9104" xr:uid="{3E79358E-EE89-4FD8-9014-663AA3F4227B}"/>
    <cellStyle name="Note 2 19 5 2" xfId="33886" xr:uid="{C6CE8F94-97DC-458D-AE91-0AFD5785898D}"/>
    <cellStyle name="Note 2 19 6" xfId="33887" xr:uid="{6F3C29FA-5996-4E52-A248-A13BDC75CC78}"/>
    <cellStyle name="Note 2 19 7" xfId="33888" xr:uid="{5D29AB71-17A4-401C-8B56-9444B7E9AE45}"/>
    <cellStyle name="Note 2 19 8" xfId="33889" xr:uid="{F92E4A6A-A3C6-490A-986A-96631CA55C21}"/>
    <cellStyle name="Note 2 2" xfId="3266" xr:uid="{074D8972-DDCF-40BA-A1E5-42184269C767}"/>
    <cellStyle name="Note 2 2 10" xfId="8229" xr:uid="{F3E38891-FFBB-41F8-A081-A9108050B017}"/>
    <cellStyle name="Note 2 2 10 2" xfId="16077" xr:uid="{AC3C0A62-7FBB-4EB6-A0F8-84C2931CDD9C}"/>
    <cellStyle name="Note 2 2 10 2 2" xfId="18775" xr:uid="{44097767-975B-4C3C-BC05-E00D4C8B0331}"/>
    <cellStyle name="Note 2 2 10 2 2 2" xfId="22392" xr:uid="{9149A09E-94DE-4243-AC0C-1622777E2089}"/>
    <cellStyle name="Note 2 2 10 2 3" xfId="33890" xr:uid="{89EE8E8F-875B-4861-8CFB-F87CA5CBCDF1}"/>
    <cellStyle name="Note 2 2 10 2 4" xfId="33891" xr:uid="{829C679E-497D-487C-BE38-B836F41D5BB1}"/>
    <cellStyle name="Note 2 2 10 2 5" xfId="33892" xr:uid="{C6295F36-B04E-4E0E-9960-2F315510B1CB}"/>
    <cellStyle name="Note 2 2 10 2 6" xfId="33893" xr:uid="{9826D11D-18BF-4963-A2D1-15703F20F927}"/>
    <cellStyle name="Note 2 2 10 3" xfId="18774" xr:uid="{ED7631A1-ABA2-4AE3-B011-1EF3AB3D8860}"/>
    <cellStyle name="Note 2 2 10 3 2" xfId="22391" xr:uid="{5473701D-8D30-4ADA-8770-9C904A147881}"/>
    <cellStyle name="Note 2 2 10 4" xfId="33894" xr:uid="{11B9D75D-F4CA-419C-950F-18D1D067CC5B}"/>
    <cellStyle name="Note 2 2 10 5" xfId="33895" xr:uid="{78923B41-060E-4CFD-A8DB-B65720017CED}"/>
    <cellStyle name="Note 2 2 10 6" xfId="33896" xr:uid="{4E6BDD41-F162-45F8-B739-4CCC51A1A037}"/>
    <cellStyle name="Note 2 2 10 7" xfId="33897" xr:uid="{6DB77E53-9848-421A-9843-B443A9ADB9EB}"/>
    <cellStyle name="Note 2 2 10 8" xfId="15381" xr:uid="{B3E51E2E-8DAB-467A-868E-F18A25DF7E56}"/>
    <cellStyle name="Note 2 2 11" xfId="11079" xr:uid="{FE12F456-A83C-4346-AD9D-38C0D939B230}"/>
    <cellStyle name="Note 2 2 11 2" xfId="18776" xr:uid="{6AA28EC0-31D9-4614-B802-C247431AA08C}"/>
    <cellStyle name="Note 2 2 11 2 2" xfId="22393" xr:uid="{A6BA366F-DB15-4F7B-8C44-F8DFF53E83D4}"/>
    <cellStyle name="Note 2 2 11 3" xfId="33898" xr:uid="{D2821852-0AB1-4792-B5A7-987A5A5D081B}"/>
    <cellStyle name="Note 2 2 11 4" xfId="33899" xr:uid="{46DCEA0C-76B5-44EB-B9F9-940D93739A39}"/>
    <cellStyle name="Note 2 2 11 5" xfId="33900" xr:uid="{A7F012A8-5668-4754-AE5B-43AD45BC84E7}"/>
    <cellStyle name="Note 2 2 11 6" xfId="33901" xr:uid="{5857AFCB-A993-4AA1-A62A-0036BAEA71D8}"/>
    <cellStyle name="Note 2 2 12" xfId="10516" xr:uid="{E2E24657-585D-4904-9DAD-0E66E42FE3AA}"/>
    <cellStyle name="Note 2 2 12 2" xfId="18777" xr:uid="{419FFAFF-0544-4D7F-8C79-9A161CCCB6F5}"/>
    <cellStyle name="Note 2 2 12 2 2" xfId="22394" xr:uid="{914DADD1-8A9F-47E0-BF41-F5A026B41E37}"/>
    <cellStyle name="Note 2 2 12 3" xfId="33902" xr:uid="{65B031D5-54DE-46BF-879F-2482B5746EED}"/>
    <cellStyle name="Note 2 2 12 4" xfId="33903" xr:uid="{A084918E-0933-41CD-92D6-D30A99077E3B}"/>
    <cellStyle name="Note 2 2 12 5" xfId="33904" xr:uid="{41DCAAD3-B299-417E-B748-08E06C91E6C5}"/>
    <cellStyle name="Note 2 2 12 6" xfId="33905" xr:uid="{35D3BDE1-E38C-4DD3-8BE4-7FF6D80C1D61}"/>
    <cellStyle name="Note 2 2 12 7" xfId="16078" xr:uid="{B5340032-34F5-4514-AF00-7EE01E51A3C9}"/>
    <cellStyle name="Note 2 2 13" xfId="11202" xr:uid="{354ACCD7-B7AC-4AF2-B85D-7CC25500E86E}"/>
    <cellStyle name="Note 2 2 13 2" xfId="18778" xr:uid="{977895E5-235F-4D89-AEC4-164180CE67D3}"/>
    <cellStyle name="Note 2 2 13 2 2" xfId="22395" xr:uid="{1CEECAFD-31D2-4317-A971-2716F88FD47C}"/>
    <cellStyle name="Note 2 2 13 3" xfId="33906" xr:uid="{68B7493E-9CAA-4951-A03A-AA90F79413A0}"/>
    <cellStyle name="Note 2 2 13 4" xfId="33907" xr:uid="{B36CD2A9-7782-4992-B936-DFB172CF98E6}"/>
    <cellStyle name="Note 2 2 13 5" xfId="33908" xr:uid="{A17CD7AB-C8EB-4A03-A391-F520978BDE92}"/>
    <cellStyle name="Note 2 2 13 6" xfId="33909" xr:uid="{0D1A5111-DB00-4A1C-A148-7C36C9984CBB}"/>
    <cellStyle name="Note 2 2 14" xfId="10836" xr:uid="{E7F9F587-0CAD-48B0-BE59-36F5D5E7CC39}"/>
    <cellStyle name="Note 2 2 14 2" xfId="18779" xr:uid="{E430C1F8-0B69-495B-B7EC-2AE64331B9A2}"/>
    <cellStyle name="Note 2 2 14 2 2" xfId="22396" xr:uid="{1BE977DA-F474-4BFA-8536-F4FB67D3E7A6}"/>
    <cellStyle name="Note 2 2 14 3" xfId="33910" xr:uid="{65A8EF23-0495-4328-8676-76E84374B614}"/>
    <cellStyle name="Note 2 2 14 4" xfId="33911" xr:uid="{45E1ECAC-1F07-493F-A6DB-E84CF369D1DA}"/>
    <cellStyle name="Note 2 2 14 5" xfId="33912" xr:uid="{ED287A96-C532-4FBC-8BA7-989E0424D5B5}"/>
    <cellStyle name="Note 2 2 14 6" xfId="33913" xr:uid="{B056CC67-5B1D-4AE7-8278-EFA1F4CE74FA}"/>
    <cellStyle name="Note 2 2 14 7" xfId="16079" xr:uid="{6D7553D3-8B1A-48C4-A478-759DC003F79E}"/>
    <cellStyle name="Note 2 2 15" xfId="16080" xr:uid="{5DC59CD9-A04D-40DE-8676-74BB9F7DCABE}"/>
    <cellStyle name="Note 2 2 15 2" xfId="18780" xr:uid="{0DE1DA09-F7EE-45BD-AB2C-FB0B1C693DEE}"/>
    <cellStyle name="Note 2 2 15 2 2" xfId="22397" xr:uid="{6C4FBCC4-371C-4451-B2EA-AC7A5BB1AFDB}"/>
    <cellStyle name="Note 2 2 15 3" xfId="33914" xr:uid="{6E12C825-CB30-4E5F-9A3A-4CFE9E54D965}"/>
    <cellStyle name="Note 2 2 15 4" xfId="33915" xr:uid="{F91913F3-0829-4C56-ADCC-BBEE3A5EC557}"/>
    <cellStyle name="Note 2 2 15 5" xfId="33916" xr:uid="{B4614702-516E-468F-B74C-22F9DBBBBA7E}"/>
    <cellStyle name="Note 2 2 15 6" xfId="33917" xr:uid="{635A3E4E-D01A-4F6F-8A9E-B04FAEEABCCF}"/>
    <cellStyle name="Note 2 2 16" xfId="18773" xr:uid="{72FE1EF7-84E7-477E-A4DD-5F48B112986F}"/>
    <cellStyle name="Note 2 2 16 2" xfId="22390" xr:uid="{600CE1F2-BF89-40DE-8BFB-EE45AB98B669}"/>
    <cellStyle name="Note 2 2 17" xfId="33918" xr:uid="{0EE44431-EC95-4F76-8BE6-CCDC8850DF3C}"/>
    <cellStyle name="Note 2 2 18" xfId="33919" xr:uid="{E480978D-874C-4963-B2EA-DDFEE08D3398}"/>
    <cellStyle name="Note 2 2 19" xfId="33920" xr:uid="{8943D94D-EE97-4CCC-AD21-1A8666F396C0}"/>
    <cellStyle name="Note 2 2 2" xfId="3267" xr:uid="{9869B417-9F06-4D43-85B3-B7F640B2BD5B}"/>
    <cellStyle name="Note 2 2 2 10" xfId="5212" xr:uid="{05C1EE31-4930-46E5-9338-6B897D45560E}"/>
    <cellStyle name="Note 2 2 2 10 2" xfId="18782" xr:uid="{4907DF44-0FFA-485B-99FB-F36722350774}"/>
    <cellStyle name="Note 2 2 2 10 2 2" xfId="22399" xr:uid="{EB0EC859-2C42-4C2D-8831-C5066C4BA2CD}"/>
    <cellStyle name="Note 2 2 2 10 3" xfId="33921" xr:uid="{80A96460-DC06-4EFD-AFC3-41B7D2AA4952}"/>
    <cellStyle name="Note 2 2 2 10 4" xfId="33922" xr:uid="{C2231A1B-426E-45F2-B0EC-2B657D789CEB}"/>
    <cellStyle name="Note 2 2 2 10 5" xfId="33923" xr:uid="{408C274F-AFAC-4EE2-A2CD-C0120AA5C24D}"/>
    <cellStyle name="Note 2 2 2 10 6" xfId="33924" xr:uid="{FCB49F12-63E1-4A7B-A74A-82A4F50DF9E6}"/>
    <cellStyle name="Note 2 2 2 10 7" xfId="43674" xr:uid="{73E927AB-1943-4987-9EAB-A5E98F398F68}"/>
    <cellStyle name="Note 2 2 2 10 8" xfId="16081" xr:uid="{9E0BFBD7-6149-458F-BE6D-1B3E23FD295D}"/>
    <cellStyle name="Note 2 2 2 11" xfId="4247" xr:uid="{B7E9581D-AC1A-4074-B856-217F82BCCEC6}"/>
    <cellStyle name="Note 2 2 2 11 2" xfId="18783" xr:uid="{9829FD36-A95C-4B8B-BC4A-1E9BCDD0B537}"/>
    <cellStyle name="Note 2 2 2 11 2 2" xfId="22400" xr:uid="{BBC93D08-3048-4348-8E01-1C24F58D3FC3}"/>
    <cellStyle name="Note 2 2 2 11 3" xfId="33925" xr:uid="{FFA23CFD-D8C2-4FD4-9C0A-9F7A0830A365}"/>
    <cellStyle name="Note 2 2 2 11 4" xfId="33926" xr:uid="{A4091448-DC23-4333-BA62-5B1515E60D49}"/>
    <cellStyle name="Note 2 2 2 11 5" xfId="33927" xr:uid="{9140F98A-D765-429B-A7F9-DD80D0802F55}"/>
    <cellStyle name="Note 2 2 2 11 6" xfId="33928" xr:uid="{B677E8E2-9755-4947-B84C-DAD458129CA1}"/>
    <cellStyle name="Note 2 2 2 11 7" xfId="44062" xr:uid="{6B585AEC-C41B-4481-AB6D-880D4E94188C}"/>
    <cellStyle name="Note 2 2 2 11 8" xfId="16082" xr:uid="{38690F39-B33F-45F4-B814-0698DDE1BF57}"/>
    <cellStyle name="Note 2 2 2 12" xfId="6314" xr:uid="{9CDC7EF8-30D7-4B6D-BE3B-E310B470A6DF}"/>
    <cellStyle name="Note 2 2 2 12 2" xfId="22398" xr:uid="{C5EA31F4-5892-47AE-B010-8BCB61F917E8}"/>
    <cellStyle name="Note 2 2 2 12 3" xfId="45972" xr:uid="{0E4CFB93-7EC7-4C18-AF14-FC9697C072D2}"/>
    <cellStyle name="Note 2 2 2 12 4" xfId="18781" xr:uid="{3E58E51E-4D48-45DB-9B2C-81C35BE12CBB}"/>
    <cellStyle name="Note 2 2 2 13" xfId="9106" xr:uid="{89E9B01F-35BB-48CF-AE19-F08C16CB3F17}"/>
    <cellStyle name="Note 2 2 2 13 2" xfId="33929" xr:uid="{90BA8A5B-2513-47F0-8F14-5CC6B968EDA9}"/>
    <cellStyle name="Note 2 2 2 14" xfId="33930" xr:uid="{1BE8E555-3B81-4F3A-B530-984675C8488B}"/>
    <cellStyle name="Note 2 2 2 15" xfId="33931" xr:uid="{F18872EA-422B-4285-9F25-0E8F0C45EE0C}"/>
    <cellStyle name="Note 2 2 2 16" xfId="33932" xr:uid="{B7F15BC9-0182-4512-B5E7-73D9E605687B}"/>
    <cellStyle name="Note 2 2 2 17" xfId="33933" xr:uid="{4C49B832-CC6F-4A1C-A568-FB91666DBF16}"/>
    <cellStyle name="Note 2 2 2 2" xfId="3268" xr:uid="{7D622056-5D87-4341-B349-727994AA5DE7}"/>
    <cellStyle name="Note 2 2 2 2 10" xfId="10848" xr:uid="{41C08A2B-525C-42E6-95B2-C883D1664822}"/>
    <cellStyle name="Note 2 2 2 2 10 2" xfId="16083" xr:uid="{536F62EC-35A6-4FFD-8B78-AFE12EED7CA6}"/>
    <cellStyle name="Note 2 2 2 2 10 2 2" xfId="18786" xr:uid="{D6E6E2DA-BFE0-4117-8C0A-D6CCE6BC4147}"/>
    <cellStyle name="Note 2 2 2 2 10 2 2 2" xfId="22403" xr:uid="{BBF29430-AB82-4176-ABD0-366FFA787073}"/>
    <cellStyle name="Note 2 2 2 2 10 2 3" xfId="33934" xr:uid="{8BD91201-6FF9-4049-9052-BCDF016A8159}"/>
    <cellStyle name="Note 2 2 2 2 10 2 4" xfId="33935" xr:uid="{78CAD787-BC41-4065-B3BB-ACA9066BC57B}"/>
    <cellStyle name="Note 2 2 2 2 10 2 5" xfId="33936" xr:uid="{E7AAACDD-ADB4-4E2A-A3C9-2DA226AEC19A}"/>
    <cellStyle name="Note 2 2 2 2 10 2 6" xfId="33937" xr:uid="{8184CC67-C670-44B9-A4BA-585D16F6103E}"/>
    <cellStyle name="Note 2 2 2 2 10 3" xfId="18785" xr:uid="{8C689CBF-66F4-4B1E-B89B-4A0129CD042F}"/>
    <cellStyle name="Note 2 2 2 2 10 3 2" xfId="22402" xr:uid="{01441610-00C7-4548-B58C-BC882F917B50}"/>
    <cellStyle name="Note 2 2 2 2 10 4" xfId="33938" xr:uid="{857BFBDE-9BC6-46FA-B433-90F52EFEC65A}"/>
    <cellStyle name="Note 2 2 2 2 10 5" xfId="33939" xr:uid="{A863EB08-327C-4E88-B2B6-AC0653DE1C83}"/>
    <cellStyle name="Note 2 2 2 2 10 6" xfId="33940" xr:uid="{99371AE7-C56F-4F1C-8BDC-B72C3F5898DD}"/>
    <cellStyle name="Note 2 2 2 2 10 7" xfId="33941" xr:uid="{8C3D6782-4407-4F0E-81F0-3674228B870C}"/>
    <cellStyle name="Note 2 2 2 2 10 8" xfId="15382" xr:uid="{18909E61-D63F-4CFC-B263-D98028334B0F}"/>
    <cellStyle name="Note 2 2 2 2 11" xfId="10634" xr:uid="{E57495A7-8EEA-4D56-95D0-1810EEBF6CAB}"/>
    <cellStyle name="Note 2 2 2 2 11 2" xfId="18787" xr:uid="{E9AF493C-8FFB-4460-A7F5-9E16F931BDD8}"/>
    <cellStyle name="Note 2 2 2 2 11 2 2" xfId="22404" xr:uid="{B3F7A372-C838-4040-94A5-BF53A92978F5}"/>
    <cellStyle name="Note 2 2 2 2 11 3" xfId="33942" xr:uid="{9F1D22DC-F705-4F0B-BB3B-4B49A99D9FE4}"/>
    <cellStyle name="Note 2 2 2 2 11 4" xfId="33943" xr:uid="{5BE12745-598C-4D81-8B83-06C72002A42B}"/>
    <cellStyle name="Note 2 2 2 2 11 5" xfId="33944" xr:uid="{15DC3E48-FBF4-4621-9B48-9579F882964B}"/>
    <cellStyle name="Note 2 2 2 2 11 6" xfId="33945" xr:uid="{526CF6C4-9AC9-43B5-9F3A-8E482E3D3D01}"/>
    <cellStyle name="Note 2 2 2 2 12" xfId="10967" xr:uid="{5F116C30-0E9A-4C05-B989-8308E925CF30}"/>
    <cellStyle name="Note 2 2 2 2 12 2" xfId="18788" xr:uid="{06C9A616-5BD1-404F-B91F-CE6F7EE995EC}"/>
    <cellStyle name="Note 2 2 2 2 12 2 2" xfId="22405" xr:uid="{F8413F5B-C89D-479C-BCD2-2752CA029119}"/>
    <cellStyle name="Note 2 2 2 2 12 3" xfId="33946" xr:uid="{46F3C000-EDFC-4A4C-A924-543B5BADB0CC}"/>
    <cellStyle name="Note 2 2 2 2 12 4" xfId="33947" xr:uid="{7D34C1BC-82CD-40F3-BAD9-902586FB374C}"/>
    <cellStyle name="Note 2 2 2 2 12 5" xfId="33948" xr:uid="{D60580F1-89D4-4135-BB92-B355FB92D304}"/>
    <cellStyle name="Note 2 2 2 2 12 6" xfId="33949" xr:uid="{5BD0F847-3638-44BE-BFB7-42934B18E012}"/>
    <cellStyle name="Note 2 2 2 2 12 7" xfId="16084" xr:uid="{C6FCC1AC-8AB7-4954-8AB1-160EF034AB6E}"/>
    <cellStyle name="Note 2 2 2 2 13" xfId="16085" xr:uid="{2A79F9FC-B5F2-4DE4-84E8-38CF050FFE39}"/>
    <cellStyle name="Note 2 2 2 2 13 2" xfId="18789" xr:uid="{757C7E38-87AA-4E46-8B1D-82E445BD9EBD}"/>
    <cellStyle name="Note 2 2 2 2 13 2 2" xfId="22406" xr:uid="{96F19D26-E3CB-49C5-A0FA-7934C6031FBE}"/>
    <cellStyle name="Note 2 2 2 2 13 3" xfId="33950" xr:uid="{D26E97C4-7DFD-4973-B950-477DC00E2146}"/>
    <cellStyle name="Note 2 2 2 2 13 4" xfId="33951" xr:uid="{3E3E1B91-F464-4C51-BA26-8077CF1C2F08}"/>
    <cellStyle name="Note 2 2 2 2 13 5" xfId="33952" xr:uid="{19484494-1765-4443-B2B7-AA42E9610465}"/>
    <cellStyle name="Note 2 2 2 2 13 6" xfId="33953" xr:uid="{D49D6D42-B200-4276-9198-688ED0CD5B0D}"/>
    <cellStyle name="Note 2 2 2 2 14" xfId="16086" xr:uid="{346DF708-3E2B-4006-B7C4-6F34F69AE2A5}"/>
    <cellStyle name="Note 2 2 2 2 14 2" xfId="18790" xr:uid="{E3615D9C-9F6E-4EEE-89F9-0B0CC92463D6}"/>
    <cellStyle name="Note 2 2 2 2 14 2 2" xfId="22407" xr:uid="{22A9E52C-45FB-494B-A34A-1851450F99DF}"/>
    <cellStyle name="Note 2 2 2 2 14 3" xfId="33954" xr:uid="{1DDCC3F2-21FB-4030-B59C-7D4C5FAB6128}"/>
    <cellStyle name="Note 2 2 2 2 14 4" xfId="33955" xr:uid="{00B66915-8C24-439F-B0C9-4353C13A614D}"/>
    <cellStyle name="Note 2 2 2 2 14 5" xfId="33956" xr:uid="{AA7EBC57-D679-4C57-A560-E7F5420D77D0}"/>
    <cellStyle name="Note 2 2 2 2 14 6" xfId="33957" xr:uid="{B19DB19D-C60B-4943-9058-9EF0FF98381F}"/>
    <cellStyle name="Note 2 2 2 2 15" xfId="16087" xr:uid="{54C4D5C6-1CC2-4267-8E7D-4486CC0BACBE}"/>
    <cellStyle name="Note 2 2 2 2 15 2" xfId="18791" xr:uid="{4E60F0BA-5327-4FD1-8A99-E6EDC176E39B}"/>
    <cellStyle name="Note 2 2 2 2 15 2 2" xfId="22408" xr:uid="{3B221758-6C0A-4145-8FA8-EF6862C9487C}"/>
    <cellStyle name="Note 2 2 2 2 15 3" xfId="33958" xr:uid="{A2437B00-07FF-415E-BB0B-95436E95DD7E}"/>
    <cellStyle name="Note 2 2 2 2 15 4" xfId="33959" xr:uid="{AEAC252B-DB04-46FD-BDAA-ADD8C4564D87}"/>
    <cellStyle name="Note 2 2 2 2 15 5" xfId="33960" xr:uid="{31DCCD8B-C168-4AC4-B4F8-7BFEA8A6DA35}"/>
    <cellStyle name="Note 2 2 2 2 15 6" xfId="33961" xr:uid="{0DA595DE-8020-4060-A9F1-E741E77E6704}"/>
    <cellStyle name="Note 2 2 2 2 16" xfId="18784" xr:uid="{0950E185-9332-4FE8-8110-A11981660C82}"/>
    <cellStyle name="Note 2 2 2 2 16 2" xfId="22401" xr:uid="{98A497E0-689A-4AF7-AB61-A339E1FDC655}"/>
    <cellStyle name="Note 2 2 2 2 17" xfId="33962" xr:uid="{A40D1FBC-4B2C-47FA-8628-CE3DE4BA5721}"/>
    <cellStyle name="Note 2 2 2 2 18" xfId="33963" xr:uid="{B1BFB313-82C9-4AE3-A2FA-E442DE254B62}"/>
    <cellStyle name="Note 2 2 2 2 19" xfId="33964" xr:uid="{A679DE5B-C975-4A1F-B1C7-A1D3C8CEAFC3}"/>
    <cellStyle name="Note 2 2 2 2 2" xfId="3269" xr:uid="{712A2BED-1C83-4870-8D8F-01987A0BE5A9}"/>
    <cellStyle name="Note 2 2 2 2 2 10" xfId="6315" xr:uid="{292A01DC-3345-46F4-9651-9E04DEE9C931}"/>
    <cellStyle name="Note 2 2 2 2 2 10 2" xfId="45973" xr:uid="{4EF6CDED-7D38-4124-88AC-B233C1D0D31F}"/>
    <cellStyle name="Note 2 2 2 2 2 10 3" xfId="33965" xr:uid="{AC577663-72E1-43B4-947A-B889EEF59906}"/>
    <cellStyle name="Note 2 2 2 2 2 11" xfId="9107" xr:uid="{BA8BEE7F-61AF-4DDF-8A16-BF3C112BBDC1}"/>
    <cellStyle name="Note 2 2 2 2 2 11 2" xfId="33966" xr:uid="{916E7946-1E98-45A2-8B60-A3D4606E0F46}"/>
    <cellStyle name="Note 2 2 2 2 2 12" xfId="33967" xr:uid="{B30F8D09-3C15-4528-A074-96324EB95EBB}"/>
    <cellStyle name="Note 2 2 2 2 2 13" xfId="33968" xr:uid="{0C132BCA-357F-4457-BA01-598706A772D5}"/>
    <cellStyle name="Note 2 2 2 2 2 14" xfId="33969" xr:uid="{30B69950-92E3-4A37-98C5-046D48583F32}"/>
    <cellStyle name="Note 2 2 2 2 2 2" xfId="3270" xr:uid="{62EA7B51-C940-4CB7-9505-4E079ABE8056}"/>
    <cellStyle name="Note 2 2 2 2 2 2 10" xfId="33970" xr:uid="{6F292AED-0820-476E-8354-3D6525CCA7A0}"/>
    <cellStyle name="Note 2 2 2 2 2 2 2" xfId="3271" xr:uid="{2AA5F75C-31D4-4BAD-A70F-2242552E2C59}"/>
    <cellStyle name="Note 2 2 2 2 2 2 2 2" xfId="3272" xr:uid="{00908C88-DB5B-4DCE-898E-7EA6B3A02E1E}"/>
    <cellStyle name="Note 2 2 2 2 2 2 2 2 2" xfId="5215" xr:uid="{D48902F3-E5D6-4120-8C4E-8F96AC3A79B1}"/>
    <cellStyle name="Note 2 2 2 2 2 2 2 2 2 2" xfId="18796" xr:uid="{D83A848B-3227-420F-857A-B03F93BA9D90}"/>
    <cellStyle name="Note 2 2 2 2 2 2 2 2 2 2 2" xfId="22413" xr:uid="{76A2B916-7C24-410F-8574-2AE6BFAA020C}"/>
    <cellStyle name="Note 2 2 2 2 2 2 2 2 2 3" xfId="33971" xr:uid="{3C4FE827-D433-40E8-A8DB-1C89C61DBF52}"/>
    <cellStyle name="Note 2 2 2 2 2 2 2 2 2 4" xfId="33972" xr:uid="{94F6161C-D208-458F-B797-1BB64C9095FA}"/>
    <cellStyle name="Note 2 2 2 2 2 2 2 2 2 5" xfId="33973" xr:uid="{4DB40DD4-2BAC-49AA-B087-BE63B605ED32}"/>
    <cellStyle name="Note 2 2 2 2 2 2 2 2 2 6" xfId="33974" xr:uid="{9BB8E774-6AB9-40C5-B752-EC10FE0A25CB}"/>
    <cellStyle name="Note 2 2 2 2 2 2 2 2 3" xfId="6955" xr:uid="{5C107D1B-C791-41A0-866B-2162BD9B1CC5}"/>
    <cellStyle name="Note 2 2 2 2 2 2 2 2 3 2" xfId="22412" xr:uid="{A2E4E717-99AF-4B4D-A851-CD676047B764}"/>
    <cellStyle name="Note 2 2 2 2 2 2 2 2 3 3" xfId="46416" xr:uid="{DB465D92-B49E-4537-A145-FF362E147FF8}"/>
    <cellStyle name="Note 2 2 2 2 2 2 2 2 3 4" xfId="18795" xr:uid="{58DB1974-9CE6-4D6F-8764-E65DF23EB820}"/>
    <cellStyle name="Note 2 2 2 2 2 2 2 2 4" xfId="9110" xr:uid="{8BBEA769-ED59-49D4-BB64-FD68F5B901FB}"/>
    <cellStyle name="Note 2 2 2 2 2 2 2 2 4 2" xfId="33975" xr:uid="{0AE967F0-8BCA-45C9-B61D-603F992B9757}"/>
    <cellStyle name="Note 2 2 2 2 2 2 2 2 5" xfId="33976" xr:uid="{74BF1FD6-940C-45F6-B2D6-884C2AF7A0BB}"/>
    <cellStyle name="Note 2 2 2 2 2 2 2 2 6" xfId="33977" xr:uid="{A6D6A934-D6D3-4DD4-8704-51603468A0AA}"/>
    <cellStyle name="Note 2 2 2 2 2 2 2 2 7" xfId="33978" xr:uid="{E02C1F94-1743-4DBE-811D-B89C110EA3AE}"/>
    <cellStyle name="Note 2 2 2 2 2 2 2 3" xfId="18794" xr:uid="{85A632F3-B08C-4D04-9615-0E93F26FC974}"/>
    <cellStyle name="Note 2 2 2 2 2 2 2 3 2" xfId="22411" xr:uid="{203F0313-3A68-467B-9CF4-6028645BB119}"/>
    <cellStyle name="Note 2 2 2 2 2 2 2 4" xfId="33979" xr:uid="{38946E16-6420-406B-8A2A-BEDFAB2DD532}"/>
    <cellStyle name="Note 2 2 2 2 2 2 2 5" xfId="33980" xr:uid="{56C37003-C865-4066-8F7C-77F45721758D}"/>
    <cellStyle name="Note 2 2 2 2 2 2 2 6" xfId="33981" xr:uid="{536404E9-B963-42FA-ACE5-2F4929D1B448}"/>
    <cellStyle name="Note 2 2 2 2 2 2 2 7" xfId="33982" xr:uid="{BC853A6B-2968-45FF-828A-B9118E1E45A0}"/>
    <cellStyle name="Note 2 2 2 2 2 2 3" xfId="5214" xr:uid="{CDB15C14-9781-4F85-825D-EEFE989557E4}"/>
    <cellStyle name="Note 2 2 2 2 2 2 3 2" xfId="18797" xr:uid="{B6BC9347-FE4D-487F-A774-C8FD00B074F9}"/>
    <cellStyle name="Note 2 2 2 2 2 2 3 2 2" xfId="22414" xr:uid="{0B00D79E-71E4-4A82-94DE-A3802F52F85E}"/>
    <cellStyle name="Note 2 2 2 2 2 2 3 3" xfId="33983" xr:uid="{CAC66D98-D270-4EA5-9D86-1A6A7FE9A38F}"/>
    <cellStyle name="Note 2 2 2 2 2 2 3 4" xfId="33984" xr:uid="{6B8E2F5A-5D90-4B15-A510-E087A80E0230}"/>
    <cellStyle name="Note 2 2 2 2 2 2 3 5" xfId="33985" xr:uid="{6D4B0E77-1093-41A3-9A75-60794A61B6AA}"/>
    <cellStyle name="Note 2 2 2 2 2 2 3 6" xfId="33986" xr:uid="{221FC00D-24F4-4C74-9067-E7ADFCFB36D7}"/>
    <cellStyle name="Note 2 2 2 2 2 2 4" xfId="4249" xr:uid="{32790120-5F3C-426E-A9B0-93A8FA71EAB8}"/>
    <cellStyle name="Note 2 2 2 2 2 2 4 2" xfId="18798" xr:uid="{0D7E026D-A3DF-4D21-B728-933EF7C545B9}"/>
    <cellStyle name="Note 2 2 2 2 2 2 4 2 2" xfId="22415" xr:uid="{796988D3-4FCF-4993-9604-FCB666EC8361}"/>
    <cellStyle name="Note 2 2 2 2 2 2 4 3" xfId="33987" xr:uid="{33935DE5-CFD5-4976-92B8-48B38B62D61F}"/>
    <cellStyle name="Note 2 2 2 2 2 2 4 4" xfId="33988" xr:uid="{603B8BEA-BE7C-4DBA-A015-D605CCA5C48F}"/>
    <cellStyle name="Note 2 2 2 2 2 2 4 5" xfId="33989" xr:uid="{AF7A061B-2072-453E-840E-6B8F64C40E1A}"/>
    <cellStyle name="Note 2 2 2 2 2 2 4 6" xfId="33990" xr:uid="{B2CE62C1-7B23-49FB-84D2-A861EE3B85AA}"/>
    <cellStyle name="Note 2 2 2 2 2 2 5" xfId="6316" xr:uid="{7A63BB19-B18F-436A-9690-EEED60A1D665}"/>
    <cellStyle name="Note 2 2 2 2 2 2 5 2" xfId="22410" xr:uid="{F4C78242-F1CF-4C3C-8C45-E0126A3660FC}"/>
    <cellStyle name="Note 2 2 2 2 2 2 5 3" xfId="45974" xr:uid="{62043D3E-180D-40D5-8705-2AE560940A89}"/>
    <cellStyle name="Note 2 2 2 2 2 2 5 4" xfId="18793" xr:uid="{EC987F53-6CBE-42DC-A499-571BA48785B4}"/>
    <cellStyle name="Note 2 2 2 2 2 2 6" xfId="9108" xr:uid="{E411C6EB-8EBB-4C80-824B-0EBC8B826479}"/>
    <cellStyle name="Note 2 2 2 2 2 2 6 2" xfId="33991" xr:uid="{28B7164F-8C54-4A9B-8C95-AB93199AC770}"/>
    <cellStyle name="Note 2 2 2 2 2 2 7" xfId="33992" xr:uid="{9629D479-E2D8-442D-9042-0FD1FCEFC039}"/>
    <cellStyle name="Note 2 2 2 2 2 2 8" xfId="33993" xr:uid="{353CA9E7-F6A7-481E-96CF-B30936874025}"/>
    <cellStyle name="Note 2 2 2 2 2 2 9" xfId="33994" xr:uid="{2CFA9061-6E66-4F52-ADBD-37CFB8E1C18F}"/>
    <cellStyle name="Note 2 2 2 2 2 2_TRA" xfId="3273" xr:uid="{52660C8B-299C-4E44-9E59-C4CF933F50E8}"/>
    <cellStyle name="Note 2 2 2 2 2 3" xfId="3274" xr:uid="{7D9E1EB0-A15E-49D8-883F-30E18C2613D3}"/>
    <cellStyle name="Note 2 2 2 2 2 3 2" xfId="5216" xr:uid="{CEEFBA61-676A-4BF6-968D-C060830C7A86}"/>
    <cellStyle name="Note 2 2 2 2 2 3 2 2" xfId="18800" xr:uid="{33270D9A-BF34-49DA-8D5D-EF5467F7CA87}"/>
    <cellStyle name="Note 2 2 2 2 2 3 2 2 2" xfId="22417" xr:uid="{2E0F1A33-7C20-4247-A586-8B09CA6CDB18}"/>
    <cellStyle name="Note 2 2 2 2 2 3 2 3" xfId="33995" xr:uid="{356C91FF-12BF-4047-A263-9145CF5A4D4F}"/>
    <cellStyle name="Note 2 2 2 2 2 3 2 4" xfId="33996" xr:uid="{29096002-CC3B-4257-B619-57F01F0A0264}"/>
    <cellStyle name="Note 2 2 2 2 2 3 2 5" xfId="33997" xr:uid="{BC3B7DF5-47AB-49CA-9C9E-2F59BEEC3153}"/>
    <cellStyle name="Note 2 2 2 2 2 3 2 6" xfId="33998" xr:uid="{39E49C3D-5ECF-430A-8B8C-780374249100}"/>
    <cellStyle name="Note 2 2 2 2 2 3 3" xfId="4250" xr:uid="{6558A317-F9A0-4CB2-B546-6EEB750B22AB}"/>
    <cellStyle name="Note 2 2 2 2 2 3 3 2" xfId="22416" xr:uid="{11D3349E-5751-438B-9641-A6ECBC0E6229}"/>
    <cellStyle name="Note 2 2 2 2 2 3 3 3" xfId="44064" xr:uid="{0ACF6A29-DA6E-42E1-97D0-273538A4F679}"/>
    <cellStyle name="Note 2 2 2 2 2 3 3 4" xfId="18799" xr:uid="{C5F31628-1173-4D59-B678-DF2E6424BC42}"/>
    <cellStyle name="Note 2 2 2 2 2 3 4" xfId="6317" xr:uid="{3DEF6814-D9F4-4CD4-B1A5-B119357BC282}"/>
    <cellStyle name="Note 2 2 2 2 2 3 4 2" xfId="45975" xr:uid="{0CB3D4B6-5FE6-4E7D-BC12-3A4B7833B9C3}"/>
    <cellStyle name="Note 2 2 2 2 2 3 4 3" xfId="33999" xr:uid="{F6777AFB-1102-435B-8A0B-D612F05F46A2}"/>
    <cellStyle name="Note 2 2 2 2 2 3 5" xfId="9111" xr:uid="{0BE9AC11-3747-4048-9D91-63F9359E6237}"/>
    <cellStyle name="Note 2 2 2 2 2 3 5 2" xfId="34000" xr:uid="{E9439852-4D76-43A8-8390-0C59169531DD}"/>
    <cellStyle name="Note 2 2 2 2 2 3 6" xfId="34001" xr:uid="{BABB282B-304D-4FCE-9D4F-FE7FC6795283}"/>
    <cellStyle name="Note 2 2 2 2 2 3 7" xfId="34002" xr:uid="{4AE865DA-33E2-4F18-93F9-0783A4EC7305}"/>
    <cellStyle name="Note 2 2 2 2 2 3 8" xfId="34003" xr:uid="{8CE84CCD-1AD5-40FF-B3BB-7A397B55C413}"/>
    <cellStyle name="Note 2 2 2 2 2 4" xfId="3275" xr:uid="{87CA5B20-34F5-44BB-BCC3-6F5E2E8CDC1E}"/>
    <cellStyle name="Note 2 2 2 2 2 4 2" xfId="5217" xr:uid="{CCB7C786-C895-441B-9A29-08AAC2D3AB6E}"/>
    <cellStyle name="Note 2 2 2 2 2 4 2 2" xfId="18802" xr:uid="{D7ACCE48-253E-452B-B06E-FD3E93B22886}"/>
    <cellStyle name="Note 2 2 2 2 2 4 2 2 2" xfId="22419" xr:uid="{9AEB7E8C-22B3-49BB-9E42-F683A1EE76E6}"/>
    <cellStyle name="Note 2 2 2 2 2 4 2 3" xfId="34004" xr:uid="{8A568975-DD4A-4389-9CED-814A4988BEBA}"/>
    <cellStyle name="Note 2 2 2 2 2 4 2 4" xfId="34005" xr:uid="{803D8126-3714-46B6-88EC-02B99F1D48A8}"/>
    <cellStyle name="Note 2 2 2 2 2 4 2 5" xfId="34006" xr:uid="{CF4AF7E6-3A8B-4254-A917-98BD9F2F81BB}"/>
    <cellStyle name="Note 2 2 2 2 2 4 2 6" xfId="34007" xr:uid="{9262A85D-F702-4E75-B06F-6D5118BC9470}"/>
    <cellStyle name="Note 2 2 2 2 2 4 3" xfId="6956" xr:uid="{FF115D80-13D4-406B-9592-0C30E4AA7B45}"/>
    <cellStyle name="Note 2 2 2 2 2 4 3 2" xfId="22418" xr:uid="{5C921E69-262F-4EB8-8756-00FBD7E8CCCB}"/>
    <cellStyle name="Note 2 2 2 2 2 4 3 3" xfId="46417" xr:uid="{1D7CEB32-9311-4C9F-8057-F2EC66D69349}"/>
    <cellStyle name="Note 2 2 2 2 2 4 3 4" xfId="18801" xr:uid="{E219BF84-D3E0-4775-9669-F669E51ED90E}"/>
    <cellStyle name="Note 2 2 2 2 2 4 4" xfId="9112" xr:uid="{7B5117E3-6287-4BCB-AF22-B7DE8C91D14E}"/>
    <cellStyle name="Note 2 2 2 2 2 4 4 2" xfId="34008" xr:uid="{83F497EC-7CC5-4930-8D94-31EA855A60E7}"/>
    <cellStyle name="Note 2 2 2 2 2 4 5" xfId="34009" xr:uid="{F4BCAA82-34D8-4E1C-8BC9-98D4F5069618}"/>
    <cellStyle name="Note 2 2 2 2 2 4 6" xfId="34010" xr:uid="{D4DB6088-30A8-4A06-8683-CB8D4FCC654D}"/>
    <cellStyle name="Note 2 2 2 2 2 4 7" xfId="34011" xr:uid="{FB174E33-FF41-470B-B058-98A8ECE57045}"/>
    <cellStyle name="Note 2 2 2 2 2 5" xfId="3276" xr:uid="{02C8B4AD-56B1-4C31-A79A-A5497CCD6420}"/>
    <cellStyle name="Note 2 2 2 2 2 5 2" xfId="5218" xr:uid="{8991DA9A-0964-4827-A3A0-D2572311AF60}"/>
    <cellStyle name="Note 2 2 2 2 2 5 2 2" xfId="18804" xr:uid="{88C8D97B-5539-4567-88DB-7A752AA6E9FE}"/>
    <cellStyle name="Note 2 2 2 2 2 5 2 2 2" xfId="22421" xr:uid="{29CF6C3E-A78D-4416-BD2C-569BB4F14CE0}"/>
    <cellStyle name="Note 2 2 2 2 2 5 2 3" xfId="34012" xr:uid="{0001497D-A980-4C2C-9F2B-2D5C3CE9271F}"/>
    <cellStyle name="Note 2 2 2 2 2 5 2 4" xfId="34013" xr:uid="{25BEED64-3923-4CDA-97DE-2B9F375A8CEA}"/>
    <cellStyle name="Note 2 2 2 2 2 5 2 5" xfId="34014" xr:uid="{2A814064-AAD7-406C-B4B5-C2F6CFB24218}"/>
    <cellStyle name="Note 2 2 2 2 2 5 2 6" xfId="34015" xr:uid="{F5C62C52-139A-4B7A-9221-4F7EE433B2B6}"/>
    <cellStyle name="Note 2 2 2 2 2 5 3" xfId="6957" xr:uid="{400839C9-A310-4505-B3CC-A8524B5FEB98}"/>
    <cellStyle name="Note 2 2 2 2 2 5 3 2" xfId="22420" xr:uid="{4E768A51-65C7-47F9-999E-624B3C115E2C}"/>
    <cellStyle name="Note 2 2 2 2 2 5 3 3" xfId="46418" xr:uid="{71D7BE00-6FAD-46CB-BBF5-AF7C7B7E8CAE}"/>
    <cellStyle name="Note 2 2 2 2 2 5 3 4" xfId="18803" xr:uid="{0292171E-C95A-4155-A9E9-FC42563A104A}"/>
    <cellStyle name="Note 2 2 2 2 2 5 4" xfId="9113" xr:uid="{F2986A67-CB23-40BF-87D6-16E01804C6BC}"/>
    <cellStyle name="Note 2 2 2 2 2 5 4 2" xfId="34016" xr:uid="{4E292618-13CB-407B-B4C1-35DDCA40389C}"/>
    <cellStyle name="Note 2 2 2 2 2 5 5" xfId="34017" xr:uid="{34653C39-9E4E-474B-83C4-0CBB0639D3D5}"/>
    <cellStyle name="Note 2 2 2 2 2 5 6" xfId="34018" xr:uid="{8B199F55-1A21-44A9-BD57-B1B8E4C4AD76}"/>
    <cellStyle name="Note 2 2 2 2 2 5 7" xfId="34019" xr:uid="{75E6526B-01FE-4872-A237-DB90571235E1}"/>
    <cellStyle name="Note 2 2 2 2 2 6" xfId="3277" xr:uid="{48A99D23-0262-4968-895D-F4277BA3B99D}"/>
    <cellStyle name="Note 2 2 2 2 2 6 2" xfId="5219" xr:uid="{A540BDEC-5185-4A61-BE48-9095B4D3943E}"/>
    <cellStyle name="Note 2 2 2 2 2 6 2 2" xfId="18806" xr:uid="{75D7C98C-3E18-43B9-A1F2-532326EFEF6D}"/>
    <cellStyle name="Note 2 2 2 2 2 6 2 2 2" xfId="22423" xr:uid="{3CB5B1CC-C413-4F89-81CC-12D9E0AD1640}"/>
    <cellStyle name="Note 2 2 2 2 2 6 2 3" xfId="34020" xr:uid="{930CDF1A-296E-46DE-87F7-DACD3173FBFF}"/>
    <cellStyle name="Note 2 2 2 2 2 6 2 4" xfId="34021" xr:uid="{F51C24CB-06E9-418A-ADD8-76C508EEE5F5}"/>
    <cellStyle name="Note 2 2 2 2 2 6 2 5" xfId="34022" xr:uid="{243979C4-BB8A-4A27-9CED-AE69F527A258}"/>
    <cellStyle name="Note 2 2 2 2 2 6 2 6" xfId="34023" xr:uid="{8E6CBF3E-25A6-4019-BDF5-6DCC8F6C8459}"/>
    <cellStyle name="Note 2 2 2 2 2 6 3" xfId="6958" xr:uid="{3CE87A9A-4102-473A-86A9-6CB450D254DC}"/>
    <cellStyle name="Note 2 2 2 2 2 6 3 2" xfId="22422" xr:uid="{D27AC0E9-3DC4-4F5D-B611-F7515256F911}"/>
    <cellStyle name="Note 2 2 2 2 2 6 3 3" xfId="46419" xr:uid="{255DE67F-E6BE-40F9-A772-F921D7B79E95}"/>
    <cellStyle name="Note 2 2 2 2 2 6 3 4" xfId="18805" xr:uid="{62CD5A4A-CE21-4024-8426-728FA83F9076}"/>
    <cellStyle name="Note 2 2 2 2 2 6 4" xfId="9114" xr:uid="{5F016CDB-19AA-4992-8D3E-EFF02DE9A9B0}"/>
    <cellStyle name="Note 2 2 2 2 2 6 4 2" xfId="34024" xr:uid="{4C270AFF-5B16-4E2B-A525-242F9E9D2CAE}"/>
    <cellStyle name="Note 2 2 2 2 2 6 5" xfId="34025" xr:uid="{8AC88175-ECDD-409E-B29E-987C86EFC089}"/>
    <cellStyle name="Note 2 2 2 2 2 6 6" xfId="34026" xr:uid="{2C97FFEB-4280-445A-8BF3-DDA607C6AD32}"/>
    <cellStyle name="Note 2 2 2 2 2 6 7" xfId="34027" xr:uid="{212ABCE2-A611-43A0-80D8-38AB589D7FCC}"/>
    <cellStyle name="Note 2 2 2 2 2 7" xfId="3278" xr:uid="{47F60414-08F8-4D0F-A919-9EC76B5898B2}"/>
    <cellStyle name="Note 2 2 2 2 2 7 2" xfId="18807" xr:uid="{745AAB6B-0EFA-4656-840B-94CA936800BD}"/>
    <cellStyle name="Note 2 2 2 2 2 7 2 2" xfId="22424" xr:uid="{AA10E51E-4D8D-4FA1-A5B6-D4C4120016EB}"/>
    <cellStyle name="Note 2 2 2 2 2 7 3" xfId="34028" xr:uid="{AE9F2684-636A-436A-9B7E-5C9D735FEDB7}"/>
    <cellStyle name="Note 2 2 2 2 2 7 4" xfId="34029" xr:uid="{6199CDA0-F725-4B99-A966-7684105BF8D0}"/>
    <cellStyle name="Note 2 2 2 2 2 7 5" xfId="34030" xr:uid="{487BF32A-A1F8-43CB-9327-66226CB01C47}"/>
    <cellStyle name="Note 2 2 2 2 2 7 6" xfId="34031" xr:uid="{557450D5-E26E-40CC-BA2F-BB85A2DA168F}"/>
    <cellStyle name="Note 2 2 2 2 2 8" xfId="5213" xr:uid="{6D0C9001-7BC3-4663-B1DC-60658EE3D034}"/>
    <cellStyle name="Note 2 2 2 2 2 8 2" xfId="18808" xr:uid="{8046B7DD-F2DD-48ED-BC4E-943D318031F4}"/>
    <cellStyle name="Note 2 2 2 2 2 8 2 2" xfId="22425" xr:uid="{E8CD9CAC-7E80-4AA4-8694-46159104D641}"/>
    <cellStyle name="Note 2 2 2 2 2 8 3" xfId="34032" xr:uid="{8F0379F5-BD5E-427D-9183-5ADDB68430DD}"/>
    <cellStyle name="Note 2 2 2 2 2 8 4" xfId="34033" xr:uid="{92ACE174-5961-4B46-A030-74EBAA87FBFB}"/>
    <cellStyle name="Note 2 2 2 2 2 8 5" xfId="34034" xr:uid="{A8DD93BE-1AA9-47FE-965C-2319E233438E}"/>
    <cellStyle name="Note 2 2 2 2 2 8 6" xfId="34035" xr:uid="{74AE6645-E737-47E9-8CB7-D089CB6600E4}"/>
    <cellStyle name="Note 2 2 2 2 2 8 7" xfId="43675" xr:uid="{5BC2D6CA-282A-4943-B72B-399E464A8A3D}"/>
    <cellStyle name="Note 2 2 2 2 2 8 8" xfId="16088" xr:uid="{1C8CFBD3-BFFD-402F-9741-A29D53424859}"/>
    <cellStyle name="Note 2 2 2 2 2 9" xfId="4248" xr:uid="{323A1E42-B003-4EE1-8526-11BC28796D79}"/>
    <cellStyle name="Note 2 2 2 2 2 9 2" xfId="22409" xr:uid="{2568C27A-6296-4C25-B36A-E43AF913B29C}"/>
    <cellStyle name="Note 2 2 2 2 2 9 3" xfId="44063" xr:uid="{8634CE08-AB97-4D87-9432-79F0D1CF06C8}"/>
    <cellStyle name="Note 2 2 2 2 2 9 4" xfId="18792" xr:uid="{DC884AE3-C7EF-4503-A40E-97DD2C381866}"/>
    <cellStyle name="Note 2 2 2 2 2_IND_UC" xfId="3279" xr:uid="{8ACF8ABB-0B5F-455E-8F98-B52482ADD5AA}"/>
    <cellStyle name="Note 2 2 2 2 20" xfId="34036" xr:uid="{C0394E8F-3AF0-4E22-A144-949D8F97FD0F}"/>
    <cellStyle name="Note 2 2 2 2 21" xfId="34037" xr:uid="{E8A32271-FFD4-432B-BC59-541D74942A90}"/>
    <cellStyle name="Note 2 2 2 2 3" xfId="3280" xr:uid="{08BBE18E-43D8-4BF8-AB48-5BEB6F9E8AF6}"/>
    <cellStyle name="Note 2 2 2 2 3 10" xfId="18809" xr:uid="{3F6E8FC6-6B39-468B-823B-641E3FCD0C4B}"/>
    <cellStyle name="Note 2 2 2 2 3 10 2" xfId="22426" xr:uid="{B44E2826-C851-4273-9CC2-9B30D1498CEE}"/>
    <cellStyle name="Note 2 2 2 2 3 11" xfId="34038" xr:uid="{E0F18FEE-BCB5-47AB-BEA2-AB88B8A025AF}"/>
    <cellStyle name="Note 2 2 2 2 3 12" xfId="34039" xr:uid="{384D1B0B-9E7A-42B2-BF13-E8B97BE631FD}"/>
    <cellStyle name="Note 2 2 2 2 3 13" xfId="34040" xr:uid="{D8465D40-6DAB-4D04-B702-26A53F068499}"/>
    <cellStyle name="Note 2 2 2 2 3 14" xfId="34041" xr:uid="{656C9C57-4F21-472B-BA1F-99CCFC60EE57}"/>
    <cellStyle name="Note 2 2 2 2 3 15" xfId="34042" xr:uid="{5158B70F-24AC-4B8D-82F6-A7997D6C2A90}"/>
    <cellStyle name="Note 2 2 2 2 3 2" xfId="3281" xr:uid="{D71E771B-44E1-4E56-8AA1-BD0D4EF6774F}"/>
    <cellStyle name="Note 2 2 2 2 3 2 2" xfId="5221" xr:uid="{64560745-30F4-4530-BFA2-74B78FCDE0C2}"/>
    <cellStyle name="Note 2 2 2 2 3 2 2 2" xfId="18811" xr:uid="{86681AEA-603F-4421-A90A-391CC8E55EE5}"/>
    <cellStyle name="Note 2 2 2 2 3 2 2 2 2" xfId="22428" xr:uid="{9CCE39C4-6BCB-4322-B545-6B589BF71FB0}"/>
    <cellStyle name="Note 2 2 2 2 3 2 2 3" xfId="34043" xr:uid="{87794AE9-51A9-43F5-9FD3-986FEF64A4AC}"/>
    <cellStyle name="Note 2 2 2 2 3 2 2 4" xfId="34044" xr:uid="{EAC31690-0D26-4E0E-B04A-9DA67AE1B469}"/>
    <cellStyle name="Note 2 2 2 2 3 2 2 5" xfId="34045" xr:uid="{1D81FBAE-2050-4859-AF31-EEBE798CDC12}"/>
    <cellStyle name="Note 2 2 2 2 3 2 2 6" xfId="34046" xr:uid="{86EC0796-A3EB-4904-B3FB-0B66FDD89B0C}"/>
    <cellStyle name="Note 2 2 2 2 3 2 3" xfId="6959" xr:uid="{2D2CB092-6B16-441A-991E-68771D710C6D}"/>
    <cellStyle name="Note 2 2 2 2 3 2 3 2" xfId="22427" xr:uid="{E520C9CA-E7EC-48CF-AAA6-3826BA731908}"/>
    <cellStyle name="Note 2 2 2 2 3 2 3 3" xfId="46420" xr:uid="{45D6C0A1-DA69-4958-A7B7-00FF34E2EE85}"/>
    <cellStyle name="Note 2 2 2 2 3 2 3 4" xfId="18810" xr:uid="{EA0002BA-CDF6-42A6-9F79-BEB99508ABF1}"/>
    <cellStyle name="Note 2 2 2 2 3 2 4" xfId="9116" xr:uid="{638B396A-2399-46E1-8501-E07911A40267}"/>
    <cellStyle name="Note 2 2 2 2 3 2 4 2" xfId="34047" xr:uid="{009A6D3D-4DA0-4A81-9FF3-C01ABA5A5D93}"/>
    <cellStyle name="Note 2 2 2 2 3 2 5" xfId="34048" xr:uid="{6DF9F237-C224-47ED-B00B-A0D4D25EA3C8}"/>
    <cellStyle name="Note 2 2 2 2 3 2 6" xfId="34049" xr:uid="{4A6857A3-1A48-4079-94FB-3646AD12E775}"/>
    <cellStyle name="Note 2 2 2 2 3 2 7" xfId="34050" xr:uid="{ABFDD314-D119-47D1-8242-65807B8B7B7A}"/>
    <cellStyle name="Note 2 2 2 2 3 3" xfId="3282" xr:uid="{F76A3BAA-19B0-4436-8D42-43D313BAC0AA}"/>
    <cellStyle name="Note 2 2 2 2 3 3 2" xfId="5222" xr:uid="{5C30C398-8435-4E96-B1DC-84A77BAF1DEA}"/>
    <cellStyle name="Note 2 2 2 2 3 3 2 2" xfId="18813" xr:uid="{4EE9795E-E1EC-433A-BE10-E791DC014EDB}"/>
    <cellStyle name="Note 2 2 2 2 3 3 2 2 2" xfId="22430" xr:uid="{6C44A253-E464-47A3-BC7B-4CC899B88585}"/>
    <cellStyle name="Note 2 2 2 2 3 3 2 3" xfId="34051" xr:uid="{41E02C72-E42F-4A41-BEBB-2666C1356177}"/>
    <cellStyle name="Note 2 2 2 2 3 3 2 4" xfId="34052" xr:uid="{ED82C526-5520-4FDB-A65F-3901FD3A1FBB}"/>
    <cellStyle name="Note 2 2 2 2 3 3 2 5" xfId="34053" xr:uid="{895CFBE1-29B1-4271-B6D1-FA481FE4D9FA}"/>
    <cellStyle name="Note 2 2 2 2 3 3 2 6" xfId="34054" xr:uid="{8544002F-6B7D-48E3-A137-CDE426F117EB}"/>
    <cellStyle name="Note 2 2 2 2 3 3 3" xfId="6960" xr:uid="{92639EC8-0D5D-4CDB-8E78-F7FAECA6BD04}"/>
    <cellStyle name="Note 2 2 2 2 3 3 3 2" xfId="22429" xr:uid="{C34AE1D9-935A-4980-B294-8913C9644BDC}"/>
    <cellStyle name="Note 2 2 2 2 3 3 3 3" xfId="46421" xr:uid="{17D44F8E-A20C-4E40-A3A2-B3BDA663B4A9}"/>
    <cellStyle name="Note 2 2 2 2 3 3 3 4" xfId="18812" xr:uid="{897D8E3B-A804-4D14-BFE8-4A89C56ABD73}"/>
    <cellStyle name="Note 2 2 2 2 3 3 4" xfId="9117" xr:uid="{0CC7750A-8863-4535-9648-85C80CE76B85}"/>
    <cellStyle name="Note 2 2 2 2 3 3 4 2" xfId="34055" xr:uid="{D315DCFA-46E6-424F-963A-0964AF9833F8}"/>
    <cellStyle name="Note 2 2 2 2 3 3 5" xfId="34056" xr:uid="{65EFFAF1-F549-4460-A8AC-6F8A90C56525}"/>
    <cellStyle name="Note 2 2 2 2 3 3 6" xfId="34057" xr:uid="{784ABCA9-FFE4-48BF-9497-4CBA277852A8}"/>
    <cellStyle name="Note 2 2 2 2 3 3 7" xfId="34058" xr:uid="{F9A1BD02-0856-492A-95F0-2FBD66633F96}"/>
    <cellStyle name="Note 2 2 2 2 3 4" xfId="3283" xr:uid="{C2AD84E7-18BC-40A1-ACDE-B78B5AB83BD2}"/>
    <cellStyle name="Note 2 2 2 2 3 4 2" xfId="5223" xr:uid="{B4C4E65E-053C-4F18-A0B4-46FC0EFE9F65}"/>
    <cellStyle name="Note 2 2 2 2 3 4 2 2" xfId="18815" xr:uid="{424F9290-D92C-45A9-9B0B-B82CA75E465D}"/>
    <cellStyle name="Note 2 2 2 2 3 4 2 2 2" xfId="22432" xr:uid="{769BE836-E693-4159-9C82-6891C8BCE597}"/>
    <cellStyle name="Note 2 2 2 2 3 4 2 3" xfId="34059" xr:uid="{843C7FE2-F8F6-4338-A371-D49135FF353F}"/>
    <cellStyle name="Note 2 2 2 2 3 4 2 4" xfId="34060" xr:uid="{91F6BA28-64A4-4E59-8FBC-4F8870AB9B14}"/>
    <cellStyle name="Note 2 2 2 2 3 4 2 5" xfId="34061" xr:uid="{099D6DC4-CE2B-48E6-9A10-EA043F064B81}"/>
    <cellStyle name="Note 2 2 2 2 3 4 2 6" xfId="34062" xr:uid="{16049B7A-0005-4FA4-A3DD-72587570E886}"/>
    <cellStyle name="Note 2 2 2 2 3 4 3" xfId="6961" xr:uid="{9DE23C6B-3D96-4180-B4D4-6829AD840270}"/>
    <cellStyle name="Note 2 2 2 2 3 4 3 2" xfId="22431" xr:uid="{4F82C93B-57D5-46C8-BCBD-545E0BE289B6}"/>
    <cellStyle name="Note 2 2 2 2 3 4 3 3" xfId="46422" xr:uid="{0BDC3C19-F643-4EC4-8776-0A0A73513BC6}"/>
    <cellStyle name="Note 2 2 2 2 3 4 3 4" xfId="18814" xr:uid="{754B4A4E-F055-4D7F-ACFE-8C3EA19298D6}"/>
    <cellStyle name="Note 2 2 2 2 3 4 4" xfId="9118" xr:uid="{0B9E93D8-CD48-467A-BD50-8DD1BC4B9505}"/>
    <cellStyle name="Note 2 2 2 2 3 4 4 2" xfId="34063" xr:uid="{C642B59F-4DD5-46DF-9F51-E89F3AAE3430}"/>
    <cellStyle name="Note 2 2 2 2 3 4 5" xfId="34064" xr:uid="{B115B687-F84B-4951-B9DB-918FBDA776D8}"/>
    <cellStyle name="Note 2 2 2 2 3 4 6" xfId="34065" xr:uid="{49DF42D6-CEDF-4038-B075-BCA9E2E32453}"/>
    <cellStyle name="Note 2 2 2 2 3 4 7" xfId="34066" xr:uid="{393F4DB4-0425-4175-975D-804E59856DC9}"/>
    <cellStyle name="Note 2 2 2 2 3 5" xfId="3284" xr:uid="{1D1ACA69-F806-4052-AACA-DEE4A88D2545}"/>
    <cellStyle name="Note 2 2 2 2 3 5 2" xfId="16296" xr:uid="{FB631298-725E-48E1-9FFB-E22F35D18A29}"/>
    <cellStyle name="Note 2 2 2 2 3 5 2 2" xfId="18817" xr:uid="{BD563811-919F-4907-8896-A226A7D76884}"/>
    <cellStyle name="Note 2 2 2 2 3 5 2 2 2" xfId="22434" xr:uid="{0FF6E9AB-BF78-4997-B907-A9BB0E386EFF}"/>
    <cellStyle name="Note 2 2 2 2 3 5 2 3" xfId="34067" xr:uid="{63E93DFC-8E76-48B6-9818-2A318FFD47E0}"/>
    <cellStyle name="Note 2 2 2 2 3 5 2 4" xfId="34068" xr:uid="{E5DEAEE5-F025-43B7-B2E2-9BE6E5A2AF6C}"/>
    <cellStyle name="Note 2 2 2 2 3 5 2 5" xfId="34069" xr:uid="{64BD72CD-BD62-4623-A076-4C2B65CD9C0B}"/>
    <cellStyle name="Note 2 2 2 2 3 5 2 6" xfId="34070" xr:uid="{8CFBC69B-BCC2-4403-8D4B-5BB881F1CD0E}"/>
    <cellStyle name="Note 2 2 2 2 3 5 3" xfId="18816" xr:uid="{CED75F8E-9DB6-40AC-8C2D-EC8932D49057}"/>
    <cellStyle name="Note 2 2 2 2 3 5 3 2" xfId="22433" xr:uid="{2BC699C6-4E0A-480D-9499-5A96345073DB}"/>
    <cellStyle name="Note 2 2 2 2 3 5 4" xfId="34071" xr:uid="{8F5CA796-B454-4897-997E-E2F027E7EA78}"/>
    <cellStyle name="Note 2 2 2 2 3 5 5" xfId="34072" xr:uid="{D5E26A6F-53FC-466E-A975-F161AE1DCD2A}"/>
    <cellStyle name="Note 2 2 2 2 3 5 6" xfId="34073" xr:uid="{6432C239-82CE-4A00-95AC-621A3F2E8010}"/>
    <cellStyle name="Note 2 2 2 2 3 5 7" xfId="34074" xr:uid="{439BCB21-9AB2-49AF-AC0D-E16D0F235E1B}"/>
    <cellStyle name="Note 2 2 2 2 3 5 8" xfId="16089" xr:uid="{02DC981A-9CC5-46E4-86AF-F40BD29E345C}"/>
    <cellStyle name="Note 2 2 2 2 3 6" xfId="5220" xr:uid="{B05A0402-D4A4-4783-B02D-B56403B7077F}"/>
    <cellStyle name="Note 2 2 2 2 3 6 2" xfId="18818" xr:uid="{6400EE3C-CCA1-4C9F-8BE9-6004EA8EE2E4}"/>
    <cellStyle name="Note 2 2 2 2 3 6 2 2" xfId="22435" xr:uid="{B706F47D-A27C-41B2-AC41-79ADA2032AC2}"/>
    <cellStyle name="Note 2 2 2 2 3 6 3" xfId="34075" xr:uid="{E864D5D9-6F21-4FA0-AF9A-7EA34C8AE269}"/>
    <cellStyle name="Note 2 2 2 2 3 6 4" xfId="34076" xr:uid="{D6034C2F-A737-4CCB-98AA-211FA5D338CE}"/>
    <cellStyle name="Note 2 2 2 2 3 6 5" xfId="34077" xr:uid="{D28A984B-0F3D-4C24-99A5-60A424639F32}"/>
    <cellStyle name="Note 2 2 2 2 3 6 6" xfId="34078" xr:uid="{FA9197B5-5E07-467D-9006-AA24160245E2}"/>
    <cellStyle name="Note 2 2 2 2 3 7" xfId="4251" xr:uid="{3B8F41E7-4426-4109-A58B-3142E3D22F3D}"/>
    <cellStyle name="Note 2 2 2 2 3 7 2" xfId="18819" xr:uid="{DB49D30A-81BA-446A-92A6-F1A08AC0C218}"/>
    <cellStyle name="Note 2 2 2 2 3 7 2 2" xfId="22436" xr:uid="{2ABE9699-6878-478A-BD86-C41AB9DFB972}"/>
    <cellStyle name="Note 2 2 2 2 3 7 3" xfId="34079" xr:uid="{DDD10D4A-A03E-458F-AB4B-79683A16A222}"/>
    <cellStyle name="Note 2 2 2 2 3 7 4" xfId="34080" xr:uid="{6847DBB9-C93B-42A2-93D5-42BEC832C280}"/>
    <cellStyle name="Note 2 2 2 2 3 7 5" xfId="34081" xr:uid="{02998E3C-F56D-463F-B4DA-BCC10B348700}"/>
    <cellStyle name="Note 2 2 2 2 3 7 6" xfId="34082" xr:uid="{9B871B74-4A7B-4796-A9F2-679EA1BBE684}"/>
    <cellStyle name="Note 2 2 2 2 3 8" xfId="6318" xr:uid="{00C1158B-FB8D-4F54-B2A8-AF71EC32ACC5}"/>
    <cellStyle name="Note 2 2 2 2 3 8 2" xfId="18820" xr:uid="{ECF10937-078B-4B91-9838-8E689B6EF8A1}"/>
    <cellStyle name="Note 2 2 2 2 3 8 2 2" xfId="22437" xr:uid="{EE8C2FE3-EA8E-4C0A-A921-42901DE591EA}"/>
    <cellStyle name="Note 2 2 2 2 3 8 3" xfId="34083" xr:uid="{21211928-C538-42D4-8DEE-D615DC004E71}"/>
    <cellStyle name="Note 2 2 2 2 3 8 4" xfId="34084" xr:uid="{F8B72E67-5682-4263-AE9B-D1076DBC3A91}"/>
    <cellStyle name="Note 2 2 2 2 3 8 5" xfId="34085" xr:uid="{41EE4A84-285D-4809-9ED8-E9049483EAEC}"/>
    <cellStyle name="Note 2 2 2 2 3 8 6" xfId="34086" xr:uid="{C6412AD4-F52D-4EE5-BDA5-D2720AC120A4}"/>
    <cellStyle name="Note 2 2 2 2 3 9" xfId="9115" xr:uid="{C193BF05-8743-42FC-968C-B4B702AD2394}"/>
    <cellStyle name="Note 2 2 2 2 3 9 2" xfId="18821" xr:uid="{C034C814-F644-470E-94B1-6AFDA56B5F3C}"/>
    <cellStyle name="Note 2 2 2 2 3 9 2 2" xfId="22438" xr:uid="{FC32598D-E6D5-43CB-8845-189D5BB7CD83}"/>
    <cellStyle name="Note 2 2 2 2 3 9 3" xfId="34087" xr:uid="{52A992E5-2A3B-445A-A006-0203A66B228A}"/>
    <cellStyle name="Note 2 2 2 2 3 9 4" xfId="34088" xr:uid="{9BAE568F-F250-43EC-A056-628A73C31C4A}"/>
    <cellStyle name="Note 2 2 2 2 3 9 5" xfId="34089" xr:uid="{67D3C2BA-42CA-4418-A4FB-1774306F3EBA}"/>
    <cellStyle name="Note 2 2 2 2 3 9 6" xfId="34090" xr:uid="{C2FCFD19-BF37-4C39-9CC8-9F624C9CA4DF}"/>
    <cellStyle name="Note 2 2 2 2 3_IND_UC" xfId="3285" xr:uid="{AA121628-BE84-4D12-8588-82F326C250DF}"/>
    <cellStyle name="Note 2 2 2 2 4" xfId="3286" xr:uid="{B13DBAE8-B320-45A0-9D35-112871D4D6E7}"/>
    <cellStyle name="Note 2 2 2 2 4 10" xfId="34091" xr:uid="{67A131BE-1F9B-4CCB-90F0-009684C2DBA5}"/>
    <cellStyle name="Note 2 2 2 2 4 11" xfId="34092" xr:uid="{EC50C527-4967-4BF7-8CE5-5094787DE65A}"/>
    <cellStyle name="Note 2 2 2 2 4 12" xfId="34093" xr:uid="{4E821968-5DB4-4E86-9732-0324C0CC2C52}"/>
    <cellStyle name="Note 2 2 2 2 4 2" xfId="3287" xr:uid="{2CCC581C-1BE7-41A1-9E25-5B7D199CA860}"/>
    <cellStyle name="Note 2 2 2 2 4 2 2" xfId="5225" xr:uid="{E8F41E34-B62B-4E38-9E54-C4A9298E423E}"/>
    <cellStyle name="Note 2 2 2 2 4 2 2 2" xfId="10398" xr:uid="{AEA9FD3A-E233-4337-998A-9B2D7C72207C}"/>
    <cellStyle name="Note 2 2 2 2 4 2 2 2 2" xfId="22441" xr:uid="{AFA4B156-F599-4D24-A33C-3139DB11D27D}"/>
    <cellStyle name="Note 2 2 2 2 4 2 2 2 3" xfId="18824" xr:uid="{33CEF777-2D18-4BA3-8BD8-0ED3A0A5DF07}"/>
    <cellStyle name="Note 2 2 2 2 4 2 2 3" xfId="34094" xr:uid="{E92B924F-6854-499E-B98B-41DFFBF5DDE0}"/>
    <cellStyle name="Note 2 2 2 2 4 2 2 4" xfId="34095" xr:uid="{09BDF64E-60FE-41CB-BEDE-5B22084B8961}"/>
    <cellStyle name="Note 2 2 2 2 4 2 2 5" xfId="34096" xr:uid="{B0A2CD32-E5E2-4329-92C1-532758FB2D6F}"/>
    <cellStyle name="Note 2 2 2 2 4 2 2 6" xfId="34097" xr:uid="{BAA475F1-11CC-435C-AD64-DC19CC172DD3}"/>
    <cellStyle name="Note 2 2 2 2 4 2 3" xfId="4252" xr:uid="{57B527D6-EAE6-4F5B-AA69-1F2EDA6478DA}"/>
    <cellStyle name="Note 2 2 2 2 4 2 3 2" xfId="22440" xr:uid="{734E8D6A-B5A2-4438-A5FB-21CE1E204A15}"/>
    <cellStyle name="Note 2 2 2 2 4 2 3 3" xfId="44065" xr:uid="{EDDEEFA1-90D4-4841-908B-B4B6D4BD3548}"/>
    <cellStyle name="Note 2 2 2 2 4 2 3 4" xfId="18823" xr:uid="{EEA18AB4-464A-41BC-A21B-7383EBEA64BC}"/>
    <cellStyle name="Note 2 2 2 2 4 2 4" xfId="6319" xr:uid="{8CDF423F-84FC-44C2-AAC1-A3E96F798B9F}"/>
    <cellStyle name="Note 2 2 2 2 4 2 4 2" xfId="45976" xr:uid="{8B408413-1102-494C-A186-FBC95DAE021C}"/>
    <cellStyle name="Note 2 2 2 2 4 2 4 3" xfId="34098" xr:uid="{0277C8B2-68C5-4090-9589-E54BEA64EFCA}"/>
    <cellStyle name="Note 2 2 2 2 4 2 5" xfId="9120" xr:uid="{4B1C8768-6D0D-434F-A514-FD230C3BD5D0}"/>
    <cellStyle name="Note 2 2 2 2 4 2 5 2" xfId="34099" xr:uid="{95074BEB-0E05-47F3-B983-96959C6A3605}"/>
    <cellStyle name="Note 2 2 2 2 4 2 6" xfId="34100" xr:uid="{FCA1692A-EC22-4073-A8AD-11A9E7EA13D5}"/>
    <cellStyle name="Note 2 2 2 2 4 2 7" xfId="34101" xr:uid="{8F85B824-89FF-429B-B5F0-E2E403E1C3EB}"/>
    <cellStyle name="Note 2 2 2 2 4 2 8" xfId="34102" xr:uid="{67056308-371F-4DCE-9BD4-17E98115F57A}"/>
    <cellStyle name="Note 2 2 2 2 4 3" xfId="3288" xr:uid="{A053CEBE-071E-46FC-B71F-927BC1F17874}"/>
    <cellStyle name="Note 2 2 2 2 4 3 2" xfId="3289" xr:uid="{B29E3950-5571-4854-94ED-9FE4798C2A39}"/>
    <cellStyle name="Note 2 2 2 2 4 3 2 2" xfId="5226" xr:uid="{43B5E330-CC50-4402-BECB-B1DD588C9516}"/>
    <cellStyle name="Note 2 2 2 2 4 3 2 2 2" xfId="18827" xr:uid="{F7B7DFFA-A68D-4AF5-BBCC-55A1008FCAEE}"/>
    <cellStyle name="Note 2 2 2 2 4 3 2 2 2 2" xfId="22444" xr:uid="{E15C9AE2-2EDE-475E-8408-6BD593C31F89}"/>
    <cellStyle name="Note 2 2 2 2 4 3 2 2 3" xfId="34103" xr:uid="{573EFB2E-0B3A-4A1A-B897-23FD815DC0D6}"/>
    <cellStyle name="Note 2 2 2 2 4 3 2 2 4" xfId="34104" xr:uid="{CE971DDC-5C64-4393-9E2B-554F5513507E}"/>
    <cellStyle name="Note 2 2 2 2 4 3 2 2 5" xfId="34105" xr:uid="{09AA7855-7953-4A4A-BB05-986FDCD7EA8E}"/>
    <cellStyle name="Note 2 2 2 2 4 3 2 2 6" xfId="34106" xr:uid="{26306C83-69C6-44C0-B87B-6CC3BEFCC10E}"/>
    <cellStyle name="Note 2 2 2 2 4 3 2 3" xfId="6962" xr:uid="{DC8B4160-6DAE-4B2E-9500-8A88227E30D9}"/>
    <cellStyle name="Note 2 2 2 2 4 3 2 3 2" xfId="18828" xr:uid="{A7482070-3A3C-4FB6-996E-A167EAF7628D}"/>
    <cellStyle name="Note 2 2 2 2 4 3 2 3 2 2" xfId="22445" xr:uid="{7A8CC1E1-FC27-4BF3-B509-DF27A0D03D68}"/>
    <cellStyle name="Note 2 2 2 2 4 3 2 3 3" xfId="34107" xr:uid="{B0B659DB-4943-4018-A168-6251EBD1799D}"/>
    <cellStyle name="Note 2 2 2 2 4 3 2 3 4" xfId="34108" xr:uid="{EBDCAEF9-CBEF-4EBD-9222-AF918A289C74}"/>
    <cellStyle name="Note 2 2 2 2 4 3 2 3 5" xfId="34109" xr:uid="{33A1EB2F-44B9-472F-A7E4-CF058A315B50}"/>
    <cellStyle name="Note 2 2 2 2 4 3 2 3 6" xfId="34110" xr:uid="{E405370A-1CA0-45B0-8B79-A97CD02DE0B6}"/>
    <cellStyle name="Note 2 2 2 2 4 3 2 3 7" xfId="46423" xr:uid="{10B7C2CB-875D-440D-90DE-56C42CEF4E5E}"/>
    <cellStyle name="Note 2 2 2 2 4 3 2 3 8" xfId="16560" xr:uid="{D7ED9E99-2427-4BC6-80C6-05E68350F7AB}"/>
    <cellStyle name="Note 2 2 2 2 4 3 2 4" xfId="9121" xr:uid="{15953D0C-E5CC-43EF-B887-78F1885432D1}"/>
    <cellStyle name="Note 2 2 2 2 4 3 2 4 2" xfId="22443" xr:uid="{A8FF1852-2B13-4940-B907-65CDB1ED6A3F}"/>
    <cellStyle name="Note 2 2 2 2 4 3 2 4 3" xfId="18826" xr:uid="{F16C65C6-C708-4992-B34A-A590F3D21CD0}"/>
    <cellStyle name="Note 2 2 2 2 4 3 2 5" xfId="34111" xr:uid="{BD7D4E2C-48AB-426F-B2F9-4C45AE69DC82}"/>
    <cellStyle name="Note 2 2 2 2 4 3 2 6" xfId="34112" xr:uid="{F960A219-864F-440A-9884-DBC3A88D2102}"/>
    <cellStyle name="Note 2 2 2 2 4 3 2 7" xfId="34113" xr:uid="{FEB7070D-2B79-4712-8F66-A53306147D50}"/>
    <cellStyle name="Note 2 2 2 2 4 3 2 8" xfId="34114" xr:uid="{063252E8-3820-4D4D-9E01-3B04DF8EC132}"/>
    <cellStyle name="Note 2 2 2 2 4 3 3" xfId="18825" xr:uid="{2E69DE51-8DFD-4A4F-965A-527385220348}"/>
    <cellStyle name="Note 2 2 2 2 4 3 3 2" xfId="22442" xr:uid="{282147F5-0851-44A6-97A6-ADC2E9D90B1C}"/>
    <cellStyle name="Note 2 2 2 2 4 3 4" xfId="34115" xr:uid="{98D64E90-F015-4801-B661-3CCCAC845F65}"/>
    <cellStyle name="Note 2 2 2 2 4 3 5" xfId="34116" xr:uid="{EC796B78-67DF-4B19-97F7-621280C71CD7}"/>
    <cellStyle name="Note 2 2 2 2 4 3 6" xfId="34117" xr:uid="{E232E9CF-A3A7-407B-9968-3D99AF4BE846}"/>
    <cellStyle name="Note 2 2 2 2 4 3 7" xfId="34118" xr:uid="{7B800B4B-9A18-4FC0-BF4A-383CDFC2BC96}"/>
    <cellStyle name="Note 2 2 2 2 4 3 8" xfId="34119" xr:uid="{559DFD22-5817-4FF2-B0DB-00E0186B0A10}"/>
    <cellStyle name="Note 2 2 2 2 4 4" xfId="3290" xr:uid="{9A98A78C-6D65-4C77-A210-4A6DA70D43C2}"/>
    <cellStyle name="Note 2 2 2 2 4 4 2" xfId="5227" xr:uid="{ABD51785-FD07-4908-AE35-6FFD1D2AE68E}"/>
    <cellStyle name="Note 2 2 2 2 4 4 2 2" xfId="18830" xr:uid="{190BC1F0-400A-4769-8CDC-F160DDCAD7E9}"/>
    <cellStyle name="Note 2 2 2 2 4 4 2 2 2" xfId="22447" xr:uid="{21B93D38-325D-4F9A-B4C9-12112B5E3E5D}"/>
    <cellStyle name="Note 2 2 2 2 4 4 2 3" xfId="34120" xr:uid="{D5813B88-B505-401A-BCB6-41AB0A06F540}"/>
    <cellStyle name="Note 2 2 2 2 4 4 2 4" xfId="34121" xr:uid="{6F54BF0B-2982-4926-B8B6-0051C9BDDC6F}"/>
    <cellStyle name="Note 2 2 2 2 4 4 2 5" xfId="34122" xr:uid="{1CA23347-7CA9-4F2A-AEF9-E135EDB0852D}"/>
    <cellStyle name="Note 2 2 2 2 4 4 2 6" xfId="34123" xr:uid="{6615744D-11FC-4B33-BE5B-931A6B4C80C9}"/>
    <cellStyle name="Note 2 2 2 2 4 4 3" xfId="6963" xr:uid="{CABBAA7B-D1BC-4BE8-95BF-D8EFBC9B1184}"/>
    <cellStyle name="Note 2 2 2 2 4 4 3 2" xfId="22446" xr:uid="{59036468-9AFF-4ADB-856F-EAB89CA7A420}"/>
    <cellStyle name="Note 2 2 2 2 4 4 3 3" xfId="46424" xr:uid="{B2F9FFC6-C4EA-4E8A-8CDC-6B59894503BE}"/>
    <cellStyle name="Note 2 2 2 2 4 4 3 4" xfId="18829" xr:uid="{9D56C2C2-A563-4F67-840B-2868F5A8601C}"/>
    <cellStyle name="Note 2 2 2 2 4 4 4" xfId="9122" xr:uid="{F6297AC5-9C93-4CA1-9ABE-969BBC737FF4}"/>
    <cellStyle name="Note 2 2 2 2 4 4 4 2" xfId="34124" xr:uid="{DE392639-D5F3-4E34-AE71-59C894250951}"/>
    <cellStyle name="Note 2 2 2 2 4 4 5" xfId="34125" xr:uid="{7B6492E7-F538-4641-B716-54ED8C157694}"/>
    <cellStyle name="Note 2 2 2 2 4 4 6" xfId="34126" xr:uid="{56311D6B-8D89-4CE2-9E7B-B8DCD7EC3D16}"/>
    <cellStyle name="Note 2 2 2 2 4 4 7" xfId="34127" xr:uid="{A90F46FF-A423-4D50-B831-5D2BE3CE713E}"/>
    <cellStyle name="Note 2 2 2 2 4 5" xfId="5224" xr:uid="{5A2DC2F7-908A-4C05-B014-B2E2D8159B41}"/>
    <cellStyle name="Note 2 2 2 2 4 5 2" xfId="18831" xr:uid="{CE7C7253-0783-4EB9-B6B4-3A6F4FA51A24}"/>
    <cellStyle name="Note 2 2 2 2 4 5 2 2" xfId="22448" xr:uid="{21A9F143-57BA-4ED5-AA72-62C423721178}"/>
    <cellStyle name="Note 2 2 2 2 4 5 3" xfId="34128" xr:uid="{1B1860CE-3C03-4CB5-9BAE-6388C7B68566}"/>
    <cellStyle name="Note 2 2 2 2 4 5 4" xfId="34129" xr:uid="{7A5D7038-A833-491E-8569-4C974AF28FA4}"/>
    <cellStyle name="Note 2 2 2 2 4 5 5" xfId="34130" xr:uid="{56C6A4F3-51C0-417B-8375-215ECFE90353}"/>
    <cellStyle name="Note 2 2 2 2 4 5 6" xfId="34131" xr:uid="{9AEFF835-FF5A-4CD7-A866-C0CAD9CE481A}"/>
    <cellStyle name="Note 2 2 2 2 4 6" xfId="9119" xr:uid="{50401A76-37BC-4116-B241-D092D508A7EB}"/>
    <cellStyle name="Note 2 2 2 2 4 6 2" xfId="22449" xr:uid="{D30BDCA9-CD27-4761-BAA2-51C612EB3671}"/>
    <cellStyle name="Note 2 2 2 2 4 6 3" xfId="47095" xr:uid="{A131E187-8055-4C9E-ABDC-20F45AEF5021}"/>
    <cellStyle name="Note 2 2 2 2 4 6 4" xfId="18832" xr:uid="{8747712F-F846-47F1-8543-40AAAC4B1849}"/>
    <cellStyle name="Note 2 2 2 2 4 7" xfId="18822" xr:uid="{8A1C6271-24D3-4947-8EB7-0BCF27561C33}"/>
    <cellStyle name="Note 2 2 2 2 4 7 2" xfId="22439" xr:uid="{033316D1-359D-4C87-B5B4-AD15A8569F45}"/>
    <cellStyle name="Note 2 2 2 2 4 8" xfId="34132" xr:uid="{83A12F43-769D-421C-99C2-C48BB78A65C4}"/>
    <cellStyle name="Note 2 2 2 2 4 9" xfId="34133" xr:uid="{047DA818-BEAD-4FD5-959D-14FE941DA322}"/>
    <cellStyle name="Note 2 2 2 2 4_IND_UC" xfId="3291" xr:uid="{8DCD7A73-4546-4222-AC20-996B6031B284}"/>
    <cellStyle name="Note 2 2 2 2 5" xfId="3292" xr:uid="{8E937176-18FE-4F64-A486-00C615D2A200}"/>
    <cellStyle name="Note 2 2 2 2 5 10" xfId="34134" xr:uid="{066BEDC5-F766-4764-AC05-9D875200F6A0}"/>
    <cellStyle name="Note 2 2 2 2 5 11" xfId="34135" xr:uid="{41D0F285-93DD-4A21-A470-569016A55E9D}"/>
    <cellStyle name="Note 2 2 2 2 5 2" xfId="5228" xr:uid="{41336BA3-4624-44DF-A968-B50FE08F1C34}"/>
    <cellStyle name="Note 2 2 2 2 5 2 2" xfId="18834" xr:uid="{AEB5098A-A0DA-4B95-B9DE-D3FBC96ACA9C}"/>
    <cellStyle name="Note 2 2 2 2 5 2 2 2" xfId="22451" xr:uid="{92B0B134-ED73-4E40-AEBA-8C0FED076D82}"/>
    <cellStyle name="Note 2 2 2 2 5 2 3" xfId="34136" xr:uid="{1B90A84B-B7B0-4BD9-916E-CF6D26E1B6EC}"/>
    <cellStyle name="Note 2 2 2 2 5 2 4" xfId="34137" xr:uid="{E76B9368-6ACC-4A6F-99BC-144EDC2094D5}"/>
    <cellStyle name="Note 2 2 2 2 5 2 5" xfId="34138" xr:uid="{6A7B1E78-F98F-4D96-A59C-EEDB5CBD38DE}"/>
    <cellStyle name="Note 2 2 2 2 5 2 6" xfId="34139" xr:uid="{95819311-2C6B-40EF-8FAD-DA9F84C0A66D}"/>
    <cellStyle name="Note 2 2 2 2 5 3" xfId="4253" xr:uid="{0774159B-E7AE-4945-8344-609833625CF8}"/>
    <cellStyle name="Note 2 2 2 2 5 3 2" xfId="18835" xr:uid="{884BA4BD-EB6A-4DDA-96DA-64240B57AF55}"/>
    <cellStyle name="Note 2 2 2 2 5 3 2 2" xfId="22452" xr:uid="{144D5B61-F901-4797-BC0B-0AE9740D8A4D}"/>
    <cellStyle name="Note 2 2 2 2 5 3 3" xfId="34140" xr:uid="{C3C21AB6-AE06-41E2-8F44-8C376C7A3541}"/>
    <cellStyle name="Note 2 2 2 2 5 3 4" xfId="34141" xr:uid="{E74CBCB6-D3D1-4AC1-BF88-CCCEBC4BBE89}"/>
    <cellStyle name="Note 2 2 2 2 5 3 5" xfId="34142" xr:uid="{8FB0A880-BCCA-4232-8A3F-4939A7F6A7AA}"/>
    <cellStyle name="Note 2 2 2 2 5 3 6" xfId="34143" xr:uid="{68028306-8928-4689-9A0D-8B3889A18409}"/>
    <cellStyle name="Note 2 2 2 2 5 4" xfId="6320" xr:uid="{85A2CF22-840F-4CB3-962F-9BDF70C406CF}"/>
    <cellStyle name="Note 2 2 2 2 5 4 2" xfId="18836" xr:uid="{5BBEA3CE-6C65-441E-A20A-32DC9A18EEB8}"/>
    <cellStyle name="Note 2 2 2 2 5 4 2 2" xfId="22453" xr:uid="{66EDF505-F768-4848-BEB9-351BEC282A02}"/>
    <cellStyle name="Note 2 2 2 2 5 4 3" xfId="34144" xr:uid="{96AA896C-4E3D-4ECA-98CF-2C24574902ED}"/>
    <cellStyle name="Note 2 2 2 2 5 4 4" xfId="34145" xr:uid="{2A8D5C80-CE08-4DBC-84C5-C2535A1E8FCC}"/>
    <cellStyle name="Note 2 2 2 2 5 4 5" xfId="34146" xr:uid="{84F6A8EE-CC21-48BF-94A4-6A18A462E377}"/>
    <cellStyle name="Note 2 2 2 2 5 4 6" xfId="34147" xr:uid="{583AB475-4538-4FBC-A21D-F9160AFF9D5B}"/>
    <cellStyle name="Note 2 2 2 2 5 5" xfId="9123" xr:uid="{F7FD95F0-4579-448E-849B-547281D83980}"/>
    <cellStyle name="Note 2 2 2 2 5 5 2" xfId="18837" xr:uid="{1B3BD6F1-8511-4799-9190-DA5CFF2BA175}"/>
    <cellStyle name="Note 2 2 2 2 5 5 2 2" xfId="22454" xr:uid="{BA60C236-4B00-4D21-B0EC-F3B70EC7D80D}"/>
    <cellStyle name="Note 2 2 2 2 5 5 3" xfId="34148" xr:uid="{AE33A5DC-0DE9-4E2F-8605-38AA8679C1C8}"/>
    <cellStyle name="Note 2 2 2 2 5 5 4" xfId="34149" xr:uid="{683C397A-AA9A-4AE6-8CF8-65C63CFBE5BD}"/>
    <cellStyle name="Note 2 2 2 2 5 5 5" xfId="34150" xr:uid="{E7BE90C3-9C44-4826-B485-FAEA4BF21841}"/>
    <cellStyle name="Note 2 2 2 2 5 5 6" xfId="34151" xr:uid="{15C1937A-8D82-4262-96C4-3EBC4C6EC2B6}"/>
    <cellStyle name="Note 2 2 2 2 5 5 7" xfId="16090" xr:uid="{F96CC472-A59E-4791-B923-B9E38DB1C4A0}"/>
    <cellStyle name="Note 2 2 2 2 5 6" xfId="18833" xr:uid="{4E77AE41-EFE8-472C-AC4E-81C19E7778B0}"/>
    <cellStyle name="Note 2 2 2 2 5 6 2" xfId="22450" xr:uid="{DB0602EC-3A0D-4F28-80AA-A6AF651FE9C8}"/>
    <cellStyle name="Note 2 2 2 2 5 7" xfId="34152" xr:uid="{74C9A1B8-01C1-4601-8157-C059CF6625E0}"/>
    <cellStyle name="Note 2 2 2 2 5 8" xfId="34153" xr:uid="{1E6014C0-9149-4E72-AF1A-719BF0937594}"/>
    <cellStyle name="Note 2 2 2 2 5 9" xfId="34154" xr:uid="{2F9E2BDF-B7F9-4D82-9D2F-88D19A2A146F}"/>
    <cellStyle name="Note 2 2 2 2 6" xfId="3293" xr:uid="{DC6AB8F6-5ED6-4D8B-B737-F630C4CE1FA1}"/>
    <cellStyle name="Note 2 2 2 2 6 10" xfId="34155" xr:uid="{ECEB639D-A69F-4A61-B7B4-249E31A84231}"/>
    <cellStyle name="Note 2 2 2 2 6 11" xfId="34156" xr:uid="{83CF68D4-8D81-44CC-8BA2-07EBEC0D03A1}"/>
    <cellStyle name="Note 2 2 2 2 6 2" xfId="5229" xr:uid="{AF003435-A78B-4A51-99D3-A3B8AB875DE8}"/>
    <cellStyle name="Note 2 2 2 2 6 2 2" xfId="18839" xr:uid="{57D3D038-108E-402D-82F0-10AFCAF10445}"/>
    <cellStyle name="Note 2 2 2 2 6 2 2 2" xfId="22456" xr:uid="{DEB264FC-38C8-4845-AC25-C317F1AD3C6D}"/>
    <cellStyle name="Note 2 2 2 2 6 2 3" xfId="34157" xr:uid="{3D90FFB2-A0E1-4664-A40A-FEDD45480CD4}"/>
    <cellStyle name="Note 2 2 2 2 6 2 4" xfId="34158" xr:uid="{AFD49350-EEAC-4F40-A592-7851CEECB15F}"/>
    <cellStyle name="Note 2 2 2 2 6 2 5" xfId="34159" xr:uid="{20AA6704-948A-4FFC-ADA9-9D08D5D76C91}"/>
    <cellStyle name="Note 2 2 2 2 6 2 6" xfId="34160" xr:uid="{E9DEEDE1-EAF7-4FD0-9AB1-3FA47DDB94A2}"/>
    <cellStyle name="Note 2 2 2 2 6 3" xfId="4254" xr:uid="{6E9B15CE-5CE5-4149-BEE1-B07DE8909FB9}"/>
    <cellStyle name="Note 2 2 2 2 6 3 2" xfId="18840" xr:uid="{9053BEFB-3581-4A4C-825D-7157EF1C3159}"/>
    <cellStyle name="Note 2 2 2 2 6 3 2 2" xfId="22457" xr:uid="{14EFF8AE-9E9D-48A1-96BD-9A983DC067AE}"/>
    <cellStyle name="Note 2 2 2 2 6 3 3" xfId="34161" xr:uid="{16780394-AD50-4716-84E3-FA23E2DF7EAD}"/>
    <cellStyle name="Note 2 2 2 2 6 3 4" xfId="34162" xr:uid="{B257D6B2-9295-4364-9794-26CFBAF20C2F}"/>
    <cellStyle name="Note 2 2 2 2 6 3 5" xfId="34163" xr:uid="{AAEE56DA-89C2-41BF-97A3-02A1D59EDD84}"/>
    <cellStyle name="Note 2 2 2 2 6 3 6" xfId="34164" xr:uid="{A6C1A7AB-C3A1-4059-9F06-AB0BC08A82F2}"/>
    <cellStyle name="Note 2 2 2 2 6 4" xfId="6321" xr:uid="{837DFBA3-C7B0-4D80-9810-4D0C6B94FAB8}"/>
    <cellStyle name="Note 2 2 2 2 6 4 2" xfId="18841" xr:uid="{575633A2-D301-49DD-8E38-19EF8FD4F79C}"/>
    <cellStyle name="Note 2 2 2 2 6 4 2 2" xfId="22458" xr:uid="{A66D95B2-7F57-46AE-8E66-BEDD38E211E1}"/>
    <cellStyle name="Note 2 2 2 2 6 4 3" xfId="34165" xr:uid="{0DF5B2E7-DD0A-4DE1-B724-5539C53BF2FA}"/>
    <cellStyle name="Note 2 2 2 2 6 4 4" xfId="34166" xr:uid="{5194CA35-3DC9-464B-8E50-D3B2EFF5DD0B}"/>
    <cellStyle name="Note 2 2 2 2 6 4 5" xfId="34167" xr:uid="{64D3D0FB-9178-40F2-8768-D8157E6D0019}"/>
    <cellStyle name="Note 2 2 2 2 6 4 6" xfId="34168" xr:uid="{10045C5D-809D-44D8-AB97-4B6F86518602}"/>
    <cellStyle name="Note 2 2 2 2 6 5" xfId="9124" xr:uid="{9C97038E-808D-4FFA-B19A-E9A776CD2D72}"/>
    <cellStyle name="Note 2 2 2 2 6 5 2" xfId="18842" xr:uid="{9D29518D-B5DE-44A2-819D-436C41492839}"/>
    <cellStyle name="Note 2 2 2 2 6 5 2 2" xfId="22459" xr:uid="{8B082FD6-BAB8-4129-9901-D01C707F0991}"/>
    <cellStyle name="Note 2 2 2 2 6 5 3" xfId="34169" xr:uid="{A7E56AD8-01CB-4944-A3BB-437E3B9B9B36}"/>
    <cellStyle name="Note 2 2 2 2 6 5 4" xfId="34170" xr:uid="{44E847ED-D491-4972-B41E-CBB4C22345C6}"/>
    <cellStyle name="Note 2 2 2 2 6 5 5" xfId="34171" xr:uid="{63430304-B319-4358-BC76-8E1D2B0B02B2}"/>
    <cellStyle name="Note 2 2 2 2 6 5 6" xfId="34172" xr:uid="{37165F3D-6B3A-4EC4-87D3-CA6B2145006A}"/>
    <cellStyle name="Note 2 2 2 2 6 5 7" xfId="16091" xr:uid="{94379AA2-6187-4DB3-B7F0-DDF0AA854FA1}"/>
    <cellStyle name="Note 2 2 2 2 6 6" xfId="18838" xr:uid="{CA8164E5-0863-41E1-8A2C-1AB2C6797F21}"/>
    <cellStyle name="Note 2 2 2 2 6 6 2" xfId="22455" xr:uid="{3714D574-1242-43C3-B6F2-5A99A1580045}"/>
    <cellStyle name="Note 2 2 2 2 6 7" xfId="34173" xr:uid="{2561546F-2CA5-4570-AAD0-57E70917A686}"/>
    <cellStyle name="Note 2 2 2 2 6 8" xfId="34174" xr:uid="{F7B4B5F8-44DF-42F9-AC3A-05BE5CCA24C5}"/>
    <cellStyle name="Note 2 2 2 2 6 9" xfId="34175" xr:uid="{5AE01536-CAC7-4312-BA26-9F2C882BDD27}"/>
    <cellStyle name="Note 2 2 2 2 7" xfId="3294" xr:uid="{4B4AD0F8-CE42-4DC2-9AFE-670E2AF6E6F8}"/>
    <cellStyle name="Note 2 2 2 2 7 10" xfId="34176" xr:uid="{D5CD2A0B-1336-4A4F-8A40-A07D1EE4A4D6}"/>
    <cellStyle name="Note 2 2 2 2 7 11" xfId="34177" xr:uid="{1BC4A4FC-AFE6-493F-AB0A-15AD05176974}"/>
    <cellStyle name="Note 2 2 2 2 7 2" xfId="5230" xr:uid="{84833011-19A5-4E8C-ABF4-67B4E87E0F7E}"/>
    <cellStyle name="Note 2 2 2 2 7 2 2" xfId="18844" xr:uid="{6A9AFD88-FF1F-43D4-9C3A-3650C948BA61}"/>
    <cellStyle name="Note 2 2 2 2 7 2 2 2" xfId="22461" xr:uid="{69D26167-1C28-4074-B740-4AA312EE2313}"/>
    <cellStyle name="Note 2 2 2 2 7 2 3" xfId="34178" xr:uid="{DE556980-9015-4422-8315-7642DF1136E1}"/>
    <cellStyle name="Note 2 2 2 2 7 2 4" xfId="34179" xr:uid="{97BAA519-1A1D-496F-AC2F-A480E01F0030}"/>
    <cellStyle name="Note 2 2 2 2 7 2 5" xfId="34180" xr:uid="{10CF41C3-08EB-4636-BB53-FE8BA0B0BF2F}"/>
    <cellStyle name="Note 2 2 2 2 7 2 6" xfId="34181" xr:uid="{4970E51E-D842-48D2-B48F-576E5DCBF230}"/>
    <cellStyle name="Note 2 2 2 2 7 3" xfId="4255" xr:uid="{5C099B8B-71D7-47BB-9F01-1102AA2BAFB7}"/>
    <cellStyle name="Note 2 2 2 2 7 3 2" xfId="18845" xr:uid="{1F15EAA8-3F63-4AE9-9CCA-BBE02BAC28B4}"/>
    <cellStyle name="Note 2 2 2 2 7 3 2 2" xfId="22462" xr:uid="{6C8451CC-0D9A-4E2A-92BC-9AED3C2CB181}"/>
    <cellStyle name="Note 2 2 2 2 7 3 3" xfId="34182" xr:uid="{070FFBB6-5CC4-4525-B777-1CA4A797D92D}"/>
    <cellStyle name="Note 2 2 2 2 7 3 4" xfId="34183" xr:uid="{4F3B0001-F657-4EE5-A999-A11E034F3D7A}"/>
    <cellStyle name="Note 2 2 2 2 7 3 5" xfId="34184" xr:uid="{570A9805-26B4-4EBB-A687-D514705FA658}"/>
    <cellStyle name="Note 2 2 2 2 7 3 6" xfId="34185" xr:uid="{F0C3E2E9-1E98-4335-B178-12A1F095F3DF}"/>
    <cellStyle name="Note 2 2 2 2 7 4" xfId="6322" xr:uid="{AA28676A-82F5-4104-BF66-AE5C24482766}"/>
    <cellStyle name="Note 2 2 2 2 7 4 2" xfId="18846" xr:uid="{CE751BCA-5058-46A3-82CE-934B6C57DD3E}"/>
    <cellStyle name="Note 2 2 2 2 7 4 2 2" xfId="22463" xr:uid="{D5250F99-D37A-4750-AC41-AB9DE7C0C667}"/>
    <cellStyle name="Note 2 2 2 2 7 4 3" xfId="34186" xr:uid="{C8AAD9BF-303F-47A1-92BE-7AE6CF562D49}"/>
    <cellStyle name="Note 2 2 2 2 7 4 4" xfId="34187" xr:uid="{3E7E1F95-85E9-4EDD-8220-8700EF1FBC9D}"/>
    <cellStyle name="Note 2 2 2 2 7 4 5" xfId="34188" xr:uid="{C1C415BF-08AC-41A8-A88A-77DC07FCB21C}"/>
    <cellStyle name="Note 2 2 2 2 7 4 6" xfId="34189" xr:uid="{17301B0E-8308-4A16-8EEF-5155B5FDE696}"/>
    <cellStyle name="Note 2 2 2 2 7 5" xfId="9125" xr:uid="{967568F4-E375-42D1-8691-6280E52D5B41}"/>
    <cellStyle name="Note 2 2 2 2 7 5 2" xfId="18847" xr:uid="{DE1658DC-5EA3-4457-87A1-9AF76A74C74A}"/>
    <cellStyle name="Note 2 2 2 2 7 5 2 2" xfId="22464" xr:uid="{2E72301D-3E48-4379-8B0D-F3518CE93658}"/>
    <cellStyle name="Note 2 2 2 2 7 5 3" xfId="34190" xr:uid="{A4140BE5-9240-4B00-B8B0-7C57F1F4EA18}"/>
    <cellStyle name="Note 2 2 2 2 7 5 4" xfId="34191" xr:uid="{1CCA6D75-3C8F-4170-BDE8-0E1C016E41BE}"/>
    <cellStyle name="Note 2 2 2 2 7 5 5" xfId="34192" xr:uid="{3C8271F1-6395-4DEB-B651-0B84868C746A}"/>
    <cellStyle name="Note 2 2 2 2 7 5 6" xfId="34193" xr:uid="{F8A7DE62-EA9F-4B3F-BD2B-4546F418817D}"/>
    <cellStyle name="Note 2 2 2 2 7 5 7" xfId="16092" xr:uid="{7BCB41F6-2AB2-430F-A733-75089A14EE22}"/>
    <cellStyle name="Note 2 2 2 2 7 6" xfId="18843" xr:uid="{76E0DB8B-054C-4193-99AA-11B10D000385}"/>
    <cellStyle name="Note 2 2 2 2 7 6 2" xfId="22460" xr:uid="{D430D706-3846-4908-8747-D7B7A9DE9604}"/>
    <cellStyle name="Note 2 2 2 2 7 7" xfId="34194" xr:uid="{8201B0ED-4609-4C37-B49F-8BADE83583AA}"/>
    <cellStyle name="Note 2 2 2 2 7 8" xfId="34195" xr:uid="{D94FAE46-A4CF-4D9F-9792-173E16665F10}"/>
    <cellStyle name="Note 2 2 2 2 7 9" xfId="34196" xr:uid="{23EF0B8C-5078-48CA-A4C4-7F12B9F05E2D}"/>
    <cellStyle name="Note 2 2 2 2 8" xfId="3295" xr:uid="{1E7D7A0D-1E13-478A-8441-3ADFF4F667AC}"/>
    <cellStyle name="Note 2 2 2 2 8 2" xfId="18848" xr:uid="{CE0BEFB9-D86D-4B75-9916-F4E6F20FBCFC}"/>
    <cellStyle name="Note 2 2 2 2 8 2 2" xfId="22465" xr:uid="{EC7B4AC9-1013-4647-B220-267EF0C8C4E9}"/>
    <cellStyle name="Note 2 2 2 2 8 3" xfId="34197" xr:uid="{BB0DE824-2E6F-40B4-8FCB-169D96406D32}"/>
    <cellStyle name="Note 2 2 2 2 8 4" xfId="34198" xr:uid="{24D0DA26-BC27-4007-AD13-430E03CCCD06}"/>
    <cellStyle name="Note 2 2 2 2 8 5" xfId="34199" xr:uid="{9CDF17C0-AC64-491B-BD7C-690C9E0580AC}"/>
    <cellStyle name="Note 2 2 2 2 8 6" xfId="34200" xr:uid="{EA535DC9-EA1C-47BC-AFE6-AF89F9CE58FA}"/>
    <cellStyle name="Note 2 2 2 2 9" xfId="3296" xr:uid="{7ECB8679-D391-4F1E-A3DF-4B6FD390711E}"/>
    <cellStyle name="Note 2 2 2 2 9 2" xfId="18849" xr:uid="{7A4FC55A-092E-4527-8FB2-48F38446ADB5}"/>
    <cellStyle name="Note 2 2 2 2 9 2 2" xfId="22466" xr:uid="{5CB5CC35-344C-48A7-9D9C-AA2B56A28A76}"/>
    <cellStyle name="Note 2 2 2 2 9 3" xfId="34201" xr:uid="{8C9AED8F-716C-4CE3-BE16-E97EF9943E42}"/>
    <cellStyle name="Note 2 2 2 2 9 4" xfId="34202" xr:uid="{C7CC7ECD-306B-4068-95D2-A06851D6B959}"/>
    <cellStyle name="Note 2 2 2 2 9 5" xfId="34203" xr:uid="{8A29AE8A-E2B9-4170-8040-71B54B8C5A87}"/>
    <cellStyle name="Note 2 2 2 2 9 6" xfId="34204" xr:uid="{98D0C558-3D9D-4BF2-B0FD-AA0382F55830}"/>
    <cellStyle name="Note 2 2 2 2_IND_UC" xfId="3297" xr:uid="{176294D4-CFE6-4B47-A77D-CF06A3EDF497}"/>
    <cellStyle name="Note 2 2 2 3" xfId="3298" xr:uid="{F62670E9-1482-45BA-B56B-C150018BE0AB}"/>
    <cellStyle name="Note 2 2 2 3 10" xfId="34205" xr:uid="{40A2E850-F0F3-44B2-BCB3-4831A2AD42F4}"/>
    <cellStyle name="Note 2 2 2 3 11" xfId="34206" xr:uid="{755E2A55-2817-4C73-AE54-1904A1F83E93}"/>
    <cellStyle name="Note 2 2 2 3 12" xfId="34207" xr:uid="{594B8923-0C8C-4196-921E-9FB85395C604}"/>
    <cellStyle name="Note 2 2 2 3 2" xfId="3299" xr:uid="{7025771B-5EFB-4D31-9F6F-C9C605D0AE10}"/>
    <cellStyle name="Note 2 2 2 3 2 10" xfId="34208" xr:uid="{8F833778-7E3F-4F6A-9388-3EBBD2093689}"/>
    <cellStyle name="Note 2 2 2 3 2 11" xfId="34209" xr:uid="{9A91DA75-B0E8-4B56-8152-8416E9D9F985}"/>
    <cellStyle name="Note 2 2 2 3 2 2" xfId="16094" xr:uid="{AF7765D8-9113-4BD3-9D96-9956443079D1}"/>
    <cellStyle name="Note 2 2 2 3 2 2 2" xfId="18852" xr:uid="{6AE1CB82-A5E7-4C7E-9CF7-AFA461767F82}"/>
    <cellStyle name="Note 2 2 2 3 2 2 2 2" xfId="22469" xr:uid="{DAB575B3-3F62-4E91-B562-31E2D357E442}"/>
    <cellStyle name="Note 2 2 2 3 2 2 3" xfId="34210" xr:uid="{B42A9A55-A31C-4F18-A6F2-F3BE2448356E}"/>
    <cellStyle name="Note 2 2 2 3 2 2 4" xfId="34211" xr:uid="{26A91D52-65A5-4BC8-AA3A-FB7D74A5F453}"/>
    <cellStyle name="Note 2 2 2 3 2 2 5" xfId="34212" xr:uid="{E1311801-AEBC-41F5-9CA2-245524298211}"/>
    <cellStyle name="Note 2 2 2 3 2 2 6" xfId="34213" xr:uid="{7DFDB7FA-B882-4A78-B62B-EDD4C8186A1A}"/>
    <cellStyle name="Note 2 2 2 3 2 3" xfId="16095" xr:uid="{E9D9696B-EC0A-4738-9755-7234A0ADD823}"/>
    <cellStyle name="Note 2 2 2 3 2 3 2" xfId="18853" xr:uid="{04F246C1-9231-4AFB-AC57-49C54B515A84}"/>
    <cellStyle name="Note 2 2 2 3 2 3 2 2" xfId="22470" xr:uid="{4293C042-B8D3-42BA-ADD3-EABF87677444}"/>
    <cellStyle name="Note 2 2 2 3 2 3 3" xfId="34214" xr:uid="{5EA93329-3BA5-4525-A54F-B818FF11D587}"/>
    <cellStyle name="Note 2 2 2 3 2 3 4" xfId="34215" xr:uid="{82194683-AE17-4AEC-BE96-C53F9C937847}"/>
    <cellStyle name="Note 2 2 2 3 2 3 5" xfId="34216" xr:uid="{46F890A4-2D2D-4E7F-9424-17C7594F110A}"/>
    <cellStyle name="Note 2 2 2 3 2 3 6" xfId="34217" xr:uid="{447410CE-87D0-4825-8E67-320B15B231A0}"/>
    <cellStyle name="Note 2 2 2 3 2 4" xfId="16096" xr:uid="{24B07DF7-1AAF-4D2C-9FF6-1A9300DAB8BB}"/>
    <cellStyle name="Note 2 2 2 3 2 4 2" xfId="18854" xr:uid="{207C897E-FF39-404C-9866-3871DF4580E2}"/>
    <cellStyle name="Note 2 2 2 3 2 4 2 2" xfId="22471" xr:uid="{6EEEDC41-F900-44F9-89A5-842AD540B26B}"/>
    <cellStyle name="Note 2 2 2 3 2 4 3" xfId="34218" xr:uid="{45CE5524-1CD6-4B07-84AA-EEB2F70F6CF7}"/>
    <cellStyle name="Note 2 2 2 3 2 4 4" xfId="34219" xr:uid="{05ED61DA-69A3-4E3A-AE83-91C22FB89CAD}"/>
    <cellStyle name="Note 2 2 2 3 2 4 5" xfId="34220" xr:uid="{51B057CA-73AA-4A1D-9A29-2B6A86783F4D}"/>
    <cellStyle name="Note 2 2 2 3 2 4 6" xfId="34221" xr:uid="{52ADFE08-5ADC-4C62-88A7-3B0AE6DBE652}"/>
    <cellStyle name="Note 2 2 2 3 2 5" xfId="16093" xr:uid="{4EF4A6B9-7133-448C-A853-30F8DB4588BD}"/>
    <cellStyle name="Note 2 2 2 3 2 5 2" xfId="18855" xr:uid="{72455B4E-50C3-458C-BB74-F31BC7DD7FC4}"/>
    <cellStyle name="Note 2 2 2 3 2 5 2 2" xfId="22472" xr:uid="{A136FD46-7783-40B7-8C7D-5E06255271CE}"/>
    <cellStyle name="Note 2 2 2 3 2 5 3" xfId="34222" xr:uid="{DC276C0E-8A7F-43F5-B755-043FE82A0506}"/>
    <cellStyle name="Note 2 2 2 3 2 5 4" xfId="34223" xr:uid="{CA28352B-A763-43F9-B799-3068EA3C4EA2}"/>
    <cellStyle name="Note 2 2 2 3 2 5 5" xfId="34224" xr:uid="{269E6612-421F-48AA-8299-3C95CEB2949F}"/>
    <cellStyle name="Note 2 2 2 3 2 5 6" xfId="34225" xr:uid="{B0B32AF3-0705-4233-82FA-A19BF6950700}"/>
    <cellStyle name="Note 2 2 2 3 2 6" xfId="18851" xr:uid="{C707DE6C-9B88-46C7-98DE-308F93E260B1}"/>
    <cellStyle name="Note 2 2 2 3 2 6 2" xfId="22468" xr:uid="{E7A86147-4468-4B09-963D-05898BFE45E6}"/>
    <cellStyle name="Note 2 2 2 3 2 7" xfId="34226" xr:uid="{249F3207-5272-4BFF-AAC6-0F1BBD169F95}"/>
    <cellStyle name="Note 2 2 2 3 2 8" xfId="34227" xr:uid="{172A6B51-98C7-47BD-9546-63E83A5137EF}"/>
    <cellStyle name="Note 2 2 2 3 2 9" xfId="34228" xr:uid="{01DE16F2-27C6-46D6-8E00-F13F4B2B5FBE}"/>
    <cellStyle name="Note 2 2 2 3 3" xfId="3300" xr:uid="{25A6C904-9195-4838-9D6D-DBC70CE9DFCD}"/>
    <cellStyle name="Note 2 2 2 3 3 2" xfId="3301" xr:uid="{D0BA679C-7C40-4292-A3A9-EFD8E54E7379}"/>
    <cellStyle name="Note 2 2 2 3 3 2 2" xfId="16295" xr:uid="{06C223FA-B62F-453D-82DD-A916C802F2EB}"/>
    <cellStyle name="Note 2 2 2 3 3 2 2 2" xfId="18858" xr:uid="{463141CE-B316-45D0-8C24-D3EA36497933}"/>
    <cellStyle name="Note 2 2 2 3 3 2 2 2 2" xfId="22475" xr:uid="{5AE3683A-3187-4AD8-97C3-331A51DF8AD5}"/>
    <cellStyle name="Note 2 2 2 3 3 2 2 3" xfId="34229" xr:uid="{FE1C73D0-4A02-42D3-BBCD-626B59B3AD5E}"/>
    <cellStyle name="Note 2 2 2 3 3 2 2 4" xfId="34230" xr:uid="{DEA9BA89-BB65-4248-8E44-F2D1B0149D21}"/>
    <cellStyle name="Note 2 2 2 3 3 2 2 5" xfId="34231" xr:uid="{B8B48A37-E796-4241-B5E4-F1FCC9430E0F}"/>
    <cellStyle name="Note 2 2 2 3 3 2 2 6" xfId="34232" xr:uid="{69B49E27-4216-4DA5-8D97-5D79B0BBFADA}"/>
    <cellStyle name="Note 2 2 2 3 3 2 3" xfId="18857" xr:uid="{BF0D191C-7D43-43A0-B971-B799933BA5EE}"/>
    <cellStyle name="Note 2 2 2 3 3 2 3 2" xfId="22474" xr:uid="{D20C996F-7190-40E4-B722-523E9B68321E}"/>
    <cellStyle name="Note 2 2 2 3 3 2 4" xfId="34233" xr:uid="{AD3B5F63-AB02-4C68-AA42-EF651A0D1AAD}"/>
    <cellStyle name="Note 2 2 2 3 3 2 5" xfId="34234" xr:uid="{0D71005E-4EC4-4C2D-B5C2-95F885CE771C}"/>
    <cellStyle name="Note 2 2 2 3 3 2 6" xfId="34235" xr:uid="{BF919C9B-A4F3-4940-879C-E863F9F6E0FE}"/>
    <cellStyle name="Note 2 2 2 3 3 2 7" xfId="34236" xr:uid="{74A80B58-3B12-405A-9E57-4BE76D74AB6F}"/>
    <cellStyle name="Note 2 2 2 3 3 2 8" xfId="16561" xr:uid="{644FA764-04F7-42DF-8451-3CAED0AEC314}"/>
    <cellStyle name="Note 2 2 2 3 3 3" xfId="5231" xr:uid="{C910600C-B582-420A-9D87-8670F870B481}"/>
    <cellStyle name="Note 2 2 2 3 3 3 2" xfId="22473" xr:uid="{3B84AF74-FDAA-4186-BFF1-135FB3413FA9}"/>
    <cellStyle name="Note 2 2 2 3 3 3 3" xfId="43676" xr:uid="{100A21EB-4336-4AB0-B5C6-58BB0F649E85}"/>
    <cellStyle name="Note 2 2 2 3 3 3 4" xfId="18856" xr:uid="{B48F898E-6FEA-47C9-8386-51CE61A556D4}"/>
    <cellStyle name="Note 2 2 2 3 3 4" xfId="4257" xr:uid="{CFE1BDD8-F299-4FE2-B9AF-5DCDDB035A6F}"/>
    <cellStyle name="Note 2 2 2 3 3 4 2" xfId="44066" xr:uid="{7432E879-83C3-44E6-9561-1D256CB85B46}"/>
    <cellStyle name="Note 2 2 2 3 3 4 3" xfId="34237" xr:uid="{8B4D764A-3366-49B6-BF52-FB0F189F7C10}"/>
    <cellStyle name="Note 2 2 2 3 3 5" xfId="6324" xr:uid="{ABA74D9F-AC3D-4A4C-A8E6-549EE6430051}"/>
    <cellStyle name="Note 2 2 2 3 3 5 2" xfId="45977" xr:uid="{2A6F4E6B-2774-4378-83A4-0A3363E5CEB0}"/>
    <cellStyle name="Note 2 2 2 3 3 5 3" xfId="34238" xr:uid="{B4D57486-5A30-49ED-AAD9-81A5128476E5}"/>
    <cellStyle name="Note 2 2 2 3 3 6" xfId="9126" xr:uid="{5F4DF826-9ED8-41DF-BFC1-06A1D3ECC51D}"/>
    <cellStyle name="Note 2 2 2 3 3 6 2" xfId="34239" xr:uid="{0277EFC8-CDD5-4F04-9522-14DBDA228EFB}"/>
    <cellStyle name="Note 2 2 2 3 3 7" xfId="34240" xr:uid="{A8F11318-5DAF-482B-A61D-09D128A840D3}"/>
    <cellStyle name="Note 2 2 2 3 3 8" xfId="34241" xr:uid="{00AA0331-6283-4C9C-8535-27E2A40CE8D8}"/>
    <cellStyle name="Note 2 2 2 3 4" xfId="3302" xr:uid="{E368E397-9EFA-492D-8FCB-FBC2A60FEB0D}"/>
    <cellStyle name="Note 2 2 2 3 4 2" xfId="18859" xr:uid="{91AF9BB4-4290-4151-9072-8FFABF361AF8}"/>
    <cellStyle name="Note 2 2 2 3 4 2 2" xfId="22476" xr:uid="{5E6D750C-F655-48C8-98FA-19835A60BAF6}"/>
    <cellStyle name="Note 2 2 2 3 4 3" xfId="34242" xr:uid="{E9AEBF25-77A8-4232-8AE2-13165E5690FE}"/>
    <cellStyle name="Note 2 2 2 3 4 4" xfId="34243" xr:uid="{7263FEFC-C609-47DA-986C-117BDC3F339A}"/>
    <cellStyle name="Note 2 2 2 3 4 5" xfId="34244" xr:uid="{09A2AFFF-6A7C-4A84-A69A-0329CF07166B}"/>
    <cellStyle name="Note 2 2 2 3 4 6" xfId="34245" xr:uid="{13CA0294-B31E-4B31-94F0-052F9EB4EDCB}"/>
    <cellStyle name="Note 2 2 2 3 5" xfId="4256" xr:uid="{5F5AE744-8211-46DB-912B-EAB54686F7FA}"/>
    <cellStyle name="Note 2 2 2 3 5 2" xfId="10837" xr:uid="{B7E53658-4FA7-4858-BACC-0BB1C9D6D02B}"/>
    <cellStyle name="Note 2 2 2 3 5 2 2" xfId="22477" xr:uid="{A68D17E1-0881-4737-A2E4-A1C59CCFD2EC}"/>
    <cellStyle name="Note 2 2 2 3 5 2 3" xfId="18860" xr:uid="{91C80FDA-2B18-4F78-A372-EA205F902260}"/>
    <cellStyle name="Note 2 2 2 3 5 3" xfId="34246" xr:uid="{0B84D3A6-D675-4804-8F24-BAEF6FE0F7E3}"/>
    <cellStyle name="Note 2 2 2 3 5 4" xfId="34247" xr:uid="{51340EDF-3110-4937-88C2-0410A56AED9D}"/>
    <cellStyle name="Note 2 2 2 3 5 5" xfId="34248" xr:uid="{98B325FA-D03F-4E2E-826C-05DB1FE2B085}"/>
    <cellStyle name="Note 2 2 2 3 5 6" xfId="34249" xr:uid="{CDC40C4A-033A-4A16-B254-CFB2A53BBB29}"/>
    <cellStyle name="Note 2 2 2 3 6" xfId="6323" xr:uid="{3C1D7EE4-E55C-484B-B6F3-B575CA015F7D}"/>
    <cellStyle name="Note 2 2 2 3 6 2" xfId="18861" xr:uid="{5B616123-DBE3-4E25-98BF-CD1E657499D4}"/>
    <cellStyle name="Note 2 2 2 3 6 2 2" xfId="22478" xr:uid="{33CEFFDB-3076-4E59-B50F-94FEA5BBE4B8}"/>
    <cellStyle name="Note 2 2 2 3 6 3" xfId="34250" xr:uid="{95689FE1-B324-43D0-847C-11BB20107850}"/>
    <cellStyle name="Note 2 2 2 3 6 4" xfId="34251" xr:uid="{4ADF6AAB-C71C-4AE6-9E16-0E063D5ECD82}"/>
    <cellStyle name="Note 2 2 2 3 6 5" xfId="34252" xr:uid="{FE6AD6AD-FFDE-4CC8-AB3D-AEF5CFCCA714}"/>
    <cellStyle name="Note 2 2 2 3 6 6" xfId="34253" xr:uid="{B62CF351-8EA3-46B2-82BC-A56E7D766609}"/>
    <cellStyle name="Note 2 2 2 3 7" xfId="18850" xr:uid="{726DE7E0-7D84-4663-81C0-B732B7EB3700}"/>
    <cellStyle name="Note 2 2 2 3 7 2" xfId="22467" xr:uid="{6A07C308-9A36-4D9D-B9E1-DC381E76F173}"/>
    <cellStyle name="Note 2 2 2 3 8" xfId="34254" xr:uid="{45D9C3BF-F225-4EB3-BC59-D6AC831CE73F}"/>
    <cellStyle name="Note 2 2 2 3 9" xfId="34255" xr:uid="{A0C744BE-1A3F-4089-833B-7320105724DB}"/>
    <cellStyle name="Note 2 2 2 3_IND_UC" xfId="3303" xr:uid="{41ED3923-4343-4005-B137-41D5CFE0F43A}"/>
    <cellStyle name="Note 2 2 2 4" xfId="3304" xr:uid="{6D6E0196-36B9-4AFE-8CDD-D12C7E106CA5}"/>
    <cellStyle name="Note 2 2 2 4 10" xfId="34256" xr:uid="{9E3086EC-CD44-4833-873E-110EE12788CE}"/>
    <cellStyle name="Note 2 2 2 4 11" xfId="34257" xr:uid="{06092D75-8CF9-46FB-8665-F1CD3E730264}"/>
    <cellStyle name="Note 2 2 2 4 12" xfId="34258" xr:uid="{DF8E720E-D6FF-49B3-8BDA-EBAECEA0DCB3}"/>
    <cellStyle name="Note 2 2 2 4 13" xfId="34259" xr:uid="{4D9B986E-4843-4746-ACBB-798EF88E5B14}"/>
    <cellStyle name="Note 2 2 2 4 2" xfId="3305" xr:uid="{5218B050-7D7E-4FB9-A01D-ECBED7EC4948}"/>
    <cellStyle name="Note 2 2 2 4 2 10" xfId="34260" xr:uid="{52AE1E56-C9FF-4B47-8EFD-9B7874A0E8C2}"/>
    <cellStyle name="Note 2 2 2 4 2 11" xfId="34261" xr:uid="{B93637E2-7567-4236-A589-10466BCA1172}"/>
    <cellStyle name="Note 2 2 2 4 2 2" xfId="16098" xr:uid="{76CA12B7-9EA4-4D17-A0E7-94FD8E5D5DCD}"/>
    <cellStyle name="Note 2 2 2 4 2 2 2" xfId="18864" xr:uid="{9C090DCD-484A-4673-8F93-624873AE1E3C}"/>
    <cellStyle name="Note 2 2 2 4 2 2 2 2" xfId="22481" xr:uid="{093ECFD9-3B93-487E-BCCC-A07AAA2F7C2D}"/>
    <cellStyle name="Note 2 2 2 4 2 2 3" xfId="34262" xr:uid="{D65582A2-CA09-455F-AF08-DAA8FF22485A}"/>
    <cellStyle name="Note 2 2 2 4 2 2 4" xfId="34263" xr:uid="{9C1C090F-34DB-40A7-8153-C39514CD221C}"/>
    <cellStyle name="Note 2 2 2 4 2 2 5" xfId="34264" xr:uid="{1A79E7C1-5B1E-4BA5-BA93-D7866F276A62}"/>
    <cellStyle name="Note 2 2 2 4 2 2 6" xfId="34265" xr:uid="{A59F0322-0AC9-4DF5-A039-767D6E5401CB}"/>
    <cellStyle name="Note 2 2 2 4 2 3" xfId="16099" xr:uid="{21170721-8565-46B6-9051-990D8C40E73B}"/>
    <cellStyle name="Note 2 2 2 4 2 3 2" xfId="18865" xr:uid="{B2947521-2E2B-41A7-B37C-CD72D11F8E6B}"/>
    <cellStyle name="Note 2 2 2 4 2 3 2 2" xfId="22482" xr:uid="{47F13D89-0E77-44AD-9AF8-F2CCADC63E2D}"/>
    <cellStyle name="Note 2 2 2 4 2 3 3" xfId="34266" xr:uid="{7EF88B93-C6C6-43F9-9801-B21BAAFA1780}"/>
    <cellStyle name="Note 2 2 2 4 2 3 4" xfId="34267" xr:uid="{D00A5390-76B5-4956-9924-9E7EF07B8B57}"/>
    <cellStyle name="Note 2 2 2 4 2 3 5" xfId="34268" xr:uid="{EE543275-CFB3-47EF-9409-188A6DB2AB14}"/>
    <cellStyle name="Note 2 2 2 4 2 3 6" xfId="34269" xr:uid="{66687A97-395B-4631-B762-75FAC47C1174}"/>
    <cellStyle name="Note 2 2 2 4 2 4" xfId="16100" xr:uid="{5AD9E820-B761-4651-8F51-0E0A1FFC33A6}"/>
    <cellStyle name="Note 2 2 2 4 2 4 2" xfId="18866" xr:uid="{CAE1FEC6-3870-4A99-865C-2D5F2125CBE2}"/>
    <cellStyle name="Note 2 2 2 4 2 4 2 2" xfId="22483" xr:uid="{D1F385CE-808F-4FDD-A9F2-559A1F38F422}"/>
    <cellStyle name="Note 2 2 2 4 2 4 3" xfId="34270" xr:uid="{CA73004E-63FF-4CBE-812E-901536495CFF}"/>
    <cellStyle name="Note 2 2 2 4 2 4 4" xfId="34271" xr:uid="{6244C69A-1996-4D59-BDC8-7EC0ED538421}"/>
    <cellStyle name="Note 2 2 2 4 2 4 5" xfId="34272" xr:uid="{7A2267C5-B97F-4E93-9142-618B2E81FADD}"/>
    <cellStyle name="Note 2 2 2 4 2 4 6" xfId="34273" xr:uid="{A6D0540E-FB4B-46C0-BE00-613A2B7756E0}"/>
    <cellStyle name="Note 2 2 2 4 2 5" xfId="16097" xr:uid="{8592A87C-89D5-42A8-AF84-559CA775B311}"/>
    <cellStyle name="Note 2 2 2 4 2 5 2" xfId="18867" xr:uid="{378ADF18-48C5-4271-B20A-F24BBFD79F9E}"/>
    <cellStyle name="Note 2 2 2 4 2 5 2 2" xfId="22484" xr:uid="{2D9F1FA3-031D-4A77-B0A2-F94BAA47A7EE}"/>
    <cellStyle name="Note 2 2 2 4 2 5 3" xfId="34274" xr:uid="{9AF6D28A-EF44-4CCA-8448-56145C27FF4D}"/>
    <cellStyle name="Note 2 2 2 4 2 5 4" xfId="34275" xr:uid="{F7D68CE3-ABED-4B53-A6DB-C6365D6C3243}"/>
    <cellStyle name="Note 2 2 2 4 2 5 5" xfId="34276" xr:uid="{360236D6-F13E-4B29-8D0E-93DD27CBAF03}"/>
    <cellStyle name="Note 2 2 2 4 2 5 6" xfId="34277" xr:uid="{EAB30ABA-90E4-4DE3-B9DD-6C43B0295407}"/>
    <cellStyle name="Note 2 2 2 4 2 6" xfId="18863" xr:uid="{64C76D8A-0801-41FD-8B15-2DE982343171}"/>
    <cellStyle name="Note 2 2 2 4 2 6 2" xfId="22480" xr:uid="{D0C78E6F-5AB6-4C87-A161-58573F26C557}"/>
    <cellStyle name="Note 2 2 2 4 2 7" xfId="34278" xr:uid="{7B815A47-B041-44C7-ABC0-BDA4028D975F}"/>
    <cellStyle name="Note 2 2 2 4 2 8" xfId="34279" xr:uid="{6C550B81-CCE4-4B60-B030-19F01B6D65C0}"/>
    <cellStyle name="Note 2 2 2 4 2 9" xfId="34280" xr:uid="{643900F6-9B0F-4AF0-832F-D2D0B6A2A930}"/>
    <cellStyle name="Note 2 2 2 4 3" xfId="3306" xr:uid="{4ADB5588-4C62-424F-9FF7-FB4B49692711}"/>
    <cellStyle name="Note 2 2 2 4 3 2" xfId="3307" xr:uid="{9C139299-F0DF-48A9-B17B-251CEE205566}"/>
    <cellStyle name="Note 2 2 2 4 3 2 2" xfId="16293" xr:uid="{EB450C9B-036F-4C8F-80BD-7F8D63AC45B1}"/>
    <cellStyle name="Note 2 2 2 4 3 2 2 2" xfId="18870" xr:uid="{3E72D1B6-CF7B-491C-9DC5-95273F24EF60}"/>
    <cellStyle name="Note 2 2 2 4 3 2 2 2 2" xfId="22487" xr:uid="{28487059-641F-49B1-8164-C8626129B37D}"/>
    <cellStyle name="Note 2 2 2 4 3 2 2 3" xfId="34281" xr:uid="{1505DA30-55C1-424E-827B-5825836464EB}"/>
    <cellStyle name="Note 2 2 2 4 3 2 2 4" xfId="34282" xr:uid="{58383B90-CFDC-48A3-BCB9-8BEAB39A5D8D}"/>
    <cellStyle name="Note 2 2 2 4 3 2 2 5" xfId="34283" xr:uid="{11D839EC-4762-47D2-ABF2-4956383DE0DD}"/>
    <cellStyle name="Note 2 2 2 4 3 2 2 6" xfId="34284" xr:uid="{F9C634EB-2748-4E2F-B178-9027EA457F82}"/>
    <cellStyle name="Note 2 2 2 4 3 2 3" xfId="18869" xr:uid="{A01280B3-D6FD-453C-A5EA-D9588DB7CB54}"/>
    <cellStyle name="Note 2 2 2 4 3 2 3 2" xfId="22486" xr:uid="{77579586-760E-4CBC-A76A-E7DB9B68285B}"/>
    <cellStyle name="Note 2 2 2 4 3 2 4" xfId="34285" xr:uid="{F85D6577-C40A-4E9E-B42A-F5152D329BC6}"/>
    <cellStyle name="Note 2 2 2 4 3 2 5" xfId="34286" xr:uid="{AD0EF579-7C65-4420-A2DC-5340436C9DEC}"/>
    <cellStyle name="Note 2 2 2 4 3 2 6" xfId="34287" xr:uid="{FE5CC1AD-4C62-45BF-8EDB-AE00C66B392B}"/>
    <cellStyle name="Note 2 2 2 4 3 2 7" xfId="34288" xr:uid="{ADFC4F2F-B469-400A-9332-46624508FCE3}"/>
    <cellStyle name="Note 2 2 2 4 3 2 8" xfId="16562" xr:uid="{BD6C7540-8496-4E3C-BDEB-2A521C3539DE}"/>
    <cellStyle name="Note 2 2 2 4 3 3" xfId="5232" xr:uid="{95BF0221-AFF5-4D4F-8121-5B1D6632DD37}"/>
    <cellStyle name="Note 2 2 2 4 3 3 2" xfId="22485" xr:uid="{2A7BB853-F4A0-4114-86E5-47C39722DBA0}"/>
    <cellStyle name="Note 2 2 2 4 3 3 3" xfId="43677" xr:uid="{5536FBBB-3815-425A-A468-3851CD81C7DD}"/>
    <cellStyle name="Note 2 2 2 4 3 3 4" xfId="18868" xr:uid="{B6F236E3-88B3-4C09-8496-303F7032A37D}"/>
    <cellStyle name="Note 2 2 2 4 3 4" xfId="4259" xr:uid="{B61E628B-4ED9-4EF9-8C5F-10B687E8F68D}"/>
    <cellStyle name="Note 2 2 2 4 3 4 2" xfId="44067" xr:uid="{66AAB8D0-060E-491C-B53D-04ACCE669414}"/>
    <cellStyle name="Note 2 2 2 4 3 4 3" xfId="34289" xr:uid="{941965EC-5257-4961-9361-5E5E91FAB203}"/>
    <cellStyle name="Note 2 2 2 4 3 5" xfId="6326" xr:uid="{F1F5E3BD-74EB-432E-BB17-391B1E4A5ED7}"/>
    <cellStyle name="Note 2 2 2 4 3 5 2" xfId="45978" xr:uid="{D3AB0EA4-C352-4C58-8C06-B829012A150B}"/>
    <cellStyle name="Note 2 2 2 4 3 5 3" xfId="34290" xr:uid="{CE6D32B6-D849-42D6-AEBF-129BC03E3ACF}"/>
    <cellStyle name="Note 2 2 2 4 3 6" xfId="9127" xr:uid="{6A3AB176-8233-4E54-96F7-51E68CAC248C}"/>
    <cellStyle name="Note 2 2 2 4 3 6 2" xfId="34291" xr:uid="{1BEDD0D6-7990-42F9-A75E-D47E6F48F391}"/>
    <cellStyle name="Note 2 2 2 4 3 7" xfId="34292" xr:uid="{7B08DC91-26B3-4089-8E00-C29F5EFA45FB}"/>
    <cellStyle name="Note 2 2 2 4 3 8" xfId="34293" xr:uid="{0EA5BAC4-A5DF-48E0-8927-BB25AC459FAB}"/>
    <cellStyle name="Note 2 2 2 4 4" xfId="3308" xr:uid="{CF05C910-9DE1-4FC6-A03F-5871454F4020}"/>
    <cellStyle name="Note 2 2 2 4 4 2" xfId="18871" xr:uid="{3051E675-92A8-473D-A496-5A1720804458}"/>
    <cellStyle name="Note 2 2 2 4 4 2 2" xfId="22488" xr:uid="{56471245-A938-4D19-8F17-0E435C048375}"/>
    <cellStyle name="Note 2 2 2 4 4 3" xfId="34294" xr:uid="{C1244D6F-F5B2-44EC-AE06-38779858CD05}"/>
    <cellStyle name="Note 2 2 2 4 4 4" xfId="34295" xr:uid="{6EAD9C6E-93E7-47D6-8E63-4DF7FEB21F1C}"/>
    <cellStyle name="Note 2 2 2 4 4 5" xfId="34296" xr:uid="{0ED1D0B3-E376-4F73-A473-DFC7EBC1A9E3}"/>
    <cellStyle name="Note 2 2 2 4 4 6" xfId="34297" xr:uid="{CA9F5FDE-8474-44C6-86C9-4E1FFA97001E}"/>
    <cellStyle name="Note 2 2 2 4 5" xfId="4258" xr:uid="{B23021E3-827B-4C69-85FD-E76FF20D21A4}"/>
    <cellStyle name="Note 2 2 2 4 5 2" xfId="10495" xr:uid="{5FD25881-FC3B-44EF-B2BB-2D5B0F1716F4}"/>
    <cellStyle name="Note 2 2 2 4 5 2 2" xfId="22489" xr:uid="{0FAEB6CB-01A0-455F-9960-93A84C1E0A6C}"/>
    <cellStyle name="Note 2 2 2 4 5 2 3" xfId="18872" xr:uid="{BF3086A4-6B62-4DDF-A7F0-F15D34141EF6}"/>
    <cellStyle name="Note 2 2 2 4 5 3" xfId="34298" xr:uid="{D09C6924-456A-47DC-880A-1FC301133CD1}"/>
    <cellStyle name="Note 2 2 2 4 5 4" xfId="34299" xr:uid="{0D606806-EC3C-4234-A6FB-6DB35EFEFCC5}"/>
    <cellStyle name="Note 2 2 2 4 5 5" xfId="34300" xr:uid="{475630C9-795D-4592-B761-E324D039DE33}"/>
    <cellStyle name="Note 2 2 2 4 5 6" xfId="34301" xr:uid="{10961F5C-1CB1-47C5-B4EC-1542D2A600BC}"/>
    <cellStyle name="Note 2 2 2 4 6" xfId="6325" xr:uid="{4BD73367-B659-49EE-940D-6CF13D5030E3}"/>
    <cellStyle name="Note 2 2 2 4 6 2" xfId="18873" xr:uid="{072A8C2F-1B9A-476A-AAC6-DF4C88C0962F}"/>
    <cellStyle name="Note 2 2 2 4 6 2 2" xfId="22490" xr:uid="{5E65C13E-A3F7-4FDF-80FA-1D1DE3183322}"/>
    <cellStyle name="Note 2 2 2 4 6 3" xfId="34302" xr:uid="{F1E40697-EEF6-470D-94A1-629CC2917B6C}"/>
    <cellStyle name="Note 2 2 2 4 6 4" xfId="34303" xr:uid="{60A11AD6-9B29-4C38-A5BA-5D3F229AE420}"/>
    <cellStyle name="Note 2 2 2 4 6 5" xfId="34304" xr:uid="{44C26C4E-825F-484E-B3A2-8EC42AD64E4E}"/>
    <cellStyle name="Note 2 2 2 4 6 6" xfId="34305" xr:uid="{A6B7FC35-45B5-43D9-B8FD-56BA3F35A828}"/>
    <cellStyle name="Note 2 2 2 4 7" xfId="18874" xr:uid="{B03D7B7A-0F57-4223-A72B-85CC8140821F}"/>
    <cellStyle name="Note 2 2 2 4 7 2" xfId="22491" xr:uid="{67A6561F-0328-45D0-8596-18ECB8A7B949}"/>
    <cellStyle name="Note 2 2 2 4 8" xfId="18862" xr:uid="{2ECA6053-17CC-4E8E-A163-724607B7B26C}"/>
    <cellStyle name="Note 2 2 2 4 8 2" xfId="22479" xr:uid="{866B110E-012F-432F-9FEA-9947D596F6DF}"/>
    <cellStyle name="Note 2 2 2 4 9" xfId="34306" xr:uid="{F6FED5B0-73A4-47F0-8ED3-48935B342D99}"/>
    <cellStyle name="Note 2 2 2 4_IND_UC" xfId="3309" xr:uid="{59C56150-08F9-4620-9F36-E12666EE170C}"/>
    <cellStyle name="Note 2 2 2 5" xfId="3310" xr:uid="{972E41F4-547D-410F-8CB1-AAFC7F685030}"/>
    <cellStyle name="Note 2 2 2 5 10" xfId="34307" xr:uid="{4BC585F8-BA1B-4D32-8E70-71905CBEB2C2}"/>
    <cellStyle name="Note 2 2 2 5 11" xfId="34308" xr:uid="{86B96001-4F51-441E-8A94-3E6AA16C53CD}"/>
    <cellStyle name="Note 2 2 2 5 12" xfId="34309" xr:uid="{38C56B8F-7BAF-4373-BFA2-9E17988D6389}"/>
    <cellStyle name="Note 2 2 2 5 2" xfId="3311" xr:uid="{987D6444-B0A0-4EFD-B091-68BF716BDF16}"/>
    <cellStyle name="Note 2 2 2 5 2 2" xfId="18876" xr:uid="{F0B4AEE6-2B87-4B79-9C1F-5029249C1F93}"/>
    <cellStyle name="Note 2 2 2 5 2 2 2" xfId="22493" xr:uid="{7D0BC78A-E4C9-44BF-9211-1D5A6B5D49CD}"/>
    <cellStyle name="Note 2 2 2 5 2 3" xfId="34310" xr:uid="{F1C44AB7-B078-4CE8-B897-328A0978AE56}"/>
    <cellStyle name="Note 2 2 2 5 2 4" xfId="34311" xr:uid="{5227131C-A9C3-4ECF-8794-BC032AB66D29}"/>
    <cellStyle name="Note 2 2 2 5 2 5" xfId="34312" xr:uid="{D1AC897B-055D-466C-A15A-339D3D245E14}"/>
    <cellStyle name="Note 2 2 2 5 2 6" xfId="34313" xr:uid="{BEE5D764-A22D-4077-ABEF-A9B02C0A1B88}"/>
    <cellStyle name="Note 2 2 2 5 3" xfId="3312" xr:uid="{639FDB86-EF5F-454E-97FB-D2AFB75A1EE7}"/>
    <cellStyle name="Note 2 2 2 5 3 2" xfId="18877" xr:uid="{83514DED-3B8C-4BBC-BCC7-D3756CA61073}"/>
    <cellStyle name="Note 2 2 2 5 3 2 2" xfId="22494" xr:uid="{CDF70826-0E45-486B-938B-19B9DD360BBC}"/>
    <cellStyle name="Note 2 2 2 5 3 3" xfId="34314" xr:uid="{27A0E801-908E-4750-8105-690CC96884F0}"/>
    <cellStyle name="Note 2 2 2 5 3 4" xfId="34315" xr:uid="{ABCBBEBB-3C84-45D3-985B-466990AEBD5E}"/>
    <cellStyle name="Note 2 2 2 5 3 5" xfId="34316" xr:uid="{BF12913C-5777-48C5-AF5E-6643CA97BD45}"/>
    <cellStyle name="Note 2 2 2 5 3 6" xfId="34317" xr:uid="{BAA6E8A8-CB81-4735-8F38-7E2BC810E5EE}"/>
    <cellStyle name="Note 2 2 2 5 4" xfId="3313" xr:uid="{4C008B25-6C0E-4BB4-B70E-C847861181D3}"/>
    <cellStyle name="Note 2 2 2 5 4 2" xfId="18878" xr:uid="{828A4599-3551-4BA1-8960-234811572FAB}"/>
    <cellStyle name="Note 2 2 2 5 4 2 2" xfId="22495" xr:uid="{BC846907-D83D-49A2-A18C-67B8C3A788DE}"/>
    <cellStyle name="Note 2 2 2 5 4 3" xfId="34318" xr:uid="{62B2AA0E-B8A9-4EBD-BA21-47C478618096}"/>
    <cellStyle name="Note 2 2 2 5 4 4" xfId="34319" xr:uid="{E077A53A-3EE8-4785-AC78-B177D8735D67}"/>
    <cellStyle name="Note 2 2 2 5 4 5" xfId="34320" xr:uid="{82A1D7E6-A483-4FEB-9901-B233904319D1}"/>
    <cellStyle name="Note 2 2 2 5 4 6" xfId="34321" xr:uid="{2CDC7DA0-46A9-4418-B827-6FE4CBD47F20}"/>
    <cellStyle name="Note 2 2 2 5 5" xfId="3314" xr:uid="{AA1C7174-F816-4AF7-9DC2-268D37F7C13A}"/>
    <cellStyle name="Note 2 2 2 5 5 2" xfId="5233" xr:uid="{A06D031A-EAAC-4D4C-964F-6F15B0017F8B}"/>
    <cellStyle name="Note 2 2 2 5 5 2 2" xfId="8228" xr:uid="{7D35BE8B-AC78-4BD5-8695-77C41B066FCD}"/>
    <cellStyle name="Note 2 2 2 5 5 2 2 2" xfId="22497" xr:uid="{3B9AA43B-64FC-494D-9591-FC50A3ABE892}"/>
    <cellStyle name="Note 2 2 2 5 5 2 2 3" xfId="18880" xr:uid="{048B5C03-E57C-4F9F-A3D1-F19D276AD62F}"/>
    <cellStyle name="Note 2 2 2 5 5 2 3" xfId="34322" xr:uid="{9A400B24-052C-4D1C-86A7-522CE7124825}"/>
    <cellStyle name="Note 2 2 2 5 5 2 4" xfId="34323" xr:uid="{9BA5659F-91BB-44C8-9984-74B3CB5760B7}"/>
    <cellStyle name="Note 2 2 2 5 5 2 5" xfId="34324" xr:uid="{C2406D02-FA00-44D8-81DB-0582B9713842}"/>
    <cellStyle name="Note 2 2 2 5 5 2 6" xfId="34325" xr:uid="{A001A91E-7B07-4EA7-86CC-FCDA90FD148A}"/>
    <cellStyle name="Note 2 2 2 5 5 2 7" xfId="44334" xr:uid="{DBDA7FEF-EDB5-4F9D-9D78-8DA67B7F067B}"/>
    <cellStyle name="Note 2 2 2 5 5 2 8" xfId="16101" xr:uid="{E76795AF-3719-479B-B7F7-F8A0BE58467E}"/>
    <cellStyle name="Note 2 2 2 5 5 3" xfId="6964" xr:uid="{870D1DDA-C5AB-49DA-9527-B87FD5110BCF}"/>
    <cellStyle name="Note 2 2 2 5 5 3 2" xfId="22496" xr:uid="{43DF18D5-61C0-4BB4-985C-973C45A508EB}"/>
    <cellStyle name="Note 2 2 2 5 5 3 3" xfId="46425" xr:uid="{D62C13A9-AE91-4F56-B34C-1E58FFE400D1}"/>
    <cellStyle name="Note 2 2 2 5 5 3 4" xfId="18879" xr:uid="{5CBB6688-2E40-44C1-9E69-F1AD0D9FA111}"/>
    <cellStyle name="Note 2 2 2 5 5 4" xfId="9128" xr:uid="{127C726C-9207-47DD-83A1-AEEC80BD1820}"/>
    <cellStyle name="Note 2 2 2 5 5 4 2" xfId="34326" xr:uid="{A4094148-EC29-4A4B-A602-5EE4FE7AAD3A}"/>
    <cellStyle name="Note 2 2 2 5 5 5" xfId="34327" xr:uid="{B8EA8918-C03F-49F1-9BFA-E0D0CF9374DD}"/>
    <cellStyle name="Note 2 2 2 5 5 6" xfId="34328" xr:uid="{6E2F2D56-6E9E-4B72-BA6E-31339EDC39DF}"/>
    <cellStyle name="Note 2 2 2 5 5 7" xfId="34329" xr:uid="{3D422CC3-90C0-4138-A40E-F76E1FBA0703}"/>
    <cellStyle name="Note 2 2 2 5 6" xfId="11078" xr:uid="{C672CF88-8885-4204-B974-831F365093F2}"/>
    <cellStyle name="Note 2 2 2 5 6 2" xfId="22498" xr:uid="{9F6CC857-3DF3-4D57-9223-E0F81BD411B9}"/>
    <cellStyle name="Note 2 2 2 5 6 3" xfId="18881" xr:uid="{4477164F-D5F3-4DC1-9C2C-7D4BE3795E35}"/>
    <cellStyle name="Note 2 2 2 5 7" xfId="18875" xr:uid="{91294FED-E17B-4232-8618-51CC4DFFB7D8}"/>
    <cellStyle name="Note 2 2 2 5 7 2" xfId="22492" xr:uid="{5F8BEC4D-4208-4D44-8720-5098CA72C285}"/>
    <cellStyle name="Note 2 2 2 5 8" xfId="34330" xr:uid="{4D3E680D-9B31-4153-9748-FA01C9E3CDAA}"/>
    <cellStyle name="Note 2 2 2 5 9" xfId="34331" xr:uid="{A27C4EF1-03BA-4400-B9FD-356CA975D90A}"/>
    <cellStyle name="Note 2 2 2 5_IND_UC" xfId="3315" xr:uid="{2B5F2F3C-BE23-4FCB-B97D-C567662AEF47}"/>
    <cellStyle name="Note 2 2 2 6" xfId="3316" xr:uid="{B036D3E0-E79E-4058-8E4A-3311719DE832}"/>
    <cellStyle name="Note 2 2 2 6 2" xfId="8060" xr:uid="{80CC213C-6F9D-4E62-8B40-678FB3E7886F}"/>
    <cellStyle name="Note 2 2 2 6 2 2" xfId="10515" xr:uid="{34544777-173B-42F2-81D4-697AF39B3FD4}"/>
    <cellStyle name="Note 2 2 2 6 2 2 2" xfId="22499" xr:uid="{271408C1-8F55-4496-B3C2-4E8E4F8C1408}"/>
    <cellStyle name="Note 2 2 2 6 2 3" xfId="18882" xr:uid="{627DC6ED-26E1-4335-B602-8574AB6C0FFF}"/>
    <cellStyle name="Note 2 2 2 6 3" xfId="11201" xr:uid="{D4A92D35-585B-4DD7-8DC0-CD749AE1855A}"/>
    <cellStyle name="Note 2 2 2 6 3 2" xfId="34332" xr:uid="{132901F6-5188-4AEC-9AAE-F3404E58B989}"/>
    <cellStyle name="Note 2 2 2 6 4" xfId="10835" xr:uid="{CD88C754-CAA1-4DD6-A07A-3AF9D506E562}"/>
    <cellStyle name="Note 2 2 2 6 4 2" xfId="34333" xr:uid="{7E8F99DB-5F57-40F6-B969-FAFF507722AF}"/>
    <cellStyle name="Note 2 2 2 6 5" xfId="11100" xr:uid="{EFD78281-FB30-4732-AD2E-4A29C9D01659}"/>
    <cellStyle name="Note 2 2 2 6 5 2" xfId="34334" xr:uid="{82FD4371-DF09-416C-A130-3B96B55352B6}"/>
    <cellStyle name="Note 2 2 2 6 6" xfId="10847" xr:uid="{DD3110DB-8F86-4B1C-AC34-763CF99EA7A0}"/>
    <cellStyle name="Note 2 2 2 6 6 2" xfId="34335" xr:uid="{4502885E-FE10-40AC-A021-C2D4E7B23B71}"/>
    <cellStyle name="Note 2 2 2 6 7" xfId="34336" xr:uid="{DA5B7DDD-E1EC-4339-A194-863D1429E3C3}"/>
    <cellStyle name="Note 2 2 2 7" xfId="3317" xr:uid="{40BD8E63-CBA6-4419-98FF-404B40CC79D7}"/>
    <cellStyle name="Note 2 2 2 7 2" xfId="10633" xr:uid="{B9CC109F-8D18-471E-AC54-B6CED8AB95D6}"/>
    <cellStyle name="Note 2 2 2 7 2 2" xfId="22500" xr:uid="{FA4296C7-0620-4A58-9A7E-52EE28D6A125}"/>
    <cellStyle name="Note 2 2 2 7 2 3" xfId="18883" xr:uid="{17097189-DA6E-4FBE-9B1C-90AA9247458F}"/>
    <cellStyle name="Note 2 2 2 7 3" xfId="10965" xr:uid="{75B36CA1-CA80-4FDE-ADB7-D95AA03C984E}"/>
    <cellStyle name="Note 2 2 2 7 3 2" xfId="34337" xr:uid="{41215018-8875-4732-9AEB-096262B97C81}"/>
    <cellStyle name="Note 2 2 2 7 4" xfId="10494" xr:uid="{00255CB0-1522-4DD8-AEE6-7AC60A59EBA6}"/>
    <cellStyle name="Note 2 2 2 7 4 2" xfId="34338" xr:uid="{E46EAE2D-13A3-479B-B613-4D06EF1EACF0}"/>
    <cellStyle name="Note 2 2 2 7 5" xfId="11135" xr:uid="{592261C0-39B9-49B3-BF4F-7E51BCE8C65B}"/>
    <cellStyle name="Note 2 2 2 7 5 2" xfId="34339" xr:uid="{A0A9DE2E-5228-4424-AEB9-2D0666A5D843}"/>
    <cellStyle name="Note 2 2 2 7 6" xfId="34340" xr:uid="{512FC546-21F4-406C-B921-120931D074B0}"/>
    <cellStyle name="Note 2 2 2 7 7" xfId="34341" xr:uid="{7570A6DB-650E-4D0C-99E5-70D98C3730B4}"/>
    <cellStyle name="Note 2 2 2 8" xfId="3318" xr:uid="{887EE3E9-9C20-4DED-A787-1C97C26BAC97}"/>
    <cellStyle name="Note 2 2 2 8 2" xfId="5234" xr:uid="{0C084555-5E81-41E1-83DD-14E31EEDEFD0}"/>
    <cellStyle name="Note 2 2 2 8 2 2" xfId="18885" xr:uid="{AA4C0BC0-D00F-449F-847A-9D9B094AEF5A}"/>
    <cellStyle name="Note 2 2 2 8 2 2 2" xfId="22502" xr:uid="{3D73D198-D96F-48B1-8A94-B3EF972857D8}"/>
    <cellStyle name="Note 2 2 2 8 2 3" xfId="34342" xr:uid="{A932C4A8-0ED7-4B51-A64E-9606A4D1D66E}"/>
    <cellStyle name="Note 2 2 2 8 2 4" xfId="34343" xr:uid="{B746F167-AFE9-49FB-8A88-651635F33B6F}"/>
    <cellStyle name="Note 2 2 2 8 2 5" xfId="34344" xr:uid="{83F24588-2FE2-4855-B40F-332EB5472C14}"/>
    <cellStyle name="Note 2 2 2 8 2 6" xfId="34345" xr:uid="{C2FCACA2-C3C5-4B2B-98AD-DC071E3937AC}"/>
    <cellStyle name="Note 2 2 2 8 3" xfId="6965" xr:uid="{A4B0BCCE-4EA6-4EAB-B5D5-D6D1194738C6}"/>
    <cellStyle name="Note 2 2 2 8 3 2" xfId="22501" xr:uid="{59F00AF8-754A-451C-9646-31E85D94A8E2}"/>
    <cellStyle name="Note 2 2 2 8 3 3" xfId="46426" xr:uid="{6002858F-0EFD-4E69-9CCE-E73E3603665B}"/>
    <cellStyle name="Note 2 2 2 8 3 4" xfId="18884" xr:uid="{192F56C4-C0C1-48B3-AE70-8F1F481DCD60}"/>
    <cellStyle name="Note 2 2 2 8 4" xfId="9129" xr:uid="{A9D9C843-03A4-4E1D-A85F-B6256DC74F50}"/>
    <cellStyle name="Note 2 2 2 8 4 2" xfId="34346" xr:uid="{08537E64-6E9E-4C6A-902D-57863F1377B2}"/>
    <cellStyle name="Note 2 2 2 8 5" xfId="34347" xr:uid="{80931031-EA3F-4E3B-BA5B-1F8763D2DE35}"/>
    <cellStyle name="Note 2 2 2 8 6" xfId="34348" xr:uid="{74095DA8-A040-41ED-86AC-E3EE8158D471}"/>
    <cellStyle name="Note 2 2 2 8 7" xfId="34349" xr:uid="{8801D3F9-1F22-46A5-B24A-015D0AF6781D}"/>
    <cellStyle name="Note 2 2 2 9" xfId="3319" xr:uid="{F0418303-77F6-42A9-8D97-05E0C6DE65A3}"/>
    <cellStyle name="Note 2 2 2 9 2" xfId="5235" xr:uid="{6615382C-437E-4285-8291-F9BE60A04DDD}"/>
    <cellStyle name="Note 2 2 2 9 2 2" xfId="18887" xr:uid="{64617FEB-E286-4466-8FC8-BE6CE841915F}"/>
    <cellStyle name="Note 2 2 2 9 2 2 2" xfId="22504" xr:uid="{43BD1EA0-059E-4006-B0CC-F00E94095EED}"/>
    <cellStyle name="Note 2 2 2 9 2 3" xfId="34350" xr:uid="{2AA5C220-39E4-41BB-B04B-5D743D887114}"/>
    <cellStyle name="Note 2 2 2 9 2 4" xfId="34351" xr:uid="{EE17F90A-B28A-4902-8111-BB535FC6D188}"/>
    <cellStyle name="Note 2 2 2 9 2 5" xfId="34352" xr:uid="{93B4B22A-65AE-4151-9C8E-E5B59F2211F3}"/>
    <cellStyle name="Note 2 2 2 9 2 6" xfId="34353" xr:uid="{5F46ECD3-EC70-411D-B2D4-1232FAF710BF}"/>
    <cellStyle name="Note 2 2 2 9 3" xfId="6966" xr:uid="{C39FD985-CF43-4ECE-AAFF-ECA23FB45BF0}"/>
    <cellStyle name="Note 2 2 2 9 3 2" xfId="22503" xr:uid="{97800706-3877-4AFD-B9A3-3933E6F62DD8}"/>
    <cellStyle name="Note 2 2 2 9 3 3" xfId="46427" xr:uid="{A4C5F6B7-7E5F-4FB9-8413-4813F0EC0930}"/>
    <cellStyle name="Note 2 2 2 9 3 4" xfId="18886" xr:uid="{01FF0BBA-3C6F-42A3-815C-FA59670661DA}"/>
    <cellStyle name="Note 2 2 2 9 4" xfId="9130" xr:uid="{59993449-9178-47AE-A9E9-CB5710DC58AF}"/>
    <cellStyle name="Note 2 2 2 9 4 2" xfId="34354" xr:uid="{17A452EB-4B9E-49A8-8076-D221D33F6A02}"/>
    <cellStyle name="Note 2 2 2 9 5" xfId="34355" xr:uid="{1271684A-E27B-4B86-971A-0EF6363BB3E1}"/>
    <cellStyle name="Note 2 2 2 9 6" xfId="34356" xr:uid="{1C9C2B83-AE7F-4688-B274-FF7C1C4A3F73}"/>
    <cellStyle name="Note 2 2 2 9 7" xfId="34357" xr:uid="{10CDA9DE-CC2C-4068-91F3-CD728A8AE46F}"/>
    <cellStyle name="Note 2 2 2_IND_UC" xfId="3320" xr:uid="{DE448815-33A4-4E38-9D2B-3BE810799CBF}"/>
    <cellStyle name="Note 2 2 20" xfId="34358" xr:uid="{1EC9A580-B10D-42AE-8216-BCA92D0F2415}"/>
    <cellStyle name="Note 2 2 21" xfId="34359" xr:uid="{5DBDC00C-2E54-44F4-A71B-E97B1EF3FB1B}"/>
    <cellStyle name="Note 2 2 3" xfId="3321" xr:uid="{7414CB5E-2A65-4DAA-AE01-3152B0D87745}"/>
    <cellStyle name="Note 2 2 3 10" xfId="18888" xr:uid="{D3BA3827-449A-4E90-BF56-27B5544F0FE9}"/>
    <cellStyle name="Note 2 2 3 10 2" xfId="22505" xr:uid="{F2437D1C-9848-4E78-8398-50687CA6F2E8}"/>
    <cellStyle name="Note 2 2 3 11" xfId="34360" xr:uid="{518E6085-339E-42F0-91E3-58A8CDE569AE}"/>
    <cellStyle name="Note 2 2 3 12" xfId="34361" xr:uid="{7BF2C124-46F3-4D85-89EC-CC03251B79E7}"/>
    <cellStyle name="Note 2 2 3 13" xfId="34362" xr:uid="{781FE47D-2B97-4C8B-B599-643832514C6D}"/>
    <cellStyle name="Note 2 2 3 14" xfId="34363" xr:uid="{687789A2-AC81-4B70-81DE-12C9BC2D68A3}"/>
    <cellStyle name="Note 2 2 3 15" xfId="34364" xr:uid="{1F7F27E3-B504-46DD-AC9B-3B378AAE5CD6}"/>
    <cellStyle name="Note 2 2 3 2" xfId="3322" xr:uid="{C0FE090D-7883-4528-BF24-A2BD471FC918}"/>
    <cellStyle name="Note 2 2 3 2 2" xfId="5237" xr:uid="{CA8A0FCE-2D48-4C21-BDFF-DADD9BB4CA5A}"/>
    <cellStyle name="Note 2 2 3 2 2 2" xfId="18890" xr:uid="{DE75454D-D050-4C03-BA8D-D8971DD642D3}"/>
    <cellStyle name="Note 2 2 3 2 2 2 2" xfId="22507" xr:uid="{C16FAC99-4FE6-4401-931D-A76D1E6089AB}"/>
    <cellStyle name="Note 2 2 3 2 2 3" xfId="34365" xr:uid="{19FB9E34-0BC2-4E57-828A-F14DCCF0B2BA}"/>
    <cellStyle name="Note 2 2 3 2 2 4" xfId="34366" xr:uid="{F3A8AE04-FAFF-4139-BCBE-7B644DE347C5}"/>
    <cellStyle name="Note 2 2 3 2 2 5" xfId="34367" xr:uid="{5BE0C37E-6DD8-42B4-893C-A9DEAD8255AE}"/>
    <cellStyle name="Note 2 2 3 2 2 6" xfId="34368" xr:uid="{771E7412-9FE1-4F37-8C3C-D643D3F87683}"/>
    <cellStyle name="Note 2 2 3 2 3" xfId="6967" xr:uid="{48CB5ED9-C3D6-454E-9ED8-ABE90A924322}"/>
    <cellStyle name="Note 2 2 3 2 3 2" xfId="22508" xr:uid="{BBADC506-E02E-41FE-B2EF-2F559FA9F022}"/>
    <cellStyle name="Note 2 2 3 2 3 3" xfId="46428" xr:uid="{0768B021-6B0C-4F1F-BAEC-5CAFE8D346B2}"/>
    <cellStyle name="Note 2 2 3 2 3 4" xfId="18891" xr:uid="{99C3F536-0337-4F64-9628-F0D31E1BB1CC}"/>
    <cellStyle name="Note 2 2 3 2 4" xfId="9132" xr:uid="{C9856F2D-104A-4B13-9980-6C279FC480D8}"/>
    <cellStyle name="Note 2 2 3 2 4 2" xfId="22506" xr:uid="{FFB6AA62-BB9E-49DD-BB3C-6DCD4BA9B152}"/>
    <cellStyle name="Note 2 2 3 2 4 3" xfId="18889" xr:uid="{21BC316F-A6F0-4AC1-A5E4-3EE364D0753B}"/>
    <cellStyle name="Note 2 2 3 2 5" xfId="34369" xr:uid="{BD342D5B-F0EE-4AC3-B1B0-FC2B61152DB9}"/>
    <cellStyle name="Note 2 2 3 2 6" xfId="34370" xr:uid="{FD664185-097F-4442-84F6-E02CBBEEF805}"/>
    <cellStyle name="Note 2 2 3 2 7" xfId="34371" xr:uid="{326C1572-84E6-498E-ADB1-E93188060FA2}"/>
    <cellStyle name="Note 2 2 3 2 8" xfId="34372" xr:uid="{90A7096E-D05D-41B1-9D11-20A652A2AE8B}"/>
    <cellStyle name="Note 2 2 3 3" xfId="3323" xr:uid="{29C14CBC-3682-45D5-BF71-62352F229CBD}"/>
    <cellStyle name="Note 2 2 3 3 2" xfId="5238" xr:uid="{8CCAD754-8125-4995-B886-E56D0CA5F5FC}"/>
    <cellStyle name="Note 2 2 3 3 2 2" xfId="18893" xr:uid="{123C210D-7FBF-4A1F-B824-9BAB798667AE}"/>
    <cellStyle name="Note 2 2 3 3 2 2 2" xfId="22510" xr:uid="{5DEB0B43-B65A-4D7D-AE4E-0B8DBCC5B718}"/>
    <cellStyle name="Note 2 2 3 3 2 3" xfId="34373" xr:uid="{ABB80D22-B7AA-4977-B287-36E07393A1CE}"/>
    <cellStyle name="Note 2 2 3 3 2 4" xfId="34374" xr:uid="{79E1B656-8712-4E6F-A426-15F288B7177A}"/>
    <cellStyle name="Note 2 2 3 3 2 5" xfId="34375" xr:uid="{324B3688-9E70-4754-81D2-FCCA1FD79B00}"/>
    <cellStyle name="Note 2 2 3 3 2 6" xfId="34376" xr:uid="{6DD4BC37-ED58-47DD-9F2A-1F73EF99FEBB}"/>
    <cellStyle name="Note 2 2 3 3 3" xfId="6968" xr:uid="{BBF31ADB-810A-484A-81F6-E3CC6F991A31}"/>
    <cellStyle name="Note 2 2 3 3 3 2" xfId="22509" xr:uid="{72BAF94D-E88D-4C2C-B200-CDD7C3B0E68F}"/>
    <cellStyle name="Note 2 2 3 3 3 3" xfId="46429" xr:uid="{3578876C-5DF3-4C56-B910-B8F87D28F2FB}"/>
    <cellStyle name="Note 2 2 3 3 3 4" xfId="18892" xr:uid="{820EAEE8-41D0-4443-9E89-643E006B65CB}"/>
    <cellStyle name="Note 2 2 3 3 4" xfId="9133" xr:uid="{C3BCB087-E687-4FFB-A64D-601E13C4E126}"/>
    <cellStyle name="Note 2 2 3 3 4 2" xfId="34377" xr:uid="{28E9A3E6-7072-4A06-8AA7-115C172E9D46}"/>
    <cellStyle name="Note 2 2 3 3 5" xfId="34378" xr:uid="{BF9304C6-B41E-4CF6-ABBD-F96B6572116B}"/>
    <cellStyle name="Note 2 2 3 3 6" xfId="34379" xr:uid="{922E1B6D-714C-4CE2-A551-EB7AD06CA0F2}"/>
    <cellStyle name="Note 2 2 3 3 7" xfId="34380" xr:uid="{B346F571-61C0-4EA4-A4A4-D4BB016262B1}"/>
    <cellStyle name="Note 2 2 3 4" xfId="3324" xr:uid="{FE385EB0-EC50-4F7E-A60A-6E18AC360B02}"/>
    <cellStyle name="Note 2 2 3 4 2" xfId="5239" xr:uid="{E3FCDF74-335D-488C-AD42-BF7FD9151862}"/>
    <cellStyle name="Note 2 2 3 4 2 2" xfId="18895" xr:uid="{24290C18-54B8-4C38-81EF-D739B5848C25}"/>
    <cellStyle name="Note 2 2 3 4 2 2 2" xfId="22512" xr:uid="{2EC28999-24C2-4345-A803-75F02BA47F7E}"/>
    <cellStyle name="Note 2 2 3 4 2 3" xfId="34381" xr:uid="{5161085A-25F8-4DFB-80FB-0AFABB39D035}"/>
    <cellStyle name="Note 2 2 3 4 2 4" xfId="34382" xr:uid="{4903F52D-E8E0-4C65-B40D-84FF7BB0E6E9}"/>
    <cellStyle name="Note 2 2 3 4 2 5" xfId="34383" xr:uid="{5447E2D7-3650-4BC5-8FBD-3B0E5E99B81E}"/>
    <cellStyle name="Note 2 2 3 4 2 6" xfId="34384" xr:uid="{2FA4F7A2-AA1A-46B4-9829-F2FFA419662E}"/>
    <cellStyle name="Note 2 2 3 4 3" xfId="6969" xr:uid="{AF9962AD-D05A-4359-A444-EC915A8D5CEC}"/>
    <cellStyle name="Note 2 2 3 4 3 2" xfId="22513" xr:uid="{FDDD4D9A-3DC0-43FC-9CCA-D4A38139DDA4}"/>
    <cellStyle name="Note 2 2 3 4 3 3" xfId="46430" xr:uid="{DAA08C79-22B0-46FC-8DB5-99263C8FA076}"/>
    <cellStyle name="Note 2 2 3 4 3 4" xfId="18896" xr:uid="{89C26247-6898-4FCB-BD63-899033A30165}"/>
    <cellStyle name="Note 2 2 3 4 4" xfId="9134" xr:uid="{858E7AB5-EDF8-4D51-A447-47B30507FC16}"/>
    <cellStyle name="Note 2 2 3 4 4 2" xfId="22511" xr:uid="{47C92CBF-342A-4182-BE03-9967DB11B79D}"/>
    <cellStyle name="Note 2 2 3 4 4 3" xfId="18894" xr:uid="{540D9908-962A-41F7-ADF3-188AE3383553}"/>
    <cellStyle name="Note 2 2 3 4 5" xfId="34385" xr:uid="{90C5EDE7-4F93-4949-984A-89B26527A5FD}"/>
    <cellStyle name="Note 2 2 3 4 6" xfId="34386" xr:uid="{C9A4AFD6-FEEC-48FD-8B1B-2F3560B55262}"/>
    <cellStyle name="Note 2 2 3 4 7" xfId="34387" xr:uid="{F5C78558-A89E-4B1F-9C80-4CB037C6D95A}"/>
    <cellStyle name="Note 2 2 3 4 8" xfId="34388" xr:uid="{7F537573-7517-48F3-B2C8-BC9E301594DB}"/>
    <cellStyle name="Note 2 2 3 5" xfId="3325" xr:uid="{B99E3788-E478-45B5-82D4-04BBBF6A8D8F}"/>
    <cellStyle name="Note 2 2 3 5 10" xfId="34389" xr:uid="{9B941AE3-B73D-4527-A56F-1C3578455B26}"/>
    <cellStyle name="Note 2 2 3 5 11" xfId="16102" xr:uid="{F0942CD1-ED1D-49A9-9F8D-EEA34EC9BFB2}"/>
    <cellStyle name="Note 2 2 3 5 2" xfId="16884" xr:uid="{39A9A7AF-2AA6-4976-9696-9C57A2AFC1EC}"/>
    <cellStyle name="Note 2 2 3 5 2 2" xfId="18898" xr:uid="{25722A6E-8ECB-4B2B-9969-1AC3AE8D3E3D}"/>
    <cellStyle name="Note 2 2 3 5 2 2 2" xfId="22515" xr:uid="{E94777FF-1361-49B3-842B-2F0CC7BE9E4E}"/>
    <cellStyle name="Note 2 2 3 5 2 3" xfId="34390" xr:uid="{5DA37985-AB6F-4014-8064-0167671C49E1}"/>
    <cellStyle name="Note 2 2 3 5 2 4" xfId="34391" xr:uid="{1B4808D3-0748-45D5-AF83-D3EB130ABBBC}"/>
    <cellStyle name="Note 2 2 3 5 2 5" xfId="34392" xr:uid="{0527FB89-AA02-4957-90E2-65E56C16DA00}"/>
    <cellStyle name="Note 2 2 3 5 2 6" xfId="34393" xr:uid="{1EB12027-4901-4E67-9822-9A7209A0B451}"/>
    <cellStyle name="Note 2 2 3 5 3" xfId="16622" xr:uid="{C2BD4DDB-5929-4F42-8CAF-56AFD0B778A4}"/>
    <cellStyle name="Note 2 2 3 5 3 2" xfId="18899" xr:uid="{55E8040D-B3F3-4410-BF1D-E3D312D46453}"/>
    <cellStyle name="Note 2 2 3 5 3 2 2" xfId="22516" xr:uid="{F7407E70-F74D-4F7C-A784-A807A8B42129}"/>
    <cellStyle name="Note 2 2 3 5 3 3" xfId="20723" xr:uid="{BF929FE9-1989-4778-95E0-D8F5F814426F}"/>
    <cellStyle name="Note 2 2 3 5 3 3 2" xfId="34394" xr:uid="{2B703F14-D463-409B-8AB3-C0001E2B0323}"/>
    <cellStyle name="Note 2 2 3 5 3 4" xfId="34395" xr:uid="{948791BD-705A-4329-A03E-436EE355E7E2}"/>
    <cellStyle name="Note 2 2 3 5 3 5" xfId="34396" xr:uid="{E3616720-6FB1-4841-AD81-F15A8094B000}"/>
    <cellStyle name="Note 2 2 3 5 3 6" xfId="34397" xr:uid="{D527A6F0-2B59-4E7C-95A9-96E875D0CD70}"/>
    <cellStyle name="Note 2 2 3 5 3 7" xfId="34398" xr:uid="{18AD8448-3FC7-447A-9BF1-9505E7CD893C}"/>
    <cellStyle name="Note 2 2 3 5 4" xfId="16285" xr:uid="{73A1B8A8-8AFB-4E0C-A013-BE4B92B0333D}"/>
    <cellStyle name="Note 2 2 3 5 4 2" xfId="18900" xr:uid="{76A506FF-91AD-4001-A082-827515E48C06}"/>
    <cellStyle name="Note 2 2 3 5 4 2 2" xfId="22517" xr:uid="{5E8BCA6A-29F8-4F72-8AAB-841FB23BBA3A}"/>
    <cellStyle name="Note 2 2 3 5 4 3" xfId="34399" xr:uid="{EF67024B-485B-40A7-8080-755A5B61B11F}"/>
    <cellStyle name="Note 2 2 3 5 4 4" xfId="34400" xr:uid="{ACA2AEEB-EA1A-4683-8914-70B2CEA300F8}"/>
    <cellStyle name="Note 2 2 3 5 4 5" xfId="34401" xr:uid="{55DE309D-24CF-4924-B6CA-7A176771CE92}"/>
    <cellStyle name="Note 2 2 3 5 4 6" xfId="34402" xr:uid="{49219AA5-831A-4664-9B87-0CB8076E3418}"/>
    <cellStyle name="Note 2 2 3 5 5" xfId="18901" xr:uid="{F125E416-4B3C-4AD1-9F53-247CA14E9D8C}"/>
    <cellStyle name="Note 2 2 3 5 5 2" xfId="22518" xr:uid="{AAAD7D97-0C60-431F-B292-59ED7FA6966A}"/>
    <cellStyle name="Note 2 2 3 5 6" xfId="18897" xr:uid="{B0AECE0D-C94C-4042-B1FC-F563DF6719D5}"/>
    <cellStyle name="Note 2 2 3 5 6 2" xfId="22514" xr:uid="{8CF76334-048A-480C-B8FB-10F633E52479}"/>
    <cellStyle name="Note 2 2 3 5 7" xfId="34403" xr:uid="{FCD6D381-E605-4F00-973F-6F018C690FEF}"/>
    <cellStyle name="Note 2 2 3 5 8" xfId="34404" xr:uid="{E285015D-4F6D-4982-9E79-139D581FA7BA}"/>
    <cellStyle name="Note 2 2 3 5 9" xfId="34405" xr:uid="{53063B9F-333B-466D-9B4A-77C75000E43B}"/>
    <cellStyle name="Note 2 2 3 6" xfId="5236" xr:uid="{98E839DF-0F3B-4DDF-9B4E-311313B33734}"/>
    <cellStyle name="Note 2 2 3 6 2" xfId="18902" xr:uid="{BA8EDE6D-AA35-4B67-B8B3-8F11C39A3E52}"/>
    <cellStyle name="Note 2 2 3 6 2 2" xfId="22519" xr:uid="{834FFCD3-73C6-4334-8601-CCA1317FFF0E}"/>
    <cellStyle name="Note 2 2 3 6 3" xfId="34406" xr:uid="{FA0847EF-7F8D-4DDD-8D04-BADB20BA3F90}"/>
    <cellStyle name="Note 2 2 3 6 4" xfId="34407" xr:uid="{94457267-921E-4A46-980F-F1DCF0F74643}"/>
    <cellStyle name="Note 2 2 3 6 5" xfId="34408" xr:uid="{16441D83-EBE7-4864-9753-0611AF8F4909}"/>
    <cellStyle name="Note 2 2 3 6 6" xfId="34409" xr:uid="{DB352523-E968-4F7A-B0E5-B0751F71C499}"/>
    <cellStyle name="Note 2 2 3 7" xfId="4260" xr:uid="{26171518-27AB-42B0-8E98-3BFFF427F42B}"/>
    <cellStyle name="Note 2 2 3 7 2" xfId="18903" xr:uid="{25B6F50E-DCFE-4301-AEF0-90DF3D3CDB9E}"/>
    <cellStyle name="Note 2 2 3 7 2 2" xfId="22520" xr:uid="{DD7E4EF7-D706-4DA9-823D-08466807967D}"/>
    <cellStyle name="Note 2 2 3 7 3" xfId="34410" xr:uid="{BC725EE2-F7F9-4BA4-A4E5-A5A2C81D0C2F}"/>
    <cellStyle name="Note 2 2 3 7 4" xfId="34411" xr:uid="{7A4DD54D-B647-4A1F-B78B-72CC7576736F}"/>
    <cellStyle name="Note 2 2 3 7 5" xfId="34412" xr:uid="{AB340224-D7E7-4C9A-BB6C-C140FF405C37}"/>
    <cellStyle name="Note 2 2 3 7 6" xfId="34413" xr:uid="{364EB8F2-E27E-4123-A681-76AABB62765F}"/>
    <cellStyle name="Note 2 2 3 8" xfId="6327" xr:uid="{6EC20CFA-8516-43DB-A700-E9CDBEAA1573}"/>
    <cellStyle name="Note 2 2 3 8 2" xfId="18904" xr:uid="{10860A7C-47F1-433F-8014-2E5F06522D71}"/>
    <cellStyle name="Note 2 2 3 8 2 2" xfId="22521" xr:uid="{B7721457-17D7-4FCA-AA63-1096BEBC3FA3}"/>
    <cellStyle name="Note 2 2 3 8 3" xfId="34414" xr:uid="{880ED8BD-2FF6-4622-9E87-D894B96E49F3}"/>
    <cellStyle name="Note 2 2 3 8 4" xfId="34415" xr:uid="{B523D665-6870-425B-A054-ECDDB7B3AFFD}"/>
    <cellStyle name="Note 2 2 3 8 5" xfId="34416" xr:uid="{E9790806-B78D-40E3-9AB4-650953D2A171}"/>
    <cellStyle name="Note 2 2 3 8 6" xfId="34417" xr:uid="{06D490E8-BC6A-4EFE-8B30-EBC3BDD1D9E1}"/>
    <cellStyle name="Note 2 2 3 9" xfId="9131" xr:uid="{82DE453E-782B-4CD7-8E47-69898A14800E}"/>
    <cellStyle name="Note 2 2 3 9 2" xfId="18905" xr:uid="{FC8108BD-3239-4FB4-B3A0-F634D7D7DAD6}"/>
    <cellStyle name="Note 2 2 3 9 2 2" xfId="22522" xr:uid="{C9B7081A-C651-4EBD-8D94-B2DA19C1DA21}"/>
    <cellStyle name="Note 2 2 3 9 3" xfId="34418" xr:uid="{517E2C4C-C772-40BC-BD4B-0FB822E90F7A}"/>
    <cellStyle name="Note 2 2 3 9 4" xfId="34419" xr:uid="{5B1FDC24-D849-424B-9CBE-479C2AAEB2C4}"/>
    <cellStyle name="Note 2 2 3 9 5" xfId="34420" xr:uid="{A78601D6-5E18-451B-9346-83F82C91FC36}"/>
    <cellStyle name="Note 2 2 3 9 6" xfId="34421" xr:uid="{082DC11F-87C5-400F-8C5F-7581C14EE7F2}"/>
    <cellStyle name="Note 2 2 3_IND_UC" xfId="3326" xr:uid="{5E3B98B6-F463-4DE9-9E69-35503291F16B}"/>
    <cellStyle name="Note 2 2 4" xfId="3327" xr:uid="{7D8026F3-6048-48CB-92F3-F496C5F1AA4C}"/>
    <cellStyle name="Note 2 2 4 10" xfId="34422" xr:uid="{55F181F8-714C-45AD-B5BF-8B13F3E73024}"/>
    <cellStyle name="Note 2 2 4 11" xfId="34423" xr:uid="{76F8A832-143B-4177-9D3F-68ED40B4EB71}"/>
    <cellStyle name="Note 2 2 4 12" xfId="34424" xr:uid="{C51668AC-7D54-4076-A3A1-6A509186C797}"/>
    <cellStyle name="Note 2 2 4 2" xfId="3328" xr:uid="{ADA62768-9372-48EE-9A1A-7F87076BCA7F}"/>
    <cellStyle name="Note 2 2 4 2 2" xfId="5241" xr:uid="{B15E2CE1-7088-4B0E-BBD9-783EC67A5995}"/>
    <cellStyle name="Note 2 2 4 2 2 2" xfId="10966" xr:uid="{D398DE54-7800-4415-B465-A9F5FAC84072}"/>
    <cellStyle name="Note 2 2 4 2 2 2 2" xfId="22525" xr:uid="{2AFF3442-75EC-4D5B-BEF9-AF14CD1C06B8}"/>
    <cellStyle name="Note 2 2 4 2 2 2 3" xfId="18908" xr:uid="{FC2C2673-79CB-4DC1-8582-82DF4B0AF398}"/>
    <cellStyle name="Note 2 2 4 2 2 3" xfId="34425" xr:uid="{3963BEB6-F746-4E3E-9A31-FD62B007A8D1}"/>
    <cellStyle name="Note 2 2 4 2 2 4" xfId="34426" xr:uid="{3CA49A83-10CA-4AA2-9F0F-BCDCE742CF63}"/>
    <cellStyle name="Note 2 2 4 2 2 5" xfId="34427" xr:uid="{B5044ED0-5CD6-43E0-B194-3A3316C22C12}"/>
    <cellStyle name="Note 2 2 4 2 2 6" xfId="34428" xr:uid="{440D582A-DFBF-4180-87F2-854FC5994C68}"/>
    <cellStyle name="Note 2 2 4 2 3" xfId="4261" xr:uid="{661CE3B4-D3D7-4B46-9DD9-9CE609E4321D}"/>
    <cellStyle name="Note 2 2 4 2 3 2" xfId="22524" xr:uid="{CE3630DF-259A-4170-8511-D7272A2FAA98}"/>
    <cellStyle name="Note 2 2 4 2 3 3" xfId="44068" xr:uid="{255504F1-A445-48A2-85E8-4A43D2CD8BCB}"/>
    <cellStyle name="Note 2 2 4 2 3 4" xfId="18907" xr:uid="{3BB7AD22-A502-4A22-A0A6-EE3599972BC7}"/>
    <cellStyle name="Note 2 2 4 2 4" xfId="6328" xr:uid="{CE84FE10-452C-4394-ADB6-D5A1E65F18FF}"/>
    <cellStyle name="Note 2 2 4 2 4 2" xfId="45979" xr:uid="{FD0E2F4C-C6F9-4976-ACFB-0030346F240F}"/>
    <cellStyle name="Note 2 2 4 2 4 3" xfId="34429" xr:uid="{A02E0CF7-6072-4BA2-8D4A-52A9B8CE0AD6}"/>
    <cellStyle name="Note 2 2 4 2 5" xfId="9136" xr:uid="{9EFEE80D-D7C0-409B-984F-CC9C0311AB18}"/>
    <cellStyle name="Note 2 2 4 2 5 2" xfId="34430" xr:uid="{48C21CF6-BA9B-42C0-8345-A9CF74E936E8}"/>
    <cellStyle name="Note 2 2 4 2 6" xfId="34431" xr:uid="{D3A0DF49-0C04-4867-9F02-E55543490F38}"/>
    <cellStyle name="Note 2 2 4 2 7" xfId="34432" xr:uid="{3A798BA7-7F1B-4997-A61A-42880CCEDC22}"/>
    <cellStyle name="Note 2 2 4 2 8" xfId="34433" xr:uid="{BA10D860-A50F-4B02-ABB5-6994EE6C7C46}"/>
    <cellStyle name="Note 2 2 4 3" xfId="3329" xr:uid="{A12283EF-862D-4FAD-8157-F4CFC4D73E5E}"/>
    <cellStyle name="Note 2 2 4 3 2" xfId="3330" xr:uid="{EA81D4AA-AC8E-4BF5-B520-C2092DF4DDF4}"/>
    <cellStyle name="Note 2 2 4 3 2 2" xfId="5242" xr:uid="{18876B33-CE5B-412F-8A64-2600CEE1D810}"/>
    <cellStyle name="Note 2 2 4 3 2 2 2" xfId="18911" xr:uid="{871FBD82-4A20-4011-BC93-D034263F3B42}"/>
    <cellStyle name="Note 2 2 4 3 2 2 2 2" xfId="22528" xr:uid="{48AB34DC-0B38-4B68-8E72-E19FC86D7A44}"/>
    <cellStyle name="Note 2 2 4 3 2 2 3" xfId="34434" xr:uid="{AA755FA9-A603-48E0-996F-E3A4865728C9}"/>
    <cellStyle name="Note 2 2 4 3 2 2 4" xfId="34435" xr:uid="{96CBACBC-CD09-4928-9638-35E1D784DD98}"/>
    <cellStyle name="Note 2 2 4 3 2 2 5" xfId="34436" xr:uid="{E0A6F406-E07A-41B5-8516-0E63051459F4}"/>
    <cellStyle name="Note 2 2 4 3 2 2 6" xfId="34437" xr:uid="{33E1E7F3-C39F-4521-A88A-4950E29DC372}"/>
    <cellStyle name="Note 2 2 4 3 2 3" xfId="6970" xr:uid="{F45A2FF9-BEF2-46D6-9F08-1CCDE4DC00DA}"/>
    <cellStyle name="Note 2 2 4 3 2 3 2" xfId="18912" xr:uid="{F1A81F7B-8D98-41A1-A50C-7D8A76669CE3}"/>
    <cellStyle name="Note 2 2 4 3 2 3 2 2" xfId="22529" xr:uid="{23DF33FC-3B6A-4FA4-ACDE-36B0E95B001D}"/>
    <cellStyle name="Note 2 2 4 3 2 3 3" xfId="34438" xr:uid="{E4946516-B023-497A-B2E0-4F85C2E3CA91}"/>
    <cellStyle name="Note 2 2 4 3 2 3 4" xfId="34439" xr:uid="{F1AA0F7D-FECA-4140-AB23-592E1131C7FF}"/>
    <cellStyle name="Note 2 2 4 3 2 3 5" xfId="34440" xr:uid="{D28A46FA-47BF-48CB-9CE1-2D74A2D60F96}"/>
    <cellStyle name="Note 2 2 4 3 2 3 6" xfId="34441" xr:uid="{95BCDB22-1D12-4E61-BB48-5DAA99880B37}"/>
    <cellStyle name="Note 2 2 4 3 2 3 7" xfId="46431" xr:uid="{45813EB7-5494-4B1D-87B7-25FF45DF99DF}"/>
    <cellStyle name="Note 2 2 4 3 2 3 8" xfId="16563" xr:uid="{C65EFC2F-F570-41F4-AF3E-88752AA90D96}"/>
    <cellStyle name="Note 2 2 4 3 2 4" xfId="9137" xr:uid="{6DAD2B81-281E-47D2-AF95-F20161EA43C6}"/>
    <cellStyle name="Note 2 2 4 3 2 4 2" xfId="22527" xr:uid="{87FA6A96-DDC3-44B3-AB9B-19B2ECA5866F}"/>
    <cellStyle name="Note 2 2 4 3 2 4 3" xfId="18910" xr:uid="{D8D29906-A14D-4ACC-89FF-63B29FDFDC9C}"/>
    <cellStyle name="Note 2 2 4 3 2 5" xfId="34442" xr:uid="{8488EB61-205E-4A5B-AA0E-1CBF29CEC2C0}"/>
    <cellStyle name="Note 2 2 4 3 2 6" xfId="34443" xr:uid="{D5721173-E8B7-44F9-BA7F-3B5E1DC8CAD9}"/>
    <cellStyle name="Note 2 2 4 3 2 7" xfId="34444" xr:uid="{0C740105-E4E0-4A7B-8F70-7243F10C2794}"/>
    <cellStyle name="Note 2 2 4 3 2 8" xfId="34445" xr:uid="{04F045A3-A4F6-46CA-8686-21DB195874CE}"/>
    <cellStyle name="Note 2 2 4 3 3" xfId="18909" xr:uid="{7CF8682A-412F-41DA-B341-B8F4C7876B4E}"/>
    <cellStyle name="Note 2 2 4 3 3 2" xfId="22526" xr:uid="{7EDD634B-6F78-47B3-9AAE-6B559D9266F6}"/>
    <cellStyle name="Note 2 2 4 3 4" xfId="34446" xr:uid="{8AA842BE-8D5E-4542-AFAB-767D49292F33}"/>
    <cellStyle name="Note 2 2 4 3 5" xfId="34447" xr:uid="{DA2CF5D0-390D-49A7-A1DE-CCD93905CAD6}"/>
    <cellStyle name="Note 2 2 4 3 6" xfId="34448" xr:uid="{434C80D5-DF30-4EBB-9596-B05DD4B7206B}"/>
    <cellStyle name="Note 2 2 4 3 7" xfId="34449" xr:uid="{24C412E1-F654-4A56-95F3-735BE712CD34}"/>
    <cellStyle name="Note 2 2 4 3 8" xfId="34450" xr:uid="{ADA22C22-F025-4F89-BC72-62C4DEBC37F5}"/>
    <cellStyle name="Note 2 2 4 4" xfId="3331" xr:uid="{B954E1A5-61D9-40C4-A7E3-B03A9919CEAC}"/>
    <cellStyle name="Note 2 2 4 4 2" xfId="5243" xr:uid="{B5B77C4A-8FA2-4E62-93C1-6375B41C0DD5}"/>
    <cellStyle name="Note 2 2 4 4 2 2" xfId="18914" xr:uid="{80EC9BAE-7FE2-4E94-A089-499D9E48AC26}"/>
    <cellStyle name="Note 2 2 4 4 2 2 2" xfId="22531" xr:uid="{2FF7A0DF-C40A-48E0-9E16-2D77E2FCB0F3}"/>
    <cellStyle name="Note 2 2 4 4 2 3" xfId="34451" xr:uid="{B965B325-ED79-4ED0-B32B-63C09211B29E}"/>
    <cellStyle name="Note 2 2 4 4 2 4" xfId="34452" xr:uid="{AB5E1E80-6D82-49AC-AC62-B5A564B1487D}"/>
    <cellStyle name="Note 2 2 4 4 2 5" xfId="34453" xr:uid="{6230E538-B4BA-465D-B147-77AF241FB9BC}"/>
    <cellStyle name="Note 2 2 4 4 2 6" xfId="34454" xr:uid="{D95F9D11-2D4B-49D4-ADCE-24336F0F9D74}"/>
    <cellStyle name="Note 2 2 4 4 3" xfId="6971" xr:uid="{9860911D-9553-4905-8D6A-67968DE5015C}"/>
    <cellStyle name="Note 2 2 4 4 3 2" xfId="22530" xr:uid="{6136E272-4206-4E14-9260-49ABB0D82B72}"/>
    <cellStyle name="Note 2 2 4 4 3 3" xfId="46432" xr:uid="{98947F84-6FAF-4082-9AB9-91745E01618A}"/>
    <cellStyle name="Note 2 2 4 4 3 4" xfId="18913" xr:uid="{154E71B6-3D5C-4DA1-8B6A-6B10845E037A}"/>
    <cellStyle name="Note 2 2 4 4 4" xfId="9138" xr:uid="{173B5DC5-C515-450B-9466-0928C2B5A06E}"/>
    <cellStyle name="Note 2 2 4 4 4 2" xfId="34455" xr:uid="{351CE8C7-802A-4CCA-8365-256634D31E51}"/>
    <cellStyle name="Note 2 2 4 4 5" xfId="34456" xr:uid="{C3BAB610-6C9F-4788-806E-5B986A9B6051}"/>
    <cellStyle name="Note 2 2 4 4 6" xfId="34457" xr:uid="{AE517337-EA21-4B27-9755-871887673715}"/>
    <cellStyle name="Note 2 2 4 4 7" xfId="34458" xr:uid="{4535D2C2-3C5B-494E-A522-67D85AA72480}"/>
    <cellStyle name="Note 2 2 4 5" xfId="5240" xr:uid="{319B6D56-2B22-4EA3-9BAF-926DEF61ECED}"/>
    <cellStyle name="Note 2 2 4 5 2" xfId="18915" xr:uid="{74D99F0F-0829-4806-B820-EB13FBBEA132}"/>
    <cellStyle name="Note 2 2 4 5 2 2" xfId="22532" xr:uid="{D14C6B2A-D7D1-4594-9B93-F103603223E5}"/>
    <cellStyle name="Note 2 2 4 5 3" xfId="34459" xr:uid="{CF1F1050-76CF-4F23-AEF1-FE18CFD8FB5E}"/>
    <cellStyle name="Note 2 2 4 5 4" xfId="34460" xr:uid="{73FE049D-90EE-48B9-B402-778744032E22}"/>
    <cellStyle name="Note 2 2 4 5 5" xfId="34461" xr:uid="{C125E0EB-A7C9-4FEE-ACE0-3263803CC0EB}"/>
    <cellStyle name="Note 2 2 4 5 6" xfId="34462" xr:uid="{58497F6F-BBE5-4811-AC58-342787AFC701}"/>
    <cellStyle name="Note 2 2 4 6" xfId="9135" xr:uid="{B50D0720-7BA7-4A9B-B3D6-F5FD45672DAC}"/>
    <cellStyle name="Note 2 2 4 6 2" xfId="22533" xr:uid="{0F66D508-0971-47A2-8592-37E3DEA1CEF1}"/>
    <cellStyle name="Note 2 2 4 6 3" xfId="47096" xr:uid="{BFE5A045-AE5D-4919-94DD-1C06FDE94003}"/>
    <cellStyle name="Note 2 2 4 6 4" xfId="18916" xr:uid="{BCF619BA-C78E-494F-B714-89E871412117}"/>
    <cellStyle name="Note 2 2 4 7" xfId="18906" xr:uid="{C359E01A-5FD8-4FF2-ADFD-634615F89BA2}"/>
    <cellStyle name="Note 2 2 4 7 2" xfId="22523" xr:uid="{F73379D2-1DF7-4EF3-9482-44DF3AED92D1}"/>
    <cellStyle name="Note 2 2 4 8" xfId="34463" xr:uid="{DD5C666A-F540-4667-BB08-9024E5E452AB}"/>
    <cellStyle name="Note 2 2 4 9" xfId="34464" xr:uid="{F42E6290-FD04-4E84-8DD2-A905E39FCF37}"/>
    <cellStyle name="Note 2 2 4_IND_UC" xfId="3332" xr:uid="{C03F8C65-3DEF-403E-BB18-0151F4997983}"/>
    <cellStyle name="Note 2 2 5" xfId="3333" xr:uid="{7517BF3A-ED54-4A9C-AB27-2EA08C2DD937}"/>
    <cellStyle name="Note 2 2 5 10" xfId="34465" xr:uid="{2D1EF264-812B-44CB-80A3-76EA58381486}"/>
    <cellStyle name="Note 2 2 5 11" xfId="34466" xr:uid="{03E02C87-65E5-4C51-ACB0-94E836598E2D}"/>
    <cellStyle name="Note 2 2 5 12" xfId="34467" xr:uid="{CB7D7AC3-B968-40AA-95C6-7742C12E7261}"/>
    <cellStyle name="Note 2 2 5 2" xfId="3334" xr:uid="{9E5AB5AD-20AA-4EDA-A215-528314B4BB1E}"/>
    <cellStyle name="Note 2 2 5 2 2" xfId="5245" xr:uid="{48D7D57F-E0A8-48BC-9BA8-245DC6A22B46}"/>
    <cellStyle name="Note 2 2 5 2 2 2" xfId="18919" xr:uid="{C53F509B-D95D-487E-84B6-39C889EE0B6F}"/>
    <cellStyle name="Note 2 2 5 2 2 2 2" xfId="22536" xr:uid="{0969AB0C-F210-4A43-B6E4-228133485BE5}"/>
    <cellStyle name="Note 2 2 5 2 2 3" xfId="34468" xr:uid="{DF28A150-6AC6-4DF6-810B-DA0E5A26E933}"/>
    <cellStyle name="Note 2 2 5 2 2 4" xfId="34469" xr:uid="{1B9B6F5D-5244-4FA6-8C0B-3738CB80C144}"/>
    <cellStyle name="Note 2 2 5 2 2 5" xfId="34470" xr:uid="{36DE12AF-3CE6-40F2-B8CC-6D27CE1B0EDB}"/>
    <cellStyle name="Note 2 2 5 2 2 6" xfId="34471" xr:uid="{4577FC3C-05D3-4EA6-BA5E-7C026EFD7FCA}"/>
    <cellStyle name="Note 2 2 5 2 3" xfId="6972" xr:uid="{397A2BEA-39B6-4455-9A00-D4C9B0D37C4B}"/>
    <cellStyle name="Note 2 2 5 2 3 2" xfId="22535" xr:uid="{89314DC3-8DF7-4F39-A0C6-8FCF7103EF83}"/>
    <cellStyle name="Note 2 2 5 2 3 3" xfId="46433" xr:uid="{C6583892-49FA-4401-975E-05E7622B6A33}"/>
    <cellStyle name="Note 2 2 5 2 3 4" xfId="18918" xr:uid="{969B3B7C-CF50-41A6-A3EB-5234256685DF}"/>
    <cellStyle name="Note 2 2 5 2 4" xfId="9140" xr:uid="{06692085-7480-4B6D-9ECD-CA201DD26084}"/>
    <cellStyle name="Note 2 2 5 2 4 2" xfId="34472" xr:uid="{89654FEF-0F2D-444C-8AAA-504B67B306F0}"/>
    <cellStyle name="Note 2 2 5 2 5" xfId="34473" xr:uid="{40AB9966-DD39-49E2-BA75-03343DB936F9}"/>
    <cellStyle name="Note 2 2 5 2 6" xfId="34474" xr:uid="{E2931615-49E1-4342-9F2F-F1E8ED21AF90}"/>
    <cellStyle name="Note 2 2 5 2 7" xfId="34475" xr:uid="{EC463538-E53C-4160-AEF2-A301855F7A73}"/>
    <cellStyle name="Note 2 2 5 3" xfId="3335" xr:uid="{2DD8F96E-B6D4-4A76-8D3D-3B28316BE5B9}"/>
    <cellStyle name="Note 2 2 5 3 2" xfId="5246" xr:uid="{E050A57A-EAB3-4FAF-A494-1F6FE259CD71}"/>
    <cellStyle name="Note 2 2 5 3 2 2" xfId="18921" xr:uid="{E103C348-BD4E-4FE3-9DB7-AC4A79EE2FD7}"/>
    <cellStyle name="Note 2 2 5 3 2 2 2" xfId="22538" xr:uid="{AFCB2A97-6401-4630-AFEC-6989F9CF6B28}"/>
    <cellStyle name="Note 2 2 5 3 2 3" xfId="34476" xr:uid="{4980E7F3-F028-44C8-960F-7DC6D708639C}"/>
    <cellStyle name="Note 2 2 5 3 2 4" xfId="34477" xr:uid="{1233E63D-2EF4-4725-8E0D-F44B49CD6920}"/>
    <cellStyle name="Note 2 2 5 3 2 5" xfId="34478" xr:uid="{334B03BB-BE29-485C-BCAC-24C7D4DF59D6}"/>
    <cellStyle name="Note 2 2 5 3 2 6" xfId="34479" xr:uid="{06499A0D-3391-4DFF-A2DF-73FA42D223F8}"/>
    <cellStyle name="Note 2 2 5 3 3" xfId="6973" xr:uid="{6C7539EC-87C6-41F0-A729-136069FF6747}"/>
    <cellStyle name="Note 2 2 5 3 3 2" xfId="22537" xr:uid="{012FB620-13FD-498E-BBE0-081B38628EDC}"/>
    <cellStyle name="Note 2 2 5 3 3 3" xfId="46434" xr:uid="{09AB7B1A-E7FE-4702-AC8C-55870355FC76}"/>
    <cellStyle name="Note 2 2 5 3 3 4" xfId="18920" xr:uid="{A9264294-CAE6-4A20-8DE0-136F295CF27D}"/>
    <cellStyle name="Note 2 2 5 3 4" xfId="9141" xr:uid="{53C9A6A3-504A-4E11-BE42-0A62C59A7160}"/>
    <cellStyle name="Note 2 2 5 3 4 2" xfId="34480" xr:uid="{915FD613-F610-499B-A9E6-C59BA2392406}"/>
    <cellStyle name="Note 2 2 5 3 5" xfId="34481" xr:uid="{10D13D94-C61C-4D70-8EE6-17CA267DF666}"/>
    <cellStyle name="Note 2 2 5 3 6" xfId="34482" xr:uid="{0DBCB3C4-DB9C-4409-A4CA-6A7C6DD236BF}"/>
    <cellStyle name="Note 2 2 5 3 7" xfId="34483" xr:uid="{8E6A3E9E-5FAE-4FB0-A4E7-56D46E3D937B}"/>
    <cellStyle name="Note 2 2 5 4" xfId="3336" xr:uid="{A9484245-F4D0-4470-97E2-8559D22B26D0}"/>
    <cellStyle name="Note 2 2 5 4 2" xfId="5247" xr:uid="{11135A1D-9E07-4986-AEB2-ADD02184D9E7}"/>
    <cellStyle name="Note 2 2 5 4 2 2" xfId="18923" xr:uid="{1EDC0E38-15F3-4662-BCA8-4C5106F171F9}"/>
    <cellStyle name="Note 2 2 5 4 2 2 2" xfId="22540" xr:uid="{E125CB89-6995-4352-B7DB-DECF737DF952}"/>
    <cellStyle name="Note 2 2 5 4 2 3" xfId="34484" xr:uid="{1E86DBF8-A75B-400C-90D2-BFEC776411DD}"/>
    <cellStyle name="Note 2 2 5 4 2 4" xfId="34485" xr:uid="{B757CA68-562C-49B2-BA13-84D99CF7A5C2}"/>
    <cellStyle name="Note 2 2 5 4 2 5" xfId="34486" xr:uid="{A962AAE0-EC12-43C5-AF0C-86F7AEE18EAD}"/>
    <cellStyle name="Note 2 2 5 4 2 6" xfId="34487" xr:uid="{AAB5D22B-523D-43EC-891B-CAB799C6967B}"/>
    <cellStyle name="Note 2 2 5 4 3" xfId="6974" xr:uid="{3149EB2A-ED05-4488-A852-0393A99C897F}"/>
    <cellStyle name="Note 2 2 5 4 3 2" xfId="22539" xr:uid="{34FE984E-3200-4A3B-A801-1B4C40DA55ED}"/>
    <cellStyle name="Note 2 2 5 4 3 3" xfId="46435" xr:uid="{3F43BBD6-0236-475B-86C7-C6BE3B343821}"/>
    <cellStyle name="Note 2 2 5 4 3 4" xfId="18922" xr:uid="{437CDD5C-C04E-4BD5-8CE5-1D4CEDCD0291}"/>
    <cellStyle name="Note 2 2 5 4 4" xfId="9142" xr:uid="{88BDD773-EDD3-4417-A859-66FFB4B2836D}"/>
    <cellStyle name="Note 2 2 5 4 4 2" xfId="34488" xr:uid="{DA999CE5-488C-45C1-9830-312C1B4EA66B}"/>
    <cellStyle name="Note 2 2 5 4 5" xfId="34489" xr:uid="{99534958-C8A2-4F51-AB0E-41D36589CB22}"/>
    <cellStyle name="Note 2 2 5 4 6" xfId="34490" xr:uid="{499091B7-6FAA-4BC8-BAA5-8226C552ABDD}"/>
    <cellStyle name="Note 2 2 5 4 7" xfId="34491" xr:uid="{CFC5C991-FDAB-4CE3-B7CD-04A5B9692EE1}"/>
    <cellStyle name="Note 2 2 5 5" xfId="3337" xr:uid="{95FD0B6C-2B21-49AE-A25D-7A9095064093}"/>
    <cellStyle name="Note 2 2 5 5 2" xfId="16627" xr:uid="{EBEDF903-5B4B-4515-9B44-7E487A642559}"/>
    <cellStyle name="Note 2 2 5 5 2 2" xfId="18925" xr:uid="{3C93E38F-CF6C-4001-AE8F-DBD257A3B849}"/>
    <cellStyle name="Note 2 2 5 5 2 2 2" xfId="22542" xr:uid="{4A94D3D3-90F0-4323-BAB7-5C55E82C7CC0}"/>
    <cellStyle name="Note 2 2 5 5 2 3" xfId="34492" xr:uid="{E15B0403-231B-4A5F-B41D-F6B255E44441}"/>
    <cellStyle name="Note 2 2 5 5 2 4" xfId="34493" xr:uid="{ADDB04A3-89C3-44E6-80EB-75698CBC0CBC}"/>
    <cellStyle name="Note 2 2 5 5 2 5" xfId="34494" xr:uid="{C5162E5D-6E64-461A-9C72-8BE9D73C21BC}"/>
    <cellStyle name="Note 2 2 5 5 2 6" xfId="34495" xr:uid="{CC9157C5-5D02-406D-926C-2A4B1377CA01}"/>
    <cellStyle name="Note 2 2 5 5 3" xfId="18924" xr:uid="{0560361A-19EE-4CD4-8F27-BD6190614740}"/>
    <cellStyle name="Note 2 2 5 5 3 2" xfId="22541" xr:uid="{DEBF5E03-D0FC-4071-8693-9571BBB7831C}"/>
    <cellStyle name="Note 2 2 5 5 4" xfId="34496" xr:uid="{2EC124BB-F082-4876-B550-DFD9CBC680C3}"/>
    <cellStyle name="Note 2 2 5 5 5" xfId="34497" xr:uid="{3A5F25D8-119C-499D-B62C-63053DDDC578}"/>
    <cellStyle name="Note 2 2 5 5 6" xfId="34498" xr:uid="{EA341480-625F-40B6-ACB7-593B463C164E}"/>
    <cellStyle name="Note 2 2 5 5 7" xfId="34499" xr:uid="{85DCFACD-7EA5-44DB-AA20-76F21D8506E9}"/>
    <cellStyle name="Note 2 2 5 5 8" xfId="16103" xr:uid="{4E170F78-A7C5-4BCD-8454-D1FAF80DBD7F}"/>
    <cellStyle name="Note 2 2 5 6" xfId="5244" xr:uid="{0DBA0DCA-DDA4-4239-BB6E-9B7B7F32E5F0}"/>
    <cellStyle name="Note 2 2 5 6 2" xfId="22543" xr:uid="{E671D164-BEBD-433A-BB82-E616C9FFA120}"/>
    <cellStyle name="Note 2 2 5 6 3" xfId="43678" xr:uid="{33F3A6F6-5657-4FE3-BE9B-CEA714D1AB5D}"/>
    <cellStyle name="Note 2 2 5 6 4" xfId="18926" xr:uid="{2DF6BE58-01C0-4B35-B188-F4700DCA3D0B}"/>
    <cellStyle name="Note 2 2 5 7" xfId="4262" xr:uid="{BCB98934-9784-423E-9C96-66F21E47542B}"/>
    <cellStyle name="Note 2 2 5 7 2" xfId="22534" xr:uid="{0F210358-8591-4DD9-9EB0-7F9A95C4EF1C}"/>
    <cellStyle name="Note 2 2 5 7 3" xfId="44069" xr:uid="{3C37615E-C613-428E-8B1A-224C9A196442}"/>
    <cellStyle name="Note 2 2 5 7 4" xfId="18917" xr:uid="{5A35C8E0-1BEC-4890-B85A-E3318D782352}"/>
    <cellStyle name="Note 2 2 5 8" xfId="6329" xr:uid="{D431BA55-D8BD-4293-B4A8-8D5AE6581AE5}"/>
    <cellStyle name="Note 2 2 5 8 2" xfId="45980" xr:uid="{F697DD47-A485-400D-874B-86689CCA2158}"/>
    <cellStyle name="Note 2 2 5 8 3" xfId="34500" xr:uid="{7D687D4B-30CA-44D8-B1E3-CA08AEFDC17D}"/>
    <cellStyle name="Note 2 2 5 9" xfId="9139" xr:uid="{820A611A-FF5A-4770-8D34-98D5C567CD7D}"/>
    <cellStyle name="Note 2 2 5 9 2" xfId="34501" xr:uid="{EED617C8-7077-481B-BFD6-51A1074C1486}"/>
    <cellStyle name="Note 2 2 5_IND_UC" xfId="3338" xr:uid="{DF8B8E73-9A3E-45FD-98D9-01C0A3E1F099}"/>
    <cellStyle name="Note 2 2 6" xfId="3339" xr:uid="{54DCE8CD-50FC-4B76-B556-29A5986E63FC}"/>
    <cellStyle name="Note 2 2 6 10" xfId="34502" xr:uid="{433621E2-7235-41E1-860C-5E02AE15FF94}"/>
    <cellStyle name="Note 2 2 6 11" xfId="34503" xr:uid="{7F84F163-E6F5-4C02-959D-DCD9467125C5}"/>
    <cellStyle name="Note 2 2 6 2" xfId="5248" xr:uid="{2DA4BB3E-58C1-4796-9DBC-A9B6A2DCE394}"/>
    <cellStyle name="Note 2 2 6 2 2" xfId="18928" xr:uid="{BAD266FA-1CEE-4C40-9E2F-353534339C8D}"/>
    <cellStyle name="Note 2 2 6 2 2 2" xfId="22545" xr:uid="{87B9012F-0A20-4273-9E02-10A284118BC9}"/>
    <cellStyle name="Note 2 2 6 2 3" xfId="34504" xr:uid="{5716FE6D-ACB5-4AB1-8B17-6BF467C00079}"/>
    <cellStyle name="Note 2 2 6 2 4" xfId="34505" xr:uid="{36F4CFB7-3F41-4A1A-B7D6-92ACF4C05317}"/>
    <cellStyle name="Note 2 2 6 2 5" xfId="34506" xr:uid="{A69242F7-18D4-4120-BA5B-FF769F7BF31D}"/>
    <cellStyle name="Note 2 2 6 2 6" xfId="34507" xr:uid="{1990F546-73B9-492A-94F7-FA1B7331C476}"/>
    <cellStyle name="Note 2 2 6 3" xfId="4263" xr:uid="{1BA1AC4C-33AA-4ECC-A645-F61477E07E88}"/>
    <cellStyle name="Note 2 2 6 3 2" xfId="18929" xr:uid="{947FB4B4-27D5-488C-89F2-36B11F8EAB18}"/>
    <cellStyle name="Note 2 2 6 3 2 2" xfId="22546" xr:uid="{7B113574-0622-4DEE-A6CF-7A88D5993820}"/>
    <cellStyle name="Note 2 2 6 3 3" xfId="34508" xr:uid="{C0B36F14-5B7E-491F-80F4-8D7363894090}"/>
    <cellStyle name="Note 2 2 6 3 4" xfId="34509" xr:uid="{6CEC6593-358F-4AC3-801B-4F0F36F636AB}"/>
    <cellStyle name="Note 2 2 6 3 5" xfId="34510" xr:uid="{617EF41C-961C-48F7-B47B-F8C391B3BCE0}"/>
    <cellStyle name="Note 2 2 6 3 6" xfId="34511" xr:uid="{D6F37D85-64A2-4248-B97B-A2C576B9F8DA}"/>
    <cellStyle name="Note 2 2 6 4" xfId="6330" xr:uid="{F8FBB971-8596-432E-93CB-576DEAA33588}"/>
    <cellStyle name="Note 2 2 6 4 2" xfId="18930" xr:uid="{4B9C2896-C9BC-47F8-98C4-26F2A52144AC}"/>
    <cellStyle name="Note 2 2 6 4 2 2" xfId="22547" xr:uid="{4477A9D0-F29F-4A86-915D-7BC0A3BEE4A4}"/>
    <cellStyle name="Note 2 2 6 4 3" xfId="34512" xr:uid="{832BB634-328D-441C-8829-1686513584FD}"/>
    <cellStyle name="Note 2 2 6 4 4" xfId="34513" xr:uid="{A987E8B6-9A87-4550-B117-E1B1D9A34759}"/>
    <cellStyle name="Note 2 2 6 4 5" xfId="34514" xr:uid="{B9CEB0E1-E229-4BC8-9A4E-6D20133D88D0}"/>
    <cellStyle name="Note 2 2 6 4 6" xfId="34515" xr:uid="{36FCDF7B-ED8F-4396-A745-FC3EDFEC308B}"/>
    <cellStyle name="Note 2 2 6 5" xfId="9143" xr:uid="{4F02A028-8846-4F75-BD8A-8C6F34BA3455}"/>
    <cellStyle name="Note 2 2 6 5 2" xfId="18931" xr:uid="{956FFD89-AD59-4ADA-82F3-76D238E56A3A}"/>
    <cellStyle name="Note 2 2 6 5 2 2" xfId="22548" xr:uid="{64EB3556-069A-4457-A65B-E397315C8BD4}"/>
    <cellStyle name="Note 2 2 6 5 3" xfId="34516" xr:uid="{37D1C62D-4C11-4CA1-9C24-B6A6AF047595}"/>
    <cellStyle name="Note 2 2 6 5 4" xfId="34517" xr:uid="{F01441A2-F890-4A1F-9E1B-9875325BFACB}"/>
    <cellStyle name="Note 2 2 6 5 5" xfId="34518" xr:uid="{E6A7E8F6-E2F6-4838-934E-12E4DC2A6BB0}"/>
    <cellStyle name="Note 2 2 6 5 6" xfId="34519" xr:uid="{3C279732-3F29-4876-B3E1-D5F900FE648F}"/>
    <cellStyle name="Note 2 2 6 5 7" xfId="16104" xr:uid="{32B7B9DE-679F-4329-89AD-D670638F0E21}"/>
    <cellStyle name="Note 2 2 6 6" xfId="18927" xr:uid="{C070DBB5-B12D-4661-B347-C942B578AEF1}"/>
    <cellStyle name="Note 2 2 6 6 2" xfId="22544" xr:uid="{D0406C5F-C086-4247-9211-AD21616CDBE6}"/>
    <cellStyle name="Note 2 2 6 7" xfId="34520" xr:uid="{5CE7987E-670A-4CED-99F3-AE5501982756}"/>
    <cellStyle name="Note 2 2 6 8" xfId="34521" xr:uid="{A23270D6-4F48-4276-9B5C-42132375A8FA}"/>
    <cellStyle name="Note 2 2 6 9" xfId="34522" xr:uid="{BB95A14F-A8EB-4632-B582-E10629016CFC}"/>
    <cellStyle name="Note 2 2 7" xfId="3340" xr:uid="{B15C93EA-159B-4DC6-829B-CA96F5A8FA4C}"/>
    <cellStyle name="Note 2 2 7 10" xfId="34523" xr:uid="{B147A403-A6B2-421B-A22E-26443071AF2A}"/>
    <cellStyle name="Note 2 2 7 11" xfId="34524" xr:uid="{909ED9A8-13BD-4435-9DD6-ECBFDEB6FB73}"/>
    <cellStyle name="Note 2 2 7 2" xfId="5249" xr:uid="{65C9904C-AA82-41A7-A60D-181E566CD4A8}"/>
    <cellStyle name="Note 2 2 7 2 2" xfId="18933" xr:uid="{84721D1A-C056-4498-A814-E550A2D58078}"/>
    <cellStyle name="Note 2 2 7 2 2 2" xfId="22550" xr:uid="{619E8DB1-9389-42CC-B6B5-2BF92DFC1559}"/>
    <cellStyle name="Note 2 2 7 2 3" xfId="34525" xr:uid="{44DBE254-CA77-4D61-84B6-2E616BBD1F3F}"/>
    <cellStyle name="Note 2 2 7 2 4" xfId="34526" xr:uid="{8DF62325-17E0-49AF-83E9-1AF232F9E06A}"/>
    <cellStyle name="Note 2 2 7 2 5" xfId="34527" xr:uid="{D0AF2879-F248-4FE7-A6D9-062C87AFCA7C}"/>
    <cellStyle name="Note 2 2 7 2 6" xfId="34528" xr:uid="{33AF878C-012B-45B2-A9A8-32F63AF06A50}"/>
    <cellStyle name="Note 2 2 7 3" xfId="4264" xr:uid="{EE7B0CE1-6909-485C-AAA5-3C91F3750899}"/>
    <cellStyle name="Note 2 2 7 3 2" xfId="18934" xr:uid="{76846542-FEDA-4C22-9D72-F61383698CBC}"/>
    <cellStyle name="Note 2 2 7 3 2 2" xfId="22551" xr:uid="{1593CD24-4257-404D-9522-8D9EFEB60B19}"/>
    <cellStyle name="Note 2 2 7 3 3" xfId="34529" xr:uid="{C68750AA-268E-4894-A85E-573044DA189A}"/>
    <cellStyle name="Note 2 2 7 3 4" xfId="34530" xr:uid="{F1A003BC-08F7-4A7C-ACA8-775B20AE0968}"/>
    <cellStyle name="Note 2 2 7 3 5" xfId="34531" xr:uid="{425AFC24-AFA2-4A21-BD66-783416ACAAD9}"/>
    <cellStyle name="Note 2 2 7 3 6" xfId="34532" xr:uid="{B87037BB-7200-4FB2-B98F-DCB59320F960}"/>
    <cellStyle name="Note 2 2 7 4" xfId="6331" xr:uid="{619C0442-8C39-4701-9A94-A33F7077D7B8}"/>
    <cellStyle name="Note 2 2 7 4 2" xfId="18935" xr:uid="{5D8D3FFB-AD49-4015-9B8F-18716258FA1B}"/>
    <cellStyle name="Note 2 2 7 4 2 2" xfId="22552" xr:uid="{D55E1624-3915-4FDB-873D-24F10D9CAC67}"/>
    <cellStyle name="Note 2 2 7 4 3" xfId="34533" xr:uid="{57370BD8-BFE4-4432-A812-FEA367D4D449}"/>
    <cellStyle name="Note 2 2 7 4 4" xfId="34534" xr:uid="{492AD6A9-646B-4FCC-B732-3E4429B628ED}"/>
    <cellStyle name="Note 2 2 7 4 5" xfId="34535" xr:uid="{ABE424B3-ED21-457E-A62D-BD1906B6A2CD}"/>
    <cellStyle name="Note 2 2 7 4 6" xfId="34536" xr:uid="{1844B6A5-AF9F-4183-B8D1-AC4BB1CB3B84}"/>
    <cellStyle name="Note 2 2 7 5" xfId="9144" xr:uid="{22D93D88-CE96-423E-90B7-453347AED271}"/>
    <cellStyle name="Note 2 2 7 5 2" xfId="18936" xr:uid="{F841B534-020F-4CC5-BF7C-2FD07F7E6FA5}"/>
    <cellStyle name="Note 2 2 7 5 2 2" xfId="22553" xr:uid="{15259005-A325-4BCD-B6BC-C136B8F751C2}"/>
    <cellStyle name="Note 2 2 7 5 3" xfId="34537" xr:uid="{01283E90-119F-4F4A-8BBA-B0806F74EEAE}"/>
    <cellStyle name="Note 2 2 7 5 4" xfId="34538" xr:uid="{E42A5811-A4D1-4735-A6E4-CB887314EDD3}"/>
    <cellStyle name="Note 2 2 7 5 5" xfId="34539" xr:uid="{DA1EEE90-0DAC-4F10-8D06-CC593B5A5784}"/>
    <cellStyle name="Note 2 2 7 5 6" xfId="34540" xr:uid="{89B4890C-387E-46B3-8397-0A8CEC0FACC0}"/>
    <cellStyle name="Note 2 2 7 5 7" xfId="16105" xr:uid="{FD96B9D1-1C96-4F95-900E-11F183201778}"/>
    <cellStyle name="Note 2 2 7 6" xfId="18932" xr:uid="{FB581B55-F0C8-465C-B22F-435028E9D540}"/>
    <cellStyle name="Note 2 2 7 6 2" xfId="22549" xr:uid="{85380C3E-7708-41CD-9D84-B421BD766217}"/>
    <cellStyle name="Note 2 2 7 7" xfId="34541" xr:uid="{846E3060-3D84-41D0-9F2F-F720130F4107}"/>
    <cellStyle name="Note 2 2 7 8" xfId="34542" xr:uid="{BB95EA4E-69A5-48FE-8D7F-6E2BE2F063E4}"/>
    <cellStyle name="Note 2 2 7 9" xfId="34543" xr:uid="{6E25DE51-93A6-40CD-A86A-8F399C69A5BA}"/>
    <cellStyle name="Note 2 2 8" xfId="3341" xr:uid="{257E120E-7469-4A62-8C82-679CABB841B8}"/>
    <cellStyle name="Note 2 2 8 2" xfId="18937" xr:uid="{8092EE2E-A0D4-47B8-A3B0-3C50E203263A}"/>
    <cellStyle name="Note 2 2 8 2 2" xfId="22554" xr:uid="{0A392E4E-C474-4BAB-8FF6-9AE8C86A6E9D}"/>
    <cellStyle name="Note 2 2 8 3" xfId="34544" xr:uid="{B4CFCFFE-786D-4344-8989-6D6A6E28EBB5}"/>
    <cellStyle name="Note 2 2 8 4" xfId="34545" xr:uid="{E81DFB6F-8880-4115-B997-9F3601865469}"/>
    <cellStyle name="Note 2 2 8 5" xfId="34546" xr:uid="{8882001D-1A25-4556-8B6C-FB4D1CED7B59}"/>
    <cellStyle name="Note 2 2 8 6" xfId="34547" xr:uid="{86651A5E-327C-4CED-B3AE-D2BC0E6CAFE5}"/>
    <cellStyle name="Note 2 2 9" xfId="3342" xr:uid="{47043D1A-694E-4F81-AD1B-321D4B9B6422}"/>
    <cellStyle name="Note 2 2 9 2" xfId="18938" xr:uid="{F381FD90-234C-4186-AE3D-53D5AD69BA26}"/>
    <cellStyle name="Note 2 2 9 2 2" xfId="22555" xr:uid="{21E15C80-ACEC-454E-9517-8E6BA47A1DDC}"/>
    <cellStyle name="Note 2 2 9 3" xfId="34548" xr:uid="{5BA8B4E2-DD68-43AC-A514-2E19DD1EF29A}"/>
    <cellStyle name="Note 2 2 9 4" xfId="34549" xr:uid="{641FCFF8-9413-4284-BC16-86F2FF118435}"/>
    <cellStyle name="Note 2 2 9 5" xfId="34550" xr:uid="{742366CC-01FA-4C7F-9CF9-F8CC851375EC}"/>
    <cellStyle name="Note 2 2 9 6" xfId="34551" xr:uid="{43522C3F-19A7-42CF-A659-7090EE8FF919}"/>
    <cellStyle name="Note 2 2_IND_UC" xfId="3343" xr:uid="{C0F8E2A2-1C48-4BA7-B17A-72EEBF076327}"/>
    <cellStyle name="Note 2 20" xfId="3344" xr:uid="{59CDF359-F894-4A2C-A0FE-F3B95CFED8D0}"/>
    <cellStyle name="Note 2 20 2" xfId="5250" xr:uid="{A04B8B4C-FC8A-4538-A3D2-98F21CBC9E7D}"/>
    <cellStyle name="Note 2 20 2 2" xfId="18940" xr:uid="{57E97AAD-62E4-4449-8FA2-B0F3CA810A84}"/>
    <cellStyle name="Note 2 20 2 2 2" xfId="22557" xr:uid="{DDDBC5BC-1020-4D52-B6F2-7CA832B403C8}"/>
    <cellStyle name="Note 2 20 2 3" xfId="34552" xr:uid="{3722D0B3-4521-4BEB-AA76-BBD5E29774A7}"/>
    <cellStyle name="Note 2 20 2 4" xfId="34553" xr:uid="{3F2BC63C-67F2-48EC-8682-00E6766047EA}"/>
    <cellStyle name="Note 2 20 2 5" xfId="34554" xr:uid="{A820F2EE-DAA9-4813-9E2D-EFCE1A85F29C}"/>
    <cellStyle name="Note 2 20 2 6" xfId="34555" xr:uid="{45C5888C-587A-4E72-8FD0-8215C66BE867}"/>
    <cellStyle name="Note 2 20 3" xfId="4265" xr:uid="{E23DA1E2-3C37-4510-96E4-CF6EFAEBF495}"/>
    <cellStyle name="Note 2 20 3 2" xfId="22556" xr:uid="{EBBD9120-EB6E-41A6-BEFD-8098F5FE6885}"/>
    <cellStyle name="Note 2 20 3 3" xfId="44070" xr:uid="{68C41F7C-8F32-4C58-AFF9-52AF4C36492F}"/>
    <cellStyle name="Note 2 20 3 4" xfId="18939" xr:uid="{FCBD5EDE-DE39-4E47-B2E1-CC57F0BAA47B}"/>
    <cellStyle name="Note 2 20 4" xfId="6332" xr:uid="{6E3F1E8C-ABE6-4CD2-BEE6-CFCD8FF4188B}"/>
    <cellStyle name="Note 2 20 4 2" xfId="45981" xr:uid="{C63E1DB3-7DBC-43C5-960F-81C0D890BDF8}"/>
    <cellStyle name="Note 2 20 4 3" xfId="34556" xr:uid="{C3F1C89D-6016-4A65-934F-DBDE664D870F}"/>
    <cellStyle name="Note 2 20 5" xfId="9145" xr:uid="{A632D9B6-25D2-4353-A6D8-E569BBB5669B}"/>
    <cellStyle name="Note 2 20 5 2" xfId="34557" xr:uid="{5AD8FC4D-91BF-48F1-9477-8E847BBA0365}"/>
    <cellStyle name="Note 2 20 6" xfId="34558" xr:uid="{1BB153EC-00AE-43D2-905C-362BAE7D9A5A}"/>
    <cellStyle name="Note 2 20 7" xfId="34559" xr:uid="{BB34F469-97C4-4DBF-94E7-D74E57BD0F15}"/>
    <cellStyle name="Note 2 20 8" xfId="34560" xr:uid="{5DD55DCE-21F6-452B-8D1B-8510819908B4}"/>
    <cellStyle name="Note 2 21" xfId="3345" xr:uid="{427D179C-839F-4C2D-AA43-1AC1F63B67B6}"/>
    <cellStyle name="Note 2 21 2" xfId="3346" xr:uid="{A412B44F-4131-4ABD-A80E-44028E843577}"/>
    <cellStyle name="Note 2 21 2 2" xfId="3347" xr:uid="{E07754B6-B589-49FA-AFF3-F4993E579E86}"/>
    <cellStyle name="Note 2 21 2 2 2" xfId="5252" xr:uid="{8AEC8345-4346-4A9C-A137-F5365BC121DD}"/>
    <cellStyle name="Note 2 21 2 2 2 2" xfId="22560" xr:uid="{F8E35A6A-7DC2-4990-ABF2-121A8041B7D1}"/>
    <cellStyle name="Note 2 21 2 2 2 3" xfId="43680" xr:uid="{D9152BE4-2FD5-46B3-9009-1771BA294EC6}"/>
    <cellStyle name="Note 2 21 2 2 2 4" xfId="18943" xr:uid="{ED685D49-0A3D-4088-921D-02C57707DBBA}"/>
    <cellStyle name="Note 2 21 2 2 3" xfId="4267" xr:uid="{8D3ED251-EED7-4C42-BF3B-FEE868AE1F0C}"/>
    <cellStyle name="Note 2 21 2 2 3 2" xfId="44072" xr:uid="{92C3A3CD-5EE4-4AD9-8801-576A1CA2FA06}"/>
    <cellStyle name="Note 2 21 2 2 3 3" xfId="34561" xr:uid="{137B0F12-D13C-4977-8C4F-F2AF930B3944}"/>
    <cellStyle name="Note 2 21 2 2 4" xfId="6334" xr:uid="{A4F3AD13-A4CD-4676-9B1A-BFC3DFCA4550}"/>
    <cellStyle name="Note 2 21 2 2 4 2" xfId="45983" xr:uid="{045C2143-D7FA-49EC-BDD8-7397A95879DD}"/>
    <cellStyle name="Note 2 21 2 2 4 3" xfId="34562" xr:uid="{76928C30-1CB0-45EB-9ACD-B7389D6D4A9C}"/>
    <cellStyle name="Note 2 21 2 2 5" xfId="9147" xr:uid="{731D0B01-7539-433C-9C25-5D3C54002A78}"/>
    <cellStyle name="Note 2 21 2 2 5 2" xfId="34563" xr:uid="{B90F614B-82A5-4430-B6E9-BAE350826F28}"/>
    <cellStyle name="Note 2 21 2 2 6" xfId="34564" xr:uid="{5AE8C6F0-CD22-4F37-9676-CA464F007709}"/>
    <cellStyle name="Note 2 21 2 2 7" xfId="34565" xr:uid="{9E8CE536-9D7E-4C0D-8AC1-DCD0E4A7CFD7}"/>
    <cellStyle name="Note 2 21 2 3" xfId="16564" xr:uid="{44D04F43-DBAB-4770-AA71-C4DC90B4F24F}"/>
    <cellStyle name="Note 2 21 2 3 2" xfId="18944" xr:uid="{9F6786F1-C231-41C2-9FC9-7E1FE90C7059}"/>
    <cellStyle name="Note 2 21 2 3 2 2" xfId="22561" xr:uid="{97B4D765-2B06-4FCA-AD0B-42CFDA21B640}"/>
    <cellStyle name="Note 2 21 2 3 3" xfId="34566" xr:uid="{B99BE411-0CCD-4C0F-BC67-EC0D02006B4F}"/>
    <cellStyle name="Note 2 21 2 3 4" xfId="34567" xr:uid="{6B0F8256-42D5-455F-9433-5D945B6051B9}"/>
    <cellStyle name="Note 2 21 2 3 5" xfId="34568" xr:uid="{012F1888-1C88-4E2F-8CCA-A6DA507AF2F5}"/>
    <cellStyle name="Note 2 21 2 3 6" xfId="34569" xr:uid="{2F1C05D7-FA39-4D1D-AD59-0FEF684C600A}"/>
    <cellStyle name="Note 2 21 2 4" xfId="18942" xr:uid="{1C531FEB-9816-478E-BBDE-897643501012}"/>
    <cellStyle name="Note 2 21 2 4 2" xfId="22559" xr:uid="{B211346C-32EF-417C-8F7C-6EF89515E591}"/>
    <cellStyle name="Note 2 21 2 5" xfId="34570" xr:uid="{344977F8-B79F-4B5E-9010-27538195EA17}"/>
    <cellStyle name="Note 2 21 2 6" xfId="34571" xr:uid="{C5305E3B-BC31-4669-8DFA-F903614465E3}"/>
    <cellStyle name="Note 2 21 2 7" xfId="34572" xr:uid="{1804D46A-2AFB-42FF-A09E-2C754382E093}"/>
    <cellStyle name="Note 2 21 2 8" xfId="34573" xr:uid="{C330D22A-D7E6-425E-9E04-492B3086945D}"/>
    <cellStyle name="Note 2 21 2 9" xfId="34574" xr:uid="{778DF47C-D58B-4271-93CC-81FBB4445F20}"/>
    <cellStyle name="Note 2 21 3" xfId="3348" xr:uid="{6097AEDE-9F17-4732-895E-DC69831E97EF}"/>
    <cellStyle name="Note 2 21 3 2" xfId="5253" xr:uid="{56EF864B-E376-49E2-A349-DA49793A31DE}"/>
    <cellStyle name="Note 2 21 3 2 2" xfId="22562" xr:uid="{A0C91031-D0B4-4426-9718-EB6B246F405C}"/>
    <cellStyle name="Note 2 21 3 2 3" xfId="43681" xr:uid="{78FE35DE-5BC6-4702-8A10-62726808C8E7}"/>
    <cellStyle name="Note 2 21 3 2 4" xfId="18945" xr:uid="{47F965E4-A7B1-4191-AB3D-4B43A7AA7A6E}"/>
    <cellStyle name="Note 2 21 3 3" xfId="4268" xr:uid="{7971DA79-47FE-4DE7-98BD-BB6EB70F7B77}"/>
    <cellStyle name="Note 2 21 3 3 2" xfId="44073" xr:uid="{744B5398-D461-4F3F-9CFA-3467194BF4C2}"/>
    <cellStyle name="Note 2 21 3 3 3" xfId="34575" xr:uid="{D31224EC-B8E6-4598-BB69-F36291AFBB3F}"/>
    <cellStyle name="Note 2 21 3 4" xfId="6335" xr:uid="{F1E8A417-B4F7-41E9-9485-BD263E5B82DB}"/>
    <cellStyle name="Note 2 21 3 4 2" xfId="45984" xr:uid="{B243382D-E0B6-4116-885D-6477D5459DD7}"/>
    <cellStyle name="Note 2 21 3 4 3" xfId="34576" xr:uid="{8EF4D679-6A38-4909-888F-59AA50B97919}"/>
    <cellStyle name="Note 2 21 3 5" xfId="9148" xr:uid="{8C773261-C74F-4AAF-A1DC-0BC92E5AD5B9}"/>
    <cellStyle name="Note 2 21 3 5 2" xfId="34577" xr:uid="{A1884688-7B41-4E1B-B0F5-88361E959754}"/>
    <cellStyle name="Note 2 21 3 6" xfId="34578" xr:uid="{0B419318-AB87-4D12-A19D-962E32271C47}"/>
    <cellStyle name="Note 2 21 3 7" xfId="34579" xr:uid="{E0A20AF9-8BEB-4B13-B032-6264933760DA}"/>
    <cellStyle name="Note 2 21 4" xfId="5251" xr:uid="{801441E8-C053-4FF9-A3CF-7CBA81A077BF}"/>
    <cellStyle name="Note 2 21 4 2" xfId="22558" xr:uid="{7F07E1D7-7E1C-4A57-B810-7BF365D2E384}"/>
    <cellStyle name="Note 2 21 4 3" xfId="43679" xr:uid="{FE53385C-D374-4F84-A247-E9455A93BF23}"/>
    <cellStyle name="Note 2 21 4 4" xfId="18941" xr:uid="{1E96B5FC-E948-445C-BCB7-885B1A5D3640}"/>
    <cellStyle name="Note 2 21 5" xfId="4266" xr:uid="{5034639E-3E48-464D-8AB9-F186F2E857FC}"/>
    <cellStyle name="Note 2 21 5 2" xfId="44071" xr:uid="{1B9A4F9D-A278-41A0-BA2B-3985FB69E2DE}"/>
    <cellStyle name="Note 2 21 5 3" xfId="34580" xr:uid="{F64B9EC4-D560-4274-8F93-F675A9F7CC4C}"/>
    <cellStyle name="Note 2 21 6" xfId="6333" xr:uid="{D826A99D-250B-4B21-BFB8-9F3159D3E581}"/>
    <cellStyle name="Note 2 21 6 2" xfId="45982" xr:uid="{B699DD93-942C-4159-AA7C-39319182B452}"/>
    <cellStyle name="Note 2 21 6 3" xfId="34581" xr:uid="{FF321C47-4450-4188-AC89-3F9A400CF3EE}"/>
    <cellStyle name="Note 2 21 7" xfId="9146" xr:uid="{9090B694-408E-46AE-93AF-FB0A0B9B6148}"/>
    <cellStyle name="Note 2 21 7 2" xfId="34582" xr:uid="{ACEA9E96-E726-4953-A408-48AC4B7BF9FE}"/>
    <cellStyle name="Note 2 21 8" xfId="34583" xr:uid="{B75BC6DE-47C7-47EF-A955-0573019A9D22}"/>
    <cellStyle name="Note 2 21 9" xfId="34584" xr:uid="{BFF54557-FE74-49FF-842A-E1025D78AC4C}"/>
    <cellStyle name="Note 2 22" xfId="3349" xr:uid="{06FB7EDA-E32C-48B8-8F61-F7D6BDA469EA}"/>
    <cellStyle name="Note 2 22 2" xfId="5254" xr:uid="{185ACC6A-81E1-4CE0-BC87-7D878A1FBCD0}"/>
    <cellStyle name="Note 2 22 2 2" xfId="18947" xr:uid="{22271C68-B298-40FC-B982-02791D778CAD}"/>
    <cellStyle name="Note 2 22 2 2 2" xfId="22564" xr:uid="{5A8343BF-EFD2-40FF-A268-0DC5343ED667}"/>
    <cellStyle name="Note 2 22 2 3" xfId="34585" xr:uid="{A046E53C-46AA-4C37-BF90-42742CCA4317}"/>
    <cellStyle name="Note 2 22 2 4" xfId="34586" xr:uid="{ACBFD02C-2D52-4A7D-AF1E-C05D35FDD831}"/>
    <cellStyle name="Note 2 22 2 5" xfId="34587" xr:uid="{57A62EEF-C784-4DE8-93FA-3A7E57A81B21}"/>
    <cellStyle name="Note 2 22 2 6" xfId="34588" xr:uid="{5368FFD1-6264-4F6F-BB93-10F02C441568}"/>
    <cellStyle name="Note 2 22 3" xfId="4269" xr:uid="{7745D0BF-D5BB-4833-AB16-A34BC0C9EE7D}"/>
    <cellStyle name="Note 2 22 3 2" xfId="22563" xr:uid="{C3D98A64-3B4E-4320-A84D-46ADA9CD5B49}"/>
    <cellStyle name="Note 2 22 3 3" xfId="44074" xr:uid="{BC4BF26F-373A-408C-BAAC-04CFE3C54D7A}"/>
    <cellStyle name="Note 2 22 3 4" xfId="18946" xr:uid="{8050B8FD-4EA6-4AD3-802D-88E5E5E9F9AF}"/>
    <cellStyle name="Note 2 22 4" xfId="6336" xr:uid="{0973E14F-1F2F-412A-9B5B-39A5374C60C1}"/>
    <cellStyle name="Note 2 22 4 2" xfId="45985" xr:uid="{871AD113-976D-4952-99A5-40C32FF1A245}"/>
    <cellStyle name="Note 2 22 4 3" xfId="34589" xr:uid="{F00E12EC-4775-4892-8EC1-26F0BF8B112A}"/>
    <cellStyle name="Note 2 22 5" xfId="9149" xr:uid="{46A03D2C-901C-4900-8827-06C49FC6200A}"/>
    <cellStyle name="Note 2 22 5 2" xfId="34590" xr:uid="{CB21E704-96E1-489B-A5B1-0B4C26B74CBB}"/>
    <cellStyle name="Note 2 22 6" xfId="34591" xr:uid="{9BD4C966-051F-4842-A806-B63F249D1D88}"/>
    <cellStyle name="Note 2 22 7" xfId="34592" xr:uid="{AC0F5620-EA22-44CD-9EDE-C2E6926089E7}"/>
    <cellStyle name="Note 2 22 8" xfId="34593" xr:uid="{DB0AB784-7745-44AF-A9C8-1EC94F9BB1E1}"/>
    <cellStyle name="Note 2 23" xfId="3350" xr:uid="{144AE6A8-A498-4B6E-83A1-88DC198996E9}"/>
    <cellStyle name="Note 2 23 2" xfId="5255" xr:uid="{0BAA26CD-CA05-409F-8A16-F16644BAA389}"/>
    <cellStyle name="Note 2 23 2 2" xfId="18949" xr:uid="{DD3D3FF4-51F3-4F07-A121-848F893B81A1}"/>
    <cellStyle name="Note 2 23 2 2 2" xfId="22566" xr:uid="{A3357AC3-B42D-4672-957B-29F47DECAB3B}"/>
    <cellStyle name="Note 2 23 2 3" xfId="34594" xr:uid="{AE45B43D-4710-4A2A-AF34-A5AF57DB6CAE}"/>
    <cellStyle name="Note 2 23 2 4" xfId="34595" xr:uid="{A23E6A29-0F67-424F-8052-96905CF9F251}"/>
    <cellStyle name="Note 2 23 2 5" xfId="34596" xr:uid="{AE62A1D8-A44F-49FF-81B6-31FDDF73DDDD}"/>
    <cellStyle name="Note 2 23 2 6" xfId="34597" xr:uid="{58FA6E1E-58A3-4609-8913-B273E34BBA07}"/>
    <cellStyle name="Note 2 23 3" xfId="4270" xr:uid="{1183FC4F-6F84-4D9C-98F9-A8C145DC22ED}"/>
    <cellStyle name="Note 2 23 3 2" xfId="22565" xr:uid="{F979C6E3-DCDF-4440-922F-B2E1541E799F}"/>
    <cellStyle name="Note 2 23 3 3" xfId="44075" xr:uid="{5A43227A-2421-4C5B-B5F5-B253BFFE73F8}"/>
    <cellStyle name="Note 2 23 3 4" xfId="18948" xr:uid="{E583F6E0-46CB-489C-A8D1-3BC39CD3AAEC}"/>
    <cellStyle name="Note 2 23 4" xfId="6337" xr:uid="{C312D0EA-5522-48C6-BE32-A62EDCA2BB4E}"/>
    <cellStyle name="Note 2 23 4 2" xfId="45986" xr:uid="{53E6C181-7AA1-4401-8378-AA3FAB4E2B12}"/>
    <cellStyle name="Note 2 23 4 3" xfId="34598" xr:uid="{3DADEBCE-21A7-4996-A7DB-419CF87860F5}"/>
    <cellStyle name="Note 2 23 5" xfId="9150" xr:uid="{5BA39D1C-F212-4A61-9E26-3621778A2DEC}"/>
    <cellStyle name="Note 2 23 5 2" xfId="34599" xr:uid="{9BC02008-F71A-4596-AEB1-05E0FD69420B}"/>
    <cellStyle name="Note 2 23 6" xfId="34600" xr:uid="{B0E7BC56-8F29-46CA-A1EC-4F796DD735FA}"/>
    <cellStyle name="Note 2 23 7" xfId="34601" xr:uid="{095C7316-8174-4462-8F50-4B14EDE4B539}"/>
    <cellStyle name="Note 2 23 8" xfId="34602" xr:uid="{3DAC1A33-4AEF-4C71-9750-2433B0B5FB79}"/>
    <cellStyle name="Note 2 24" xfId="3351" xr:uid="{29BBD3B0-C1F6-4F5E-A0ED-9A9EC74D2BB7}"/>
    <cellStyle name="Note 2 24 10" xfId="34603" xr:uid="{C799D2B4-022A-4369-9243-45F3010EA174}"/>
    <cellStyle name="Note 2 24 11" xfId="34604" xr:uid="{4E42C2D3-4E4A-413D-8088-FD247E688D66}"/>
    <cellStyle name="Note 2 24 2" xfId="5256" xr:uid="{B31A3941-476F-40ED-A7B1-24DACE599378}"/>
    <cellStyle name="Note 2 24 2 2" xfId="18951" xr:uid="{D48A7901-81A7-4BA5-9BCB-256C0357B13B}"/>
    <cellStyle name="Note 2 24 2 2 2" xfId="22568" xr:uid="{D8D1A41C-7A21-4A05-8632-83B9B352CE16}"/>
    <cellStyle name="Note 2 24 2 3" xfId="34605" xr:uid="{1E86F591-8D3B-4726-83F9-0C1AC720160A}"/>
    <cellStyle name="Note 2 24 2 4" xfId="34606" xr:uid="{F47C2F24-E0B9-4007-9160-2704CFFE67B1}"/>
    <cellStyle name="Note 2 24 2 5" xfId="34607" xr:uid="{5AFE4866-7EE5-4F41-9177-C31EDF0D7B0E}"/>
    <cellStyle name="Note 2 24 2 6" xfId="34608" xr:uid="{FFEB7F9D-A22D-40C1-B5EF-71AF9D03D8B8}"/>
    <cellStyle name="Note 2 24 3" xfId="4271" xr:uid="{49A13845-463D-4BEA-8AC9-507A57EA8F19}"/>
    <cellStyle name="Note 2 24 3 2" xfId="18952" xr:uid="{DD927D47-9147-4725-9C46-6189DCE9FA8C}"/>
    <cellStyle name="Note 2 24 3 2 2" xfId="22569" xr:uid="{C33BEF34-035F-4AEA-95B4-CA04E6E33BCE}"/>
    <cellStyle name="Note 2 24 3 3" xfId="34609" xr:uid="{6A623933-BB8E-49FE-977A-88A5CF43DB1F}"/>
    <cellStyle name="Note 2 24 3 4" xfId="34610" xr:uid="{8C86FC78-EE36-4C24-9D4C-D017326C2588}"/>
    <cellStyle name="Note 2 24 3 5" xfId="34611" xr:uid="{9B2EAEA8-3DCE-4BD7-9E9C-EAF8DD98AD2D}"/>
    <cellStyle name="Note 2 24 3 6" xfId="34612" xr:uid="{9F6B46E8-CB90-4E95-9DB0-A09AE4F850F8}"/>
    <cellStyle name="Note 2 24 4" xfId="6338" xr:uid="{47C3E12E-91B0-4A09-8200-51C0BF071836}"/>
    <cellStyle name="Note 2 24 4 2" xfId="18953" xr:uid="{4B93CA15-23ED-4549-BD6C-1C4D0FB2B5E5}"/>
    <cellStyle name="Note 2 24 4 2 2" xfId="22570" xr:uid="{F1E94CD6-4DBC-40C3-8836-3E01B84FA7F8}"/>
    <cellStyle name="Note 2 24 4 3" xfId="34613" xr:uid="{91D32BBB-FB40-49C7-AA43-AB5E04673AEA}"/>
    <cellStyle name="Note 2 24 4 4" xfId="34614" xr:uid="{BCD13C85-D0DD-4D9A-BB31-FBAC45680BBB}"/>
    <cellStyle name="Note 2 24 4 5" xfId="34615" xr:uid="{533CF572-EEEE-47D8-B3FE-8796D5CFB479}"/>
    <cellStyle name="Note 2 24 4 6" xfId="34616" xr:uid="{7449228D-154C-44C9-905C-22143FFDF128}"/>
    <cellStyle name="Note 2 24 5" xfId="9151" xr:uid="{156D6573-77CB-402D-ACE6-10DFF15EDE3A}"/>
    <cellStyle name="Note 2 24 5 2" xfId="18954" xr:uid="{E7A591FB-29B0-4204-B4A6-329B059121CD}"/>
    <cellStyle name="Note 2 24 5 2 2" xfId="22571" xr:uid="{2D705AF3-159A-47B0-AE7E-0DD71C9C6D1C}"/>
    <cellStyle name="Note 2 24 5 3" xfId="34617" xr:uid="{26619DB1-74C3-4329-9233-36874067BC36}"/>
    <cellStyle name="Note 2 24 5 4" xfId="34618" xr:uid="{80434A12-CAFA-4D4E-85E4-611F76F62274}"/>
    <cellStyle name="Note 2 24 5 5" xfId="34619" xr:uid="{E5FA4804-4DD5-4838-9C12-EC6B46112748}"/>
    <cellStyle name="Note 2 24 5 6" xfId="34620" xr:uid="{E664CCEB-15D2-4353-8E97-F526EAE0AF31}"/>
    <cellStyle name="Note 2 24 5 7" xfId="16106" xr:uid="{437D7523-7F00-4656-B89E-0D20B4F48D2C}"/>
    <cellStyle name="Note 2 24 6" xfId="18950" xr:uid="{9A43CD23-D7D7-4CA9-9427-CF8B4950AA97}"/>
    <cellStyle name="Note 2 24 6 2" xfId="22567" xr:uid="{D8A8221C-3F39-4E92-B90A-65B6762787E0}"/>
    <cellStyle name="Note 2 24 7" xfId="34621" xr:uid="{387DA358-0DD5-4A8F-9571-C2368D57EADB}"/>
    <cellStyle name="Note 2 24 8" xfId="34622" xr:uid="{C4FFAF50-4495-45EB-BE8F-A03A0591D1F8}"/>
    <cellStyle name="Note 2 24 9" xfId="34623" xr:uid="{FD051812-A16E-4961-A7A6-A0807AE0C8E8}"/>
    <cellStyle name="Note 2 25" xfId="3352" xr:uid="{5773200B-C58A-41F1-9634-D59A3F9AD63F}"/>
    <cellStyle name="Note 2 25 2" xfId="5257" xr:uid="{277A0410-993B-4219-9CEB-A819B792F7CD}"/>
    <cellStyle name="Note 2 25 2 2" xfId="18956" xr:uid="{9EA35FFE-64AA-4B7F-8D2C-BD413E338EE0}"/>
    <cellStyle name="Note 2 25 2 2 2" xfId="22573" xr:uid="{32CE857B-64C3-408C-9A75-D7FD36C0F72E}"/>
    <cellStyle name="Note 2 25 2 3" xfId="34624" xr:uid="{6440863B-FA57-4B02-BEF8-FC58F7046A89}"/>
    <cellStyle name="Note 2 25 2 4" xfId="34625" xr:uid="{01E8D62A-5B1D-4687-A6B4-79D263BAABFB}"/>
    <cellStyle name="Note 2 25 2 5" xfId="34626" xr:uid="{4DD8B30C-FDF4-436C-93C1-B41C4C6F5DE6}"/>
    <cellStyle name="Note 2 25 2 6" xfId="34627" xr:uid="{C56F083F-7983-4DDB-B08C-0772F5381A6C}"/>
    <cellStyle name="Note 2 25 3" xfId="4272" xr:uid="{E56B950D-F73E-4804-B5FA-C9E738608A50}"/>
    <cellStyle name="Note 2 25 3 2" xfId="22572" xr:uid="{362165E3-BD88-4FF4-B380-75C67BC3BF2E}"/>
    <cellStyle name="Note 2 25 3 3" xfId="44076" xr:uid="{D80E4A86-FDCD-46FC-AF71-6E8450752E93}"/>
    <cellStyle name="Note 2 25 3 4" xfId="18955" xr:uid="{20B66A53-8781-4F51-BA62-AD15B1CDBC00}"/>
    <cellStyle name="Note 2 25 4" xfId="6339" xr:uid="{0472CA39-1316-4407-92EB-A3AED7E3CC2D}"/>
    <cellStyle name="Note 2 25 4 2" xfId="45987" xr:uid="{B87F2265-8F86-4A53-BBCF-765A7EA5EE3A}"/>
    <cellStyle name="Note 2 25 4 3" xfId="34628" xr:uid="{E45D6B42-422C-4CD6-8332-5DA6DABB91D4}"/>
    <cellStyle name="Note 2 25 5" xfId="9152" xr:uid="{C9C44AE5-7526-4597-954F-16D381A04724}"/>
    <cellStyle name="Note 2 25 5 2" xfId="34629" xr:uid="{0FC7F7AE-76DD-4C8E-92CE-8BE9D5787BB7}"/>
    <cellStyle name="Note 2 25 6" xfId="34630" xr:uid="{18FBF334-5372-46BC-8A89-08C44301CDCC}"/>
    <cellStyle name="Note 2 25 7" xfId="34631" xr:uid="{0536166A-2A1F-4124-9A9B-F433BBF8C2B4}"/>
    <cellStyle name="Note 2 25 8" xfId="34632" xr:uid="{5C9F8DE3-16C6-4B27-BAE9-64417F999873}"/>
    <cellStyle name="Note 2 26" xfId="3353" xr:uid="{604BA208-1C25-468A-9669-29D12DEF4B0D}"/>
    <cellStyle name="Note 2 26 2" xfId="5258" xr:uid="{E259A066-3207-43F9-9FF8-31E91AD0963F}"/>
    <cellStyle name="Note 2 26 2 2" xfId="18958" xr:uid="{E4D5CF02-E993-495F-9624-F7CBC29B4F8D}"/>
    <cellStyle name="Note 2 26 2 2 2" xfId="22575" xr:uid="{085FE091-A8A5-404A-91F0-FED56E114441}"/>
    <cellStyle name="Note 2 26 2 3" xfId="34633" xr:uid="{2147AEA3-E3D1-4FDF-A536-9B83293794EC}"/>
    <cellStyle name="Note 2 26 2 4" xfId="34634" xr:uid="{28A1F537-00AD-4A1A-8892-898E61869A7D}"/>
    <cellStyle name="Note 2 26 2 5" xfId="34635" xr:uid="{7DE52718-0CE5-4541-9CAB-5CB7DBAB3811}"/>
    <cellStyle name="Note 2 26 2 6" xfId="34636" xr:uid="{50A8918D-66D7-4871-BF04-D8027B5F36D8}"/>
    <cellStyle name="Note 2 26 3" xfId="4273" xr:uid="{9013FD25-452B-4676-A057-6610BA132AA9}"/>
    <cellStyle name="Note 2 26 3 2" xfId="22574" xr:uid="{CA228646-2E2C-42E1-8C98-747036A3350C}"/>
    <cellStyle name="Note 2 26 3 3" xfId="44077" xr:uid="{B7F8D609-367C-4637-8125-C8354BB37939}"/>
    <cellStyle name="Note 2 26 3 4" xfId="18957" xr:uid="{617D3383-C75C-4456-A868-37096E00278D}"/>
    <cellStyle name="Note 2 26 4" xfId="6340" xr:uid="{39C69915-AAC5-476D-9047-A82BF637234A}"/>
    <cellStyle name="Note 2 26 4 2" xfId="45988" xr:uid="{194F71F3-67FE-4ED1-9BFD-F4D38F244FDF}"/>
    <cellStyle name="Note 2 26 4 3" xfId="34637" xr:uid="{42EA342C-D24E-438E-BDA6-C1503D681AEF}"/>
    <cellStyle name="Note 2 26 5" xfId="9153" xr:uid="{391356F0-DD23-4EA6-ACCC-CCEA1D3EA946}"/>
    <cellStyle name="Note 2 26 5 2" xfId="34638" xr:uid="{1E0FA3FA-7B92-4882-B485-3EA5055F8DE2}"/>
    <cellStyle name="Note 2 26 6" xfId="34639" xr:uid="{539D005D-8DCE-42DC-BF2F-1091E97E2E79}"/>
    <cellStyle name="Note 2 26 7" xfId="34640" xr:uid="{AC27F219-42DA-43D5-8430-A1C07E49A647}"/>
    <cellStyle name="Note 2 26 8" xfId="34641" xr:uid="{C56A094C-7DDF-4431-BA0C-8CB19A6600D9}"/>
    <cellStyle name="Note 2 27" xfId="3354" xr:uid="{A60C4C2F-46F2-47FF-B803-E28E3AC0FEAE}"/>
    <cellStyle name="Note 2 27 2" xfId="5259" xr:uid="{01E64E69-4A02-448A-AD22-9BF0AFF7EED4}"/>
    <cellStyle name="Note 2 27 2 2" xfId="18960" xr:uid="{2AE1FC07-6E8F-4703-AC0F-248CB28DC380}"/>
    <cellStyle name="Note 2 27 2 2 2" xfId="22577" xr:uid="{82AC9D60-1C2B-49B7-9DAE-9C61C7CA3E82}"/>
    <cellStyle name="Note 2 27 2 3" xfId="34642" xr:uid="{A37DCB36-B64C-400A-9EDD-25C8F6A554B0}"/>
    <cellStyle name="Note 2 27 2 4" xfId="34643" xr:uid="{611E9150-2976-4F7B-B2D1-E2F8645C594A}"/>
    <cellStyle name="Note 2 27 2 5" xfId="34644" xr:uid="{5BFA314B-1CAE-45BF-A2E4-CFEA092DF464}"/>
    <cellStyle name="Note 2 27 2 6" xfId="34645" xr:uid="{B0A3F181-F75F-42E9-9B7B-8819A46C2F41}"/>
    <cellStyle name="Note 2 27 3" xfId="4274" xr:uid="{3CE5E756-5063-49C0-861A-5C22A6F59321}"/>
    <cellStyle name="Note 2 27 3 2" xfId="22576" xr:uid="{FDA8133B-2941-428F-BBFE-127DDD633EE8}"/>
    <cellStyle name="Note 2 27 3 3" xfId="44078" xr:uid="{5432ADFE-737D-42ED-B408-AEDAAEF4EF94}"/>
    <cellStyle name="Note 2 27 3 4" xfId="18959" xr:uid="{755307D7-B2AF-4063-996A-E69272F0AB5F}"/>
    <cellStyle name="Note 2 27 4" xfId="6341" xr:uid="{728B6203-1D6B-4E66-BF65-05218A041CF6}"/>
    <cellStyle name="Note 2 27 4 2" xfId="45989" xr:uid="{EF3581FD-D337-4C7A-9909-7AA2C5EBE9DA}"/>
    <cellStyle name="Note 2 27 4 3" xfId="34646" xr:uid="{1EF20BB4-9C7E-4E5C-9C18-2C346235DAC1}"/>
    <cellStyle name="Note 2 27 5" xfId="9154" xr:uid="{263C04AA-CDF3-42B9-BC03-BF3E2612195A}"/>
    <cellStyle name="Note 2 27 5 2" xfId="34647" xr:uid="{2356FD94-6054-48B9-8FC1-2712C59F0F62}"/>
    <cellStyle name="Note 2 27 6" xfId="34648" xr:uid="{5BF10E1F-1B4B-45DF-8F31-63282F3760B3}"/>
    <cellStyle name="Note 2 27 7" xfId="34649" xr:uid="{24FEDB4F-12EE-491C-811E-5CCA624720DB}"/>
    <cellStyle name="Note 2 27 8" xfId="34650" xr:uid="{99D6DE04-2867-42E6-B6EF-62C289BEC5C2}"/>
    <cellStyle name="Note 2 28" xfId="3355" xr:uid="{244BCC69-24A5-465E-B430-0D9BE9EA9548}"/>
    <cellStyle name="Note 2 28 2" xfId="5260" xr:uid="{9801BAF5-2D44-40D1-BE43-309F16C1A2E2}"/>
    <cellStyle name="Note 2 28 2 2" xfId="18962" xr:uid="{8DD1BE1E-B39F-4461-9F40-06A234A7C539}"/>
    <cellStyle name="Note 2 28 2 2 2" xfId="22579" xr:uid="{68DFABA4-2612-4489-8668-59D3F65C5AA1}"/>
    <cellStyle name="Note 2 28 2 3" xfId="34651" xr:uid="{B02A1C8A-DB7A-433D-8963-4EA44231CAFF}"/>
    <cellStyle name="Note 2 28 2 4" xfId="34652" xr:uid="{6CA6C258-90E7-497D-99F7-9E9E51687FA2}"/>
    <cellStyle name="Note 2 28 2 5" xfId="34653" xr:uid="{02669487-EE37-4E27-BAE9-F2F67E6A147D}"/>
    <cellStyle name="Note 2 28 2 6" xfId="34654" xr:uid="{416A303B-B860-4604-A3E8-AE0647E97122}"/>
    <cellStyle name="Note 2 28 3" xfId="4275" xr:uid="{74466103-E8BF-405B-88E8-A2615588FA50}"/>
    <cellStyle name="Note 2 28 3 2" xfId="22578" xr:uid="{0A7BE7CF-FF88-4064-9F5B-BF4B8D235FDB}"/>
    <cellStyle name="Note 2 28 3 3" xfId="44079" xr:uid="{F1A710B6-7E1F-4F97-86DD-03251E7413CF}"/>
    <cellStyle name="Note 2 28 3 4" xfId="18961" xr:uid="{E28E7CEC-BD56-422A-B279-0F779D623270}"/>
    <cellStyle name="Note 2 28 4" xfId="6342" xr:uid="{6E2A909B-E3D8-46A6-ACDD-9E02B4B1C3C9}"/>
    <cellStyle name="Note 2 28 4 2" xfId="45990" xr:uid="{EA5B40A8-8357-4B99-A75E-ACA7215C981C}"/>
    <cellStyle name="Note 2 28 4 3" xfId="34655" xr:uid="{B9347A5A-8A9D-4673-A5F0-BAA4A0BAF989}"/>
    <cellStyle name="Note 2 28 5" xfId="9155" xr:uid="{4E22CC50-6D23-4C22-BF21-11E8049D250D}"/>
    <cellStyle name="Note 2 28 5 2" xfId="34656" xr:uid="{5E6CD427-85EC-458E-86C0-4EF1030430CC}"/>
    <cellStyle name="Note 2 28 6" xfId="34657" xr:uid="{FAF2C44D-2EC1-4F3E-87B2-286656913115}"/>
    <cellStyle name="Note 2 28 7" xfId="34658" xr:uid="{2288B5DA-2431-40EF-B603-59AF1D595C9F}"/>
    <cellStyle name="Note 2 28 8" xfId="34659" xr:uid="{DA0B8739-37EA-48D8-B438-A4BA01BB57AF}"/>
    <cellStyle name="Note 2 29" xfId="3356" xr:uid="{312BB19F-6FA8-40A2-BF3D-717770BE1078}"/>
    <cellStyle name="Note 2 29 2" xfId="5261" xr:uid="{C2EBA5F5-00E5-4469-AE0C-424E93C5E4DB}"/>
    <cellStyle name="Note 2 29 2 2" xfId="18964" xr:uid="{E9584202-7F07-47A4-BB87-8C5B733D15C9}"/>
    <cellStyle name="Note 2 29 2 2 2" xfId="22581" xr:uid="{3ADA6C7F-7119-4FD4-B105-7F0FC94C8C4D}"/>
    <cellStyle name="Note 2 29 2 3" xfId="34660" xr:uid="{4B263909-C6D5-474F-B2A0-483D1C61DD30}"/>
    <cellStyle name="Note 2 29 2 4" xfId="34661" xr:uid="{C234BD44-75E0-4894-8CA1-B2F0EAA987CC}"/>
    <cellStyle name="Note 2 29 2 5" xfId="34662" xr:uid="{35537135-8484-4F07-991D-E8F14FF5C429}"/>
    <cellStyle name="Note 2 29 2 6" xfId="34663" xr:uid="{017202A7-6DF6-496A-8F75-A6C0F0B817F4}"/>
    <cellStyle name="Note 2 29 3" xfId="4276" xr:uid="{A8ABE787-B804-4985-8706-9EBE7C8A8EA3}"/>
    <cellStyle name="Note 2 29 3 2" xfId="22580" xr:uid="{6AA6F4BF-93DB-4196-84D4-05887985BE72}"/>
    <cellStyle name="Note 2 29 3 3" xfId="44080" xr:uid="{E8EB74FA-6270-4486-AECF-BD1A5BB74BE6}"/>
    <cellStyle name="Note 2 29 3 4" xfId="18963" xr:uid="{22788458-808D-4CC1-B2E9-7907C6FCCC93}"/>
    <cellStyle name="Note 2 29 4" xfId="6343" xr:uid="{7BAFE08C-CD5B-4C2C-9499-E4354036B35D}"/>
    <cellStyle name="Note 2 29 4 2" xfId="45991" xr:uid="{F2D372EB-3464-4881-9C67-604D83CF8D46}"/>
    <cellStyle name="Note 2 29 4 3" xfId="34664" xr:uid="{EF210318-A1FF-4708-A733-204EF3DEF1A6}"/>
    <cellStyle name="Note 2 29 5" xfId="9156" xr:uid="{754BC6A0-F219-4804-BF44-016045FFEEE7}"/>
    <cellStyle name="Note 2 29 5 2" xfId="34665" xr:uid="{2A3A9936-544C-4811-93CF-1CB6E5CE9D4F}"/>
    <cellStyle name="Note 2 29 6" xfId="34666" xr:uid="{812986F9-36D7-4F4D-B827-D68C65DD5435}"/>
    <cellStyle name="Note 2 29 7" xfId="34667" xr:uid="{79613E08-3D59-4DC7-ACE6-6178FB361A38}"/>
    <cellStyle name="Note 2 29 8" xfId="34668" xr:uid="{07778E7B-4414-4564-961B-6C4D5E07BADE}"/>
    <cellStyle name="Note 2 3" xfId="3357" xr:uid="{0BE33EBE-35D3-47F0-A93D-706E23EB4A5B}"/>
    <cellStyle name="Note 2 3 10" xfId="34669" xr:uid="{A5423C8B-B5EC-4B6F-83F9-B8E8C0235D0C}"/>
    <cellStyle name="Note 2 3 2" xfId="3358" xr:uid="{AA751990-773B-4A96-9F13-15FD00054649}"/>
    <cellStyle name="Note 2 3 2 2" xfId="5263" xr:uid="{C9088B59-E367-4CD9-9D15-0CA5CDEE8915}"/>
    <cellStyle name="Note 2 3 2 2 2" xfId="22583" xr:uid="{6B101E00-150D-43D6-BD68-BB5715C81769}"/>
    <cellStyle name="Note 2 3 2 2 3" xfId="43683" xr:uid="{F44632AE-5852-4219-88C3-DB7BB0C0749C}"/>
    <cellStyle name="Note 2 3 2 2 4" xfId="18966" xr:uid="{BE22482F-4884-46F6-9139-7DE506B48F43}"/>
    <cellStyle name="Note 2 3 2 3" xfId="4278" xr:uid="{3877E598-FBED-43FD-BC5A-5EE496A6A7A9}"/>
    <cellStyle name="Note 2 3 2 3 2" xfId="44082" xr:uid="{D2D4B0B8-0E9B-4D81-96B6-4C568A785D47}"/>
    <cellStyle name="Note 2 3 2 3 3" xfId="34670" xr:uid="{6ED84DA0-2614-42F2-A594-BC553688AA63}"/>
    <cellStyle name="Note 2 3 2 4" xfId="6345" xr:uid="{268E9484-AD04-4C55-B75F-65088DC88756}"/>
    <cellStyle name="Note 2 3 2 4 2" xfId="45993" xr:uid="{74768A9C-4133-4615-A1D9-2E07D9788B04}"/>
    <cellStyle name="Note 2 3 2 4 3" xfId="34671" xr:uid="{2329B396-0AF8-402C-8B1C-5268DC272709}"/>
    <cellStyle name="Note 2 3 2 5" xfId="9158" xr:uid="{29E53245-0D25-42F2-8AB0-C4E7DE9618E5}"/>
    <cellStyle name="Note 2 3 2 5 2" xfId="34672" xr:uid="{1388A75A-B238-4B60-B619-9184354E9C24}"/>
    <cellStyle name="Note 2 3 2 6" xfId="34673" xr:uid="{59A60F4C-F344-4015-B350-1DC79E33AA42}"/>
    <cellStyle name="Note 2 3 2 7" xfId="34674" xr:uid="{673F2F9C-5003-4D9A-8480-C63CAE9B7A9C}"/>
    <cellStyle name="Note 2 3 3" xfId="3359" xr:uid="{53A0492E-ABAA-46EC-826B-7889DDAF2678}"/>
    <cellStyle name="Note 2 3 3 2" xfId="5264" xr:uid="{92D8BC62-E883-49DF-B83B-1D07C1C236FD}"/>
    <cellStyle name="Note 2 3 3 2 2" xfId="22584" xr:uid="{3A525F4A-01F7-4D60-BC89-2887C7EC1F75}"/>
    <cellStyle name="Note 2 3 3 2 3" xfId="43684" xr:uid="{4F1447AE-EC0D-4D92-90B4-9580BCEA8A2E}"/>
    <cellStyle name="Note 2 3 3 2 4" xfId="18967" xr:uid="{40171152-C1F2-48E6-8A78-C290F7834EDB}"/>
    <cellStyle name="Note 2 3 3 3" xfId="4279" xr:uid="{53386B9D-B196-4AF2-90CC-F01C3307ECC6}"/>
    <cellStyle name="Note 2 3 3 3 2" xfId="44083" xr:uid="{99C3FE50-85C7-4D5E-8F92-C90AFFAE201F}"/>
    <cellStyle name="Note 2 3 3 3 3" xfId="34675" xr:uid="{694E5BBE-93C6-497D-82FD-AB98291B8DB3}"/>
    <cellStyle name="Note 2 3 3 4" xfId="6346" xr:uid="{042B4845-BA50-41AB-A4C8-88C2D741F056}"/>
    <cellStyle name="Note 2 3 3 4 2" xfId="45994" xr:uid="{95675385-94B3-4EBE-A122-69BE28C17D05}"/>
    <cellStyle name="Note 2 3 3 4 3" xfId="34676" xr:uid="{0C58AF3B-B4FF-465F-95D5-9EFC6610009B}"/>
    <cellStyle name="Note 2 3 3 5" xfId="9159" xr:uid="{02405C74-719B-4109-8FB7-3A455B2AFAF1}"/>
    <cellStyle name="Note 2 3 3 5 2" xfId="34677" xr:uid="{F7D5A344-2841-4EA5-BCC9-0EE3E3A0A772}"/>
    <cellStyle name="Note 2 3 3 6" xfId="34678" xr:uid="{8BF3FF40-A0A9-4F47-A633-107132FD3F4C}"/>
    <cellStyle name="Note 2 3 3 7" xfId="34679" xr:uid="{CB4C0F99-37AD-4161-8D43-815A77250BAE}"/>
    <cellStyle name="Note 2 3 4" xfId="3360" xr:uid="{C9CFDCC6-77D5-4221-8A5A-773334DB6A23}"/>
    <cellStyle name="Note 2 3 4 2" xfId="5265" xr:uid="{2F9CFE8E-A252-4092-B76B-46F695B30381}"/>
    <cellStyle name="Note 2 3 4 2 2" xfId="22585" xr:uid="{BDFB8041-3DAE-471D-9ADF-6804F39E6F22}"/>
    <cellStyle name="Note 2 3 4 2 3" xfId="43685" xr:uid="{96058B6F-A0A2-4125-9EDC-D77799F96208}"/>
    <cellStyle name="Note 2 3 4 2 4" xfId="18968" xr:uid="{857DF5D0-1CFB-45C1-9759-9E813F131C2E}"/>
    <cellStyle name="Note 2 3 4 3" xfId="4280" xr:uid="{E8707F8A-FCE7-4ABC-9219-58DAB7182114}"/>
    <cellStyle name="Note 2 3 4 3 2" xfId="44084" xr:uid="{B43B8E1E-BDC7-4ED9-9EEC-62BD8AC63693}"/>
    <cellStyle name="Note 2 3 4 3 3" xfId="34680" xr:uid="{F3FBD6DD-2473-4582-B04D-507C9380571A}"/>
    <cellStyle name="Note 2 3 4 4" xfId="6347" xr:uid="{63E56D6D-B80E-4F08-AF26-36F8F1876DAF}"/>
    <cellStyle name="Note 2 3 4 4 2" xfId="45995" xr:uid="{94755B83-98BD-4774-9D99-2EDE6E621DBD}"/>
    <cellStyle name="Note 2 3 4 4 3" xfId="34681" xr:uid="{A26196E7-78DF-48BB-8A20-36C7661B3CA6}"/>
    <cellStyle name="Note 2 3 4 5" xfId="9160" xr:uid="{2AF25C64-7813-4E9D-BC03-9292AA914D1C}"/>
    <cellStyle name="Note 2 3 4 5 2" xfId="34682" xr:uid="{BF86F799-4B09-463D-9AE9-574BA74074E0}"/>
    <cellStyle name="Note 2 3 4 6" xfId="34683" xr:uid="{5ACFF8A1-E58F-45AA-A310-22A9EC233125}"/>
    <cellStyle name="Note 2 3 4 7" xfId="34684" xr:uid="{E7765AD5-6C0E-44BA-9615-5D51917C52D8}"/>
    <cellStyle name="Note 2 3 5" xfId="5262" xr:uid="{33E4846A-0516-4AD7-A35F-4D933C4BD19C}"/>
    <cellStyle name="Note 2 3 5 2" xfId="22582" xr:uid="{490FB04C-821B-4919-B0CB-4058326B11C3}"/>
    <cellStyle name="Note 2 3 5 3" xfId="43682" xr:uid="{B44A44B4-2C6D-4480-B3D4-B85A6BE43B5B}"/>
    <cellStyle name="Note 2 3 5 4" xfId="18965" xr:uid="{05FB5CB5-397B-4540-8B4F-E375E3ADA1F0}"/>
    <cellStyle name="Note 2 3 6" xfId="4277" xr:uid="{9EB677BB-E93F-4429-9892-18DC93006395}"/>
    <cellStyle name="Note 2 3 6 2" xfId="44081" xr:uid="{BE6B035A-CB2A-4897-AEDA-BBE174DBD849}"/>
    <cellStyle name="Note 2 3 6 3" xfId="34685" xr:uid="{1C8392B2-21C0-40F6-8A0A-B0FA66DF8D20}"/>
    <cellStyle name="Note 2 3 7" xfId="6344" xr:uid="{1B67E44F-2CFF-4096-AA19-8605E47FCC3A}"/>
    <cellStyle name="Note 2 3 7 2" xfId="45992" xr:uid="{585B36AB-F14A-4CCD-95BC-1BB6875A2763}"/>
    <cellStyle name="Note 2 3 7 3" xfId="34686" xr:uid="{C465D82B-E805-4CB4-AE5C-2432B42C0592}"/>
    <cellStyle name="Note 2 3 8" xfId="9157" xr:uid="{50C4452C-B3CD-4153-A4EA-450F958CC9F1}"/>
    <cellStyle name="Note 2 3 8 2" xfId="34687" xr:uid="{F3BFE1AF-E512-4D65-BF67-E68CD0A442E9}"/>
    <cellStyle name="Note 2 3 9" xfId="34688" xr:uid="{7F4FA6A1-C32A-4032-A026-C3168FE06A8A}"/>
    <cellStyle name="Note 2 30" xfId="3361" xr:uid="{9D0E0A5D-6C8F-48CD-AF44-290B4D5063E9}"/>
    <cellStyle name="Note 2 30 2" xfId="5266" xr:uid="{8FA7814A-3E60-4DEE-883E-25A857C9A7A7}"/>
    <cellStyle name="Note 2 30 2 2" xfId="18970" xr:uid="{043FFCED-A663-4F95-8643-2426E3043E53}"/>
    <cellStyle name="Note 2 30 2 2 2" xfId="22587" xr:uid="{02056BA5-D8A4-416C-A075-8B89CB25A905}"/>
    <cellStyle name="Note 2 30 2 3" xfId="34689" xr:uid="{2E7C2494-83C6-4537-B085-A54EEE3BAB5E}"/>
    <cellStyle name="Note 2 30 2 4" xfId="34690" xr:uid="{22418EC5-E873-470F-B0B8-56369BC142D2}"/>
    <cellStyle name="Note 2 30 2 5" xfId="34691" xr:uid="{20A16492-9B39-4159-9FBF-1DD36C423151}"/>
    <cellStyle name="Note 2 30 2 6" xfId="34692" xr:uid="{EDC500B1-2C41-44C9-8031-DBE8604D266F}"/>
    <cellStyle name="Note 2 30 3" xfId="4281" xr:uid="{98A37EE9-855E-4A70-BF2E-45EF6E844425}"/>
    <cellStyle name="Note 2 30 3 2" xfId="22586" xr:uid="{5CE981C2-A742-4ABF-8156-712D28D1E0B7}"/>
    <cellStyle name="Note 2 30 3 3" xfId="44085" xr:uid="{424434C2-70DE-461C-901A-B0411172F591}"/>
    <cellStyle name="Note 2 30 3 4" xfId="18969" xr:uid="{17B8C32A-711C-4CFE-9C19-EFC7C292CC5C}"/>
    <cellStyle name="Note 2 30 4" xfId="6348" xr:uid="{A5CB83CF-BF2F-4365-8003-A7EE5E64B838}"/>
    <cellStyle name="Note 2 30 4 2" xfId="45996" xr:uid="{C665C318-30B2-4C16-99AD-01C96160DAD2}"/>
    <cellStyle name="Note 2 30 4 3" xfId="34693" xr:uid="{36120545-573E-448D-8651-0516AD237BCF}"/>
    <cellStyle name="Note 2 30 5" xfId="9161" xr:uid="{701A00B1-A66B-4227-A7F4-620A58206A7E}"/>
    <cellStyle name="Note 2 30 5 2" xfId="34694" xr:uid="{FBC466E0-DBCD-459C-B02C-F0C1E69DC36E}"/>
    <cellStyle name="Note 2 30 6" xfId="34695" xr:uid="{40D13CF5-04C0-4E2D-9958-65E100FBEEA8}"/>
    <cellStyle name="Note 2 30 7" xfId="34696" xr:uid="{12CC4F54-FF69-4594-9822-B18A794A1C97}"/>
    <cellStyle name="Note 2 30 8" xfId="34697" xr:uid="{17F38DA2-157B-4918-BE38-5C410166D3D4}"/>
    <cellStyle name="Note 2 31" xfId="3362" xr:uid="{172BA5BF-68FA-4808-B2A6-313E010C56C6}"/>
    <cellStyle name="Note 2 31 2" xfId="5267" xr:uid="{CB18FAF2-591E-42F9-B0CF-E0B49511D591}"/>
    <cellStyle name="Note 2 31 2 2" xfId="18972" xr:uid="{96A91402-EC20-417C-B6E2-434445CBC2AA}"/>
    <cellStyle name="Note 2 31 2 2 2" xfId="22589" xr:uid="{217D2314-C48B-4716-AE9C-E61CE02FAD94}"/>
    <cellStyle name="Note 2 31 2 3" xfId="34698" xr:uid="{C74701AF-6EA8-414B-9B1A-EF1E73207EE0}"/>
    <cellStyle name="Note 2 31 2 4" xfId="34699" xr:uid="{E653456B-8670-4C97-9CDB-6C97C2635D44}"/>
    <cellStyle name="Note 2 31 2 5" xfId="34700" xr:uid="{2C61BAD9-4057-413C-AF4A-CAF72E400532}"/>
    <cellStyle name="Note 2 31 2 6" xfId="34701" xr:uid="{B477073B-2F15-42BF-B55A-B31063EB5DC0}"/>
    <cellStyle name="Note 2 31 3" xfId="4282" xr:uid="{8ABDEAE9-3D7A-4B9F-B5E2-63D168AA767A}"/>
    <cellStyle name="Note 2 31 3 2" xfId="22588" xr:uid="{28773310-6B92-4E62-A4DB-B91E1D48F767}"/>
    <cellStyle name="Note 2 31 3 3" xfId="44086" xr:uid="{A91B3D51-D370-44BE-9AE0-F821D72636A1}"/>
    <cellStyle name="Note 2 31 3 4" xfId="18971" xr:uid="{BFD38142-3E64-49D4-8DCF-6E53C82C5E90}"/>
    <cellStyle name="Note 2 31 4" xfId="6349" xr:uid="{3F83A590-AFE8-4B84-862A-21071AB34D87}"/>
    <cellStyle name="Note 2 31 4 2" xfId="45997" xr:uid="{405DC789-B015-471E-845F-4C6FB3706385}"/>
    <cellStyle name="Note 2 31 4 3" xfId="34702" xr:uid="{AAA92489-02D3-4CA6-B16B-04586D707664}"/>
    <cellStyle name="Note 2 31 5" xfId="9162" xr:uid="{E5192D27-58D7-4A13-A365-1F92753DE135}"/>
    <cellStyle name="Note 2 31 5 2" xfId="34703" xr:uid="{459CD087-669C-430C-80C8-179323358EF8}"/>
    <cellStyle name="Note 2 31 6" xfId="34704" xr:uid="{B6F1A46C-12C3-4422-82A9-08C523E412DE}"/>
    <cellStyle name="Note 2 31 7" xfId="34705" xr:uid="{6E2FAE69-45B5-493D-9D18-1D462E059B48}"/>
    <cellStyle name="Note 2 31 8" xfId="34706" xr:uid="{24A45FC3-C944-47A4-A2B0-B92265B7B10A}"/>
    <cellStyle name="Note 2 32" xfId="3363" xr:uid="{E52A6F2B-2F1C-435E-ADAD-59DFE8BF89AF}"/>
    <cellStyle name="Note 2 32 2" xfId="5268" xr:uid="{BE041B18-364A-4382-9965-1EB89CA6364B}"/>
    <cellStyle name="Note 2 32 2 2" xfId="18974" xr:uid="{C24E60FF-6833-46B8-B10E-758CAD31387B}"/>
    <cellStyle name="Note 2 32 2 2 2" xfId="22591" xr:uid="{D3C67612-74E8-4F7C-8E54-6913B691AFD4}"/>
    <cellStyle name="Note 2 32 2 3" xfId="34707" xr:uid="{8F0F6007-8DB9-4414-A897-0469175672EA}"/>
    <cellStyle name="Note 2 32 2 4" xfId="34708" xr:uid="{68230D06-EC28-4807-87AE-EBE05F8494C0}"/>
    <cellStyle name="Note 2 32 2 5" xfId="34709" xr:uid="{6E771E3B-BD25-4484-AB83-BB4C6259E222}"/>
    <cellStyle name="Note 2 32 2 6" xfId="34710" xr:uid="{711F2032-E69E-4656-B4E1-C2858135873F}"/>
    <cellStyle name="Note 2 32 3" xfId="4283" xr:uid="{4D277031-9252-4A6C-B152-DC0ABFDC4DCA}"/>
    <cellStyle name="Note 2 32 3 2" xfId="22590" xr:uid="{B755F8E9-A9DE-4323-82DE-67D8E9C55EA4}"/>
    <cellStyle name="Note 2 32 3 3" xfId="44087" xr:uid="{FEE6D4DB-C2E7-4DC3-BEB8-088263D1B4B1}"/>
    <cellStyle name="Note 2 32 3 4" xfId="18973" xr:uid="{D17B6170-6804-4D61-AB47-40FDA0E1E402}"/>
    <cellStyle name="Note 2 32 4" xfId="6350" xr:uid="{D0D73E4F-C884-48CC-B733-1A413A7F5A05}"/>
    <cellStyle name="Note 2 32 4 2" xfId="45998" xr:uid="{8121262F-4365-4F06-AA57-7A3EDBC7E119}"/>
    <cellStyle name="Note 2 32 4 3" xfId="34711" xr:uid="{8E07CC20-C9FE-4FD9-A4EE-7CD19C74B72F}"/>
    <cellStyle name="Note 2 32 5" xfId="9163" xr:uid="{50A29A32-A9BB-407E-9EB3-F06B02582BF2}"/>
    <cellStyle name="Note 2 32 5 2" xfId="34712" xr:uid="{92931048-A709-40B1-90D3-6728B83A6A86}"/>
    <cellStyle name="Note 2 32 6" xfId="34713" xr:uid="{AE38132B-39C5-4417-BF08-579DDE2ECDA8}"/>
    <cellStyle name="Note 2 32 7" xfId="34714" xr:uid="{0C468519-D49A-4759-B6EC-FBCCCF065C0F}"/>
    <cellStyle name="Note 2 32 8" xfId="34715" xr:uid="{3E94FF67-60E8-410C-B8D9-D67535971ACF}"/>
    <cellStyle name="Note 2 33" xfId="3364" xr:uid="{A678A77B-066C-49F4-9687-B2163568FFF0}"/>
    <cellStyle name="Note 2 33 10" xfId="34716" xr:uid="{28FAC62F-1EC5-4DBA-BEAD-579863A54BA4}"/>
    <cellStyle name="Note 2 33 11" xfId="34717" xr:uid="{6CA673FF-D914-4FDB-9D89-5A741E25AD23}"/>
    <cellStyle name="Note 2 33 12" xfId="34718" xr:uid="{16A2739F-6FAB-4E1F-9023-2DB647ACD61B}"/>
    <cellStyle name="Note 2 33 2" xfId="3365" xr:uid="{F89AADE6-DD61-476E-A757-C9CB68EAE9C2}"/>
    <cellStyle name="Note 2 33 2 2" xfId="18976" xr:uid="{2677647F-8CC3-47D1-BB74-F99449F8896F}"/>
    <cellStyle name="Note 2 33 2 2 2" xfId="22593" xr:uid="{525238F7-E1DE-4594-90F0-6621ED21D503}"/>
    <cellStyle name="Note 2 33 2 3" xfId="34719" xr:uid="{2B41929F-7B54-4982-BC82-9ADF7EB3580A}"/>
    <cellStyle name="Note 2 33 2 4" xfId="34720" xr:uid="{6FE91C79-8FA6-4838-9088-77DDD4C225E7}"/>
    <cellStyle name="Note 2 33 2 5" xfId="34721" xr:uid="{9DD74D0C-5EA0-4653-A8EA-20CE658B0645}"/>
    <cellStyle name="Note 2 33 2 6" xfId="34722" xr:uid="{379DA2D5-34F0-47B6-8F86-1E94A0524F8B}"/>
    <cellStyle name="Note 2 33 3" xfId="3366" xr:uid="{8DC3AE10-6099-484B-84D1-EE5A310C1F99}"/>
    <cellStyle name="Note 2 33 3 2" xfId="18977" xr:uid="{19254A26-7734-47FD-889E-732DBAEFAFE1}"/>
    <cellStyle name="Note 2 33 3 2 2" xfId="22594" xr:uid="{B6D043BF-6FED-472E-85F2-3C8974422A86}"/>
    <cellStyle name="Note 2 33 3 3" xfId="34723" xr:uid="{BCB728E4-EECF-47EA-9FC5-1220448F0610}"/>
    <cellStyle name="Note 2 33 3 4" xfId="34724" xr:uid="{41FB8355-61DC-4893-88EF-2FED19B51A7D}"/>
    <cellStyle name="Note 2 33 3 5" xfId="34725" xr:uid="{4A426318-CA71-4855-AC91-5978604396A6}"/>
    <cellStyle name="Note 2 33 3 6" xfId="34726" xr:uid="{D7B1F25F-8F26-4AC9-B7AF-1728AB9E5F1C}"/>
    <cellStyle name="Note 2 33 4" xfId="3367" xr:uid="{C78EB446-AB6D-4605-A282-2F79227F90F9}"/>
    <cellStyle name="Note 2 33 4 2" xfId="18978" xr:uid="{D29B81F2-C9A1-42BB-A386-B4F2CD929996}"/>
    <cellStyle name="Note 2 33 4 2 2" xfId="22595" xr:uid="{E85EA75F-76DC-4237-B3D7-DE45EEE5D5A8}"/>
    <cellStyle name="Note 2 33 4 3" xfId="34727" xr:uid="{9F4E06F8-1985-4C90-A66A-BE530E93FDD2}"/>
    <cellStyle name="Note 2 33 4 4" xfId="34728" xr:uid="{C4EBD09F-A88B-442C-A8F2-363C461A7F23}"/>
    <cellStyle name="Note 2 33 4 5" xfId="34729" xr:uid="{76FA5427-1AC3-48A6-884A-175E9879077B}"/>
    <cellStyle name="Note 2 33 4 6" xfId="34730" xr:uid="{32B2EC83-28E3-4CA5-A485-09C3B60F137F}"/>
    <cellStyle name="Note 2 33 5" xfId="3368" xr:uid="{A191BD52-A760-4CFC-9C3D-E24E8F3F60F0}"/>
    <cellStyle name="Note 2 33 5 2" xfId="5269" xr:uid="{1BA56F21-7417-46AD-B69E-0EF053E88AC3}"/>
    <cellStyle name="Note 2 33 5 2 2" xfId="10397" xr:uid="{DCE8DF9F-4F81-412A-A1AE-0B35C0905D99}"/>
    <cellStyle name="Note 2 33 5 2 2 2" xfId="22597" xr:uid="{F606178B-33CB-4129-B7A0-1568580932C3}"/>
    <cellStyle name="Note 2 33 5 2 2 3" xfId="18980" xr:uid="{22BD2B92-3258-4DD9-B3EB-AE18744D6337}"/>
    <cellStyle name="Note 2 33 5 2 3" xfId="34731" xr:uid="{26274F2B-E22B-4B5C-9B83-3FDE7541B81B}"/>
    <cellStyle name="Note 2 33 5 2 4" xfId="34732" xr:uid="{AE55301F-118A-4D91-B514-6E886E474C0C}"/>
    <cellStyle name="Note 2 33 5 2 5" xfId="34733" xr:uid="{486FCA8A-7C52-4B1C-B286-1123093666CD}"/>
    <cellStyle name="Note 2 33 5 2 6" xfId="34734" xr:uid="{5AF48087-3EBD-4850-AFF1-0ABD7A5138C5}"/>
    <cellStyle name="Note 2 33 5 2 7" xfId="44335" xr:uid="{44E83568-EEB2-4FDF-8330-F0A31B929F83}"/>
    <cellStyle name="Note 2 33 5 2 8" xfId="16107" xr:uid="{7F891C10-98FD-42A4-B186-DFD1C8CFC7A1}"/>
    <cellStyle name="Note 2 33 5 3" xfId="6975" xr:uid="{FAD900D6-F0BF-4913-903A-FC2CCC01B286}"/>
    <cellStyle name="Note 2 33 5 3 2" xfId="22596" xr:uid="{080DF589-A63C-4364-8E12-EFEBE379FF7A}"/>
    <cellStyle name="Note 2 33 5 3 3" xfId="46436" xr:uid="{81F19CA5-D46F-468E-8B58-D3CF38DC3FD9}"/>
    <cellStyle name="Note 2 33 5 3 4" xfId="18979" xr:uid="{24CC4B56-67F9-492D-B51C-5F2834F07F64}"/>
    <cellStyle name="Note 2 33 5 4" xfId="9164" xr:uid="{1C0FCA53-1B0F-45C0-A10C-64C9E7F76600}"/>
    <cellStyle name="Note 2 33 5 4 2" xfId="34735" xr:uid="{38D1C271-C28A-40D3-A8D5-D79B976F1FCE}"/>
    <cellStyle name="Note 2 33 5 5" xfId="34736" xr:uid="{D976F23C-1F05-4BB2-9449-3BB0C330EDB9}"/>
    <cellStyle name="Note 2 33 5 6" xfId="34737" xr:uid="{AB7A50A4-3AD4-48D6-8281-0796C5DA513A}"/>
    <cellStyle name="Note 2 33 5 7" xfId="34738" xr:uid="{D8E65D2C-302E-470B-A214-83F6BF8C7F76}"/>
    <cellStyle name="Note 2 33 6" xfId="11077" xr:uid="{395753A5-07F6-4147-82D1-BA49918FB630}"/>
    <cellStyle name="Note 2 33 6 2" xfId="22598" xr:uid="{1849DDB6-44A7-460F-9C43-C46FD568DBBA}"/>
    <cellStyle name="Note 2 33 6 3" xfId="18981" xr:uid="{E330BE55-5125-4C10-866C-A0AF3AF5C360}"/>
    <cellStyle name="Note 2 33 7" xfId="18975" xr:uid="{DB84DEC0-44A8-4B43-A014-BFE55EA788F8}"/>
    <cellStyle name="Note 2 33 7 2" xfId="22592" xr:uid="{1B32D6A4-CB94-45A0-8518-2891324FAC52}"/>
    <cellStyle name="Note 2 33 8" xfId="34739" xr:uid="{C4432C34-0671-4643-8948-3B777E021EA0}"/>
    <cellStyle name="Note 2 33 9" xfId="34740" xr:uid="{45889AC0-5505-46A5-ABB3-86F9778975D8}"/>
    <cellStyle name="Note 2 33_IND_UC" xfId="3369" xr:uid="{27E00EBD-B1C8-43A5-9784-3E53B0664955}"/>
    <cellStyle name="Note 2 34" xfId="3370" xr:uid="{4423C4DC-14AC-45D2-9CB7-99F442DFFC4F}"/>
    <cellStyle name="Note 2 34 10" xfId="34741" xr:uid="{705147D1-1091-4978-88BE-28BA986E57E9}"/>
    <cellStyle name="Note 2 34 11" xfId="34742" xr:uid="{9F382B0F-3FF0-4555-99E2-013C3EE588BB}"/>
    <cellStyle name="Note 2 34 12" xfId="34743" xr:uid="{9005CF26-C221-4AFC-82D0-0681BD6924DC}"/>
    <cellStyle name="Note 2 34 2" xfId="3371" xr:uid="{819070DE-4F02-4635-B6F4-A0A576008F86}"/>
    <cellStyle name="Note 2 34 2 2" xfId="18983" xr:uid="{27E57999-E230-4FF8-B325-7055B9A27F87}"/>
    <cellStyle name="Note 2 34 2 2 2" xfId="22600" xr:uid="{CBEF3704-479B-4EE3-A445-48FD407E416A}"/>
    <cellStyle name="Note 2 34 2 3" xfId="34744" xr:uid="{E96A91F0-36B7-4758-A3B8-DC7EF30C3ADD}"/>
    <cellStyle name="Note 2 34 2 4" xfId="34745" xr:uid="{F3238B47-1A12-4BDE-92F6-A7259FDD0BA0}"/>
    <cellStyle name="Note 2 34 2 5" xfId="34746" xr:uid="{B469673C-2C40-40BB-A871-2F9952F5089D}"/>
    <cellStyle name="Note 2 34 2 6" xfId="34747" xr:uid="{6E0413F6-B9DB-457A-B82C-C0C26FC4BC75}"/>
    <cellStyle name="Note 2 34 3" xfId="3372" xr:uid="{090FACDA-0E85-47F6-B1E0-E65DECCD851B}"/>
    <cellStyle name="Note 2 34 3 2" xfId="18984" xr:uid="{0A0FD460-DF7D-4452-8A0F-F6C412F038A6}"/>
    <cellStyle name="Note 2 34 3 2 2" xfId="22601" xr:uid="{E7E23A49-3A5D-4540-962C-5270F13A39AB}"/>
    <cellStyle name="Note 2 34 3 3" xfId="34748" xr:uid="{02FC44FF-F09C-40DE-98D7-56D91AF7E047}"/>
    <cellStyle name="Note 2 34 3 4" xfId="34749" xr:uid="{C0A4FE6F-AF19-4F9E-A3C8-F788CDA38FB1}"/>
    <cellStyle name="Note 2 34 3 5" xfId="34750" xr:uid="{FBA48A07-F677-4DE8-9BB7-36E3794BCA47}"/>
    <cellStyle name="Note 2 34 3 6" xfId="34751" xr:uid="{12364A96-4D12-486C-85AD-0A8F4A2EFF70}"/>
    <cellStyle name="Note 2 34 4" xfId="3373" xr:uid="{FF214BCD-C1F9-4CC9-B3C2-D5FECB85DBB8}"/>
    <cellStyle name="Note 2 34 4 2" xfId="18985" xr:uid="{09925AD7-507E-4E41-8F06-A8D7EA48C2E5}"/>
    <cellStyle name="Note 2 34 4 2 2" xfId="22602" xr:uid="{1EC29E26-88FD-428F-BDD9-B742F32EBBBA}"/>
    <cellStyle name="Note 2 34 4 3" xfId="34752" xr:uid="{BE0FBD48-5BA3-4EFC-95E2-5B95CAEF20A7}"/>
    <cellStyle name="Note 2 34 4 4" xfId="34753" xr:uid="{BAD8CDAA-48D9-4C15-9209-1A0470423036}"/>
    <cellStyle name="Note 2 34 4 5" xfId="34754" xr:uid="{DCAD010E-97F3-4CF7-BA1B-709A824104EB}"/>
    <cellStyle name="Note 2 34 4 6" xfId="34755" xr:uid="{570982AB-B6F1-4A7B-8173-379B04D8DFFF}"/>
    <cellStyle name="Note 2 34 5" xfId="3374" xr:uid="{B73D9DA2-0231-41D2-A3F5-23A2CA85AE95}"/>
    <cellStyle name="Note 2 34 5 2" xfId="5270" xr:uid="{77596572-1751-4336-B5F3-D43C0F7AC8DA}"/>
    <cellStyle name="Note 2 34 5 2 2" xfId="10632" xr:uid="{43336103-3EE0-4D80-B8E6-713B02B5D03C}"/>
    <cellStyle name="Note 2 34 5 2 2 2" xfId="22604" xr:uid="{19CD4F7E-4104-4004-83E4-C1B15CD6FEAA}"/>
    <cellStyle name="Note 2 34 5 2 2 3" xfId="18987" xr:uid="{D6638BD8-A03B-4BEE-917E-DD7FA0F88339}"/>
    <cellStyle name="Note 2 34 5 2 3" xfId="34756" xr:uid="{83F5BDEF-4E43-4B59-A345-9FEA5919671D}"/>
    <cellStyle name="Note 2 34 5 2 4" xfId="34757" xr:uid="{F5A5EE41-9961-4F51-8143-5C07232AC268}"/>
    <cellStyle name="Note 2 34 5 2 5" xfId="34758" xr:uid="{571ABF72-70AF-481D-A83B-6E17DDCD5A8D}"/>
    <cellStyle name="Note 2 34 5 2 6" xfId="34759" xr:uid="{973B825C-7151-4D14-807E-07CF736ECE0B}"/>
    <cellStyle name="Note 2 34 5 2 7" xfId="44336" xr:uid="{EFC49210-A5A4-492A-8753-25EA4A0FB368}"/>
    <cellStyle name="Note 2 34 5 2 8" xfId="16108" xr:uid="{AB9C49FA-ACB2-4659-B455-A484476F1454}"/>
    <cellStyle name="Note 2 34 5 3" xfId="6976" xr:uid="{2EA9AE62-63F7-47FA-ABC6-7FB954C0C696}"/>
    <cellStyle name="Note 2 34 5 3 2" xfId="22603" xr:uid="{A20FAE81-DBB7-41C8-BD4A-B5E440C6ECDD}"/>
    <cellStyle name="Note 2 34 5 3 3" xfId="46437" xr:uid="{23AFB224-B88E-405F-9FFE-E1C97A7292C8}"/>
    <cellStyle name="Note 2 34 5 3 4" xfId="18986" xr:uid="{CF0898EF-6361-4B05-8FFC-20496136CED8}"/>
    <cellStyle name="Note 2 34 5 4" xfId="9167" xr:uid="{A7671133-01E7-415C-9528-A1DB78A02778}"/>
    <cellStyle name="Note 2 34 5 4 2" xfId="34760" xr:uid="{EB66F05B-3F22-4824-A1A5-AAA066583F65}"/>
    <cellStyle name="Note 2 34 5 5" xfId="34761" xr:uid="{79284588-B900-4E49-9278-62A4DE3A10AA}"/>
    <cellStyle name="Note 2 34 5 6" xfId="34762" xr:uid="{60A94EE3-56BE-42B8-9CC2-36C180725115}"/>
    <cellStyle name="Note 2 34 5 7" xfId="34763" xr:uid="{ADE67B10-8892-4395-8F95-0FC54BDF2CA9}"/>
    <cellStyle name="Note 2 34 6" xfId="11200" xr:uid="{8A3FE71F-F67A-47F6-8324-5842E86CD586}"/>
    <cellStyle name="Note 2 34 6 2" xfId="22605" xr:uid="{B4595D0F-80D5-460D-AA95-B3F6DE5E1911}"/>
    <cellStyle name="Note 2 34 6 3" xfId="18988" xr:uid="{08079CFC-B051-4F00-82FD-68118316B211}"/>
    <cellStyle name="Note 2 34 7" xfId="18982" xr:uid="{DD9E2E1A-481E-4624-A470-DE251CE667B4}"/>
    <cellStyle name="Note 2 34 7 2" xfId="22599" xr:uid="{2B7F4F33-2D94-4176-910E-ED016A8DCBE8}"/>
    <cellStyle name="Note 2 34 8" xfId="34764" xr:uid="{A39965CB-A213-4797-8826-9EA119FE600C}"/>
    <cellStyle name="Note 2 34 9" xfId="34765" xr:uid="{2C137ED3-63D3-4C4D-86C1-06CB9E80DBC7}"/>
    <cellStyle name="Note 2 34_IND_UC" xfId="3375" xr:uid="{275B58A0-D449-479B-8F6A-AD640912F698}"/>
    <cellStyle name="Note 2 35" xfId="3376" xr:uid="{E72779DC-EA3E-4425-8A2B-A11CAB3E1FDF}"/>
    <cellStyle name="Note 2 35 10" xfId="34766" xr:uid="{A23E7CEF-4221-485A-B8C6-F5F4405C1E2C}"/>
    <cellStyle name="Note 2 35 11" xfId="34767" xr:uid="{12F8D80C-5AED-433D-AFED-778E7468078D}"/>
    <cellStyle name="Note 2 35 12" xfId="34768" xr:uid="{0BEFD47F-E68B-4236-A034-30CAAF18643B}"/>
    <cellStyle name="Note 2 35 2" xfId="3377" xr:uid="{2F7F260E-FAEE-441F-BD0E-7A8367EF93F9}"/>
    <cellStyle name="Note 2 35 2 2" xfId="18990" xr:uid="{7F47B990-EBE0-41F5-B494-0BAFCA96D50D}"/>
    <cellStyle name="Note 2 35 2 2 2" xfId="22607" xr:uid="{36064EE4-764E-4F23-9D70-28C9FE8B2A78}"/>
    <cellStyle name="Note 2 35 2 3" xfId="34769" xr:uid="{052A6B25-4BB2-44B3-9887-19AFBFAD94C4}"/>
    <cellStyle name="Note 2 35 2 4" xfId="34770" xr:uid="{A75CF278-23DC-4044-84E9-E75B1F82E974}"/>
    <cellStyle name="Note 2 35 2 5" xfId="34771" xr:uid="{2C248F9A-BA01-4872-81A6-BAD5EB1D3A8C}"/>
    <cellStyle name="Note 2 35 2 6" xfId="34772" xr:uid="{DFE47431-83EC-4884-9CE0-68D857F1587B}"/>
    <cellStyle name="Note 2 35 3" xfId="3378" xr:uid="{E9AEE3A9-F2E0-4A3A-84BD-B6C0CB1A5AB4}"/>
    <cellStyle name="Note 2 35 3 2" xfId="18991" xr:uid="{6C7C38CA-84EB-4278-ACBD-FAAF8F19C5B9}"/>
    <cellStyle name="Note 2 35 3 2 2" xfId="22608" xr:uid="{F8665552-83BA-4D51-B328-104767621211}"/>
    <cellStyle name="Note 2 35 3 3" xfId="34773" xr:uid="{9C591C88-1D24-47C2-B55D-D4670BDC5AA9}"/>
    <cellStyle name="Note 2 35 3 4" xfId="34774" xr:uid="{4315C5D1-4281-491B-8E5D-E04F3B7ABAFA}"/>
    <cellStyle name="Note 2 35 3 5" xfId="34775" xr:uid="{5C382A7B-D2F0-4717-9568-33936F439C88}"/>
    <cellStyle name="Note 2 35 3 6" xfId="34776" xr:uid="{60759AB8-5A30-4627-9E40-CEF82EC40EC8}"/>
    <cellStyle name="Note 2 35 4" xfId="3379" xr:uid="{65DA4DFD-1A55-4155-A156-27D2D43C7FDF}"/>
    <cellStyle name="Note 2 35 4 2" xfId="18992" xr:uid="{E391A657-885D-4FB1-A337-5E8F43A1D192}"/>
    <cellStyle name="Note 2 35 4 2 2" xfId="22609" xr:uid="{A240B356-89C8-4F51-A189-422942E6895B}"/>
    <cellStyle name="Note 2 35 4 3" xfId="34777" xr:uid="{A8316EAE-A46B-4D96-9BE5-CF57A86B46AE}"/>
    <cellStyle name="Note 2 35 4 4" xfId="34778" xr:uid="{74B8F549-86D5-4F43-A12E-6975B1E5DDDB}"/>
    <cellStyle name="Note 2 35 4 5" xfId="34779" xr:uid="{22C728E4-E891-4A46-A9E5-E6B50257F1C8}"/>
    <cellStyle name="Note 2 35 4 6" xfId="34780" xr:uid="{B750636F-0D26-4715-B054-47154CB847ED}"/>
    <cellStyle name="Note 2 35 5" xfId="3380" xr:uid="{BA858BAA-CAAE-461E-B427-BCF9CA969876}"/>
    <cellStyle name="Note 2 35 5 2" xfId="5271" xr:uid="{F0B8F52C-0684-4B9C-80A2-123F45F8CA6C}"/>
    <cellStyle name="Note 2 35 5 2 2" xfId="10834" xr:uid="{429B6DBA-651F-41B7-AF14-FE732B5652E1}"/>
    <cellStyle name="Note 2 35 5 2 2 2" xfId="22611" xr:uid="{6C21E17E-E944-40F5-A55C-E2251B1C5053}"/>
    <cellStyle name="Note 2 35 5 2 2 3" xfId="18994" xr:uid="{446891B7-89A4-43E5-8478-4BC9A23225A2}"/>
    <cellStyle name="Note 2 35 5 2 3" xfId="34781" xr:uid="{86B646E3-9AA3-46AA-AE2B-B1A261EAE2DC}"/>
    <cellStyle name="Note 2 35 5 2 4" xfId="34782" xr:uid="{E297AE7E-E33D-4D75-AE52-1B18BC59ADEB}"/>
    <cellStyle name="Note 2 35 5 2 5" xfId="34783" xr:uid="{2BEE9E7B-681C-4409-98BB-465A78900115}"/>
    <cellStyle name="Note 2 35 5 2 6" xfId="34784" xr:uid="{0058AEA1-BE23-43C1-913E-889075E7A6F6}"/>
    <cellStyle name="Note 2 35 5 2 7" xfId="44337" xr:uid="{E54A4A8D-BC8D-4289-B865-851C35975308}"/>
    <cellStyle name="Note 2 35 5 2 8" xfId="16109" xr:uid="{0C0C0CFE-9A33-4222-AA3F-DC5EC9E2145D}"/>
    <cellStyle name="Note 2 35 5 3" xfId="6977" xr:uid="{C184A6B1-4CB4-4454-BBCE-AA54CD2053D8}"/>
    <cellStyle name="Note 2 35 5 3 2" xfId="22610" xr:uid="{A64310D4-2576-4873-85C0-E4F8CF4A67F7}"/>
    <cellStyle name="Note 2 35 5 3 3" xfId="46438" xr:uid="{98CF1529-79F0-4543-A7F1-18F6B5AF903C}"/>
    <cellStyle name="Note 2 35 5 3 4" xfId="18993" xr:uid="{16D4F093-76E8-4DE9-8242-028D0CEA4CE7}"/>
    <cellStyle name="Note 2 35 5 4" xfId="9169" xr:uid="{159122F3-3150-4554-AA0E-95AB6DD400D6}"/>
    <cellStyle name="Note 2 35 5 4 2" xfId="34785" xr:uid="{5C949F30-292C-4885-82AE-EA2219D6D82D}"/>
    <cellStyle name="Note 2 35 5 5" xfId="34786" xr:uid="{F735CCF8-B85C-4235-A754-1CCF87C54E05}"/>
    <cellStyle name="Note 2 35 5 6" xfId="34787" xr:uid="{6B183DD2-EDF3-4210-996F-CC4475A7C9A6}"/>
    <cellStyle name="Note 2 35 5 7" xfId="34788" xr:uid="{ACD3E7AB-F7C6-496F-81B8-917D0FDF0D43}"/>
    <cellStyle name="Note 2 35 6" xfId="10964" xr:uid="{4016F41A-8608-4E1C-8886-D47BADE63255}"/>
    <cellStyle name="Note 2 35 6 2" xfId="22612" xr:uid="{A2F4CF67-E2ED-4BB7-BA00-854F3628296D}"/>
    <cellStyle name="Note 2 35 6 3" xfId="18995" xr:uid="{E7225591-4263-4779-86FE-8955CA5B6BC5}"/>
    <cellStyle name="Note 2 35 7" xfId="18989" xr:uid="{8E5353B8-778A-459A-BA9C-0021E22B5C17}"/>
    <cellStyle name="Note 2 35 7 2" xfId="22606" xr:uid="{00B0F945-8675-45B4-9A1C-128DC8B30CBB}"/>
    <cellStyle name="Note 2 35 8" xfId="34789" xr:uid="{C571635B-0FAD-4AAA-B95B-BDC77DBAF806}"/>
    <cellStyle name="Note 2 35 9" xfId="34790" xr:uid="{D0AEDC8B-3A6C-4A83-AEBB-E0BB1B7C9C52}"/>
    <cellStyle name="Note 2 35_IND_UC" xfId="3381" xr:uid="{CFD85A23-4C88-41C4-87FC-8DB3F401F6A2}"/>
    <cellStyle name="Note 2 36" xfId="3382" xr:uid="{E89C5D8D-E8B7-446D-BFAF-D5DB02FEA81E}"/>
    <cellStyle name="Note 2 36 2" xfId="10493" xr:uid="{23FB426E-80E6-4385-99BD-A744C6C2105D}"/>
    <cellStyle name="Note 2 36 2 2" xfId="22613" xr:uid="{BEC0FA44-EB3B-4429-8FA4-E01F07392A68}"/>
    <cellStyle name="Note 2 36 2 3" xfId="18996" xr:uid="{EBBE9D0C-D6CA-4786-A36B-0A5DC965D7FC}"/>
    <cellStyle name="Note 2 36 3" xfId="10396" xr:uid="{866D8AF1-3A1C-4EEA-A793-294C29EE7700}"/>
    <cellStyle name="Note 2 36 3 2" xfId="34791" xr:uid="{167B8FC7-7731-4D3F-9880-C0FF3BBC283B}"/>
    <cellStyle name="Note 2 36 4" xfId="11076" xr:uid="{F2AEC655-6B5F-4B95-8D5E-05761EA4B12D}"/>
    <cellStyle name="Note 2 36 4 2" xfId="34792" xr:uid="{12C8EA2E-1592-4910-BA9F-DEA61DDA4723}"/>
    <cellStyle name="Note 2 36 5" xfId="10631" xr:uid="{41EC7614-2516-4976-BCC3-5D814B333E27}"/>
    <cellStyle name="Note 2 36 5 2" xfId="34793" xr:uid="{73EB4E6C-094D-4DF6-B73A-7B439D46EAC1}"/>
    <cellStyle name="Note 2 36 6" xfId="34794" xr:uid="{69F83A66-F69D-4BC2-B2CB-C239E6ECF117}"/>
    <cellStyle name="Note 2 36 7" xfId="34795" xr:uid="{384D0501-B571-4AFA-BB47-A15436623CEE}"/>
    <cellStyle name="Note 2 37" xfId="3383" xr:uid="{D3321089-01AF-4708-86BE-ADAB8B110B68}"/>
    <cellStyle name="Note 2 37 2" xfId="11199" xr:uid="{5AFCC422-042E-4C1B-8B09-9B968DBF04C7}"/>
    <cellStyle name="Note 2 37 2 2" xfId="22614" xr:uid="{58D4288C-B166-474D-ABEF-10D2950DCE85}"/>
    <cellStyle name="Note 2 37 2 3" xfId="18997" xr:uid="{81530D2D-63CE-478E-9D16-5530CED668FF}"/>
    <cellStyle name="Note 2 37 3" xfId="10833" xr:uid="{13A3BAFE-944D-4A48-B5C6-486545517F57}"/>
    <cellStyle name="Note 2 37 3 2" xfId="34796" xr:uid="{95ED1D48-8294-45A4-87A1-2F600532A26E}"/>
    <cellStyle name="Note 2 37 4" xfId="10963" xr:uid="{B41E9B16-67DC-4541-885C-BB2DF9E7F22E}"/>
    <cellStyle name="Note 2 37 4 2" xfId="34797" xr:uid="{432301AC-F242-4D20-ADFF-AAC4E6007229}"/>
    <cellStyle name="Note 2 37 5" xfId="10492" xr:uid="{864D4656-C898-491D-B891-1E82D2373659}"/>
    <cellStyle name="Note 2 37 5 2" xfId="34798" xr:uid="{216E391D-680B-410C-8787-4099949A19AB}"/>
    <cellStyle name="Note 2 37 6" xfId="34799" xr:uid="{7B812E6C-8E59-402F-B7F1-566F594702BD}"/>
    <cellStyle name="Note 2 37 7" xfId="34800" xr:uid="{7F643C66-CE45-418C-9E33-6EB8C9E954FE}"/>
    <cellStyle name="Note 2 38" xfId="3384" xr:uid="{0EC37ADD-8F41-4BF3-9ED8-5B33DD2029A0}"/>
    <cellStyle name="Note 2 38 2" xfId="5272" xr:uid="{ACEFFBD1-2948-43BC-8679-D92DB6FC68E2}"/>
    <cellStyle name="Note 2 38 2 2" xfId="18999" xr:uid="{82541E8E-66F7-48E4-BA5C-BCE84B90BBB6}"/>
    <cellStyle name="Note 2 38 2 2 2" xfId="22616" xr:uid="{D28B094C-2093-41EA-A0F5-8C8472640FA3}"/>
    <cellStyle name="Note 2 38 2 3" xfId="34801" xr:uid="{85160597-7DFB-4271-A57E-723F8FB9AB9C}"/>
    <cellStyle name="Note 2 38 2 4" xfId="34802" xr:uid="{0DA83726-5629-43DF-8E66-8FDD934C94DF}"/>
    <cellStyle name="Note 2 38 2 5" xfId="34803" xr:uid="{4E321605-BFBC-40B3-8F06-CF2F2F249BD0}"/>
    <cellStyle name="Note 2 38 2 6" xfId="34804" xr:uid="{6F123120-E0DD-4C7E-9955-D671429E2EAE}"/>
    <cellStyle name="Note 2 38 3" xfId="4284" xr:uid="{DDC6E1B3-2C4A-482E-A89A-6A0D7CA39125}"/>
    <cellStyle name="Note 2 38 3 2" xfId="22617" xr:uid="{687FDD77-5B79-49FD-AD19-29831ACA37E8}"/>
    <cellStyle name="Note 2 38 3 3" xfId="44088" xr:uid="{F36C1252-709C-475D-99E6-AF9C09067E97}"/>
    <cellStyle name="Note 2 38 3 4" xfId="19000" xr:uid="{32CD2AF7-9CAC-4092-849E-95A8FF6D86E4}"/>
    <cellStyle name="Note 2 38 4" xfId="6351" xr:uid="{9A37A5EF-AA36-49C3-93C3-473726142108}"/>
    <cellStyle name="Note 2 38 4 2" xfId="22615" xr:uid="{FC83E025-1143-4BD5-AD40-4167A22CEF3B}"/>
    <cellStyle name="Note 2 38 4 3" xfId="45999" xr:uid="{E9C1E7C6-66E2-4AB3-8881-98407E51832D}"/>
    <cellStyle name="Note 2 38 4 4" xfId="18998" xr:uid="{8E267D41-1BF7-48EF-A25F-DC9D5BFAD4EA}"/>
    <cellStyle name="Note 2 38 5" xfId="9170" xr:uid="{E6D2692B-AEB6-401A-A12E-A758AEAF624B}"/>
    <cellStyle name="Note 2 38 5 2" xfId="34805" xr:uid="{BA0DFB6A-4207-4B80-9C56-D6E9D77E9D4E}"/>
    <cellStyle name="Note 2 38 6" xfId="34806" xr:uid="{E27D39C8-3C1A-4ADF-9884-23BB09C60561}"/>
    <cellStyle name="Note 2 38 7" xfId="34807" xr:uid="{50D4F595-0A57-4475-BE4F-76DD4D39AA24}"/>
    <cellStyle name="Note 2 38 8" xfId="34808" xr:uid="{3A6DF1A9-A546-48D1-84CA-02F4A9F577A2}"/>
    <cellStyle name="Note 2 38 9" xfId="34809" xr:uid="{26958EBF-5ECB-4E88-AA5B-D453875D6E17}"/>
    <cellStyle name="Note 2 39" xfId="3385" xr:uid="{D1E27055-EE23-44D3-B18C-1F23F0A404CE}"/>
    <cellStyle name="Note 2 39 2" xfId="5273" xr:uid="{AC10D9FF-D682-4CDC-A92E-BE6949352574}"/>
    <cellStyle name="Note 2 39 2 2" xfId="16801" xr:uid="{F7CCDF43-8935-4011-B0E6-D5B25D8A754D}"/>
    <cellStyle name="Note 2 39 2 2 2" xfId="19003" xr:uid="{62B341BF-320C-4344-B96A-A7904B871591}"/>
    <cellStyle name="Note 2 39 2 2 2 2" xfId="22620" xr:uid="{B41CD409-50D5-42FC-8339-8B4CFEBD38BD}"/>
    <cellStyle name="Note 2 39 2 2 3" xfId="34810" xr:uid="{18FE0E63-3F3A-47BE-B76F-274A8C174BE2}"/>
    <cellStyle name="Note 2 39 2 2 4" xfId="34811" xr:uid="{DCDA609E-9B5B-4B76-86B9-B5B9C2A4A99A}"/>
    <cellStyle name="Note 2 39 2 2 5" xfId="34812" xr:uid="{8655CA71-0320-4873-A2C0-2843DDC1B03B}"/>
    <cellStyle name="Note 2 39 2 2 6" xfId="34813" xr:uid="{12E4DF3F-2500-4576-B027-B81A84C88873}"/>
    <cellStyle name="Note 2 39 2 3" xfId="16623" xr:uid="{B2E1F218-20F3-4C30-9FD6-C4EAAFC73F1D}"/>
    <cellStyle name="Note 2 39 2 3 2" xfId="19004" xr:uid="{C01BD8AC-BD1C-4AD4-8394-4931E25AB46F}"/>
    <cellStyle name="Note 2 39 2 3 2 2" xfId="22621" xr:uid="{DA372BAA-FE09-48AA-A663-2C23DB4835A5}"/>
    <cellStyle name="Note 2 39 2 3 3" xfId="20724" xr:uid="{2CDD806E-783C-4F48-8BCB-1FEF9E01F698}"/>
    <cellStyle name="Note 2 39 2 3 3 2" xfId="34814" xr:uid="{4C4335E4-84CC-4CFB-BAA3-085E2AC9361D}"/>
    <cellStyle name="Note 2 39 2 3 4" xfId="34815" xr:uid="{5BEBA71F-F4F7-414A-8C08-E4B0939F37C3}"/>
    <cellStyle name="Note 2 39 2 3 5" xfId="34816" xr:uid="{AAD13586-2665-4B7F-959C-FCD3707A5586}"/>
    <cellStyle name="Note 2 39 2 3 6" xfId="34817" xr:uid="{5B85B381-10E8-4D89-A94C-ED33D565A4DE}"/>
    <cellStyle name="Note 2 39 2 3 7" xfId="34818" xr:uid="{83155F26-71FB-44C7-96A2-79BBAA7C72BA}"/>
    <cellStyle name="Note 2 39 2 4" xfId="19002" xr:uid="{4223B4B6-C81C-411E-A182-9EE17B323E5B}"/>
    <cellStyle name="Note 2 39 2 4 2" xfId="22619" xr:uid="{E9106371-1625-4302-8026-8A7C30FCF248}"/>
    <cellStyle name="Note 2 39 2 5" xfId="34819" xr:uid="{E75A1F1F-F5F8-426F-B6C3-9A6C363F8D8E}"/>
    <cellStyle name="Note 2 39 2 6" xfId="34820" xr:uid="{C593DB7F-1A1B-4220-A560-B72693930CF3}"/>
    <cellStyle name="Note 2 39 2 7" xfId="34821" xr:uid="{04FED133-6F7E-480E-B5F5-7DE820CCE11B}"/>
    <cellStyle name="Note 2 39 2 8" xfId="34822" xr:uid="{E0C6385A-E6D0-4CEB-8ABC-B605B4A2F3D4}"/>
    <cellStyle name="Note 2 39 3" xfId="6978" xr:uid="{FADFD9AD-ECB3-4F53-8DC3-5C354C467F67}"/>
    <cellStyle name="Note 2 39 3 2" xfId="22622" xr:uid="{A9161AA2-D394-4B9E-81DA-74A6ED836305}"/>
    <cellStyle name="Note 2 39 3 3" xfId="46439" xr:uid="{50129CB2-F48A-49F7-A9BD-2027FFA8F06A}"/>
    <cellStyle name="Note 2 39 3 4" xfId="19005" xr:uid="{E0521200-085D-4667-ADD7-28D6054ACC6F}"/>
    <cellStyle name="Note 2 39 4" xfId="9171" xr:uid="{82CAD391-4041-47FF-A59E-7F1ACD4434C1}"/>
    <cellStyle name="Note 2 39 4 2" xfId="22618" xr:uid="{C49233ED-A4CD-475F-AF4A-0BDF4D40E965}"/>
    <cellStyle name="Note 2 39 4 3" xfId="19001" xr:uid="{2D32911D-4869-4FF0-BD64-4CCDB6853ECD}"/>
    <cellStyle name="Note 2 39 5" xfId="34823" xr:uid="{AF23D4E9-87AE-49B0-8D5A-45F42CD939C2}"/>
    <cellStyle name="Note 2 39 6" xfId="34824" xr:uid="{C6429A33-301F-43F6-BA6F-6AEE40897CBA}"/>
    <cellStyle name="Note 2 39 7" xfId="34825" xr:uid="{9C95A722-5D8A-4D2C-8C9A-77C89A033B56}"/>
    <cellStyle name="Note 2 39 8" xfId="34826" xr:uid="{254208CD-CE0C-4B7D-A688-89A30EB18BE5}"/>
    <cellStyle name="Note 2 4" xfId="3386" xr:uid="{05907EFF-B1E3-4A10-8130-5DA480995EB5}"/>
    <cellStyle name="Note 2 4 10" xfId="34827" xr:uid="{71CAE9B8-09E6-4B91-BAFA-C42D81A99598}"/>
    <cellStyle name="Note 2 4 2" xfId="3387" xr:uid="{F04661C0-67E5-4EA0-B27B-04BF776314C8}"/>
    <cellStyle name="Note 2 4 2 2" xfId="5275" xr:uid="{FE300546-1818-46FF-AA40-2C8B039CEDCC}"/>
    <cellStyle name="Note 2 4 2 2 2" xfId="22624" xr:uid="{DF24FBDF-02A2-400E-9973-369A8AF627AA}"/>
    <cellStyle name="Note 2 4 2 2 3" xfId="43687" xr:uid="{A43485C4-F79B-4944-BA87-6E3EE867B5F4}"/>
    <cellStyle name="Note 2 4 2 2 4" xfId="19007" xr:uid="{548DB738-7268-426D-A798-DEC298C24001}"/>
    <cellStyle name="Note 2 4 2 3" xfId="4286" xr:uid="{0DCD773D-B28B-486D-86DD-B16E4EE4687C}"/>
    <cellStyle name="Note 2 4 2 3 2" xfId="44090" xr:uid="{F2087FDB-7E5D-4151-8979-12A714A5AE3B}"/>
    <cellStyle name="Note 2 4 2 3 3" xfId="34828" xr:uid="{6B618055-F080-4685-A4C2-5015F48F0225}"/>
    <cellStyle name="Note 2 4 2 4" xfId="6353" xr:uid="{9226D809-3F2D-42F3-BA52-0D33DA39D840}"/>
    <cellStyle name="Note 2 4 2 4 2" xfId="46001" xr:uid="{A4D71ECE-F555-419C-82CF-04A58C9F6D0B}"/>
    <cellStyle name="Note 2 4 2 4 3" xfId="34829" xr:uid="{17A408D8-C9CD-4C48-BFAF-4D050BE1B9E0}"/>
    <cellStyle name="Note 2 4 2 5" xfId="9173" xr:uid="{2E468196-B991-46C4-9B8B-3ACA07F9BDDE}"/>
    <cellStyle name="Note 2 4 2 5 2" xfId="34830" xr:uid="{5531A482-312A-466D-A0D6-264BF350AC40}"/>
    <cellStyle name="Note 2 4 2 6" xfId="34831" xr:uid="{6AB00DCB-0D82-46AE-BF5B-75F5E2A053E8}"/>
    <cellStyle name="Note 2 4 2 7" xfId="34832" xr:uid="{FA84E2E0-32B5-4BF4-B400-633F6A0AE14B}"/>
    <cellStyle name="Note 2 4 3" xfId="3388" xr:uid="{19D844A6-DC7D-49EC-A11D-0739D0EB324F}"/>
    <cellStyle name="Note 2 4 3 2" xfId="5276" xr:uid="{1170E3F2-061A-45EC-8579-5BD6F2A3CFE7}"/>
    <cellStyle name="Note 2 4 3 2 2" xfId="22625" xr:uid="{A4549D72-F95A-43F4-AC91-F64E63293320}"/>
    <cellStyle name="Note 2 4 3 2 3" xfId="43688" xr:uid="{6542DDB9-AD39-4DF1-B9CD-F45A513740FC}"/>
    <cellStyle name="Note 2 4 3 2 4" xfId="19008" xr:uid="{58A48493-1502-4C5E-93D6-8E09A2A6F36D}"/>
    <cellStyle name="Note 2 4 3 3" xfId="4287" xr:uid="{15FFB752-B486-4CCF-A259-29C69922E56C}"/>
    <cellStyle name="Note 2 4 3 3 2" xfId="44091" xr:uid="{074118D8-CF69-4F59-AF34-8CF3A515BE26}"/>
    <cellStyle name="Note 2 4 3 3 3" xfId="34833" xr:uid="{B0838EFC-99E3-43F5-8FEA-CBEB81EB5988}"/>
    <cellStyle name="Note 2 4 3 4" xfId="6354" xr:uid="{F5613AFD-735C-4762-B29F-58BDE1B96D76}"/>
    <cellStyle name="Note 2 4 3 4 2" xfId="46002" xr:uid="{D0310FFF-6699-448D-A926-1C64B7FAD97B}"/>
    <cellStyle name="Note 2 4 3 4 3" xfId="34834" xr:uid="{E092C778-1019-4A8B-8C6A-337FBD2D72DA}"/>
    <cellStyle name="Note 2 4 3 5" xfId="9174" xr:uid="{A354A48D-19BC-4EB0-A67A-B27EA521B90F}"/>
    <cellStyle name="Note 2 4 3 5 2" xfId="34835" xr:uid="{694EC2CD-1F87-4AC6-A839-5A2FA66F0DA6}"/>
    <cellStyle name="Note 2 4 3 6" xfId="34836" xr:uid="{6206576D-70C2-4795-8244-A56BEB0211C9}"/>
    <cellStyle name="Note 2 4 3 7" xfId="34837" xr:uid="{4A3FCC4F-B163-4300-9C7E-A53ADC394EFC}"/>
    <cellStyle name="Note 2 4 4" xfId="3389" xr:uid="{DBBE0DD8-014D-4DF1-AFC9-3A5788DE14A4}"/>
    <cellStyle name="Note 2 4 4 2" xfId="5277" xr:uid="{DC1F4FB9-7133-4D6A-9983-E8996D951AC8}"/>
    <cellStyle name="Note 2 4 4 2 2" xfId="22626" xr:uid="{07C770D2-8C05-42F4-AFB7-4A6353D5CE91}"/>
    <cellStyle name="Note 2 4 4 2 3" xfId="43689" xr:uid="{29DCB0E6-9BF6-401A-9F41-762C91410562}"/>
    <cellStyle name="Note 2 4 4 2 4" xfId="19009" xr:uid="{E28BA2E5-B0AD-4141-9706-87E3A87329C3}"/>
    <cellStyle name="Note 2 4 4 3" xfId="4288" xr:uid="{DE2BFAB7-E8FE-4921-B306-B102C6FFF21D}"/>
    <cellStyle name="Note 2 4 4 3 2" xfId="44092" xr:uid="{5E3B20F7-844D-4DC0-9964-58E915B4894F}"/>
    <cellStyle name="Note 2 4 4 3 3" xfId="34838" xr:uid="{45AFEA90-E425-49F4-81B6-DA920DC5CE33}"/>
    <cellStyle name="Note 2 4 4 4" xfId="6355" xr:uid="{E03D0841-780A-4EB9-8757-BDDE9565D8BA}"/>
    <cellStyle name="Note 2 4 4 4 2" xfId="46003" xr:uid="{F54DC4FF-8386-40FA-9ADD-2E9B9F35A44B}"/>
    <cellStyle name="Note 2 4 4 4 3" xfId="34839" xr:uid="{55E565E7-9247-4590-8819-56578756EB12}"/>
    <cellStyle name="Note 2 4 4 5" xfId="9175" xr:uid="{C2FE3D9C-C182-44A9-B4CE-B09BF6CBDD6C}"/>
    <cellStyle name="Note 2 4 4 5 2" xfId="34840" xr:uid="{096057BB-B363-4AFE-A505-C14A1B4265A7}"/>
    <cellStyle name="Note 2 4 4 6" xfId="34841" xr:uid="{BCD6BB2F-F27A-4400-B1E9-A446D9BF45B2}"/>
    <cellStyle name="Note 2 4 4 7" xfId="34842" xr:uid="{1BDF4011-62C7-4970-A0F7-3780FB74DF12}"/>
    <cellStyle name="Note 2 4 5" xfId="5274" xr:uid="{FB917798-5EEE-47E1-816E-1B462BFA2792}"/>
    <cellStyle name="Note 2 4 5 2" xfId="22623" xr:uid="{BC8D013A-CC46-422A-85E7-4434D9C03F2D}"/>
    <cellStyle name="Note 2 4 5 3" xfId="43686" xr:uid="{C83FA047-4D40-4AFB-8904-DEED3CA15860}"/>
    <cellStyle name="Note 2 4 5 4" xfId="19006" xr:uid="{8E2354F0-C927-43E2-AC13-0410228F1D8E}"/>
    <cellStyle name="Note 2 4 6" xfId="4285" xr:uid="{FA6E9FBC-A066-4212-A839-58CA4A758AD6}"/>
    <cellStyle name="Note 2 4 6 2" xfId="44089" xr:uid="{A0A1659B-E5F3-4416-A486-055F693E7A88}"/>
    <cellStyle name="Note 2 4 6 3" xfId="34843" xr:uid="{56FC8EC2-FECF-4908-A1CF-CE548F04D9C3}"/>
    <cellStyle name="Note 2 4 7" xfId="6352" xr:uid="{46912D83-EB91-43B9-B9F5-99ED9DFCEA68}"/>
    <cellStyle name="Note 2 4 7 2" xfId="46000" xr:uid="{E0A418A6-585B-4C0C-9436-CD80785DCDBC}"/>
    <cellStyle name="Note 2 4 7 3" xfId="34844" xr:uid="{1AE08F4E-A5D9-4ED5-BDBC-E2679B133F6F}"/>
    <cellStyle name="Note 2 4 8" xfId="9172" xr:uid="{C96CEC2D-ED54-4BB5-8731-0EB64F410B49}"/>
    <cellStyle name="Note 2 4 8 2" xfId="34845" xr:uid="{1E3D743A-E1F8-4605-B514-8E9F93CBFF3C}"/>
    <cellStyle name="Note 2 4 9" xfId="34846" xr:uid="{11897D7E-88DA-4C8D-9425-FBC94F9F9525}"/>
    <cellStyle name="Note 2 40" xfId="5172" xr:uid="{29DBC87E-0E67-434B-A5DD-1BFD6E359C0A}"/>
    <cellStyle name="Note 2 40 2" xfId="19010" xr:uid="{CCEA78C3-DC79-417D-A489-A97499E59600}"/>
    <cellStyle name="Note 2 40 2 2" xfId="22627" xr:uid="{0C9D7B2A-4A0D-4796-A944-9DD2DCA7BC86}"/>
    <cellStyle name="Note 2 40 3" xfId="34847" xr:uid="{A614EBFD-57BC-4518-91C6-2756208080EA}"/>
    <cellStyle name="Note 2 40 4" xfId="34848" xr:uid="{3E38E842-D532-40D3-8FF9-7FCAB88DC451}"/>
    <cellStyle name="Note 2 40 5" xfId="34849" xr:uid="{E23BDC69-1562-4917-BAD5-63AC645EEB32}"/>
    <cellStyle name="Note 2 40 6" xfId="34850" xr:uid="{DB889602-9DCF-446C-926B-5F8E27225DB7}"/>
    <cellStyle name="Note 2 40 7" xfId="43648" xr:uid="{9593A506-0C3A-467A-BC8D-28ABBD9973B0}"/>
    <cellStyle name="Note 2 40 8" xfId="16110" xr:uid="{F3A8ED4A-F897-40B3-8A71-33620DD8EE94}"/>
    <cellStyle name="Note 2 41" xfId="4215" xr:uid="{E41F2CD2-3C83-4A2C-8F27-AE076F899F78}"/>
    <cellStyle name="Note 2 41 2" xfId="19011" xr:uid="{F756E0EB-23C7-4BCF-AD45-147AED517509}"/>
    <cellStyle name="Note 2 41 2 2" xfId="22628" xr:uid="{A107BE60-EB71-46EE-A4EE-6FC447A30B05}"/>
    <cellStyle name="Note 2 41 3" xfId="34851" xr:uid="{0D913BE0-64F7-4DBD-A8E9-22370A8A3C7E}"/>
    <cellStyle name="Note 2 41 4" xfId="34852" xr:uid="{919A6609-B448-4EF2-A878-70EED2F6BF1C}"/>
    <cellStyle name="Note 2 41 5" xfId="34853" xr:uid="{BE6409A7-86A0-4AA5-96BE-C6D7B4611CFA}"/>
    <cellStyle name="Note 2 41 6" xfId="34854" xr:uid="{1BA395B3-3001-48F3-962C-70E10DFB6D91}"/>
    <cellStyle name="Note 2 41 7" xfId="44030" xr:uid="{484BEB7F-8AA7-48E5-837E-30A6A492A38E}"/>
    <cellStyle name="Note 2 41 8" xfId="16111" xr:uid="{F1623873-46CA-435D-979C-3D1DB70A756F}"/>
    <cellStyle name="Note 2 42" xfId="6282" xr:uid="{6FEE4BD8-B27C-4BF4-82FC-B180F4A8E91F}"/>
    <cellStyle name="Note 2 42 2" xfId="22330" xr:uid="{14439830-05CB-49AF-AB83-9F5DC66337F7}"/>
    <cellStyle name="Note 2 42 3" xfId="45940" xr:uid="{DF8A2596-8874-476B-AA5D-79F0DDBD0587}"/>
    <cellStyle name="Note 2 42 4" xfId="18713" xr:uid="{04218674-4E10-43E3-9080-49AD6130B03B}"/>
    <cellStyle name="Note 2 43" xfId="9065" xr:uid="{42BE4D1E-987E-443B-BA51-03408C40CC57}"/>
    <cellStyle name="Note 2 43 2" xfId="34855" xr:uid="{AEDC1B17-FA45-4218-B6ED-CA6FCF285B22}"/>
    <cellStyle name="Note 2 44" xfId="34856" xr:uid="{D84CA14E-955A-4E5C-B95B-7F652316CC53}"/>
    <cellStyle name="Note 2 45" xfId="34857" xr:uid="{8CF0991B-B834-4A96-B273-811DDDFAB111}"/>
    <cellStyle name="Note 2 46" xfId="34858" xr:uid="{ABD1407E-7384-40A4-AFE2-69952407D9E3}"/>
    <cellStyle name="Note 2 47" xfId="34859" xr:uid="{20ACE6D2-A034-41A2-A7D9-5AF409000150}"/>
    <cellStyle name="Note 2 48" xfId="34860" xr:uid="{1EACC44E-D09C-40F2-94BC-3C3E6432D465}"/>
    <cellStyle name="Note 2 49" xfId="34861" xr:uid="{ADD14560-7DBB-4F39-8C58-CF63415A8F4A}"/>
    <cellStyle name="Note 2 5" xfId="3390" xr:uid="{40D25297-E01F-4D8E-8094-20898718C953}"/>
    <cellStyle name="Note 2 5 10" xfId="34862" xr:uid="{E2D903F8-58E6-4D80-9397-C93B7D30E794}"/>
    <cellStyle name="Note 2 5 2" xfId="3391" xr:uid="{D24EA391-19F1-4ABA-970E-EB67A4FCC264}"/>
    <cellStyle name="Note 2 5 2 2" xfId="5279" xr:uid="{3B28F059-A631-481F-B1CD-8349D45457D6}"/>
    <cellStyle name="Note 2 5 2 2 2" xfId="22630" xr:uid="{697BE93F-32E5-44EF-9C72-733B7D8A28F1}"/>
    <cellStyle name="Note 2 5 2 2 3" xfId="43691" xr:uid="{761DDCD8-7168-4160-8F65-72A2248E4CAE}"/>
    <cellStyle name="Note 2 5 2 2 4" xfId="19013" xr:uid="{3459112C-9B66-4E9F-819F-1A255B4AB0C3}"/>
    <cellStyle name="Note 2 5 2 3" xfId="4290" xr:uid="{1F36B7DF-DBD5-4CAB-B21F-A39E1490FCA1}"/>
    <cellStyle name="Note 2 5 2 3 2" xfId="44094" xr:uid="{AC1C98A4-C182-4045-84F8-5C9A25E2FA6F}"/>
    <cellStyle name="Note 2 5 2 3 3" xfId="34863" xr:uid="{AC64CCD3-04ED-412C-835B-033C96FDD35B}"/>
    <cellStyle name="Note 2 5 2 4" xfId="6357" xr:uid="{D56F8C85-BB77-4BA0-A37C-E99F4226287F}"/>
    <cellStyle name="Note 2 5 2 4 2" xfId="46005" xr:uid="{E138F7A3-9296-4C12-85DC-C875AB57D32B}"/>
    <cellStyle name="Note 2 5 2 4 3" xfId="34864" xr:uid="{E317733E-A153-458F-AE91-EEB91E0D81AE}"/>
    <cellStyle name="Note 2 5 2 5" xfId="9177" xr:uid="{90F0A43E-3773-455C-8F23-EA200BDD3B66}"/>
    <cellStyle name="Note 2 5 2 5 2" xfId="34865" xr:uid="{DA205065-9532-46FA-A5D1-6843B699F914}"/>
    <cellStyle name="Note 2 5 2 6" xfId="34866" xr:uid="{35743900-F631-4058-994B-F67DAAF1F23F}"/>
    <cellStyle name="Note 2 5 2 7" xfId="34867" xr:uid="{4BA21913-A0E9-4EB3-B490-9F04D29E0ECC}"/>
    <cellStyle name="Note 2 5 3" xfId="3392" xr:uid="{D25FCB3C-23F8-40A9-9C2E-E0EC6BFE07E3}"/>
    <cellStyle name="Note 2 5 3 2" xfId="5280" xr:uid="{B222A7E1-81DF-4D56-833B-2BDC0EA4BCA7}"/>
    <cellStyle name="Note 2 5 3 2 2" xfId="22631" xr:uid="{A1A75FD2-F06E-442C-AFA0-EDE30D3F9834}"/>
    <cellStyle name="Note 2 5 3 2 3" xfId="43692" xr:uid="{8518187A-00E0-47E9-B108-5DD4970E9D05}"/>
    <cellStyle name="Note 2 5 3 2 4" xfId="19014" xr:uid="{4AAF1F86-9963-403E-AE1B-D61F19622930}"/>
    <cellStyle name="Note 2 5 3 3" xfId="4291" xr:uid="{BDCFA17C-4A2B-424F-8D33-0160C826CAFD}"/>
    <cellStyle name="Note 2 5 3 3 2" xfId="44095" xr:uid="{F55A9E82-130A-4E70-958C-E4588466E4AB}"/>
    <cellStyle name="Note 2 5 3 3 3" xfId="34868" xr:uid="{1E38B043-9A9D-46E9-9437-DDE91F518B51}"/>
    <cellStyle name="Note 2 5 3 4" xfId="6358" xr:uid="{15A6DBD6-3779-427D-9AC7-914C887C2AFB}"/>
    <cellStyle name="Note 2 5 3 4 2" xfId="46006" xr:uid="{0FBF4CFB-9E26-436D-AB0D-87E9B7B755EF}"/>
    <cellStyle name="Note 2 5 3 4 3" xfId="34869" xr:uid="{790E192F-FF29-408B-86AD-8FE9515527C7}"/>
    <cellStyle name="Note 2 5 3 5" xfId="9178" xr:uid="{849A152D-81AD-4293-8F10-CA8F5853760A}"/>
    <cellStyle name="Note 2 5 3 5 2" xfId="34870" xr:uid="{B47ACE63-2485-48FE-872D-F8C403CC5013}"/>
    <cellStyle name="Note 2 5 3 6" xfId="34871" xr:uid="{92B6362E-94A5-4B0D-A341-862026D58C3A}"/>
    <cellStyle name="Note 2 5 3 7" xfId="34872" xr:uid="{9A699ED0-4EE3-4870-88ED-E83226E88DE4}"/>
    <cellStyle name="Note 2 5 4" xfId="3393" xr:uid="{1F0F8DBC-630F-4974-8E98-BA1CF5208182}"/>
    <cellStyle name="Note 2 5 4 2" xfId="5281" xr:uid="{761DC048-0543-49D8-A64A-972506094E2A}"/>
    <cellStyle name="Note 2 5 4 2 2" xfId="22632" xr:uid="{200DBC4A-52DD-485F-8F0F-F9FF6C2047E8}"/>
    <cellStyle name="Note 2 5 4 2 3" xfId="43693" xr:uid="{8D5EE809-2280-4DB2-8AFA-68E45098A80A}"/>
    <cellStyle name="Note 2 5 4 2 4" xfId="19015" xr:uid="{8256B45F-E72F-4045-9D53-F354582B38A6}"/>
    <cellStyle name="Note 2 5 4 3" xfId="4292" xr:uid="{84659E3B-E839-4C10-B635-2BD2947F7799}"/>
    <cellStyle name="Note 2 5 4 3 2" xfId="44096" xr:uid="{FF3765BA-C1FA-43AA-AE56-58A379DED6AC}"/>
    <cellStyle name="Note 2 5 4 3 3" xfId="34873" xr:uid="{8B94DB25-5FA4-4E06-ADF4-B147393D449D}"/>
    <cellStyle name="Note 2 5 4 4" xfId="6359" xr:uid="{7E082926-D3B1-4390-BD0C-E8A37CA0BF4A}"/>
    <cellStyle name="Note 2 5 4 4 2" xfId="46007" xr:uid="{5EF4BEE0-D80F-4D0C-A473-0AB3C9191296}"/>
    <cellStyle name="Note 2 5 4 4 3" xfId="34874" xr:uid="{50F7C84F-D7DB-45DD-8CC5-51A0DCED37E7}"/>
    <cellStyle name="Note 2 5 4 5" xfId="9179" xr:uid="{49CEFA00-A65F-461E-B1D5-520F9D25F495}"/>
    <cellStyle name="Note 2 5 4 5 2" xfId="34875" xr:uid="{232F73D8-2947-4BC6-BB07-20F85F868A34}"/>
    <cellStyle name="Note 2 5 4 6" xfId="34876" xr:uid="{1AB01579-DDD7-4F93-86A3-679FEA70C9C4}"/>
    <cellStyle name="Note 2 5 4 7" xfId="34877" xr:uid="{C466C5A7-A335-42DB-9C91-63055897A994}"/>
    <cellStyle name="Note 2 5 5" xfId="5278" xr:uid="{9730E49D-DE3B-405B-9654-3ED3752A6C79}"/>
    <cellStyle name="Note 2 5 5 2" xfId="22629" xr:uid="{52AA7B90-1D53-41BB-A40E-B7184105B381}"/>
    <cellStyle name="Note 2 5 5 3" xfId="43690" xr:uid="{24929BA6-276D-43F6-947B-52E9990CFF44}"/>
    <cellStyle name="Note 2 5 5 4" xfId="19012" xr:uid="{63431793-DF3A-4C43-A250-2FDDD4E027B7}"/>
    <cellStyle name="Note 2 5 6" xfId="4289" xr:uid="{1E4791C8-672D-4D6C-929B-7BA8747AAD52}"/>
    <cellStyle name="Note 2 5 6 2" xfId="44093" xr:uid="{9D590173-0CA0-44BB-883A-7D86EB07906A}"/>
    <cellStyle name="Note 2 5 6 3" xfId="34878" xr:uid="{F7F1A558-08F9-4C0D-8ABB-C34019244C31}"/>
    <cellStyle name="Note 2 5 7" xfId="6356" xr:uid="{1E9214A3-67D9-4334-B08E-CAF5891FD24E}"/>
    <cellStyle name="Note 2 5 7 2" xfId="46004" xr:uid="{570FACA5-464E-4E48-A795-BF7577506849}"/>
    <cellStyle name="Note 2 5 7 3" xfId="34879" xr:uid="{D8BC0BB0-D255-441F-9F6A-BF2C3293943C}"/>
    <cellStyle name="Note 2 5 8" xfId="9176" xr:uid="{1E71A3EF-CBDD-4BDB-BFD6-DDA364E8AD74}"/>
    <cellStyle name="Note 2 5 8 2" xfId="34880" xr:uid="{31C1D90D-BD27-4ED2-B9BD-AD3D15A64BB7}"/>
    <cellStyle name="Note 2 5 9" xfId="34881" xr:uid="{7B9CA559-6AAD-4408-8DAB-25BFED6DF86C}"/>
    <cellStyle name="Note 2 50" xfId="34882" xr:uid="{FD09FF2B-B530-4158-8935-A0D4BD10E196}"/>
    <cellStyle name="Note 2 51" xfId="34883" xr:uid="{1E15912D-0295-4FDE-806E-9F8937C1FCAF}"/>
    <cellStyle name="Note 2 52" xfId="34884" xr:uid="{5B89AEAC-C739-46DF-ABB1-8348A803C9E1}"/>
    <cellStyle name="Note 2 53" xfId="34885" xr:uid="{CABBFE02-A7EB-4A13-AAE7-6F31D5DC9EE9}"/>
    <cellStyle name="Note 2 54" xfId="34886" xr:uid="{998C519A-BCB6-4675-9DE2-346B19B33918}"/>
    <cellStyle name="Note 2 55" xfId="34887" xr:uid="{8326F3BF-F994-4DEF-904E-016B4529F924}"/>
    <cellStyle name="Note 2 56" xfId="34888" xr:uid="{4FB0D8B0-3BFE-4621-9D91-0D4452D76F84}"/>
    <cellStyle name="Note 2 57" xfId="15257" xr:uid="{573E5BFC-3D31-42E6-91C6-0DEBDE339D2C}"/>
    <cellStyle name="Note 2 6" xfId="3394" xr:uid="{885958E2-ADCB-4EC1-9954-4C9AD7121B01}"/>
    <cellStyle name="Note 2 6 10" xfId="34889" xr:uid="{35CCA686-2925-4AAA-A4F9-7A952F2E6E46}"/>
    <cellStyle name="Note 2 6 2" xfId="3395" xr:uid="{C5A7A621-396C-42EB-92C2-9FAF000A6DF7}"/>
    <cellStyle name="Note 2 6 2 2" xfId="5283" xr:uid="{B4F690BA-F109-4F8F-8BF3-22A3F5B54D7D}"/>
    <cellStyle name="Note 2 6 2 2 2" xfId="22634" xr:uid="{077BA2CF-FFED-4C34-B55A-F1B42B18D0EF}"/>
    <cellStyle name="Note 2 6 2 2 3" xfId="43695" xr:uid="{3548F12D-D42C-491C-8586-DE270EB62898}"/>
    <cellStyle name="Note 2 6 2 2 4" xfId="19017" xr:uid="{4078A0B8-C1AB-4DFB-974B-02B0D87D57E2}"/>
    <cellStyle name="Note 2 6 2 3" xfId="4294" xr:uid="{BFAC6FA4-B666-4399-9E08-279F32B3D4E9}"/>
    <cellStyle name="Note 2 6 2 3 2" xfId="44098" xr:uid="{FCCBCB2C-636A-41CB-9CCE-61ADEA3F4C54}"/>
    <cellStyle name="Note 2 6 2 3 3" xfId="34890" xr:uid="{57F0CB3B-DB6E-49FC-8983-7D7AF5AF964F}"/>
    <cellStyle name="Note 2 6 2 4" xfId="6361" xr:uid="{F932FEEB-4520-4CF6-A5FE-7D2A31F5FEB6}"/>
    <cellStyle name="Note 2 6 2 4 2" xfId="46009" xr:uid="{9122F35B-95C0-477A-8D99-CF6CD7633670}"/>
    <cellStyle name="Note 2 6 2 4 3" xfId="34891" xr:uid="{F47AA87F-F8BC-42CB-9C48-6672ACF809D3}"/>
    <cellStyle name="Note 2 6 2 5" xfId="9181" xr:uid="{0FBDA6B5-5BB6-4413-B6E9-B4CF57C8A267}"/>
    <cellStyle name="Note 2 6 2 5 2" xfId="34892" xr:uid="{2B195B5B-33D1-4891-BB46-197F35CF646A}"/>
    <cellStyle name="Note 2 6 2 6" xfId="34893" xr:uid="{E4D465FB-8216-4DD6-A8BF-FAE535C3211D}"/>
    <cellStyle name="Note 2 6 2 7" xfId="34894" xr:uid="{1D23DFE4-25B2-4AE9-80CD-403FE7880052}"/>
    <cellStyle name="Note 2 6 3" xfId="3396" xr:uid="{08B1DAB3-F587-486F-A414-7358B7971F6D}"/>
    <cellStyle name="Note 2 6 3 2" xfId="5284" xr:uid="{4153D0FB-FF6F-480D-A219-6D1502136707}"/>
    <cellStyle name="Note 2 6 3 2 2" xfId="22635" xr:uid="{0C609064-568A-4165-BB65-8BBF294730D7}"/>
    <cellStyle name="Note 2 6 3 2 3" xfId="43696" xr:uid="{0907DFAA-536E-438A-BB9B-7DC2567C1330}"/>
    <cellStyle name="Note 2 6 3 2 4" xfId="19018" xr:uid="{EBC1973B-55B2-422E-A934-B8C339BB7E43}"/>
    <cellStyle name="Note 2 6 3 3" xfId="4295" xr:uid="{C8816E26-9CCD-490A-A074-3534D1935569}"/>
    <cellStyle name="Note 2 6 3 3 2" xfId="44099" xr:uid="{5003F83B-39C1-4B04-A497-E21B6EEE4DDB}"/>
    <cellStyle name="Note 2 6 3 3 3" xfId="34895" xr:uid="{B2DA0DD1-E8BB-48B2-A3A8-6B032D28ECEB}"/>
    <cellStyle name="Note 2 6 3 4" xfId="6362" xr:uid="{21FC5726-DDE3-4583-AEED-C7535C87CBDA}"/>
    <cellStyle name="Note 2 6 3 4 2" xfId="46010" xr:uid="{65FAB53D-DDED-42BD-9AF2-0517EFD2FA99}"/>
    <cellStyle name="Note 2 6 3 4 3" xfId="34896" xr:uid="{9AD42431-D138-43F5-B4F2-FE22803161C8}"/>
    <cellStyle name="Note 2 6 3 5" xfId="9182" xr:uid="{0B597F4D-69BE-4201-94F2-FE7DA41863F3}"/>
    <cellStyle name="Note 2 6 3 5 2" xfId="34897" xr:uid="{3472738A-CBBC-4CAB-B3B2-C3793942FC86}"/>
    <cellStyle name="Note 2 6 3 6" xfId="34898" xr:uid="{BF5F9A44-B975-4F21-9B22-24494B10D76F}"/>
    <cellStyle name="Note 2 6 3 7" xfId="34899" xr:uid="{DBE20DB3-1875-4122-9C4B-6E8624B3C2A8}"/>
    <cellStyle name="Note 2 6 4" xfId="3397" xr:uid="{9E3DC64D-3183-4DBF-BFDC-22E8B28BEBE0}"/>
    <cellStyle name="Note 2 6 4 2" xfId="5285" xr:uid="{561A5C45-0DDC-4390-9D3A-D09C73F7EC90}"/>
    <cellStyle name="Note 2 6 4 2 2" xfId="22636" xr:uid="{0110118C-BBAE-4233-95BB-603ECF14D762}"/>
    <cellStyle name="Note 2 6 4 2 3" xfId="43697" xr:uid="{942A3AAC-4916-403D-AF92-264FF98DC8CD}"/>
    <cellStyle name="Note 2 6 4 2 4" xfId="19019" xr:uid="{93C03765-57F2-4478-BC45-D76E3D4F0972}"/>
    <cellStyle name="Note 2 6 4 3" xfId="4296" xr:uid="{C86C488C-683F-4A33-AB25-8B14C34BE0A4}"/>
    <cellStyle name="Note 2 6 4 3 2" xfId="44100" xr:uid="{12E380EF-055B-4435-8D06-BBD30DA018FD}"/>
    <cellStyle name="Note 2 6 4 3 3" xfId="34900" xr:uid="{EDD33804-F800-4586-BE76-40ED957F438E}"/>
    <cellStyle name="Note 2 6 4 4" xfId="6363" xr:uid="{E835ECCA-E060-46B1-8FB9-F975E2C4C5A2}"/>
    <cellStyle name="Note 2 6 4 4 2" xfId="46011" xr:uid="{4796DFB9-5F1C-46B4-9261-4A132E937663}"/>
    <cellStyle name="Note 2 6 4 4 3" xfId="34901" xr:uid="{59615B2F-5380-49CD-8C56-D2AD36370A8B}"/>
    <cellStyle name="Note 2 6 4 5" xfId="9183" xr:uid="{4B580F0C-84F7-48B6-9B3B-FF7D41ADA42B}"/>
    <cellStyle name="Note 2 6 4 5 2" xfId="34902" xr:uid="{F8ECE781-D988-425D-BECA-F0BE01053C6A}"/>
    <cellStyle name="Note 2 6 4 6" xfId="34903" xr:uid="{32C8C1B3-6EE3-4168-AC0F-8BBAAF7ABC15}"/>
    <cellStyle name="Note 2 6 4 7" xfId="34904" xr:uid="{F8374243-1C42-44D2-9E7A-82AE8FDCCA70}"/>
    <cellStyle name="Note 2 6 5" xfId="5282" xr:uid="{76B36096-92D5-4A65-860D-F33893C93311}"/>
    <cellStyle name="Note 2 6 5 2" xfId="22633" xr:uid="{7C83744F-359B-4552-93A2-1E07123A0221}"/>
    <cellStyle name="Note 2 6 5 3" xfId="43694" xr:uid="{C2DAB2B1-8878-4F66-B7C1-081DA9A71F2F}"/>
    <cellStyle name="Note 2 6 5 4" xfId="19016" xr:uid="{47FB712C-B1FF-4E2B-8572-8276807DEF41}"/>
    <cellStyle name="Note 2 6 6" xfId="4293" xr:uid="{417DCCF8-F2E4-43E8-8957-AE161C3BFE46}"/>
    <cellStyle name="Note 2 6 6 2" xfId="44097" xr:uid="{E252082B-928D-478C-8340-7AC0F8B89539}"/>
    <cellStyle name="Note 2 6 6 3" xfId="34905" xr:uid="{ADE2D00C-4497-4E42-A9C7-7FC808A1BBB8}"/>
    <cellStyle name="Note 2 6 7" xfId="6360" xr:uid="{70D82176-C6DD-4B55-B205-2B12259D7E97}"/>
    <cellStyle name="Note 2 6 7 2" xfId="46008" xr:uid="{91FEE49F-6C9C-4381-A51F-02EBBE772F61}"/>
    <cellStyle name="Note 2 6 7 3" xfId="34906" xr:uid="{CB63411A-3541-4F16-A89D-0370C13C919B}"/>
    <cellStyle name="Note 2 6 8" xfId="9180" xr:uid="{674692D2-E667-4072-A570-2BDB936B1B17}"/>
    <cellStyle name="Note 2 6 8 2" xfId="34907" xr:uid="{D90FD39A-B44B-4B45-A0D4-827C32EE47BA}"/>
    <cellStyle name="Note 2 6 9" xfId="34908" xr:uid="{BBDAFA9D-0F1F-46B0-931C-FF7E0A208816}"/>
    <cellStyle name="Note 2 7" xfId="3398" xr:uid="{C6375C11-5C02-4824-9B46-415EB96CABA7}"/>
    <cellStyle name="Note 2 7 10" xfId="34909" xr:uid="{A9C14BA8-40DB-4507-9CB8-DCDE014FC737}"/>
    <cellStyle name="Note 2 7 2" xfId="3399" xr:uid="{F55DF3B0-CE71-4F0F-89E1-CFF605E70E71}"/>
    <cellStyle name="Note 2 7 2 2" xfId="5287" xr:uid="{B4D600B4-3D21-4E11-B919-D93B61336EFF}"/>
    <cellStyle name="Note 2 7 2 2 2" xfId="22638" xr:uid="{F14B83EE-31BC-4AD6-8EA8-F1F748DF1C50}"/>
    <cellStyle name="Note 2 7 2 2 3" xfId="43699" xr:uid="{BF9D624E-320A-4C53-ACE3-8DD53295AB26}"/>
    <cellStyle name="Note 2 7 2 2 4" xfId="19021" xr:uid="{A717C5B1-F1D3-4930-81C5-CF559FDE5AEE}"/>
    <cellStyle name="Note 2 7 2 3" xfId="4298" xr:uid="{6D7ABF0D-DEB2-41FC-835C-D3D755E5480D}"/>
    <cellStyle name="Note 2 7 2 3 2" xfId="44102" xr:uid="{A539E81D-816A-4434-82E1-6A4A084CDA78}"/>
    <cellStyle name="Note 2 7 2 3 3" xfId="34910" xr:uid="{78C6BCB5-0409-40B0-AE30-2F59579598CF}"/>
    <cellStyle name="Note 2 7 2 4" xfId="6365" xr:uid="{AE48CE6E-6EA7-4856-AEE8-E52C6876BD66}"/>
    <cellStyle name="Note 2 7 2 4 2" xfId="46013" xr:uid="{79DE6063-D681-40D1-869C-3718FC518878}"/>
    <cellStyle name="Note 2 7 2 4 3" xfId="34911" xr:uid="{71FF96B5-751B-40AC-97D0-507173CC2113}"/>
    <cellStyle name="Note 2 7 2 5" xfId="9185" xr:uid="{CE4853A4-0BC3-449C-A597-85973A5E2871}"/>
    <cellStyle name="Note 2 7 2 5 2" xfId="34912" xr:uid="{982CD093-D652-44D7-A1A8-C8EB20E43050}"/>
    <cellStyle name="Note 2 7 2 6" xfId="34913" xr:uid="{5BEFF3C2-ED8D-4EEE-8F6D-C18A8C7FB08E}"/>
    <cellStyle name="Note 2 7 2 7" xfId="34914" xr:uid="{221C19C2-4A91-4189-BF9A-03F2973A9690}"/>
    <cellStyle name="Note 2 7 3" xfId="3400" xr:uid="{33F3635B-76C7-431C-AF50-EEAF0FF84B83}"/>
    <cellStyle name="Note 2 7 3 2" xfId="5288" xr:uid="{8BBC122F-44A7-4206-BD93-6E9B39DD1943}"/>
    <cellStyle name="Note 2 7 3 2 2" xfId="22639" xr:uid="{9901E747-8220-4FC2-AA3C-2DEC64230559}"/>
    <cellStyle name="Note 2 7 3 2 3" xfId="43700" xr:uid="{5D446E29-8C8A-4B8E-8B12-F3C4B6422BD2}"/>
    <cellStyle name="Note 2 7 3 2 4" xfId="19022" xr:uid="{06BE3BDA-AE47-450A-8838-F519DE6CA711}"/>
    <cellStyle name="Note 2 7 3 3" xfId="4299" xr:uid="{47B6ED0F-E100-4635-8B52-62410BC8B28A}"/>
    <cellStyle name="Note 2 7 3 3 2" xfId="44103" xr:uid="{CC1FFBF2-1166-4FD5-BEAD-1467AE1A7F0E}"/>
    <cellStyle name="Note 2 7 3 3 3" xfId="34915" xr:uid="{04A84F55-EADD-448A-9D55-B53AA8527403}"/>
    <cellStyle name="Note 2 7 3 4" xfId="6366" xr:uid="{A325C352-A8FF-4467-9935-41CD1BBF318B}"/>
    <cellStyle name="Note 2 7 3 4 2" xfId="46014" xr:uid="{12B92372-6A2C-4DAE-AD03-0769A6610877}"/>
    <cellStyle name="Note 2 7 3 4 3" xfId="34916" xr:uid="{07E584FE-E46E-4FAD-BF3A-23FF1BF88E60}"/>
    <cellStyle name="Note 2 7 3 5" xfId="9186" xr:uid="{718CF37F-4122-4AB5-8BB8-EC3C99F15D9D}"/>
    <cellStyle name="Note 2 7 3 5 2" xfId="34917" xr:uid="{CD52C56F-0EF0-4E48-B8FA-29BB60A93882}"/>
    <cellStyle name="Note 2 7 3 6" xfId="34918" xr:uid="{AE5EFE6C-9711-4EFD-ADC8-B688685BD771}"/>
    <cellStyle name="Note 2 7 3 7" xfId="34919" xr:uid="{0B1BFBC6-11CB-4B4A-854A-49F2EE816D05}"/>
    <cellStyle name="Note 2 7 4" xfId="3401" xr:uid="{681D7182-5AE7-44F4-9B55-17C2AF08BD44}"/>
    <cellStyle name="Note 2 7 4 2" xfId="5289" xr:uid="{3C32E19A-1709-40BF-A976-CCEB3E8DBD3A}"/>
    <cellStyle name="Note 2 7 4 2 2" xfId="22640" xr:uid="{2015B8BA-59C3-4525-B052-59C636013873}"/>
    <cellStyle name="Note 2 7 4 2 3" xfId="43701" xr:uid="{0E61C8BB-BE36-4D7C-B17C-1989E38DAB3A}"/>
    <cellStyle name="Note 2 7 4 2 4" xfId="19023" xr:uid="{A0F028E2-A44F-4235-B967-568F35F6442E}"/>
    <cellStyle name="Note 2 7 4 3" xfId="4300" xr:uid="{98F0D1E4-D667-46D5-916B-87AF0FF3F243}"/>
    <cellStyle name="Note 2 7 4 3 2" xfId="44104" xr:uid="{28D5E4E1-5299-40B0-AA89-3D080A923389}"/>
    <cellStyle name="Note 2 7 4 3 3" xfId="34920" xr:uid="{1825118E-AD6C-4353-AE60-8A20DBEEC347}"/>
    <cellStyle name="Note 2 7 4 4" xfId="6367" xr:uid="{3725C3D3-C7F2-4DD2-944F-92F4B697ECDF}"/>
    <cellStyle name="Note 2 7 4 4 2" xfId="46015" xr:uid="{CBE92F12-8506-4031-99A8-0DBF9DDE0537}"/>
    <cellStyle name="Note 2 7 4 4 3" xfId="34921" xr:uid="{55DAFFE4-473A-4032-B5B5-4DCBC3A8F6A7}"/>
    <cellStyle name="Note 2 7 4 5" xfId="9187" xr:uid="{6E894842-A8CC-41CC-B3A2-B2C5E2338AD6}"/>
    <cellStyle name="Note 2 7 4 5 2" xfId="34922" xr:uid="{DDABAFC3-B3FA-4EAB-AA86-627AA20EA0FD}"/>
    <cellStyle name="Note 2 7 4 6" xfId="34923" xr:uid="{099AA171-76FA-43A5-A25D-2EAC543D6576}"/>
    <cellStyle name="Note 2 7 4 7" xfId="34924" xr:uid="{01E0799D-21D7-4CD7-8F3C-0256AB5454C4}"/>
    <cellStyle name="Note 2 7 5" xfId="5286" xr:uid="{1AE7DFB0-7C51-4FF4-B43C-96559ADAE78E}"/>
    <cellStyle name="Note 2 7 5 2" xfId="22637" xr:uid="{5DC1E650-1E45-453B-AD9D-E1594D84C615}"/>
    <cellStyle name="Note 2 7 5 3" xfId="43698" xr:uid="{1A4D05CE-B031-44E7-861B-A402D746DE69}"/>
    <cellStyle name="Note 2 7 5 4" xfId="19020" xr:uid="{897E48DF-32EE-4B35-8D64-9DFB298E4352}"/>
    <cellStyle name="Note 2 7 6" xfId="4297" xr:uid="{495F5072-CBFB-42E7-B860-8DD473CC4605}"/>
    <cellStyle name="Note 2 7 6 2" xfId="44101" xr:uid="{ACA83886-C87A-4687-88E7-411C88BD7292}"/>
    <cellStyle name="Note 2 7 6 3" xfId="34925" xr:uid="{F0D688F5-3813-4DEE-AD38-24E3DB5814E5}"/>
    <cellStyle name="Note 2 7 7" xfId="6364" xr:uid="{FC386D74-A2BE-4369-8FA4-50EA74EB2BFA}"/>
    <cellStyle name="Note 2 7 7 2" xfId="46012" xr:uid="{CEA9D0B1-1D23-4DB9-91F3-16DA692E81D0}"/>
    <cellStyle name="Note 2 7 7 3" xfId="34926" xr:uid="{FDDE6227-DF9A-40F5-86E8-9CFC9B4F98F3}"/>
    <cellStyle name="Note 2 7 8" xfId="9184" xr:uid="{C55B4818-F2ED-48C5-B1BB-59A906E84825}"/>
    <cellStyle name="Note 2 7 8 2" xfId="34927" xr:uid="{963EFCB6-3AE3-4DA5-BF79-0FDF0582F0E6}"/>
    <cellStyle name="Note 2 7 9" xfId="34928" xr:uid="{C571E9FF-7DC6-41B5-A28C-D43CFA470BA2}"/>
    <cellStyle name="Note 2 8" xfId="3402" xr:uid="{64E5B14B-EEEF-4F66-9901-00AA304A4CB2}"/>
    <cellStyle name="Note 2 8 10" xfId="34929" xr:uid="{87ED8FDF-B77F-4E13-884A-36AA280BAE8F}"/>
    <cellStyle name="Note 2 8 2" xfId="3403" xr:uid="{22987F6D-243D-4D28-A6C1-1C2C3AF2B9B0}"/>
    <cellStyle name="Note 2 8 2 2" xfId="5291" xr:uid="{2C3DAC70-E482-4DA7-BA0A-C28151215028}"/>
    <cellStyle name="Note 2 8 2 2 2" xfId="22642" xr:uid="{0DD6990E-C57D-4F24-A1C3-8DEA6DDB36A8}"/>
    <cellStyle name="Note 2 8 2 2 3" xfId="43703" xr:uid="{AD2AAFE5-CCD8-4253-9598-D26F172C6BCF}"/>
    <cellStyle name="Note 2 8 2 2 4" xfId="19025" xr:uid="{67B86F61-4E00-4FD2-95E5-8803CB3A5C7E}"/>
    <cellStyle name="Note 2 8 2 3" xfId="4302" xr:uid="{D6DDAD01-4230-427F-8037-E2C3AE723031}"/>
    <cellStyle name="Note 2 8 2 3 2" xfId="44106" xr:uid="{60D80B2A-84DA-4728-A84B-6D8430282269}"/>
    <cellStyle name="Note 2 8 2 3 3" xfId="34930" xr:uid="{2F09A4E4-2A91-4FD3-91A1-41F97CFF9750}"/>
    <cellStyle name="Note 2 8 2 4" xfId="6369" xr:uid="{538284EB-680F-4589-9815-C7B04D2CEE15}"/>
    <cellStyle name="Note 2 8 2 4 2" xfId="46017" xr:uid="{95BD6839-B7E8-4927-AC51-DAB658B73BDD}"/>
    <cellStyle name="Note 2 8 2 4 3" xfId="34931" xr:uid="{F8D52D19-9AB8-433B-BAA2-3F800BAE8581}"/>
    <cellStyle name="Note 2 8 2 5" xfId="9189" xr:uid="{0A8EE911-08C1-42BC-9D03-B8D0545545DC}"/>
    <cellStyle name="Note 2 8 2 5 2" xfId="34932" xr:uid="{23854B66-ED1E-417C-8E4C-F46A2C3939A0}"/>
    <cellStyle name="Note 2 8 2 6" xfId="34933" xr:uid="{728129C7-EAF7-4360-A591-D691AF1B15A1}"/>
    <cellStyle name="Note 2 8 2 7" xfId="34934" xr:uid="{B2AF048F-4A88-44B3-8B72-ED84A506D6D9}"/>
    <cellStyle name="Note 2 8 3" xfId="3404" xr:uid="{09F60156-1EE2-464E-8860-1BD32DC9824E}"/>
    <cellStyle name="Note 2 8 3 2" xfId="5292" xr:uid="{AAEEC042-EF40-4A89-8748-342F158B37CC}"/>
    <cellStyle name="Note 2 8 3 2 2" xfId="22643" xr:uid="{C37F8C02-9C26-4FA1-9B2B-C4BB2F8ECCF4}"/>
    <cellStyle name="Note 2 8 3 2 3" xfId="43704" xr:uid="{36441AD0-0F28-46D1-A19D-44CF9EC9E311}"/>
    <cellStyle name="Note 2 8 3 2 4" xfId="19026" xr:uid="{CDC2CCD2-8B14-4E9D-8CAA-AFE7E45B6247}"/>
    <cellStyle name="Note 2 8 3 3" xfId="4303" xr:uid="{1209B307-9F71-42B9-B14C-062F9F23D8D1}"/>
    <cellStyle name="Note 2 8 3 3 2" xfId="44107" xr:uid="{68AD722D-EDF3-4C27-B2EB-15656D5A9B77}"/>
    <cellStyle name="Note 2 8 3 3 3" xfId="34935" xr:uid="{6829E135-0177-481A-9B09-595F79E42C7F}"/>
    <cellStyle name="Note 2 8 3 4" xfId="6370" xr:uid="{99B5A6FB-7E14-4CB7-A2D5-613312252929}"/>
    <cellStyle name="Note 2 8 3 4 2" xfId="46018" xr:uid="{B26DF993-CC1D-4937-9D1C-5FC1E68E90FC}"/>
    <cellStyle name="Note 2 8 3 4 3" xfId="34936" xr:uid="{21639772-4A68-41FC-BC88-A1D9748643A8}"/>
    <cellStyle name="Note 2 8 3 5" xfId="9190" xr:uid="{5C36FDFF-4FE9-461B-A7C1-CDBDB413EB22}"/>
    <cellStyle name="Note 2 8 3 5 2" xfId="34937" xr:uid="{8EE9B584-7B2A-4C2E-9112-0CA5D0105317}"/>
    <cellStyle name="Note 2 8 3 6" xfId="34938" xr:uid="{A53D8E1C-A501-4D7A-9E96-4F1AADC138BA}"/>
    <cellStyle name="Note 2 8 3 7" xfId="34939" xr:uid="{CB2FACAB-17F6-4C14-9E0A-146DCFE46FDB}"/>
    <cellStyle name="Note 2 8 4" xfId="3405" xr:uid="{8161F1B3-E803-469A-B4AC-8C6417936905}"/>
    <cellStyle name="Note 2 8 4 2" xfId="5293" xr:uid="{9601AF2A-0029-4D4A-B182-A227CE02D4B5}"/>
    <cellStyle name="Note 2 8 4 2 2" xfId="22644" xr:uid="{EC52BC94-99BA-4996-BDA5-E098BA2C0EA2}"/>
    <cellStyle name="Note 2 8 4 2 3" xfId="43705" xr:uid="{237ABB41-0555-4B54-87EA-171F7B2B257D}"/>
    <cellStyle name="Note 2 8 4 2 4" xfId="19027" xr:uid="{0BC92493-8BB2-4B01-AAD8-581997A65AD0}"/>
    <cellStyle name="Note 2 8 4 3" xfId="4304" xr:uid="{21E111F6-0702-4D65-AAA9-A9208318D990}"/>
    <cellStyle name="Note 2 8 4 3 2" xfId="44108" xr:uid="{A85332ED-3815-4A6C-8A58-CA9BF3E33033}"/>
    <cellStyle name="Note 2 8 4 3 3" xfId="34940" xr:uid="{D38FDC25-F248-4161-8320-B05BC8733075}"/>
    <cellStyle name="Note 2 8 4 4" xfId="6371" xr:uid="{FC59CB9C-C761-450E-8AC8-04319A86E87C}"/>
    <cellStyle name="Note 2 8 4 4 2" xfId="46019" xr:uid="{58A53684-738A-4FC2-971D-CE1077721636}"/>
    <cellStyle name="Note 2 8 4 4 3" xfId="34941" xr:uid="{6B537FA4-0F1F-4154-AC8E-1AD8F4D547A7}"/>
    <cellStyle name="Note 2 8 4 5" xfId="9191" xr:uid="{45FF9590-203E-40DE-B6DD-CB55CF35588C}"/>
    <cellStyle name="Note 2 8 4 5 2" xfId="34942" xr:uid="{92B4F377-ABCE-4B78-9B35-09CD01247A19}"/>
    <cellStyle name="Note 2 8 4 6" xfId="34943" xr:uid="{95C186A1-C803-4724-80D6-B7A2B74CBA14}"/>
    <cellStyle name="Note 2 8 4 7" xfId="34944" xr:uid="{B73C08FF-71CD-432D-A291-19EB5F49C4F1}"/>
    <cellStyle name="Note 2 8 5" xfId="5290" xr:uid="{E31B66E0-FB1C-495B-B02C-E0A0BB034EC8}"/>
    <cellStyle name="Note 2 8 5 2" xfId="22641" xr:uid="{0A0674B7-A066-4701-8CC6-9D9CA5F89839}"/>
    <cellStyle name="Note 2 8 5 3" xfId="43702" xr:uid="{CC57E842-E2C7-4477-B9D6-C4548F802A91}"/>
    <cellStyle name="Note 2 8 5 4" xfId="19024" xr:uid="{ED657E34-73AC-4129-933C-B015C20F2DF7}"/>
    <cellStyle name="Note 2 8 6" xfId="4301" xr:uid="{CFD464CF-0B13-4D06-8440-F56E4683DC0C}"/>
    <cellStyle name="Note 2 8 6 2" xfId="44105" xr:uid="{F79479C6-E189-44DF-A7F7-00EAE6A6F88B}"/>
    <cellStyle name="Note 2 8 6 3" xfId="34945" xr:uid="{031F7432-D0B3-40A4-A30C-E445C38EEC9D}"/>
    <cellStyle name="Note 2 8 7" xfId="6368" xr:uid="{66FE8F24-62C9-499E-956B-222D96B85D94}"/>
    <cellStyle name="Note 2 8 7 2" xfId="46016" xr:uid="{E6CDA9A1-DD49-4B38-8151-8CBFBC43AFA4}"/>
    <cellStyle name="Note 2 8 7 3" xfId="34946" xr:uid="{BB75BA3F-DA00-48BB-8012-B5231DBF0660}"/>
    <cellStyle name="Note 2 8 8" xfId="9188" xr:uid="{F60E8824-BEDD-4B9E-BD98-A20DD6402A06}"/>
    <cellStyle name="Note 2 8 8 2" xfId="34947" xr:uid="{320E24F8-77ED-4898-9EAC-7D045BD46DEC}"/>
    <cellStyle name="Note 2 8 9" xfId="34948" xr:uid="{237FCE45-C495-48B6-A3C4-2DBF10C88830}"/>
    <cellStyle name="Note 2 9" xfId="3406" xr:uid="{A134D65C-4993-4BFA-BAAF-B3E795331C9E}"/>
    <cellStyle name="Note 2 9 10" xfId="34949" xr:uid="{6A4DDC17-A81A-4355-BDB4-6B12A3E239C8}"/>
    <cellStyle name="Note 2 9 2" xfId="3407" xr:uid="{63D7C961-2832-4426-8F86-48CE508C6D7D}"/>
    <cellStyle name="Note 2 9 2 2" xfId="5295" xr:uid="{6F4B8226-7703-448B-ADB4-F85C977CC9C9}"/>
    <cellStyle name="Note 2 9 2 2 2" xfId="22646" xr:uid="{7F15298F-ABE2-4A55-B480-A3F24D15402E}"/>
    <cellStyle name="Note 2 9 2 2 3" xfId="43707" xr:uid="{F2302646-E7CE-427E-A690-7E9375B9A19A}"/>
    <cellStyle name="Note 2 9 2 2 4" xfId="19029" xr:uid="{E7E214F4-DEFA-4508-84F1-2FFECF585F2B}"/>
    <cellStyle name="Note 2 9 2 3" xfId="4306" xr:uid="{5806A699-0AE5-49C0-9B5B-D563D069678C}"/>
    <cellStyle name="Note 2 9 2 3 2" xfId="44110" xr:uid="{1606A8BC-E84C-4EA8-A00F-1ED4F7EFD4F9}"/>
    <cellStyle name="Note 2 9 2 3 3" xfId="34950" xr:uid="{E651A6DE-68AD-436B-B576-28C27BA51AAA}"/>
    <cellStyle name="Note 2 9 2 4" xfId="6373" xr:uid="{AFE67E44-4623-4CBA-9934-F887F3D90ECC}"/>
    <cellStyle name="Note 2 9 2 4 2" xfId="46021" xr:uid="{80909380-C348-4414-8AAA-69759E8B7596}"/>
    <cellStyle name="Note 2 9 2 4 3" xfId="34951" xr:uid="{72FE5B3F-A820-437D-821E-D926675BA3E7}"/>
    <cellStyle name="Note 2 9 2 5" xfId="9193" xr:uid="{2B7A7A03-F644-49C4-ABC3-B76A27B68F40}"/>
    <cellStyle name="Note 2 9 2 5 2" xfId="34952" xr:uid="{BCFC579A-A8DC-41DB-9589-0F33C237331D}"/>
    <cellStyle name="Note 2 9 2 6" xfId="34953" xr:uid="{BC88C8BD-C0D7-47E0-A878-A3F4ADD40A0E}"/>
    <cellStyle name="Note 2 9 2 7" xfId="34954" xr:uid="{ED142627-0A0F-4960-BFAB-299D3FFB93B3}"/>
    <cellStyle name="Note 2 9 3" xfId="3408" xr:uid="{32377154-DCF8-4FF2-8305-5B12EF21AAA9}"/>
    <cellStyle name="Note 2 9 3 2" xfId="5296" xr:uid="{6A50634B-C462-434D-A17C-0C827DA1F4BC}"/>
    <cellStyle name="Note 2 9 3 2 2" xfId="22647" xr:uid="{462057E0-8BC8-44F7-BBC2-ECEE636E60E8}"/>
    <cellStyle name="Note 2 9 3 2 3" xfId="43708" xr:uid="{157E2CFC-FF68-4CF2-8784-C5AC86E70B7A}"/>
    <cellStyle name="Note 2 9 3 2 4" xfId="19030" xr:uid="{2ABEC8A8-B2B9-4B87-8FA9-686314A4733F}"/>
    <cellStyle name="Note 2 9 3 3" xfId="4307" xr:uid="{A5C86643-57ED-4A7B-8C47-D8DC4BA06A27}"/>
    <cellStyle name="Note 2 9 3 3 2" xfId="44111" xr:uid="{043A1AFF-3B41-45D4-8A76-5E7596D0C317}"/>
    <cellStyle name="Note 2 9 3 3 3" xfId="34955" xr:uid="{18FA7120-724F-4ABF-89F6-78B525FA606A}"/>
    <cellStyle name="Note 2 9 3 4" xfId="6374" xr:uid="{A53EFD59-8063-46B1-BBDA-9E2B4648A400}"/>
    <cellStyle name="Note 2 9 3 4 2" xfId="46022" xr:uid="{400F6984-D0AE-4B53-B5D2-0DB09741DE20}"/>
    <cellStyle name="Note 2 9 3 4 3" xfId="34956" xr:uid="{424157E2-FFA0-42E1-BF48-E371FA352F54}"/>
    <cellStyle name="Note 2 9 3 5" xfId="9194" xr:uid="{387C3D98-CCD2-44B2-8CC6-5976EF40137C}"/>
    <cellStyle name="Note 2 9 3 5 2" xfId="34957" xr:uid="{A7865216-6730-43D1-AEAA-F0FBE100A927}"/>
    <cellStyle name="Note 2 9 3 6" xfId="34958" xr:uid="{A2A47B1D-D3D4-4122-81DE-5FE01CE0630B}"/>
    <cellStyle name="Note 2 9 3 7" xfId="34959" xr:uid="{D27948EC-9088-4360-AF1D-3F38A8DD9112}"/>
    <cellStyle name="Note 2 9 4" xfId="3409" xr:uid="{DA11288F-CF55-4CBE-8025-39770369CF72}"/>
    <cellStyle name="Note 2 9 4 2" xfId="5297" xr:uid="{086F8E35-B19F-4C03-A0C6-904789EE7911}"/>
    <cellStyle name="Note 2 9 4 2 2" xfId="22648" xr:uid="{6E1B2D6F-521E-44AF-8BAA-2D5C076E5384}"/>
    <cellStyle name="Note 2 9 4 2 3" xfId="43709" xr:uid="{ED0F5111-D378-4C3E-A9E6-3B63FAF26B52}"/>
    <cellStyle name="Note 2 9 4 2 4" xfId="19031" xr:uid="{02E50956-2073-4DD8-983D-B2DAA903E16D}"/>
    <cellStyle name="Note 2 9 4 3" xfId="4308" xr:uid="{64215C1D-CC23-4331-9309-1DA055082F76}"/>
    <cellStyle name="Note 2 9 4 3 2" xfId="44112" xr:uid="{7F8C61F3-E71D-4F10-8439-EB2AA1CD5B80}"/>
    <cellStyle name="Note 2 9 4 3 3" xfId="34960" xr:uid="{10D95E27-D41F-41D4-BA42-9F2E327AA518}"/>
    <cellStyle name="Note 2 9 4 4" xfId="6375" xr:uid="{30D3D729-A659-4CD5-97D9-18D37ADF1408}"/>
    <cellStyle name="Note 2 9 4 4 2" xfId="46023" xr:uid="{DD99E94D-E05F-41E3-AF6B-FC605C001157}"/>
    <cellStyle name="Note 2 9 4 4 3" xfId="34961" xr:uid="{65A7B1DB-7B01-4497-BA85-516014DC9F10}"/>
    <cellStyle name="Note 2 9 4 5" xfId="9195" xr:uid="{1F0BEF57-9A3D-486A-9E4A-A4CA40404849}"/>
    <cellStyle name="Note 2 9 4 5 2" xfId="34962" xr:uid="{06FB2E14-FA49-4DE3-9B4A-223E80D02CFC}"/>
    <cellStyle name="Note 2 9 4 6" xfId="34963" xr:uid="{115DD300-EB73-4B9E-B83B-7F708EB04EB9}"/>
    <cellStyle name="Note 2 9 4 7" xfId="34964" xr:uid="{0CBA2BE0-ED39-4FE7-B830-3B03779F51BA}"/>
    <cellStyle name="Note 2 9 5" xfId="5294" xr:uid="{75A14296-B20B-4411-97B5-2133DE37DC24}"/>
    <cellStyle name="Note 2 9 5 2" xfId="22645" xr:uid="{5ABBCC2D-704F-40B8-BFA3-DD63D56AA6D7}"/>
    <cellStyle name="Note 2 9 5 3" xfId="43706" xr:uid="{788F54A9-9EB2-4BE2-85B5-6B24918A0F82}"/>
    <cellStyle name="Note 2 9 5 4" xfId="19028" xr:uid="{20A0FB82-C117-4670-94A8-E365A1B099A7}"/>
    <cellStyle name="Note 2 9 6" xfId="4305" xr:uid="{0A2DD2D1-A5B2-4348-98D7-D74A822489CB}"/>
    <cellStyle name="Note 2 9 6 2" xfId="44109" xr:uid="{A3462DF0-29D9-460F-890E-5E669734E5A4}"/>
    <cellStyle name="Note 2 9 6 3" xfId="34965" xr:uid="{9F062FE6-1332-47CB-B13F-AC0E17908D05}"/>
    <cellStyle name="Note 2 9 7" xfId="6372" xr:uid="{D4D8BE0C-C349-4C5E-8B86-C560F3FDFF91}"/>
    <cellStyle name="Note 2 9 7 2" xfId="46020" xr:uid="{52CBB42E-1229-4519-A122-2EAF6C09C174}"/>
    <cellStyle name="Note 2 9 7 3" xfId="34966" xr:uid="{6F8B408E-518E-4540-A44A-121F824691AF}"/>
    <cellStyle name="Note 2 9 8" xfId="9192" xr:uid="{E68201CA-A1A8-4CEC-BE7C-57D36FED8727}"/>
    <cellStyle name="Note 2 9 8 2" xfId="34967" xr:uid="{9086DBE0-DEEE-443B-B3AD-FE3A768BA079}"/>
    <cellStyle name="Note 2 9 9" xfId="34968" xr:uid="{2BDE9D39-8525-43A8-9D38-E73D01612F80}"/>
    <cellStyle name="Note 2_IND_UC" xfId="15258" xr:uid="{FBAC34A1-7DCA-4737-90F8-E3F9F876D7DD}"/>
    <cellStyle name="Note 20" xfId="3410" xr:uid="{A62AEBCD-71AE-4700-81DA-FAE57C441DBE}"/>
    <cellStyle name="Note 20 2" xfId="3411" xr:uid="{F70B6959-C17C-4C8D-A98E-19C50DD9A3C7}"/>
    <cellStyle name="Note 20 2 2" xfId="5299" xr:uid="{5F7A5130-253F-436D-B9C4-C180BE864E55}"/>
    <cellStyle name="Note 20 2 2 2" xfId="10832" xr:uid="{03CB2623-C4AA-4A48-9357-D599B5AC0B8D}"/>
    <cellStyle name="Note 20 2 2 2 2" xfId="22650" xr:uid="{BA033A29-3E5F-4D8E-89A8-4DFD54664D05}"/>
    <cellStyle name="Note 20 2 2 3" xfId="43711" xr:uid="{3BBF095A-DD3B-4F4D-A59C-BC90A72E1513}"/>
    <cellStyle name="Note 20 2 2 4" xfId="19033" xr:uid="{59CF7F21-EC1F-4E25-8E7B-E0F38C3609D8}"/>
    <cellStyle name="Note 20 2 3" xfId="4309" xr:uid="{A1B7593A-6B31-4247-A9DC-7078FC3A0BE1}"/>
    <cellStyle name="Note 20 2 3 2" xfId="44113" xr:uid="{56D6E311-697C-4571-85B0-B5545B94E36D}"/>
    <cellStyle name="Note 20 2 3 3" xfId="34969" xr:uid="{7E75CCDA-5CF7-4389-8C66-77E529929076}"/>
    <cellStyle name="Note 20 2 4" xfId="6376" xr:uid="{A88405E0-1211-4F94-BF3B-273D4E4BE6C4}"/>
    <cellStyle name="Note 20 2 4 2" xfId="46024" xr:uid="{7DE2B790-0D78-4DA7-BE87-991F53B5381A}"/>
    <cellStyle name="Note 20 2 4 3" xfId="34970" xr:uid="{20D0399D-25A6-42BB-BE77-EBCEFB703A6E}"/>
    <cellStyle name="Note 20 2 5" xfId="9197" xr:uid="{BEECFF5F-FACA-47EC-B7CC-0E6DB2570926}"/>
    <cellStyle name="Note 20 2 5 2" xfId="34971" xr:uid="{663980F1-386B-40AB-927A-6BDA9B68C43D}"/>
    <cellStyle name="Note 20 2 6" xfId="8059" xr:uid="{4FB259FB-7C53-4D57-B4D6-ADEBA5138CA1}"/>
    <cellStyle name="Note 20 2 6 2" xfId="34972" xr:uid="{99920363-033E-40A7-9C5A-B70DA90A1F3E}"/>
    <cellStyle name="Note 20 2 7" xfId="34973" xr:uid="{CC85CED5-B848-43D8-B672-5DEEDF7860D2}"/>
    <cellStyle name="Note 20 3" xfId="3412" xr:uid="{996E82E9-1FEE-4CAB-976F-CB7C87671BA1}"/>
    <cellStyle name="Note 20 3 2" xfId="19034" xr:uid="{6ECEDD64-C571-4B18-8940-9384F1753A5D}"/>
    <cellStyle name="Note 20 3 2 2" xfId="22651" xr:uid="{E30C89D7-BF7C-41BE-AA31-FCF32E5B1489}"/>
    <cellStyle name="Note 20 3 3" xfId="34974" xr:uid="{A1B716AB-162C-4BF2-ABB9-1BCED170BC69}"/>
    <cellStyle name="Note 20 3 4" xfId="34975" xr:uid="{0A8C5598-2337-4170-9B6B-0604A77DF1D2}"/>
    <cellStyle name="Note 20 3 5" xfId="34976" xr:uid="{701D6DAD-AC2A-41E3-B511-099034F4310E}"/>
    <cellStyle name="Note 20 3 6" xfId="34977" xr:uid="{4E1055BB-1533-404F-9115-DE9D2A4010E7}"/>
    <cellStyle name="Note 20 3 7" xfId="34978" xr:uid="{94637A5B-9168-444D-809C-087A2AD6A736}"/>
    <cellStyle name="Note 20 4" xfId="5298" xr:uid="{7D3AB4CE-06A2-4671-9ED5-C206A93CF79D}"/>
    <cellStyle name="Note 20 4 2" xfId="22649" xr:uid="{3DEEBD09-CA99-4295-8B17-6649E8871FF4}"/>
    <cellStyle name="Note 20 4 3" xfId="43710" xr:uid="{CCEFEA6B-C9F7-4FC8-9B24-1AE2F34224F3}"/>
    <cellStyle name="Note 20 4 4" xfId="19032" xr:uid="{F53DF687-7B96-4F31-9A9F-36611317D2F6}"/>
    <cellStyle name="Note 20 5" xfId="9196" xr:uid="{FEB5A76B-9710-4ED9-A02C-B11DD1FAD969}"/>
    <cellStyle name="Note 20 5 2" xfId="47097" xr:uid="{DB99EC52-9DDC-446E-A50C-1AD3B341BC1E}"/>
    <cellStyle name="Note 20 5 3" xfId="34979" xr:uid="{72BBB431-3EC6-4189-B524-9130ABB68A23}"/>
    <cellStyle name="Note 20 6" xfId="34980" xr:uid="{43535A2D-86A0-491E-A8C8-50C20D245B26}"/>
    <cellStyle name="Note 20 7" xfId="34981" xr:uid="{BD1D02B4-43A0-4712-A8A5-4BEE6BD354B9}"/>
    <cellStyle name="Note 20 8" xfId="34982" xr:uid="{03F3CA8B-70A5-4847-ADBB-FBCFECA8001F}"/>
    <cellStyle name="Note 20 9" xfId="34983" xr:uid="{12BB9D6B-44E4-4563-A64E-EFBC37ADBF43}"/>
    <cellStyle name="Note 21" xfId="3413" xr:uid="{78FD499A-7081-4850-AFF2-62A19445A211}"/>
    <cellStyle name="Note 21 2" xfId="3414" xr:uid="{11D6F9A4-FF6B-447C-9C53-9C5401A5E729}"/>
    <cellStyle name="Note 21 2 2" xfId="5301" xr:uid="{C0748EB3-5301-4276-BBD5-90990E0B02DA}"/>
    <cellStyle name="Note 21 2 2 2" xfId="10491" xr:uid="{CBF07B19-CECA-4F14-82CF-C0AB63489D40}"/>
    <cellStyle name="Note 21 2 2 2 2" xfId="22653" xr:uid="{C5723BEB-C70D-4DB9-B2AC-90960F6B4A9F}"/>
    <cellStyle name="Note 21 2 2 3" xfId="44338" xr:uid="{3B944028-B78D-482C-AF50-F827BBA58BE5}"/>
    <cellStyle name="Note 21 2 2 4" xfId="19036" xr:uid="{A4485746-609B-41D3-9E15-D0137BE2B084}"/>
    <cellStyle name="Note 21 2 3" xfId="6979" xr:uid="{CC64A74A-FAEC-4312-A257-038EBBBB0475}"/>
    <cellStyle name="Note 21 2 3 2" xfId="46440" xr:uid="{3DB4CB65-9E1F-413D-AF62-AF3CA70A49AF}"/>
    <cellStyle name="Note 21 2 3 3" xfId="34984" xr:uid="{4CAD05E6-23C9-4F78-A51C-239574CB0545}"/>
    <cellStyle name="Note 21 2 4" xfId="9199" xr:uid="{7B0A86E2-28E4-4A2C-BCA6-841405EF0A8E}"/>
    <cellStyle name="Note 21 2 4 2" xfId="34985" xr:uid="{504A537F-1C09-4A48-9CFE-0EE5007111CD}"/>
    <cellStyle name="Note 21 2 5" xfId="8057" xr:uid="{22D7C244-EF34-4203-BB0C-5F8F2F80FEA5}"/>
    <cellStyle name="Note 21 2 5 2" xfId="34986" xr:uid="{E66F9D5B-8F13-4BFF-A00C-41CE1564C48E}"/>
    <cellStyle name="Note 21 2 6" xfId="34987" xr:uid="{B90A94DB-5B5D-4CDA-9DA1-2E4584C24C6B}"/>
    <cellStyle name="Note 21 3" xfId="5300" xr:uid="{CFBE5D71-E4AE-4C08-A445-58DF7653E0AC}"/>
    <cellStyle name="Note 21 3 2" xfId="22652" xr:uid="{7C35F494-9F9F-40F3-B20C-4211ADD9349D}"/>
    <cellStyle name="Note 21 3 3" xfId="43712" xr:uid="{3E30277A-65E7-4445-B6A1-255FF4100944}"/>
    <cellStyle name="Note 21 3 4" xfId="19035" xr:uid="{44FB8B1C-F258-4F0A-A29A-15B2DB512271}"/>
    <cellStyle name="Note 21 4" xfId="4310" xr:uid="{58F47C23-455C-44BF-95CC-22D72A474832}"/>
    <cellStyle name="Note 21 4 2" xfId="44114" xr:uid="{297C45CE-3B94-4C6B-BFEA-FCFE428BE90A}"/>
    <cellStyle name="Note 21 4 3" xfId="34988" xr:uid="{74FC228E-5659-4797-8483-741FD6442F59}"/>
    <cellStyle name="Note 21 5" xfId="6377" xr:uid="{36AEB600-E4F0-4682-8760-3E2D30E1B501}"/>
    <cellStyle name="Note 21 5 2" xfId="46025" xr:uid="{80909755-4145-4D23-9815-E048AC2D2E78}"/>
    <cellStyle name="Note 21 5 3" xfId="34989" xr:uid="{7A5F4357-B303-48CC-8571-FECCE9DFAAE0}"/>
    <cellStyle name="Note 21 6" xfId="9198" xr:uid="{3A4A7129-60BB-4881-BD9B-7B2E4C3F0876}"/>
    <cellStyle name="Note 21 6 2" xfId="34990" xr:uid="{C2C248C5-5508-41AA-8055-8AC97FC60FCD}"/>
    <cellStyle name="Note 21 7" xfId="8058" xr:uid="{947DA6DC-08A4-4C67-BFE0-38239A9126E2}"/>
    <cellStyle name="Note 21 7 2" xfId="34991" xr:uid="{4561BB4F-D4E3-4943-9C55-20CD44927E3C}"/>
    <cellStyle name="Note 21 8" xfId="34992" xr:uid="{ED9E8588-218C-4DAD-8560-C60368654C10}"/>
    <cellStyle name="Note 22" xfId="3415" xr:uid="{A967E573-8A77-4E2F-8F03-80B717F71528}"/>
    <cellStyle name="Note 22 2" xfId="3416" xr:uid="{6D3DEB57-93A0-4D81-AC54-A1F30B187C58}"/>
    <cellStyle name="Note 22 2 2" xfId="5303" xr:uid="{87BE6C56-9A50-4251-9DE0-2B0D559CA459}"/>
    <cellStyle name="Note 22 2 2 2" xfId="22655" xr:uid="{7B9E187C-1BE0-4371-A732-E8B2C9CD8231}"/>
    <cellStyle name="Note 22 2 2 3" xfId="44339" xr:uid="{C2AF1AB1-7C75-4DCC-B9D3-4CFD44989674}"/>
    <cellStyle name="Note 22 2 2 4" xfId="19038" xr:uid="{76165DC1-0984-48D0-99BA-9AC63E137ABD}"/>
    <cellStyle name="Note 22 2 3" xfId="6980" xr:uid="{A67D0046-4688-457B-8B25-D4494DAFEBD3}"/>
    <cellStyle name="Note 22 2 3 2" xfId="46441" xr:uid="{DCF373E4-5BDC-48D0-A8BD-7AFA24587B5F}"/>
    <cellStyle name="Note 22 2 3 3" xfId="34993" xr:uid="{F685BBBD-9768-4662-AD03-925856C043E1}"/>
    <cellStyle name="Note 22 2 4" xfId="9201" xr:uid="{0064C219-B2E7-4D30-A6F3-121F5F231E7E}"/>
    <cellStyle name="Note 22 2 4 2" xfId="34994" xr:uid="{1C214967-E6FE-4F85-BE3A-CC91075AB44C}"/>
    <cellStyle name="Note 22 2 5" xfId="34995" xr:uid="{C8917697-A130-489C-B136-7166036E8591}"/>
    <cellStyle name="Note 22 2 6" xfId="34996" xr:uid="{50159237-38E0-4904-8B86-E1A8B88F67F7}"/>
    <cellStyle name="Note 22 3" xfId="5302" xr:uid="{FA1936C9-6608-4B41-A23C-B1F2529E0D83}"/>
    <cellStyle name="Note 22 3 2" xfId="22654" xr:uid="{979F43DA-7413-4E87-A175-9BE6CC7FDEF6}"/>
    <cellStyle name="Note 22 3 3" xfId="43713" xr:uid="{911FC75B-54AE-4488-A025-0F0FA8071164}"/>
    <cellStyle name="Note 22 3 4" xfId="19037" xr:uid="{CA1FD61E-DCE9-4990-AEFC-ABAE594DDADD}"/>
    <cellStyle name="Note 22 4" xfId="4311" xr:uid="{21D9BC9B-E614-4F03-AAB1-9C7A546B1A6D}"/>
    <cellStyle name="Note 22 4 2" xfId="44115" xr:uid="{310096D5-4C97-4680-A9F6-7E1369155A44}"/>
    <cellStyle name="Note 22 4 3" xfId="34997" xr:uid="{9EB723EC-CD52-4DA3-A05D-0E52847B8E88}"/>
    <cellStyle name="Note 22 5" xfId="6378" xr:uid="{66BB6EB8-AFF1-4E52-9D30-6269454151DA}"/>
    <cellStyle name="Note 22 5 2" xfId="46026" xr:uid="{1B5CEFD9-B40C-41B9-A4B7-DF67C118E920}"/>
    <cellStyle name="Note 22 5 3" xfId="34998" xr:uid="{0FF87FF3-08C8-463A-8DCB-6B629D79FBCC}"/>
    <cellStyle name="Note 22 6" xfId="9200" xr:uid="{43E43462-E38A-48AD-A88E-C985D7DBC7D1}"/>
    <cellStyle name="Note 22 6 2" xfId="34999" xr:uid="{5D3FBB22-05CD-46D2-8B82-7F40EDC95011}"/>
    <cellStyle name="Note 22 7" xfId="35000" xr:uid="{759EABEF-9E67-4730-8CF4-C3AB39EC156C}"/>
    <cellStyle name="Note 22 8" xfId="35001" xr:uid="{62BE408C-7006-48CA-9F2A-A88AAB9DCD09}"/>
    <cellStyle name="Note 23" xfId="3417" xr:uid="{33407AAB-E94F-4E1C-A96D-ACCB245FC276}"/>
    <cellStyle name="Note 23 2" xfId="3418" xr:uid="{ADCE68CC-31D3-4BD3-ABF4-A127F0CFE6F8}"/>
    <cellStyle name="Note 23 2 2" xfId="5305" xr:uid="{ECF62155-62B4-499E-9AF3-8171424E99EE}"/>
    <cellStyle name="Note 23 2 2 2" xfId="22657" xr:uid="{77C9C16E-59DB-45BE-84F5-B85890335DEF}"/>
    <cellStyle name="Note 23 2 2 3" xfId="44340" xr:uid="{8F66C2A3-CB95-4E2C-9171-1323492B8726}"/>
    <cellStyle name="Note 23 2 2 4" xfId="19040" xr:uid="{2AEE3F1E-5846-46DF-9F1A-419B0C12167F}"/>
    <cellStyle name="Note 23 2 3" xfId="6981" xr:uid="{BB7CCAB1-D29C-49F6-8559-9F2908207841}"/>
    <cellStyle name="Note 23 2 3 2" xfId="46442" xr:uid="{4002DD8E-D09B-4985-9604-38F6932FCE9B}"/>
    <cellStyle name="Note 23 2 3 3" xfId="35002" xr:uid="{E81D1116-110E-4861-9D09-A2469B9E09FB}"/>
    <cellStyle name="Note 23 2 4" xfId="9203" xr:uid="{0C99C24D-7E91-49CA-8D5A-42EC222707E4}"/>
    <cellStyle name="Note 23 2 4 2" xfId="35003" xr:uid="{77ACEC2B-2532-4554-9FB2-F54219EDC86B}"/>
    <cellStyle name="Note 23 2 5" xfId="35004" xr:uid="{3E50F326-757E-4E31-B149-F1B3866CA9FE}"/>
    <cellStyle name="Note 23 2 6" xfId="35005" xr:uid="{2874CFF8-85DC-4B6D-BFCD-76CE4627275C}"/>
    <cellStyle name="Note 23 3" xfId="5304" xr:uid="{9E927623-52A1-454B-B671-AC61B6F27881}"/>
    <cellStyle name="Note 23 3 2" xfId="22656" xr:uid="{BC20E340-ED83-4CED-AA8D-EE513BFC18E3}"/>
    <cellStyle name="Note 23 3 3" xfId="43714" xr:uid="{116B550E-BDFB-4091-A1BA-DDDA8B9E182F}"/>
    <cellStyle name="Note 23 3 4" xfId="19039" xr:uid="{859540AE-BF6E-4AFF-A5EC-3D31C54E7757}"/>
    <cellStyle name="Note 23 4" xfId="4312" xr:uid="{FE4E0B21-D65E-460D-9CBE-4CF3F36AFB04}"/>
    <cellStyle name="Note 23 4 2" xfId="44116" xr:uid="{AB924FC4-1535-4FA2-8DB3-5EF4A1869F73}"/>
    <cellStyle name="Note 23 4 3" xfId="35006" xr:uid="{364D5A1D-747F-48B0-83C7-417D1E781ED8}"/>
    <cellStyle name="Note 23 5" xfId="6379" xr:uid="{5D5382C5-7FFD-4543-A4E7-DFCBDDE4999A}"/>
    <cellStyle name="Note 23 5 2" xfId="46027" xr:uid="{D47444C9-6C9A-49D1-B858-9F27A84373DD}"/>
    <cellStyle name="Note 23 5 3" xfId="35007" xr:uid="{7D966EF1-FAFC-4603-B799-A86FED9058C7}"/>
    <cellStyle name="Note 23 6" xfId="9202" xr:uid="{1FA48562-F612-4B96-9156-CAFE75BD3203}"/>
    <cellStyle name="Note 23 6 2" xfId="35008" xr:uid="{5112F15D-C817-4681-B966-00327521A425}"/>
    <cellStyle name="Note 23 7" xfId="35009" xr:uid="{105D2F81-D21E-4B4F-A2CE-91788F146673}"/>
    <cellStyle name="Note 23 8" xfId="35010" xr:uid="{745720E0-6268-4C27-85EA-135090B1CA7D}"/>
    <cellStyle name="Note 24" xfId="3419" xr:uid="{FD6488F3-970E-4AE9-AF25-B646D0A0CF8F}"/>
    <cellStyle name="Note 24 10" xfId="35011" xr:uid="{063E5F49-EE7F-42FC-BB2A-44FAFCC79161}"/>
    <cellStyle name="Note 24 2" xfId="3420" xr:uid="{571B2A03-F572-4478-8256-D44823A96123}"/>
    <cellStyle name="Note 24 2 2" xfId="5307" xr:uid="{77B0BCE9-2C78-41E2-A173-01D26E480436}"/>
    <cellStyle name="Note 24 2 2 2" xfId="22659" xr:uid="{61F8F5F5-4842-4101-A390-F8D00B01A623}"/>
    <cellStyle name="Note 24 2 2 3" xfId="43716" xr:uid="{EFB646A2-9452-4612-85BE-8B61E45BC1AF}"/>
    <cellStyle name="Note 24 2 2 4" xfId="19042" xr:uid="{52D9BE8C-1E50-460C-BDED-F57C21D37A95}"/>
    <cellStyle name="Note 24 2 3" xfId="4314" xr:uid="{197B8047-BE0A-4287-BB2A-C36608D944A2}"/>
    <cellStyle name="Note 24 2 3 2" xfId="44118" xr:uid="{1037BEDB-EF4A-4BE2-BFA0-CBC538DB73C0}"/>
    <cellStyle name="Note 24 2 3 3" xfId="35012" xr:uid="{38EBAEEF-5CBC-4012-B656-15A152F30941}"/>
    <cellStyle name="Note 24 2 4" xfId="6381" xr:uid="{DAFD923B-1E88-4862-AF61-3492B88368CC}"/>
    <cellStyle name="Note 24 2 4 2" xfId="46029" xr:uid="{FBE24CD6-B016-4BF6-89A2-53CC0EEBEDF7}"/>
    <cellStyle name="Note 24 2 4 3" xfId="35013" xr:uid="{DEB80878-B1B3-44E6-8E51-D91C1E4AC8FD}"/>
    <cellStyle name="Note 24 2 5" xfId="9205" xr:uid="{4EE1D2C8-0996-41B8-A206-C66325FD0E0D}"/>
    <cellStyle name="Note 24 2 5 2" xfId="35014" xr:uid="{C97E998E-7BA7-40B3-9AC2-B9EE46DA789B}"/>
    <cellStyle name="Note 24 2 6" xfId="35015" xr:uid="{65D92083-A29D-4453-935C-9825B6F72202}"/>
    <cellStyle name="Note 24 2 7" xfId="35016" xr:uid="{6BC885B6-E7E2-4214-8DA9-79C8FC6663E0}"/>
    <cellStyle name="Note 24 3" xfId="3421" xr:uid="{99813EF8-AEE7-4720-AEE8-0D2EFD4FE5EA}"/>
    <cellStyle name="Note 24 3 2" xfId="5308" xr:uid="{07CCE920-85FA-4473-AEBF-62986516A7F7}"/>
    <cellStyle name="Note 24 3 2 2" xfId="19044" xr:uid="{F18AEC32-115C-4334-986E-BEB28B3707FC}"/>
    <cellStyle name="Note 24 3 2 2 2" xfId="22661" xr:uid="{4F430B21-7CA0-408B-A051-350B72944DE9}"/>
    <cellStyle name="Note 24 3 2 3" xfId="35017" xr:uid="{032ACC0F-B12F-4751-8AA9-5FD8DC5F29EE}"/>
    <cellStyle name="Note 24 3 2 4" xfId="35018" xr:uid="{14F96B4F-B1F4-40FB-A67C-D952F5122B42}"/>
    <cellStyle name="Note 24 3 2 5" xfId="35019" xr:uid="{5CCC381D-5B9C-455E-A4FB-03A5BADAC6DA}"/>
    <cellStyle name="Note 24 3 2 6" xfId="35020" xr:uid="{ADB59A9A-3862-4325-B519-19191F0BD749}"/>
    <cellStyle name="Note 24 3 3" xfId="4315" xr:uid="{60C2665C-5714-4A62-8DA1-8824FA27DA62}"/>
    <cellStyle name="Note 24 3 3 2" xfId="22660" xr:uid="{ABD7AFEE-F9B2-43A9-BE92-6D16E49EBA69}"/>
    <cellStyle name="Note 24 3 3 3" xfId="44119" xr:uid="{A173BCDE-68C1-44DD-A08E-6717C1A55BEE}"/>
    <cellStyle name="Note 24 3 3 4" xfId="19043" xr:uid="{ECD94F17-05D3-48E7-B56E-9DE34C43D99B}"/>
    <cellStyle name="Note 24 3 4" xfId="6382" xr:uid="{D69A135C-2643-4906-8663-D369C3B5E773}"/>
    <cellStyle name="Note 24 3 4 2" xfId="46030" xr:uid="{7DCFA64A-CFB2-4F5D-9965-1211EB53E817}"/>
    <cellStyle name="Note 24 3 4 3" xfId="35021" xr:uid="{5137FFBB-DC77-4C5F-A4FA-A35D56F96B0D}"/>
    <cellStyle name="Note 24 3 5" xfId="9206" xr:uid="{196DDB04-98C2-44AB-A874-2E0546A45FE7}"/>
    <cellStyle name="Note 24 3 5 2" xfId="35022" xr:uid="{37E74C71-F580-4AD4-A6D3-0E2AE0C55481}"/>
    <cellStyle name="Note 24 3 6" xfId="35023" xr:uid="{7F4E180C-A12D-4C72-928E-930F0D5385EE}"/>
    <cellStyle name="Note 24 3 7" xfId="35024" xr:uid="{2444FA21-2385-4156-8B8F-C2B54263FF45}"/>
    <cellStyle name="Note 24 3 8" xfId="35025" xr:uid="{9DCE1E02-300B-4C61-9120-BEA3C09E921C}"/>
    <cellStyle name="Note 24 3 9" xfId="35026" xr:uid="{95ABB284-210F-4DA5-80B0-06619313029E}"/>
    <cellStyle name="Note 24 4" xfId="5306" xr:uid="{FB6863FF-83B0-436B-9A84-F90110E63FA5}"/>
    <cellStyle name="Note 24 4 2" xfId="22662" xr:uid="{5C25BB78-37A7-449E-9E76-1401E4F7E9BB}"/>
    <cellStyle name="Note 24 4 3" xfId="43715" xr:uid="{361868AE-0460-4865-8ED8-F757CA7D46B9}"/>
    <cellStyle name="Note 24 4 4" xfId="19045" xr:uid="{318E73D8-36F4-4435-BE69-381036FCBF6A}"/>
    <cellStyle name="Note 24 5" xfId="4313" xr:uid="{1C5DCEB6-C3A2-4B8B-BB49-1FA700097717}"/>
    <cellStyle name="Note 24 5 2" xfId="22658" xr:uid="{9D2BCC7A-5743-477C-B620-947B5FFF5F9F}"/>
    <cellStyle name="Note 24 5 3" xfId="44117" xr:uid="{59CFEC69-EB34-495F-81DA-49E43CA6F74A}"/>
    <cellStyle name="Note 24 5 4" xfId="19041" xr:uid="{C0E723EA-F1A2-4876-BE3D-A3CB5C36109A}"/>
    <cellStyle name="Note 24 6" xfId="6380" xr:uid="{F734D8C6-4BCE-4298-A4EA-8E4492048D33}"/>
    <cellStyle name="Note 24 6 2" xfId="46028" xr:uid="{73B05DCA-601E-4E38-8559-0E27B8F58A7D}"/>
    <cellStyle name="Note 24 6 3" xfId="35027" xr:uid="{AAA29AA0-90FD-4F71-94CA-37CAAA745295}"/>
    <cellStyle name="Note 24 7" xfId="9204" xr:uid="{B97C6490-BD64-45B8-B4AF-309C017662E1}"/>
    <cellStyle name="Note 24 7 2" xfId="35028" xr:uid="{D14B1816-394E-4E91-A81F-0085B2545BC8}"/>
    <cellStyle name="Note 24 8" xfId="35029" xr:uid="{CC178464-23C3-42FB-AB6A-2C3E451A5318}"/>
    <cellStyle name="Note 24 9" xfId="35030" xr:uid="{10407F44-1601-48DB-A657-CCD3732D3401}"/>
    <cellStyle name="Note 25" xfId="3422" xr:uid="{FDF2164A-1C40-4571-9EB5-F2FD05B26BB1}"/>
    <cellStyle name="Note 25 2" xfId="11198" xr:uid="{CEEFF299-29E9-4370-BA81-D6B7AFB31C83}"/>
    <cellStyle name="Note 25 2 2" xfId="19047" xr:uid="{FBA76CD1-F689-4043-9271-BE544B90A9EE}"/>
    <cellStyle name="Note 25 2 2 2" xfId="22664" xr:uid="{DDAD3BD5-3528-4C0D-83C7-29ACBD811314}"/>
    <cellStyle name="Note 25 2 3" xfId="35031" xr:uid="{8BE633B9-0D24-402A-BCB0-2FCA1A7280C3}"/>
    <cellStyle name="Note 25 2 4" xfId="35032" xr:uid="{EA3BEF95-4B96-45CD-A698-1FE3D3B248C7}"/>
    <cellStyle name="Note 25 2 5" xfId="35033" xr:uid="{ECA964A2-C3C9-460A-864A-5BB93F4F110C}"/>
    <cellStyle name="Note 25 2 6" xfId="35034" xr:uid="{AEE4A957-3D06-4E13-A7E3-24271CDC3851}"/>
    <cellStyle name="Note 25 2 7" xfId="16268" xr:uid="{86791620-E016-4B5A-B71C-5C90E196EF87}"/>
    <cellStyle name="Note 25 3" xfId="19046" xr:uid="{AFB4D5DC-FED7-4A33-B56A-DE65E1B13C99}"/>
    <cellStyle name="Note 25 3 2" xfId="22663" xr:uid="{EB7462E3-C751-4703-B3F9-9B71A883BC44}"/>
    <cellStyle name="Note 25 4" xfId="35035" xr:uid="{19B45FE5-3F9F-4005-BB5F-0E0F23246D1F}"/>
    <cellStyle name="Note 25 5" xfId="35036" xr:uid="{80DFCB04-1491-453E-8D11-132588C7BA61}"/>
    <cellStyle name="Note 25 6" xfId="35037" xr:uid="{580DB7C0-478E-43E6-9F57-558C78B83072}"/>
    <cellStyle name="Note 25 7" xfId="35038" xr:uid="{69B2CDF8-CF16-4169-A025-00D424B5512C}"/>
    <cellStyle name="Note 25 8" xfId="35039" xr:uid="{7C3FC092-B43C-4ABB-B480-AFFFBDE41D8C}"/>
    <cellStyle name="Note 25 9" xfId="16112" xr:uid="{F3188019-BC4A-4294-B1C4-5DA90AC34AE5}"/>
    <cellStyle name="Note 26" xfId="3423" xr:uid="{40F3DD28-6D54-432B-A6AF-9220EBB8A4C4}"/>
    <cellStyle name="Note 26 2" xfId="5309" xr:uid="{D1987BFE-8119-44B3-B4BA-BEDE0FC3519B}"/>
    <cellStyle name="Note 26 2 2" xfId="22665" xr:uid="{E54E7FE7-7FAA-485A-8AEE-26EA1B2099ED}"/>
    <cellStyle name="Note 26 2 3" xfId="44341" xr:uid="{8B1BDB52-57D4-464E-864F-456B02CC0347}"/>
    <cellStyle name="Note 26 2 4" xfId="19048" xr:uid="{109F33E8-7829-4DDC-9D27-B0F057687FC1}"/>
    <cellStyle name="Note 26 3" xfId="6982" xr:uid="{B2B37BF8-6190-4400-B43A-DB2669A9F45B}"/>
    <cellStyle name="Note 26 3 2" xfId="35040" xr:uid="{71B90908-C80B-464F-89DA-D041ADF9A682}"/>
    <cellStyle name="Note 26 4" xfId="9207" xr:uid="{1DFFBD0E-792F-4CC2-940F-96161F034267}"/>
    <cellStyle name="Note 26 4 2" xfId="35041" xr:uid="{E8D43B83-EDC5-4274-9AB1-5915D6C94ADC}"/>
    <cellStyle name="Note 26 5" xfId="35042" xr:uid="{0A80C985-0A3D-4792-BF56-E72F8D8232FC}"/>
    <cellStyle name="Note 26 6" xfId="35043" xr:uid="{676A534A-D3AD-406D-8C8D-75CA7DFE9B71}"/>
    <cellStyle name="Note 26 7" xfId="35044" xr:uid="{E07E5896-F57A-4742-B08B-572677B28B84}"/>
    <cellStyle name="Note 27" xfId="11218" xr:uid="{93B8D0E2-713D-4601-9795-5D06B4A8AEDB}"/>
    <cellStyle name="Note 27 2" xfId="19049" xr:uid="{B8B328FC-1397-48EB-BBAE-1EB28DF51887}"/>
    <cellStyle name="Note 27 2 2" xfId="22666" xr:uid="{EB333C8D-0E56-45C5-BC1B-63A58322EF6A}"/>
    <cellStyle name="Note 27 3" xfId="20708" xr:uid="{8C10858F-0C1D-4513-983B-6627223A0DE5}"/>
    <cellStyle name="Note 27 3 2" xfId="35045" xr:uid="{82F68EE2-5771-41C9-BA91-E2D54DD7B1B5}"/>
    <cellStyle name="Note 27 4" xfId="35046" xr:uid="{713DAB28-3978-47AA-BC03-3F82688D223F}"/>
    <cellStyle name="Note 27 5" xfId="35047" xr:uid="{DA75B165-19BE-4A17-89C9-AA2E3A23DCB2}"/>
    <cellStyle name="Note 27 6" xfId="35048" xr:uid="{70A0E47F-2D6E-4AB8-996F-6B8E9A92E982}"/>
    <cellStyle name="Note 27 7" xfId="35049" xr:uid="{16933931-244B-45EB-A9FC-61DF707E4607}"/>
    <cellStyle name="Note 28" xfId="16328" xr:uid="{CC6E5EF6-89F9-4025-9ADF-47DC3F830EAD}"/>
    <cellStyle name="Note 28 2" xfId="19050" xr:uid="{7D6B020D-0EF2-4888-B2E7-2081FC4FFADE}"/>
    <cellStyle name="Note 28 2 2" xfId="22667" xr:uid="{DCF27D99-B541-4DEB-8986-46D5D846FD22}"/>
    <cellStyle name="Note 28 3" xfId="20601" xr:uid="{D48EAA05-DC6E-4069-B1B1-9DB0C4EE69B5}"/>
    <cellStyle name="Note 28 3 2" xfId="35050" xr:uid="{044153BD-9731-431D-BC31-27E45C973960}"/>
    <cellStyle name="Note 28 4" xfId="35051" xr:uid="{288A2337-83CC-487A-BE98-7963AAF784B2}"/>
    <cellStyle name="Note 28 5" xfId="35052" xr:uid="{BCA6B6D6-4952-4A5B-8A6B-2887AF17CA7E}"/>
    <cellStyle name="Note 28 6" xfId="35053" xr:uid="{18598A5B-CF1E-4C14-A638-8B3E9C784B70}"/>
    <cellStyle name="Note 28 7" xfId="35054" xr:uid="{DECFC23C-21A9-42D0-ACA9-3E34A713123E}"/>
    <cellStyle name="Note 29" xfId="15256" xr:uid="{B45C5AE7-8942-49AC-A32F-B341A9CA813A}"/>
    <cellStyle name="Note 29 2" xfId="35056" xr:uid="{770F0D70-D87B-4D03-85AC-58CD299FD77A}"/>
    <cellStyle name="Note 29 3" xfId="35055" xr:uid="{A77AE26C-7086-4C2C-A2A5-EFD41CDD869B}"/>
    <cellStyle name="Note 3" xfId="3424" xr:uid="{2E57B0CA-7C2B-4D0C-A7B3-CC44602FD3F1}"/>
    <cellStyle name="Note 3 10" xfId="3425" xr:uid="{362898EC-5E4E-4CB2-A334-E5EF231D3A5F}"/>
    <cellStyle name="Note 3 10 2" xfId="5311" xr:uid="{9F7E294D-F1D8-4FEC-AD47-DD6F6471F57E}"/>
    <cellStyle name="Note 3 10 2 2" xfId="19053" xr:uid="{1D3811F0-12DA-461D-97D4-2505255BA841}"/>
    <cellStyle name="Note 3 10 2 2 2" xfId="22670" xr:uid="{2693E979-514B-4535-8B85-9E59C84A7103}"/>
    <cellStyle name="Note 3 10 2 3" xfId="35057" xr:uid="{0D7AE47E-2757-45A2-9805-90ED918E2572}"/>
    <cellStyle name="Note 3 10 2 4" xfId="35058" xr:uid="{58992353-7B50-4426-BEEF-D24A7BF23526}"/>
    <cellStyle name="Note 3 10 2 5" xfId="35059" xr:uid="{169FE9E7-2A5F-4626-A9CA-50933ACF4245}"/>
    <cellStyle name="Note 3 10 2 6" xfId="35060" xr:uid="{C49DC0D1-125D-4139-9A81-04C7A8D96697}"/>
    <cellStyle name="Note 3 10 3" xfId="6983" xr:uid="{DEEE98B6-C2C3-411A-8B7F-C6B3903B42FE}"/>
    <cellStyle name="Note 3 10 3 2" xfId="22669" xr:uid="{97F3426A-35BD-4E39-82EE-99CA1C5D67ED}"/>
    <cellStyle name="Note 3 10 3 3" xfId="46443" xr:uid="{2540CD6E-7444-43B8-BDEF-72E0AD41D75F}"/>
    <cellStyle name="Note 3 10 3 4" xfId="19052" xr:uid="{598DCE67-ADD5-469B-97EF-9DC47658C54F}"/>
    <cellStyle name="Note 3 10 4" xfId="9209" xr:uid="{1A7FF243-C6A8-42DC-8DE8-E32553DA98E1}"/>
    <cellStyle name="Note 3 10 4 2" xfId="35061" xr:uid="{3247ACF6-F0BC-4A22-BF8D-C730D1BDA155}"/>
    <cellStyle name="Note 3 10 5" xfId="35062" xr:uid="{CD41C701-D967-48EF-A627-BC3CCED46E6B}"/>
    <cellStyle name="Note 3 10 6" xfId="35063" xr:uid="{DBD83325-4AB6-49C7-8A7D-A32CF3BBD766}"/>
    <cellStyle name="Note 3 10 7" xfId="35064" xr:uid="{23131067-A743-4F9B-82C3-0EA52389FB06}"/>
    <cellStyle name="Note 3 11" xfId="3426" xr:uid="{41EE09F1-D3BF-408C-8CEB-D6D8FEEB83E3}"/>
    <cellStyle name="Note 3 11 2" xfId="5312" xr:uid="{9FC6B602-87C8-44D9-8C72-281AD9308731}"/>
    <cellStyle name="Note 3 11 2 2" xfId="19055" xr:uid="{C78260E8-C574-49E4-A317-B488093C2D18}"/>
    <cellStyle name="Note 3 11 2 2 2" xfId="22672" xr:uid="{D2416AA3-AFD5-4F56-B08A-BE2B4B9B737C}"/>
    <cellStyle name="Note 3 11 2 3" xfId="35065" xr:uid="{99EA8D9E-ED40-4FB0-98D7-F323CE6F48D5}"/>
    <cellStyle name="Note 3 11 2 4" xfId="35066" xr:uid="{5917C6E4-6AC4-4A03-BF69-193479E1F3B8}"/>
    <cellStyle name="Note 3 11 2 5" xfId="35067" xr:uid="{FD62DD6D-F0FA-4F3D-AD36-DF9A9E6F9B24}"/>
    <cellStyle name="Note 3 11 2 6" xfId="35068" xr:uid="{E48D61BA-B506-46F3-A86C-92ADC2095C16}"/>
    <cellStyle name="Note 3 11 3" xfId="6984" xr:uid="{F5E2E6A4-4965-4B26-87C5-F27AD6183248}"/>
    <cellStyle name="Note 3 11 3 2" xfId="22671" xr:uid="{5E35F673-4892-4E3E-8E12-09AE36ABE564}"/>
    <cellStyle name="Note 3 11 3 3" xfId="46444" xr:uid="{913D1171-319A-4C45-A36A-D6016EF7E004}"/>
    <cellStyle name="Note 3 11 3 4" xfId="19054" xr:uid="{525F6830-CA71-4EF1-B103-3FA6BCAB8CD1}"/>
    <cellStyle name="Note 3 11 4" xfId="9210" xr:uid="{30F4E971-2AB8-46F0-A1FB-7C46502DB463}"/>
    <cellStyle name="Note 3 11 4 2" xfId="35069" xr:uid="{F86CE3B6-2F5A-4D5A-8635-A3E769F36278}"/>
    <cellStyle name="Note 3 11 5" xfId="35070" xr:uid="{C4381277-AF8C-4D68-81E5-0122242BF7C5}"/>
    <cellStyle name="Note 3 11 6" xfId="35071" xr:uid="{CBE67B88-86B7-4C0E-A40A-975FFCCBFEC9}"/>
    <cellStyle name="Note 3 11 7" xfId="35072" xr:uid="{28AAF319-5607-4912-A6E9-66873303739C}"/>
    <cellStyle name="Note 3 12" xfId="3427" xr:uid="{21537592-812A-422C-92B2-5EE43805E16B}"/>
    <cellStyle name="Note 3 12 2" xfId="5313" xr:uid="{A78DDCE5-4A58-4FFA-B4BA-9E0A1B52BA00}"/>
    <cellStyle name="Note 3 12 2 2" xfId="19057" xr:uid="{944334C3-5A0F-4FFE-8772-D4E06A9F6870}"/>
    <cellStyle name="Note 3 12 2 2 2" xfId="22674" xr:uid="{DFF69600-83EF-4693-A0DB-E175AD159E53}"/>
    <cellStyle name="Note 3 12 2 3" xfId="35073" xr:uid="{87A7E4F7-CCB3-49AE-A71E-2CB18F61D59F}"/>
    <cellStyle name="Note 3 12 2 4" xfId="35074" xr:uid="{8C10CD33-200F-46D7-9AED-EBF29B864D2C}"/>
    <cellStyle name="Note 3 12 2 5" xfId="35075" xr:uid="{84616040-D63D-40AF-A156-5005DC730110}"/>
    <cellStyle name="Note 3 12 2 6" xfId="35076" xr:uid="{3FDCA1A8-3DA4-4F27-8195-3528F49ADBA9}"/>
    <cellStyle name="Note 3 12 3" xfId="6985" xr:uid="{C68AE7F4-07FB-42DF-B45A-C41C62ACDB31}"/>
    <cellStyle name="Note 3 12 3 2" xfId="22673" xr:uid="{E85367FA-A769-40A4-B939-98210FE6949F}"/>
    <cellStyle name="Note 3 12 3 3" xfId="46445" xr:uid="{A61E35B4-770A-472E-85BA-4E27F815B330}"/>
    <cellStyle name="Note 3 12 3 4" xfId="19056" xr:uid="{3A70A36E-3641-485A-8DA3-4CF103F4B16A}"/>
    <cellStyle name="Note 3 12 4" xfId="9211" xr:uid="{9A1A239B-0331-4A6B-B6EB-9FD49552980F}"/>
    <cellStyle name="Note 3 12 4 2" xfId="35077" xr:uid="{B237EB34-461E-4612-97A1-064412E9CEAA}"/>
    <cellStyle name="Note 3 12 5" xfId="35078" xr:uid="{F0E804B5-85F8-486C-8ED7-BB0962B46B7B}"/>
    <cellStyle name="Note 3 12 6" xfId="35079" xr:uid="{48A00252-781A-498C-B38D-88D7DF2ED329}"/>
    <cellStyle name="Note 3 12 7" xfId="35080" xr:uid="{400D0151-3383-47AB-B8B3-56B1894C642F}"/>
    <cellStyle name="Note 3 13" xfId="3428" xr:uid="{2BA80CE9-F970-470D-BDBB-DD5B36D065DD}"/>
    <cellStyle name="Note 3 13 2" xfId="5314" xr:uid="{D957C5DB-4E4C-4DBB-B643-EB03219353B5}"/>
    <cellStyle name="Note 3 13 2 2" xfId="19059" xr:uid="{7E45FE81-40CA-4866-AF58-BFD0308F72F5}"/>
    <cellStyle name="Note 3 13 2 2 2" xfId="22676" xr:uid="{1D360545-60CF-4557-9841-01DF4BDE58FF}"/>
    <cellStyle name="Note 3 13 2 3" xfId="35081" xr:uid="{EC20604D-38DA-4F4C-B925-F9CE52303BA3}"/>
    <cellStyle name="Note 3 13 2 4" xfId="35082" xr:uid="{5813FF18-3804-4796-AA1D-074B0C2E42F3}"/>
    <cellStyle name="Note 3 13 2 5" xfId="35083" xr:uid="{3CCEE9EA-51EC-4199-8A0E-A9580F4A6B58}"/>
    <cellStyle name="Note 3 13 2 6" xfId="35084" xr:uid="{CB0493E9-9145-4E46-B9D7-C27853BC51AE}"/>
    <cellStyle name="Note 3 13 3" xfId="6986" xr:uid="{0D844A9E-E0B6-46ED-92F4-A115E9AB3052}"/>
    <cellStyle name="Note 3 13 3 2" xfId="22675" xr:uid="{AE5B8E3A-B7EC-4AF1-A985-7058C3789139}"/>
    <cellStyle name="Note 3 13 3 3" xfId="46446" xr:uid="{99E634F0-AEF1-4463-BD90-C9AA920023B1}"/>
    <cellStyle name="Note 3 13 3 4" xfId="19058" xr:uid="{22E34C0D-38EF-4F05-85AA-BC382C98D808}"/>
    <cellStyle name="Note 3 13 4" xfId="9212" xr:uid="{47ECE1C5-6186-4173-AA0D-A33EB41F8619}"/>
    <cellStyle name="Note 3 13 4 2" xfId="35085" xr:uid="{2B633824-E7BD-40D1-B46D-29AE63CF9E1C}"/>
    <cellStyle name="Note 3 13 5" xfId="35086" xr:uid="{6FA4724C-F492-4E21-BE09-F578DC2E467A}"/>
    <cellStyle name="Note 3 13 6" xfId="35087" xr:uid="{AB1690E0-C7E0-48EE-81AA-A8D4327D887E}"/>
    <cellStyle name="Note 3 13 7" xfId="35088" xr:uid="{ECD37235-B866-4C38-95FA-9C07DEF9C11C}"/>
    <cellStyle name="Note 3 14" xfId="3429" xr:uid="{268FC0FD-1E95-4262-9EC1-4DAF4FCEDFDB}"/>
    <cellStyle name="Note 3 14 2" xfId="5315" xr:uid="{FB190A50-B040-4685-B4B4-1AB879B5349C}"/>
    <cellStyle name="Note 3 14 2 2" xfId="19061" xr:uid="{9C7430B4-00B4-4018-9878-55A7288F6C43}"/>
    <cellStyle name="Note 3 14 2 2 2" xfId="22678" xr:uid="{941E0CD6-F9C1-4C94-8762-751934C3D56F}"/>
    <cellStyle name="Note 3 14 2 3" xfId="35089" xr:uid="{CD094121-3483-48C6-BE50-2A32B07D8384}"/>
    <cellStyle name="Note 3 14 2 4" xfId="35090" xr:uid="{C66B769F-A112-4D12-A7C4-BF84589D96D0}"/>
    <cellStyle name="Note 3 14 2 5" xfId="35091" xr:uid="{41C88C54-25F1-44A5-B9E7-51D2719522A4}"/>
    <cellStyle name="Note 3 14 2 6" xfId="35092" xr:uid="{501FBC2E-F62C-4157-AEA5-1533A2DB4545}"/>
    <cellStyle name="Note 3 14 3" xfId="6987" xr:uid="{2F16F22C-70CE-462D-A1A0-4793A7FA4CB2}"/>
    <cellStyle name="Note 3 14 3 2" xfId="22677" xr:uid="{9112F328-48EA-41A8-95DC-ABB90875D124}"/>
    <cellStyle name="Note 3 14 3 3" xfId="46447" xr:uid="{F2EB2B32-6C95-4224-AA58-09FF66A8DF93}"/>
    <cellStyle name="Note 3 14 3 4" xfId="19060" xr:uid="{22CCD559-E1E9-4257-BC83-8D2777B70408}"/>
    <cellStyle name="Note 3 14 4" xfId="9213" xr:uid="{D5D0209E-AFB2-4FEB-8B4C-15BF8299F8FB}"/>
    <cellStyle name="Note 3 14 4 2" xfId="35093" xr:uid="{DC7175D5-0256-4EDF-940C-E5D344F19EC0}"/>
    <cellStyle name="Note 3 14 5" xfId="35094" xr:uid="{154EE62A-320C-4A12-A5B3-812CC22D3188}"/>
    <cellStyle name="Note 3 14 6" xfId="35095" xr:uid="{B7447FC2-8B3F-4B88-9B63-AAD314305626}"/>
    <cellStyle name="Note 3 14 7" xfId="35096" xr:uid="{3591D0D0-0480-4E59-98D1-76053CB09EBE}"/>
    <cellStyle name="Note 3 15" xfId="5310" xr:uid="{AA34EBD3-48B7-419C-B0D8-BC6640F83328}"/>
    <cellStyle name="Note 3 15 2" xfId="19062" xr:uid="{4342B62A-2633-4345-B95F-7A2D89981997}"/>
    <cellStyle name="Note 3 15 2 2" xfId="22679" xr:uid="{DAE5AE2A-C2ED-465E-AC49-5386413A30B6}"/>
    <cellStyle name="Note 3 15 3" xfId="35097" xr:uid="{9F74A293-3B5D-460A-B6A2-6D50E65A6850}"/>
    <cellStyle name="Note 3 15 4" xfId="35098" xr:uid="{2B38AC06-371C-422C-BD50-DB81291D3C9B}"/>
    <cellStyle name="Note 3 15 5" xfId="35099" xr:uid="{59D1D3A5-0FF1-46AF-B948-8F9F31CAC234}"/>
    <cellStyle name="Note 3 15 6" xfId="35100" xr:uid="{6AF4B2E8-FC61-46DC-B51B-67330CFC8DF0}"/>
    <cellStyle name="Note 3 16" xfId="4316" xr:uid="{B6C68FFF-F580-4D12-AF3E-902FB2EDB0D4}"/>
    <cellStyle name="Note 3 16 2" xfId="22668" xr:uid="{B0D68881-2D55-4920-A8B9-688E2550AAE8}"/>
    <cellStyle name="Note 3 16 3" xfId="44120" xr:uid="{C1DC3CE5-FEC9-41AF-BF7E-8FC62531909C}"/>
    <cellStyle name="Note 3 16 4" xfId="19051" xr:uid="{D8F45E5C-1622-4D5D-A849-6A4F27CDAEBD}"/>
    <cellStyle name="Note 3 17" xfId="6383" xr:uid="{AC851360-583E-420B-98C8-CB1A39839CDA}"/>
    <cellStyle name="Note 3 17 2" xfId="46031" xr:uid="{42B6EDDF-5419-4489-B1FE-51DF9F62CE36}"/>
    <cellStyle name="Note 3 17 3" xfId="35101" xr:uid="{B403C7A6-4D58-4A1F-8872-8796151628EA}"/>
    <cellStyle name="Note 3 18" xfId="9208" xr:uid="{4E23800C-F006-421D-A69E-E37633EEB967}"/>
    <cellStyle name="Note 3 18 2" xfId="35102" xr:uid="{E2AF9D44-31C3-49FC-BA35-98E72597655E}"/>
    <cellStyle name="Note 3 19" xfId="35103" xr:uid="{0BE0952A-66D9-4B02-B370-69411BB1ACA5}"/>
    <cellStyle name="Note 3 2" xfId="3430" xr:uid="{14B1CDD2-E2EC-4541-B878-516DAED93675}"/>
    <cellStyle name="Note 3 2 2" xfId="5316" xr:uid="{C5733CE3-B64C-4682-AF27-667B3D424398}"/>
    <cellStyle name="Note 3 2 2 2" xfId="19064" xr:uid="{B495D58C-EADD-4A33-8427-192518BE5BDE}"/>
    <cellStyle name="Note 3 2 2 2 2" xfId="22681" xr:uid="{AE661BCF-5F16-4267-90A0-7040B6609351}"/>
    <cellStyle name="Note 3 2 2 3" xfId="35104" xr:uid="{F19D901B-8735-4799-9EE4-128C453ECE8B}"/>
    <cellStyle name="Note 3 2 2 4" xfId="35105" xr:uid="{43B18EFA-2DD4-42CE-AD07-80D29C850991}"/>
    <cellStyle name="Note 3 2 2 5" xfId="35106" xr:uid="{DF337324-0640-4C5A-B095-080F33E0E5C0}"/>
    <cellStyle name="Note 3 2 2 6" xfId="35107" xr:uid="{6EEE5333-4D0D-4795-80FF-E014F2BD42FB}"/>
    <cellStyle name="Note 3 2 3" xfId="4317" xr:uid="{6A338713-ABE1-4256-B4CC-05B1A7DEB7DF}"/>
    <cellStyle name="Note 3 2 3 2" xfId="22680" xr:uid="{E9696672-AFE4-4904-958C-AC47363E7BC8}"/>
    <cellStyle name="Note 3 2 3 3" xfId="44121" xr:uid="{285618C8-1604-4E84-9715-942BDBC7639D}"/>
    <cellStyle name="Note 3 2 3 4" xfId="19063" xr:uid="{85A3AE20-83B8-4121-9138-E293FD5D6A27}"/>
    <cellStyle name="Note 3 2 4" xfId="6384" xr:uid="{EB051749-4C0A-46EB-9C45-2F4A252863A3}"/>
    <cellStyle name="Note 3 2 4 2" xfId="46032" xr:uid="{CF78085F-9DA8-40F3-BF7F-C7C722E2E096}"/>
    <cellStyle name="Note 3 2 4 3" xfId="35108" xr:uid="{CB4A02AF-E720-4534-84A3-FFE23F127DEB}"/>
    <cellStyle name="Note 3 2 5" xfId="9214" xr:uid="{87DC4CC5-9A57-4B43-8F69-BB6E40C69E09}"/>
    <cellStyle name="Note 3 2 5 2" xfId="35109" xr:uid="{A0305D39-AA9B-4774-A50E-F43E1DCCF30A}"/>
    <cellStyle name="Note 3 2 6" xfId="35110" xr:uid="{AE7CFF2A-6994-406F-824B-12F7988EADE1}"/>
    <cellStyle name="Note 3 2 7" xfId="35111" xr:uid="{940C7AF7-B8C1-422C-8A77-45DA7CEEB873}"/>
    <cellStyle name="Note 3 2 8" xfId="35112" xr:uid="{F94B371F-B295-4B4E-87DB-E2C6AD09E611}"/>
    <cellStyle name="Note 3 20" xfId="35113" xr:uid="{74E0DE7F-BCF5-4BBB-B6EA-81F7A07E4093}"/>
    <cellStyle name="Note 3 21" xfId="35114" xr:uid="{09F7BDAA-0479-4F3F-AC0B-221FCFF6B201}"/>
    <cellStyle name="Note 3 3" xfId="3431" xr:uid="{AC430605-14A0-49F7-8A62-38570F18E2EE}"/>
    <cellStyle name="Note 3 3 2" xfId="5317" xr:uid="{E5C27B3D-0CA2-43F9-ABEC-35A118199A05}"/>
    <cellStyle name="Note 3 3 2 2" xfId="19066" xr:uid="{286B0A88-F7F6-4C2F-BA26-254CF650ABCF}"/>
    <cellStyle name="Note 3 3 2 2 2" xfId="22683" xr:uid="{00D3745F-FC66-4828-9BDB-A92B44433ABC}"/>
    <cellStyle name="Note 3 3 2 3" xfId="35115" xr:uid="{A9E1EDDB-E1F6-487B-8C37-D4F324A767AC}"/>
    <cellStyle name="Note 3 3 2 4" xfId="35116" xr:uid="{05DB7B5B-7EC8-45FC-90D6-ABEDD3967571}"/>
    <cellStyle name="Note 3 3 2 5" xfId="35117" xr:uid="{9B6037B3-1D5A-4230-8AEB-EC2704F50F44}"/>
    <cellStyle name="Note 3 3 2 6" xfId="35118" xr:uid="{0EC58B49-CA9C-49F3-B8BD-002ED5E88265}"/>
    <cellStyle name="Note 3 3 3" xfId="4318" xr:uid="{06DBE71E-F67C-4B51-81C2-963C45EAE6F1}"/>
    <cellStyle name="Note 3 3 3 2" xfId="22682" xr:uid="{34B5B62B-48D4-4B0A-935E-62FFFB6E01D4}"/>
    <cellStyle name="Note 3 3 3 3" xfId="44122" xr:uid="{3FAC34E6-9111-493D-961F-2DA943338F61}"/>
    <cellStyle name="Note 3 3 3 4" xfId="19065" xr:uid="{A765362B-A3DF-4AF6-BFDA-F37CE09DF798}"/>
    <cellStyle name="Note 3 3 4" xfId="6385" xr:uid="{39D8C1EA-C6BC-44A3-A2BD-A4CCEE7BCB32}"/>
    <cellStyle name="Note 3 3 4 2" xfId="46033" xr:uid="{7CAFBBDB-F8CE-49FB-B184-9716943BBC6F}"/>
    <cellStyle name="Note 3 3 4 3" xfId="35119" xr:uid="{1A50BE8D-374A-43DE-9FA3-D08B5185006E}"/>
    <cellStyle name="Note 3 3 5" xfId="9215" xr:uid="{A5D97771-3F55-494C-A8CD-4E871E5E12B3}"/>
    <cellStyle name="Note 3 3 5 2" xfId="35120" xr:uid="{F0F66EDE-591B-450D-B967-C9DB6AC6BBA3}"/>
    <cellStyle name="Note 3 3 6" xfId="35121" xr:uid="{4A8C3115-1824-433A-B43E-0AE9ED2E570C}"/>
    <cellStyle name="Note 3 3 7" xfId="35122" xr:uid="{A16B9FD6-0EDB-46A0-9BA9-3538F3CDFF4C}"/>
    <cellStyle name="Note 3 3 8" xfId="35123" xr:uid="{E45F6C52-CCD6-4F9E-A1FA-0106EE761F29}"/>
    <cellStyle name="Note 3 4" xfId="3432" xr:uid="{9A06A972-0A0E-4FED-A866-3F64ED9FDB50}"/>
    <cellStyle name="Note 3 4 2" xfId="5318" xr:uid="{CDB82ECF-4833-4D27-B404-4BC5961A287F}"/>
    <cellStyle name="Note 3 4 2 2" xfId="19068" xr:uid="{255BE6E8-94A7-4A18-8380-BE65DCF661C7}"/>
    <cellStyle name="Note 3 4 2 2 2" xfId="22685" xr:uid="{F135D96C-D9F3-42B1-AB50-A8BE07924666}"/>
    <cellStyle name="Note 3 4 2 3" xfId="35124" xr:uid="{25B66391-32A9-48C3-B99C-7453EA0AAD2A}"/>
    <cellStyle name="Note 3 4 2 4" xfId="35125" xr:uid="{3FCEF992-554F-4CA0-BC9C-5E9CCD027547}"/>
    <cellStyle name="Note 3 4 2 5" xfId="35126" xr:uid="{F3D2746F-C89A-45F2-86FC-0A624D083EF4}"/>
    <cellStyle name="Note 3 4 2 6" xfId="35127" xr:uid="{AC645519-2D9F-4773-8E30-040FDF2C0E2B}"/>
    <cellStyle name="Note 3 4 3" xfId="4319" xr:uid="{BB678743-6FF5-4F76-BCA1-0BB175202415}"/>
    <cellStyle name="Note 3 4 3 2" xfId="22684" xr:uid="{D2A93DE1-996E-43BE-9F29-60D34F7978D9}"/>
    <cellStyle name="Note 3 4 3 3" xfId="44123" xr:uid="{AB264EA9-409E-43F1-9AF2-82E9611EC16E}"/>
    <cellStyle name="Note 3 4 3 4" xfId="19067" xr:uid="{B4A2166C-FCBD-41B7-ABE3-61F481F8AC7B}"/>
    <cellStyle name="Note 3 4 4" xfId="6386" xr:uid="{7E4B917C-BEAB-4580-AA6A-BF3EAA43F720}"/>
    <cellStyle name="Note 3 4 4 2" xfId="46034" xr:uid="{DDBD5B5B-90EF-483C-909F-EE26AD7BC0EE}"/>
    <cellStyle name="Note 3 4 4 3" xfId="35128" xr:uid="{8F5B24CF-4EA4-4BE0-B44F-AD6A8D0BC01A}"/>
    <cellStyle name="Note 3 4 5" xfId="9216" xr:uid="{E3804743-2804-4D57-8EF3-619CF2721A54}"/>
    <cellStyle name="Note 3 4 5 2" xfId="35129" xr:uid="{B919725F-0A42-436A-9085-EE5479DBF917}"/>
    <cellStyle name="Note 3 4 6" xfId="35130" xr:uid="{8C0A443F-7A69-4924-AB97-1454062D058C}"/>
    <cellStyle name="Note 3 4 7" xfId="35131" xr:uid="{C2818E8D-4DCA-425C-9569-1B76D0137F76}"/>
    <cellStyle name="Note 3 4 8" xfId="35132" xr:uid="{517A11C6-FAB8-4C1A-8291-2FBEB848F433}"/>
    <cellStyle name="Note 3 5" xfId="3433" xr:uid="{AA3107CF-E6A0-45FB-B19B-63E65670B6C4}"/>
    <cellStyle name="Note 3 5 2" xfId="5319" xr:uid="{4195CDF5-8092-47AD-A82C-24C3FF9650E3}"/>
    <cellStyle name="Note 3 5 2 2" xfId="19070" xr:uid="{984B5107-BDB7-4D3A-9B18-30CD97BD48AA}"/>
    <cellStyle name="Note 3 5 2 2 2" xfId="22687" xr:uid="{386975D0-A3B2-4952-B992-44848C364F8D}"/>
    <cellStyle name="Note 3 5 2 3" xfId="35133" xr:uid="{25C9E3D3-123D-4F48-BA45-DDEEF6581804}"/>
    <cellStyle name="Note 3 5 2 4" xfId="35134" xr:uid="{DC32736D-86A1-43F8-96CD-65B938FE4ED9}"/>
    <cellStyle name="Note 3 5 2 5" xfId="35135" xr:uid="{BCF1A549-456C-48E1-A905-802D858FBE89}"/>
    <cellStyle name="Note 3 5 2 6" xfId="35136" xr:uid="{47507428-8761-47CE-BF16-1B3A806139C3}"/>
    <cellStyle name="Note 3 5 3" xfId="6988" xr:uid="{7E57B58E-9C9E-4C14-BB97-099D65C61629}"/>
    <cellStyle name="Note 3 5 3 2" xfId="22686" xr:uid="{387330EC-15BD-4606-87AE-51F9B9BB6D1D}"/>
    <cellStyle name="Note 3 5 3 3" xfId="46448" xr:uid="{F6641DDA-042A-49BF-8D5D-24F0ECD9E306}"/>
    <cellStyle name="Note 3 5 3 4" xfId="19069" xr:uid="{FBEA5AE1-E751-485A-AF71-B066F39D423E}"/>
    <cellStyle name="Note 3 5 4" xfId="9217" xr:uid="{13B7976E-6A65-4A7A-B073-32372A39E225}"/>
    <cellStyle name="Note 3 5 4 2" xfId="35137" xr:uid="{F2F7DF54-AE84-44F0-96DE-C00A81A9B838}"/>
    <cellStyle name="Note 3 5 5" xfId="35138" xr:uid="{25168FC5-4BD0-4367-A64F-A81C6FFC8BA3}"/>
    <cellStyle name="Note 3 5 6" xfId="35139" xr:uid="{2D76B9D6-2330-4494-A3C4-934B2D52496F}"/>
    <cellStyle name="Note 3 5 7" xfId="35140" xr:uid="{95B4C26C-8166-4268-B2AC-AA6848B1C545}"/>
    <cellStyle name="Note 3 6" xfId="3434" xr:uid="{61EEEE31-A407-4FAF-9885-E4DB6E68E4FB}"/>
    <cellStyle name="Note 3 6 2" xfId="5320" xr:uid="{9D950C70-8E1B-4703-8883-A12A3810B134}"/>
    <cellStyle name="Note 3 6 2 2" xfId="19072" xr:uid="{8325B7B4-3C29-45C6-9513-A1F95EFEB4C6}"/>
    <cellStyle name="Note 3 6 2 2 2" xfId="22689" xr:uid="{EE86EF30-BE9A-41E3-8F02-D86C4D2B69DA}"/>
    <cellStyle name="Note 3 6 2 3" xfId="35141" xr:uid="{711E784B-8E0C-40DD-9C64-337E5D3F9A83}"/>
    <cellStyle name="Note 3 6 2 4" xfId="35142" xr:uid="{D9B597D2-76CD-4012-9995-EF91EEE1F105}"/>
    <cellStyle name="Note 3 6 2 5" xfId="35143" xr:uid="{B3DB44C4-DFCB-4ABF-B999-DA93852B23E0}"/>
    <cellStyle name="Note 3 6 2 6" xfId="35144" xr:uid="{3CD7A828-C5A9-4EBC-BFD2-FE42B45810EC}"/>
    <cellStyle name="Note 3 6 3" xfId="6989" xr:uid="{FAAF3A58-B195-4BD3-9139-4FB7EE931FBB}"/>
    <cellStyle name="Note 3 6 3 2" xfId="22688" xr:uid="{E034CCB5-7A34-419B-99AD-A0E4CD28908E}"/>
    <cellStyle name="Note 3 6 3 3" xfId="46449" xr:uid="{B52F5A8C-77F7-46AB-9369-B983288D9E2B}"/>
    <cellStyle name="Note 3 6 3 4" xfId="19071" xr:uid="{5EB27178-7516-44AB-8E89-E6E0A7005AC8}"/>
    <cellStyle name="Note 3 6 4" xfId="9218" xr:uid="{C35D281F-021D-48C4-8B4B-116FEF936243}"/>
    <cellStyle name="Note 3 6 4 2" xfId="35145" xr:uid="{FD90797B-37F9-47FC-9940-97D83D195E84}"/>
    <cellStyle name="Note 3 6 5" xfId="35146" xr:uid="{5340F25F-1224-4FE9-92C0-A6EA73DB772B}"/>
    <cellStyle name="Note 3 6 6" xfId="35147" xr:uid="{75275009-3EF2-47C8-8C33-A4F1317AA794}"/>
    <cellStyle name="Note 3 6 7" xfId="35148" xr:uid="{983E91AF-5003-4501-BB59-6AAF57598595}"/>
    <cellStyle name="Note 3 7" xfId="3435" xr:uid="{6EC194ED-3CD8-4E92-91B5-0AAD6480F8C1}"/>
    <cellStyle name="Note 3 7 2" xfId="5321" xr:uid="{179AAF32-718B-4563-BA2E-4C9D8CA04746}"/>
    <cellStyle name="Note 3 7 2 2" xfId="19074" xr:uid="{AF1982BE-3548-4C1F-8EEC-D2FDA5D60FBC}"/>
    <cellStyle name="Note 3 7 2 2 2" xfId="22691" xr:uid="{25D38728-5876-44C1-BCFE-65A368F190B5}"/>
    <cellStyle name="Note 3 7 2 3" xfId="35149" xr:uid="{4A3DFCD6-5104-44C0-A100-24415481035D}"/>
    <cellStyle name="Note 3 7 2 4" xfId="35150" xr:uid="{7023AAB9-6BE3-44DA-BF45-174F21A2CCE0}"/>
    <cellStyle name="Note 3 7 2 5" xfId="35151" xr:uid="{7FE37B8B-A2AC-4890-84B1-8BC9188C216E}"/>
    <cellStyle name="Note 3 7 2 6" xfId="35152" xr:uid="{C14C1D64-550A-4F42-BABF-4709949E81C1}"/>
    <cellStyle name="Note 3 7 3" xfId="6990" xr:uid="{A3A0DE89-A8DA-4812-99F5-4788E1AB418A}"/>
    <cellStyle name="Note 3 7 3 2" xfId="22690" xr:uid="{9BCC7362-825D-4D4C-8350-C7775F587377}"/>
    <cellStyle name="Note 3 7 3 3" xfId="46450" xr:uid="{3FF3D02C-A8EB-4EFA-8C7D-0A78D5907D67}"/>
    <cellStyle name="Note 3 7 3 4" xfId="19073" xr:uid="{9CDD5A06-8E26-4A88-ABA2-536159D057AC}"/>
    <cellStyle name="Note 3 7 4" xfId="9219" xr:uid="{3E16999D-915A-4AB6-A171-90E56692F321}"/>
    <cellStyle name="Note 3 7 4 2" xfId="35153" xr:uid="{CEC06C8B-1C3C-470E-B82D-C9DBE351D189}"/>
    <cellStyle name="Note 3 7 5" xfId="35154" xr:uid="{3D101B02-4F67-46A0-9E76-456FC78A988D}"/>
    <cellStyle name="Note 3 7 6" xfId="35155" xr:uid="{FD1B9618-FD09-406B-93D4-D846C7F33F15}"/>
    <cellStyle name="Note 3 7 7" xfId="35156" xr:uid="{FE1E030D-5A62-419C-938E-3890B44A813B}"/>
    <cellStyle name="Note 3 8" xfId="3436" xr:uid="{2125D53A-7EA5-4E4D-BB8A-6B0E2BB4323C}"/>
    <cellStyle name="Note 3 8 2" xfId="5322" xr:uid="{CBF0AEEE-BB14-4620-A2D4-00B7929AB14F}"/>
    <cellStyle name="Note 3 8 2 2" xfId="19076" xr:uid="{1A1DC4DF-5FB5-4580-A350-7D5A51E0D75E}"/>
    <cellStyle name="Note 3 8 2 2 2" xfId="22693" xr:uid="{CB079B22-6D3A-4E28-8D87-58AE634353A2}"/>
    <cellStyle name="Note 3 8 2 3" xfId="35157" xr:uid="{EA309991-2CC2-400D-A8A9-F3813DC2718D}"/>
    <cellStyle name="Note 3 8 2 4" xfId="35158" xr:uid="{167DB4D0-02E0-4F1B-B5CD-38CC4EBA0B7A}"/>
    <cellStyle name="Note 3 8 2 5" xfId="35159" xr:uid="{EBAEFBA8-A5EE-4E2B-B9CE-A7EEF59758AE}"/>
    <cellStyle name="Note 3 8 2 6" xfId="35160" xr:uid="{91D2233C-3AAC-4D2B-9686-916ACDB65C7F}"/>
    <cellStyle name="Note 3 8 3" xfId="6991" xr:uid="{3977AA43-B6F1-401D-BF80-54A492945FFF}"/>
    <cellStyle name="Note 3 8 3 2" xfId="22692" xr:uid="{487E336F-97BD-4CB1-AEC9-4DAFC315EE97}"/>
    <cellStyle name="Note 3 8 3 3" xfId="46451" xr:uid="{40349791-FF8C-4409-96DC-A6E91A2F38EF}"/>
    <cellStyle name="Note 3 8 3 4" xfId="19075" xr:uid="{E8CADEB0-6A27-419F-B642-50654FB50BE5}"/>
    <cellStyle name="Note 3 8 4" xfId="9220" xr:uid="{298D1BD8-6AD5-4D7F-A376-FD4C3DEC0A24}"/>
    <cellStyle name="Note 3 8 4 2" xfId="35161" xr:uid="{798DBBD8-C2F9-4B47-8C22-F828F8A9B148}"/>
    <cellStyle name="Note 3 8 5" xfId="35162" xr:uid="{10244DDC-C566-44B2-81D1-1A60AAA8801F}"/>
    <cellStyle name="Note 3 8 6" xfId="35163" xr:uid="{96B8A31D-24E9-4EA4-AE1D-2DE8A9798D00}"/>
    <cellStyle name="Note 3 8 7" xfId="35164" xr:uid="{8EED1ADE-7AF2-4609-B47B-68449FC2EC5F}"/>
    <cellStyle name="Note 3 9" xfId="3437" xr:uid="{CCF00AB1-5F18-4393-8033-B2801C64D568}"/>
    <cellStyle name="Note 3 9 2" xfId="5323" xr:uid="{5809BDBE-AEEE-463F-8522-A17C3A86A56D}"/>
    <cellStyle name="Note 3 9 2 2" xfId="19078" xr:uid="{EDA403C2-B585-416C-9E87-96B41CC245F4}"/>
    <cellStyle name="Note 3 9 2 2 2" xfId="22695" xr:uid="{EBC97056-49CA-4DF9-8342-5A2F59617ECE}"/>
    <cellStyle name="Note 3 9 2 3" xfId="35165" xr:uid="{E29E34DA-36C7-4EB8-A820-3671A400FB42}"/>
    <cellStyle name="Note 3 9 2 4" xfId="35166" xr:uid="{9ACFDFCB-2CAB-4B9E-8FE5-A40FF64195AB}"/>
    <cellStyle name="Note 3 9 2 5" xfId="35167" xr:uid="{C57EBC34-5290-448F-9ABE-6403DFCD23DE}"/>
    <cellStyle name="Note 3 9 2 6" xfId="35168" xr:uid="{E3AA8681-B6E9-4129-AFBE-07A90055912A}"/>
    <cellStyle name="Note 3 9 3" xfId="6992" xr:uid="{FAC7898D-7E4E-4ABD-A1C1-0C4EFE415199}"/>
    <cellStyle name="Note 3 9 3 2" xfId="22694" xr:uid="{DF0E8C1D-CC9D-4576-81E6-21C814EA7E20}"/>
    <cellStyle name="Note 3 9 3 3" xfId="46452" xr:uid="{92529CC9-8582-482C-9994-300FFD01EC6F}"/>
    <cellStyle name="Note 3 9 3 4" xfId="19077" xr:uid="{E25468A9-9976-4B90-990C-A7E0AC3F1DE7}"/>
    <cellStyle name="Note 3 9 4" xfId="9221" xr:uid="{13283820-A38F-4EC5-920C-C6060F41A6D7}"/>
    <cellStyle name="Note 3 9 4 2" xfId="35169" xr:uid="{951F19B0-1DB8-45C3-BDCA-2AA255061D11}"/>
    <cellStyle name="Note 3 9 5" xfId="35170" xr:uid="{09B1D63C-DEB3-46DA-9AB8-11C49A3FBB7D}"/>
    <cellStyle name="Note 3 9 6" xfId="35171" xr:uid="{7F74D960-2E3A-4F91-8634-157EAE849D33}"/>
    <cellStyle name="Note 3 9 7" xfId="35172" xr:uid="{CAA72366-92EA-4D2A-B51C-3D3573D225ED}"/>
    <cellStyle name="Note 3_IND_UC" xfId="11096" xr:uid="{E1CCB2BB-2DF7-4FC2-A679-73880F044F60}"/>
    <cellStyle name="Note 30" xfId="35173" xr:uid="{ED0C9C88-C834-4317-AF5C-9A4F46414A04}"/>
    <cellStyle name="Note 31" xfId="35174" xr:uid="{CBAE3C4D-5510-4F00-95B4-52338BC872FE}"/>
    <cellStyle name="Note 32" xfId="35175" xr:uid="{74A43996-8FDA-43C2-9725-6A783B209E97}"/>
    <cellStyle name="Note 4" xfId="3438" xr:uid="{A37B3091-02EA-4C4C-AA72-19BC1D301FE3}"/>
    <cellStyle name="Note 4 10" xfId="35176" xr:uid="{6134FD4C-287C-4C3E-90D9-F71E3FB01B49}"/>
    <cellStyle name="Note 4 11" xfId="35177" xr:uid="{8FB935A6-114E-4466-9B19-A15B02171219}"/>
    <cellStyle name="Note 4 2" xfId="3439" xr:uid="{BE86385F-FE17-4B68-B9DC-F687E74849AE}"/>
    <cellStyle name="Note 4 2 2" xfId="5325" xr:uid="{C9C71CA4-BF1D-448D-B4BF-38A48285AC3F}"/>
    <cellStyle name="Note 4 2 2 2" xfId="19081" xr:uid="{B32E2FCE-757D-458A-B4EB-07521990C8ED}"/>
    <cellStyle name="Note 4 2 2 2 2" xfId="22698" xr:uid="{9DA508B0-A111-40C6-9D9E-58FDD874217A}"/>
    <cellStyle name="Note 4 2 2 3" xfId="35178" xr:uid="{707A3FDB-DAFC-45A5-995C-6F0BB79E4060}"/>
    <cellStyle name="Note 4 2 2 4" xfId="35179" xr:uid="{0964C681-1654-4136-9F8C-660DAC3B8DD7}"/>
    <cellStyle name="Note 4 2 2 5" xfId="35180" xr:uid="{0CEB9409-19E8-4388-9996-2031BDD55ED4}"/>
    <cellStyle name="Note 4 2 2 6" xfId="35181" xr:uid="{2A712753-D835-4A59-94AA-52BC1184F731}"/>
    <cellStyle name="Note 4 2 3" xfId="4321" xr:uid="{C147B8EE-5CAF-4F13-8926-678E510E07EF}"/>
    <cellStyle name="Note 4 2 3 2" xfId="22697" xr:uid="{8FFA31FD-C9C3-44D0-8CF9-0C0D9CDB8A81}"/>
    <cellStyle name="Note 4 2 3 3" xfId="44125" xr:uid="{0EC98E8E-D76D-4BC6-99E0-6897DC458204}"/>
    <cellStyle name="Note 4 2 3 4" xfId="19080" xr:uid="{4B7055B5-203D-4CE5-BDE5-391504626D6F}"/>
    <cellStyle name="Note 4 2 4" xfId="6388" xr:uid="{7A032AC1-B539-421D-A8BA-74E72C0A7902}"/>
    <cellStyle name="Note 4 2 4 2" xfId="46036" xr:uid="{41CFC276-9FF2-4A03-B909-24D307B9A9C4}"/>
    <cellStyle name="Note 4 2 4 3" xfId="35182" xr:uid="{C6FC7D03-D963-4588-A483-BB94471A3C29}"/>
    <cellStyle name="Note 4 2 5" xfId="9223" xr:uid="{F5DED015-562D-4791-A767-0DB17BA530F8}"/>
    <cellStyle name="Note 4 2 5 2" xfId="35183" xr:uid="{3E8A286F-A78E-40AC-83C5-6C2556847CDD}"/>
    <cellStyle name="Note 4 2 6" xfId="35184" xr:uid="{6A51575E-3AB1-4125-B47E-DC9B5C7867CD}"/>
    <cellStyle name="Note 4 2 7" xfId="35185" xr:uid="{578FB3F0-AD85-49D1-885A-F1D1195B5000}"/>
    <cellStyle name="Note 4 2 8" xfId="35186" xr:uid="{789D5972-6938-49B6-B9A5-EB9556FBE68D}"/>
    <cellStyle name="Note 4 3" xfId="3440" xr:uid="{9301B481-0471-4BD2-B893-7A984BFA9E61}"/>
    <cellStyle name="Note 4 3 2" xfId="5326" xr:uid="{26A89CA0-FE8B-4D49-A470-20972723C48F}"/>
    <cellStyle name="Note 4 3 2 2" xfId="19083" xr:uid="{47F9D165-E0E2-4300-9958-C50344AAADB3}"/>
    <cellStyle name="Note 4 3 2 2 2" xfId="22700" xr:uid="{C304C789-7947-4A2E-8AC9-6EACA2A542DB}"/>
    <cellStyle name="Note 4 3 2 3" xfId="35187" xr:uid="{4E4D9B27-2E18-4FB6-BBF0-DEDB27AE104D}"/>
    <cellStyle name="Note 4 3 2 4" xfId="35188" xr:uid="{D202C48F-C93F-4B8D-B320-F142B25E1958}"/>
    <cellStyle name="Note 4 3 2 5" xfId="35189" xr:uid="{F0AD5D12-7901-41FF-9B67-A2CC0EFD9173}"/>
    <cellStyle name="Note 4 3 2 6" xfId="35190" xr:uid="{9339DECC-774B-425A-A547-DAC1B7DC10C1}"/>
    <cellStyle name="Note 4 3 3" xfId="4322" xr:uid="{9F062AFB-1DB6-4E11-9260-787C4DE92ADF}"/>
    <cellStyle name="Note 4 3 3 2" xfId="22699" xr:uid="{B194F0CE-1E31-4B16-AD52-D651190FCD2F}"/>
    <cellStyle name="Note 4 3 3 3" xfId="44126" xr:uid="{CF8DC41D-B4D5-45B0-9FFF-4D0D68838B94}"/>
    <cellStyle name="Note 4 3 3 4" xfId="19082" xr:uid="{8D4F1CDF-6DF7-4283-968C-C53F4B0C7F05}"/>
    <cellStyle name="Note 4 3 4" xfId="6389" xr:uid="{5FCACC8E-EB70-46D7-9A89-64EC75E36A8D}"/>
    <cellStyle name="Note 4 3 4 2" xfId="46037" xr:uid="{F26FE89F-D1C8-4BAA-BCE4-04912116B4EB}"/>
    <cellStyle name="Note 4 3 4 3" xfId="35191" xr:uid="{4EFD3908-0E94-4136-B03B-A3433283A064}"/>
    <cellStyle name="Note 4 3 5" xfId="9224" xr:uid="{A077AC96-A10F-4EB9-9BD7-3513624E05D6}"/>
    <cellStyle name="Note 4 3 5 2" xfId="35192" xr:uid="{48213657-B8B3-4192-86FC-292DB33C9FA4}"/>
    <cellStyle name="Note 4 3 6" xfId="35193" xr:uid="{05B429B0-221D-452B-AEE4-A1A0FE2CF1F0}"/>
    <cellStyle name="Note 4 3 7" xfId="35194" xr:uid="{30D37059-1E75-43EE-88F5-AD8BBC5B4B8F}"/>
    <cellStyle name="Note 4 3 8" xfId="35195" xr:uid="{D161EBAB-40DB-4E61-A73F-EB7CD5C975FF}"/>
    <cellStyle name="Note 4 4" xfId="3441" xr:uid="{1F7063DA-CF39-426A-AFAB-285CA3FF480B}"/>
    <cellStyle name="Note 4 4 2" xfId="5327" xr:uid="{40EC0206-D060-430A-B881-B9124E39AFF5}"/>
    <cellStyle name="Note 4 4 2 2" xfId="19085" xr:uid="{91E0B0E5-F349-4FD6-9100-2D9D1FFDC656}"/>
    <cellStyle name="Note 4 4 2 2 2" xfId="22702" xr:uid="{049F7AA6-A610-41B7-B5FE-50A68199DE91}"/>
    <cellStyle name="Note 4 4 2 3" xfId="35196" xr:uid="{706C3614-8738-44AF-91AC-77D837166A8B}"/>
    <cellStyle name="Note 4 4 2 4" xfId="35197" xr:uid="{EC7E6949-160A-4322-B542-768BEB1D9553}"/>
    <cellStyle name="Note 4 4 2 5" xfId="35198" xr:uid="{785F7248-09AD-4C9C-B50C-0DBF25DAC3C1}"/>
    <cellStyle name="Note 4 4 2 6" xfId="35199" xr:uid="{C57ECFA7-A89A-421B-A88F-CC687FCF7C5C}"/>
    <cellStyle name="Note 4 4 3" xfId="4323" xr:uid="{584BB011-1E87-4F93-A506-A437FEA0BE01}"/>
    <cellStyle name="Note 4 4 3 2" xfId="22701" xr:uid="{B0B085E7-EB66-4272-9DBC-9FB63178D216}"/>
    <cellStyle name="Note 4 4 3 3" xfId="44127" xr:uid="{4F4BF34A-F7DE-4080-9D52-BCB1A375EE2A}"/>
    <cellStyle name="Note 4 4 3 4" xfId="19084" xr:uid="{F26B6066-E616-4EE9-AF57-98651CED9B8D}"/>
    <cellStyle name="Note 4 4 4" xfId="6390" xr:uid="{44DA5109-0806-4583-8CA3-8DED3C862D7F}"/>
    <cellStyle name="Note 4 4 4 2" xfId="46038" xr:uid="{47DEC01F-AE5B-42DA-A7C7-B0023BA61D8B}"/>
    <cellStyle name="Note 4 4 4 3" xfId="35200" xr:uid="{80CEBB9A-B622-4571-9BA9-D14F22E4034E}"/>
    <cellStyle name="Note 4 4 5" xfId="9225" xr:uid="{018EF746-C3C3-4518-BA8E-13121E7E160D}"/>
    <cellStyle name="Note 4 4 5 2" xfId="35201" xr:uid="{387363C5-48A3-4444-8C1A-074E6E646171}"/>
    <cellStyle name="Note 4 4 6" xfId="35202" xr:uid="{8022339C-3546-4551-9356-FE1385E10181}"/>
    <cellStyle name="Note 4 4 7" xfId="35203" xr:uid="{874E4B57-9FDB-475F-96B2-22C6FDBAD4A8}"/>
    <cellStyle name="Note 4 4 8" xfId="35204" xr:uid="{4AFDFDD0-BA81-499D-8338-43C021D5E0D7}"/>
    <cellStyle name="Note 4 5" xfId="5324" xr:uid="{5EAD97A6-4EDB-438F-B608-4E657E6D9B70}"/>
    <cellStyle name="Note 4 5 2" xfId="19086" xr:uid="{5129B346-7AA2-4422-9B14-D422F63AD6FB}"/>
    <cellStyle name="Note 4 5 2 2" xfId="22703" xr:uid="{C17179BC-BB49-41FC-84DD-38C703113F67}"/>
    <cellStyle name="Note 4 5 3" xfId="35205" xr:uid="{3631A6DC-C788-481F-AC23-00EC8D3BC71A}"/>
    <cellStyle name="Note 4 5 4" xfId="35206" xr:uid="{524CD81F-56AC-400A-8822-DEEA7578ED0A}"/>
    <cellStyle name="Note 4 5 5" xfId="35207" xr:uid="{7A97303E-A9F2-4FBC-BFE4-B660FE5693CF}"/>
    <cellStyle name="Note 4 5 6" xfId="35208" xr:uid="{2F3AF1BF-ADEC-4AF7-A6F7-82E477B2508A}"/>
    <cellStyle name="Note 4 6" xfId="4320" xr:uid="{519DF2DB-B623-442F-852F-0E21B6739FC7}"/>
    <cellStyle name="Note 4 6 2" xfId="22696" xr:uid="{B7A9BE0C-452C-4B02-89D1-0A30407962EC}"/>
    <cellStyle name="Note 4 6 3" xfId="44124" xr:uid="{1E3B0924-F624-4F42-8427-AC82BA39C0FF}"/>
    <cellStyle name="Note 4 6 4" xfId="19079" xr:uid="{8F0FE20E-3F1A-4CD8-B27D-3FE797D8F251}"/>
    <cellStyle name="Note 4 7" xfId="6387" xr:uid="{A3F67FD8-A2AC-469B-9B14-56BC64D21FFF}"/>
    <cellStyle name="Note 4 7 2" xfId="46035" xr:uid="{32F5CA37-5BEE-4D3D-9DBD-AB545FADEF6E}"/>
    <cellStyle name="Note 4 7 3" xfId="35209" xr:uid="{C864757E-8D33-4AA0-8FEA-8366F684E655}"/>
    <cellStyle name="Note 4 8" xfId="9222" xr:uid="{0B6E2F60-A9EC-4CC5-BCFC-828D8AE5EBBB}"/>
    <cellStyle name="Note 4 8 2" xfId="35210" xr:uid="{FC762533-BF29-4CD2-B856-6109B0874B1E}"/>
    <cellStyle name="Note 4 9" xfId="35211" xr:uid="{949E4640-51F0-4979-AE86-2DB41CD51688}"/>
    <cellStyle name="Note 4_IND_UC" xfId="11097" xr:uid="{ADA3FA8E-7B24-41F5-A7F3-613EAE2B828E}"/>
    <cellStyle name="Note 5" xfId="3442" xr:uid="{325963D4-09A2-4471-9A46-3929E3F8F352}"/>
    <cellStyle name="Note 5 10" xfId="35212" xr:uid="{49F36D35-914B-4E57-A786-769B2414F3B3}"/>
    <cellStyle name="Note 5 2" xfId="3443" xr:uid="{D708770E-47A2-4E6D-B4FF-67FF2431F1E2}"/>
    <cellStyle name="Note 5 2 2" xfId="5329" xr:uid="{62BC4AF5-E842-4305-B121-311F3C1CCC8A}"/>
    <cellStyle name="Note 5 2 2 2" xfId="22705" xr:uid="{84C024CF-984C-4EBF-86C1-1ADF4D81295E}"/>
    <cellStyle name="Note 5 2 2 3" xfId="43718" xr:uid="{E6086AAD-D68B-458F-88B0-AB679E476C4F}"/>
    <cellStyle name="Note 5 2 2 4" xfId="19088" xr:uid="{171717BF-BE87-4028-A5E9-C99D4AA5F16C}"/>
    <cellStyle name="Note 5 2 3" xfId="4325" xr:uid="{F618A807-38DC-45DB-91D7-C36C6CA2C282}"/>
    <cellStyle name="Note 5 2 3 2" xfId="44129" xr:uid="{AA947697-150A-45C2-99EF-C09ABDED5B27}"/>
    <cellStyle name="Note 5 2 3 3" xfId="35213" xr:uid="{3A35A807-834C-4F12-8B1F-63A81B6C5918}"/>
    <cellStyle name="Note 5 2 4" xfId="6392" xr:uid="{7F34CF74-B4A8-4A0B-B61E-DFB7BF299ED3}"/>
    <cellStyle name="Note 5 2 4 2" xfId="46040" xr:uid="{02F9634B-6311-48B9-82F5-CABFFE6C55B1}"/>
    <cellStyle name="Note 5 2 4 3" xfId="35214" xr:uid="{C3028FB8-5316-4839-8D98-B5536D7A6E45}"/>
    <cellStyle name="Note 5 2 5" xfId="9227" xr:uid="{F7289558-29D4-4F1E-8C40-3403821E81BE}"/>
    <cellStyle name="Note 5 2 5 2" xfId="35215" xr:uid="{AF29CE54-D074-49D0-8A3B-D9A3546181F9}"/>
    <cellStyle name="Note 5 2 6" xfId="35216" xr:uid="{E3FD922C-8629-4D45-A8BA-584FFD4301DA}"/>
    <cellStyle name="Note 5 2 7" xfId="35217" xr:uid="{E7451FEC-EF5F-44B6-BF7D-D5E3BEA796DC}"/>
    <cellStyle name="Note 5 3" xfId="3444" xr:uid="{1C26BCBC-F00B-4668-8501-47B91806F81B}"/>
    <cellStyle name="Note 5 3 2" xfId="5330" xr:uid="{8B5C02CA-C240-4A8B-92CB-4209DEFC578B}"/>
    <cellStyle name="Note 5 3 2 2" xfId="22706" xr:uid="{25D9BE8B-DA13-4F84-9ECD-9B2B11F21155}"/>
    <cellStyle name="Note 5 3 2 3" xfId="43719" xr:uid="{19EEB238-D1CA-4B62-AC54-769067CDB4BC}"/>
    <cellStyle name="Note 5 3 2 4" xfId="19089" xr:uid="{855E663C-282C-47F8-B7C6-DBBE2EF8C1C5}"/>
    <cellStyle name="Note 5 3 3" xfId="4326" xr:uid="{56110537-98E4-4A51-BB8D-A6D4E6FCEC3E}"/>
    <cellStyle name="Note 5 3 3 2" xfId="44130" xr:uid="{860B7446-D699-4C69-8958-E6FA6EAC1010}"/>
    <cellStyle name="Note 5 3 3 3" xfId="35218" xr:uid="{029928A0-E28F-404E-8096-5027B2147393}"/>
    <cellStyle name="Note 5 3 4" xfId="6393" xr:uid="{D92161F1-869C-471E-A09D-3E891B3E40BC}"/>
    <cellStyle name="Note 5 3 4 2" xfId="46041" xr:uid="{420AC197-9A78-46F9-8391-9DEF90E2D928}"/>
    <cellStyle name="Note 5 3 4 3" xfId="35219" xr:uid="{83A8ADE1-250D-49F0-8000-7B793B8F8E91}"/>
    <cellStyle name="Note 5 3 5" xfId="9228" xr:uid="{DE5615F5-EA51-4ABC-B025-A6CC332BFCEB}"/>
    <cellStyle name="Note 5 3 5 2" xfId="35220" xr:uid="{3105513F-C3DD-4DE7-91A9-A72CA99C5DED}"/>
    <cellStyle name="Note 5 3 6" xfId="35221" xr:uid="{17BC0C5A-3143-4A5A-A36D-3E002E6B2D6C}"/>
    <cellStyle name="Note 5 3 7" xfId="35222" xr:uid="{02394C4D-7F15-402D-A9C6-345B6463DE86}"/>
    <cellStyle name="Note 5 4" xfId="3445" xr:uid="{30D5AB18-8E83-4B64-A06D-CF6D12DFA578}"/>
    <cellStyle name="Note 5 4 2" xfId="5331" xr:uid="{735FDA4D-2AB6-4CBA-8052-EB9E8E8F614B}"/>
    <cellStyle name="Note 5 4 2 2" xfId="22707" xr:uid="{BEC09220-D069-440D-A7DE-EE8CBC290143}"/>
    <cellStyle name="Note 5 4 2 3" xfId="43720" xr:uid="{D7594548-B65A-4600-8E0C-181BCDAEB0A5}"/>
    <cellStyle name="Note 5 4 2 4" xfId="19090" xr:uid="{34550344-570A-4D00-9CD0-E0D3E12B28E7}"/>
    <cellStyle name="Note 5 4 3" xfId="4327" xr:uid="{BDD72EE4-B595-45C7-88FD-AAC15B3307CB}"/>
    <cellStyle name="Note 5 4 3 2" xfId="44131" xr:uid="{C4EDE783-0C1A-4B88-90C9-D8E98D05C551}"/>
    <cellStyle name="Note 5 4 3 3" xfId="35223" xr:uid="{C9483DD2-3A22-431C-A58E-D8320E6D0661}"/>
    <cellStyle name="Note 5 4 4" xfId="6394" xr:uid="{61E68742-1316-4CC6-AFA2-E53924A4C4A0}"/>
    <cellStyle name="Note 5 4 4 2" xfId="46042" xr:uid="{A6961907-3E3C-4197-AE43-8A3644AA00A3}"/>
    <cellStyle name="Note 5 4 4 3" xfId="35224" xr:uid="{DCAA2E85-3441-4EC7-884A-4C9AC00B0976}"/>
    <cellStyle name="Note 5 4 5" xfId="9229" xr:uid="{C0D2C225-8B57-4643-8115-F36B8E38DD2D}"/>
    <cellStyle name="Note 5 4 5 2" xfId="35225" xr:uid="{CD07D955-F538-4E91-9ECC-E6A988EBC433}"/>
    <cellStyle name="Note 5 4 6" xfId="35226" xr:uid="{5744C824-978A-4927-AF5B-A15FB435ECBF}"/>
    <cellStyle name="Note 5 4 7" xfId="35227" xr:uid="{830C16F1-40C2-4B30-9ED9-02C3655B64EA}"/>
    <cellStyle name="Note 5 5" xfId="5328" xr:uid="{DA7E07D2-35C9-4276-A218-BE33817A9F49}"/>
    <cellStyle name="Note 5 5 2" xfId="22704" xr:uid="{98B0B798-53C7-4165-A265-A77046B238B3}"/>
    <cellStyle name="Note 5 5 3" xfId="43717" xr:uid="{CA6C3A80-DC5D-49C4-A450-EFB01A0D27E6}"/>
    <cellStyle name="Note 5 5 4" xfId="19087" xr:uid="{DCF9F122-B3C9-4E96-A80D-15CE3B566689}"/>
    <cellStyle name="Note 5 6" xfId="4324" xr:uid="{D3934F0F-90B8-446D-A6E7-66C2A4B27C43}"/>
    <cellStyle name="Note 5 6 2" xfId="44128" xr:uid="{06FAEAC0-1BD9-41D1-80BB-0D047A95FB19}"/>
    <cellStyle name="Note 5 6 3" xfId="35228" xr:uid="{20D493D4-5A21-4C2C-BF5B-5AD904704B25}"/>
    <cellStyle name="Note 5 7" xfId="6391" xr:uid="{9E102EB9-87A1-4302-9178-E6C33FE70E8E}"/>
    <cellStyle name="Note 5 7 2" xfId="46039" xr:uid="{2C4F281A-A63C-4CF2-B38D-C496001E79DB}"/>
    <cellStyle name="Note 5 7 3" xfId="35229" xr:uid="{B08A6668-A6ED-477D-AE0A-2A7A445C21DB}"/>
    <cellStyle name="Note 5 8" xfId="9226" xr:uid="{04784880-3799-4554-BA0B-371BD9E0285F}"/>
    <cellStyle name="Note 5 8 2" xfId="35230" xr:uid="{9A1D00D8-AC4F-466E-9C9B-76EF4E501D65}"/>
    <cellStyle name="Note 5 9" xfId="35231" xr:uid="{68249DD0-D1BF-4328-A471-3A26AD3A2478}"/>
    <cellStyle name="Note 6" xfId="3446" xr:uid="{7AD265B0-3818-4F74-A132-EED1CAC27892}"/>
    <cellStyle name="Note 6 10" xfId="5332" xr:uid="{FD9AF0F5-DB5F-477A-B91C-7A43D88C32F8}"/>
    <cellStyle name="Note 6 10 2" xfId="19092" xr:uid="{89313298-92CE-4386-8FAD-A3DBBFA15678}"/>
    <cellStyle name="Note 6 10 2 2" xfId="22709" xr:uid="{1130F10B-092B-42E2-A967-8A64746965B5}"/>
    <cellStyle name="Note 6 10 3" xfId="35232" xr:uid="{E6BFC463-DCDF-4E0A-AA42-10A384CA27CB}"/>
    <cellStyle name="Note 6 10 4" xfId="35233" xr:uid="{3FB3FEDD-5EED-4F22-9130-9D34E9C57D59}"/>
    <cellStyle name="Note 6 10 5" xfId="35234" xr:uid="{8C0AF78B-F069-4226-963A-C72411F4494B}"/>
    <cellStyle name="Note 6 10 6" xfId="35235" xr:uid="{AB6034CC-8D6F-406A-A340-B0B4647CB0C3}"/>
    <cellStyle name="Note 6 11" xfId="4328" xr:uid="{B79974AE-8A95-49EF-80D0-9DB2E04FFBBB}"/>
    <cellStyle name="Note 6 11 2" xfId="19093" xr:uid="{7F3953FD-4BAF-41D3-9714-C52CE72B7989}"/>
    <cellStyle name="Note 6 11 2 2" xfId="22710" xr:uid="{B07CAEFB-42FF-4D8A-8759-76CF43C3EABA}"/>
    <cellStyle name="Note 6 11 3" xfId="35236" xr:uid="{11D16F06-D24F-4837-BF2B-3D7DAAC4E412}"/>
    <cellStyle name="Note 6 11 4" xfId="35237" xr:uid="{79D34B55-6480-4E94-89A1-080CD5D8C773}"/>
    <cellStyle name="Note 6 11 5" xfId="35238" xr:uid="{A8E651DA-789F-4E3B-ABB5-3909D0A395A6}"/>
    <cellStyle name="Note 6 11 6" xfId="35239" xr:uid="{990307D5-BC87-4027-8441-D43F238C4B3B}"/>
    <cellStyle name="Note 6 11 7" xfId="44132" xr:uid="{404A050E-0E6C-475E-8BDA-BAA2F6D6B04D}"/>
    <cellStyle name="Note 6 11 8" xfId="16565" xr:uid="{B0B7A050-1C3A-4E68-A2B2-B4D362CA1A69}"/>
    <cellStyle name="Note 6 12" xfId="6395" xr:uid="{9EC034E7-99A0-47AC-A5DB-6B81AE5DFF0C}"/>
    <cellStyle name="Note 6 12 2" xfId="22708" xr:uid="{8F06EE58-854B-45ED-A879-1D0CCD763C00}"/>
    <cellStyle name="Note 6 12 3" xfId="46043" xr:uid="{E7E731B6-41A3-4DEC-A9B5-F79D53C4D3D5}"/>
    <cellStyle name="Note 6 12 4" xfId="19091" xr:uid="{D8FDC881-A26A-470B-A32A-B39EC08C025B}"/>
    <cellStyle name="Note 6 13" xfId="9230" xr:uid="{A85E70F9-EBC6-4313-8FB0-A326E4BBBC0D}"/>
    <cellStyle name="Note 6 13 2" xfId="35240" xr:uid="{3F7D70F0-5F9A-4722-95A6-8C34198D3365}"/>
    <cellStyle name="Note 6 14" xfId="35241" xr:uid="{21EE22F2-8DDD-491A-8BB0-2B9BF7A71886}"/>
    <cellStyle name="Note 6 15" xfId="35242" xr:uid="{B0DAA18F-7E78-4BC0-8A3C-5CF845CDFB06}"/>
    <cellStyle name="Note 6 16" xfId="35243" xr:uid="{21A34ED0-77D3-4D72-BC81-B317E2FF7FA0}"/>
    <cellStyle name="Note 6 17" xfId="35244" xr:uid="{1808B265-8A11-4A4F-A5CA-7AE39D3D3BF9}"/>
    <cellStyle name="Note 6 2" xfId="3447" xr:uid="{8E7B6C1E-E115-482C-9A85-B5461F8395C7}"/>
    <cellStyle name="Note 6 2 10" xfId="4329" xr:uid="{A54C5692-5341-4FB6-808C-92B9AB945C69}"/>
    <cellStyle name="Note 6 2 10 2" xfId="22711" xr:uid="{06F21E1D-5B72-4E9E-B0BF-5E16E694C220}"/>
    <cellStyle name="Note 6 2 10 3" xfId="44133" xr:uid="{D2DF6040-BF4B-4F64-8D4A-A09D3A7A9937}"/>
    <cellStyle name="Note 6 2 10 4" xfId="19094" xr:uid="{99B27E00-1AB0-45D0-98E6-D38BF66F7FE2}"/>
    <cellStyle name="Note 6 2 11" xfId="6396" xr:uid="{D9653D65-153D-4D6C-BA06-CE2A18BD37F1}"/>
    <cellStyle name="Note 6 2 11 2" xfId="46044" xr:uid="{436D6E0E-6961-49BA-B81E-0A7AE1679749}"/>
    <cellStyle name="Note 6 2 11 3" xfId="35245" xr:uid="{09284792-462B-4543-B569-6B8AF852F099}"/>
    <cellStyle name="Note 6 2 12" xfId="9231" xr:uid="{045F5479-D17C-4F17-9D7A-47247917D080}"/>
    <cellStyle name="Note 6 2 12 2" xfId="35246" xr:uid="{B63F38A4-10F0-4EA5-BF2A-ADF02EB4BA6F}"/>
    <cellStyle name="Note 6 2 13" xfId="35247" xr:uid="{2CA96553-C5F6-4461-A9B2-4C0B044EF74E}"/>
    <cellStyle name="Note 6 2 14" xfId="35248" xr:uid="{86F9B983-AFFE-4A74-BEED-58DA74FE75F0}"/>
    <cellStyle name="Note 6 2 15" xfId="35249" xr:uid="{0D6E3F63-D592-4621-BB3F-161B2B4E4811}"/>
    <cellStyle name="Note 6 2 2" xfId="3448" xr:uid="{239ECD8F-64EB-4DD0-9D65-699737B83518}"/>
    <cellStyle name="Note 6 2 2 10" xfId="35250" xr:uid="{ECC0E4F3-D3A0-4986-971D-F56B93A8B21D}"/>
    <cellStyle name="Note 6 2 2 2" xfId="3449" xr:uid="{25F60B87-6859-416E-976C-D5B6C72A58BF}"/>
    <cellStyle name="Note 6 2 2 2 2" xfId="5335" xr:uid="{094E6DA7-3092-4BCC-952D-28FFB27B4471}"/>
    <cellStyle name="Note 6 2 2 2 2 2" xfId="19097" xr:uid="{349AD901-3B3E-4F08-AF00-585DE1FA9436}"/>
    <cellStyle name="Note 6 2 2 2 2 2 2" xfId="22714" xr:uid="{1C7F3ACA-8042-4F09-A1E4-B3DB60998BA7}"/>
    <cellStyle name="Note 6 2 2 2 2 3" xfId="35251" xr:uid="{573E874E-1148-4E4F-BEA5-EECDF8F90FAD}"/>
    <cellStyle name="Note 6 2 2 2 2 4" xfId="35252" xr:uid="{189B948C-A260-4353-A99C-CBD3B47489EA}"/>
    <cellStyle name="Note 6 2 2 2 2 5" xfId="35253" xr:uid="{FE8E6A7A-C367-415B-99EB-A0A71F0743B6}"/>
    <cellStyle name="Note 6 2 2 2 2 6" xfId="35254" xr:uid="{FB8BBD64-03FD-4917-9866-F1496D855315}"/>
    <cellStyle name="Note 6 2 2 2 3" xfId="6993" xr:uid="{E3EC6505-9466-466C-AE7C-35C70D9FA3DB}"/>
    <cellStyle name="Note 6 2 2 2 3 2" xfId="22713" xr:uid="{BA7685CB-06E8-4871-9BCF-49068EAF2F3B}"/>
    <cellStyle name="Note 6 2 2 2 3 3" xfId="46453" xr:uid="{5D392BC8-9638-4845-A6F4-4CC347146146}"/>
    <cellStyle name="Note 6 2 2 2 3 4" xfId="19096" xr:uid="{B3BB4096-88F9-470A-8188-C262822882F2}"/>
    <cellStyle name="Note 6 2 2 2 4" xfId="9233" xr:uid="{9027E50B-9A2C-499E-BC4D-105241EE535A}"/>
    <cellStyle name="Note 6 2 2 2 4 2" xfId="35255" xr:uid="{CC3B3145-5046-41B1-8778-D94336CEEA1E}"/>
    <cellStyle name="Note 6 2 2 2 5" xfId="35256" xr:uid="{CC14A277-F0AB-4DF3-B20C-50533AC86B0F}"/>
    <cellStyle name="Note 6 2 2 2 6" xfId="35257" xr:uid="{2E83D5F4-5A1C-488A-8F29-85134920F2E1}"/>
    <cellStyle name="Note 6 2 2 2 7" xfId="35258" xr:uid="{D40647F9-E564-4C80-B58C-77A9EA815202}"/>
    <cellStyle name="Note 6 2 2 3" xfId="3450" xr:uid="{C0F59C79-46EF-45B3-93C3-EBC408762255}"/>
    <cellStyle name="Note 6 2 2 3 2" xfId="5336" xr:uid="{A683EF32-A4D6-48C7-A539-52A9A8B0A5EC}"/>
    <cellStyle name="Note 6 2 2 3 2 2" xfId="19099" xr:uid="{5A2A7109-49E4-4572-B1F3-EF76206F4FCE}"/>
    <cellStyle name="Note 6 2 2 3 2 2 2" xfId="22716" xr:uid="{72A522C4-27FF-4536-AE18-3C991737185C}"/>
    <cellStyle name="Note 6 2 2 3 2 3" xfId="35259" xr:uid="{5A5132F7-798E-40BA-99C0-B7E93279633D}"/>
    <cellStyle name="Note 6 2 2 3 2 4" xfId="35260" xr:uid="{47709CC9-B4BE-47BF-8EEE-BECF4F19775C}"/>
    <cellStyle name="Note 6 2 2 3 2 5" xfId="35261" xr:uid="{E2447891-32E9-4243-80A9-E304084AC50A}"/>
    <cellStyle name="Note 6 2 2 3 2 6" xfId="35262" xr:uid="{4EA400A1-8001-446B-8D10-83E4AE9592E2}"/>
    <cellStyle name="Note 6 2 2 3 3" xfId="6994" xr:uid="{4F27366C-C99E-40C1-A7E8-B3BBF198EFE0}"/>
    <cellStyle name="Note 6 2 2 3 3 2" xfId="22715" xr:uid="{BB1B9E1D-CF6C-415E-ACF2-F78112B09309}"/>
    <cellStyle name="Note 6 2 2 3 3 3" xfId="46454" xr:uid="{B947E87B-3C1E-4630-B134-CA8AD4706797}"/>
    <cellStyle name="Note 6 2 2 3 3 4" xfId="19098" xr:uid="{4DA54460-F7CC-41BC-890C-21FF97A7F216}"/>
    <cellStyle name="Note 6 2 2 3 4" xfId="9234" xr:uid="{FE609EFC-DF46-45F7-84E0-AE73201AE59E}"/>
    <cellStyle name="Note 6 2 2 3 4 2" xfId="35263" xr:uid="{1E3C3C12-70C3-46C3-9A37-91D4A0C18684}"/>
    <cellStyle name="Note 6 2 2 3 5" xfId="35264" xr:uid="{94594ECA-2DDB-467C-87DC-8765153B880F}"/>
    <cellStyle name="Note 6 2 2 3 6" xfId="35265" xr:uid="{D38C6D21-7352-4656-8A3B-7FDC1EF5A8A3}"/>
    <cellStyle name="Note 6 2 2 3 7" xfId="35266" xr:uid="{31AEBC10-64F8-467A-A1CC-BB1677775EDC}"/>
    <cellStyle name="Note 6 2 2 4" xfId="5334" xr:uid="{665EE681-1792-4C49-9A62-A1FF9451E703}"/>
    <cellStyle name="Note 6 2 2 4 2" xfId="19100" xr:uid="{D8A56F96-7731-40F6-BDCB-5B6DAC793E1C}"/>
    <cellStyle name="Note 6 2 2 4 2 2" xfId="22717" xr:uid="{FD5E517C-807A-4A7A-AC57-3D2B3951EE1F}"/>
    <cellStyle name="Note 6 2 2 4 3" xfId="35267" xr:uid="{06DCEAEB-96B7-41B1-A7EF-87678C43F7BF}"/>
    <cellStyle name="Note 6 2 2 4 4" xfId="35268" xr:uid="{3066AD4C-AE70-474B-AEB5-24145A651AC2}"/>
    <cellStyle name="Note 6 2 2 4 5" xfId="35269" xr:uid="{9B516EF4-FF88-4B87-9000-A63EAF64D74D}"/>
    <cellStyle name="Note 6 2 2 4 6" xfId="35270" xr:uid="{8958264F-A44B-4B98-B1DE-575C7E252811}"/>
    <cellStyle name="Note 6 2 2 5" xfId="4330" xr:uid="{0EF1966F-713E-403A-895C-66DF99CB19A3}"/>
    <cellStyle name="Note 6 2 2 5 2" xfId="22712" xr:uid="{5ECDDC5E-FF6C-4957-85E4-944FC3F8EEB4}"/>
    <cellStyle name="Note 6 2 2 5 3" xfId="44134" xr:uid="{18EE0F36-35BB-4E06-804B-130689D0AAA3}"/>
    <cellStyle name="Note 6 2 2 5 4" xfId="19095" xr:uid="{3776E142-174B-49A8-928A-F352ACD108F6}"/>
    <cellStyle name="Note 6 2 2 6" xfId="6397" xr:uid="{9A6CBEDD-865C-47A0-A8B0-5BD870D0B5F8}"/>
    <cellStyle name="Note 6 2 2 6 2" xfId="46045" xr:uid="{469C7942-A8DD-45E4-8478-B131A15FCD43}"/>
    <cellStyle name="Note 6 2 2 6 3" xfId="35271" xr:uid="{21BBABE8-FD80-43AF-82E3-CDBF8F24C6C8}"/>
    <cellStyle name="Note 6 2 2 7" xfId="9232" xr:uid="{413F6915-F84D-4253-A8C8-7BADB9E45468}"/>
    <cellStyle name="Note 6 2 2 7 2" xfId="35272" xr:uid="{2BE3BCB6-F168-471B-8887-A5D9A6C98D5C}"/>
    <cellStyle name="Note 6 2 2 8" xfId="35273" xr:uid="{C789665A-7B62-4280-9589-BC72E7D97611}"/>
    <cellStyle name="Note 6 2 2 9" xfId="35274" xr:uid="{8C6F6E6D-4519-4373-8DAC-EB603952561B}"/>
    <cellStyle name="Note 6 2 3" xfId="3451" xr:uid="{36338AA0-6647-4A1B-A4EA-86D1D7053DBA}"/>
    <cellStyle name="Note 6 2 3 10" xfId="35275" xr:uid="{C9120770-B745-44F7-8019-35E47898BB63}"/>
    <cellStyle name="Note 6 2 3 2" xfId="3452" xr:uid="{34997069-BF70-42C8-8117-1D94829A9E08}"/>
    <cellStyle name="Note 6 2 3 2 2" xfId="5338" xr:uid="{CE6B0585-B5BD-4F07-9C87-1DA6C1F19634}"/>
    <cellStyle name="Note 6 2 3 2 2 2" xfId="19103" xr:uid="{D601AE10-FC2E-46C7-B60D-8E9630DF6755}"/>
    <cellStyle name="Note 6 2 3 2 2 2 2" xfId="22720" xr:uid="{E451D7BC-F6AD-4C43-A571-ED9D64D75E6F}"/>
    <cellStyle name="Note 6 2 3 2 2 3" xfId="35276" xr:uid="{7C653866-C638-4ECD-924C-0E34B4E469C4}"/>
    <cellStyle name="Note 6 2 3 2 2 4" xfId="35277" xr:uid="{F5FE44DF-826C-4DDC-96A2-C615344AA54C}"/>
    <cellStyle name="Note 6 2 3 2 2 5" xfId="35278" xr:uid="{46E39F42-0D4A-4E45-8972-3A918D21BF21}"/>
    <cellStyle name="Note 6 2 3 2 2 6" xfId="35279" xr:uid="{94C6D3CE-BDCD-464B-A6D3-C044A1F67B18}"/>
    <cellStyle name="Note 6 2 3 2 3" xfId="6995" xr:uid="{017C5CD3-B8FD-496F-9BE2-F529906E7C15}"/>
    <cellStyle name="Note 6 2 3 2 3 2" xfId="22719" xr:uid="{7DF2617D-2379-4DC3-8BD4-229D027615A5}"/>
    <cellStyle name="Note 6 2 3 2 3 3" xfId="46455" xr:uid="{B9D4CA8F-E6F1-4535-8AB7-032CA0265389}"/>
    <cellStyle name="Note 6 2 3 2 3 4" xfId="19102" xr:uid="{F9CFBEB9-8BF2-4009-95D7-0C5F08A64FE3}"/>
    <cellStyle name="Note 6 2 3 2 4" xfId="9236" xr:uid="{8251F724-119F-4941-B062-DE5F470C7FA1}"/>
    <cellStyle name="Note 6 2 3 2 4 2" xfId="35280" xr:uid="{BAEC9879-6EAC-45B2-A93F-B70D37DD3448}"/>
    <cellStyle name="Note 6 2 3 2 5" xfId="35281" xr:uid="{784C6CD1-13D0-418E-B43B-2E26F3011494}"/>
    <cellStyle name="Note 6 2 3 2 6" xfId="35282" xr:uid="{34D28B54-5D5E-4A88-92C7-26EB6DCB58D3}"/>
    <cellStyle name="Note 6 2 3 2 7" xfId="35283" xr:uid="{79F1ECAE-8840-47C7-9608-876066085E03}"/>
    <cellStyle name="Note 6 2 3 3" xfId="3453" xr:uid="{8EBB761D-9587-400E-865B-5DA29B82D3E0}"/>
    <cellStyle name="Note 6 2 3 3 2" xfId="5339" xr:uid="{296AE9D1-97A4-486A-9178-5448938A4377}"/>
    <cellStyle name="Note 6 2 3 3 2 2" xfId="19105" xr:uid="{BAFC0C9D-4D8C-46AA-8FB1-C3605526A4D0}"/>
    <cellStyle name="Note 6 2 3 3 2 2 2" xfId="22722" xr:uid="{7D00A906-5EF8-4CC4-9E5C-86F33292C56B}"/>
    <cellStyle name="Note 6 2 3 3 2 3" xfId="35284" xr:uid="{2A0EBA27-3D17-4F35-BF74-F5F59AF267F5}"/>
    <cellStyle name="Note 6 2 3 3 2 4" xfId="35285" xr:uid="{EAEAF505-1881-4B35-935A-7763E6D73C35}"/>
    <cellStyle name="Note 6 2 3 3 2 5" xfId="35286" xr:uid="{D9678988-A118-4016-A225-699AF5F9C7DE}"/>
    <cellStyle name="Note 6 2 3 3 2 6" xfId="35287" xr:uid="{1B4A84BF-B050-42F4-AF6F-C4BCA46F3385}"/>
    <cellStyle name="Note 6 2 3 3 3" xfId="6996" xr:uid="{BB0E2413-2F03-44D6-B745-DCDC1DBF4FDD}"/>
    <cellStyle name="Note 6 2 3 3 3 2" xfId="22721" xr:uid="{23AF7EB6-9400-4C22-988F-FCE26C37ACDA}"/>
    <cellStyle name="Note 6 2 3 3 3 3" xfId="46456" xr:uid="{F60A808F-62E2-4D7F-A25B-DE9B376D457C}"/>
    <cellStyle name="Note 6 2 3 3 3 4" xfId="19104" xr:uid="{283D4689-1505-4663-AFD6-51398141D74E}"/>
    <cellStyle name="Note 6 2 3 3 4" xfId="9237" xr:uid="{FE3F884C-994D-4F0F-859C-E080192FB4D0}"/>
    <cellStyle name="Note 6 2 3 3 4 2" xfId="35288" xr:uid="{1EA37324-6836-4EAB-8FC1-0BBFFDE1C9AA}"/>
    <cellStyle name="Note 6 2 3 3 5" xfId="35289" xr:uid="{6258C2FE-9EBB-4DEE-B6B0-C041D764DFC2}"/>
    <cellStyle name="Note 6 2 3 3 6" xfId="35290" xr:uid="{CE59FDB7-2424-475C-8C28-3B33358E52B6}"/>
    <cellStyle name="Note 6 2 3 3 7" xfId="35291" xr:uid="{011DF506-F817-4E04-B76A-84FCC4314618}"/>
    <cellStyle name="Note 6 2 3 4" xfId="5337" xr:uid="{2DF57F46-D562-42A7-8B7D-5DCE412EC319}"/>
    <cellStyle name="Note 6 2 3 4 2" xfId="19106" xr:uid="{41EFD78E-E7EB-4BCC-9E8D-14E94D647036}"/>
    <cellStyle name="Note 6 2 3 4 2 2" xfId="22723" xr:uid="{2B7D6E74-27C9-412E-BE32-81532E9BB956}"/>
    <cellStyle name="Note 6 2 3 4 3" xfId="35292" xr:uid="{E39AED62-6F4B-4971-B8B1-3C81EE9DA2D9}"/>
    <cellStyle name="Note 6 2 3 4 4" xfId="35293" xr:uid="{7405EACE-7C3F-4A6E-8C1C-E951BE45937A}"/>
    <cellStyle name="Note 6 2 3 4 5" xfId="35294" xr:uid="{8B05034C-E348-4E7E-B23D-DC17172155B8}"/>
    <cellStyle name="Note 6 2 3 4 6" xfId="35295" xr:uid="{491B1888-C068-4F86-A3D4-FC7A75EE9991}"/>
    <cellStyle name="Note 6 2 3 5" xfId="4331" xr:uid="{F476AB65-66F9-403D-84E7-EFFEC5B263ED}"/>
    <cellStyle name="Note 6 2 3 5 2" xfId="22718" xr:uid="{FA2FC05D-3584-4B3E-9729-EE97334C73BE}"/>
    <cellStyle name="Note 6 2 3 5 3" xfId="44135" xr:uid="{8F4C2E91-BE6D-4629-84F6-AF28A84D3795}"/>
    <cellStyle name="Note 6 2 3 5 4" xfId="19101" xr:uid="{0C584BE2-CDDB-43D0-B448-7535C1082FDD}"/>
    <cellStyle name="Note 6 2 3 6" xfId="6398" xr:uid="{8F162405-0AA5-455E-9601-DF948BFA3A83}"/>
    <cellStyle name="Note 6 2 3 6 2" xfId="46046" xr:uid="{339E496E-7BBD-404B-AB55-FEC5FAAE4FDD}"/>
    <cellStyle name="Note 6 2 3 6 3" xfId="35296" xr:uid="{2F7C475C-6E82-4ABD-9354-56C9B7339D95}"/>
    <cellStyle name="Note 6 2 3 7" xfId="9235" xr:uid="{B22BEDBF-CEE5-458D-827C-B0B8CE27B41C}"/>
    <cellStyle name="Note 6 2 3 7 2" xfId="35297" xr:uid="{10DA1943-280B-4432-92CB-B7A7B906F3E4}"/>
    <cellStyle name="Note 6 2 3 8" xfId="35298" xr:uid="{51234405-5967-43D4-961D-AFAF166193AF}"/>
    <cellStyle name="Note 6 2 3 9" xfId="35299" xr:uid="{3330ECCD-2B38-445D-AE03-395167C15BF2}"/>
    <cellStyle name="Note 6 2 4" xfId="3454" xr:uid="{3CA5C0A2-0AF6-4C24-B820-4F518F154809}"/>
    <cellStyle name="Note 6 2 4 2" xfId="5340" xr:uid="{FF62842B-709A-4874-A291-6AAF134B6353}"/>
    <cellStyle name="Note 6 2 4 2 2" xfId="19108" xr:uid="{7145D825-F204-4FC6-A9D1-ABACF5626CD4}"/>
    <cellStyle name="Note 6 2 4 2 2 2" xfId="22725" xr:uid="{E2987383-3176-4BF4-A25B-C71A9C9BA5AD}"/>
    <cellStyle name="Note 6 2 4 2 3" xfId="35300" xr:uid="{DB3CD999-82C9-4CC5-90D3-8F509FD3BB69}"/>
    <cellStyle name="Note 6 2 4 2 4" xfId="35301" xr:uid="{E5C4D2A4-9B5E-40EA-B913-83E015F1305C}"/>
    <cellStyle name="Note 6 2 4 2 5" xfId="35302" xr:uid="{B8CCF54B-03DB-4220-A80D-C441F04093BB}"/>
    <cellStyle name="Note 6 2 4 2 6" xfId="35303" xr:uid="{1DEAD36E-C31F-4B3B-9519-E57EF3A0C7E1}"/>
    <cellStyle name="Note 6 2 4 3" xfId="4332" xr:uid="{95DCC082-F739-4E03-8A04-C65B587F3FFD}"/>
    <cellStyle name="Note 6 2 4 3 2" xfId="22724" xr:uid="{FD6A54E3-5F83-4246-9145-68A13B322587}"/>
    <cellStyle name="Note 6 2 4 3 3" xfId="44136" xr:uid="{54AB3ED2-F350-4A40-953E-F0E3AA4F2747}"/>
    <cellStyle name="Note 6 2 4 3 4" xfId="19107" xr:uid="{8A1B71C7-2D9E-444F-9FFA-74EE466D88CF}"/>
    <cellStyle name="Note 6 2 4 4" xfId="6399" xr:uid="{728D5D5B-D599-4EFD-BF9E-FD0EA2603D43}"/>
    <cellStyle name="Note 6 2 4 4 2" xfId="46047" xr:uid="{4B1ECD75-B9B9-499B-98BA-DF2C3964ADC3}"/>
    <cellStyle name="Note 6 2 4 4 3" xfId="35304" xr:uid="{DAC1686B-D08C-40C5-867E-AA9521CF22C0}"/>
    <cellStyle name="Note 6 2 4 5" xfId="9238" xr:uid="{7F63D7EC-8B6A-4EE0-9F9C-584937467E92}"/>
    <cellStyle name="Note 6 2 4 5 2" xfId="35305" xr:uid="{276DA05D-B0D9-44FE-8640-BAA411BAF75F}"/>
    <cellStyle name="Note 6 2 4 6" xfId="35306" xr:uid="{FA37CB75-1E5D-4076-98B7-23F415044640}"/>
    <cellStyle name="Note 6 2 4 7" xfId="35307" xr:uid="{DE6EDBC0-85F3-4E37-8BF2-43D929F68787}"/>
    <cellStyle name="Note 6 2 4 8" xfId="35308" xr:uid="{EFFFF17C-B0B2-4B51-ADAC-A25B36318450}"/>
    <cellStyle name="Note 6 2 5" xfId="3455" xr:uid="{3FAF8DB2-6C29-46A6-9EE4-F6C92B5C6C0B}"/>
    <cellStyle name="Note 6 2 5 2" xfId="5341" xr:uid="{F711D231-AB4E-4E7A-8BC2-FBBCCE743FE9}"/>
    <cellStyle name="Note 6 2 5 2 2" xfId="19110" xr:uid="{E7B979C2-CC0C-4A85-8B61-F9B81450C2C0}"/>
    <cellStyle name="Note 6 2 5 2 2 2" xfId="22727" xr:uid="{4146387E-7D0E-464E-9AC6-9D1CEB47DCE7}"/>
    <cellStyle name="Note 6 2 5 2 3" xfId="35309" xr:uid="{BD1F1813-C660-4C9A-938C-B567FEFD5055}"/>
    <cellStyle name="Note 6 2 5 2 4" xfId="35310" xr:uid="{9D6BACAD-91E1-40FC-B520-86D73420CC0B}"/>
    <cellStyle name="Note 6 2 5 2 5" xfId="35311" xr:uid="{44C24FEC-4420-45A7-8635-B0D63723E2D4}"/>
    <cellStyle name="Note 6 2 5 2 6" xfId="35312" xr:uid="{67FE26CC-9568-4247-9107-C31DE7715761}"/>
    <cellStyle name="Note 6 2 5 3" xfId="6997" xr:uid="{CF264345-E9FF-4185-8CC5-B346402223A6}"/>
    <cellStyle name="Note 6 2 5 3 2" xfId="22726" xr:uid="{5D63C7C7-45E2-43ED-A07F-282A6FC66042}"/>
    <cellStyle name="Note 6 2 5 3 3" xfId="46457" xr:uid="{682E4623-0112-4605-9F63-9D22810BCB90}"/>
    <cellStyle name="Note 6 2 5 3 4" xfId="19109" xr:uid="{17583CC1-45E8-4868-8746-22492265BCC0}"/>
    <cellStyle name="Note 6 2 5 4" xfId="9239" xr:uid="{6A1B352E-64F7-4C4E-AC93-80CE0ACAC66F}"/>
    <cellStyle name="Note 6 2 5 4 2" xfId="35313" xr:uid="{8E99E2C9-4D09-4978-8306-C8EABE450221}"/>
    <cellStyle name="Note 6 2 5 5" xfId="35314" xr:uid="{216882DC-F0CA-45DB-B3E0-DD00D2A1525A}"/>
    <cellStyle name="Note 6 2 5 6" xfId="35315" xr:uid="{691AFB8B-1344-4C52-B3DB-8CBE228276BF}"/>
    <cellStyle name="Note 6 2 5 7" xfId="35316" xr:uid="{31ADE714-A14A-4064-A828-41C5CC596B1A}"/>
    <cellStyle name="Note 6 2 6" xfId="3456" xr:uid="{C92986BD-A9AB-4CB0-BF9D-1E24C36F7623}"/>
    <cellStyle name="Note 6 2 6 2" xfId="5342" xr:uid="{CCE994D9-1C2B-4B5F-9C91-D4ECEC6F0580}"/>
    <cellStyle name="Note 6 2 6 2 2" xfId="19112" xr:uid="{CA97CF7D-4700-4CD3-9D2F-9B3F1FA6C7BD}"/>
    <cellStyle name="Note 6 2 6 2 2 2" xfId="22729" xr:uid="{48E7329E-1D1D-4B2D-BCAC-94A1F6A46077}"/>
    <cellStyle name="Note 6 2 6 2 3" xfId="35317" xr:uid="{BD1676F6-6294-4D1D-96FA-69F2E789A086}"/>
    <cellStyle name="Note 6 2 6 2 4" xfId="35318" xr:uid="{853D65C8-3D34-48E8-8105-C912337B52E3}"/>
    <cellStyle name="Note 6 2 6 2 5" xfId="35319" xr:uid="{9AF13A6E-270D-4019-A037-1CBBC16C85B6}"/>
    <cellStyle name="Note 6 2 6 2 6" xfId="35320" xr:uid="{A60709ED-85F8-48B9-A6DD-0D227C03E3A4}"/>
    <cellStyle name="Note 6 2 6 3" xfId="6998" xr:uid="{BD2D123A-B978-4113-A41A-B71C37693310}"/>
    <cellStyle name="Note 6 2 6 3 2" xfId="22728" xr:uid="{CB3493EB-717C-4F18-B3EB-E14F01A08DE3}"/>
    <cellStyle name="Note 6 2 6 3 3" xfId="46458" xr:uid="{DF9EB5D0-0373-4097-A547-2A9641211660}"/>
    <cellStyle name="Note 6 2 6 3 4" xfId="19111" xr:uid="{70138E3C-DC5D-4651-BC14-9FBBF67CE3A4}"/>
    <cellStyle name="Note 6 2 6 4" xfId="9240" xr:uid="{CF5A56B6-9553-468D-A44A-C2FA5706F945}"/>
    <cellStyle name="Note 6 2 6 4 2" xfId="35321" xr:uid="{CB0C7464-BAE4-4DEE-B153-B46E47139CBB}"/>
    <cellStyle name="Note 6 2 6 5" xfId="35322" xr:uid="{868D807E-95ED-4905-B405-88E6E0282F6B}"/>
    <cellStyle name="Note 6 2 6 6" xfId="35323" xr:uid="{C8677BC9-1F4D-4BE6-B489-E7030F7C1C61}"/>
    <cellStyle name="Note 6 2 6 7" xfId="35324" xr:uid="{BCD164FC-7F39-4914-A8B2-2CEFB78BEDCE}"/>
    <cellStyle name="Note 6 2 7" xfId="3457" xr:uid="{3477968A-9D92-4049-A791-9EF3AE795A22}"/>
    <cellStyle name="Note 6 2 7 2" xfId="5343" xr:uid="{8D91A60E-6693-4DEF-A4F9-74EAF08C6EC1}"/>
    <cellStyle name="Note 6 2 7 2 2" xfId="19114" xr:uid="{7750D965-A945-4BEF-89F2-C64513222BEB}"/>
    <cellStyle name="Note 6 2 7 2 2 2" xfId="22731" xr:uid="{2418BB0E-C29B-46EB-86DE-130623FEA49E}"/>
    <cellStyle name="Note 6 2 7 2 3" xfId="35325" xr:uid="{FB45E267-2847-4A36-8D7D-EFA880EA073B}"/>
    <cellStyle name="Note 6 2 7 2 4" xfId="35326" xr:uid="{24B45B5E-4284-4C19-9CF3-D1F7D4B235AE}"/>
    <cellStyle name="Note 6 2 7 2 5" xfId="35327" xr:uid="{02F2BE3D-0A8B-4BE1-9A70-88B01FC04319}"/>
    <cellStyle name="Note 6 2 7 2 6" xfId="35328" xr:uid="{E1AD36AA-C922-4F1B-880E-BEB30FE5B402}"/>
    <cellStyle name="Note 6 2 7 3" xfId="6999" xr:uid="{A1EE3F3C-AE05-4094-AD5B-2E80859F5C0C}"/>
    <cellStyle name="Note 6 2 7 3 2" xfId="22730" xr:uid="{5C862FEB-F040-4386-8399-430C33AC8CB8}"/>
    <cellStyle name="Note 6 2 7 3 3" xfId="46459" xr:uid="{928FF44B-4E86-42E7-8A22-54CAABF394D6}"/>
    <cellStyle name="Note 6 2 7 3 4" xfId="19113" xr:uid="{23C7B89F-9D8C-4D9D-B106-5FDDB8649CB7}"/>
    <cellStyle name="Note 6 2 7 4" xfId="9241" xr:uid="{FA7E1BF9-2F90-4E4A-9BF8-8CA35953299B}"/>
    <cellStyle name="Note 6 2 7 4 2" xfId="35329" xr:uid="{659725AD-B90E-4CFA-87E1-1963B6E428FE}"/>
    <cellStyle name="Note 6 2 7 5" xfId="35330" xr:uid="{E7612477-EF9A-4286-A71E-42B9DB4A3957}"/>
    <cellStyle name="Note 6 2 7 6" xfId="35331" xr:uid="{B2875101-C8BE-4FEB-A6AE-B2C8CF18F1B7}"/>
    <cellStyle name="Note 6 2 7 7" xfId="35332" xr:uid="{B260F99B-5A5D-4DDE-9E29-A521CBBCAE96}"/>
    <cellStyle name="Note 6 2 8" xfId="3458" xr:uid="{83ADD48A-3982-4878-B717-18EF825321CE}"/>
    <cellStyle name="Note 6 2 8 2" xfId="5344" xr:uid="{6F13FF07-3CFB-44C7-9ECA-8831E33BF784}"/>
    <cellStyle name="Note 6 2 8 2 2" xfId="19116" xr:uid="{2C8B6531-B6B0-47FC-B71D-420C4F86662D}"/>
    <cellStyle name="Note 6 2 8 2 2 2" xfId="22733" xr:uid="{642BBCCC-EA7E-4410-8E2D-BAFEF7F8E3BE}"/>
    <cellStyle name="Note 6 2 8 2 3" xfId="35333" xr:uid="{A3B223BF-B51B-4A13-BF3F-C1C21B0CE94E}"/>
    <cellStyle name="Note 6 2 8 2 4" xfId="35334" xr:uid="{8E3BA391-935E-461B-B1A9-958C644AFF24}"/>
    <cellStyle name="Note 6 2 8 2 5" xfId="35335" xr:uid="{B3C0F26F-9372-4B22-AA50-DCD02A6054C3}"/>
    <cellStyle name="Note 6 2 8 2 6" xfId="35336" xr:uid="{BB28D30F-2D43-4009-B367-B1D42DB6AB18}"/>
    <cellStyle name="Note 6 2 8 3" xfId="7000" xr:uid="{712886A0-E324-4BEB-A0B3-982338C444AC}"/>
    <cellStyle name="Note 6 2 8 3 2" xfId="22732" xr:uid="{9D613340-0246-4DD1-8CDC-E29BBC0A35AD}"/>
    <cellStyle name="Note 6 2 8 3 3" xfId="46460" xr:uid="{856A98FB-FDE3-4395-AC9A-7F08F0AB28D5}"/>
    <cellStyle name="Note 6 2 8 3 4" xfId="19115" xr:uid="{34788F01-FE10-48D4-A138-E1DAA5480C02}"/>
    <cellStyle name="Note 6 2 8 4" xfId="9242" xr:uid="{BB777088-FD79-40C1-8CEE-C1CF3341FECD}"/>
    <cellStyle name="Note 6 2 8 4 2" xfId="35337" xr:uid="{684AA905-F5ED-4FD7-B667-AE02B338632F}"/>
    <cellStyle name="Note 6 2 8 5" xfId="35338" xr:uid="{57FB5567-7E82-446D-89EA-201AC71BC381}"/>
    <cellStyle name="Note 6 2 8 6" xfId="35339" xr:uid="{D4EF3AD5-D6AC-459F-A028-77C3D4BEB55C}"/>
    <cellStyle name="Note 6 2 8 7" xfId="35340" xr:uid="{BE64D063-C463-4267-8DDC-65A8151DE9F9}"/>
    <cellStyle name="Note 6 2 9" xfId="5333" xr:uid="{6A074A7E-7A9A-4344-B2EC-B1450373315B}"/>
    <cellStyle name="Note 6 2 9 2" xfId="19117" xr:uid="{4B32DF85-D5A4-4DCC-BFBE-7DFC86F4F002}"/>
    <cellStyle name="Note 6 2 9 2 2" xfId="22734" xr:uid="{9138E97B-5CB4-4D2C-9927-55AB0336836E}"/>
    <cellStyle name="Note 6 2 9 3" xfId="35341" xr:uid="{B387A01A-B2A1-4662-A985-DF47961F8350}"/>
    <cellStyle name="Note 6 2 9 4" xfId="35342" xr:uid="{D125BF93-9F92-44BE-9CC4-E162B31B5BDC}"/>
    <cellStyle name="Note 6 2 9 5" xfId="35343" xr:uid="{B37F5DDC-3A84-4A38-BC63-94DDDCBF383B}"/>
    <cellStyle name="Note 6 2 9 6" xfId="35344" xr:uid="{94D43221-F23E-484E-8136-DCFE221D7CDC}"/>
    <cellStyle name="Note 6 2_IND_UC" xfId="3459" xr:uid="{49EA8293-33FF-4632-9DC9-0BA14FF77A59}"/>
    <cellStyle name="Note 6 3" xfId="3460" xr:uid="{F397F3CA-2701-4C75-8C1C-5BB28AD6EAB8}"/>
    <cellStyle name="Note 6 3 10" xfId="35345" xr:uid="{291B7358-B4B8-4E7E-BC78-FD171C062006}"/>
    <cellStyle name="Note 6 3 2" xfId="3461" xr:uid="{824BAB90-8204-4993-AA50-9868372A2D8C}"/>
    <cellStyle name="Note 6 3 2 2" xfId="5346" xr:uid="{6985B881-BFFE-4883-8B02-2F1BF4A7DA09}"/>
    <cellStyle name="Note 6 3 2 2 2" xfId="19120" xr:uid="{333B0322-B27F-4153-A86C-958F3684D0C1}"/>
    <cellStyle name="Note 6 3 2 2 2 2" xfId="22737" xr:uid="{CF7F0925-A569-4364-9F09-C5585C5A6ED7}"/>
    <cellStyle name="Note 6 3 2 2 3" xfId="35346" xr:uid="{0C7DCF72-3306-43A5-A72D-9BC992E27BD4}"/>
    <cellStyle name="Note 6 3 2 2 4" xfId="35347" xr:uid="{0B713BCE-BA19-42EA-8212-44B8C863BEAA}"/>
    <cellStyle name="Note 6 3 2 2 5" xfId="35348" xr:uid="{6D4ECA83-CF1B-4640-8168-6C075F339172}"/>
    <cellStyle name="Note 6 3 2 2 6" xfId="35349" xr:uid="{9246C84A-2F9B-4F56-A660-687E5301118F}"/>
    <cellStyle name="Note 6 3 2 3" xfId="7001" xr:uid="{62F950A6-4D48-48A7-9D46-86DF54ABCC22}"/>
    <cellStyle name="Note 6 3 2 3 2" xfId="22736" xr:uid="{A1A2E02C-D86B-4803-839F-A9273BA1F021}"/>
    <cellStyle name="Note 6 3 2 3 3" xfId="46461" xr:uid="{8D5C5C21-C7A7-43E4-898E-FF57302644F0}"/>
    <cellStyle name="Note 6 3 2 3 4" xfId="19119" xr:uid="{B3DE3BD8-1AA1-4660-8682-E859D78638D6}"/>
    <cellStyle name="Note 6 3 2 4" xfId="9244" xr:uid="{0D95D580-EC92-41DB-9902-90BEDA14829A}"/>
    <cellStyle name="Note 6 3 2 4 2" xfId="35350" xr:uid="{BF4B50E6-42CF-4039-B218-91061752DFCA}"/>
    <cellStyle name="Note 6 3 2 5" xfId="35351" xr:uid="{FAFF0638-70AA-4106-8BBB-2123E89CA9AB}"/>
    <cellStyle name="Note 6 3 2 6" xfId="35352" xr:uid="{AE39D106-D9B0-4961-94FF-D21C2A0FCF98}"/>
    <cellStyle name="Note 6 3 2 7" xfId="35353" xr:uid="{0B78B1F1-96FA-42D2-92B0-F27C1C6AAF7B}"/>
    <cellStyle name="Note 6 3 3" xfId="3462" xr:uid="{FD7FE7B8-E2C2-470B-BF3F-E876BE61D99A}"/>
    <cellStyle name="Note 6 3 3 2" xfId="5347" xr:uid="{2F13F072-FF4B-4FC7-9134-AB2C58DFDF17}"/>
    <cellStyle name="Note 6 3 3 2 2" xfId="19122" xr:uid="{CC2FB757-D039-4900-B26D-58E666109181}"/>
    <cellStyle name="Note 6 3 3 2 2 2" xfId="22739" xr:uid="{30051E2A-1ACF-4210-A842-30A7FCCABDAC}"/>
    <cellStyle name="Note 6 3 3 2 3" xfId="35354" xr:uid="{C5AB87EC-4975-4512-9EB8-97958392EA82}"/>
    <cellStyle name="Note 6 3 3 2 4" xfId="35355" xr:uid="{054051B1-C43F-4DFB-BEF5-913C96A75124}"/>
    <cellStyle name="Note 6 3 3 2 5" xfId="35356" xr:uid="{31B65769-5717-40E4-B968-BFC4968727B2}"/>
    <cellStyle name="Note 6 3 3 2 6" xfId="35357" xr:uid="{1A3F32F4-D883-44AF-8985-C98FBC84D421}"/>
    <cellStyle name="Note 6 3 3 3" xfId="7002" xr:uid="{B22B472A-9C06-4883-A274-526DA68BFD24}"/>
    <cellStyle name="Note 6 3 3 3 2" xfId="22738" xr:uid="{79A9CAF9-244B-4B49-8E62-B9245B4ADE9A}"/>
    <cellStyle name="Note 6 3 3 3 3" xfId="46462" xr:uid="{5787D16B-BBBE-4189-8444-C4D8C2E67FE8}"/>
    <cellStyle name="Note 6 3 3 3 4" xfId="19121" xr:uid="{39B45597-B613-4879-958C-67478F9DB025}"/>
    <cellStyle name="Note 6 3 3 4" xfId="9245" xr:uid="{4D1BD74C-CF67-405A-9120-B52504899193}"/>
    <cellStyle name="Note 6 3 3 4 2" xfId="35358" xr:uid="{50C5CDB4-D858-4CA8-9FA7-74F648AC55B0}"/>
    <cellStyle name="Note 6 3 3 5" xfId="35359" xr:uid="{BF238B16-A50E-4DD5-B09A-2A2400B40E5F}"/>
    <cellStyle name="Note 6 3 3 6" xfId="35360" xr:uid="{380D0962-8349-40A8-9AEE-47EFF0EB98CF}"/>
    <cellStyle name="Note 6 3 3 7" xfId="35361" xr:uid="{446D31D3-35DD-4AC2-B870-7046E1B8E4BA}"/>
    <cellStyle name="Note 6 3 4" xfId="5345" xr:uid="{FBAAFB84-BDEE-49E4-A46B-D6415FDD6128}"/>
    <cellStyle name="Note 6 3 4 2" xfId="19123" xr:uid="{C1095999-0BA0-4C48-B2A8-6F97F14EB393}"/>
    <cellStyle name="Note 6 3 4 2 2" xfId="22740" xr:uid="{5746D33A-8C3B-4A20-95D9-91AE62A32A49}"/>
    <cellStyle name="Note 6 3 4 3" xfId="35362" xr:uid="{264E1934-19E8-4D00-A13B-EBB66F5FA3E9}"/>
    <cellStyle name="Note 6 3 4 4" xfId="35363" xr:uid="{68DF15A9-2E6C-4F09-9280-06D417E7BD41}"/>
    <cellStyle name="Note 6 3 4 5" xfId="35364" xr:uid="{CF66FB63-92FB-40A1-948F-5B210EF8D768}"/>
    <cellStyle name="Note 6 3 4 6" xfId="35365" xr:uid="{E0B63BFC-3C78-4B6A-B058-669AECC088BA}"/>
    <cellStyle name="Note 6 3 5" xfId="4333" xr:uid="{A167D012-E42A-4154-BE91-3949D46D4C23}"/>
    <cellStyle name="Note 6 3 5 2" xfId="22735" xr:uid="{D2282753-9BD6-49C6-A882-ADC00A353216}"/>
    <cellStyle name="Note 6 3 5 3" xfId="44137" xr:uid="{0B0ABFB7-3255-43C5-B3A9-17E265EFEE30}"/>
    <cellStyle name="Note 6 3 5 4" xfId="19118" xr:uid="{1CBEDAC8-5A59-474D-AB8C-D774C31CB447}"/>
    <cellStyle name="Note 6 3 6" xfId="6400" xr:uid="{939D7584-2056-40EA-AFF2-819D9E4B4358}"/>
    <cellStyle name="Note 6 3 6 2" xfId="46048" xr:uid="{70F45C14-2F45-4C8F-99D0-03C8AC1C33F2}"/>
    <cellStyle name="Note 6 3 6 3" xfId="35366" xr:uid="{0BDE5936-5516-4FEA-AB77-9F4A0459C6C7}"/>
    <cellStyle name="Note 6 3 7" xfId="9243" xr:uid="{7DCB6FA0-11D0-4D81-BABE-B59BC3D4EAF1}"/>
    <cellStyle name="Note 6 3 7 2" xfId="35367" xr:uid="{A99648E1-3A75-4774-BEA7-026417BAD775}"/>
    <cellStyle name="Note 6 3 8" xfId="35368" xr:uid="{95B65DD0-EF12-4D82-9981-9FB55F073265}"/>
    <cellStyle name="Note 6 3 9" xfId="35369" xr:uid="{BCE9717E-1142-46D5-AA62-42FA1CC0F4A4}"/>
    <cellStyle name="Note 6 4" xfId="3463" xr:uid="{4B0B7BE1-F78A-49A2-AB44-C90025D0564B}"/>
    <cellStyle name="Note 6 4 10" xfId="35370" xr:uid="{E634A1D0-F97B-4F5A-B31E-52AAF20986CC}"/>
    <cellStyle name="Note 6 4 2" xfId="3464" xr:uid="{BC9BF548-DB87-4BA9-A019-9A47773D0E23}"/>
    <cellStyle name="Note 6 4 2 2" xfId="5349" xr:uid="{404CA827-7050-4869-A6B7-D241D156C727}"/>
    <cellStyle name="Note 6 4 2 2 2" xfId="19126" xr:uid="{23D2D008-FF13-48E2-80D0-443EC63FBB7B}"/>
    <cellStyle name="Note 6 4 2 2 2 2" xfId="22743" xr:uid="{4F8B3DD0-21F3-4FDD-A3D2-DA5FAA6A6E42}"/>
    <cellStyle name="Note 6 4 2 2 3" xfId="35371" xr:uid="{61AB6711-2217-431B-AF87-AF6459252079}"/>
    <cellStyle name="Note 6 4 2 2 4" xfId="35372" xr:uid="{839FFAD6-DC39-4565-9222-9585CE7962C0}"/>
    <cellStyle name="Note 6 4 2 2 5" xfId="35373" xr:uid="{8AB1C4CA-231C-4B3E-8F41-269952752A84}"/>
    <cellStyle name="Note 6 4 2 2 6" xfId="35374" xr:uid="{3044CB3C-89FE-459F-A2CF-7B3AA5E1B891}"/>
    <cellStyle name="Note 6 4 2 3" xfId="7003" xr:uid="{DAD178AD-3FD2-47C6-819C-75F0C5F470C2}"/>
    <cellStyle name="Note 6 4 2 3 2" xfId="22742" xr:uid="{2C945889-F0EA-4947-AD73-1BC981DED27D}"/>
    <cellStyle name="Note 6 4 2 3 3" xfId="46463" xr:uid="{378B62F9-EDA3-49A0-9D19-03D54CDCF2DC}"/>
    <cellStyle name="Note 6 4 2 3 4" xfId="19125" xr:uid="{9BDF15B6-98D1-4F20-A611-8CA025E61D94}"/>
    <cellStyle name="Note 6 4 2 4" xfId="9247" xr:uid="{4E341660-8372-4CDC-8C93-A06CBA6B2752}"/>
    <cellStyle name="Note 6 4 2 4 2" xfId="35375" xr:uid="{12431FA3-B6DB-4A15-B61B-FBD2157BC28A}"/>
    <cellStyle name="Note 6 4 2 5" xfId="35376" xr:uid="{42C5FFFE-8E43-4F99-B552-5C75088E8C52}"/>
    <cellStyle name="Note 6 4 2 6" xfId="35377" xr:uid="{F9BED02B-E967-49B3-93FC-73F892E79084}"/>
    <cellStyle name="Note 6 4 2 7" xfId="35378" xr:uid="{ACEA5AB7-A44D-4674-B4EE-399C8AE76E1D}"/>
    <cellStyle name="Note 6 4 3" xfId="3465" xr:uid="{4B15DF06-D68E-46DE-AC12-A1C649E8C5FE}"/>
    <cellStyle name="Note 6 4 3 2" xfId="5350" xr:uid="{C0845A49-A1E8-4A13-952C-D12D50CE9218}"/>
    <cellStyle name="Note 6 4 3 2 2" xfId="19128" xr:uid="{A2AF26ED-DFED-4041-B57A-FEBF17E0220C}"/>
    <cellStyle name="Note 6 4 3 2 2 2" xfId="22745" xr:uid="{A8CA46DC-A87E-4DCD-85B5-59756DB0954E}"/>
    <cellStyle name="Note 6 4 3 2 3" xfId="35379" xr:uid="{5C53FBE4-D910-4456-8A8B-F410090BFC69}"/>
    <cellStyle name="Note 6 4 3 2 4" xfId="35380" xr:uid="{E20ED301-6DE7-4C7A-A8B5-04C0EC655F2F}"/>
    <cellStyle name="Note 6 4 3 2 5" xfId="35381" xr:uid="{453E4256-9184-4C85-89FB-8656C2433BFA}"/>
    <cellStyle name="Note 6 4 3 2 6" xfId="35382" xr:uid="{8C7E7B96-DDB3-476C-B21D-C36B8320E9FC}"/>
    <cellStyle name="Note 6 4 3 3" xfId="7004" xr:uid="{F9488530-38E0-4F9E-9678-36FD29D1D3DA}"/>
    <cellStyle name="Note 6 4 3 3 2" xfId="22744" xr:uid="{4B0BE57E-7E81-48E5-A015-5C28A55285A5}"/>
    <cellStyle name="Note 6 4 3 3 3" xfId="46464" xr:uid="{2790199F-8329-412E-8E53-6D491BECB334}"/>
    <cellStyle name="Note 6 4 3 3 4" xfId="19127" xr:uid="{0DFD0573-F72F-49D0-B723-69F0FA0ADB8E}"/>
    <cellStyle name="Note 6 4 3 4" xfId="9248" xr:uid="{99C96150-4B48-4AF8-B799-FC6C411E03C2}"/>
    <cellStyle name="Note 6 4 3 4 2" xfId="35383" xr:uid="{2F1EC310-A601-404F-84F4-2DDF9E4C788B}"/>
    <cellStyle name="Note 6 4 3 5" xfId="35384" xr:uid="{17CE3D14-2D6D-4D9F-A6D1-C53C1476FC53}"/>
    <cellStyle name="Note 6 4 3 6" xfId="35385" xr:uid="{76CD1325-5774-48D9-A598-3BEF060DCC3D}"/>
    <cellStyle name="Note 6 4 3 7" xfId="35386" xr:uid="{2570CBFA-D4D0-4A27-90CA-344F000136E8}"/>
    <cellStyle name="Note 6 4 4" xfId="5348" xr:uid="{39388585-CE23-496E-8942-E18A4E35B47F}"/>
    <cellStyle name="Note 6 4 4 2" xfId="19129" xr:uid="{AB96C868-D16C-487E-BEFA-1088FF9C5D22}"/>
    <cellStyle name="Note 6 4 4 2 2" xfId="22746" xr:uid="{982AC3BA-37E8-45AB-B838-A7C862276231}"/>
    <cellStyle name="Note 6 4 4 3" xfId="35387" xr:uid="{9F342BBB-F814-4294-80A2-DB411DA3325B}"/>
    <cellStyle name="Note 6 4 4 4" xfId="35388" xr:uid="{1BCBA294-8159-428E-9F80-2DBC85A9223A}"/>
    <cellStyle name="Note 6 4 4 5" xfId="35389" xr:uid="{4CB4B270-D35E-4499-9F4A-4E3B4AF55069}"/>
    <cellStyle name="Note 6 4 4 6" xfId="35390" xr:uid="{2EDAE417-DB28-4088-B545-4AB81C00184A}"/>
    <cellStyle name="Note 6 4 5" xfId="4334" xr:uid="{C6BF7D3D-1C86-45EB-9987-4371CBD2EDE7}"/>
    <cellStyle name="Note 6 4 5 2" xfId="22741" xr:uid="{045231F0-49F6-432E-A3B2-050F511B5140}"/>
    <cellStyle name="Note 6 4 5 3" xfId="44138" xr:uid="{1A9CCB27-9E12-4E0D-8BF8-962062BCB720}"/>
    <cellStyle name="Note 6 4 5 4" xfId="19124" xr:uid="{D12B03A8-2FC3-471F-97BE-4CA653ACF4E6}"/>
    <cellStyle name="Note 6 4 6" xfId="6401" xr:uid="{36271686-E7B5-4F5D-BBFD-323F05FF73C4}"/>
    <cellStyle name="Note 6 4 6 2" xfId="46049" xr:uid="{7993EDBC-3A24-4BDB-AB10-A1F41F2EBFF1}"/>
    <cellStyle name="Note 6 4 6 3" xfId="35391" xr:uid="{56E3D0B7-5AAF-4BED-AD90-A41C91C1954E}"/>
    <cellStyle name="Note 6 4 7" xfId="9246" xr:uid="{1ED8BD61-7B04-4F59-AE2E-7B1729208966}"/>
    <cellStyle name="Note 6 4 7 2" xfId="35392" xr:uid="{456C2862-D1BB-45EB-8CD4-CC9CD40FC533}"/>
    <cellStyle name="Note 6 4 8" xfId="35393" xr:uid="{48B719B4-B97C-41DD-936A-2CC2BF6A7188}"/>
    <cellStyle name="Note 6 4 9" xfId="35394" xr:uid="{9B12BDB5-5B85-484A-B6F4-838A606D72D2}"/>
    <cellStyle name="Note 6 5" xfId="3466" xr:uid="{72420BC6-436A-40F1-878B-85BDC8A1EFFB}"/>
    <cellStyle name="Note 6 5 2" xfId="5351" xr:uid="{E552A8AB-BA1B-48FA-AC21-B4662C6DC940}"/>
    <cellStyle name="Note 6 5 2 2" xfId="19131" xr:uid="{A03D4B99-50AF-4328-BA51-F1F280FC6001}"/>
    <cellStyle name="Note 6 5 2 2 2" xfId="22748" xr:uid="{DD854546-DC8E-483F-9310-7A39F1B55FCD}"/>
    <cellStyle name="Note 6 5 2 3" xfId="35395" xr:uid="{6CBD435A-12AC-4696-AEEA-3790B6751665}"/>
    <cellStyle name="Note 6 5 2 4" xfId="35396" xr:uid="{58E6F08C-5424-4BE5-A28B-676573043C81}"/>
    <cellStyle name="Note 6 5 2 5" xfId="35397" xr:uid="{C23337A7-48C1-4372-9FD7-03E235654D48}"/>
    <cellStyle name="Note 6 5 2 6" xfId="35398" xr:uid="{C9A75E2C-553D-4C45-87B4-0B08F5F5291A}"/>
    <cellStyle name="Note 6 5 3" xfId="4335" xr:uid="{78B0498E-066A-4D7D-B263-8AD0B1C3C872}"/>
    <cellStyle name="Note 6 5 3 2" xfId="22747" xr:uid="{45669C08-BFED-485F-82C2-585FBB3A7C2C}"/>
    <cellStyle name="Note 6 5 3 3" xfId="44139" xr:uid="{532BCF56-052F-4669-8415-7E8EF3E58942}"/>
    <cellStyle name="Note 6 5 3 4" xfId="19130" xr:uid="{6DA20AF4-5654-4D0A-8CE6-9308F03ED111}"/>
    <cellStyle name="Note 6 5 4" xfId="6402" xr:uid="{BA08EC3F-7D60-41EB-B00D-FBEE0934F07B}"/>
    <cellStyle name="Note 6 5 4 2" xfId="46050" xr:uid="{EA87EA64-48B9-463B-BEDF-B6657557FA0F}"/>
    <cellStyle name="Note 6 5 4 3" xfId="35399" xr:uid="{DCF8595D-CBB1-4ADF-B287-F7E88CAAC79E}"/>
    <cellStyle name="Note 6 5 5" xfId="9249" xr:uid="{D9FE1A36-5285-44DD-A181-A4EFCFAD5790}"/>
    <cellStyle name="Note 6 5 5 2" xfId="35400" xr:uid="{CDAF3E70-6129-42AE-AF01-9F517801D48A}"/>
    <cellStyle name="Note 6 5 6" xfId="35401" xr:uid="{AF3F90C9-4656-4F68-A007-0854C6168670}"/>
    <cellStyle name="Note 6 5 7" xfId="35402" xr:uid="{7F011FFD-FE49-425C-B7CF-8B6386D2A336}"/>
    <cellStyle name="Note 6 5 8" xfId="35403" xr:uid="{381E3E6C-E338-409A-8127-D99DF662D5F1}"/>
    <cellStyle name="Note 6 6" xfId="3467" xr:uid="{DC5A6F6E-432F-4197-ABB6-45F724FAB0FD}"/>
    <cellStyle name="Note 6 6 2" xfId="5352" xr:uid="{38CAE671-AAE4-4F97-B1E9-6BEABE52CB70}"/>
    <cellStyle name="Note 6 6 2 2" xfId="19133" xr:uid="{AB2EFCFE-F1E8-4504-A4FD-ACDEE9B128C2}"/>
    <cellStyle name="Note 6 6 2 2 2" xfId="22750" xr:uid="{12B888C6-8340-4F41-9B24-0718AD64E74E}"/>
    <cellStyle name="Note 6 6 2 3" xfId="35404" xr:uid="{166CD5BF-AFD9-46C6-A789-918B99D1BA2F}"/>
    <cellStyle name="Note 6 6 2 4" xfId="35405" xr:uid="{BD353FBE-51E5-439E-8297-93184A49F19A}"/>
    <cellStyle name="Note 6 6 2 5" xfId="35406" xr:uid="{496B8718-59E8-4E38-98A3-12AF64DBCAD7}"/>
    <cellStyle name="Note 6 6 2 6" xfId="35407" xr:uid="{7E5EE6BE-2097-469D-AA50-1E68DB8953F4}"/>
    <cellStyle name="Note 6 6 3" xfId="7005" xr:uid="{3A7D20DD-2238-4460-9321-1C187A5C0389}"/>
    <cellStyle name="Note 6 6 3 2" xfId="22749" xr:uid="{B8658785-FC3C-4B3F-8691-3FE19FA47619}"/>
    <cellStyle name="Note 6 6 3 3" xfId="46465" xr:uid="{B7138722-C545-4D91-819E-B4EC36E7071E}"/>
    <cellStyle name="Note 6 6 3 4" xfId="19132" xr:uid="{5F3A319C-616E-41B0-A57F-581E6F897CE2}"/>
    <cellStyle name="Note 6 6 4" xfId="9250" xr:uid="{01E015A6-CEB1-498A-A99C-AA9221230B1B}"/>
    <cellStyle name="Note 6 6 4 2" xfId="35408" xr:uid="{CCC63A51-99AC-45CE-BF78-569BD8659DEA}"/>
    <cellStyle name="Note 6 6 5" xfId="35409" xr:uid="{B1C81424-B318-4C9D-8BBF-F63A6AFE241C}"/>
    <cellStyle name="Note 6 6 6" xfId="35410" xr:uid="{B465A460-6C10-48DC-BA8F-60289E3290CD}"/>
    <cellStyle name="Note 6 6 7" xfId="35411" xr:uid="{7FF564C7-AA79-4547-A5BC-779AA6E7C4E7}"/>
    <cellStyle name="Note 6 7" xfId="3468" xr:uid="{1179B6AE-B97A-4BDD-B1D0-D60C83C66350}"/>
    <cellStyle name="Note 6 7 2" xfId="5353" xr:uid="{1A04FA95-72CB-4E6A-AA0C-A45FE2751E38}"/>
    <cellStyle name="Note 6 7 2 2" xfId="19135" xr:uid="{214826C3-040A-4F9F-818C-ED491E047FE7}"/>
    <cellStyle name="Note 6 7 2 2 2" xfId="22752" xr:uid="{F41862BC-4A17-402A-A77A-5D50AA5AB1DE}"/>
    <cellStyle name="Note 6 7 2 3" xfId="35412" xr:uid="{5999B748-CCDA-4C18-AD55-77B524211FDD}"/>
    <cellStyle name="Note 6 7 2 4" xfId="35413" xr:uid="{3E5333FE-75A7-42BF-9177-E1DE88530EBB}"/>
    <cellStyle name="Note 6 7 2 5" xfId="35414" xr:uid="{58AF8C25-DBD3-4F0F-B164-8C18A25609BC}"/>
    <cellStyle name="Note 6 7 2 6" xfId="35415" xr:uid="{96EA54E2-15E5-4D49-A24B-6A7A7ED95786}"/>
    <cellStyle name="Note 6 7 3" xfId="7006" xr:uid="{C250841F-BA38-4B9F-8FDC-072DDA723779}"/>
    <cellStyle name="Note 6 7 3 2" xfId="22751" xr:uid="{A88EFB04-1975-4302-B237-00D97C8BBB3B}"/>
    <cellStyle name="Note 6 7 3 3" xfId="46466" xr:uid="{3B3D0843-61F6-44BA-96B6-43755EFDACDD}"/>
    <cellStyle name="Note 6 7 3 4" xfId="19134" xr:uid="{E7D7ED4F-F399-43F9-AAA8-1F4CFFF126A7}"/>
    <cellStyle name="Note 6 7 4" xfId="9251" xr:uid="{E7E979EB-C2D5-464C-A80E-3501F03C417A}"/>
    <cellStyle name="Note 6 7 4 2" xfId="35416" xr:uid="{180363F8-1F47-45DF-A4F3-B793FD1ACC21}"/>
    <cellStyle name="Note 6 7 5" xfId="35417" xr:uid="{93E0DFFE-0ABE-47E7-9CCB-D00586127057}"/>
    <cellStyle name="Note 6 7 6" xfId="35418" xr:uid="{5790211F-61AC-45EA-A28B-BC5D2458840E}"/>
    <cellStyle name="Note 6 7 7" xfId="35419" xr:uid="{70711F6C-EF3D-4AB4-865B-71BBDCB5E137}"/>
    <cellStyle name="Note 6 8" xfId="3469" xr:uid="{B5EB2A3F-64EF-48C4-ADFF-50D9D747C1E9}"/>
    <cellStyle name="Note 6 8 2" xfId="19136" xr:uid="{9E11E7DB-F9E9-4212-870D-492223442878}"/>
    <cellStyle name="Note 6 8 2 2" xfId="22753" xr:uid="{615EF836-D911-4436-AE3B-FD9436ABEA05}"/>
    <cellStyle name="Note 6 8 3" xfId="35420" xr:uid="{DE0F05E5-ED27-451D-8B49-A125ABA18072}"/>
    <cellStyle name="Note 6 8 4" xfId="35421" xr:uid="{3DB053B0-02BF-4597-A495-1803E4089B0D}"/>
    <cellStyle name="Note 6 8 5" xfId="35422" xr:uid="{2BC865BE-5F82-45B7-ADAB-BEA377CDFE9B}"/>
    <cellStyle name="Note 6 8 6" xfId="35423" xr:uid="{7E4056CB-ABAC-4259-9704-85E0B66E0A5F}"/>
    <cellStyle name="Note 6 9" xfId="3470" xr:uid="{BA96CF2C-C5D3-4CB4-AD84-DA57C28FA0F5}"/>
    <cellStyle name="Note 6 9 2" xfId="19137" xr:uid="{3C2A6622-DAB7-4AF7-A5F8-6B3D81C79026}"/>
    <cellStyle name="Note 6 9 2 2" xfId="22754" xr:uid="{88CBECE4-727C-4831-8706-A6EE85036654}"/>
    <cellStyle name="Note 6 9 3" xfId="35424" xr:uid="{179C3E41-23AA-476E-A05F-96AEC259FD7C}"/>
    <cellStyle name="Note 6 9 4" xfId="35425" xr:uid="{DBEC154A-97D0-4D67-8277-815922139D5B}"/>
    <cellStyle name="Note 6 9 5" xfId="35426" xr:uid="{D7F33424-B6A7-47F1-AF20-8B591201D4A9}"/>
    <cellStyle name="Note 6 9 6" xfId="35427" xr:uid="{85369A54-61CB-499A-A386-0FB26EB78D7A}"/>
    <cellStyle name="Note 6_IND_UC" xfId="3471" xr:uid="{A121D0A3-0F48-4936-80CB-A39ABE9A371E}"/>
    <cellStyle name="Note 7" xfId="3472" xr:uid="{36A2CFE1-8445-47DB-91E1-0F8E2883CC6C}"/>
    <cellStyle name="Note 7 10" xfId="16113" xr:uid="{0A107A93-48A4-49E8-8028-CEE1C00D1D6C}"/>
    <cellStyle name="Note 7 10 2" xfId="19139" xr:uid="{01D6B729-9C02-4F17-B2C0-D36A86020C91}"/>
    <cellStyle name="Note 7 10 2 2" xfId="22756" xr:uid="{E01390F4-D798-457D-9E84-2DD5DCF473C8}"/>
    <cellStyle name="Note 7 10 3" xfId="35428" xr:uid="{F234726E-A49F-4C0F-84C8-5F9B3C28D156}"/>
    <cellStyle name="Note 7 10 4" xfId="35429" xr:uid="{32B98941-0080-4A97-8279-CC33BD17C63E}"/>
    <cellStyle name="Note 7 10 5" xfId="35430" xr:uid="{46A37665-AE12-414A-8AD8-FAF5D28F0CE9}"/>
    <cellStyle name="Note 7 10 6" xfId="35431" xr:uid="{83E478F8-AA8E-4314-8684-75FF11965184}"/>
    <cellStyle name="Note 7 11" xfId="16114" xr:uid="{6F685430-A0D6-4687-90A4-C11420A0013E}"/>
    <cellStyle name="Note 7 11 2" xfId="19140" xr:uid="{47E2B16B-3CF5-43E5-9E67-60BB0D9E4222}"/>
    <cellStyle name="Note 7 11 2 2" xfId="22757" xr:uid="{055D5C48-E64B-4D3D-A691-ABEBF96E738E}"/>
    <cellStyle name="Note 7 11 3" xfId="35432" xr:uid="{0358F456-C81D-447B-ACF1-2B143F8D6FB5}"/>
    <cellStyle name="Note 7 11 4" xfId="35433" xr:uid="{3F043D4B-5665-4DC8-BA94-8F005BA82666}"/>
    <cellStyle name="Note 7 11 5" xfId="35434" xr:uid="{27766434-79BB-412F-9DC9-8A7D7777EF55}"/>
    <cellStyle name="Note 7 11 6" xfId="35435" xr:uid="{9BC75C48-5AF9-496E-8FE3-9DF01EE70AAC}"/>
    <cellStyle name="Note 7 12" xfId="16115" xr:uid="{4B3A6860-C6D1-4BB7-B9B9-DAC4244D44DE}"/>
    <cellStyle name="Note 7 12 2" xfId="19141" xr:uid="{9445AC35-D51A-4219-AB72-35707EB661FB}"/>
    <cellStyle name="Note 7 12 2 2" xfId="22758" xr:uid="{66C6A855-E2DE-4E3C-922D-A71B455F7913}"/>
    <cellStyle name="Note 7 12 3" xfId="35436" xr:uid="{AAE91A12-F6F6-45B3-BF11-4A50F713C87B}"/>
    <cellStyle name="Note 7 12 4" xfId="35437" xr:uid="{206CF809-3897-4384-ADF2-0D1533259F2A}"/>
    <cellStyle name="Note 7 12 5" xfId="35438" xr:uid="{15F9A401-626F-47AF-9897-3CAB5760A9D7}"/>
    <cellStyle name="Note 7 12 6" xfId="35439" xr:uid="{E9C05A11-0CBD-4E00-9C7E-26EFB3FA9E01}"/>
    <cellStyle name="Note 7 13" xfId="16116" xr:uid="{865AF198-7F7C-4CB7-AD61-1102263C9818}"/>
    <cellStyle name="Note 7 13 2" xfId="19142" xr:uid="{4DB67D0F-1291-4A72-B38A-9C7DA6C7E2A5}"/>
    <cellStyle name="Note 7 13 2 2" xfId="22759" xr:uid="{58A8B3FB-C94E-44C1-AACD-F092696DA9A5}"/>
    <cellStyle name="Note 7 13 3" xfId="35440" xr:uid="{DFBB1A10-9323-4B1E-B327-27F44B33C72B}"/>
    <cellStyle name="Note 7 13 4" xfId="35441" xr:uid="{216853BB-11DB-409C-8E61-1D2385A1C42E}"/>
    <cellStyle name="Note 7 13 5" xfId="35442" xr:uid="{C3F3FD88-086B-40A0-9B3F-60D4E71856B8}"/>
    <cellStyle name="Note 7 13 6" xfId="35443" xr:uid="{B61AF390-2889-4527-BCA3-FEB9D456CF2B}"/>
    <cellStyle name="Note 7 14" xfId="16117" xr:uid="{9CF79DD0-AC14-46BE-B5A8-B0F8AC0DA102}"/>
    <cellStyle name="Note 7 14 2" xfId="19143" xr:uid="{CD802FEE-2A68-446D-A0CA-83E1FAFBA448}"/>
    <cellStyle name="Note 7 14 2 2" xfId="22760" xr:uid="{8D2A609F-3F69-4B47-9E3F-F971EE94700C}"/>
    <cellStyle name="Note 7 14 3" xfId="35444" xr:uid="{82A1F9E2-BE40-4AEE-8051-F7A260BBD3D0}"/>
    <cellStyle name="Note 7 14 4" xfId="35445" xr:uid="{3D7BEC84-AE2D-425F-BDB7-EA0450E74AC6}"/>
    <cellStyle name="Note 7 14 5" xfId="35446" xr:uid="{A2FBCDBF-7A29-4F57-B0E8-9851ABAE841F}"/>
    <cellStyle name="Note 7 14 6" xfId="35447" xr:uid="{A6857EC5-7EF7-47AA-9EEC-97C4CC8AB79C}"/>
    <cellStyle name="Note 7 15" xfId="19138" xr:uid="{B2C42216-45EB-45F6-86D1-71800E06889D}"/>
    <cellStyle name="Note 7 15 2" xfId="22755" xr:uid="{002A27E5-3257-4E3A-81CE-8D27E311DCF7}"/>
    <cellStyle name="Note 7 16" xfId="35448" xr:uid="{63EB3B1A-4B36-4D64-B484-CDD047E0E9FA}"/>
    <cellStyle name="Note 7 17" xfId="35449" xr:uid="{D836AB4F-5C7A-43E0-97A5-34F823D7BE4F}"/>
    <cellStyle name="Note 7 18" xfId="35450" xr:uid="{0D6CAE61-5981-469E-8FB3-FB89FA4651EF}"/>
    <cellStyle name="Note 7 19" xfId="35451" xr:uid="{7CD59198-8C00-494D-B59A-441B630BC65E}"/>
    <cellStyle name="Note 7 2" xfId="3473" xr:uid="{908D6025-E8EF-43C2-A711-F0CFA7FFBFDC}"/>
    <cellStyle name="Note 7 2 2" xfId="19144" xr:uid="{984E86E4-ACBC-4F23-9B36-04016216D5C8}"/>
    <cellStyle name="Note 7 2 2 2" xfId="22761" xr:uid="{233284D8-53A9-44D7-B754-296C75A34A29}"/>
    <cellStyle name="Note 7 2 3" xfId="35452" xr:uid="{3AB8C89F-143F-4547-97A9-6EF355A0AD6A}"/>
    <cellStyle name="Note 7 2 4" xfId="35453" xr:uid="{BF0CF08E-E940-4F77-9B05-7F490B7AF57B}"/>
    <cellStyle name="Note 7 2 5" xfId="35454" xr:uid="{AB6642A5-FE0F-47F0-A3CB-5D35ECED0772}"/>
    <cellStyle name="Note 7 2 6" xfId="35455" xr:uid="{00CD9783-F9A5-4DBC-B0EF-636B51442E6D}"/>
    <cellStyle name="Note 7 2 7" xfId="35456" xr:uid="{AB82B193-A3A7-43E9-8231-D2E4F8DF3AC0}"/>
    <cellStyle name="Note 7 20" xfId="35457" xr:uid="{8F15FC82-6F21-451C-99B4-0DD440DB3247}"/>
    <cellStyle name="Note 7 3" xfId="3474" xr:uid="{E369EA36-964D-4546-BC30-CBF0D6F0339A}"/>
    <cellStyle name="Note 7 3 2" xfId="19145" xr:uid="{E24E33C0-41F8-40E1-9203-AAAF67D1CF29}"/>
    <cellStyle name="Note 7 3 2 2" xfId="22762" xr:uid="{37AD05CC-93A1-4040-972F-9B9BDB67AB01}"/>
    <cellStyle name="Note 7 3 3" xfId="35458" xr:uid="{46CAFB8F-2CC5-45BD-A524-30A6B8BFEB12}"/>
    <cellStyle name="Note 7 3 4" xfId="35459" xr:uid="{666ECEAA-4161-4E9F-AA02-94598907F5CA}"/>
    <cellStyle name="Note 7 3 5" xfId="35460" xr:uid="{FB3107A4-0D83-4814-9143-49AE13D8A4CF}"/>
    <cellStyle name="Note 7 3 6" xfId="35461" xr:uid="{D84580BE-F1F6-4A9E-8066-AECB5E1E05EB}"/>
    <cellStyle name="Note 7 3 7" xfId="35462" xr:uid="{38EEFCFB-CE08-4948-B330-0F1DCE4A88A0}"/>
    <cellStyle name="Note 7 4" xfId="3475" xr:uid="{4B6CC5FF-7245-4828-90B1-7FC69533AA9A}"/>
    <cellStyle name="Note 7 4 2" xfId="19146" xr:uid="{E2E70D87-5BC6-4533-9D78-76186BE57DE1}"/>
    <cellStyle name="Note 7 4 2 2" xfId="22763" xr:uid="{FD588EB7-93C6-4B7B-AC01-24641B7194CC}"/>
    <cellStyle name="Note 7 4 3" xfId="35463" xr:uid="{50726493-F4A3-4D9D-95E1-3A9EA21B7EFA}"/>
    <cellStyle name="Note 7 4 4" xfId="35464" xr:uid="{273171C1-809F-4B8B-9DD0-6CB3C7DA5068}"/>
    <cellStyle name="Note 7 4 5" xfId="35465" xr:uid="{07C94A9C-23B1-4263-813C-ECA54B48CE90}"/>
    <cellStyle name="Note 7 4 6" xfId="35466" xr:uid="{F0B0545C-57F3-4B25-A077-05419DE07E56}"/>
    <cellStyle name="Note 7 5" xfId="3476" xr:uid="{45072C64-9292-4E73-BEA5-3BD20DFA2983}"/>
    <cellStyle name="Note 7 5 2" xfId="19147" xr:uid="{EAA7B3A4-F880-4677-BED8-95494995FF01}"/>
    <cellStyle name="Note 7 5 2 2" xfId="22764" xr:uid="{CD3C44F3-AC54-47AA-9AD0-999C900833E4}"/>
    <cellStyle name="Note 7 5 3" xfId="35467" xr:uid="{F569E6F1-98E6-4AD0-8A48-DF1AD7DA44FA}"/>
    <cellStyle name="Note 7 5 4" xfId="35468" xr:uid="{2553FAA9-F24E-47CC-AF16-2C568C848ABB}"/>
    <cellStyle name="Note 7 5 5" xfId="35469" xr:uid="{99C413A7-2959-4A77-BF9A-6FF1480FEAEC}"/>
    <cellStyle name="Note 7 5 6" xfId="35470" xr:uid="{69A36A27-627D-4F6B-9548-E3D1C74E7221}"/>
    <cellStyle name="Note 7 6" xfId="3477" xr:uid="{CD2A6DDD-09E3-4638-8C01-3BE96B425C8F}"/>
    <cellStyle name="Note 7 6 2" xfId="19148" xr:uid="{CE0C6805-2D58-48C9-B541-E14FE400E2FF}"/>
    <cellStyle name="Note 7 6 2 2" xfId="22765" xr:uid="{37FF7538-AA86-44B4-B5B8-BEB0C3E52F3C}"/>
    <cellStyle name="Note 7 6 3" xfId="35471" xr:uid="{A1D6C417-E384-4282-97B7-2FA41EBD0A0C}"/>
    <cellStyle name="Note 7 6 4" xfId="35472" xr:uid="{92F0B7E9-C3AC-4ACB-B740-11B960D21C85}"/>
    <cellStyle name="Note 7 6 5" xfId="35473" xr:uid="{B5F64E44-C7F9-4D73-A16C-51948B185CC0}"/>
    <cellStyle name="Note 7 6 6" xfId="35474" xr:uid="{6C592B99-096B-42FF-9B2A-A4DE97443DF2}"/>
    <cellStyle name="Note 7 7" xfId="3478" xr:uid="{CB9E0F12-0094-4E70-B711-C39690282262}"/>
    <cellStyle name="Note 7 7 2" xfId="19149" xr:uid="{657E3BAE-F94C-40D5-9E19-5D699B9018EB}"/>
    <cellStyle name="Note 7 7 2 2" xfId="22766" xr:uid="{32BD239A-58AE-4E2D-9A4C-84EBDDD0AA5D}"/>
    <cellStyle name="Note 7 7 3" xfId="35475" xr:uid="{9D114FA6-862F-461C-B169-A38053591C1C}"/>
    <cellStyle name="Note 7 7 4" xfId="35476" xr:uid="{B0ED9721-0024-4A77-B97B-A58D8CC90B71}"/>
    <cellStyle name="Note 7 7 5" xfId="35477" xr:uid="{96BCA3B3-6A25-4295-855E-9834A8A0EAA5}"/>
    <cellStyle name="Note 7 7 6" xfId="35478" xr:uid="{E3DCB4F8-E1E9-402B-A994-42D6C50EB7FB}"/>
    <cellStyle name="Note 7 8" xfId="3479" xr:uid="{1385E80F-11CB-4A79-B1EF-5F213C934AA2}"/>
    <cellStyle name="Note 7 8 2" xfId="19150" xr:uid="{7EB9B49C-18AB-40A3-A36C-234C1A405BA9}"/>
    <cellStyle name="Note 7 8 2 2" xfId="22767" xr:uid="{E1E62C57-5448-4ABE-9A87-47DF2A276945}"/>
    <cellStyle name="Note 7 8 3" xfId="35479" xr:uid="{2202A203-DDA4-4226-9DE2-078CE602F3FF}"/>
    <cellStyle name="Note 7 8 4" xfId="35480" xr:uid="{E7973BA3-3B2E-4113-BDE6-FEDA6C794C58}"/>
    <cellStyle name="Note 7 8 5" xfId="35481" xr:uid="{62E72F52-9FF2-4225-92ED-7FBC99A4C0D0}"/>
    <cellStyle name="Note 7 8 6" xfId="35482" xr:uid="{26481236-9320-44A4-8EC0-AE402005D9D5}"/>
    <cellStyle name="Note 7 9" xfId="16118" xr:uid="{B0664B4B-F2BB-4EBD-AB1C-6F8B2E0D08C6}"/>
    <cellStyle name="Note 7 9 2" xfId="19151" xr:uid="{E55E39B1-27E9-42E3-9636-0B7FFDE158A2}"/>
    <cellStyle name="Note 7 9 2 2" xfId="22768" xr:uid="{A7F7D6F4-2B5A-462F-9FB6-A64880CBE3BC}"/>
    <cellStyle name="Note 7 9 3" xfId="35483" xr:uid="{5C0999FE-58C6-4EF8-BC18-FD218E77D30D}"/>
    <cellStyle name="Note 7 9 4" xfId="35484" xr:uid="{645FFBF2-178A-40E0-90A0-3DB077E91545}"/>
    <cellStyle name="Note 7 9 5" xfId="35485" xr:uid="{12FB73FC-EAE0-4E7C-9D72-D1903D417D9C}"/>
    <cellStyle name="Note 7 9 6" xfId="35486" xr:uid="{A1998D37-D926-4A26-95D5-E703CE251356}"/>
    <cellStyle name="Note 7_IND_UC" xfId="3480" xr:uid="{1E029AB9-16F5-48E9-BB9C-7916FCE4C731}"/>
    <cellStyle name="Note 8" xfId="3481" xr:uid="{4CAEAE7D-AB1E-4735-A319-86497FCC7FC6}"/>
    <cellStyle name="Note 8 10" xfId="16119" xr:uid="{DEF31002-835C-4E3B-994B-444DD471C4D7}"/>
    <cellStyle name="Note 8 10 2" xfId="19153" xr:uid="{2DD1D3DC-DFDA-449F-A33E-C79DE47109FA}"/>
    <cellStyle name="Note 8 10 2 2" xfId="22770" xr:uid="{CE1C351D-5742-4709-A868-AC076FCDBFEF}"/>
    <cellStyle name="Note 8 10 3" xfId="35487" xr:uid="{C4CE3136-704C-4345-B114-C33F2DF4E90B}"/>
    <cellStyle name="Note 8 10 4" xfId="35488" xr:uid="{7DF1153D-CDA0-4339-A76A-0B5BB0C414EF}"/>
    <cellStyle name="Note 8 10 5" xfId="35489" xr:uid="{D6D9AC07-4C6D-4566-AFBD-D1A1FCB79CA0}"/>
    <cellStyle name="Note 8 10 6" xfId="35490" xr:uid="{6FE2F53D-288A-42E7-8C6E-BCE60ECE512E}"/>
    <cellStyle name="Note 8 11" xfId="16120" xr:uid="{5E27F604-BC32-485D-958E-A6438014CB12}"/>
    <cellStyle name="Note 8 11 2" xfId="19154" xr:uid="{5A692D02-2ECC-4EE5-BD96-FF8F1BB50093}"/>
    <cellStyle name="Note 8 11 2 2" xfId="22771" xr:uid="{276FE4F7-165C-44F9-8177-0A5A4D6F73DF}"/>
    <cellStyle name="Note 8 11 3" xfId="35491" xr:uid="{06ECCA71-B11F-427A-8308-75ADEB2F9EBA}"/>
    <cellStyle name="Note 8 11 4" xfId="35492" xr:uid="{A0C7ECCB-558D-4296-850D-B68824669E37}"/>
    <cellStyle name="Note 8 11 5" xfId="35493" xr:uid="{EC19145F-9B08-411B-8C27-A18E854FB592}"/>
    <cellStyle name="Note 8 11 6" xfId="35494" xr:uid="{6D15F311-2614-4786-A99D-1B314F4CAC53}"/>
    <cellStyle name="Note 8 12" xfId="16121" xr:uid="{0D4F7D32-FDCE-41E9-8F72-0E63AB65EB81}"/>
    <cellStyle name="Note 8 12 2" xfId="19155" xr:uid="{6C99BE2A-D871-43F2-9F17-19E65E37167B}"/>
    <cellStyle name="Note 8 12 2 2" xfId="22772" xr:uid="{EE4639EA-9ABF-4EDD-B43A-A1FE84563140}"/>
    <cellStyle name="Note 8 12 3" xfId="35495" xr:uid="{B2667C12-BF36-4164-9DF8-B63A03B9F42A}"/>
    <cellStyle name="Note 8 12 4" xfId="35496" xr:uid="{5B89B3C9-28B1-49D0-8ABB-20D6B87FF2E5}"/>
    <cellStyle name="Note 8 12 5" xfId="35497" xr:uid="{F9B60EBE-2E36-4E63-A809-F38CA6E6F97A}"/>
    <cellStyle name="Note 8 12 6" xfId="35498" xr:uid="{FDEB7934-9587-4FE4-BA21-CD019C808384}"/>
    <cellStyle name="Note 8 13" xfId="16122" xr:uid="{8218802A-C060-49DB-9B0A-620C183F60A7}"/>
    <cellStyle name="Note 8 13 2" xfId="19156" xr:uid="{F08DA311-3FF3-4599-BA0D-3DDE295432C9}"/>
    <cellStyle name="Note 8 13 2 2" xfId="22773" xr:uid="{B21799C4-CA49-4EB1-9B2F-592117EE7AA0}"/>
    <cellStyle name="Note 8 13 3" xfId="35499" xr:uid="{8592EF89-6E8A-4C50-A6DF-E6991A1E9CA7}"/>
    <cellStyle name="Note 8 13 4" xfId="35500" xr:uid="{D4A2A0A0-FFED-4F90-971B-692CDA1B3591}"/>
    <cellStyle name="Note 8 13 5" xfId="35501" xr:uid="{591FF295-9143-42B8-8EAF-FA903B186B8B}"/>
    <cellStyle name="Note 8 13 6" xfId="35502" xr:uid="{AF9D0115-7FCD-4DE9-98A4-6ADEAF1233BD}"/>
    <cellStyle name="Note 8 14" xfId="16123" xr:uid="{3A4CCE8A-8161-449C-B7EA-4C5294BC75B4}"/>
    <cellStyle name="Note 8 14 2" xfId="19157" xr:uid="{7858DD13-3242-4DC3-8B85-F022D1C43946}"/>
    <cellStyle name="Note 8 14 2 2" xfId="22774" xr:uid="{C5D28C8A-6A84-47E4-A764-6CD146114558}"/>
    <cellStyle name="Note 8 14 3" xfId="35503" xr:uid="{A537ACF2-9305-4160-ACAD-A4EEE8041AD3}"/>
    <cellStyle name="Note 8 14 4" xfId="35504" xr:uid="{56446435-7575-47B2-967A-76AEBE183DBA}"/>
    <cellStyle name="Note 8 14 5" xfId="35505" xr:uid="{4201F6DD-504B-4783-99B7-2DF1CFABBD48}"/>
    <cellStyle name="Note 8 14 6" xfId="35506" xr:uid="{7DBCA324-B8AA-407E-8613-AED88D64163C}"/>
    <cellStyle name="Note 8 15" xfId="19152" xr:uid="{592E9C71-2E97-4CFD-8966-144C807E0FAA}"/>
    <cellStyle name="Note 8 15 2" xfId="22769" xr:uid="{547F2FC0-5FF7-4B2B-8448-4D2C8CAA267C}"/>
    <cellStyle name="Note 8 16" xfId="35507" xr:uid="{39835E8F-C383-41E0-ABF3-61CDD2316C27}"/>
    <cellStyle name="Note 8 17" xfId="35508" xr:uid="{98FB5E19-2DEA-4AC9-BC08-01A63B99906B}"/>
    <cellStyle name="Note 8 18" xfId="35509" xr:uid="{E2471AA3-6201-4D45-9730-69D7529C1F4F}"/>
    <cellStyle name="Note 8 19" xfId="35510" xr:uid="{D709D4B0-541E-4072-98DC-C5C132EA07A3}"/>
    <cellStyle name="Note 8 2" xfId="3482" xr:uid="{DD67CB54-CEE3-4F46-961A-54AFA42EB875}"/>
    <cellStyle name="Note 8 2 2" xfId="19158" xr:uid="{6D2E9415-4411-4CC7-B133-0271FFCF3F21}"/>
    <cellStyle name="Note 8 2 2 2" xfId="22775" xr:uid="{05F41037-FFBF-4BCC-A94D-09DD13AF34B0}"/>
    <cellStyle name="Note 8 2 3" xfId="35511" xr:uid="{41CC4AD9-0FD8-420F-8277-8BE3C800320B}"/>
    <cellStyle name="Note 8 2 4" xfId="35512" xr:uid="{30CE37F5-206A-4FD7-8D12-BDF6D0368313}"/>
    <cellStyle name="Note 8 2 5" xfId="35513" xr:uid="{2B6A4425-9D29-4252-9396-42A3B4ABE8D6}"/>
    <cellStyle name="Note 8 2 6" xfId="35514" xr:uid="{A4AA34C3-A95B-46B5-87DD-BC05DE2CD4E8}"/>
    <cellStyle name="Note 8 2 7" xfId="35515" xr:uid="{0F711266-A199-4937-98E8-CB5953957073}"/>
    <cellStyle name="Note 8 20" xfId="35516" xr:uid="{6D282CDD-802E-4D26-8D9F-C5BDC01A7F2B}"/>
    <cellStyle name="Note 8 3" xfId="3483" xr:uid="{5BB597C7-FCB5-4112-9A15-C01D30C1E1FC}"/>
    <cellStyle name="Note 8 3 2" xfId="19159" xr:uid="{E5751AA7-3DC1-43D9-B38E-3EDBC16FA097}"/>
    <cellStyle name="Note 8 3 2 2" xfId="22776" xr:uid="{6C6B73A6-69D2-41E7-B1B6-ED73A9928F05}"/>
    <cellStyle name="Note 8 3 3" xfId="35517" xr:uid="{032567C9-7B3F-4644-AD32-B5C5DEF9BB23}"/>
    <cellStyle name="Note 8 3 4" xfId="35518" xr:uid="{46FA9E13-250C-45F6-B496-AC8C0C2DB730}"/>
    <cellStyle name="Note 8 3 5" xfId="35519" xr:uid="{BB962EF4-E22D-4129-A1B8-6B5E84E8B735}"/>
    <cellStyle name="Note 8 3 6" xfId="35520" xr:uid="{AB6AFF61-9EE7-44D9-9CCE-EF86C05BCC33}"/>
    <cellStyle name="Note 8 3 7" xfId="35521" xr:uid="{F4566CDA-120F-412E-9867-4A6CE0580B9A}"/>
    <cellStyle name="Note 8 4" xfId="3484" xr:uid="{49745CED-AA6F-4CF9-826E-ADCBF9B2142B}"/>
    <cellStyle name="Note 8 4 2" xfId="19160" xr:uid="{953781BF-8EC3-4EA3-8923-BD7C2EDB410A}"/>
    <cellStyle name="Note 8 4 2 2" xfId="22777" xr:uid="{CEBCDCF6-1BBC-4E9C-820C-04D9BE084E0A}"/>
    <cellStyle name="Note 8 4 3" xfId="35522" xr:uid="{088E82BC-8CA9-4D8F-9C1F-BCBA473267D9}"/>
    <cellStyle name="Note 8 4 4" xfId="35523" xr:uid="{6F52D80E-EED2-4041-BC4B-D088A19C07C7}"/>
    <cellStyle name="Note 8 4 5" xfId="35524" xr:uid="{BE23A99B-9FD2-456E-804A-9D17359E3698}"/>
    <cellStyle name="Note 8 4 6" xfId="35525" xr:uid="{4A936E96-E968-4B1A-BCD0-BB320BAAC286}"/>
    <cellStyle name="Note 8 5" xfId="3485" xr:uid="{611E659B-D072-4368-947A-AB7E0A74F179}"/>
    <cellStyle name="Note 8 5 2" xfId="19161" xr:uid="{1C730202-5197-43F9-8120-314E81C558DC}"/>
    <cellStyle name="Note 8 5 2 2" xfId="22778" xr:uid="{CD9F4DFB-6B64-4EFF-86BC-27EDCD1D8EF3}"/>
    <cellStyle name="Note 8 5 3" xfId="35526" xr:uid="{7DA73FEC-0650-4447-867B-6BA0A5129806}"/>
    <cellStyle name="Note 8 5 4" xfId="35527" xr:uid="{A6105443-777C-46AA-B79E-E9BC79483142}"/>
    <cellStyle name="Note 8 5 5" xfId="35528" xr:uid="{C9A9D12F-7E9B-4EBD-BCE6-297D98B4CF58}"/>
    <cellStyle name="Note 8 5 6" xfId="35529" xr:uid="{72F7F339-1C35-4D7A-A302-6412F583DF89}"/>
    <cellStyle name="Note 8 6" xfId="3486" xr:uid="{004CDF80-8F23-4A1A-9C7A-6A44DE70B054}"/>
    <cellStyle name="Note 8 6 2" xfId="19162" xr:uid="{5DF7432F-E3A6-4A5D-8956-F9C809D9B54E}"/>
    <cellStyle name="Note 8 6 2 2" xfId="22779" xr:uid="{E63B8F12-5B99-4C89-A02E-DA4C4E9BDB35}"/>
    <cellStyle name="Note 8 6 3" xfId="35530" xr:uid="{6860FE52-51A1-4F71-831A-C31BB071B1F0}"/>
    <cellStyle name="Note 8 6 4" xfId="35531" xr:uid="{8FC0CF5B-A6DB-4FC4-93DB-14A73DBA320A}"/>
    <cellStyle name="Note 8 6 5" xfId="35532" xr:uid="{CFAF8F49-E070-4733-A7BE-1312F2AF0BE9}"/>
    <cellStyle name="Note 8 6 6" xfId="35533" xr:uid="{860FB1E7-D190-46B8-A243-27FCE4EF77FA}"/>
    <cellStyle name="Note 8 7" xfId="3487" xr:uid="{57D6E729-EE58-4DB5-A44F-836116BC89F0}"/>
    <cellStyle name="Note 8 7 2" xfId="19163" xr:uid="{83321D95-DE9B-4F5D-A244-3E16304B42B4}"/>
    <cellStyle name="Note 8 7 2 2" xfId="22780" xr:uid="{86C28996-B4D1-4F64-92D4-2F63C03B8B58}"/>
    <cellStyle name="Note 8 7 3" xfId="35534" xr:uid="{55738084-178C-4972-B5B8-403CBF9D0790}"/>
    <cellStyle name="Note 8 7 4" xfId="35535" xr:uid="{5D74C17C-E6C8-4ABB-AF85-A8666A17A1F1}"/>
    <cellStyle name="Note 8 7 5" xfId="35536" xr:uid="{47DB0427-DBA9-4B7F-841A-0C2A13502334}"/>
    <cellStyle name="Note 8 7 6" xfId="35537" xr:uid="{437A7F2F-5BA3-4028-B816-129AB3C07FDF}"/>
    <cellStyle name="Note 8 8" xfId="3488" xr:uid="{5C329BD8-74A9-4A77-95FC-787FE382963A}"/>
    <cellStyle name="Note 8 8 2" xfId="19164" xr:uid="{11BB2022-AFB8-4B67-84AA-853986C4AD58}"/>
    <cellStyle name="Note 8 8 2 2" xfId="22781" xr:uid="{30D43A92-28E7-47F9-A683-054D9A438F43}"/>
    <cellStyle name="Note 8 8 3" xfId="35538" xr:uid="{56E34D12-7589-46B3-A82A-DFE5FF7D3C75}"/>
    <cellStyle name="Note 8 8 4" xfId="35539" xr:uid="{23C56AF2-79D4-4EA3-95A4-7288A6788D73}"/>
    <cellStyle name="Note 8 8 5" xfId="35540" xr:uid="{8FC035FC-AED2-4A06-8F73-C2B36935D847}"/>
    <cellStyle name="Note 8 8 6" xfId="35541" xr:uid="{43F746D5-D7FD-4BDC-A7B9-4E0E61283BA1}"/>
    <cellStyle name="Note 8 9" xfId="16124" xr:uid="{8D727B90-5338-4176-B49A-D8C663E0457E}"/>
    <cellStyle name="Note 8 9 2" xfId="19165" xr:uid="{19100ED5-A778-482C-B317-801234145651}"/>
    <cellStyle name="Note 8 9 2 2" xfId="22782" xr:uid="{59854CC5-1533-4911-9927-AE1E41B2D404}"/>
    <cellStyle name="Note 8 9 3" xfId="35542" xr:uid="{FEE120DD-9463-411C-B6AD-8A9B62561066}"/>
    <cellStyle name="Note 8 9 4" xfId="35543" xr:uid="{A6E60EC5-D206-421A-8FF2-5F78F2E758F4}"/>
    <cellStyle name="Note 8 9 5" xfId="35544" xr:uid="{3A9E7984-B936-48C4-AA61-EF1E0F175CFE}"/>
    <cellStyle name="Note 8 9 6" xfId="35545" xr:uid="{773C236E-08CA-4871-A6F0-143D688D1399}"/>
    <cellStyle name="Note 8_IND_UC" xfId="3489" xr:uid="{AF5553DB-289D-4ADA-B351-5912DEB8B25E}"/>
    <cellStyle name="Note 9" xfId="3490" xr:uid="{1301A7BE-4A1F-4730-B32E-2DFB23F8E119}"/>
    <cellStyle name="Note 9 10" xfId="16125" xr:uid="{41E45A49-06BA-4830-B636-2232121F6A5F}"/>
    <cellStyle name="Note 9 10 2" xfId="19167" xr:uid="{CBE74B69-9BF3-41F3-8A8F-38D27FBDEDBE}"/>
    <cellStyle name="Note 9 10 2 2" xfId="22784" xr:uid="{F80A69D5-125A-4F80-A63D-A274B49BB8CC}"/>
    <cellStyle name="Note 9 10 3" xfId="35546" xr:uid="{98DE4390-2B6F-4A91-9C44-643E6C44F0BB}"/>
    <cellStyle name="Note 9 10 4" xfId="35547" xr:uid="{441A0B3D-388B-4EBE-8F37-1F68A7CDED5D}"/>
    <cellStyle name="Note 9 10 5" xfId="35548" xr:uid="{9E14B7C4-E7C4-4DBC-825C-566C180364BE}"/>
    <cellStyle name="Note 9 10 6" xfId="35549" xr:uid="{E516EE30-040B-4C2E-A2E4-BF0F03AF2121}"/>
    <cellStyle name="Note 9 11" xfId="16126" xr:uid="{926D58DA-921F-487E-B181-BD6E2D739BBB}"/>
    <cellStyle name="Note 9 11 2" xfId="19168" xr:uid="{5A2373CE-27DB-4611-990E-1EF68FB69B7C}"/>
    <cellStyle name="Note 9 11 2 2" xfId="22785" xr:uid="{8A01B4FB-78C7-4AE8-B4D0-E8658B5797CB}"/>
    <cellStyle name="Note 9 11 3" xfId="35550" xr:uid="{E8A32A8A-32D5-4624-A254-4CA84E4D1CDD}"/>
    <cellStyle name="Note 9 11 4" xfId="35551" xr:uid="{98644AC5-8A2B-481D-8591-87395851719D}"/>
    <cellStyle name="Note 9 11 5" xfId="35552" xr:uid="{0C34536E-2577-4A83-9314-D057C33D9048}"/>
    <cellStyle name="Note 9 11 6" xfId="35553" xr:uid="{865E2005-00DD-43DC-9FBA-E1B5B999DC30}"/>
    <cellStyle name="Note 9 12" xfId="16127" xr:uid="{C7FB2D0B-8B35-4082-920B-3311DC29B893}"/>
    <cellStyle name="Note 9 12 2" xfId="19169" xr:uid="{3CC30163-FC3B-4BEC-A89B-B22819237943}"/>
    <cellStyle name="Note 9 12 2 2" xfId="22786" xr:uid="{496BD2B0-F533-4D73-A1F9-86E6472F03EB}"/>
    <cellStyle name="Note 9 12 3" xfId="35554" xr:uid="{6B209BF1-F2D8-4BFB-8961-4825B095BC52}"/>
    <cellStyle name="Note 9 12 4" xfId="35555" xr:uid="{ABC76C2B-322B-41FD-9EB8-46A034AC8464}"/>
    <cellStyle name="Note 9 12 5" xfId="35556" xr:uid="{234B7ADF-5636-476D-AE26-34614EEDF105}"/>
    <cellStyle name="Note 9 12 6" xfId="35557" xr:uid="{9B6BED5E-F8D9-4D04-B575-E6898F541374}"/>
    <cellStyle name="Note 9 13" xfId="16128" xr:uid="{AB291A96-9AD4-441F-BF2A-DED6DE40CEA3}"/>
    <cellStyle name="Note 9 13 2" xfId="19170" xr:uid="{621E18FF-BE67-4A23-8295-AD275A35A68C}"/>
    <cellStyle name="Note 9 13 2 2" xfId="22787" xr:uid="{E5991017-CA05-49E9-BB51-FDD838DBDB21}"/>
    <cellStyle name="Note 9 13 3" xfId="35558" xr:uid="{369762FC-FEE8-42F8-8075-BFDBAEC253E9}"/>
    <cellStyle name="Note 9 13 4" xfId="35559" xr:uid="{C8541E09-FFFF-449D-8661-1E880DC9FAB0}"/>
    <cellStyle name="Note 9 13 5" xfId="35560" xr:uid="{8D509B3C-5EC8-4201-AFCB-8FA7D44356C0}"/>
    <cellStyle name="Note 9 13 6" xfId="35561" xr:uid="{2CB1196F-3A32-4757-947D-947051A950ED}"/>
    <cellStyle name="Note 9 14" xfId="16129" xr:uid="{A244C138-C4EF-4E08-8F81-11104F7863D3}"/>
    <cellStyle name="Note 9 14 2" xfId="19171" xr:uid="{C8942A6C-A083-4509-B0C2-8C4463A2FE88}"/>
    <cellStyle name="Note 9 14 2 2" xfId="22788" xr:uid="{D073B55A-068F-4AEA-9C65-BBDD480A70A7}"/>
    <cellStyle name="Note 9 14 3" xfId="35562" xr:uid="{3D7DDD3A-139A-4522-83F9-97858B035464}"/>
    <cellStyle name="Note 9 14 4" xfId="35563" xr:uid="{755C06C0-4D2A-4E6C-8456-B089EEF0E5C3}"/>
    <cellStyle name="Note 9 14 5" xfId="35564" xr:uid="{A680F180-5413-42D0-A68D-4DB11E39BBD8}"/>
    <cellStyle name="Note 9 14 6" xfId="35565" xr:uid="{5F7564E5-FC09-43C8-8943-4AF89403C3AC}"/>
    <cellStyle name="Note 9 15" xfId="19166" xr:uid="{4A14D181-4163-424A-A62D-3B3350C75914}"/>
    <cellStyle name="Note 9 15 2" xfId="22783" xr:uid="{A40D91D1-D5E8-4034-B595-B927C558E20A}"/>
    <cellStyle name="Note 9 16" xfId="35566" xr:uid="{271F661A-5736-47A2-8116-9C86DBB0097A}"/>
    <cellStyle name="Note 9 17" xfId="35567" xr:uid="{8620332E-FB0F-4468-957E-CCAB58750567}"/>
    <cellStyle name="Note 9 18" xfId="35568" xr:uid="{AACC4E92-479B-4A95-B3A4-469A2938DD7B}"/>
    <cellStyle name="Note 9 19" xfId="35569" xr:uid="{274C4D56-8CF6-446C-9B54-2237E6C56A28}"/>
    <cellStyle name="Note 9 2" xfId="3491" xr:uid="{9160F8A9-9B4D-46F3-A8F6-E8C803894702}"/>
    <cellStyle name="Note 9 2 2" xfId="19172" xr:uid="{FB3992FA-30B9-4E16-BB31-9580453FC064}"/>
    <cellStyle name="Note 9 2 2 2" xfId="22789" xr:uid="{F54352E8-5AA0-49F6-A87E-C486CFAE50EC}"/>
    <cellStyle name="Note 9 2 3" xfId="35570" xr:uid="{7CB76F18-36C0-4522-ABD9-D75ED7ACB23F}"/>
    <cellStyle name="Note 9 2 4" xfId="35571" xr:uid="{4C95B685-28B7-4B3E-9C9B-C7743BA635A2}"/>
    <cellStyle name="Note 9 2 5" xfId="35572" xr:uid="{22E4C1E4-BB2B-43D4-92E2-649006FB557C}"/>
    <cellStyle name="Note 9 2 6" xfId="35573" xr:uid="{9B293837-76C2-4875-8D99-96D71F7CAD56}"/>
    <cellStyle name="Note 9 2 7" xfId="35574" xr:uid="{46F4102E-74C7-4424-AF4B-CE398855A915}"/>
    <cellStyle name="Note 9 20" xfId="35575" xr:uid="{345D1CCB-30B4-4DCD-9F17-084B85904C53}"/>
    <cellStyle name="Note 9 3" xfId="3492" xr:uid="{BCE5F494-BFCD-4A76-9789-1998C21B3FB0}"/>
    <cellStyle name="Note 9 3 2" xfId="19173" xr:uid="{B839E124-64C5-47FE-8BC9-0EAF181DD7C9}"/>
    <cellStyle name="Note 9 3 2 2" xfId="22790" xr:uid="{F651EF1F-1C7B-45D2-86AF-DD3D3180D263}"/>
    <cellStyle name="Note 9 3 3" xfId="35576" xr:uid="{360CE7AF-DA95-4FFA-A9E5-7EE5558EF1F2}"/>
    <cellStyle name="Note 9 3 4" xfId="35577" xr:uid="{2324F669-8160-4585-9295-638AED25F245}"/>
    <cellStyle name="Note 9 3 5" xfId="35578" xr:uid="{A3AE8545-0F09-4A0A-9CB9-E97B65CEF388}"/>
    <cellStyle name="Note 9 3 6" xfId="35579" xr:uid="{46A12DEF-3761-4491-8C9F-9828E0CDC7C9}"/>
    <cellStyle name="Note 9 3 7" xfId="35580" xr:uid="{965A4103-F337-4F71-9968-12DDD6C56F7F}"/>
    <cellStyle name="Note 9 4" xfId="3493" xr:uid="{33FE154C-0F32-4AFD-8304-12B6CCAFC464}"/>
    <cellStyle name="Note 9 4 2" xfId="19174" xr:uid="{8BC332D4-46EA-4AB0-BE35-78DF74162BE8}"/>
    <cellStyle name="Note 9 4 2 2" xfId="22791" xr:uid="{6D758268-85CF-4571-8D6A-DC2472577D4F}"/>
    <cellStyle name="Note 9 4 3" xfId="35581" xr:uid="{D7C55470-7D1D-4CCF-ADBF-01210C18C0CB}"/>
    <cellStyle name="Note 9 4 4" xfId="35582" xr:uid="{D9C8D691-9894-4481-B664-BA4B47F3BA24}"/>
    <cellStyle name="Note 9 4 5" xfId="35583" xr:uid="{9BB31AFC-0FA2-45F9-A8F2-0FEAFCDBF463}"/>
    <cellStyle name="Note 9 4 6" xfId="35584" xr:uid="{D02E5365-435F-419A-BF7D-719E46F56FE9}"/>
    <cellStyle name="Note 9 5" xfId="3494" xr:uid="{A3431B2A-5825-4BB6-8401-97D0F300E10F}"/>
    <cellStyle name="Note 9 5 2" xfId="19175" xr:uid="{4DB0FBC3-212D-4D9A-A9B4-AC835E77E3E6}"/>
    <cellStyle name="Note 9 5 2 2" xfId="22792" xr:uid="{AC698D3D-B885-4A50-A61F-1406CB63CE42}"/>
    <cellStyle name="Note 9 5 3" xfId="35585" xr:uid="{BC3B7250-F108-4E58-96E3-DA846FE5FC88}"/>
    <cellStyle name="Note 9 5 4" xfId="35586" xr:uid="{3F9522F3-099B-487C-8004-5215183368E7}"/>
    <cellStyle name="Note 9 5 5" xfId="35587" xr:uid="{3FA546A7-D7AB-43B0-B1DF-7D0D8782C43D}"/>
    <cellStyle name="Note 9 5 6" xfId="35588" xr:uid="{2BD3A402-B743-46AE-BD49-313529BA59B0}"/>
    <cellStyle name="Note 9 6" xfId="3495" xr:uid="{3A33C024-038B-43D6-8340-20E8F9C9584E}"/>
    <cellStyle name="Note 9 6 2" xfId="19176" xr:uid="{B706D583-1FA2-4802-9D35-BB3C54D2A21B}"/>
    <cellStyle name="Note 9 6 2 2" xfId="22793" xr:uid="{20EA8A2B-F49E-43AB-8036-2D7372A0D0D6}"/>
    <cellStyle name="Note 9 6 3" xfId="35589" xr:uid="{C500C4A5-9F13-493E-B39A-CD0E2C172F63}"/>
    <cellStyle name="Note 9 6 4" xfId="35590" xr:uid="{F7DD3324-2052-4EB0-BD21-DEB016145E33}"/>
    <cellStyle name="Note 9 6 5" xfId="35591" xr:uid="{1DDCE05F-5D49-41B7-95F1-9D58803E12EC}"/>
    <cellStyle name="Note 9 6 6" xfId="35592" xr:uid="{F515E832-2C84-4DA2-AB93-AF69AE1661CF}"/>
    <cellStyle name="Note 9 7" xfId="3496" xr:uid="{82A8B91B-EFCB-4D1A-B0E1-DA119F1705DC}"/>
    <cellStyle name="Note 9 7 2" xfId="5354" xr:uid="{8F738F13-122B-4B4A-89AE-3BF8AA9AE9F7}"/>
    <cellStyle name="Note 9 7 2 2" xfId="19178" xr:uid="{A449BF7A-CE5C-4453-8483-890818E9DB91}"/>
    <cellStyle name="Note 9 7 2 2 2" xfId="22795" xr:uid="{DC0F282E-3BEE-4897-9C8B-6D24FA5F13C1}"/>
    <cellStyle name="Note 9 7 2 3" xfId="35593" xr:uid="{69F32892-A2A2-4F6F-80BB-965681221819}"/>
    <cellStyle name="Note 9 7 2 4" xfId="35594" xr:uid="{5CC0CDA0-FA54-471F-A591-9126DC0D3D75}"/>
    <cellStyle name="Note 9 7 2 5" xfId="35595" xr:uid="{945715D2-3020-4DB2-9C66-6C91C4D9AEAB}"/>
    <cellStyle name="Note 9 7 2 6" xfId="35596" xr:uid="{7C6C1987-9FF9-4A94-B69D-8F48B8C1ED5E}"/>
    <cellStyle name="Note 9 7 3" xfId="7007" xr:uid="{AAC0D354-089D-4309-A8EC-ECBFEFD52D22}"/>
    <cellStyle name="Note 9 7 3 2" xfId="19179" xr:uid="{E6DB9E1C-8B05-468F-B2E2-39CBC3B80DAC}"/>
    <cellStyle name="Note 9 7 3 2 2" xfId="22796" xr:uid="{9B1EADBF-A041-4754-9361-2D6260AA2DC0}"/>
    <cellStyle name="Note 9 7 3 3" xfId="35597" xr:uid="{DDB62736-F870-4355-836F-40927E0CCB65}"/>
    <cellStyle name="Note 9 7 3 4" xfId="35598" xr:uid="{ED4D923A-9DEE-4646-92B7-91B2F13CB265}"/>
    <cellStyle name="Note 9 7 3 5" xfId="35599" xr:uid="{14904C7D-B3BF-4B97-ACDF-838CC4414AA3}"/>
    <cellStyle name="Note 9 7 3 6" xfId="35600" xr:uid="{302067C4-0794-435E-B4A7-91F2AB3F192D}"/>
    <cellStyle name="Note 9 7 3 7" xfId="46467" xr:uid="{AA17FFDB-161D-4D9F-B180-530A27AB261C}"/>
    <cellStyle name="Note 9 7 3 8" xfId="16130" xr:uid="{753A48C5-B13E-404F-8802-1806F15F597E}"/>
    <cellStyle name="Note 9 7 4" xfId="9252" xr:uid="{C04EFCC7-0185-46A4-B1BA-F12B55744E49}"/>
    <cellStyle name="Note 9 7 4 2" xfId="22794" xr:uid="{564403EB-0DB7-4E49-BBB2-61989214115F}"/>
    <cellStyle name="Note 9 7 4 3" xfId="19177" xr:uid="{72FF3AD2-4542-4401-8ADD-4C18AF756567}"/>
    <cellStyle name="Note 9 7 5" xfId="35601" xr:uid="{47108871-13F1-4B8B-805F-9E503C4BA530}"/>
    <cellStyle name="Note 9 7 6" xfId="35602" xr:uid="{DEA5ECE3-6CDC-42A5-A787-C0FEF6851E38}"/>
    <cellStyle name="Note 9 7 7" xfId="35603" xr:uid="{6654171F-0291-48C5-ABAD-957D2B60157F}"/>
    <cellStyle name="Note 9 7 8" xfId="35604" xr:uid="{E7A547C4-F355-498E-BAA7-04A597497475}"/>
    <cellStyle name="Note 9 8" xfId="3497" xr:uid="{A997E513-7A9C-440B-B4E4-DCC29081C843}"/>
    <cellStyle name="Note 9 8 2" xfId="5355" xr:uid="{BD8A3C7C-AC59-42D8-B765-3AC7982C300D}"/>
    <cellStyle name="Note 9 8 2 2" xfId="19181" xr:uid="{8CE74275-3DE1-4DD3-82B9-2C635A1883EC}"/>
    <cellStyle name="Note 9 8 2 2 2" xfId="22798" xr:uid="{76453B82-51F9-40A3-9CE1-611F5133DF96}"/>
    <cellStyle name="Note 9 8 2 3" xfId="35605" xr:uid="{4D800AF7-FCFE-47E4-B7EC-ED20E1480D58}"/>
    <cellStyle name="Note 9 8 2 4" xfId="35606" xr:uid="{288CB369-EF17-4657-82F3-1C2F69F32CD6}"/>
    <cellStyle name="Note 9 8 2 5" xfId="35607" xr:uid="{A17F4A39-FED0-42D0-9C9F-C3769CA32E5B}"/>
    <cellStyle name="Note 9 8 2 6" xfId="35608" xr:uid="{4D487F80-A660-43FF-8849-2001BAC4375D}"/>
    <cellStyle name="Note 9 8 3" xfId="7008" xr:uid="{9F4E6BA9-349D-46AB-89D9-4ABD33D00208}"/>
    <cellStyle name="Note 9 8 3 2" xfId="19182" xr:uid="{31DE2CB0-2AAE-4636-ADF6-605A7E4C61A3}"/>
    <cellStyle name="Note 9 8 3 2 2" xfId="22799" xr:uid="{962BBDD9-3200-4B3C-911B-12DE421AA7E7}"/>
    <cellStyle name="Note 9 8 3 3" xfId="35609" xr:uid="{8A4777E9-3C77-4097-B2E6-D2433E68B2BE}"/>
    <cellStyle name="Note 9 8 3 4" xfId="35610" xr:uid="{D1EAF145-0B3A-4CD0-9DEC-BC4537757089}"/>
    <cellStyle name="Note 9 8 3 5" xfId="35611" xr:uid="{B4973A47-DB33-41A0-96FC-E414E6076A4F}"/>
    <cellStyle name="Note 9 8 3 6" xfId="35612" xr:uid="{158BCA12-E769-4601-83F2-704CB21DDE7A}"/>
    <cellStyle name="Note 9 8 3 7" xfId="46468" xr:uid="{9F865D3F-69F8-463C-94F3-C233D23F7D23}"/>
    <cellStyle name="Note 9 8 3 8" xfId="16131" xr:uid="{F2829468-6D3C-4268-971F-9072CFAAFABD}"/>
    <cellStyle name="Note 9 8 4" xfId="9253" xr:uid="{2C36B12E-50B4-443C-99BE-F198004F4688}"/>
    <cellStyle name="Note 9 8 4 2" xfId="22797" xr:uid="{646D0078-3DBC-4CEE-889E-7F30EDA10FFF}"/>
    <cellStyle name="Note 9 8 4 3" xfId="19180" xr:uid="{FBB95214-802D-477C-AB8C-5224613BAACB}"/>
    <cellStyle name="Note 9 8 5" xfId="35613" xr:uid="{CD73A28E-4055-48FB-B304-820DEC0D8A0D}"/>
    <cellStyle name="Note 9 8 6" xfId="35614" xr:uid="{DDA8AD22-1ABC-4C7C-9FD6-A86A1AF59CDF}"/>
    <cellStyle name="Note 9 8 7" xfId="35615" xr:uid="{F214A113-E45F-4FEE-83BC-F55542F6D124}"/>
    <cellStyle name="Note 9 8 8" xfId="35616" xr:uid="{92650F45-BDAB-451E-8BAC-BFF9AC5BE455}"/>
    <cellStyle name="Note 9 9" xfId="16132" xr:uid="{D96FD05A-BF1D-4FB5-BD3A-3582B7A98DF4}"/>
    <cellStyle name="Note 9 9 2" xfId="19183" xr:uid="{75459784-6536-45F0-BECE-92454369F522}"/>
    <cellStyle name="Note 9 9 2 2" xfId="22800" xr:uid="{9AC4B260-0A58-43E0-8365-2F6DFE1C436C}"/>
    <cellStyle name="Note 9 9 3" xfId="35617" xr:uid="{7475D8F5-1806-40F1-949C-5C48A9B03748}"/>
    <cellStyle name="Note 9 9 4" xfId="35618" xr:uid="{CC926249-13E0-4EDD-B820-98EBAB6907B8}"/>
    <cellStyle name="Note 9 9 5" xfId="35619" xr:uid="{C9456DFE-A775-48B1-8BD1-39C7E423E9DC}"/>
    <cellStyle name="Note 9 9 6" xfId="35620" xr:uid="{F7FC2CFA-EAB3-44C1-9B33-0A5551FF026E}"/>
    <cellStyle name="Note 9_IND_UC" xfId="3498" xr:uid="{BA86C727-6FC5-4DA0-AE04-6FE0D7613514}"/>
    <cellStyle name="NUMLINHA" xfId="3499" xr:uid="{77C8E4D4-B2C8-4E2F-B873-70764DC1FB3B}"/>
    <cellStyle name="NUMLINHA 2" xfId="19184" xr:uid="{13A3D0AD-44D5-40AA-A761-5E7C5CE108E7}"/>
    <cellStyle name="NUMLINHA 2 2" xfId="22801" xr:uid="{61826EB9-8A34-4932-9CD6-A39A341E4C74}"/>
    <cellStyle name="NUMLINHA 3" xfId="35621" xr:uid="{B0B36626-103E-4AA1-BF39-A36E5BAAACC6}"/>
    <cellStyle name="NUMLINHA 4" xfId="35622" xr:uid="{BBB0DF8C-5576-41D1-B03C-2C4C5159F53A}"/>
    <cellStyle name="NUMLINHA 5" xfId="35623" xr:uid="{B9712F10-B5A8-44C6-AD7E-F170AA7389CC}"/>
    <cellStyle name="NUMLINHA 6" xfId="35624" xr:uid="{BF9D484F-DF6A-46AB-A2F2-A5E79D9EBEFA}"/>
    <cellStyle name="NUMLINHA 7" xfId="35625" xr:uid="{C63C1C3F-8E89-49B2-A448-2F7D584DE742}"/>
    <cellStyle name="NUMLINHA 8" xfId="35626" xr:uid="{059F84DB-A4DC-4D0D-9082-5D275687E825}"/>
    <cellStyle name="Nuovo" xfId="3500" xr:uid="{9C94C821-1AFC-4420-84C5-F3F71FE8A733}"/>
    <cellStyle name="Nuovo 10" xfId="35627" xr:uid="{C0B40332-22A5-483D-A9D2-853970EA55D1}"/>
    <cellStyle name="Nuovo 2" xfId="3501" xr:uid="{63505B4C-6A0A-4921-90CF-232A1587AACD}"/>
    <cellStyle name="Nuovo 2 2" xfId="5357" xr:uid="{FD9B5C22-13FD-44C7-8E4E-5CFD4744C70F}"/>
    <cellStyle name="Nuovo 2 2 2" xfId="19187" xr:uid="{AFCD9053-9160-48E6-BD0E-00C670450852}"/>
    <cellStyle name="Nuovo 2 2 2 2" xfId="22804" xr:uid="{672BE6BE-F82E-4BD7-8A34-7F21D826C97C}"/>
    <cellStyle name="Nuovo 2 2 3" xfId="35628" xr:uid="{F1145D34-AA77-43F6-8871-0D376F408C15}"/>
    <cellStyle name="Nuovo 2 2 4" xfId="35629" xr:uid="{CBDEB42E-C755-4D8F-80D5-B2C0F6CE3CAA}"/>
    <cellStyle name="Nuovo 2 2 5" xfId="35630" xr:uid="{80DDC362-7F13-4010-970A-48702BA15AD8}"/>
    <cellStyle name="Nuovo 2 2 6" xfId="35631" xr:uid="{1F7936BB-1CF9-4CE4-9BFA-2661950CE9C0}"/>
    <cellStyle name="Nuovo 2 3" xfId="7010" xr:uid="{85C1CDBC-3858-421D-8E0F-FA4A7C69AD25}"/>
    <cellStyle name="Nuovo 2 3 2" xfId="22803" xr:uid="{B7B08C45-D202-4343-BA50-B4311AD52ECB}"/>
    <cellStyle name="Nuovo 2 3 3" xfId="46470" xr:uid="{958C0D87-FEAB-4755-90A2-EE6F12CE639D}"/>
    <cellStyle name="Nuovo 2 3 4" xfId="19186" xr:uid="{2A0F587D-E1D1-4844-9D6A-2140FB41406D}"/>
    <cellStyle name="Nuovo 2 4" xfId="9255" xr:uid="{A6C2B902-8165-4FD2-AF74-D797BD8B9E65}"/>
    <cellStyle name="Nuovo 2 4 2" xfId="35632" xr:uid="{9B4D3BCA-6F7A-43AD-AECC-FC31524BBA57}"/>
    <cellStyle name="Nuovo 2 5" xfId="35633" xr:uid="{45AA8EEB-211B-42E9-A086-AC24F119A8B6}"/>
    <cellStyle name="Nuovo 2 6" xfId="35634" xr:uid="{B271AF7B-27D1-4EF2-BC2F-12E7B0BBC761}"/>
    <cellStyle name="Nuovo 2 7" xfId="35635" xr:uid="{5C412548-DCDC-47F0-85A9-5544DE2C13C2}"/>
    <cellStyle name="Nuovo 3" xfId="3502" xr:uid="{7D5F7866-B511-4276-9DF5-4D8AA2598FA6}"/>
    <cellStyle name="Nuovo 3 2" xfId="5358" xr:uid="{77A04270-F1AA-46D5-AACC-D83CACB904DD}"/>
    <cellStyle name="Nuovo 3 2 2" xfId="19189" xr:uid="{1610A575-24C4-46F3-B0F2-E256B59D6337}"/>
    <cellStyle name="Nuovo 3 2 2 2" xfId="22806" xr:uid="{6711C388-DC17-419E-AF13-9C9EE005B001}"/>
    <cellStyle name="Nuovo 3 2 3" xfId="35636" xr:uid="{3A27900E-C473-4ABC-A9B0-C4C7D9DA9BA1}"/>
    <cellStyle name="Nuovo 3 2 4" xfId="35637" xr:uid="{93555A7B-CE22-4236-857D-E7CCEA9ADF53}"/>
    <cellStyle name="Nuovo 3 2 5" xfId="35638" xr:uid="{1A5489EC-89F7-40F4-A1DC-3C63BC511A54}"/>
    <cellStyle name="Nuovo 3 2 6" xfId="35639" xr:uid="{76A4A6B1-FC9A-4E14-8E01-980C0605044B}"/>
    <cellStyle name="Nuovo 3 3" xfId="7011" xr:uid="{2E329FCC-58FD-4F2B-94E7-7064C5494011}"/>
    <cellStyle name="Nuovo 3 3 2" xfId="22805" xr:uid="{21AE652E-9B0B-4AD2-9D37-D50AF1501915}"/>
    <cellStyle name="Nuovo 3 3 3" xfId="46471" xr:uid="{89B476B8-FD57-4D56-BA34-A36A529F61C2}"/>
    <cellStyle name="Nuovo 3 3 4" xfId="19188" xr:uid="{AF55E84E-FA92-42CD-9DEA-B77390EC94C8}"/>
    <cellStyle name="Nuovo 3 4" xfId="9256" xr:uid="{B52953B9-1ECD-4DC9-AEDE-C033F64767BD}"/>
    <cellStyle name="Nuovo 3 4 2" xfId="35640" xr:uid="{4046A0B1-270A-4C69-AC21-3DF4831787CE}"/>
    <cellStyle name="Nuovo 3 5" xfId="35641" xr:uid="{1767948F-595E-4DCD-AC5E-9C253A661861}"/>
    <cellStyle name="Nuovo 3 6" xfId="35642" xr:uid="{29D06B33-4332-4974-81F5-4A0B88605A97}"/>
    <cellStyle name="Nuovo 3 7" xfId="35643" xr:uid="{E5958A10-C46A-4B17-85C7-DA8EE95B7984}"/>
    <cellStyle name="Nuovo 4" xfId="3503" xr:uid="{D5A122B3-14F3-4ECB-A5E7-ABFE97280F04}"/>
    <cellStyle name="Nuovo 4 2" xfId="5359" xr:uid="{C5E608F2-8853-4EB5-8184-CD30BBFD030C}"/>
    <cellStyle name="Nuovo 4 2 2" xfId="19191" xr:uid="{432E5C3A-BA61-447B-9D4C-94E16E644059}"/>
    <cellStyle name="Nuovo 4 2 2 2" xfId="22808" xr:uid="{08881CDC-0313-4C1A-94DA-67E35E45A9BF}"/>
    <cellStyle name="Nuovo 4 2 3" xfId="35644" xr:uid="{3F76FA22-6B11-4C8A-8419-81782F9765E6}"/>
    <cellStyle name="Nuovo 4 2 4" xfId="35645" xr:uid="{01BBF723-33DD-4AA7-AB76-6A214B9CF2D5}"/>
    <cellStyle name="Nuovo 4 2 5" xfId="35646" xr:uid="{9B6194BC-FB08-4E02-8959-ADDDFD7635A6}"/>
    <cellStyle name="Nuovo 4 2 6" xfId="35647" xr:uid="{E9D7483D-A844-4434-8EB7-E1666DC41E17}"/>
    <cellStyle name="Nuovo 4 3" xfId="7012" xr:uid="{35ED79CA-C12C-4D7A-A786-ADB0D57C81A3}"/>
    <cellStyle name="Nuovo 4 3 2" xfId="22807" xr:uid="{65B1C61A-E263-428F-8EF2-0EF063EE7248}"/>
    <cellStyle name="Nuovo 4 3 3" xfId="46472" xr:uid="{BCCF4004-BEA5-44EA-959F-359F421BD1FF}"/>
    <cellStyle name="Nuovo 4 3 4" xfId="19190" xr:uid="{2FB48E49-3A7B-48E8-B414-8BC563032411}"/>
    <cellStyle name="Nuovo 4 4" xfId="9257" xr:uid="{98B4A78A-625B-4D32-81C3-F758B99BEAE3}"/>
    <cellStyle name="Nuovo 4 4 2" xfId="35648" xr:uid="{5E31BE5F-BE67-41AA-8C7C-19CC8FCB1D54}"/>
    <cellStyle name="Nuovo 4 5" xfId="35649" xr:uid="{6D8CC408-FBA7-46E4-8B27-8CFF7E339009}"/>
    <cellStyle name="Nuovo 4 6" xfId="35650" xr:uid="{50472980-2EAD-4DA4-BC3B-AFFF07C03D50}"/>
    <cellStyle name="Nuovo 4 7" xfId="35651" xr:uid="{E35F1E4D-68D8-4345-A280-EA3086389E61}"/>
    <cellStyle name="Nuovo 5" xfId="5356" xr:uid="{88E9194A-91A1-4068-802F-7F54081CF2DA}"/>
    <cellStyle name="Nuovo 5 2" xfId="19192" xr:uid="{1D8D1730-7DD3-4758-9810-057C9EE5E0D7}"/>
    <cellStyle name="Nuovo 5 2 2" xfId="22809" xr:uid="{DCD6DF03-B996-46C4-AF26-2EA12014EAF7}"/>
    <cellStyle name="Nuovo 5 3" xfId="35652" xr:uid="{80A552B1-579F-4B6C-A564-FC056775773D}"/>
    <cellStyle name="Nuovo 5 4" xfId="35653" xr:uid="{E7C05C42-C50D-46DD-A4BA-B043B4604ECD}"/>
    <cellStyle name="Nuovo 5 5" xfId="35654" xr:uid="{C612B972-FD5D-47FC-BEEB-7B272663C7A1}"/>
    <cellStyle name="Nuovo 5 6" xfId="35655" xr:uid="{9F8252D7-C1EB-43E6-A678-7FE7AF01B97F}"/>
    <cellStyle name="Nuovo 6" xfId="7009" xr:uid="{9B05E5BC-0C4A-44FA-948A-4FE022FB55BB}"/>
    <cellStyle name="Nuovo 6 2" xfId="22802" xr:uid="{B93144F4-CA21-47D6-8816-CB83FF8C9128}"/>
    <cellStyle name="Nuovo 6 3" xfId="46469" xr:uid="{2B56B4C6-2C95-4090-9C53-78CBCAE7A66B}"/>
    <cellStyle name="Nuovo 6 4" xfId="19185" xr:uid="{53592F04-D90B-4210-97C5-C143E7A9C59C}"/>
    <cellStyle name="Nuovo 7" xfId="9254" xr:uid="{0020EE09-9388-4968-BBA1-517192202182}"/>
    <cellStyle name="Nuovo 7 2" xfId="35656" xr:uid="{AAD11DB5-0088-4058-A033-DC3272987E9B}"/>
    <cellStyle name="Nuovo 8" xfId="35657" xr:uid="{17CAE0ED-90C1-4F36-9896-FFE641D0BA89}"/>
    <cellStyle name="Nuovo 9" xfId="35658" xr:uid="{77C103DF-D551-493F-9274-8BD8A1DB18D0}"/>
    <cellStyle name="Output 10" xfId="3504" xr:uid="{D2422528-0A3F-459B-ADD2-487BDB9158F1}"/>
    <cellStyle name="Output 10 2" xfId="3505" xr:uid="{154054EC-F3B9-47B0-B63B-04C0DBBB5EE2}"/>
    <cellStyle name="Output 10 2 2" xfId="19194" xr:uid="{3D032150-70EE-4A0E-97A9-D827703D1D3D}"/>
    <cellStyle name="Output 10 2 2 2" xfId="22811" xr:uid="{163A19EB-BD89-4FC2-A82B-41BC8E4E5176}"/>
    <cellStyle name="Output 10 2 3" xfId="35659" xr:uid="{9C0F96D8-CB21-48B3-A80E-A80C657EB061}"/>
    <cellStyle name="Output 10 2 4" xfId="35660" xr:uid="{1119D9C7-B985-4D1F-9E17-0CF77C07A749}"/>
    <cellStyle name="Output 10 2 5" xfId="35661" xr:uid="{418DB724-1C92-42C3-8BE9-2F03B3445337}"/>
    <cellStyle name="Output 10 2 6" xfId="35662" xr:uid="{5E0B4718-350A-4785-B125-81BD57B7AC51}"/>
    <cellStyle name="Output 10 3" xfId="19193" xr:uid="{F11AE6A2-92F8-4E78-96D6-2FD4BF905D5B}"/>
    <cellStyle name="Output 10 3 2" xfId="22810" xr:uid="{61F87876-EB07-47D6-BA65-51D33047D35E}"/>
    <cellStyle name="Output 10 4" xfId="35663" xr:uid="{38CD52EF-9C1C-45D7-8209-EF640A05A791}"/>
    <cellStyle name="Output 10 5" xfId="35664" xr:uid="{58CC1579-4826-41C5-83E4-EA24FAB140DD}"/>
    <cellStyle name="Output 10 6" xfId="35665" xr:uid="{B065379F-5BED-4D33-9390-5E773632CB91}"/>
    <cellStyle name="Output 10 7" xfId="35666" xr:uid="{4780891C-E7B6-41CA-BFDA-E6B57DD0BEB4}"/>
    <cellStyle name="Output 10 8" xfId="35667" xr:uid="{5651B489-5D49-40A5-8ACC-DC55101746CF}"/>
    <cellStyle name="Output 11" xfId="3506" xr:uid="{CD4E26C5-0D3D-407D-B10A-7505261D32E1}"/>
    <cellStyle name="Output 11 2" xfId="10630" xr:uid="{6EA4C53B-B17F-495D-A2BA-9AFCD9164EA1}"/>
    <cellStyle name="Output 11 2 2" xfId="19196" xr:uid="{2435F877-8D25-4E83-BB8A-22A39494D792}"/>
    <cellStyle name="Output 11 2 2 2" xfId="22813" xr:uid="{8054ABF1-9A20-457A-9E6D-26CF68ED1ABF}"/>
    <cellStyle name="Output 11 2 3" xfId="35668" xr:uid="{ED5157AE-B915-4E5D-AA60-8649717AB3AD}"/>
    <cellStyle name="Output 11 2 4" xfId="35669" xr:uid="{045E53EA-EE03-4037-9F67-9F590902437C}"/>
    <cellStyle name="Output 11 2 5" xfId="35670" xr:uid="{A2AEF4CD-F206-4112-B08B-C77D195A2499}"/>
    <cellStyle name="Output 11 2 6" xfId="35671" xr:uid="{6444F8B4-E73D-490A-B59F-096BC0005526}"/>
    <cellStyle name="Output 11 3" xfId="19195" xr:uid="{133F84EB-AB25-4E66-AB95-CC52B61CCD72}"/>
    <cellStyle name="Output 11 3 2" xfId="22812" xr:uid="{FF15B289-0CBA-4622-AF25-BBDF94A45B1F}"/>
    <cellStyle name="Output 11 4" xfId="35672" xr:uid="{BD74F94E-8D25-4252-BC09-4996FE8B713E}"/>
    <cellStyle name="Output 11 5" xfId="35673" xr:uid="{2D51B04C-B28A-486D-A694-C3920FBA3F5A}"/>
    <cellStyle name="Output 11 6" xfId="35674" xr:uid="{7F9D23B3-E863-4B1A-A761-91DB8AAADBD8}"/>
    <cellStyle name="Output 11 7" xfId="35675" xr:uid="{3818C801-8AA2-4959-88A1-76C95BD937DE}"/>
    <cellStyle name="Output 11 8" xfId="35676" xr:uid="{615E04BB-C197-47FF-BA76-9E7E98621C27}"/>
    <cellStyle name="Output 12" xfId="3507" xr:uid="{C76F4FE3-79A2-45E2-A8EE-51ABB65BE937}"/>
    <cellStyle name="Output 12 2" xfId="11197" xr:uid="{BCFE8FE9-FF77-49A1-80E6-D56197AB8472}"/>
    <cellStyle name="Output 12 2 2" xfId="19198" xr:uid="{A1336FC3-F55B-42FD-ABF6-E25A09AC8BA3}"/>
    <cellStyle name="Output 12 2 2 2" xfId="22815" xr:uid="{395F1BBA-722E-4525-8B63-897D8A0328F0}"/>
    <cellStyle name="Output 12 2 3" xfId="35677" xr:uid="{E9E31E36-7261-4F6E-B56C-35BCD0526E36}"/>
    <cellStyle name="Output 12 2 4" xfId="35678" xr:uid="{41BC8B83-ABE7-4C1D-A72A-36F9524328F5}"/>
    <cellStyle name="Output 12 2 5" xfId="35679" xr:uid="{867E56CD-81D3-4784-BC7A-9483AB2AD2A3}"/>
    <cellStyle name="Output 12 2 6" xfId="35680" xr:uid="{BF95FD15-D9D3-47B0-A60B-0D6627BC77BB}"/>
    <cellStyle name="Output 12 3" xfId="19197" xr:uid="{6A6BD612-9D5C-4054-8C79-CA5C8108DBDC}"/>
    <cellStyle name="Output 12 3 2" xfId="22814" xr:uid="{08C9B5D4-9A70-4022-AA40-6D44529A2D5D}"/>
    <cellStyle name="Output 12 4" xfId="35681" xr:uid="{7FBD14D5-0EF1-4C31-B5AA-972AA30134A1}"/>
    <cellStyle name="Output 12 5" xfId="35682" xr:uid="{9CC5DAD1-49A2-41AF-8219-F18AC492E51C}"/>
    <cellStyle name="Output 12 6" xfId="35683" xr:uid="{B7576C01-6B32-4EF2-970F-AB6020E1B663}"/>
    <cellStyle name="Output 12 7" xfId="35684" xr:uid="{EC72B512-8F24-40FC-A43A-4951599395C3}"/>
    <cellStyle name="Output 12 8" xfId="35685" xr:uid="{3FF40083-25E7-431E-8F92-AC59C63FD647}"/>
    <cellStyle name="Output 13" xfId="3508" xr:uid="{D4A40074-50DB-4338-87BF-298A47BE64D3}"/>
    <cellStyle name="Output 13 2" xfId="8056" xr:uid="{2DB936C0-DFA8-44E1-B986-61D1E2380A81}"/>
    <cellStyle name="Output 13 2 2" xfId="19200" xr:uid="{9AEB1C77-DFD9-483A-AFED-62D1A442A3A9}"/>
    <cellStyle name="Output 13 2 2 2" xfId="22817" xr:uid="{7345B318-A08F-40A3-BD88-59CD7303224B}"/>
    <cellStyle name="Output 13 2 3" xfId="35686" xr:uid="{E881AA54-D051-4715-B316-85904E203D07}"/>
    <cellStyle name="Output 13 2 4" xfId="35687" xr:uid="{A2416E49-CB3A-4C14-B156-65D1DF49FB5F}"/>
    <cellStyle name="Output 13 2 5" xfId="35688" xr:uid="{DC3784B4-4F64-49CC-BAD2-C09185AD1378}"/>
    <cellStyle name="Output 13 2 6" xfId="35689" xr:uid="{F89E4F41-FB88-4424-937A-1F98E23E74FD}"/>
    <cellStyle name="Output 13 3" xfId="19199" xr:uid="{FCAAE037-F071-44CF-8CB0-39505200EB85}"/>
    <cellStyle name="Output 13 3 2" xfId="22816" xr:uid="{213BAEF7-6B25-4F47-A882-E33A9F55AC37}"/>
    <cellStyle name="Output 13 4" xfId="35690" xr:uid="{83481446-2C48-4309-AE18-E1D4EE8AD69E}"/>
    <cellStyle name="Output 13 5" xfId="35691" xr:uid="{BDA646EF-81E8-4DF6-8C5A-ED7BB04CC638}"/>
    <cellStyle name="Output 13 6" xfId="35692" xr:uid="{27AB5DBF-DB4B-4F74-8E25-0155E224E1B7}"/>
    <cellStyle name="Output 13 7" xfId="35693" xr:uid="{0B55BAAA-869F-436E-9AE5-CD0275766FAB}"/>
    <cellStyle name="Output 13 8" xfId="35694" xr:uid="{F859A659-1941-4E10-9949-27FCFCA838FC}"/>
    <cellStyle name="Output 14" xfId="3509" xr:uid="{1C60F2D8-EA70-4994-AE6F-7A372785F5E2}"/>
    <cellStyle name="Output 14 2" xfId="8055" xr:uid="{E1FB68EC-77A5-42C3-9689-E93FC2789802}"/>
    <cellStyle name="Output 14 2 2" xfId="19202" xr:uid="{F0959BED-CC47-4577-AE59-1E46EB3E1146}"/>
    <cellStyle name="Output 14 2 2 2" xfId="22819" xr:uid="{8EB95670-4639-40C6-BE87-A9C4F894FA6A}"/>
    <cellStyle name="Output 14 2 3" xfId="35695" xr:uid="{90ACFC77-5732-4BBA-ACAC-832891B50C4B}"/>
    <cellStyle name="Output 14 2 4" xfId="35696" xr:uid="{20D4250A-7C8E-42B7-B709-CB83DD157A6F}"/>
    <cellStyle name="Output 14 2 5" xfId="35697" xr:uid="{3B516E20-EDC3-4EDC-ACED-16268F66C292}"/>
    <cellStyle name="Output 14 2 6" xfId="35698" xr:uid="{2BF1A222-BF26-4F77-954C-E89D595B8A49}"/>
    <cellStyle name="Output 14 3" xfId="19201" xr:uid="{503A9904-31F3-45DC-BABD-BE0000409170}"/>
    <cellStyle name="Output 14 3 2" xfId="22818" xr:uid="{6CDCE01B-D73D-4F8A-AAD7-B35BFED930A3}"/>
    <cellStyle name="Output 14 4" xfId="35699" xr:uid="{621A92A7-DC13-4668-B8AC-AF9E62C96C31}"/>
    <cellStyle name="Output 14 5" xfId="35700" xr:uid="{78758E47-BDBA-446D-B61C-B0114E9F7E16}"/>
    <cellStyle name="Output 14 6" xfId="35701" xr:uid="{A355EC28-9204-4F29-9E9F-7E0DD8EDE9B6}"/>
    <cellStyle name="Output 14 7" xfId="35702" xr:uid="{2721A979-38DA-4A1F-8E6C-B471473BD8CD}"/>
    <cellStyle name="Output 14 8" xfId="35703" xr:uid="{609E9090-9BFB-4CE6-8677-4AC6EE846C03}"/>
    <cellStyle name="Output 15" xfId="3510" xr:uid="{4F7B625C-B6E7-46D2-993C-C14359BA73BF}"/>
    <cellStyle name="Output 15 2" xfId="16566" xr:uid="{94670A54-E04F-4640-B391-AD3723601893}"/>
    <cellStyle name="Output 15 2 2" xfId="19204" xr:uid="{AA958241-C9C1-4DCE-A075-5587CEB09CD4}"/>
    <cellStyle name="Output 15 2 2 2" xfId="22821" xr:uid="{16D5D98B-7401-4C91-9A46-0094B9A7537A}"/>
    <cellStyle name="Output 15 2 3" xfId="35704" xr:uid="{9D730FCA-9AB1-4313-9AA4-6EE767C6D0B9}"/>
    <cellStyle name="Output 15 2 4" xfId="35705" xr:uid="{6BFD85DB-4FC7-4359-A451-18118EC1346C}"/>
    <cellStyle name="Output 15 2 5" xfId="35706" xr:uid="{1B29EAB3-CD45-4F4C-A22D-E0696F84C25E}"/>
    <cellStyle name="Output 15 2 6" xfId="35707" xr:uid="{780C7538-24BE-4A90-B9F3-41387272C0C9}"/>
    <cellStyle name="Output 15 3" xfId="19203" xr:uid="{1CAF9C8E-3E73-4FF0-9A77-A90E246F81B3}"/>
    <cellStyle name="Output 15 3 2" xfId="22820" xr:uid="{EE370C2C-82B0-44AF-A569-4846DC197147}"/>
    <cellStyle name="Output 15 4" xfId="35708" xr:uid="{34B6F543-85BE-4A95-A41B-F2FA0ABB47C7}"/>
    <cellStyle name="Output 15 5" xfId="35709" xr:uid="{3D3EA3DA-D464-4744-BE83-837DBC4BED9F}"/>
    <cellStyle name="Output 15 6" xfId="35710" xr:uid="{55B1AF18-FA92-46D4-BA7C-7FA816FE1F8C}"/>
    <cellStyle name="Output 15 7" xfId="35711" xr:uid="{74450352-D4E1-495D-9404-2D281C7FD9D5}"/>
    <cellStyle name="Output 16" xfId="3511" xr:uid="{EA2A634E-20FF-4248-9D5D-068C6E91C900}"/>
    <cellStyle name="Output 16 2" xfId="16567" xr:uid="{C0EC3C1B-CE1E-4406-A0F9-BB318F13F30D}"/>
    <cellStyle name="Output 16 2 2" xfId="19206" xr:uid="{DF47CD66-46C4-4CF2-B474-F0038FEF0D59}"/>
    <cellStyle name="Output 16 2 2 2" xfId="22823" xr:uid="{D51EA606-D4B7-490D-A62C-8B2D6DF593B0}"/>
    <cellStyle name="Output 16 2 3" xfId="35712" xr:uid="{2DEF1CAC-3701-41B4-86E3-75B0AB44DFC4}"/>
    <cellStyle name="Output 16 2 4" xfId="35713" xr:uid="{9B74ED7D-561A-42ED-BB31-6DD3EDB06E8F}"/>
    <cellStyle name="Output 16 2 5" xfId="35714" xr:uid="{448EE5F5-E832-430E-B676-D8DB4883B541}"/>
    <cellStyle name="Output 16 2 6" xfId="35715" xr:uid="{50BBE44E-087F-491A-84BF-6182B35AE174}"/>
    <cellStyle name="Output 16 3" xfId="19205" xr:uid="{CF9B7BB8-6AEA-407C-ABDC-7D51A5BCE6D3}"/>
    <cellStyle name="Output 16 3 2" xfId="22822" xr:uid="{1AA86CA5-F075-49C3-9E4D-74274900039A}"/>
    <cellStyle name="Output 16 4" xfId="35716" xr:uid="{EC753AD7-21C4-4F67-9F46-BAA333C2C412}"/>
    <cellStyle name="Output 16 5" xfId="35717" xr:uid="{5C9CE93C-D255-42DD-A960-C8994C9A8484}"/>
    <cellStyle name="Output 16 6" xfId="35718" xr:uid="{FA250F68-EEF7-46C3-AFB6-E4AF0AEFD6DB}"/>
    <cellStyle name="Output 16 7" xfId="35719" xr:uid="{322F8951-7E10-4B73-BCDB-607CCCD0B4ED}"/>
    <cellStyle name="Output 17" xfId="3512" xr:uid="{9335FB65-44A0-4287-A769-85C7B0B9AEC9}"/>
    <cellStyle name="Output 17 2" xfId="16568" xr:uid="{F2C43F7D-056B-4C35-B267-B613747F1CF7}"/>
    <cellStyle name="Output 17 2 2" xfId="19208" xr:uid="{826B05F7-8C2F-4A51-8A7D-CBBB97CD1826}"/>
    <cellStyle name="Output 17 2 2 2" xfId="22825" xr:uid="{6D8D514E-13B3-4018-B9F4-DE97940A616B}"/>
    <cellStyle name="Output 17 2 3" xfId="35720" xr:uid="{643A35FC-BE5E-41CD-8586-4F2DEE354847}"/>
    <cellStyle name="Output 17 2 4" xfId="35721" xr:uid="{9C088180-2E65-496B-A417-71DB40B6F766}"/>
    <cellStyle name="Output 17 2 5" xfId="35722" xr:uid="{4CBA4AAE-023C-4662-92ED-299B37BAF2A1}"/>
    <cellStyle name="Output 17 2 6" xfId="35723" xr:uid="{B2BFF633-F1F8-450D-BF0B-66F5D7021FF3}"/>
    <cellStyle name="Output 17 3" xfId="19207" xr:uid="{AC45D87A-1AD3-4A60-98AA-9DCFF61A3773}"/>
    <cellStyle name="Output 17 3 2" xfId="22824" xr:uid="{D69B8D42-9E11-4427-83EE-700CD10EA50E}"/>
    <cellStyle name="Output 17 4" xfId="35724" xr:uid="{A2FF2D20-E8CA-469E-98B8-23502A1DBCBF}"/>
    <cellStyle name="Output 17 5" xfId="35725" xr:uid="{2374F4B7-EDB1-45E4-8C66-542DCC3BC5D7}"/>
    <cellStyle name="Output 17 6" xfId="35726" xr:uid="{E5696035-7ACD-40BB-B9E6-27B28383B8BA}"/>
    <cellStyle name="Output 17 7" xfId="35727" xr:uid="{38E7FEEB-5E28-4519-9B61-3748745A698E}"/>
    <cellStyle name="Output 18" xfId="3513" xr:uid="{7D456227-EAB8-467A-A80C-4A8389A01C7D}"/>
    <cellStyle name="Output 18 2" xfId="16569" xr:uid="{52A91067-01C3-4D32-AFC0-9ED61A7E1DF4}"/>
    <cellStyle name="Output 18 2 2" xfId="19210" xr:uid="{6042CF53-6347-4686-A992-6B34FAD559DE}"/>
    <cellStyle name="Output 18 2 2 2" xfId="22827" xr:uid="{AD473D7E-5BA0-4E10-803C-726B881D7A97}"/>
    <cellStyle name="Output 18 2 3" xfId="35728" xr:uid="{365F8A06-142F-45AC-A1A2-D9442DEC5614}"/>
    <cellStyle name="Output 18 2 4" xfId="35729" xr:uid="{E1335C0E-857A-4ACD-B165-43FE227712E8}"/>
    <cellStyle name="Output 18 2 5" xfId="35730" xr:uid="{7C02139A-2434-48CF-A884-213F7A9B5322}"/>
    <cellStyle name="Output 18 2 6" xfId="35731" xr:uid="{52D00192-0385-4473-8F13-97EC3EB31ED4}"/>
    <cellStyle name="Output 18 3" xfId="19209" xr:uid="{E23241DE-4A77-4D25-A5D6-7FFC4742C9F3}"/>
    <cellStyle name="Output 18 3 2" xfId="22826" xr:uid="{0A0EFD82-6A0A-4473-992E-58778461782A}"/>
    <cellStyle name="Output 18 4" xfId="35732" xr:uid="{41989B7B-EA66-46CE-AE0A-D3433854102F}"/>
    <cellStyle name="Output 18 5" xfId="35733" xr:uid="{20673706-AC3D-422D-88D3-174639A5AB1C}"/>
    <cellStyle name="Output 18 6" xfId="35734" xr:uid="{61A1F315-DC61-4BAC-B487-FBD5E0E671D8}"/>
    <cellStyle name="Output 18 7" xfId="35735" xr:uid="{A5D0B580-C1CA-43DA-AF7D-B9D4A0313725}"/>
    <cellStyle name="Output 19" xfId="3514" xr:uid="{014C0E2B-FF84-4086-95E3-9A10437A56EE}"/>
    <cellStyle name="Output 19 2" xfId="16570" xr:uid="{857DF39C-AC8B-4793-9E4D-A7D52A79D3C2}"/>
    <cellStyle name="Output 19 2 2" xfId="19212" xr:uid="{E82FAD13-13E5-4BA0-A100-5F70DD4867AA}"/>
    <cellStyle name="Output 19 2 2 2" xfId="22829" xr:uid="{7651DDBE-F159-472D-8FA9-AFF33D9FB188}"/>
    <cellStyle name="Output 19 2 3" xfId="35736" xr:uid="{27E13F51-CE2D-4BA6-8E86-B679458D1A7A}"/>
    <cellStyle name="Output 19 2 4" xfId="35737" xr:uid="{5C22C8BF-2115-4B6B-A51D-083D3DCE678C}"/>
    <cellStyle name="Output 19 2 5" xfId="35738" xr:uid="{445667F6-7C9C-4C0C-9FAD-8DA9ED71B7E9}"/>
    <cellStyle name="Output 19 2 6" xfId="35739" xr:uid="{5B993D61-6B0C-49BF-8384-59414BB88DDF}"/>
    <cellStyle name="Output 19 3" xfId="19211" xr:uid="{EA2CEA7C-4025-47DD-8389-26F662FF83BD}"/>
    <cellStyle name="Output 19 3 2" xfId="22828" xr:uid="{190DE55F-B6E0-4230-A2CD-182F5FAD5122}"/>
    <cellStyle name="Output 19 4" xfId="35740" xr:uid="{CB21BC70-33C8-4A15-86F6-C8B21AF4AB41}"/>
    <cellStyle name="Output 19 5" xfId="35741" xr:uid="{9ADF70A5-DE5B-4F61-8EA4-FD801E5CD9DC}"/>
    <cellStyle name="Output 19 6" xfId="35742" xr:uid="{44898F04-9020-48DB-8E9B-95AEFEAEC173}"/>
    <cellStyle name="Output 19 7" xfId="35743" xr:uid="{D06BBEFC-C838-4A3C-94CE-76265C5BA10A}"/>
    <cellStyle name="Output 2" xfId="3515" xr:uid="{AFC8E5AF-697C-4E80-99FF-3A51A408EC8D}"/>
    <cellStyle name="Output 2 10" xfId="8054" xr:uid="{D3483711-60BC-49B9-81C3-CF66DC3BB78A}"/>
    <cellStyle name="Output 2 10 2" xfId="22830" xr:uid="{AD5E9845-8D4D-4CC9-8583-C40982656D74}"/>
    <cellStyle name="Output 2 10 3" xfId="19213" xr:uid="{102F2480-711E-4EA5-8224-FE97995B3376}"/>
    <cellStyle name="Output 2 11" xfId="35744" xr:uid="{6734EB8A-472F-4742-AB2B-51DCD810EAC7}"/>
    <cellStyle name="Output 2 12" xfId="35745" xr:uid="{70C761B3-08EC-42C1-8BE7-E81964C37A09}"/>
    <cellStyle name="Output 2 13" xfId="35746" xr:uid="{A6A3D69A-C2FD-44EA-8C40-8D89EFC25626}"/>
    <cellStyle name="Output 2 14" xfId="35747" xr:uid="{D7FFD19F-FFDB-4F0E-B6FB-E000A1088DCB}"/>
    <cellStyle name="Output 2 15" xfId="35748" xr:uid="{3B7ABBDA-BCDF-40A6-87F7-F755295B7E45}"/>
    <cellStyle name="Output 2 16" xfId="35749" xr:uid="{81089366-9CDA-467C-AEB0-5DC33B7F88A8}"/>
    <cellStyle name="Output 2 2" xfId="3516" xr:uid="{66980207-18C0-4ADC-8C24-35C9870CA4DC}"/>
    <cellStyle name="Output 2 2 2" xfId="19214" xr:uid="{3B2D1208-7598-48E2-881C-014ABC1FEF26}"/>
    <cellStyle name="Output 2 2 2 2" xfId="22831" xr:uid="{966FF8EF-31AA-41C6-8B7D-0E413C88CE9A}"/>
    <cellStyle name="Output 2 2 3" xfId="35750" xr:uid="{C7EB855A-AC11-42C9-A5A3-DCD51AA1A109}"/>
    <cellStyle name="Output 2 2 4" xfId="35751" xr:uid="{A74181E8-C97A-4762-9538-53B1812AE1DB}"/>
    <cellStyle name="Output 2 2 5" xfId="35752" xr:uid="{713D1979-5CEA-4612-B928-456664AFC6E0}"/>
    <cellStyle name="Output 2 2 6" xfId="35753" xr:uid="{38557142-300E-4976-9E7B-95A8FEB52392}"/>
    <cellStyle name="Output 2 2 7" xfId="35754" xr:uid="{001D5AC9-65B1-4E89-9810-9F5E26CB4D25}"/>
    <cellStyle name="Output 2 3" xfId="3517" xr:uid="{42393CA1-FCD8-4648-884D-C85359985C72}"/>
    <cellStyle name="Output 2 3 2" xfId="19215" xr:uid="{F5DF93FA-54F2-4E10-A2B3-6306B6E62C07}"/>
    <cellStyle name="Output 2 3 2 2" xfId="22832" xr:uid="{5801C71F-AF19-43F0-96A6-0ED44D0AD290}"/>
    <cellStyle name="Output 2 3 3" xfId="35755" xr:uid="{AECACFAF-5205-4979-BB0A-45D9FFC8F1DD}"/>
    <cellStyle name="Output 2 3 4" xfId="35756" xr:uid="{75F4AF7C-9099-4DCB-A66D-349510D20ABB}"/>
    <cellStyle name="Output 2 3 5" xfId="35757" xr:uid="{CD44D89D-6744-4651-AD7C-5CD24BA95844}"/>
    <cellStyle name="Output 2 3 6" xfId="35758" xr:uid="{25DC48FE-7714-4E47-89C0-1B3422CEAB7F}"/>
    <cellStyle name="Output 2 3 7" xfId="35759" xr:uid="{5687F84D-E51A-4D75-A45C-257BAF5BCE75}"/>
    <cellStyle name="Output 2 4" xfId="3518" xr:uid="{D82A6D01-4433-4C58-954C-8FB43BE43821}"/>
    <cellStyle name="Output 2 4 2" xfId="19216" xr:uid="{7038A245-4589-4C6B-94F7-1D9F676BD5E8}"/>
    <cellStyle name="Output 2 4 2 2" xfId="22833" xr:uid="{F0A91F4E-935F-4BBB-9D11-3EDA3FF8E18E}"/>
    <cellStyle name="Output 2 4 3" xfId="35760" xr:uid="{35BD29FF-EE7E-49B0-9EB9-747B818CA905}"/>
    <cellStyle name="Output 2 4 4" xfId="35761" xr:uid="{2ECE654B-9373-491E-90C8-28E3530FC239}"/>
    <cellStyle name="Output 2 4 5" xfId="35762" xr:uid="{76FF11F6-634F-4212-826E-CF4D930DA8AE}"/>
    <cellStyle name="Output 2 4 6" xfId="35763" xr:uid="{0D10DB22-BFFD-486C-B921-2184B95A069D}"/>
    <cellStyle name="Output 2 4 7" xfId="35764" xr:uid="{C1630B96-4F18-4F1E-83E6-782C98923470}"/>
    <cellStyle name="Output 2 5" xfId="3519" xr:uid="{78EBEAEA-36FE-472E-8E7B-DD7054138DB5}"/>
    <cellStyle name="Output 2 5 2" xfId="19217" xr:uid="{1533F793-C03F-453B-8A53-C36956681ABB}"/>
    <cellStyle name="Output 2 5 2 2" xfId="22834" xr:uid="{48A5C993-A101-4AE7-AEA6-E88F1E8630D1}"/>
    <cellStyle name="Output 2 5 3" xfId="35765" xr:uid="{AAFE80A7-ADE9-4FF5-8BDD-F9F69457ED96}"/>
    <cellStyle name="Output 2 5 4" xfId="35766" xr:uid="{71F15F38-E56C-4CC5-98DF-668797EB05C5}"/>
    <cellStyle name="Output 2 5 5" xfId="35767" xr:uid="{794137EF-F9ED-4F45-8131-439EF6667A2C}"/>
    <cellStyle name="Output 2 5 6" xfId="35768" xr:uid="{34EE35A8-D140-41FC-98CC-BF61207E0357}"/>
    <cellStyle name="Output 2 5 7" xfId="35769" xr:uid="{219AE9AD-7161-47F2-B229-729656F0F016}"/>
    <cellStyle name="Output 2 6" xfId="3520" xr:uid="{FBEC7693-8CA8-491D-A49A-1C88D1015DCC}"/>
    <cellStyle name="Output 2 6 2" xfId="19218" xr:uid="{70BEAFBC-ADCF-492C-8391-3EB427AF77C4}"/>
    <cellStyle name="Output 2 6 2 2" xfId="22835" xr:uid="{F2A354FE-7843-4D35-ABD3-148D770A99C3}"/>
    <cellStyle name="Output 2 6 3" xfId="35770" xr:uid="{FA97655E-49D4-4CB9-8989-D61881199DC4}"/>
    <cellStyle name="Output 2 6 4" xfId="35771" xr:uid="{CA189ADD-3617-4F44-B827-F6538902E10C}"/>
    <cellStyle name="Output 2 6 5" xfId="35772" xr:uid="{F0AE0501-FF01-4AB9-8402-889C6ADF2E76}"/>
    <cellStyle name="Output 2 6 6" xfId="35773" xr:uid="{5A4C71C0-83AA-4689-8B51-71A45F8EF1A2}"/>
    <cellStyle name="Output 2 6 7" xfId="35774" xr:uid="{96935AAE-C6E0-4C4D-A245-E07E8D3B2B61}"/>
    <cellStyle name="Output 2 7" xfId="3521" xr:uid="{7529DA7D-89FA-48BA-B7AA-40D906D1F765}"/>
    <cellStyle name="Output 2 7 2" xfId="19219" xr:uid="{5B759781-9741-4843-9B07-52474AD56AFF}"/>
    <cellStyle name="Output 2 7 2 2" xfId="22836" xr:uid="{E51B2AC5-6EAF-4059-A04C-FDB4C0D96CDC}"/>
    <cellStyle name="Output 2 7 3" xfId="35775" xr:uid="{EE9AADB3-9599-413A-8F3C-52008FCA73F6}"/>
    <cellStyle name="Output 2 7 4" xfId="35776" xr:uid="{AD576966-CBB7-434F-9294-676F70AA5005}"/>
    <cellStyle name="Output 2 7 5" xfId="35777" xr:uid="{CFDE2AE7-A955-401A-818A-377B058B9768}"/>
    <cellStyle name="Output 2 7 6" xfId="35778" xr:uid="{5A89F960-D2A2-4D14-868E-E807357FAC55}"/>
    <cellStyle name="Output 2 7 7" xfId="35779" xr:uid="{7D210AEC-CDA2-44FB-B316-780EE6221BA7}"/>
    <cellStyle name="Output 2 8" xfId="3522" xr:uid="{0F086CB5-92E3-48CD-B72A-783740AF8E10}"/>
    <cellStyle name="Output 2 8 2" xfId="19220" xr:uid="{7E8D001A-ADB8-4314-B04D-96089F53EC08}"/>
    <cellStyle name="Output 2 8 2 2" xfId="22837" xr:uid="{3139EDE1-6722-47DA-A2C0-A408D8F9206F}"/>
    <cellStyle name="Output 2 8 3" xfId="35780" xr:uid="{4373EF0A-CFEE-4270-B43A-24EEF952FC46}"/>
    <cellStyle name="Output 2 8 4" xfId="35781" xr:uid="{A1344C0F-1A0B-4CDE-A827-CE3BA2538ABE}"/>
    <cellStyle name="Output 2 8 5" xfId="35782" xr:uid="{76CA4379-9380-44BF-83A6-F71A8D47274D}"/>
    <cellStyle name="Output 2 8 6" xfId="35783" xr:uid="{5E34C835-3B8D-45FB-8F92-77726937B693}"/>
    <cellStyle name="Output 2 8 7" xfId="35784" xr:uid="{D48AD5A0-C30B-494B-9393-DBF2D13651FF}"/>
    <cellStyle name="Output 2 9" xfId="3523" xr:uid="{7290DA6F-9A43-47BD-84CF-069DB51E573E}"/>
    <cellStyle name="Output 2 9 2" xfId="19221" xr:uid="{89AAFC7E-2F60-4E05-8BDC-76E5B5D49DD8}"/>
    <cellStyle name="Output 2 9 2 2" xfId="22838" xr:uid="{C3C7A864-3FB6-4B40-9294-C6F76FCEDEA3}"/>
    <cellStyle name="Output 2 9 3" xfId="35785" xr:uid="{5A4F555C-E6FE-47C0-AC4C-BC747DACB4C7}"/>
    <cellStyle name="Output 2 9 4" xfId="35786" xr:uid="{70981A3F-9D15-40C7-A99D-50E54F624D69}"/>
    <cellStyle name="Output 2 9 5" xfId="35787" xr:uid="{84B65815-E796-4E47-BCE3-670E3F07FC1E}"/>
    <cellStyle name="Output 2 9 6" xfId="35788" xr:uid="{66E75FFE-F2FA-4145-9F57-A94B2904BFF1}"/>
    <cellStyle name="Output 2 9 7" xfId="35789" xr:uid="{CC8B1AA7-3BAF-4A56-8900-D9A212A4763A}"/>
    <cellStyle name="Output 2_ELC" xfId="15260" xr:uid="{BD0B1A96-67C1-40F4-AF42-5A89AEFB5B89}"/>
    <cellStyle name="Output 20" xfId="3524" xr:uid="{5AF3E127-27A2-434C-B3A0-96E238BA9A01}"/>
    <cellStyle name="Output 20 2" xfId="16571" xr:uid="{38EB014F-F2CB-4126-81AD-D041F185ACB8}"/>
    <cellStyle name="Output 20 2 2" xfId="19223" xr:uid="{623A84DA-2370-43F5-AE4B-2B431E1A0F32}"/>
    <cellStyle name="Output 20 2 2 2" xfId="22840" xr:uid="{CDF21FC4-15B3-4E25-B479-E249637DADE9}"/>
    <cellStyle name="Output 20 2 3" xfId="35790" xr:uid="{990DF1E9-5C89-4C42-A147-3833A0FE2535}"/>
    <cellStyle name="Output 20 2 4" xfId="35791" xr:uid="{B25DBF5C-7DAB-4673-B7D7-3DAE319DA8D8}"/>
    <cellStyle name="Output 20 2 5" xfId="35792" xr:uid="{A89BFF4C-C7EB-4F78-BD0E-C3906A8A28B4}"/>
    <cellStyle name="Output 20 2 6" xfId="35793" xr:uid="{16E5CE8A-CD11-4BF4-94FC-83ACCBE6506C}"/>
    <cellStyle name="Output 20 3" xfId="19222" xr:uid="{56D9A2DC-2BF9-4749-BCF3-7F3577F90E18}"/>
    <cellStyle name="Output 20 3 2" xfId="22839" xr:uid="{D68E03CE-D3ED-464F-B397-8E37434966AA}"/>
    <cellStyle name="Output 20 4" xfId="35794" xr:uid="{1F67F919-E9CC-477A-B8E8-A069F2C628CC}"/>
    <cellStyle name="Output 20 5" xfId="35795" xr:uid="{1AAC5A6F-F3BA-4AA3-B889-00C89B75153E}"/>
    <cellStyle name="Output 20 6" xfId="35796" xr:uid="{9F1E3593-5A41-443D-9F20-BBA2F07EDBD7}"/>
    <cellStyle name="Output 20 7" xfId="35797" xr:uid="{D99544E0-532B-4270-B37C-1C82D05D5DD1}"/>
    <cellStyle name="Output 21" xfId="16572" xr:uid="{4EF6A5CE-54AA-45E1-BFED-EF91EEC95785}"/>
    <cellStyle name="Output 21 2" xfId="19224" xr:uid="{7F5B5E74-B4C0-46BA-9E6B-E5523EF3BD97}"/>
    <cellStyle name="Output 21 2 2" xfId="22841" xr:uid="{B3C6FD21-5C9C-4AAE-9EFC-D26BB06706BC}"/>
    <cellStyle name="Output 21 3" xfId="35798" xr:uid="{CBC211EF-DAE1-4CEC-8688-D1A06967E3A5}"/>
    <cellStyle name="Output 21 4" xfId="35799" xr:uid="{C8B8EF95-062A-4F83-997D-4EBDBB80976B}"/>
    <cellStyle name="Output 21 5" xfId="35800" xr:uid="{A2EF9C87-E897-4A70-BA53-D0B666AD65F3}"/>
    <cellStyle name="Output 21 6" xfId="35801" xr:uid="{F3AA309A-6E52-4A44-AA4E-E2518FED20F6}"/>
    <cellStyle name="Output 22" xfId="15259" xr:uid="{63576E43-D2BD-4ABE-BC28-2C7FBA03CAD0}"/>
    <cellStyle name="Output 22 2" xfId="35803" xr:uid="{3545007D-15D0-40F6-9150-A39804606B81}"/>
    <cellStyle name="Output 22 3" xfId="35802" xr:uid="{25F4CF2A-7038-4C38-8C96-984CC538E5B1}"/>
    <cellStyle name="Output 23" xfId="35804" xr:uid="{1C3EB907-635A-4180-85B3-DE8CED0C13B9}"/>
    <cellStyle name="Output 24" xfId="35805" xr:uid="{A8DAE97B-CA8E-4930-AFDD-AF13CF812A76}"/>
    <cellStyle name="Output 25" xfId="35806" xr:uid="{30C1C8B5-BA8C-4591-998E-816BA3928878}"/>
    <cellStyle name="Output 3" xfId="3525" xr:uid="{D01F7A00-988C-44D6-AA4C-FD001F7236AC}"/>
    <cellStyle name="Output 3 10" xfId="3526" xr:uid="{C2086F31-24F7-4C76-9DBA-ECD38CE4E18C}"/>
    <cellStyle name="Output 3 10 2" xfId="19226" xr:uid="{B41D5CA9-4210-4C9C-AD9F-3849726E7882}"/>
    <cellStyle name="Output 3 10 2 2" xfId="22843" xr:uid="{3E96E2A4-EC9B-4497-9741-B258AF55F05E}"/>
    <cellStyle name="Output 3 10 3" xfId="35807" xr:uid="{BE47791D-C57C-42DF-A251-48B5CBD8F665}"/>
    <cellStyle name="Output 3 10 4" xfId="35808" xr:uid="{CB01632F-259B-48EB-B72A-8BAC8CB54B5A}"/>
    <cellStyle name="Output 3 10 5" xfId="35809" xr:uid="{5F1B6544-74B5-48B2-8649-8E569E9B4155}"/>
    <cellStyle name="Output 3 10 6" xfId="35810" xr:uid="{4457FE6A-F3B5-4F24-AC40-1FE4493BC72D}"/>
    <cellStyle name="Output 3 11" xfId="3527" xr:uid="{43FF54A9-0CF5-4299-8E8C-5A6600F2AB0C}"/>
    <cellStyle name="Output 3 11 2" xfId="19227" xr:uid="{4459EA6B-50BF-4BF0-9709-EAF47ABF466A}"/>
    <cellStyle name="Output 3 11 2 2" xfId="22844" xr:uid="{7692E8F5-831A-4D08-AA83-6E447D315AB1}"/>
    <cellStyle name="Output 3 11 3" xfId="35811" xr:uid="{9D2B4FC6-5E18-442A-A350-979340AE2FE5}"/>
    <cellStyle name="Output 3 11 4" xfId="35812" xr:uid="{3F641B5B-E050-4AC9-9FCE-DCB87C75C9CB}"/>
    <cellStyle name="Output 3 11 5" xfId="35813" xr:uid="{92688233-90FC-435B-8D02-290A9BDBFD51}"/>
    <cellStyle name="Output 3 11 6" xfId="35814" xr:uid="{E5CB63AB-D0AE-437D-869C-7C6935561D87}"/>
    <cellStyle name="Output 3 12" xfId="3528" xr:uid="{6A615589-60B8-4F52-9DF2-500B70050F0B}"/>
    <cellStyle name="Output 3 12 2" xfId="19228" xr:uid="{527FBC20-B0DE-495A-92BA-AD9667A019FD}"/>
    <cellStyle name="Output 3 12 2 2" xfId="22845" xr:uid="{47221CF8-52B6-4E55-AD90-E7155BDFEF4C}"/>
    <cellStyle name="Output 3 12 3" xfId="35815" xr:uid="{974C3936-CA86-403E-91D5-FB0BB26E6644}"/>
    <cellStyle name="Output 3 12 4" xfId="35816" xr:uid="{09537284-4D03-429A-818F-AC3506FF282E}"/>
    <cellStyle name="Output 3 12 5" xfId="35817" xr:uid="{1D41C568-2950-4A94-9244-51FC1F8701DB}"/>
    <cellStyle name="Output 3 12 6" xfId="35818" xr:uid="{88B388A0-24C4-4656-9797-CA14036634DB}"/>
    <cellStyle name="Output 3 13" xfId="3529" xr:uid="{B9C6538C-4B1A-4D27-A817-97C3A86DE86C}"/>
    <cellStyle name="Output 3 13 2" xfId="19229" xr:uid="{1D0CD5CE-37AB-42CF-9277-96E9BDA8FFC3}"/>
    <cellStyle name="Output 3 13 2 2" xfId="22846" xr:uid="{32C73359-F0DC-484B-9A0A-04573C76FD12}"/>
    <cellStyle name="Output 3 13 3" xfId="35819" xr:uid="{A4473225-EE8F-4739-98CE-1D568011962B}"/>
    <cellStyle name="Output 3 13 4" xfId="35820" xr:uid="{F20B00E1-DF56-40BC-9788-E751ADCDCA75}"/>
    <cellStyle name="Output 3 13 5" xfId="35821" xr:uid="{70A93236-CD50-4F06-8654-6F641C373EE6}"/>
    <cellStyle name="Output 3 13 6" xfId="35822" xr:uid="{57313262-8C83-4012-A2FC-FB087045A120}"/>
    <cellStyle name="Output 3 14" xfId="3530" xr:uid="{840E9A5A-33D3-433A-8440-626F08FB965B}"/>
    <cellStyle name="Output 3 14 2" xfId="19230" xr:uid="{8C038CA0-BC29-4C00-AB97-61385034DD1E}"/>
    <cellStyle name="Output 3 14 2 2" xfId="22847" xr:uid="{B66FD909-B3E6-41E4-84DB-B06C43C3C9C1}"/>
    <cellStyle name="Output 3 14 3" xfId="35823" xr:uid="{325EED84-7DE8-4CAB-A5DF-97C2EB2E39DB}"/>
    <cellStyle name="Output 3 14 4" xfId="35824" xr:uid="{40A15924-FA72-43FD-9261-32F104721BCE}"/>
    <cellStyle name="Output 3 14 5" xfId="35825" xr:uid="{9349D85C-954C-4FDA-B396-E5DB3B58B600}"/>
    <cellStyle name="Output 3 14 6" xfId="35826" xr:uid="{234DE518-1359-45E9-8502-5A62C0EE48D0}"/>
    <cellStyle name="Output 3 15" xfId="16573" xr:uid="{6599C412-EA6E-4AC5-8CAE-156A36756C3F}"/>
    <cellStyle name="Output 3 15 2" xfId="19231" xr:uid="{6D49DB47-9885-4AAF-80EC-B29F0E0A9C54}"/>
    <cellStyle name="Output 3 15 2 2" xfId="22848" xr:uid="{A21F7FD5-E430-42B7-933D-DF6B8EF80415}"/>
    <cellStyle name="Output 3 15 3" xfId="35827" xr:uid="{811D4BC6-5652-416F-A1E8-F9595ADF4099}"/>
    <cellStyle name="Output 3 15 4" xfId="35828" xr:uid="{5AC0E7D4-DD1A-4765-AE78-37C3185C857E}"/>
    <cellStyle name="Output 3 15 5" xfId="35829" xr:uid="{69BDB64B-09AD-4E26-84BF-D7576AAB9EF3}"/>
    <cellStyle name="Output 3 15 6" xfId="35830" xr:uid="{154948E2-8A6E-40CB-B47F-763830E4DECE}"/>
    <cellStyle name="Output 3 16" xfId="19225" xr:uid="{C38AD9B7-97E5-4416-BF2E-ED232C26E494}"/>
    <cellStyle name="Output 3 16 2" xfId="22842" xr:uid="{8B4F9088-8DAB-4728-B7E0-DA108DB451B5}"/>
    <cellStyle name="Output 3 17" xfId="35831" xr:uid="{9763C299-5C84-44BA-A9BA-B81ED98B259A}"/>
    <cellStyle name="Output 3 18" xfId="35832" xr:uid="{CB134145-62DF-4A45-ACCC-C452F7239046}"/>
    <cellStyle name="Output 3 19" xfId="35833" xr:uid="{1D028087-A8EC-4777-91C4-429C996786C8}"/>
    <cellStyle name="Output 3 2" xfId="3531" xr:uid="{8CDA901B-2999-4572-AEF6-3379673E3EEC}"/>
    <cellStyle name="Output 3 2 2" xfId="19232" xr:uid="{18AF156F-558A-459F-B06A-342D0F8F6C43}"/>
    <cellStyle name="Output 3 2 2 2" xfId="22849" xr:uid="{B41AFA90-43AE-4AA4-A8ED-72FDB09A6697}"/>
    <cellStyle name="Output 3 2 3" xfId="35834" xr:uid="{FD142622-75D4-4C42-B12D-E999833DA22C}"/>
    <cellStyle name="Output 3 2 4" xfId="35835" xr:uid="{816682F7-1E53-47E5-97CE-24923131D049}"/>
    <cellStyle name="Output 3 2 5" xfId="35836" xr:uid="{5198BFCC-E2CB-4F1B-8DC3-A34C989CB5E1}"/>
    <cellStyle name="Output 3 2 6" xfId="35837" xr:uid="{EFF48452-BDF6-43D6-8A99-73AB06ABF323}"/>
    <cellStyle name="Output 3 2 7" xfId="35838" xr:uid="{E602E111-BDAF-418C-B703-DF42EB1A01CF}"/>
    <cellStyle name="Output 3 20" xfId="35839" xr:uid="{B1F637BF-9175-4778-BFEF-27FB0AECDB29}"/>
    <cellStyle name="Output 3 21" xfId="35840" xr:uid="{6731E5A2-237E-4922-9B93-672E590334D8}"/>
    <cellStyle name="Output 3 3" xfId="3532" xr:uid="{910E8FA1-17BB-4C3E-A52B-EE958FFC3DFB}"/>
    <cellStyle name="Output 3 3 2" xfId="19233" xr:uid="{336A8F6E-8012-43B8-B327-13DCFA26B125}"/>
    <cellStyle name="Output 3 3 2 2" xfId="22850" xr:uid="{493B59D8-769F-4EEA-80E8-9ADC0E807DC5}"/>
    <cellStyle name="Output 3 3 3" xfId="35841" xr:uid="{B8DD1C1F-D2C3-4A9B-901B-EE468AA669DC}"/>
    <cellStyle name="Output 3 3 4" xfId="35842" xr:uid="{D7FA5522-55BD-4E0D-AE0C-1C4E9472D365}"/>
    <cellStyle name="Output 3 3 5" xfId="35843" xr:uid="{00AA2887-7F25-4078-8F1B-4739FC55C3C2}"/>
    <cellStyle name="Output 3 3 6" xfId="35844" xr:uid="{6D30ABE3-C9AD-4B49-B9B4-CE30FF9719D8}"/>
    <cellStyle name="Output 3 4" xfId="3533" xr:uid="{EBFA9FFE-694A-4776-AE37-9D1E2D192994}"/>
    <cellStyle name="Output 3 4 2" xfId="19234" xr:uid="{8A57CDF0-E943-495B-9654-3D5F487D4B25}"/>
    <cellStyle name="Output 3 4 2 2" xfId="22851" xr:uid="{CD5EA4C2-7636-44DC-B050-4DB267163381}"/>
    <cellStyle name="Output 3 4 3" xfId="35845" xr:uid="{79EB2D03-2B9E-48B5-BA51-815CC0887B78}"/>
    <cellStyle name="Output 3 4 4" xfId="35846" xr:uid="{26C6CCE5-11C8-4455-9857-554F3DAAF137}"/>
    <cellStyle name="Output 3 4 5" xfId="35847" xr:uid="{0DF0FCAD-E048-4B80-BE70-FD3BF97BB399}"/>
    <cellStyle name="Output 3 4 6" xfId="35848" xr:uid="{47DC3F4C-4A0F-4DB0-ABC4-04083707AAEC}"/>
    <cellStyle name="Output 3 5" xfId="3534" xr:uid="{38A922E1-E91B-4FD1-8CA2-B8BBC31F7E00}"/>
    <cellStyle name="Output 3 5 2" xfId="19235" xr:uid="{20CC4313-68E2-4155-84A8-9D99E10E219C}"/>
    <cellStyle name="Output 3 5 2 2" xfId="22852" xr:uid="{F532E44E-C5A3-44DD-954F-422E580DA722}"/>
    <cellStyle name="Output 3 5 3" xfId="35849" xr:uid="{1A24DB46-AFB3-452D-A258-33123443D708}"/>
    <cellStyle name="Output 3 5 4" xfId="35850" xr:uid="{EC20AB89-9A3D-4A85-9E05-8E84BA22FBB5}"/>
    <cellStyle name="Output 3 5 5" xfId="35851" xr:uid="{E27A0E4B-7044-473D-985D-0E617ED7C248}"/>
    <cellStyle name="Output 3 5 6" xfId="35852" xr:uid="{11F8F2F6-00DC-455A-8703-1F69D6DE9684}"/>
    <cellStyle name="Output 3 6" xfId="3535" xr:uid="{1758688A-350A-4209-BEF7-64C2CE2B9914}"/>
    <cellStyle name="Output 3 6 2" xfId="19236" xr:uid="{E6B20447-7EA3-48FF-8FA4-8CB0227E0FAE}"/>
    <cellStyle name="Output 3 6 2 2" xfId="22853" xr:uid="{AB3718EA-A3C0-426E-9762-7A8DA9CC2F9F}"/>
    <cellStyle name="Output 3 6 3" xfId="35853" xr:uid="{4C1CE8FD-9C05-4622-8342-62C364342E4D}"/>
    <cellStyle name="Output 3 6 4" xfId="35854" xr:uid="{48C03280-DB0B-4E02-B545-F844F9B4E595}"/>
    <cellStyle name="Output 3 6 5" xfId="35855" xr:uid="{AF457B31-A33D-48B0-8355-C7B06321BAF5}"/>
    <cellStyle name="Output 3 6 6" xfId="35856" xr:uid="{56771D12-FA59-42B6-9BA8-7C81C2F47C21}"/>
    <cellStyle name="Output 3 7" xfId="3536" xr:uid="{67521F22-9EE3-4D2F-84E3-4B11E24081E9}"/>
    <cellStyle name="Output 3 7 2" xfId="19237" xr:uid="{3A166BE1-1DF0-41BE-8AE0-A7B4D2E05715}"/>
    <cellStyle name="Output 3 7 2 2" xfId="22854" xr:uid="{04EBBF52-1C30-409D-89ED-347A769AB01D}"/>
    <cellStyle name="Output 3 7 3" xfId="35857" xr:uid="{0F65DF3C-80FF-4E3A-B043-BF2799554674}"/>
    <cellStyle name="Output 3 7 4" xfId="35858" xr:uid="{AC99A8D5-96C9-4579-A6A4-1E8385B8A2DC}"/>
    <cellStyle name="Output 3 7 5" xfId="35859" xr:uid="{5BD2F049-C8D0-455E-8425-9F860A178640}"/>
    <cellStyle name="Output 3 7 6" xfId="35860" xr:uid="{84D7BA79-0F21-481A-9612-53C68F3E0331}"/>
    <cellStyle name="Output 3 8" xfId="3537" xr:uid="{E3AC2D71-8A86-4E78-B8B9-24C869B3E694}"/>
    <cellStyle name="Output 3 8 2" xfId="19238" xr:uid="{71F255A6-2859-47EE-B8AB-B4B47CEDA678}"/>
    <cellStyle name="Output 3 8 2 2" xfId="22855" xr:uid="{A677BFB0-98BC-47A3-9495-57B98FFC59F9}"/>
    <cellStyle name="Output 3 8 3" xfId="35861" xr:uid="{1C4DCE6A-4230-4B08-B2EE-F4467BC5D074}"/>
    <cellStyle name="Output 3 8 4" xfId="35862" xr:uid="{D7C44D77-7B49-4367-8242-2A2F81CFAC6D}"/>
    <cellStyle name="Output 3 8 5" xfId="35863" xr:uid="{06C2A7CC-FFC7-447A-BB90-2DC10CB7893A}"/>
    <cellStyle name="Output 3 8 6" xfId="35864" xr:uid="{AF6E8237-F70D-4EED-9825-F04A4FA9B5EC}"/>
    <cellStyle name="Output 3 9" xfId="3538" xr:uid="{6A1A1C72-45EA-4432-90A1-B031699D07EF}"/>
    <cellStyle name="Output 3 9 2" xfId="19239" xr:uid="{513992C6-2CFE-464C-A7B3-CB7F42BA3CDC}"/>
    <cellStyle name="Output 3 9 2 2" xfId="22856" xr:uid="{23A1EB8D-848F-476F-B85F-8FF9EC88AFD8}"/>
    <cellStyle name="Output 3 9 3" xfId="35865" xr:uid="{375C1134-3F8F-4D52-A605-86A399BF6CAC}"/>
    <cellStyle name="Output 3 9 4" xfId="35866" xr:uid="{7B556C72-11D5-47E3-B933-CFCD761F9668}"/>
    <cellStyle name="Output 3 9 5" xfId="35867" xr:uid="{DCCDA8C6-396C-47EE-92A9-FEA7E85DD4E6}"/>
    <cellStyle name="Output 3 9 6" xfId="35868" xr:uid="{FF5AA96A-7352-4F2B-B3C3-53982565A754}"/>
    <cellStyle name="Output 3_ELC" xfId="11098" xr:uid="{2CBAF2C5-034B-4430-B047-3D672A1AEE2A}"/>
    <cellStyle name="Output 4" xfId="3539" xr:uid="{55609055-C1FA-4202-8F8D-47D2D462DC65}"/>
    <cellStyle name="Output 4 2" xfId="3540" xr:uid="{40E4341C-5FC9-4500-B1C7-1A3C5B9779F0}"/>
    <cellStyle name="Output 4 2 2" xfId="19241" xr:uid="{68137DC0-B5D9-4D58-A2A6-EB51F22BB141}"/>
    <cellStyle name="Output 4 2 2 2" xfId="22858" xr:uid="{F516A89D-44EE-46A7-A9DB-530DBC7B6974}"/>
    <cellStyle name="Output 4 2 3" xfId="35869" xr:uid="{5977E70A-CD26-41C7-8FC3-92642EC66264}"/>
    <cellStyle name="Output 4 2 4" xfId="35870" xr:uid="{73B3AF9B-7736-4710-B410-19996392374F}"/>
    <cellStyle name="Output 4 2 5" xfId="35871" xr:uid="{F6A41CAD-CF3A-4A59-933A-99DF84532832}"/>
    <cellStyle name="Output 4 2 6" xfId="35872" xr:uid="{D2746F42-3A80-4E8E-8FEF-F2066B5E548B}"/>
    <cellStyle name="Output 4 2 7" xfId="35873" xr:uid="{4100AFF0-3291-4B4A-BCB7-7BC8B3E4CE66}"/>
    <cellStyle name="Output 4 3" xfId="19240" xr:uid="{030AEBC7-464B-47E3-8B84-E2B7EC52804E}"/>
    <cellStyle name="Output 4 3 2" xfId="22857" xr:uid="{BE147212-1586-416C-90B8-FF55727D28CA}"/>
    <cellStyle name="Output 4 4" xfId="35874" xr:uid="{2D32D32F-5C65-47F9-B4DC-15651E76B540}"/>
    <cellStyle name="Output 4 5" xfId="35875" xr:uid="{2294BA0D-A1D4-4C25-BDA1-3B134717DB1C}"/>
    <cellStyle name="Output 4 6" xfId="35876" xr:uid="{E26F2E73-3A44-40C2-84C3-BC91897F145D}"/>
    <cellStyle name="Output 4 7" xfId="35877" xr:uid="{8C422F22-8483-41E3-8EB5-BEABDA400AF7}"/>
    <cellStyle name="Output 4 8" xfId="35878" xr:uid="{9C284A15-02BE-4A7C-B9BA-999C991FDECE}"/>
    <cellStyle name="Output 5" xfId="3541" xr:uid="{7E032F7C-2006-4C3F-AFD7-CF6C0814C400}"/>
    <cellStyle name="Output 5 2" xfId="3542" xr:uid="{DBCE0406-F0E3-465D-A3C0-771A172A4AFF}"/>
    <cellStyle name="Output 5 2 2" xfId="19243" xr:uid="{9CAEF180-3463-4E7B-A37B-50EBFE6542B1}"/>
    <cellStyle name="Output 5 2 2 2" xfId="22860" xr:uid="{08E01121-D3EE-4AB2-A8DC-CA69AC542251}"/>
    <cellStyle name="Output 5 2 3" xfId="35879" xr:uid="{E27AE4A5-1AE6-4198-9019-0ED7F637F305}"/>
    <cellStyle name="Output 5 2 4" xfId="35880" xr:uid="{5F8770B1-BEA4-472C-96A0-FC5B35ED8875}"/>
    <cellStyle name="Output 5 2 5" xfId="35881" xr:uid="{AE509FC8-C96B-4986-B008-95B1E5176658}"/>
    <cellStyle name="Output 5 2 6" xfId="35882" xr:uid="{198B127E-56FB-4CBA-8502-D46AD5166B05}"/>
    <cellStyle name="Output 5 2 7" xfId="35883" xr:uid="{7AA05115-C4EB-4C89-8A28-6799CE7F3B76}"/>
    <cellStyle name="Output 5 3" xfId="19242" xr:uid="{A80528A7-6F2D-4CAF-A92B-DED8D7DCA977}"/>
    <cellStyle name="Output 5 3 2" xfId="22859" xr:uid="{7B57A846-936E-4113-94BD-53DDA0293EB7}"/>
    <cellStyle name="Output 5 4" xfId="35884" xr:uid="{F80AA559-B318-4658-A1A5-688802E0D2C6}"/>
    <cellStyle name="Output 5 5" xfId="35885" xr:uid="{14835F14-1634-4591-8C1C-57EEC6E58BFC}"/>
    <cellStyle name="Output 5 6" xfId="35886" xr:uid="{54D0ED52-87DA-464C-B022-E58A6E879D50}"/>
    <cellStyle name="Output 5 7" xfId="35887" xr:uid="{D7945708-8D74-4B83-8C89-8600BDF23A04}"/>
    <cellStyle name="Output 5 8" xfId="35888" xr:uid="{A17BB321-39D2-4769-B60A-FB875B3B376F}"/>
    <cellStyle name="Output 6" xfId="3543" xr:uid="{C428A2CA-A972-499C-B64D-801DCDAFDC43}"/>
    <cellStyle name="Output 6 2" xfId="3544" xr:uid="{41F0D511-9DBA-44BB-8076-397F137D521B}"/>
    <cellStyle name="Output 6 2 2" xfId="19245" xr:uid="{55BE89F0-3BD6-47F5-9889-19F615DF9710}"/>
    <cellStyle name="Output 6 2 2 2" xfId="22862" xr:uid="{2F202F77-3B3F-41BA-BFCE-371639F38CC6}"/>
    <cellStyle name="Output 6 2 3" xfId="35889" xr:uid="{7A3DB974-B438-4C7E-B1D7-47FD3340C1B3}"/>
    <cellStyle name="Output 6 2 4" xfId="35890" xr:uid="{8AE1F069-9FDA-473A-98A7-CEDF492624DE}"/>
    <cellStyle name="Output 6 2 5" xfId="35891" xr:uid="{D4946ADE-9084-47D8-AAA5-24FA6488BF74}"/>
    <cellStyle name="Output 6 2 6" xfId="35892" xr:uid="{B4491506-D794-4C1B-AD26-41D8F5D571C2}"/>
    <cellStyle name="Output 6 2 7" xfId="35893" xr:uid="{9840F539-D8D0-4F40-8954-7B96FB09D9B9}"/>
    <cellStyle name="Output 6 3" xfId="3545" xr:uid="{8BBD204D-5251-46ED-A569-4BA57C467D09}"/>
    <cellStyle name="Output 6 3 2" xfId="19246" xr:uid="{57CB6198-0C46-433C-A1DE-DFE05C741590}"/>
    <cellStyle name="Output 6 3 2 2" xfId="22863" xr:uid="{7B65E5F7-78CA-4758-BE76-9CEEDE2EB15B}"/>
    <cellStyle name="Output 6 3 3" xfId="35894" xr:uid="{7FCF26A8-84DE-407F-B4CC-FCBD87B726D6}"/>
    <cellStyle name="Output 6 3 4" xfId="35895" xr:uid="{34C3FF89-C319-4321-9921-3F28DE755DAE}"/>
    <cellStyle name="Output 6 3 5" xfId="35896" xr:uid="{4430411A-2E35-46B7-861F-BB3E3FDCECDC}"/>
    <cellStyle name="Output 6 3 6" xfId="35897" xr:uid="{E5F7CBEE-3D70-4CB9-BCB2-641CA642BF3C}"/>
    <cellStyle name="Output 6 4" xfId="19244" xr:uid="{5DA64D10-D032-4F16-9F0D-5E7944A8F90D}"/>
    <cellStyle name="Output 6 4 2" xfId="22861" xr:uid="{86392845-B239-4111-A6DE-C7D01D72717B}"/>
    <cellStyle name="Output 6 5" xfId="35898" xr:uid="{0891D633-5BDB-4513-943B-293CB186ED11}"/>
    <cellStyle name="Output 6 6" xfId="35899" xr:uid="{A14FAAEF-5440-45FA-B77C-AB1021354054}"/>
    <cellStyle name="Output 6 7" xfId="35900" xr:uid="{6AA8E64A-E1AE-406B-BF06-4EFE84467FF6}"/>
    <cellStyle name="Output 6 8" xfId="35901" xr:uid="{C8E995C4-DCBD-4BC3-95B4-DA189B21C477}"/>
    <cellStyle name="Output 6 9" xfId="35902" xr:uid="{99D98D1E-E83F-427F-A1A8-085837B910E1}"/>
    <cellStyle name="Output 6_ELC" xfId="15261" xr:uid="{CA5157F5-8270-466D-9243-CBF892E39C39}"/>
    <cellStyle name="Output 7" xfId="3546" xr:uid="{72754E65-01DE-4C3F-9E22-23B7C250180E}"/>
    <cellStyle name="Output 7 2" xfId="3547" xr:uid="{BE10959C-67AC-4CB4-81F3-9649F13F9382}"/>
    <cellStyle name="Output 7 2 2" xfId="19248" xr:uid="{AC78E95C-61F9-4A53-8348-DDD6F6129E55}"/>
    <cellStyle name="Output 7 2 2 2" xfId="22865" xr:uid="{80B1C8D2-B020-4E3A-9090-12681DB05D59}"/>
    <cellStyle name="Output 7 2 3" xfId="35903" xr:uid="{F45752D0-1EAE-4267-8A29-E5E772403386}"/>
    <cellStyle name="Output 7 2 4" xfId="35904" xr:uid="{3A575A50-5CB2-4F3E-AA1D-824A24B5A5F7}"/>
    <cellStyle name="Output 7 2 5" xfId="35905" xr:uid="{701AD130-391E-4368-8FA4-2F5781659F67}"/>
    <cellStyle name="Output 7 2 6" xfId="35906" xr:uid="{C5998219-96A0-46A6-9A66-A4E00AD6BF9B}"/>
    <cellStyle name="Output 7 2 7" xfId="35907" xr:uid="{A2DDB600-0CCC-42D6-9F34-43BA273CDD6D}"/>
    <cellStyle name="Output 7 3" xfId="3548" xr:uid="{929F7E2D-EE85-4738-87B2-E7FAF1C9E154}"/>
    <cellStyle name="Output 7 3 2" xfId="19249" xr:uid="{347CA5F1-0EC4-45E4-8EB5-0AE1BAA4A89C}"/>
    <cellStyle name="Output 7 3 2 2" xfId="22866" xr:uid="{19F49E64-D107-46D7-BD26-D3664CA33C30}"/>
    <cellStyle name="Output 7 3 3" xfId="35908" xr:uid="{4E640FDF-D09C-435D-8F07-32DF833C8381}"/>
    <cellStyle name="Output 7 3 4" xfId="35909" xr:uid="{246B052F-90C9-4647-9BC0-FA7AC35C942D}"/>
    <cellStyle name="Output 7 3 5" xfId="35910" xr:uid="{29FA582B-B4E8-4161-A38A-4918A1262CB5}"/>
    <cellStyle name="Output 7 3 6" xfId="35911" xr:uid="{B992E1EB-569B-4E2B-9E5D-BFD1F2091704}"/>
    <cellStyle name="Output 7 4" xfId="19247" xr:uid="{22263D35-DBAD-4D56-8AA5-079A9795537C}"/>
    <cellStyle name="Output 7 4 2" xfId="22864" xr:uid="{D38FEBBA-C13D-421A-A64B-357B9342C349}"/>
    <cellStyle name="Output 7 5" xfId="35912" xr:uid="{8B101BCE-A7D9-4C7B-BB7F-5D5DF3818EBF}"/>
    <cellStyle name="Output 7 6" xfId="35913" xr:uid="{146917D0-BFC3-4D35-B4CA-2AB9C2EF70C7}"/>
    <cellStyle name="Output 7 7" xfId="35914" xr:uid="{15F88D57-5F90-45EE-9F3B-69DFB6F72633}"/>
    <cellStyle name="Output 7 8" xfId="35915" xr:uid="{AE2040FB-8DD3-4266-A8F3-749D3ADFA471}"/>
    <cellStyle name="Output 7 9" xfId="35916" xr:uid="{95C459C9-FB1E-4034-9AC5-31223CF85522}"/>
    <cellStyle name="Output 7_ELC" xfId="15262" xr:uid="{DAC681D2-0976-48DF-A6F8-5BEF4A858834}"/>
    <cellStyle name="Output 8" xfId="3549" xr:uid="{7A55FCA3-98FD-4410-8B04-BB78F2F83618}"/>
    <cellStyle name="Output 8 2" xfId="3550" xr:uid="{EB426255-9F1A-4EA0-B159-65128E6144B0}"/>
    <cellStyle name="Output 8 2 2" xfId="19251" xr:uid="{B1CBCEF9-27EF-4777-B5BA-C6F5482E1AC5}"/>
    <cellStyle name="Output 8 2 2 2" xfId="22868" xr:uid="{AF0C4B2B-6743-492C-96A2-5DFE53B05D47}"/>
    <cellStyle name="Output 8 2 3" xfId="35917" xr:uid="{8B96DD89-5BCB-4D53-B8F0-603339AD0A6B}"/>
    <cellStyle name="Output 8 2 4" xfId="35918" xr:uid="{22C1FBD3-92FF-4BF0-8E11-A22950D880AA}"/>
    <cellStyle name="Output 8 2 5" xfId="35919" xr:uid="{C400147E-1E0A-4E36-9D71-6DA08D046A77}"/>
    <cellStyle name="Output 8 2 6" xfId="35920" xr:uid="{05BAC589-699D-4C01-94F7-66372F48AF92}"/>
    <cellStyle name="Output 8 2 7" xfId="35921" xr:uid="{79307A79-646E-420D-9D90-A58ACF86F50A}"/>
    <cellStyle name="Output 8 3" xfId="3551" xr:uid="{A174835D-DFDE-45F0-A27B-577755E60FCF}"/>
    <cellStyle name="Output 8 3 2" xfId="19252" xr:uid="{0705D059-7351-4322-AA5C-6E43470E55E4}"/>
    <cellStyle name="Output 8 3 2 2" xfId="22869" xr:uid="{86F37685-616A-486A-B8A4-6DFC1ECA47C0}"/>
    <cellStyle name="Output 8 3 3" xfId="35922" xr:uid="{DCFAD8AC-41F8-4ABC-9931-09601DB26D7E}"/>
    <cellStyle name="Output 8 3 4" xfId="35923" xr:uid="{3089A4DC-FDC5-4D16-8653-E0E42E66F9C0}"/>
    <cellStyle name="Output 8 3 5" xfId="35924" xr:uid="{E34A273C-15A6-44FE-A373-5D9DA318ED79}"/>
    <cellStyle name="Output 8 3 6" xfId="35925" xr:uid="{5ED43D81-7918-490E-8FA3-71DA537BA245}"/>
    <cellStyle name="Output 8 4" xfId="19250" xr:uid="{CD2F8F62-2CE7-4C86-B2AC-C469FC01EE5B}"/>
    <cellStyle name="Output 8 4 2" xfId="22867" xr:uid="{FD7B8EA5-747B-491A-9192-2ABA3AF7B3E5}"/>
    <cellStyle name="Output 8 5" xfId="35926" xr:uid="{351E6A9E-BAA9-4D33-AEC9-060685AF5425}"/>
    <cellStyle name="Output 8 6" xfId="35927" xr:uid="{3C4E88BC-4B07-4E0B-9F05-7703F2DAED9B}"/>
    <cellStyle name="Output 8 7" xfId="35928" xr:uid="{65B7DAE9-7559-4A46-917B-42E69F5335F0}"/>
    <cellStyle name="Output 8 8" xfId="35929" xr:uid="{2BE20B97-2A7B-4686-BBFA-879A5A2EC27A}"/>
    <cellStyle name="Output 8 9" xfId="35930" xr:uid="{757C424F-A554-4489-A502-C917A9958741}"/>
    <cellStyle name="Output 8_ELC" xfId="15263" xr:uid="{4786644D-29BD-41E5-96EC-CDA8F3AABC3A}"/>
    <cellStyle name="Output 9" xfId="3552" xr:uid="{526761D5-E4D1-487C-AD70-00EE343AFCC9}"/>
    <cellStyle name="Output 9 2" xfId="3553" xr:uid="{7680DC19-A963-4E40-BE78-4A4CD499D61D}"/>
    <cellStyle name="Output 9 2 2" xfId="19254" xr:uid="{A27FEDB2-05E2-484F-AEF0-AADDABD2BC7E}"/>
    <cellStyle name="Output 9 2 2 2" xfId="22871" xr:uid="{02EC847A-0E02-44FA-8AA5-1108AD1B1928}"/>
    <cellStyle name="Output 9 2 3" xfId="35931" xr:uid="{F6D02395-F340-463D-9B2C-9B8CA3F8BD7C}"/>
    <cellStyle name="Output 9 2 4" xfId="35932" xr:uid="{97383281-807A-4E5C-AC0B-D72D79F1CC76}"/>
    <cellStyle name="Output 9 2 5" xfId="35933" xr:uid="{E7D7FF01-7A2C-4630-BF93-8678C3574E61}"/>
    <cellStyle name="Output 9 2 6" xfId="35934" xr:uid="{8FD34E68-1C3D-4471-A327-DBF5B0BA2EAB}"/>
    <cellStyle name="Output 9 3" xfId="19253" xr:uid="{9A5CDBCD-F0D3-4265-89C4-513CF9858BF7}"/>
    <cellStyle name="Output 9 3 2" xfId="22870" xr:uid="{ABACE7ED-69D5-4EB7-A736-67E5B19660F2}"/>
    <cellStyle name="Output 9 4" xfId="35935" xr:uid="{D09EB01A-4478-4BFB-BD94-17B9F0C28023}"/>
    <cellStyle name="Output 9 5" xfId="35936" xr:uid="{0C2D8D17-1C63-4541-8707-FF2068C608B7}"/>
    <cellStyle name="Output 9 6" xfId="35937" xr:uid="{59463FE6-5ED5-45DC-BB2F-1DBD34F5BA41}"/>
    <cellStyle name="Output 9 7" xfId="35938" xr:uid="{7E1639E7-7C5D-4EE4-BBF9-CDD4C543131E}"/>
    <cellStyle name="Output 9 8" xfId="35939" xr:uid="{FC11C82A-3372-4F90-A75C-9E9CAB9A6A59}"/>
    <cellStyle name="Pattern" xfId="3554" xr:uid="{BE0201A7-C4EB-413E-81DA-0FF793E570D2}"/>
    <cellStyle name="Pattern 2" xfId="19255" xr:uid="{4DE1020C-799E-4BA6-8B0E-E2F64EC417F9}"/>
    <cellStyle name="Pattern 2 2" xfId="22872" xr:uid="{6735B8B1-7D73-46B5-80FB-C704DCDA27A0}"/>
    <cellStyle name="Pattern 3" xfId="35940" xr:uid="{2CF59049-6590-4554-81D3-E3EAFF10FA90}"/>
    <cellStyle name="Pattern 4" xfId="35941" xr:uid="{75143F60-325C-4E4F-9DDA-D0BA569297C5}"/>
    <cellStyle name="Pattern 5" xfId="35942" xr:uid="{9A9EA9A0-20CA-46B5-B120-B73EE5BF53A8}"/>
    <cellStyle name="Pattern 6" xfId="35943" xr:uid="{8D588BD1-8FBC-458F-B7E4-258881D082E2}"/>
    <cellStyle name="Pattern 7" xfId="35944" xr:uid="{E3577953-C644-4C6C-BB97-6A8645716E46}"/>
    <cellStyle name="Pattern 8" xfId="35945" xr:uid="{8DC93861-6103-4433-AED9-DE0AD7568D48}"/>
    <cellStyle name="Percent" xfId="6" builtinId="5"/>
    <cellStyle name="Percent 10" xfId="3555" xr:uid="{F121F21C-9F2B-4653-B14E-78E684CEF309}"/>
    <cellStyle name="Percent 10 10" xfId="35946" xr:uid="{AC93A6E4-30B9-45F6-96A8-A4F0210C3F63}"/>
    <cellStyle name="Percent 10 2" xfId="3556" xr:uid="{45A92977-5C35-4090-A86F-CD10E38DB9E7}"/>
    <cellStyle name="Percent 10 2 2" xfId="3557" xr:uid="{BC7BB56C-6317-4973-8B4B-CEEB497D334B}"/>
    <cellStyle name="Percent 10 2 2 2" xfId="5362" xr:uid="{0FF74DEC-17C8-4D74-9371-832D2FAFCC8C}"/>
    <cellStyle name="Percent 10 2 2 2 2" xfId="22875" xr:uid="{8FB43B2B-06BC-468D-AB89-FC14062D002D}"/>
    <cellStyle name="Percent 10 2 2 2 3" xfId="44342" xr:uid="{E79E49A5-AF72-42D0-8C12-2774E2937368}"/>
    <cellStyle name="Percent 10 2 2 2 4" xfId="19258" xr:uid="{5F756C30-0789-43AD-8B15-052E568190A4}"/>
    <cellStyle name="Percent 10 2 2 3" xfId="7013" xr:uid="{75DC66CB-59BE-4F38-B25D-7F0EBC57107C}"/>
    <cellStyle name="Percent 10 2 2 3 2" xfId="46473" xr:uid="{F658C154-0E7D-4A61-B417-18A7D299CF1D}"/>
    <cellStyle name="Percent 10 2 2 3 3" xfId="35947" xr:uid="{A74B34F0-332E-4008-8181-7C65DD1F412B}"/>
    <cellStyle name="Percent 10 2 2 4" xfId="9263" xr:uid="{27A2E9AA-14E0-4C75-996F-02A6F728AAF2}"/>
    <cellStyle name="Percent 10 2 2 4 2" xfId="35948" xr:uid="{0293A850-8236-43EB-8C51-E33069ACCBF0}"/>
    <cellStyle name="Percent 10 2 2 5" xfId="35949" xr:uid="{F1A3E540-3387-4BD3-9529-426089B96D0E}"/>
    <cellStyle name="Percent 10 2 2 6" xfId="35950" xr:uid="{31A8D51A-E738-475C-90E2-8CA380F68BE8}"/>
    <cellStyle name="Percent 10 2 3" xfId="5361" xr:uid="{4A5A3BDF-3245-4986-BD0C-403BB0B5BAD9}"/>
    <cellStyle name="Percent 10 2 3 2" xfId="22874" xr:uid="{52C0AEC4-7557-452A-9A79-E18E1304F2DC}"/>
    <cellStyle name="Percent 10 2 3 3" xfId="43722" xr:uid="{9CBD0399-779D-4A12-AD16-07F2C70DFF75}"/>
    <cellStyle name="Percent 10 2 3 4" xfId="19257" xr:uid="{07ACC0C4-B74C-4CFC-AF19-4E1E1B6E750A}"/>
    <cellStyle name="Percent 10 2 4" xfId="4338" xr:uid="{4B1169CC-3DAE-42BF-A4C4-8C1E0A14118E}"/>
    <cellStyle name="Percent 10 2 4 2" xfId="44141" xr:uid="{5C8D25A2-359D-4E2C-8A34-E8DE26375271}"/>
    <cellStyle name="Percent 10 2 4 3" xfId="35951" xr:uid="{DC927878-B36C-4AD6-A66F-0C8CDC4990C8}"/>
    <cellStyle name="Percent 10 2 5" xfId="6404" xr:uid="{CACA31D1-1A4A-4CB3-A43F-863EC08C6B35}"/>
    <cellStyle name="Percent 10 2 5 2" xfId="46052" xr:uid="{94AC1851-1B71-4234-A468-09AF3AEA1777}"/>
    <cellStyle name="Percent 10 2 5 3" xfId="35952" xr:uid="{A32657AD-B803-40E9-B1EA-668B4474354B}"/>
    <cellStyle name="Percent 10 2 6" xfId="9262" xr:uid="{3888C5AB-1285-4DE8-B7EC-83BC83507436}"/>
    <cellStyle name="Percent 10 2 6 2" xfId="35953" xr:uid="{8B7C6F29-E13E-4D86-BE9A-5205853626E2}"/>
    <cellStyle name="Percent 10 2 7" xfId="35954" xr:uid="{3220CDF8-DE0D-4299-8126-0DE66A700FFE}"/>
    <cellStyle name="Percent 10 2 8" xfId="35955" xr:uid="{80317FCE-CF57-4F43-9757-C99D2BC1738A}"/>
    <cellStyle name="Percent 10 3" xfId="3558" xr:uid="{2CC1F507-D5B6-465E-9F3F-52207614E7ED}"/>
    <cellStyle name="Percent 10 3 2" xfId="5363" xr:uid="{97244CAE-724D-4A8E-B2E6-834C2C5A1CC5}"/>
    <cellStyle name="Percent 10 3 2 2" xfId="19260" xr:uid="{96366B15-5263-44F3-8A96-0B74CFAFE0AE}"/>
    <cellStyle name="Percent 10 3 2 2 2" xfId="22877" xr:uid="{118BBD2F-F6C7-4AFE-9EBA-3EDA348DA5FA}"/>
    <cellStyle name="Percent 10 3 2 3" xfId="35956" xr:uid="{40EB4331-7126-452C-9DE1-681B2659B4C8}"/>
    <cellStyle name="Percent 10 3 2 4" xfId="35957" xr:uid="{C416A3C7-258A-43AC-88C4-5153B7C17D29}"/>
    <cellStyle name="Percent 10 3 2 5" xfId="35958" xr:uid="{8B7F5F8D-29D3-4327-B675-D55D267067D9}"/>
    <cellStyle name="Percent 10 3 2 6" xfId="35959" xr:uid="{4A566285-2DA5-4B65-A878-E54E02AAFCA6}"/>
    <cellStyle name="Percent 10 3 3" xfId="4339" xr:uid="{5B05F204-0BD4-45CE-92F5-708E4AAB6039}"/>
    <cellStyle name="Percent 10 3 3 2" xfId="22876" xr:uid="{945FFC53-D84E-4DF9-969D-C62AFE1EDF7C}"/>
    <cellStyle name="Percent 10 3 3 3" xfId="44142" xr:uid="{1F67C4F6-5A78-4252-AA8E-0D69FBFC4F2E}"/>
    <cellStyle name="Percent 10 3 3 4" xfId="19259" xr:uid="{4BC1587B-7B6B-4338-8B5F-EB9A2CF9031B}"/>
    <cellStyle name="Percent 10 3 4" xfId="6405" xr:uid="{72B0699F-BF35-4EC7-99E2-E9D8E97346E3}"/>
    <cellStyle name="Percent 10 3 4 2" xfId="46053" xr:uid="{15A22D12-6BC6-4CA4-B816-DAF38F579A90}"/>
    <cellStyle name="Percent 10 3 4 3" xfId="35960" xr:uid="{41B67D18-C357-4006-A635-54BE4A4770D2}"/>
    <cellStyle name="Percent 10 3 5" xfId="9264" xr:uid="{786A7688-789C-4CBC-AFA7-5CCCC834C912}"/>
    <cellStyle name="Percent 10 3 5 2" xfId="35961" xr:uid="{7BB46A56-7345-43B2-8A0F-8BAF83B29098}"/>
    <cellStyle name="Percent 10 3 6" xfId="35962" xr:uid="{875A2AF4-6C85-4A7D-9475-570A4650F091}"/>
    <cellStyle name="Percent 10 3 7" xfId="35963" xr:uid="{A91924AA-46CF-400B-B324-7B0F36B6B028}"/>
    <cellStyle name="Percent 10 3 8" xfId="35964" xr:uid="{7EAC51CE-DB72-4E2F-975E-D6498E7A485A}"/>
    <cellStyle name="Percent 10 3 9" xfId="35965" xr:uid="{8BA806A6-3722-4D53-AECE-FE0D21DE69C0}"/>
    <cellStyle name="Percent 10 4" xfId="5360" xr:uid="{59435942-4257-4D08-8163-76504F03AEB7}"/>
    <cellStyle name="Percent 10 4 2" xfId="22878" xr:uid="{17E1F80E-0BC9-4973-AF2E-7B656848EB32}"/>
    <cellStyle name="Percent 10 4 3" xfId="43721" xr:uid="{643A7A92-E66B-4704-B679-690E5C13F6BA}"/>
    <cellStyle name="Percent 10 4 4" xfId="19261" xr:uid="{F88804F3-1B21-47D8-866B-F512502A30FF}"/>
    <cellStyle name="Percent 10 5" xfId="4337" xr:uid="{22F2CC39-EBF5-4D1E-A97B-B101725C4AE8}"/>
    <cellStyle name="Percent 10 5 2" xfId="22873" xr:uid="{FB174178-A27A-47CB-8B7A-14BE432F0989}"/>
    <cellStyle name="Percent 10 5 3" xfId="44140" xr:uid="{CDF7B34A-2880-4A6B-9314-20CC7AA0A761}"/>
    <cellStyle name="Percent 10 5 4" xfId="19256" xr:uid="{DD40E369-D6C4-497F-B126-D4C2F5C54A1A}"/>
    <cellStyle name="Percent 10 6" xfId="6403" xr:uid="{AE584C97-7F6B-4CC0-B6DB-A7261E7BCBF7}"/>
    <cellStyle name="Percent 10 6 2" xfId="46051" xr:uid="{8E123DDB-A35E-424A-B951-D7EC8FA507CE}"/>
    <cellStyle name="Percent 10 6 3" xfId="35966" xr:uid="{21E93C02-9AA7-45A5-B5DB-153041D94D8A}"/>
    <cellStyle name="Percent 10 7" xfId="9261" xr:uid="{24DD6DB7-E7ED-4E48-B565-8686A59328FA}"/>
    <cellStyle name="Percent 10 7 2" xfId="35967" xr:uid="{FBC1B7EC-4FB7-4BBC-BC46-7A4379D81D43}"/>
    <cellStyle name="Percent 10 8" xfId="35968" xr:uid="{286EFADE-AFB6-464F-BF87-34DEABDF7736}"/>
    <cellStyle name="Percent 10 9" xfId="35969" xr:uid="{0746679C-1A79-422E-980A-BAC126D88FA6}"/>
    <cellStyle name="Percent 11" xfId="3559" xr:uid="{830DB308-D9F5-4BA1-BE9D-B939994C0475}"/>
    <cellStyle name="Percent 11 2" xfId="3560" xr:uid="{96BB84D1-DDE8-4FC2-8063-1C8243FF4AC6}"/>
    <cellStyle name="Percent 11 2 2" xfId="5365" xr:uid="{4BF24EDE-59BF-458D-879C-BAAAC05E41B2}"/>
    <cellStyle name="Percent 11 2 2 2" xfId="22880" xr:uid="{F9133C93-95D4-4737-933D-9BDD5D2E0734}"/>
    <cellStyle name="Percent 11 2 2 3" xfId="44344" xr:uid="{73B91494-463F-47F0-A7EF-AD5E23260A54}"/>
    <cellStyle name="Percent 11 2 2 4" xfId="19263" xr:uid="{011DB118-BAE8-4393-8731-0493B5300B88}"/>
    <cellStyle name="Percent 11 2 3" xfId="7015" xr:uid="{58600B0D-3616-40F6-BC26-8EA62ABC5B11}"/>
    <cellStyle name="Percent 11 2 3 2" xfId="46474" xr:uid="{73DB03EE-358F-4F4D-8DB5-ABCF38EE4857}"/>
    <cellStyle name="Percent 11 2 3 3" xfId="35970" xr:uid="{E7FF8A54-962C-4CA1-9718-750BEC1669FA}"/>
    <cellStyle name="Percent 11 2 4" xfId="9266" xr:uid="{E0515754-C604-4A28-8B3F-808EA46C2965}"/>
    <cellStyle name="Percent 11 2 4 2" xfId="35971" xr:uid="{EBFDEF24-BCD0-4530-A82E-A65404670C84}"/>
    <cellStyle name="Percent 11 2 5" xfId="35972" xr:uid="{F9AAACD1-D033-43B0-916B-9A2E28F11E82}"/>
    <cellStyle name="Percent 11 2 6" xfId="35973" xr:uid="{18CD417F-8629-462E-8B90-F0D3E20303C0}"/>
    <cellStyle name="Percent 11 3" xfId="3561" xr:uid="{93C8E6DF-4D81-41F8-9393-CB2CFA0A55EB}"/>
    <cellStyle name="Percent 11 3 2" xfId="5366" xr:uid="{F8D4D608-4052-4709-A05F-776CA9050055}"/>
    <cellStyle name="Percent 11 3 2 2" xfId="22881" xr:uid="{2410BF39-F761-4F8A-B60C-92EC65FADF11}"/>
    <cellStyle name="Percent 11 3 2 3" xfId="44345" xr:uid="{01C10DC4-C188-4CD6-BA7B-B1C6C07E759E}"/>
    <cellStyle name="Percent 11 3 2 4" xfId="19264" xr:uid="{738D8B46-2078-4DF8-8499-80D4F047155E}"/>
    <cellStyle name="Percent 11 3 3" xfId="7016" xr:uid="{7140B296-AC27-4034-AACB-237A3F213785}"/>
    <cellStyle name="Percent 11 3 3 2" xfId="46475" xr:uid="{8555BD57-D2E1-4B53-B1E5-77096EEC62A8}"/>
    <cellStyle name="Percent 11 3 3 3" xfId="35974" xr:uid="{9C9D600F-9B7C-4DF0-92C9-37F694B888D7}"/>
    <cellStyle name="Percent 11 3 4" xfId="9267" xr:uid="{E1B8B36A-88EE-43F5-95EC-1AE2F92C98D9}"/>
    <cellStyle name="Percent 11 3 4 2" xfId="35975" xr:uid="{969BFD2A-D98E-403F-AEBB-C6DD10685A0C}"/>
    <cellStyle name="Percent 11 3 5" xfId="35976" xr:uid="{65F0BD62-6ADF-4FF1-8B99-149F0CD51680}"/>
    <cellStyle name="Percent 11 3 6" xfId="35977" xr:uid="{CB87B838-22C2-445E-A6F1-B587E351FAF0}"/>
    <cellStyle name="Percent 11 4" xfId="5364" xr:uid="{82E99AD3-869C-495C-A902-AF70CAC89D15}"/>
    <cellStyle name="Percent 11 4 2" xfId="22879" xr:uid="{6921F5E7-0316-4092-8794-561987EFDDE8}"/>
    <cellStyle name="Percent 11 4 3" xfId="44343" xr:uid="{02889997-237F-4328-9A6E-7CE225B2CB5E}"/>
    <cellStyle name="Percent 11 4 4" xfId="19262" xr:uid="{4EDFF40A-6B91-43DF-B1B6-0689C8EFE20C}"/>
    <cellStyle name="Percent 11 5" xfId="7014" xr:uid="{38AF60FD-FEDF-4743-BF3E-ACC01E5063D3}"/>
    <cellStyle name="Percent 11 5 2" xfId="23412" xr:uid="{1CE77AC5-EB6F-4093-866F-6D2CE24ED97B}"/>
    <cellStyle name="Percent 11 5 2 2" xfId="35979" xr:uid="{52C89DDB-385A-4EFE-8FF1-0A5E633BC49B}"/>
    <cellStyle name="Percent 11 5 3" xfId="35980" xr:uid="{1CFE3791-9E78-4232-9020-CC68280DC310}"/>
    <cellStyle name="Percent 11 5 4" xfId="35981" xr:uid="{09B98B4A-9A21-4EFD-B9B0-F03BE1F38F57}"/>
    <cellStyle name="Percent 11 5 5" xfId="35982" xr:uid="{7A581846-D131-42E9-B601-D551A37CFDE4}"/>
    <cellStyle name="Percent 11 5 6" xfId="35983" xr:uid="{F5067F9C-A38D-4788-A893-14218CE872C8}"/>
    <cellStyle name="Percent 11 5 7" xfId="35978" xr:uid="{8F8995E5-2998-4B4A-9577-35C868C2F333}"/>
    <cellStyle name="Percent 11 6" xfId="9265" xr:uid="{FEEE0D5C-2AAE-4EC7-9645-717FBC517F33}"/>
    <cellStyle name="Percent 11 6 2" xfId="35984" xr:uid="{F1ADA875-9779-4ADE-A725-7771587BE134}"/>
    <cellStyle name="Percent 11 7" xfId="35985" xr:uid="{08E6A3B5-FA9C-4E75-AB03-D24CAF53B380}"/>
    <cellStyle name="Percent 11 8" xfId="35986" xr:uid="{1FAC5C65-4302-4F1C-B3DE-8F1F841CBEF7}"/>
    <cellStyle name="Percent 11 9" xfId="35987" xr:uid="{97C42799-6FF9-4AB5-99A0-62286A7DDFD3}"/>
    <cellStyle name="Percent 12" xfId="3562" xr:uid="{A65CAD6D-02B3-47C9-80F0-6704491CA8A8}"/>
    <cellStyle name="Percent 12 2" xfId="5367" xr:uid="{EA95839A-6CEC-418D-A3E2-4E6ABD057B0E}"/>
    <cellStyle name="Percent 12 2 2" xfId="19266" xr:uid="{6F39476F-4169-40A0-BFBB-B92422EB2B4A}"/>
    <cellStyle name="Percent 12 2 2 2" xfId="22883" xr:uid="{4693BE46-769D-4F46-A6B0-68DD6C1BEC63}"/>
    <cellStyle name="Percent 12 2 3" xfId="35988" xr:uid="{05289641-802B-42F9-82BD-231DCB595705}"/>
    <cellStyle name="Percent 12 2 4" xfId="35989" xr:uid="{E4884322-CA53-408C-93DF-CDB9BF5C6414}"/>
    <cellStyle name="Percent 12 2 5" xfId="35990" xr:uid="{2B68F164-BA08-474A-ACC6-3335C8EC5579}"/>
    <cellStyle name="Percent 12 2 6" xfId="35991" xr:uid="{E22A093E-3BBD-4351-82EB-924C1B4B8215}"/>
    <cellStyle name="Percent 12 3" xfId="7017" xr:uid="{A0F2198B-6A59-45E3-B7A1-E31C35536F37}"/>
    <cellStyle name="Percent 12 3 2" xfId="19267" xr:uid="{1C5B0801-8DE0-49C1-ACFF-A571A5DDF92E}"/>
    <cellStyle name="Percent 12 3 2 2" xfId="22884" xr:uid="{5544E620-FAA2-4E51-AC66-E15C4C7E6105}"/>
    <cellStyle name="Percent 12 3 3" xfId="35992" xr:uid="{85D0D582-9288-46A4-8547-3439F9FE5EEC}"/>
    <cellStyle name="Percent 12 3 4" xfId="35993" xr:uid="{A1138E8B-9A38-42B6-B0BF-8546C7ACC648}"/>
    <cellStyle name="Percent 12 3 5" xfId="35994" xr:uid="{8E6D1B27-7018-4266-BF6D-37304C2F9C8D}"/>
    <cellStyle name="Percent 12 3 6" xfId="35995" xr:uid="{678A0FBD-6F7B-4C08-B593-0BCA03523A44}"/>
    <cellStyle name="Percent 12 4" xfId="9268" xr:uid="{EC52C631-6523-48B1-8A81-8EA4A9939E67}"/>
    <cellStyle name="Percent 12 4 2" xfId="22882" xr:uid="{02752D19-BB9A-415D-B04C-4C31A843CBDD}"/>
    <cellStyle name="Percent 12 4 3" xfId="19265" xr:uid="{A8F76670-827A-4D4F-9AEC-1428517B21C3}"/>
    <cellStyle name="Percent 12 5" xfId="35996" xr:uid="{4582290A-1B10-46B9-932C-588A322B770C}"/>
    <cellStyle name="Percent 12 6" xfId="35997" xr:uid="{CD494D5C-E9F8-47D3-8644-725A59E31B4C}"/>
    <cellStyle name="Percent 12 7" xfId="35998" xr:uid="{847CF9A6-DFAE-4B0C-AC8D-F10802A33491}"/>
    <cellStyle name="Percent 12 8" xfId="35999" xr:uid="{B39119CA-47B8-4A75-9138-576F6E323CA5}"/>
    <cellStyle name="Percent 13" xfId="3563" xr:uid="{DD5916A5-1F9E-4DD1-8A6E-332B6D56A4E7}"/>
    <cellStyle name="Percent 13 2" xfId="5368" xr:uid="{B628D2ED-53CF-4884-8114-F74A92A21132}"/>
    <cellStyle name="Percent 13 2 2" xfId="19269" xr:uid="{1E715AFF-2E3F-46E2-A373-7B4920AFC173}"/>
    <cellStyle name="Percent 13 2 2 2" xfId="22886" xr:uid="{7069D62A-39F4-4B32-8596-5C005789BD2E}"/>
    <cellStyle name="Percent 13 2 3" xfId="36000" xr:uid="{70B9DB9E-0938-4A98-9E1E-95785F527ACA}"/>
    <cellStyle name="Percent 13 2 4" xfId="36001" xr:uid="{4B3371FF-37DC-4CF5-8D3E-DCBBAE1F4C4C}"/>
    <cellStyle name="Percent 13 2 5" xfId="36002" xr:uid="{7FEB03F4-AD68-4011-A82A-50CE93563BF9}"/>
    <cellStyle name="Percent 13 2 6" xfId="36003" xr:uid="{C52C8127-6061-40AD-AE8A-56401434BCEA}"/>
    <cellStyle name="Percent 13 3" xfId="7018" xr:uid="{BA29E7E5-8FF0-49E1-8119-A5F8C9618352}"/>
    <cellStyle name="Percent 13 3 2" xfId="19270" xr:uid="{59F540B6-B0BC-4BAE-A88D-DBA248C762FA}"/>
    <cellStyle name="Percent 13 3 2 2" xfId="22887" xr:uid="{68942ECB-3574-4320-B553-AA459B5A71A8}"/>
    <cellStyle name="Percent 13 3 3" xfId="36004" xr:uid="{282A93A4-7E16-4AC1-AE92-C57B8FEE7ED5}"/>
    <cellStyle name="Percent 13 3 4" xfId="36005" xr:uid="{9F9E88E1-9E48-498D-ACE3-9FF168AFD1C2}"/>
    <cellStyle name="Percent 13 3 5" xfId="36006" xr:uid="{A2AB3645-4644-44DC-B3B9-037FC7FC6148}"/>
    <cellStyle name="Percent 13 3 6" xfId="36007" xr:uid="{82E8FB27-671E-4E87-8968-426B68ECE3BE}"/>
    <cellStyle name="Percent 13 4" xfId="9269" xr:uid="{815E7960-10AB-42E6-B102-227018F2AB7A}"/>
    <cellStyle name="Percent 13 4 2" xfId="22885" xr:uid="{7A7C2F6B-BF72-439F-9A68-9718FB7A20E6}"/>
    <cellStyle name="Percent 13 4 3" xfId="19268" xr:uid="{A5B6004E-9EA6-4B29-949F-CD47BCA87A8E}"/>
    <cellStyle name="Percent 13 5" xfId="36008" xr:uid="{767488AD-988B-42BD-9901-9450A9E94AF6}"/>
    <cellStyle name="Percent 13 6" xfId="36009" xr:uid="{490363DD-ABEC-4508-9493-62B2F0584BDF}"/>
    <cellStyle name="Percent 13 7" xfId="36010" xr:uid="{3A5002E2-3313-46D2-8AE5-832686BC808A}"/>
    <cellStyle name="Percent 13 8" xfId="36011" xr:uid="{AD62A337-9F0D-4EE7-9DA7-65A49B65AD32}"/>
    <cellStyle name="Percent 14" xfId="3564" xr:uid="{927D20AA-DBFD-4EC3-8C78-974EA54148B3}"/>
    <cellStyle name="Percent 14 2" xfId="5369" xr:uid="{63364377-927F-43C8-ABFF-E26C3BD6DAE6}"/>
    <cellStyle name="Percent 14 2 2" xfId="19272" xr:uid="{BEF88421-7552-4361-81AE-9109182CC441}"/>
    <cellStyle name="Percent 14 2 2 2" xfId="22889" xr:uid="{421CB174-2EF1-48F2-8ECE-B00B1935C7C7}"/>
    <cellStyle name="Percent 14 2 3" xfId="36012" xr:uid="{64D16E04-0F24-4E83-A8ED-5FC21403318A}"/>
    <cellStyle name="Percent 14 2 4" xfId="36013" xr:uid="{AFD7E0EF-47D3-45EA-B2E0-1D2E3288A618}"/>
    <cellStyle name="Percent 14 2 5" xfId="36014" xr:uid="{35605CCA-63D1-436A-8FF1-F8227326F3F8}"/>
    <cellStyle name="Percent 14 2 6" xfId="36015" xr:uid="{B90AA111-3361-4FA2-8F1E-7B6FD6678403}"/>
    <cellStyle name="Percent 14 3" xfId="7019" xr:uid="{B1274E6D-2DA2-412D-9011-AEE5829163BB}"/>
    <cellStyle name="Percent 14 3 2" xfId="19273" xr:uid="{7CC77EE1-F0C5-4758-9CAE-D9C7783ECE48}"/>
    <cellStyle name="Percent 14 3 2 2" xfId="22890" xr:uid="{C97BEA41-949A-4689-A60F-83EB09C42F40}"/>
    <cellStyle name="Percent 14 3 3" xfId="36016" xr:uid="{49402CA2-4ABE-4820-93BB-2DEF57C6030B}"/>
    <cellStyle name="Percent 14 3 4" xfId="36017" xr:uid="{7DACD879-1026-49BB-90E3-36A53A331138}"/>
    <cellStyle name="Percent 14 3 5" xfId="36018" xr:uid="{1236BE4C-DAB0-48F4-866D-4BE8D1D9B7DC}"/>
    <cellStyle name="Percent 14 3 6" xfId="36019" xr:uid="{E59A32F4-0B6C-4BA3-8D79-D9629DACBF84}"/>
    <cellStyle name="Percent 14 4" xfId="9270" xr:uid="{CAE14C53-16C3-4E71-B09F-3DBBCA68FC73}"/>
    <cellStyle name="Percent 14 4 2" xfId="22888" xr:uid="{48CF28AF-08CE-48EE-949C-69F86D97F4EC}"/>
    <cellStyle name="Percent 14 4 3" xfId="19271" xr:uid="{17CA0336-78C0-4F8A-9A59-17108129CBA2}"/>
    <cellStyle name="Percent 14 5" xfId="36020" xr:uid="{89385E35-80B1-44D5-8DD4-50BF03D7D20F}"/>
    <cellStyle name="Percent 14 6" xfId="36021" xr:uid="{1B1F5CD3-CA84-4DEB-A597-7D7CA14773E5}"/>
    <cellStyle name="Percent 14 7" xfId="36022" xr:uid="{A7324A74-8DE2-46BC-853C-2F07CBC05DCC}"/>
    <cellStyle name="Percent 14 8" xfId="36023" xr:uid="{F59160C3-A6EA-452B-8EE1-3F4513A1473C}"/>
    <cellStyle name="Percent 15" xfId="3565" xr:uid="{A7BDC390-6EB9-4693-9392-66FBAD77CAEE}"/>
    <cellStyle name="Percent 15 2" xfId="5370" xr:uid="{9F51F281-16C6-4219-812E-9FC36039ED75}"/>
    <cellStyle name="Percent 15 2 2" xfId="19275" xr:uid="{D1D8F216-C31B-4817-8814-8F347F29402B}"/>
    <cellStyle name="Percent 15 2 2 2" xfId="22892" xr:uid="{338F27BB-DA8B-48D2-8C1C-BE345584D0FF}"/>
    <cellStyle name="Percent 15 2 3" xfId="36024" xr:uid="{ECFEB08D-D8D4-4A76-A004-FBF35225C3C7}"/>
    <cellStyle name="Percent 15 2 4" xfId="36025" xr:uid="{64F1D9C1-960A-4EAD-A688-62EBD26D633A}"/>
    <cellStyle name="Percent 15 2 5" xfId="36026" xr:uid="{C265B8A8-B1AC-49C0-BB97-A06C4846D30D}"/>
    <cellStyle name="Percent 15 2 6" xfId="36027" xr:uid="{F390BCD9-FCB7-4594-AD1B-B63F0093DE33}"/>
    <cellStyle name="Percent 15 3" xfId="7020" xr:uid="{3A3DA07B-7E0A-4714-999C-893EF0BAF6FD}"/>
    <cellStyle name="Percent 15 3 2" xfId="19276" xr:uid="{3101E348-4B50-4163-86D6-FED448820EB9}"/>
    <cellStyle name="Percent 15 3 2 2" xfId="22893" xr:uid="{5E6CF3A0-287E-46E8-83C2-4FEA0DCE2724}"/>
    <cellStyle name="Percent 15 3 3" xfId="36028" xr:uid="{B747EF50-8423-4128-89FD-017736610977}"/>
    <cellStyle name="Percent 15 3 4" xfId="36029" xr:uid="{F6DC45FD-E06F-4BDA-941D-247BDC471E77}"/>
    <cellStyle name="Percent 15 3 5" xfId="36030" xr:uid="{0F4F5D9A-BC73-4DBD-A8BE-37E9EAFC4A5D}"/>
    <cellStyle name="Percent 15 3 6" xfId="36031" xr:uid="{548DDB96-711E-48D3-ADED-15D88C69DF3A}"/>
    <cellStyle name="Percent 15 4" xfId="9271" xr:uid="{144632EA-C452-4DF8-8E55-9CD5FFC315DB}"/>
    <cellStyle name="Percent 15 4 2" xfId="22891" xr:uid="{383E6C39-9EC1-4EB9-88DB-5322CEF270D3}"/>
    <cellStyle name="Percent 15 4 3" xfId="19274" xr:uid="{DCC6A7F4-F20F-4423-B0ED-D546F74CFB61}"/>
    <cellStyle name="Percent 15 5" xfId="36032" xr:uid="{9C0D6871-BC7E-418A-B44C-8336551C4002}"/>
    <cellStyle name="Percent 15 6" xfId="36033" xr:uid="{149E2970-3876-4F78-AA3B-8B115F19ECD3}"/>
    <cellStyle name="Percent 15 7" xfId="36034" xr:uid="{7A8DAD1D-D8F6-4D30-BCC9-0BE541A03B8A}"/>
    <cellStyle name="Percent 15 8" xfId="36035" xr:uid="{A641A1DD-C8D5-40D9-A33A-C9BB6E113801}"/>
    <cellStyle name="Percent 16" xfId="3566" xr:uid="{9E82762D-39A3-4165-8534-B02DB2610153}"/>
    <cellStyle name="Percent 16 2" xfId="5371" xr:uid="{F3D38427-37E0-4D17-91F1-32F91C18D836}"/>
    <cellStyle name="Percent 16 2 2" xfId="19278" xr:uid="{3F4A7BC3-91D3-4C1F-9D0E-5DFE948252BA}"/>
    <cellStyle name="Percent 16 2 2 2" xfId="22895" xr:uid="{7FC7A993-4D02-49E8-ACE5-0C7868CDB745}"/>
    <cellStyle name="Percent 16 2 3" xfId="36036" xr:uid="{A1585C45-071A-406E-91BE-F19185EC89B2}"/>
    <cellStyle name="Percent 16 2 4" xfId="36037" xr:uid="{303A633F-CF2F-4BA3-9876-5403BC4B561F}"/>
    <cellStyle name="Percent 16 2 5" xfId="36038" xr:uid="{FBF4904E-A111-4C0B-8E61-FE2D28DD1C8A}"/>
    <cellStyle name="Percent 16 2 6" xfId="36039" xr:uid="{CBFF73C2-4719-4D9E-94DD-818824E70D4C}"/>
    <cellStyle name="Percent 16 3" xfId="7021" xr:uid="{6EC21B34-53A9-44C0-90D6-C7543C7DEF89}"/>
    <cellStyle name="Percent 16 3 2" xfId="19279" xr:uid="{51F61E47-9946-4A73-A465-CBB89DDB9F36}"/>
    <cellStyle name="Percent 16 3 2 2" xfId="22896" xr:uid="{655BF064-2596-4163-9647-0FC4A286E646}"/>
    <cellStyle name="Percent 16 3 3" xfId="36040" xr:uid="{6D987B10-CC61-4FBA-B586-B6542F5F54EF}"/>
    <cellStyle name="Percent 16 3 4" xfId="36041" xr:uid="{7554B160-833C-400F-B42D-EA490D44E981}"/>
    <cellStyle name="Percent 16 3 5" xfId="36042" xr:uid="{78B9E36D-4404-4E02-9794-738F43132F9C}"/>
    <cellStyle name="Percent 16 3 6" xfId="36043" xr:uid="{62032315-9588-4A02-B5BD-572A54372082}"/>
    <cellStyle name="Percent 16 4" xfId="9272" xr:uid="{C509B9EE-9D4B-49A5-BFAA-50333A1BC211}"/>
    <cellStyle name="Percent 16 4 2" xfId="22894" xr:uid="{004FB1EA-2238-4F22-B54D-26ABFE764890}"/>
    <cellStyle name="Percent 16 4 3" xfId="19277" xr:uid="{C3BC7740-0059-40B1-A822-2B4E124F1283}"/>
    <cellStyle name="Percent 16 5" xfId="36044" xr:uid="{2D5BA7C7-BE57-46FF-8C69-7290220BD243}"/>
    <cellStyle name="Percent 16 6" xfId="36045" xr:uid="{388A8EDA-3305-4606-A991-28A53EE1BCB5}"/>
    <cellStyle name="Percent 16 7" xfId="36046" xr:uid="{5F614BDA-72DC-485E-B4D6-2AD361ED6652}"/>
    <cellStyle name="Percent 16 8" xfId="36047" xr:uid="{3FEB5CFE-D992-4817-ADA1-D60CA22CCD49}"/>
    <cellStyle name="Percent 17" xfId="3567" xr:uid="{3596518B-1CEA-4035-90FD-08F84163D0CB}"/>
    <cellStyle name="Percent 17 2" xfId="5372" xr:uid="{271DF766-F231-47DC-AB6E-C5A1A47CF020}"/>
    <cellStyle name="Percent 17 2 2" xfId="19281" xr:uid="{DACEC270-5C24-40F1-A1B2-4EBB17117846}"/>
    <cellStyle name="Percent 17 2 2 2" xfId="22898" xr:uid="{F309509B-D01E-41C4-874B-02A7DE371F60}"/>
    <cellStyle name="Percent 17 2 3" xfId="36048" xr:uid="{ACFD1689-34C5-44F8-939D-07520A94352D}"/>
    <cellStyle name="Percent 17 2 4" xfId="36049" xr:uid="{885D353C-65F7-4208-A555-972C4A1FB940}"/>
    <cellStyle name="Percent 17 2 5" xfId="36050" xr:uid="{EA3D62B0-005B-42C5-AA0B-94E268EF506A}"/>
    <cellStyle name="Percent 17 2 6" xfId="36051" xr:uid="{B170D050-8C45-4256-B544-F5AA8CFED38E}"/>
    <cellStyle name="Percent 17 3" xfId="7022" xr:uid="{826FAFC9-7C4E-4699-837B-84D4635A6331}"/>
    <cellStyle name="Percent 17 3 2" xfId="22897" xr:uid="{90944CE3-C96C-471E-9AD6-FE98EE3C5781}"/>
    <cellStyle name="Percent 17 3 3" xfId="46476" xr:uid="{D8689E37-E713-496C-A138-1EF26CE3C4AD}"/>
    <cellStyle name="Percent 17 3 4" xfId="19280" xr:uid="{AD2552F9-965A-4389-A999-8FFD66ECF678}"/>
    <cellStyle name="Percent 17 4" xfId="9273" xr:uid="{C6D3E8CC-CD20-44EA-81BA-44BA0079F7C9}"/>
    <cellStyle name="Percent 17 4 2" xfId="36052" xr:uid="{BC3BCB3D-B59D-4F5A-AF82-196744B4982A}"/>
    <cellStyle name="Percent 17 5" xfId="36053" xr:uid="{A8BBCE1A-5F3C-4D08-8D19-51E5B3D76ABD}"/>
    <cellStyle name="Percent 17 6" xfId="36054" xr:uid="{FFA8745F-072B-42C6-A4B8-01ACE8A1F32D}"/>
    <cellStyle name="Percent 17 7" xfId="36055" xr:uid="{8C60A3DC-9FAA-44AA-AF79-D5413AB8E4F7}"/>
    <cellStyle name="Percent 18" xfId="3568" xr:uid="{D96C940B-4A3D-4055-AE5C-CF8C6F814735}"/>
    <cellStyle name="Percent 18 2" xfId="5373" xr:uid="{1D618EFB-6307-412C-8622-C0D5AA38BE5A}"/>
    <cellStyle name="Percent 18 2 2" xfId="19283" xr:uid="{23ED8D97-4BC1-4B3C-85DA-4C39CC5A087D}"/>
    <cellStyle name="Percent 18 2 2 2" xfId="22900" xr:uid="{FFFCB0F3-0B63-43AB-B34E-D9679682B0A7}"/>
    <cellStyle name="Percent 18 2 3" xfId="36056" xr:uid="{4D3B95DE-86F7-4628-BB58-AF4125A36706}"/>
    <cellStyle name="Percent 18 2 4" xfId="36057" xr:uid="{376B3813-B75F-4231-85AC-B65EE49F6272}"/>
    <cellStyle name="Percent 18 2 5" xfId="36058" xr:uid="{AB957070-6D9F-4976-B7DA-36CF51BE04E7}"/>
    <cellStyle name="Percent 18 2 6" xfId="36059" xr:uid="{9395C901-2C72-47E4-B73C-C2FF4610E11B}"/>
    <cellStyle name="Percent 18 3" xfId="7023" xr:uid="{B8D5C6C6-3E61-4C51-A3B5-B5BBAB91EA73}"/>
    <cellStyle name="Percent 18 3 2" xfId="22899" xr:uid="{636CAC8C-6062-48C7-96C2-41FE392AFFDE}"/>
    <cellStyle name="Percent 18 3 3" xfId="46477" xr:uid="{3BFEA8FD-5845-4234-BA9B-893CEB304D7E}"/>
    <cellStyle name="Percent 18 3 4" xfId="19282" xr:uid="{22A3EC4C-C419-4B16-A1FA-3383676A559F}"/>
    <cellStyle name="Percent 18 4" xfId="9274" xr:uid="{EB6807F7-6ABD-45DB-8CB3-02E3BF6A2E12}"/>
    <cellStyle name="Percent 18 4 2" xfId="36060" xr:uid="{17E1E589-A0F7-42E8-8927-422228006C3B}"/>
    <cellStyle name="Percent 18 5" xfId="36061" xr:uid="{1B49C949-CCE7-4D66-B048-E4BE2F727588}"/>
    <cellStyle name="Percent 18 6" xfId="36062" xr:uid="{5B43EF60-32F7-46BA-B7DD-5AD0776FFCA5}"/>
    <cellStyle name="Percent 18 7" xfId="36063" xr:uid="{7B02068B-F56C-42C2-ABAE-F352E1FDD2BF}"/>
    <cellStyle name="Percent 19" xfId="3569" xr:uid="{2345FC7E-DA0B-4E65-8EE9-3364E75DEC4B}"/>
    <cellStyle name="Percent 19 2" xfId="5374" xr:uid="{F2810912-EDDA-4885-8D43-1C4E358E0351}"/>
    <cellStyle name="Percent 19 2 2" xfId="19285" xr:uid="{190B8F6F-10FA-44AC-93AC-AF3680E4F3F6}"/>
    <cellStyle name="Percent 19 2 2 2" xfId="22902" xr:uid="{7D3D4E39-545E-43C8-93FB-CCA67018A9A5}"/>
    <cellStyle name="Percent 19 2 3" xfId="36064" xr:uid="{B668D0B5-C34F-4392-B419-B5096DD14594}"/>
    <cellStyle name="Percent 19 2 4" xfId="36065" xr:uid="{1472E25E-3858-4DFA-86F1-851CD771A152}"/>
    <cellStyle name="Percent 19 2 5" xfId="36066" xr:uid="{7DACCDCD-B4DA-41D0-B7D5-D914086F4732}"/>
    <cellStyle name="Percent 19 2 6" xfId="36067" xr:uid="{3B1B9FA7-DB3B-4281-BD4B-666D81554785}"/>
    <cellStyle name="Percent 19 3" xfId="7024" xr:uid="{E9F01332-B0F6-4DC0-8441-84F23953C663}"/>
    <cellStyle name="Percent 19 3 2" xfId="22901" xr:uid="{31C0B5DC-F659-4A73-A162-4773CBB20AB5}"/>
    <cellStyle name="Percent 19 3 3" xfId="46478" xr:uid="{DF396310-725A-4822-9317-5514880701DC}"/>
    <cellStyle name="Percent 19 3 4" xfId="19284" xr:uid="{3FADA5CA-CE44-4278-897D-4BA4A87E6999}"/>
    <cellStyle name="Percent 19 4" xfId="9275" xr:uid="{54D46555-98E4-4D39-9269-6BD94CCA2E1A}"/>
    <cellStyle name="Percent 19 4 2" xfId="36068" xr:uid="{6D9973B3-BE4C-4347-A7F2-F58C207C1927}"/>
    <cellStyle name="Percent 19 5" xfId="36069" xr:uid="{539B3CA6-3BBE-4EC5-986E-4C067E743348}"/>
    <cellStyle name="Percent 19 6" xfId="36070" xr:uid="{CC652EB5-DA05-44DF-87CE-49A49C92C131}"/>
    <cellStyle name="Percent 19 7" xfId="36071" xr:uid="{08A79C3D-C812-46F7-AB6C-1B354ED99DCB}"/>
    <cellStyle name="Percent 2" xfId="4336" xr:uid="{0342D7A1-85F3-47E6-9791-AEC01AC35B4D}"/>
    <cellStyle name="Percent 2 10" xfId="3570" xr:uid="{832D0113-93C3-4D3D-B238-997E46065EBE}"/>
    <cellStyle name="Percent 2 10 2" xfId="10490" xr:uid="{9C4C7650-0ED1-4FE1-903E-C7077C212804}"/>
    <cellStyle name="Percent 2 10 2 2" xfId="22904" xr:uid="{4D3DF635-E75C-4735-9A1D-68D10C81E778}"/>
    <cellStyle name="Percent 2 10 2 3" xfId="19287" xr:uid="{4C613DB1-29B2-40CD-B2AF-A1775880F11A}"/>
    <cellStyle name="Percent 2 10 3" xfId="10395" xr:uid="{AB57E275-84F1-4B8A-BE46-3764E9CA9434}"/>
    <cellStyle name="Percent 2 10 3 2" xfId="36072" xr:uid="{B504BC8F-F429-4E72-A3DE-E33C775519AB}"/>
    <cellStyle name="Percent 2 10 4" xfId="11075" xr:uid="{0B3FDDBB-A1E5-48B6-81EB-30C4CC4F557A}"/>
    <cellStyle name="Percent 2 10 4 2" xfId="36073" xr:uid="{95C49AF0-216D-499F-97CE-810C4A79FEF2}"/>
    <cellStyle name="Percent 2 10 5" xfId="10629" xr:uid="{28D40595-8614-4E9B-9788-2C3719674A3F}"/>
    <cellStyle name="Percent 2 10 5 2" xfId="36074" xr:uid="{A9C103DD-E6E4-4D22-86C9-EC1CDFB0ACE3}"/>
    <cellStyle name="Percent 2 10 6" xfId="11196" xr:uid="{36D75287-C0BF-4673-A34A-3405CB553DFE}"/>
    <cellStyle name="Percent 2 10 6 2" xfId="36075" xr:uid="{48B036C5-A21E-4A29-B1BA-AD9C38B046E5}"/>
    <cellStyle name="Percent 2 10 7" xfId="36076" xr:uid="{CF23E060-B88F-4BB7-BE5B-6CA4AB8774DC}"/>
    <cellStyle name="Percent 2 11" xfId="3571" xr:uid="{D7611CAB-7E40-4A92-88DE-560B939B3339}"/>
    <cellStyle name="Percent 2 11 2" xfId="3572" xr:uid="{F9025A1C-BBBF-4C01-BB51-3DD9428D33AA}"/>
    <cellStyle name="Percent 2 11 2 2" xfId="8053" xr:uid="{4DFC8FB3-7EF9-4032-AC14-86B2E0EB7FDB}"/>
    <cellStyle name="Percent 2 11 2 2 2" xfId="22906" xr:uid="{1B20D9BD-3FEA-4B38-AB3A-4DC0D8F1A80B}"/>
    <cellStyle name="Percent 2 11 2 2 3" xfId="19289" xr:uid="{1BD61672-F332-466F-BDC1-B5179F60C73C}"/>
    <cellStyle name="Percent 2 11 2 3" xfId="36077" xr:uid="{0FEF58FA-49D6-4494-A279-A10F864CF9CD}"/>
    <cellStyle name="Percent 2 11 2 4" xfId="36078" xr:uid="{E6E91FE1-4A63-4472-AC20-01D2AC00CDBE}"/>
    <cellStyle name="Percent 2 11 2 5" xfId="36079" xr:uid="{9D4A6BB3-FB2C-4EF9-8006-6C92638D8F34}"/>
    <cellStyle name="Percent 2 11 2 6" xfId="36080" xr:uid="{062A8FB8-41B8-4169-9945-4B8EA93B8D8D}"/>
    <cellStyle name="Percent 2 11 2 7" xfId="36081" xr:uid="{25628E0C-75F3-4C04-9ED3-54E4E8B45EC4}"/>
    <cellStyle name="Percent 2 11 3" xfId="3573" xr:uid="{AC960C63-814F-46CD-98DB-06EAD6446EB6}"/>
    <cellStyle name="Percent 2 11 3 2" xfId="5375" xr:uid="{7D8C6BE4-A4D6-41A5-819A-E73E5BA8A1EE}"/>
    <cellStyle name="Percent 2 11 3 2 2" xfId="10962" xr:uid="{F760DA89-69BA-4285-959B-55A7B1C6B57C}"/>
    <cellStyle name="Percent 2 11 3 2 2 2" xfId="22907" xr:uid="{07894FEC-72DC-49F1-B97D-0C497CBC0825}"/>
    <cellStyle name="Percent 2 11 3 2 3" xfId="43723" xr:uid="{C44BFC49-A710-4EC2-A42F-4ED38606D2ED}"/>
    <cellStyle name="Percent 2 11 3 2 4" xfId="19290" xr:uid="{DABEDD48-7FF3-4135-92C2-7F085D72C5C2}"/>
    <cellStyle name="Percent 2 11 3 3" xfId="4341" xr:uid="{5611035E-8528-4389-8469-E23B03709D76}"/>
    <cellStyle name="Percent 2 11 3 3 2" xfId="44144" xr:uid="{8BF82081-151B-4D6B-AB8F-92FFB5644F1A}"/>
    <cellStyle name="Percent 2 11 3 3 3" xfId="36082" xr:uid="{80802327-0825-4BC4-B94B-BB68F10B7916}"/>
    <cellStyle name="Percent 2 11 3 4" xfId="6407" xr:uid="{DB5F26D9-33B6-452A-AF21-32387356E036}"/>
    <cellStyle name="Percent 2 11 3 4 2" xfId="46055" xr:uid="{5E7E2740-734C-4C2A-BB2B-E239ADF5C9DD}"/>
    <cellStyle name="Percent 2 11 3 4 3" xfId="36083" xr:uid="{58561D30-B624-4018-8ED6-CE3E8789CCE1}"/>
    <cellStyle name="Percent 2 11 3 5" xfId="9276" xr:uid="{4B660847-8958-4809-8210-BB7EABDDA954}"/>
    <cellStyle name="Percent 2 11 3 5 2" xfId="36084" xr:uid="{83BB807B-F093-4AAD-B5DB-2742D90278EF}"/>
    <cellStyle name="Percent 2 11 3 6" xfId="36085" xr:uid="{FE5A1B2D-F57B-419B-A542-63E535FF8DEA}"/>
    <cellStyle name="Percent 2 11 3 7" xfId="36086" xr:uid="{F7128DFE-1E58-4070-8808-8D909B6970B4}"/>
    <cellStyle name="Percent 2 11 4" xfId="4340" xr:uid="{32587590-8FC2-4C89-ABEC-66D88D325260}"/>
    <cellStyle name="Percent 2 11 4 2" xfId="10489" xr:uid="{5D68CF89-4B6A-46BF-A9DB-A82B5C72C578}"/>
    <cellStyle name="Percent 2 11 4 2 2" xfId="22905" xr:uid="{7C4E1543-D69F-4885-869D-AC611DFC9680}"/>
    <cellStyle name="Percent 2 11 4 3" xfId="44143" xr:uid="{DE5E048F-58A4-4FCC-B705-55AE4E836BB6}"/>
    <cellStyle name="Percent 2 11 4 4" xfId="19288" xr:uid="{4096A5D1-2E86-4615-9FFA-FB0E01409A6F}"/>
    <cellStyle name="Percent 2 11 5" xfId="6406" xr:uid="{72FC560C-B634-47F6-96F2-312AF450DB79}"/>
    <cellStyle name="Percent 2 11 5 2" xfId="10394" xr:uid="{A2CCBF87-8F50-4B9C-A708-08AAF1DC83DA}"/>
    <cellStyle name="Percent 2 11 5 2 2" xfId="46054" xr:uid="{74FD50BD-B70F-4C58-A030-9F98018DE56B}"/>
    <cellStyle name="Percent 2 11 5 3" xfId="36087" xr:uid="{4FB4178C-4BDF-4E94-9399-E819D689F31A}"/>
    <cellStyle name="Percent 2 11 6" xfId="11074" xr:uid="{F41AFD30-A573-456D-8E31-08B5A149373C}"/>
    <cellStyle name="Percent 2 11 6 2" xfId="36088" xr:uid="{65890451-A228-4157-9DAE-D99BCA3093D6}"/>
    <cellStyle name="Percent 2 11 7" xfId="36089" xr:uid="{FE43AEDB-C2CB-44EB-A041-43C6946C411C}"/>
    <cellStyle name="Percent 2 11 8" xfId="36090" xr:uid="{7DB98A6E-FB68-475B-8FA5-57C7A55E63D6}"/>
    <cellStyle name="Percent 2 11 9" xfId="36091" xr:uid="{F9361512-A67C-495E-9682-CC01365C7F36}"/>
    <cellStyle name="Percent 2 12" xfId="3574" xr:uid="{1046296B-E8C8-4CA1-86D8-B50DFFBC6D3C}"/>
    <cellStyle name="Percent 2 12 2" xfId="8052" xr:uid="{57EB1779-BD6F-433F-B6B6-12C82CDEFEE0}"/>
    <cellStyle name="Percent 2 12 2 2" xfId="10628" xr:uid="{64D88F9D-769E-4A0E-9559-8C94901D8F22}"/>
    <cellStyle name="Percent 2 12 2 2 2" xfId="22908" xr:uid="{AEA57AA2-95F1-47B8-850F-ADF6CE3F513D}"/>
    <cellStyle name="Percent 2 12 2 3" xfId="19291" xr:uid="{07F123C4-C7B0-4203-B1BD-F483ED0DD8DC}"/>
    <cellStyle name="Percent 2 12 3" xfId="11195" xr:uid="{0D7FF0D1-8F6A-4C15-86CF-7EA4159B1844}"/>
    <cellStyle name="Percent 2 12 3 2" xfId="36092" xr:uid="{D0337A3B-9F33-43D3-BDE8-E0F60F9DCF96}"/>
    <cellStyle name="Percent 2 12 4" xfId="10831" xr:uid="{66731403-54B1-4B34-8AB3-B4FC3BDE9C03}"/>
    <cellStyle name="Percent 2 12 4 2" xfId="36093" xr:uid="{2729980A-229D-4468-8734-EC8813EBE863}"/>
    <cellStyle name="Percent 2 12 5" xfId="10961" xr:uid="{B68F15C6-CBA3-452F-9EEB-6E066F298A2C}"/>
    <cellStyle name="Percent 2 12 5 2" xfId="36094" xr:uid="{954B4E2C-0051-4CA8-8521-E3618A79B68B}"/>
    <cellStyle name="Percent 2 12 6" xfId="10488" xr:uid="{AF420683-D172-4BD4-BF10-CC62BCC16878}"/>
    <cellStyle name="Percent 2 12 6 2" xfId="36095" xr:uid="{811A5A12-FF45-4AB1-A2A8-6714A8C638A5}"/>
    <cellStyle name="Percent 2 12 7" xfId="36096" xr:uid="{26042EC2-AA2E-4DD6-8438-DFD233547757}"/>
    <cellStyle name="Percent 2 13" xfId="3575" xr:uid="{E988E088-7ED6-4C50-9A10-AAFE812FF263}"/>
    <cellStyle name="Percent 2 13 2" xfId="3576" xr:uid="{60837FB6-BBD9-41F2-B7CF-3B6FC5B737D5}"/>
    <cellStyle name="Percent 2 13 2 2" xfId="5377" xr:uid="{159C7B1D-4886-4202-B415-4CD2BEA0EC12}"/>
    <cellStyle name="Percent 2 13 2 2 2" xfId="22910" xr:uid="{580F8E75-7D0C-4F70-BCCF-7A08F390DE55}"/>
    <cellStyle name="Percent 2 13 2 2 3" xfId="43725" xr:uid="{FFE798D8-1D25-4F57-BE60-2C1338ADBC87}"/>
    <cellStyle name="Percent 2 13 2 2 4" xfId="19293" xr:uid="{167D050C-6261-4364-AE1A-A8B4DDF28454}"/>
    <cellStyle name="Percent 2 13 2 3" xfId="4343" xr:uid="{1F76AB16-3AB3-40CA-80E8-A98209633B98}"/>
    <cellStyle name="Percent 2 13 2 3 2" xfId="44146" xr:uid="{C96F51AC-26C8-4208-B240-09815EC709FC}"/>
    <cellStyle name="Percent 2 13 2 3 3" xfId="36097" xr:uid="{2BB339E0-F7F4-429E-9214-ECD0517A3A28}"/>
    <cellStyle name="Percent 2 13 2 4" xfId="6409" xr:uid="{195A3EFF-C1CC-4F2B-95DA-4062D483D35A}"/>
    <cellStyle name="Percent 2 13 2 4 2" xfId="46057" xr:uid="{19B85146-F518-44B7-BA14-344214640663}"/>
    <cellStyle name="Percent 2 13 2 4 3" xfId="36098" xr:uid="{4A5915A1-0B4F-4628-9C90-6F465D23D363}"/>
    <cellStyle name="Percent 2 13 2 5" xfId="9278" xr:uid="{DF83FB59-D76A-4B5D-9E56-1EA6AF626ADE}"/>
    <cellStyle name="Percent 2 13 2 5 2" xfId="36099" xr:uid="{CA059FB7-11BD-4651-9202-FE9F23711555}"/>
    <cellStyle name="Percent 2 13 2 6" xfId="36100" xr:uid="{77BE58F1-0441-4F4E-BE62-2F18FF6F45DF}"/>
    <cellStyle name="Percent 2 13 2 7" xfId="36101" xr:uid="{A6D7D4E0-453D-418B-9FDF-490EE95EE325}"/>
    <cellStyle name="Percent 2 13 3" xfId="5376" xr:uid="{6F3BE9B3-2B6C-461B-8C35-4B4A5CF21421}"/>
    <cellStyle name="Percent 2 13 3 2" xfId="22909" xr:uid="{4F6326F9-4276-4FEE-AD04-AAD117AB1EA8}"/>
    <cellStyle name="Percent 2 13 3 3" xfId="43724" xr:uid="{1C36E74E-F342-4CE2-809D-2648EE5E3E89}"/>
    <cellStyle name="Percent 2 13 3 4" xfId="19292" xr:uid="{FF563C11-F278-4BC4-97DC-A7897F3367CD}"/>
    <cellStyle name="Percent 2 13 4" xfId="4342" xr:uid="{046FE6F2-97DB-43E8-99E7-92E45D3EDBA3}"/>
    <cellStyle name="Percent 2 13 4 2" xfId="44145" xr:uid="{B230A28F-811A-49B8-9B05-C7FA401B94D0}"/>
    <cellStyle name="Percent 2 13 4 3" xfId="36102" xr:uid="{AF0816F8-82B9-41B5-9FC9-295EE2E86524}"/>
    <cellStyle name="Percent 2 13 5" xfId="6408" xr:uid="{4C52D126-185A-48D8-A7B4-2E3B5B2B524C}"/>
    <cellStyle name="Percent 2 13 5 2" xfId="46056" xr:uid="{6349FBB6-A8E0-46BD-A339-D53C3E6B06A9}"/>
    <cellStyle name="Percent 2 13 5 3" xfId="36103" xr:uid="{CA13DB98-EB8F-4011-A513-EBC90365914C}"/>
    <cellStyle name="Percent 2 13 6" xfId="9277" xr:uid="{BDD51F32-8FBF-42F9-A64D-700C4DB46C82}"/>
    <cellStyle name="Percent 2 13 6 2" xfId="36104" xr:uid="{93B5BC75-9FF7-4A22-AE84-A0FE90CC10D7}"/>
    <cellStyle name="Percent 2 13 7" xfId="36105" xr:uid="{D92272A5-B95A-485A-AE69-AD85F95BA26E}"/>
    <cellStyle name="Percent 2 13 8" xfId="36106" xr:uid="{ECB33BD3-8375-4BF9-AD38-4B85A8EAADFA}"/>
    <cellStyle name="Percent 2 13 9" xfId="16133" xr:uid="{BC75EDB8-B838-4F4B-8906-CA22CC89DABF}"/>
    <cellStyle name="Percent 2 14" xfId="7253" xr:uid="{18BD6CA4-C580-4A5D-BE30-31D38B05AE09}"/>
    <cellStyle name="Percent 2 14 2" xfId="19294" xr:uid="{382A783C-23AB-4CF4-B7F0-3581069D1053}"/>
    <cellStyle name="Percent 2 14 2 2" xfId="22911" xr:uid="{57D0D78A-F106-4C91-BB8C-B76130CC1446}"/>
    <cellStyle name="Percent 2 14 3" xfId="36107" xr:uid="{2B9457B4-74CA-4E91-8BF3-6E27DCA92538}"/>
    <cellStyle name="Percent 2 14 4" xfId="36108" xr:uid="{07CB1CFE-8426-47E8-9B89-FE09C9BCA305}"/>
    <cellStyle name="Percent 2 14 5" xfId="36109" xr:uid="{783CBBF9-1750-411D-9DB0-67ABD1BC02C3}"/>
    <cellStyle name="Percent 2 14 6" xfId="36110" xr:uid="{6F3A8C9E-CDC5-45D6-BE48-396AE6C1B932}"/>
    <cellStyle name="Percent 2 14 7" xfId="46668" xr:uid="{A373E23A-B497-4F3D-8072-346ACE894F46}"/>
    <cellStyle name="Percent 2 14 8" xfId="16134" xr:uid="{DA14AAB0-ABF7-4F1F-A800-A40FB3178ED2}"/>
    <cellStyle name="Percent 2 15" xfId="7407" xr:uid="{9969464B-5CBA-453E-931B-F484382ACC3D}"/>
    <cellStyle name="Percent 2 15 2" xfId="9899" xr:uid="{9544E5A6-617B-4522-9816-307B60DC3B6F}"/>
    <cellStyle name="Percent 2 15 2 2" xfId="13205" xr:uid="{32BFCA2F-7794-43C1-BFE7-B1D7F01B74C4}"/>
    <cellStyle name="Percent 2 15 2 2 2" xfId="47871" xr:uid="{DEEEB9B9-4585-4EF3-A16C-FC9D9CC0C621}"/>
    <cellStyle name="Percent 2 15 2 3" xfId="22903" xr:uid="{ADBEB383-99EC-490D-B152-2ECEB28BA86E}"/>
    <cellStyle name="Percent 2 15 3" xfId="11920" xr:uid="{62E52476-E116-48D7-8DE2-859DCFE2901C}"/>
    <cellStyle name="Percent 2 15 3 2" xfId="45798" xr:uid="{5964DBC9-FF1D-410B-9F2A-EB87EF37CA26}"/>
    <cellStyle name="Percent 2 15 4" xfId="19286" xr:uid="{D1F8F8F5-5EE8-4652-B034-1EF659698080}"/>
    <cellStyle name="Percent 2 15 5" xfId="14334" xr:uid="{A398C9F0-D9D0-4E78-981A-053EB0EDF58A}"/>
    <cellStyle name="Percent 2 16" xfId="9402" xr:uid="{056A0661-F153-418F-A814-7B3953A9DB8A}"/>
    <cellStyle name="Percent 2 16 2" xfId="12708" xr:uid="{F62ED9F5-44FC-499D-8206-0D9AFBA129E3}"/>
    <cellStyle name="Percent 2 16 2 2" xfId="48722" xr:uid="{DAE17CC4-8CEB-4C0F-B7C6-F08C37943420}"/>
    <cellStyle name="Percent 2 16 3" xfId="47157" xr:uid="{B157D4CF-AFFA-4562-9272-7C92ACD1BB0B}"/>
    <cellStyle name="Percent 2 16 4" xfId="36111" xr:uid="{8FB18CFA-A58B-4C69-92D6-87E3429742D2}"/>
    <cellStyle name="Percent 2 17" xfId="5942" xr:uid="{87737BC6-4812-4927-B72C-0B646F82758B}"/>
    <cellStyle name="Percent 2 17 2" xfId="47869" xr:uid="{27842768-DFCA-4ADA-B622-859F6B8BCC41}"/>
    <cellStyle name="Percent 2 17 3" xfId="36112" xr:uid="{38537154-AE17-4CE3-92DA-6CA763ADE8CD}"/>
    <cellStyle name="Percent 2 18" xfId="11423" xr:uid="{F2DCC6AD-39C6-4DEE-AE42-A28F182B88EA}"/>
    <cellStyle name="Percent 2 18 2" xfId="36113" xr:uid="{1DEB7BCC-DDDF-4DC9-BAFB-F971E1A13106}"/>
    <cellStyle name="Percent 2 19" xfId="36114" xr:uid="{9FB96DE8-1274-42A3-80AA-7E8BB2BDC902}"/>
    <cellStyle name="Percent 2 2" xfId="3577" xr:uid="{A567673E-80DD-4D53-89A0-5A45F698636E}"/>
    <cellStyle name="Percent 2 2 10" xfId="16135" xr:uid="{38D99AE3-E11F-4A1B-8B72-5EF2FA90149A}"/>
    <cellStyle name="Percent 2 2 10 2" xfId="19296" xr:uid="{763F97BF-7544-4FAE-B2F9-1557C89EB5A0}"/>
    <cellStyle name="Percent 2 2 10 2 2" xfId="22913" xr:uid="{6CF0B355-51A8-4C9A-A10B-20FD63843C01}"/>
    <cellStyle name="Percent 2 2 10 3" xfId="36115" xr:uid="{61283042-D677-4395-8FE0-87D7EB149F2B}"/>
    <cellStyle name="Percent 2 2 10 4" xfId="36116" xr:uid="{64B895EA-932C-4D8D-BAA4-BAC2894D07FA}"/>
    <cellStyle name="Percent 2 2 10 5" xfId="36117" xr:uid="{D120C27B-F210-468C-A866-6C6F412021C0}"/>
    <cellStyle name="Percent 2 2 10 6" xfId="36118" xr:uid="{25AC3D1C-76E6-4DA9-9047-267E221272C5}"/>
    <cellStyle name="Percent 2 2 11" xfId="16136" xr:uid="{E1AEBCFB-CEFD-4126-8D82-2B601A383143}"/>
    <cellStyle name="Percent 2 2 11 2" xfId="19297" xr:uid="{B0E16458-9F7C-4ED4-A064-7270B277BE49}"/>
    <cellStyle name="Percent 2 2 11 2 2" xfId="22914" xr:uid="{0D29D73B-9EAB-44A4-886C-51E3084E11E5}"/>
    <cellStyle name="Percent 2 2 11 3" xfId="36119" xr:uid="{4F3315EA-A72A-4F51-88D1-759AA1FBDD34}"/>
    <cellStyle name="Percent 2 2 11 4" xfId="36120" xr:uid="{BA6BA47B-1506-48FA-8608-AF34BAFE420C}"/>
    <cellStyle name="Percent 2 2 11 5" xfId="36121" xr:uid="{10905196-C46E-42B2-8483-FBD7D4C8918F}"/>
    <cellStyle name="Percent 2 2 11 6" xfId="36122" xr:uid="{4909E3FB-3C92-4D1A-9675-965C9EF4878D}"/>
    <cellStyle name="Percent 2 2 12" xfId="16137" xr:uid="{E0E9CC5A-BB98-4715-8938-415620778FA9}"/>
    <cellStyle name="Percent 2 2 12 2" xfId="19298" xr:uid="{B94CE776-13A6-42DA-98BD-558C14A16C19}"/>
    <cellStyle name="Percent 2 2 12 2 2" xfId="22915" xr:uid="{A00E7F66-0A03-4F09-B7EA-8B72E74B83F2}"/>
    <cellStyle name="Percent 2 2 12 3" xfId="36123" xr:uid="{A5D6D960-E6E3-4E37-B563-A2F54CB68E49}"/>
    <cellStyle name="Percent 2 2 12 4" xfId="36124" xr:uid="{64327AC3-46D9-4EC3-9AD7-F3C9C520B0E0}"/>
    <cellStyle name="Percent 2 2 12 5" xfId="36125" xr:uid="{6381BD32-080D-4CDD-B069-47A76CD40528}"/>
    <cellStyle name="Percent 2 2 12 6" xfId="36126" xr:uid="{944611BC-50B0-4A96-922D-FD62A5382A9E}"/>
    <cellStyle name="Percent 2 2 13" xfId="16138" xr:uid="{CCDB5653-51D7-43CB-A248-238FA5DDF95E}"/>
    <cellStyle name="Percent 2 2 13 2" xfId="19299" xr:uid="{39F1165C-4D8D-45DB-B9E8-7BF8C59FCF7D}"/>
    <cellStyle name="Percent 2 2 13 2 2" xfId="22916" xr:uid="{58914248-96BD-41E3-85D0-00BA31B287D4}"/>
    <cellStyle name="Percent 2 2 13 3" xfId="36127" xr:uid="{BBE0B2F4-33A0-4628-B0E0-7EABE397BABB}"/>
    <cellStyle name="Percent 2 2 13 4" xfId="36128" xr:uid="{45082C4C-0EF5-41A9-9747-E3BF616E5F97}"/>
    <cellStyle name="Percent 2 2 13 5" xfId="36129" xr:uid="{C13B1754-08EE-4B34-BBF8-A02725C5F7EE}"/>
    <cellStyle name="Percent 2 2 13 6" xfId="36130" xr:uid="{EF932746-95B9-442D-94A2-8C1275B898B7}"/>
    <cellStyle name="Percent 2 2 14" xfId="16139" xr:uid="{1C24CA6D-DF46-41A0-94A4-38975F179603}"/>
    <cellStyle name="Percent 2 2 14 2" xfId="19300" xr:uid="{DC37C900-31F8-416F-A946-BB70881B58B8}"/>
    <cellStyle name="Percent 2 2 14 2 2" xfId="22917" xr:uid="{9ED0FB76-9CD4-469D-9EE5-59419CB22FFB}"/>
    <cellStyle name="Percent 2 2 14 3" xfId="36131" xr:uid="{1AB02243-0934-4EB2-95B9-72F1C658D24A}"/>
    <cellStyle name="Percent 2 2 14 4" xfId="36132" xr:uid="{B1B877B4-EE0A-441F-B0D8-93E477EAE5CA}"/>
    <cellStyle name="Percent 2 2 14 5" xfId="36133" xr:uid="{BC40748D-F3DD-4C6A-8129-40C47C85E7D5}"/>
    <cellStyle name="Percent 2 2 14 6" xfId="36134" xr:uid="{C23B36A7-009F-412C-8612-1EB51E12D368}"/>
    <cellStyle name="Percent 2 2 15" xfId="19295" xr:uid="{F6368DC4-0C85-4057-8CA8-679108E30B44}"/>
    <cellStyle name="Percent 2 2 15 2" xfId="22912" xr:uid="{D18B62E7-05D5-40A6-BF01-A17535A5FA1E}"/>
    <cellStyle name="Percent 2 2 16" xfId="36135" xr:uid="{C508658F-AD76-418C-8E85-5C354C63DB12}"/>
    <cellStyle name="Percent 2 2 17" xfId="36136" xr:uid="{569CBA09-1F47-4064-BFD9-5C3C1674827B}"/>
    <cellStyle name="Percent 2 2 18" xfId="36137" xr:uid="{BDEAD2BF-6265-49FE-85BE-EE8D65DD8859}"/>
    <cellStyle name="Percent 2 2 19" xfId="36138" xr:uid="{24801CCC-A797-4961-93CF-ECCCDBA8E3A6}"/>
    <cellStyle name="Percent 2 2 2" xfId="3578" xr:uid="{E77CC1DD-643C-4E7B-8341-491C2677CA82}"/>
    <cellStyle name="Percent 2 2 2 2" xfId="19301" xr:uid="{F4D92765-DC96-4622-85BC-A49E3D1EC449}"/>
    <cellStyle name="Percent 2 2 2 2 2" xfId="22918" xr:uid="{ACA76872-CD53-431A-952E-3A9538D1DB47}"/>
    <cellStyle name="Percent 2 2 2 3" xfId="36139" xr:uid="{02FC3B3A-262C-4CA0-B057-B046196298E2}"/>
    <cellStyle name="Percent 2 2 2 4" xfId="36140" xr:uid="{0C2F4C27-B31A-4575-9B0B-E55C40322FA0}"/>
    <cellStyle name="Percent 2 2 2 5" xfId="36141" xr:uid="{3E40EA78-647E-4249-B923-49CA1875E2F7}"/>
    <cellStyle name="Percent 2 2 2 6" xfId="36142" xr:uid="{6BA02463-E3E2-4067-9125-C2570CE4DCCD}"/>
    <cellStyle name="Percent 2 2 2 7" xfId="36143" xr:uid="{E50ADD96-BD4C-424F-A0B7-F1FC8B456FE2}"/>
    <cellStyle name="Percent 2 2 20" xfId="36144" xr:uid="{51344BF0-86F6-40E0-9FB3-5C1E8E8B2347}"/>
    <cellStyle name="Percent 2 2 3" xfId="3579" xr:uid="{B5E4A69B-DD65-4F51-8446-301C227B6DB0}"/>
    <cellStyle name="Percent 2 2 3 2" xfId="19302" xr:uid="{6D1F4441-60B8-4ED3-84FE-4FB1783E4714}"/>
    <cellStyle name="Percent 2 2 3 2 2" xfId="22919" xr:uid="{B786F888-97FC-49D4-95F5-8CD62CBEE843}"/>
    <cellStyle name="Percent 2 2 3 3" xfId="36145" xr:uid="{49881F2B-09A2-4579-B8D0-E88E1D391BBB}"/>
    <cellStyle name="Percent 2 2 3 4" xfId="36146" xr:uid="{F639A905-D3B6-475C-91CF-FBC87F6221C4}"/>
    <cellStyle name="Percent 2 2 3 5" xfId="36147" xr:uid="{2C09EAEB-E687-472F-9282-B0DDFDAF1A91}"/>
    <cellStyle name="Percent 2 2 3 6" xfId="36148" xr:uid="{3FFEAA6E-03A7-4E6E-AAB8-08FA93F2DA56}"/>
    <cellStyle name="Percent 2 2 3 7" xfId="36149" xr:uid="{962E1EBF-BB76-4DA2-AC3D-C614A34FE245}"/>
    <cellStyle name="Percent 2 2 4" xfId="3580" xr:uid="{F1EB288F-A827-4481-8567-26E839A3023E}"/>
    <cellStyle name="Percent 2 2 4 2" xfId="19303" xr:uid="{29A0543D-499F-4C7B-83A8-195CCAB3F982}"/>
    <cellStyle name="Percent 2 2 4 2 2" xfId="22920" xr:uid="{C25980D1-32EB-4B39-A2F8-2B61FD959CAC}"/>
    <cellStyle name="Percent 2 2 4 3" xfId="36150" xr:uid="{30874FEE-A81A-4991-B97C-9B1B8FC88BC9}"/>
    <cellStyle name="Percent 2 2 4 4" xfId="36151" xr:uid="{27F499DD-778C-4BE1-ACE4-82D978249C8F}"/>
    <cellStyle name="Percent 2 2 4 5" xfId="36152" xr:uid="{E49E9CB0-EEDB-431F-B686-373FF309DF2E}"/>
    <cellStyle name="Percent 2 2 4 6" xfId="36153" xr:uid="{9AD137EF-A507-4B5B-A8F5-6E88F4C927DD}"/>
    <cellStyle name="Percent 2 2 5" xfId="10393" xr:uid="{BEAC299E-E354-441D-A447-CD967DA6C41B}"/>
    <cellStyle name="Percent 2 2 5 2" xfId="19304" xr:uid="{CB3E90EF-AFD6-46F4-AC46-60184141A853}"/>
    <cellStyle name="Percent 2 2 5 2 2" xfId="22921" xr:uid="{AA8895F6-9F00-4904-B6AF-D96BF1CAB57C}"/>
    <cellStyle name="Percent 2 2 5 3" xfId="36154" xr:uid="{BE0AD8BA-79F5-4B00-8C0F-72AA42DF2D91}"/>
    <cellStyle name="Percent 2 2 5 4" xfId="36155" xr:uid="{A9AD927B-D9E8-4938-BDA7-0801FCC3FDAF}"/>
    <cellStyle name="Percent 2 2 5 5" xfId="36156" xr:uid="{E9ED2200-7300-4238-989C-8D7055841AA3}"/>
    <cellStyle name="Percent 2 2 5 6" xfId="36157" xr:uid="{9088460A-8B8F-420A-A0FA-2D61A9FCD20E}"/>
    <cellStyle name="Percent 2 2 6" xfId="11073" xr:uid="{8E5652AF-2D18-4EE1-9F3A-BF54434F054A}"/>
    <cellStyle name="Percent 2 2 6 2" xfId="19305" xr:uid="{471A7465-6E41-4F68-A4D0-58F93E73B8D8}"/>
    <cellStyle name="Percent 2 2 6 2 2" xfId="22922" xr:uid="{3DE6FA1B-5EAD-49D9-AE0F-E0328CC3A804}"/>
    <cellStyle name="Percent 2 2 6 3" xfId="36158" xr:uid="{CD0D636A-065E-4593-8342-B007FFA09F1C}"/>
    <cellStyle name="Percent 2 2 6 4" xfId="36159" xr:uid="{424894CA-BEAD-4935-AA84-BBCBAAAB8DC7}"/>
    <cellStyle name="Percent 2 2 6 5" xfId="36160" xr:uid="{6D7FFF28-6601-4D42-9B16-2C6C41154850}"/>
    <cellStyle name="Percent 2 2 6 6" xfId="36161" xr:uid="{7145FCB2-8069-4304-AC36-5B6F4707AD95}"/>
    <cellStyle name="Percent 2 2 7" xfId="8227" xr:uid="{4DFFAF01-EED2-447B-B1B9-7622C2754FA1}"/>
    <cellStyle name="Percent 2 2 7 2" xfId="19306" xr:uid="{1095146E-ED44-483D-BEDB-376687E6FBAB}"/>
    <cellStyle name="Percent 2 2 7 2 2" xfId="22923" xr:uid="{9E0F9F21-160D-45BB-836C-73A9CDA44F11}"/>
    <cellStyle name="Percent 2 2 7 3" xfId="36162" xr:uid="{CEA08123-F089-4B50-A12A-82D9A11FAD36}"/>
    <cellStyle name="Percent 2 2 7 4" xfId="36163" xr:uid="{2C22E6F9-63EC-4D3C-AF29-5C456D3DB9D0}"/>
    <cellStyle name="Percent 2 2 7 5" xfId="36164" xr:uid="{D4A38DCD-0274-4D69-8DAF-1E4E7E960F10}"/>
    <cellStyle name="Percent 2 2 7 6" xfId="36165" xr:uid="{9E4FDC3C-A6EA-43AB-913D-A95DDA6A4D5B}"/>
    <cellStyle name="Percent 2 2 8" xfId="11071" xr:uid="{94841434-31F6-4436-8677-FB47A8274E77}"/>
    <cellStyle name="Percent 2 2 8 2" xfId="19307" xr:uid="{18C9B196-FFBC-4FD2-ADCC-E642FF6580AA}"/>
    <cellStyle name="Percent 2 2 8 2 2" xfId="22924" xr:uid="{86D5C8B1-CF53-42E2-8738-74B0A2FB71D5}"/>
    <cellStyle name="Percent 2 2 8 3" xfId="36166" xr:uid="{EF6DD734-E015-44F5-B680-DE5A06537B00}"/>
    <cellStyle name="Percent 2 2 8 4" xfId="36167" xr:uid="{5E40EF61-4FBD-4897-BE95-F9F99A395B22}"/>
    <cellStyle name="Percent 2 2 8 5" xfId="36168" xr:uid="{F78A7252-9B0E-4C94-AA5E-C4CB770D24E7}"/>
    <cellStyle name="Percent 2 2 8 6" xfId="36169" xr:uid="{5A97AB0E-956E-4C6C-B1D0-3C3F91D5BE15}"/>
    <cellStyle name="Percent 2 2 9" xfId="16140" xr:uid="{2E5977D5-24FC-4399-94EE-82C2EA6C2F48}"/>
    <cellStyle name="Percent 2 2 9 2" xfId="19308" xr:uid="{4B8AA2B1-8C1D-45AB-934F-ADBD7332936F}"/>
    <cellStyle name="Percent 2 2 9 2 2" xfId="22925" xr:uid="{5180C612-CCDB-4AF6-BB09-639EBDFE128F}"/>
    <cellStyle name="Percent 2 2 9 3" xfId="36170" xr:uid="{92FD8E08-618E-4256-867B-1DB88BB293DA}"/>
    <cellStyle name="Percent 2 2 9 4" xfId="36171" xr:uid="{9C731B0C-CB84-4C75-9F13-B240527E8795}"/>
    <cellStyle name="Percent 2 2 9 5" xfId="36172" xr:uid="{2ABCCEB9-B3AC-419D-84F7-CD4C6F1E57BC}"/>
    <cellStyle name="Percent 2 2 9 6" xfId="36173" xr:uid="{E94FC0E1-FE6C-4C5A-8173-6B5CDEDAAB0D}"/>
    <cellStyle name="Percent 2 20" xfId="45794" xr:uid="{B47CB940-820F-4E67-95F9-610639A2CFB7}"/>
    <cellStyle name="Percent 2 3" xfId="3581" xr:uid="{7B239A57-4BF0-4F41-8538-93553954350B}"/>
    <cellStyle name="Percent 2 3 10" xfId="4344" xr:uid="{3AEAD802-F0CF-4952-B172-0A00FFB48119}"/>
    <cellStyle name="Percent 2 3 10 2" xfId="22926" xr:uid="{6FF5D741-CB60-4F85-8834-9D6686229EB8}"/>
    <cellStyle name="Percent 2 3 10 3" xfId="44147" xr:uid="{44373530-FDBA-48DC-B6E3-C473CC2A7ACA}"/>
    <cellStyle name="Percent 2 3 10 4" xfId="19309" xr:uid="{75E63B0E-DEB7-486F-98B4-E236F86A6BB1}"/>
    <cellStyle name="Percent 2 3 11" xfId="6410" xr:uid="{DB78D6BB-5C3E-4F4E-BF6F-890EFFF724BB}"/>
    <cellStyle name="Percent 2 3 11 2" xfId="46058" xr:uid="{6EACD08B-84B0-4854-9F20-648C14A193F1}"/>
    <cellStyle name="Percent 2 3 11 3" xfId="36174" xr:uid="{342C2A3B-033A-4B5C-B816-981A2F573F34}"/>
    <cellStyle name="Percent 2 3 12" xfId="9279" xr:uid="{BD9F9F53-030F-448C-BF71-E0609BDDE4BE}"/>
    <cellStyle name="Percent 2 3 12 2" xfId="36175" xr:uid="{730C08BF-42C7-4371-8FD2-3B4EB6DE5639}"/>
    <cellStyle name="Percent 2 3 13" xfId="36176" xr:uid="{2B8A1A86-D0BB-4421-AC68-30EC46A0B1E6}"/>
    <cellStyle name="Percent 2 3 14" xfId="36177" xr:uid="{7579D54D-541E-4C44-9089-BB2A73FB402D}"/>
    <cellStyle name="Percent 2 3 15" xfId="36178" xr:uid="{3D2A764E-29D2-47C7-8641-13D20AABE5CA}"/>
    <cellStyle name="Percent 2 3 2" xfId="3582" xr:uid="{2FCA5224-49AA-448D-AED6-3F1A6F0DD171}"/>
    <cellStyle name="Percent 2 3 2 10" xfId="36179" xr:uid="{D5462FA3-5B27-4E8B-AD07-96610FF38AF6}"/>
    <cellStyle name="Percent 2 3 2 2" xfId="3583" xr:uid="{DE164A85-A399-422E-9AB1-B623EA64B829}"/>
    <cellStyle name="Percent 2 3 2 2 2" xfId="5380" xr:uid="{3C5BA42B-5804-4C95-9F53-DF504FFE29A7}"/>
    <cellStyle name="Percent 2 3 2 2 2 2" xfId="19312" xr:uid="{02370198-1515-4EDD-8739-C537BBC4544F}"/>
    <cellStyle name="Percent 2 3 2 2 2 2 2" xfId="22929" xr:uid="{3FA43915-1AD0-4098-B705-098230087242}"/>
    <cellStyle name="Percent 2 3 2 2 2 3" xfId="36180" xr:uid="{12BF05A6-1A5B-4351-A336-1FB02E18E5C4}"/>
    <cellStyle name="Percent 2 3 2 2 2 4" xfId="36181" xr:uid="{FFBCFDAE-6A02-45E7-A7F9-09424FA4C784}"/>
    <cellStyle name="Percent 2 3 2 2 2 5" xfId="36182" xr:uid="{E66715DC-90AA-45A9-90C5-E029E36A896A}"/>
    <cellStyle name="Percent 2 3 2 2 2 6" xfId="36183" xr:uid="{417A733C-09D1-45D6-88D0-9757F8B6E78D}"/>
    <cellStyle name="Percent 2 3 2 2 3" xfId="7025" xr:uid="{42625F3D-8CE8-4943-BA72-500200AF7B56}"/>
    <cellStyle name="Percent 2 3 2 2 3 2" xfId="22928" xr:uid="{2FE1450C-DF22-4694-9DCD-5E4018825A01}"/>
    <cellStyle name="Percent 2 3 2 2 3 3" xfId="46479" xr:uid="{A5B999D4-2DDD-45D3-8B31-3FF66EB6EF00}"/>
    <cellStyle name="Percent 2 3 2 2 3 4" xfId="19311" xr:uid="{95F04A00-83A6-4EFA-A057-5B9C5F416252}"/>
    <cellStyle name="Percent 2 3 2 2 4" xfId="9281" xr:uid="{66C8BFB0-82BD-4240-A291-A339DD394D5D}"/>
    <cellStyle name="Percent 2 3 2 2 4 2" xfId="36184" xr:uid="{C852B3A9-12BF-49F7-9710-7CFDA796D4BC}"/>
    <cellStyle name="Percent 2 3 2 2 5" xfId="36185" xr:uid="{18EAD789-276A-449D-A766-E75AE5694CAD}"/>
    <cellStyle name="Percent 2 3 2 2 6" xfId="36186" xr:uid="{2400C2F2-6288-4D8F-BBE5-A7C938D22073}"/>
    <cellStyle name="Percent 2 3 2 2 7" xfId="36187" xr:uid="{FA3A8469-60F6-4AAB-8404-A614536309C3}"/>
    <cellStyle name="Percent 2 3 2 3" xfId="3584" xr:uid="{CB54D67A-2F0E-4096-B74D-21DE3AF4F46A}"/>
    <cellStyle name="Percent 2 3 2 3 2" xfId="5381" xr:uid="{03DC7EE2-EFE0-401E-87EA-EFD4E6AE03B9}"/>
    <cellStyle name="Percent 2 3 2 3 2 2" xfId="19314" xr:uid="{039AD152-4C60-4351-8D40-D49497B12F12}"/>
    <cellStyle name="Percent 2 3 2 3 2 2 2" xfId="22931" xr:uid="{E83FD7AE-05B4-4A3E-9073-70F665775E01}"/>
    <cellStyle name="Percent 2 3 2 3 2 3" xfId="36188" xr:uid="{F8F072A6-9442-426C-A78B-7E1B26925A16}"/>
    <cellStyle name="Percent 2 3 2 3 2 4" xfId="36189" xr:uid="{B635E55E-4E2E-46AA-A03B-E603F630C43F}"/>
    <cellStyle name="Percent 2 3 2 3 2 5" xfId="36190" xr:uid="{254DA944-1DDC-44FD-B21A-40BAF14A30CD}"/>
    <cellStyle name="Percent 2 3 2 3 2 6" xfId="36191" xr:uid="{F1502DBC-0D01-460D-BF55-BDD485207B02}"/>
    <cellStyle name="Percent 2 3 2 3 3" xfId="7026" xr:uid="{9E33AD23-347B-4EF3-B9EC-64DB6E59309D}"/>
    <cellStyle name="Percent 2 3 2 3 3 2" xfId="22930" xr:uid="{92609F22-ADE9-4239-B037-D9A2FEC7E360}"/>
    <cellStyle name="Percent 2 3 2 3 3 3" xfId="46480" xr:uid="{CACB750B-AA5F-4A91-ACAF-01C0CC13A0C4}"/>
    <cellStyle name="Percent 2 3 2 3 3 4" xfId="19313" xr:uid="{49F1BE37-1C24-465C-85F0-08A3EBDEF181}"/>
    <cellStyle name="Percent 2 3 2 3 4" xfId="9282" xr:uid="{0079DCE0-03E6-4DA8-836F-CA980442F1F9}"/>
    <cellStyle name="Percent 2 3 2 3 4 2" xfId="36192" xr:uid="{9468E3B1-17F0-4DA1-B996-13A064E174D8}"/>
    <cellStyle name="Percent 2 3 2 3 5" xfId="36193" xr:uid="{20E60CB1-87EA-4557-8956-8E5ED01A2882}"/>
    <cellStyle name="Percent 2 3 2 3 6" xfId="36194" xr:uid="{67C3E12B-C6C7-49B3-A1E0-B87CADE6DC81}"/>
    <cellStyle name="Percent 2 3 2 3 7" xfId="36195" xr:uid="{7C08D235-9FE1-48BF-B19E-AE660C9C0677}"/>
    <cellStyle name="Percent 2 3 2 4" xfId="5379" xr:uid="{C7A6F879-5F34-43B9-98D8-20C1D20F4DE6}"/>
    <cellStyle name="Percent 2 3 2 4 2" xfId="19315" xr:uid="{A56DCF5B-40FB-49F8-8F46-3205D3982F8D}"/>
    <cellStyle name="Percent 2 3 2 4 2 2" xfId="22932" xr:uid="{3A520E3E-32F6-4BA1-8222-94E3DAE62C66}"/>
    <cellStyle name="Percent 2 3 2 4 3" xfId="36196" xr:uid="{05C82C29-4CE2-4FDB-9449-C65A3005CAD7}"/>
    <cellStyle name="Percent 2 3 2 4 4" xfId="36197" xr:uid="{54B64B18-7032-49B2-8CCE-47AD60BFDDD4}"/>
    <cellStyle name="Percent 2 3 2 4 5" xfId="36198" xr:uid="{883C6790-4BE7-42C5-84F3-C655290D86C7}"/>
    <cellStyle name="Percent 2 3 2 4 6" xfId="36199" xr:uid="{D5F8A4B3-2B62-4749-BD52-117D9D728795}"/>
    <cellStyle name="Percent 2 3 2 5" xfId="4345" xr:uid="{884A460B-C922-41A9-A849-45C0B7A765FE}"/>
    <cellStyle name="Percent 2 3 2 5 2" xfId="22927" xr:uid="{66AB94D9-49AD-48E8-A2EB-4B8EE8FDE415}"/>
    <cellStyle name="Percent 2 3 2 5 3" xfId="44148" xr:uid="{E6087032-0449-43E5-AC79-551F545C91EB}"/>
    <cellStyle name="Percent 2 3 2 5 4" xfId="19310" xr:uid="{4B5DBF40-0DEB-4199-9516-873945B3F8CC}"/>
    <cellStyle name="Percent 2 3 2 6" xfId="6411" xr:uid="{A58D6F9F-646C-41F2-9DE1-A44732173F8B}"/>
    <cellStyle name="Percent 2 3 2 6 2" xfId="46059" xr:uid="{35C46EAB-F83A-4481-BC4D-B75FC044264C}"/>
    <cellStyle name="Percent 2 3 2 6 3" xfId="36200" xr:uid="{A31B775F-64B6-49CB-BA29-1453DDB2690C}"/>
    <cellStyle name="Percent 2 3 2 7" xfId="9280" xr:uid="{5650C6E8-2662-494D-9F1F-D257B4832B18}"/>
    <cellStyle name="Percent 2 3 2 7 2" xfId="36201" xr:uid="{E61776F0-EBE2-44D5-BD1D-4FE0FBE96DD3}"/>
    <cellStyle name="Percent 2 3 2 8" xfId="36202" xr:uid="{D8143895-0A71-458D-8CC1-9DF1E3BE9D9C}"/>
    <cellStyle name="Percent 2 3 2 9" xfId="36203" xr:uid="{38E8AA50-2EB8-4CFC-A329-42F302023EF3}"/>
    <cellStyle name="Percent 2 3 3" xfId="3585" xr:uid="{5F9C4D67-C148-421E-A840-859EBE599261}"/>
    <cellStyle name="Percent 2 3 3 10" xfId="36204" xr:uid="{47DFAA12-16D5-4BDA-8049-3DA566A57337}"/>
    <cellStyle name="Percent 2 3 3 2" xfId="3586" xr:uid="{7A76C0EE-6EE1-493D-8AD1-EFD27F5FF292}"/>
    <cellStyle name="Percent 2 3 3 2 2" xfId="5383" xr:uid="{D60C3C7E-E9DD-4C69-9D04-A6734525C5B5}"/>
    <cellStyle name="Percent 2 3 3 2 2 2" xfId="19318" xr:uid="{D27E7C41-5058-4614-95AF-502EA745FBB3}"/>
    <cellStyle name="Percent 2 3 3 2 2 2 2" xfId="22935" xr:uid="{63808D5F-D802-4A82-AA63-21B0E8AFCE7C}"/>
    <cellStyle name="Percent 2 3 3 2 2 3" xfId="36205" xr:uid="{8FA184A0-2CF6-4ED6-B74C-563F6919B041}"/>
    <cellStyle name="Percent 2 3 3 2 2 4" xfId="36206" xr:uid="{9730C915-C9A2-4592-819B-2B6771B434B2}"/>
    <cellStyle name="Percent 2 3 3 2 2 5" xfId="36207" xr:uid="{89705928-31B7-47B1-AA2E-894915F88CFC}"/>
    <cellStyle name="Percent 2 3 3 2 2 6" xfId="36208" xr:uid="{4AAA2ADB-74E1-4A6B-85C1-0AAB26F87691}"/>
    <cellStyle name="Percent 2 3 3 2 3" xfId="7027" xr:uid="{5E90CF0E-7AF1-425B-B3B9-B38F0BB1F069}"/>
    <cellStyle name="Percent 2 3 3 2 3 2" xfId="22934" xr:uid="{3C9E016E-AE05-47F1-A8EA-B0AB5E578BAC}"/>
    <cellStyle name="Percent 2 3 3 2 3 3" xfId="46481" xr:uid="{60DDD8E6-A1B7-4871-9B85-0ECD4CA9637B}"/>
    <cellStyle name="Percent 2 3 3 2 3 4" xfId="19317" xr:uid="{10D4AC35-3C54-4492-A231-FD403138C8F8}"/>
    <cellStyle name="Percent 2 3 3 2 4" xfId="9284" xr:uid="{FC0311F5-010F-4541-A7F0-C43240F01863}"/>
    <cellStyle name="Percent 2 3 3 2 4 2" xfId="36209" xr:uid="{BF5A24D0-D870-450A-9BBE-1193644BB71B}"/>
    <cellStyle name="Percent 2 3 3 2 5" xfId="36210" xr:uid="{B73C984A-46A5-40EA-ABA6-FC8AFDD59F34}"/>
    <cellStyle name="Percent 2 3 3 2 6" xfId="36211" xr:uid="{406349A4-5E21-4A00-9D3C-6CA27CDF35E6}"/>
    <cellStyle name="Percent 2 3 3 2 7" xfId="36212" xr:uid="{BD0BDF17-3C65-4894-864A-9A257497F65D}"/>
    <cellStyle name="Percent 2 3 3 3" xfId="3587" xr:uid="{FCA00E63-BE69-4D9E-A298-7796FBD0C850}"/>
    <cellStyle name="Percent 2 3 3 3 2" xfId="5384" xr:uid="{D06348A0-4F79-405D-ACDF-691830BA13C4}"/>
    <cellStyle name="Percent 2 3 3 3 2 2" xfId="19320" xr:uid="{2F6E50D1-6329-4626-A1AC-E0FAF944A786}"/>
    <cellStyle name="Percent 2 3 3 3 2 2 2" xfId="22937" xr:uid="{01FEC354-C4E3-4C68-A0C3-250BD6F1BA10}"/>
    <cellStyle name="Percent 2 3 3 3 2 3" xfId="36213" xr:uid="{0FE372B1-5485-4AF5-8573-49EFC11A5626}"/>
    <cellStyle name="Percent 2 3 3 3 2 4" xfId="36214" xr:uid="{7914AB22-E607-4855-B1C6-ABC60E9B01CF}"/>
    <cellStyle name="Percent 2 3 3 3 2 5" xfId="36215" xr:uid="{23A92397-C431-4F65-A1C9-F66E4F98B9D0}"/>
    <cellStyle name="Percent 2 3 3 3 2 6" xfId="36216" xr:uid="{A973F331-710E-4A54-9AC6-063AB3407BA7}"/>
    <cellStyle name="Percent 2 3 3 3 3" xfId="7028" xr:uid="{9B352DA4-4D8B-41F6-8579-7BCEEF052AEE}"/>
    <cellStyle name="Percent 2 3 3 3 3 2" xfId="22936" xr:uid="{88FE3332-4D6C-4EB1-9616-1C45D73B1390}"/>
    <cellStyle name="Percent 2 3 3 3 3 3" xfId="46482" xr:uid="{E3EE2EA1-2E24-43B2-ABDB-02DD1D49FBAA}"/>
    <cellStyle name="Percent 2 3 3 3 3 4" xfId="19319" xr:uid="{D0C4DB49-BB26-4FCF-AFAB-C762E0875452}"/>
    <cellStyle name="Percent 2 3 3 3 4" xfId="9285" xr:uid="{77BED0EC-A22D-44DC-93B6-904016B3F983}"/>
    <cellStyle name="Percent 2 3 3 3 4 2" xfId="36217" xr:uid="{90963468-A0BB-4AE1-8BCE-5D25047293BB}"/>
    <cellStyle name="Percent 2 3 3 3 5" xfId="36218" xr:uid="{4849C821-C663-483E-8577-36BAA31EB54D}"/>
    <cellStyle name="Percent 2 3 3 3 6" xfId="36219" xr:uid="{72F872CB-6474-44DB-81FC-27E07E45FECF}"/>
    <cellStyle name="Percent 2 3 3 3 7" xfId="36220" xr:uid="{ACD62853-AB33-43DF-8FC2-03BEE59E1431}"/>
    <cellStyle name="Percent 2 3 3 4" xfId="5382" xr:uid="{7BE9BCFF-4899-4382-9A65-DE5E339C6D64}"/>
    <cellStyle name="Percent 2 3 3 4 2" xfId="19321" xr:uid="{FDB185AE-EF96-472E-A5A8-F1934B2153B6}"/>
    <cellStyle name="Percent 2 3 3 4 2 2" xfId="22938" xr:uid="{406A97C4-4D6D-4526-9ED7-D1D5729BB93F}"/>
    <cellStyle name="Percent 2 3 3 4 3" xfId="36221" xr:uid="{23028973-9714-4CE2-ABC0-CB2581757E3F}"/>
    <cellStyle name="Percent 2 3 3 4 4" xfId="36222" xr:uid="{1C24016E-47FE-4C6A-A1FE-52D1C0A58770}"/>
    <cellStyle name="Percent 2 3 3 4 5" xfId="36223" xr:uid="{6E8107E9-620B-4ACD-BE28-3A9C87B76988}"/>
    <cellStyle name="Percent 2 3 3 4 6" xfId="36224" xr:uid="{691AF1A7-0C0A-4B45-9587-8E2AE8463B84}"/>
    <cellStyle name="Percent 2 3 3 5" xfId="4346" xr:uid="{F9238B51-E321-4ACE-A8E6-36087B26E060}"/>
    <cellStyle name="Percent 2 3 3 5 2" xfId="22933" xr:uid="{8DE29C4E-4ED0-4592-AA99-DAE00C94025A}"/>
    <cellStyle name="Percent 2 3 3 5 3" xfId="44149" xr:uid="{605C731E-4335-4CDF-85B0-066CB280D8E5}"/>
    <cellStyle name="Percent 2 3 3 5 4" xfId="19316" xr:uid="{83289702-5A73-4587-86CF-A606270C42DE}"/>
    <cellStyle name="Percent 2 3 3 6" xfId="6412" xr:uid="{8D8061F5-BE72-42D4-8469-5E3AC800EB72}"/>
    <cellStyle name="Percent 2 3 3 6 2" xfId="46060" xr:uid="{75839615-ED58-4DD3-83BF-4851FA52B392}"/>
    <cellStyle name="Percent 2 3 3 6 3" xfId="36225" xr:uid="{762CBC3C-D6C1-4349-8471-DBB4B93875D3}"/>
    <cellStyle name="Percent 2 3 3 7" xfId="9283" xr:uid="{E7A04291-D121-49E8-9A4D-BAC68DD25333}"/>
    <cellStyle name="Percent 2 3 3 7 2" xfId="36226" xr:uid="{8AE08502-073A-4B89-A039-048256BAEF56}"/>
    <cellStyle name="Percent 2 3 3 8" xfId="36227" xr:uid="{1F2BC007-BB73-4A36-B6F0-680110CDAFF0}"/>
    <cellStyle name="Percent 2 3 3 9" xfId="36228" xr:uid="{572F31DA-899A-4B0A-86FE-A07DC94500BE}"/>
    <cellStyle name="Percent 2 3 4" xfId="3588" xr:uid="{ED452BF3-2809-49B2-BA43-1FB7C8F8ADA5}"/>
    <cellStyle name="Percent 2 3 4 2" xfId="5385" xr:uid="{C8B57135-34E2-49C6-A4AF-D0C3DEBC23B6}"/>
    <cellStyle name="Percent 2 3 4 2 2" xfId="19323" xr:uid="{4FED399C-E7CE-4D80-9A02-20F814EF3949}"/>
    <cellStyle name="Percent 2 3 4 2 2 2" xfId="22940" xr:uid="{C3D8AF0B-9118-4B46-9816-6E7D9851381B}"/>
    <cellStyle name="Percent 2 3 4 2 3" xfId="36229" xr:uid="{18975C79-0FC0-4DBE-8D76-00D042D074F3}"/>
    <cellStyle name="Percent 2 3 4 2 4" xfId="36230" xr:uid="{CE9A6BBF-8519-49B8-B375-434C346B3A61}"/>
    <cellStyle name="Percent 2 3 4 2 5" xfId="36231" xr:uid="{3B8F2006-EBD5-4CB5-950B-A81BC795A63F}"/>
    <cellStyle name="Percent 2 3 4 2 6" xfId="36232" xr:uid="{49634E82-22D2-47CB-A387-30886C1AA0B3}"/>
    <cellStyle name="Percent 2 3 4 3" xfId="4347" xr:uid="{C9F79408-F4F5-4764-B532-3D9318238E0E}"/>
    <cellStyle name="Percent 2 3 4 3 2" xfId="22939" xr:uid="{B14FA945-DC2E-4D31-9393-B32FFD4D8864}"/>
    <cellStyle name="Percent 2 3 4 3 3" xfId="44150" xr:uid="{C6C80C87-5E03-46F9-888A-35C234408E30}"/>
    <cellStyle name="Percent 2 3 4 3 4" xfId="19322" xr:uid="{71203795-ABA7-4AD1-9845-98C40C089F83}"/>
    <cellStyle name="Percent 2 3 4 4" xfId="6413" xr:uid="{0BAE206E-D9C5-49A7-A5AB-6E5DD615E143}"/>
    <cellStyle name="Percent 2 3 4 4 2" xfId="46061" xr:uid="{F8C481AF-5B1B-41E8-8FA7-68B788DF20AC}"/>
    <cellStyle name="Percent 2 3 4 4 3" xfId="36233" xr:uid="{76B5DBE6-9BF1-4F08-8E63-C1B88DCC82F7}"/>
    <cellStyle name="Percent 2 3 4 5" xfId="9286" xr:uid="{32C8B38C-6795-4EB6-81C4-EF9D5694CDF4}"/>
    <cellStyle name="Percent 2 3 4 5 2" xfId="36234" xr:uid="{8E9E1919-AD1F-4F94-91B3-BB9321C52860}"/>
    <cellStyle name="Percent 2 3 4 6" xfId="36235" xr:uid="{CA34F648-2170-48BE-8203-8F11777B3C3D}"/>
    <cellStyle name="Percent 2 3 4 7" xfId="36236" xr:uid="{AB180B82-CB1F-4D74-8F07-C96E508F4177}"/>
    <cellStyle name="Percent 2 3 4 8" xfId="36237" xr:uid="{C8521B2E-68E6-4FFA-A8A2-D624BDC9C8EB}"/>
    <cellStyle name="Percent 2 3 5" xfId="3589" xr:uid="{CC4E677B-3074-4519-B97C-5B2CEA41DE29}"/>
    <cellStyle name="Percent 2 3 5 2" xfId="5386" xr:uid="{238C9E02-8BA6-4C81-BF94-790523B38B5C}"/>
    <cellStyle name="Percent 2 3 5 2 2" xfId="19325" xr:uid="{0DEE8C0A-F7AE-4CFF-8CD5-AAEA7B722DC4}"/>
    <cellStyle name="Percent 2 3 5 2 2 2" xfId="22942" xr:uid="{4D00357E-5960-4BAB-832A-A77E17372E35}"/>
    <cellStyle name="Percent 2 3 5 2 3" xfId="36238" xr:uid="{9276BF6B-18EA-48A8-9444-DA0A67ECCDB9}"/>
    <cellStyle name="Percent 2 3 5 2 4" xfId="36239" xr:uid="{552B674C-5A19-4A04-AA9D-2D2CD79FD8BE}"/>
    <cellStyle name="Percent 2 3 5 2 5" xfId="36240" xr:uid="{207FA1A3-A35D-4C06-AEB8-D928F837F28C}"/>
    <cellStyle name="Percent 2 3 5 2 6" xfId="36241" xr:uid="{BDAF20FB-057B-4C9B-A0A7-CFCB69F63F56}"/>
    <cellStyle name="Percent 2 3 5 3" xfId="7029" xr:uid="{102D8658-0279-42EF-BDCA-C3FAE25691D5}"/>
    <cellStyle name="Percent 2 3 5 3 2" xfId="22941" xr:uid="{ACA21034-5F02-469F-BE33-13E4FA672DBE}"/>
    <cellStyle name="Percent 2 3 5 3 3" xfId="46483" xr:uid="{DCD5200F-0E43-43B9-89F4-0A698D85B8CB}"/>
    <cellStyle name="Percent 2 3 5 3 4" xfId="19324" xr:uid="{1EDD6A1A-9489-47CB-8E2C-34AA51C9FAE0}"/>
    <cellStyle name="Percent 2 3 5 4" xfId="9287" xr:uid="{CA5C7024-CFDC-4608-AE0E-7B76F360CE41}"/>
    <cellStyle name="Percent 2 3 5 4 2" xfId="36242" xr:uid="{34B8CC3F-9585-484C-836D-C397CD9555BE}"/>
    <cellStyle name="Percent 2 3 5 5" xfId="36243" xr:uid="{F299BF4C-A26D-4880-8C8B-32ED1E662736}"/>
    <cellStyle name="Percent 2 3 5 6" xfId="36244" xr:uid="{85A8BEF9-F0CD-468E-9A15-D771A499672F}"/>
    <cellStyle name="Percent 2 3 5 7" xfId="36245" xr:uid="{445FB5BB-F92B-4A6B-858E-650A2AC87B74}"/>
    <cellStyle name="Percent 2 3 6" xfId="3590" xr:uid="{1F440800-7BB0-45E7-9446-93BEFC2E9752}"/>
    <cellStyle name="Percent 2 3 6 2" xfId="5387" xr:uid="{650F43F6-D558-46B0-9A08-83B7459659F2}"/>
    <cellStyle name="Percent 2 3 6 2 2" xfId="19327" xr:uid="{CB3A5094-FC32-4856-B0A4-1DB51C0E808C}"/>
    <cellStyle name="Percent 2 3 6 2 2 2" xfId="22944" xr:uid="{7CB11EC1-D233-4127-ABB2-F08D238ABAA1}"/>
    <cellStyle name="Percent 2 3 6 2 3" xfId="36246" xr:uid="{1C30774D-6FA6-473C-A59E-0B4D5671C65B}"/>
    <cellStyle name="Percent 2 3 6 2 4" xfId="36247" xr:uid="{4AE9AF4C-BFCA-4237-B1A5-320BE706C53D}"/>
    <cellStyle name="Percent 2 3 6 2 5" xfId="36248" xr:uid="{3167D88C-52C9-44E6-84C2-F305F4B66845}"/>
    <cellStyle name="Percent 2 3 6 2 6" xfId="36249" xr:uid="{72867530-E673-4DEF-9C27-3169649CF22B}"/>
    <cellStyle name="Percent 2 3 6 3" xfId="7030" xr:uid="{36A168F6-A61D-4F31-958C-DBA659A9DA53}"/>
    <cellStyle name="Percent 2 3 6 3 2" xfId="22943" xr:uid="{10E43F0A-BD2F-4E66-8D09-4BEEAAA90816}"/>
    <cellStyle name="Percent 2 3 6 3 3" xfId="46484" xr:uid="{851B4AF0-8239-4536-A27B-DF933A05F313}"/>
    <cellStyle name="Percent 2 3 6 3 4" xfId="19326" xr:uid="{2CCFC299-A5B4-42CF-B7BF-83D4ADCE40BE}"/>
    <cellStyle name="Percent 2 3 6 4" xfId="9288" xr:uid="{4DA78842-4034-4BB4-B1AB-CB86562F9F4B}"/>
    <cellStyle name="Percent 2 3 6 4 2" xfId="36250" xr:uid="{90DF6170-C30C-4DAF-9629-EF08C6EFFC2E}"/>
    <cellStyle name="Percent 2 3 6 5" xfId="36251" xr:uid="{4EC97870-421D-4E01-82B1-923AB118EA5A}"/>
    <cellStyle name="Percent 2 3 6 6" xfId="36252" xr:uid="{3B29FCBB-C378-42A3-8F60-E2178180648C}"/>
    <cellStyle name="Percent 2 3 6 7" xfId="36253" xr:uid="{0710DAEA-3441-49FD-ADD1-1BC9BD46F1D9}"/>
    <cellStyle name="Percent 2 3 7" xfId="3591" xr:uid="{075C022E-621C-412D-BA12-FE39D610B66B}"/>
    <cellStyle name="Percent 2 3 7 2" xfId="5388" xr:uid="{20748E79-F6F0-4674-ABC0-972067ED112F}"/>
    <cellStyle name="Percent 2 3 7 2 2" xfId="19329" xr:uid="{B71613FF-75C9-48DB-9E29-99310CCA2208}"/>
    <cellStyle name="Percent 2 3 7 2 2 2" xfId="22946" xr:uid="{B9370E63-FA6E-45C4-9D0A-F05B4F2FCCB5}"/>
    <cellStyle name="Percent 2 3 7 2 3" xfId="36254" xr:uid="{F6DE7DBD-8C95-412F-A3B7-77479A349BFD}"/>
    <cellStyle name="Percent 2 3 7 2 4" xfId="36255" xr:uid="{85DB96C7-5C0D-4069-A758-1A209A3BA0E1}"/>
    <cellStyle name="Percent 2 3 7 2 5" xfId="36256" xr:uid="{F7D5CA75-231F-4413-A18F-A9016978652C}"/>
    <cellStyle name="Percent 2 3 7 2 6" xfId="36257" xr:uid="{5A97FC07-A722-41D0-B10D-89F258E73343}"/>
    <cellStyle name="Percent 2 3 7 3" xfId="7031" xr:uid="{533B7B45-30EE-4002-B27A-3B136DFC4AF8}"/>
    <cellStyle name="Percent 2 3 7 3 2" xfId="22945" xr:uid="{8B77FD2E-B582-484F-9538-7EDB34A6017D}"/>
    <cellStyle name="Percent 2 3 7 3 3" xfId="46485" xr:uid="{487BEB45-02DC-45FB-A821-A91FECFB0864}"/>
    <cellStyle name="Percent 2 3 7 3 4" xfId="19328" xr:uid="{AF093049-C52C-4F6A-B470-DDAB63EE19DD}"/>
    <cellStyle name="Percent 2 3 7 4" xfId="9289" xr:uid="{F7F27770-24E2-4AB7-9ADE-E5193B0E3855}"/>
    <cellStyle name="Percent 2 3 7 4 2" xfId="36258" xr:uid="{EEEEBD62-217A-4329-8747-E9EB14AA904D}"/>
    <cellStyle name="Percent 2 3 7 5" xfId="36259" xr:uid="{36CA8F08-E56D-44EE-BD05-04304926032A}"/>
    <cellStyle name="Percent 2 3 7 6" xfId="36260" xr:uid="{45DFBE7C-E8D5-4653-B004-037BEC454974}"/>
    <cellStyle name="Percent 2 3 7 7" xfId="36261" xr:uid="{BBC53F1C-61F2-42F3-8ABD-2FE9F3CFF158}"/>
    <cellStyle name="Percent 2 3 8" xfId="3592" xr:uid="{B1207093-2A9F-4914-936C-B3AB1DC104D2}"/>
    <cellStyle name="Percent 2 3 8 2" xfId="5389" xr:uid="{77F583A4-ABB1-4079-B3EE-B4B9DCB9FCFA}"/>
    <cellStyle name="Percent 2 3 8 2 2" xfId="19331" xr:uid="{07F9CA54-7A26-499F-8089-E4BF6FAA150D}"/>
    <cellStyle name="Percent 2 3 8 2 2 2" xfId="22948" xr:uid="{D2B8C42E-56C6-4481-8C32-00CE7A6B3225}"/>
    <cellStyle name="Percent 2 3 8 2 3" xfId="36262" xr:uid="{AE304D03-9DB3-4698-B4A0-0C049E8CF1BB}"/>
    <cellStyle name="Percent 2 3 8 2 4" xfId="36263" xr:uid="{E2436908-8976-461C-AF11-E88B521D5D9F}"/>
    <cellStyle name="Percent 2 3 8 2 5" xfId="36264" xr:uid="{AAAA1A7F-FE53-4C17-B818-6316C87A8BB7}"/>
    <cellStyle name="Percent 2 3 8 2 6" xfId="36265" xr:uid="{14E6295C-BF19-44A9-8F89-F75B4A06735E}"/>
    <cellStyle name="Percent 2 3 8 3" xfId="7032" xr:uid="{79434A1C-A5A8-414E-A30E-BC275AE85FB0}"/>
    <cellStyle name="Percent 2 3 8 3 2" xfId="22947" xr:uid="{D196E1E3-7DD3-40E0-AA78-F506E44DE9CE}"/>
    <cellStyle name="Percent 2 3 8 3 3" xfId="46486" xr:uid="{60FF0884-596F-4972-B44A-66E60A52F41A}"/>
    <cellStyle name="Percent 2 3 8 3 4" xfId="19330" xr:uid="{AD81873F-B42D-4EDE-9D66-ABD90108815F}"/>
    <cellStyle name="Percent 2 3 8 4" xfId="9290" xr:uid="{4C2510EE-DC6C-4504-8815-85A5BB6EAA0A}"/>
    <cellStyle name="Percent 2 3 8 4 2" xfId="36266" xr:uid="{DA74D121-CD0A-4B50-BB61-20C6DA59E088}"/>
    <cellStyle name="Percent 2 3 8 5" xfId="36267" xr:uid="{FAFBE620-E5AD-42A6-8D1A-3DA23E508268}"/>
    <cellStyle name="Percent 2 3 8 6" xfId="36268" xr:uid="{60E7F997-04FF-4CA3-9B0C-25670E072F62}"/>
    <cellStyle name="Percent 2 3 8 7" xfId="36269" xr:uid="{6B4DDB1E-0D23-4511-9443-6F2025EF9F05}"/>
    <cellStyle name="Percent 2 3 9" xfId="5378" xr:uid="{01A1AD7E-A4D3-4411-A14B-035857CB0A7A}"/>
    <cellStyle name="Percent 2 3 9 2" xfId="19332" xr:uid="{165ED0F1-0EF9-481F-8E7B-185D337E7821}"/>
    <cellStyle name="Percent 2 3 9 2 2" xfId="22949" xr:uid="{F22A67B6-EEB0-4074-A58B-32A8FE9D19AD}"/>
    <cellStyle name="Percent 2 3 9 3" xfId="36270" xr:uid="{34D4E0E0-4D43-446F-B682-E42A8D3480A0}"/>
    <cellStyle name="Percent 2 3 9 4" xfId="36271" xr:uid="{37748F82-1974-47D1-8E67-4C02A95B3EAC}"/>
    <cellStyle name="Percent 2 3 9 5" xfId="36272" xr:uid="{E18D255D-93E7-406F-820A-64AC8A5975E5}"/>
    <cellStyle name="Percent 2 3 9 6" xfId="36273" xr:uid="{326DD037-5F27-48FB-BA74-F98BFDC4DF7B}"/>
    <cellStyle name="Percent 2 4" xfId="3593" xr:uid="{439D8D6F-0D94-4CF4-9292-D5752D7BE10B}"/>
    <cellStyle name="Percent 2 4 10" xfId="36274" xr:uid="{7C839A56-A0C5-44C4-B691-7975D8D13BE5}"/>
    <cellStyle name="Percent 2 4 2" xfId="3594" xr:uid="{901D64DC-ADE2-4507-A66A-A9D31E44B029}"/>
    <cellStyle name="Percent 2 4 2 2" xfId="5391" xr:uid="{9E5C5814-B96E-4728-A104-B8D16AC7642E}"/>
    <cellStyle name="Percent 2 4 2 2 2" xfId="22951" xr:uid="{EA17E2B5-1F17-44EE-87ED-746D7549A480}"/>
    <cellStyle name="Percent 2 4 2 2 3" xfId="43727" xr:uid="{0739311B-FA11-4F36-9C3B-794FF121D488}"/>
    <cellStyle name="Percent 2 4 2 2 4" xfId="19334" xr:uid="{6AD3AEB5-0DD1-4CC0-A462-913039981AB0}"/>
    <cellStyle name="Percent 2 4 2 3" xfId="4349" xr:uid="{1D6CA4DA-8694-4BBF-A1F5-9F61A0388FCB}"/>
    <cellStyle name="Percent 2 4 2 3 2" xfId="44152" xr:uid="{3A69E562-6DFA-43E1-9A2C-694D3724024E}"/>
    <cellStyle name="Percent 2 4 2 3 3" xfId="36275" xr:uid="{8B305CF6-3BAE-4432-9ED5-6A23D228EF66}"/>
    <cellStyle name="Percent 2 4 2 4" xfId="6415" xr:uid="{3DE7D5E3-FD36-41EC-A34F-8121A879F553}"/>
    <cellStyle name="Percent 2 4 2 4 2" xfId="46063" xr:uid="{9C290E8D-76F1-4F64-B8D9-44A4877B4D2C}"/>
    <cellStyle name="Percent 2 4 2 4 3" xfId="36276" xr:uid="{C7FCFB1D-8BB1-461A-BD44-94608B2DE7E2}"/>
    <cellStyle name="Percent 2 4 2 5" xfId="9292" xr:uid="{4E68ABFD-A31E-44CA-AE5E-7F0595E0F25D}"/>
    <cellStyle name="Percent 2 4 2 5 2" xfId="36277" xr:uid="{3EA071C4-C2AE-43CD-83D4-79AC01AB4D65}"/>
    <cellStyle name="Percent 2 4 2 6" xfId="36278" xr:uid="{3C132802-D1E8-4C85-96B5-C0B6BC2CCA0D}"/>
    <cellStyle name="Percent 2 4 2 7" xfId="36279" xr:uid="{4BEFCFD2-A665-4F7B-B7D8-70849678E9AC}"/>
    <cellStyle name="Percent 2 4 3" xfId="3595" xr:uid="{61FAF6E6-4223-4B90-B154-B05AF5395355}"/>
    <cellStyle name="Percent 2 4 3 2" xfId="5392" xr:uid="{900C609C-6758-4130-9DEA-EF59DAF086E8}"/>
    <cellStyle name="Percent 2 4 3 2 2" xfId="22952" xr:uid="{012C46F9-464B-433D-A38C-D146B9145E57}"/>
    <cellStyle name="Percent 2 4 3 2 3" xfId="43728" xr:uid="{20FF92E8-3F85-4275-8A44-0F47D96E4F46}"/>
    <cellStyle name="Percent 2 4 3 2 4" xfId="19335" xr:uid="{7264616E-BCA0-42AB-9FFE-FB9583B4E0E8}"/>
    <cellStyle name="Percent 2 4 3 3" xfId="4350" xr:uid="{B8849127-3000-4E28-AE94-B46B56BBEF98}"/>
    <cellStyle name="Percent 2 4 3 3 2" xfId="44153" xr:uid="{1C582F91-652A-4DA7-A33F-DE83B03A0DFA}"/>
    <cellStyle name="Percent 2 4 3 3 3" xfId="36280" xr:uid="{6B196254-B587-4084-BE61-1C9ED843A4C1}"/>
    <cellStyle name="Percent 2 4 3 4" xfId="6416" xr:uid="{C1E5E8BB-19A2-4356-8A26-3DE78D459997}"/>
    <cellStyle name="Percent 2 4 3 4 2" xfId="46064" xr:uid="{F1148A10-BD03-4778-A969-868713C726B4}"/>
    <cellStyle name="Percent 2 4 3 4 3" xfId="36281" xr:uid="{073D9FCD-025E-4A14-9958-5325B83E8842}"/>
    <cellStyle name="Percent 2 4 3 5" xfId="9293" xr:uid="{FD90755F-719A-4ADA-9758-DEE6A7D28E87}"/>
    <cellStyle name="Percent 2 4 3 5 2" xfId="36282" xr:uid="{DB76BBB6-9EFC-4432-85B3-08F45C915BF8}"/>
    <cellStyle name="Percent 2 4 3 6" xfId="36283" xr:uid="{EBD6A339-511E-4ED2-9287-790A57C73641}"/>
    <cellStyle name="Percent 2 4 3 7" xfId="36284" xr:uid="{99A5BCF5-46A9-45B9-9CC8-BCFB016218E5}"/>
    <cellStyle name="Percent 2 4 4" xfId="3596" xr:uid="{D1BEC2B1-276D-4794-BD64-57808B7CAB94}"/>
    <cellStyle name="Percent 2 4 4 2" xfId="5393" xr:uid="{7338D087-F56A-48A9-8DF1-A9CC54CA4D9A}"/>
    <cellStyle name="Percent 2 4 4 2 2" xfId="22953" xr:uid="{3B37F292-49A7-4331-9FA7-3A84071D8534}"/>
    <cellStyle name="Percent 2 4 4 2 3" xfId="43729" xr:uid="{6EDCF81F-AFB1-42A3-853D-3CD56F50068D}"/>
    <cellStyle name="Percent 2 4 4 2 4" xfId="19336" xr:uid="{009545F4-2910-4F46-9C44-8DBBF933416C}"/>
    <cellStyle name="Percent 2 4 4 3" xfId="4351" xr:uid="{386A3B4F-0421-4E09-9256-56BFE1F48097}"/>
    <cellStyle name="Percent 2 4 4 3 2" xfId="44154" xr:uid="{82A7B147-FF87-4ACE-A59C-7B061C4CBE99}"/>
    <cellStyle name="Percent 2 4 4 3 3" xfId="36285" xr:uid="{15EDD6C3-2E2F-4806-BECB-5CFFAB3F9FB1}"/>
    <cellStyle name="Percent 2 4 4 4" xfId="6417" xr:uid="{C1716816-78E6-4F25-B46C-BC849476CB64}"/>
    <cellStyle name="Percent 2 4 4 4 2" xfId="46065" xr:uid="{FE8B1563-C507-4319-B0FE-476F561C6848}"/>
    <cellStyle name="Percent 2 4 4 4 3" xfId="36286" xr:uid="{F07EE401-7505-4E25-A87C-B86555B1CCC8}"/>
    <cellStyle name="Percent 2 4 4 5" xfId="9294" xr:uid="{2D794AC6-FFB2-4311-A9AC-95D31A9ECE39}"/>
    <cellStyle name="Percent 2 4 4 5 2" xfId="36287" xr:uid="{2B8C8A5B-FF9D-496F-B0E1-A39B6AD4CB9D}"/>
    <cellStyle name="Percent 2 4 4 6" xfId="36288" xr:uid="{EC8A9DC6-6211-4075-9C51-D1ACE68F75D5}"/>
    <cellStyle name="Percent 2 4 4 7" xfId="36289" xr:uid="{E836A828-ACC0-4237-A750-4289137DC25D}"/>
    <cellStyle name="Percent 2 4 5" xfId="5390" xr:uid="{8717E657-0FD9-4CCA-86FD-25B8759A2D64}"/>
    <cellStyle name="Percent 2 4 5 2" xfId="22950" xr:uid="{D5CAC86B-975C-4D30-BEB4-6872A99FB7A6}"/>
    <cellStyle name="Percent 2 4 5 3" xfId="43726" xr:uid="{807F4FF6-1163-4442-BB3E-63F432888C01}"/>
    <cellStyle name="Percent 2 4 5 4" xfId="19333" xr:uid="{EB0524D4-A3D1-4A8B-9056-0BE1B97F3E99}"/>
    <cellStyle name="Percent 2 4 6" xfId="4348" xr:uid="{4CB22AA1-09AA-4698-87F2-2FA6823550B4}"/>
    <cellStyle name="Percent 2 4 6 2" xfId="44151" xr:uid="{6C57FD96-42FF-4517-BAF0-CFC969915F49}"/>
    <cellStyle name="Percent 2 4 6 3" xfId="36290" xr:uid="{853AB128-0A11-4B48-A65F-ED2CDDD07310}"/>
    <cellStyle name="Percent 2 4 7" xfId="6414" xr:uid="{2CD698F9-F252-4F6E-979E-298048683EB1}"/>
    <cellStyle name="Percent 2 4 7 2" xfId="46062" xr:uid="{9C87D862-EC35-4935-8663-0B9F1B5A8FB0}"/>
    <cellStyle name="Percent 2 4 7 3" xfId="36291" xr:uid="{AC966363-09B5-4620-B989-F78E056FA2DE}"/>
    <cellStyle name="Percent 2 4 8" xfId="9291" xr:uid="{431C7B9A-95AA-4E69-9C54-EB8E22CC5026}"/>
    <cellStyle name="Percent 2 4 8 2" xfId="36292" xr:uid="{7FD61FAC-CBAF-4F28-BAFB-FB468CC92E65}"/>
    <cellStyle name="Percent 2 4 9" xfId="36293" xr:uid="{9C15D5C0-4BA1-41FB-B23A-9E46637DDB69}"/>
    <cellStyle name="Percent 2 5" xfId="3597" xr:uid="{BC33FF60-DDDA-4DDE-B596-878BC2673724}"/>
    <cellStyle name="Percent 2 5 10" xfId="36294" xr:uid="{B455F697-3A90-403E-9BE3-2C1AFA9FE9C4}"/>
    <cellStyle name="Percent 2 5 2" xfId="3598" xr:uid="{A2C9B70D-4535-4B77-8DCF-3E372B48C892}"/>
    <cellStyle name="Percent 2 5 2 2" xfId="5395" xr:uid="{40A58637-3594-4E2C-ADB7-C73E01ECDA08}"/>
    <cellStyle name="Percent 2 5 2 2 2" xfId="22955" xr:uid="{E88F9418-DCB7-499F-BA61-35A52E19548B}"/>
    <cellStyle name="Percent 2 5 2 2 3" xfId="43731" xr:uid="{71B00CE5-89CB-4B5D-9C79-AC278C60FEC0}"/>
    <cellStyle name="Percent 2 5 2 2 4" xfId="19338" xr:uid="{67EAD008-F316-402B-80C9-101E8AD8F565}"/>
    <cellStyle name="Percent 2 5 2 3" xfId="4353" xr:uid="{80C10037-8519-43B2-BEC0-4E4C8BAC677D}"/>
    <cellStyle name="Percent 2 5 2 3 2" xfId="44156" xr:uid="{E2A2A79C-B067-4EBC-B2BF-967CB0EF8404}"/>
    <cellStyle name="Percent 2 5 2 3 3" xfId="36295" xr:uid="{F95D52A3-8CF0-4992-8545-1DE1A852931B}"/>
    <cellStyle name="Percent 2 5 2 4" xfId="6419" xr:uid="{6CD6B769-2013-4F1F-B9F8-6F74C93B7973}"/>
    <cellStyle name="Percent 2 5 2 4 2" xfId="46067" xr:uid="{BE9D4670-9C4E-46E3-AB26-AEE9EC45F4DD}"/>
    <cellStyle name="Percent 2 5 2 4 3" xfId="36296" xr:uid="{CF12A0A1-A976-4FCD-B807-C5587547E21F}"/>
    <cellStyle name="Percent 2 5 2 5" xfId="9296" xr:uid="{776B5BF4-DDA8-44D2-9399-75B686581339}"/>
    <cellStyle name="Percent 2 5 2 5 2" xfId="36297" xr:uid="{079B8759-E24B-41EA-9E85-9DB9EF2FCC93}"/>
    <cellStyle name="Percent 2 5 2 6" xfId="36298" xr:uid="{6DA115B6-0137-48C5-A95E-527457A36F4E}"/>
    <cellStyle name="Percent 2 5 2 7" xfId="36299" xr:uid="{2A3909E8-B154-47D1-A554-0C646B31690F}"/>
    <cellStyle name="Percent 2 5 3" xfId="3599" xr:uid="{37B761F9-146B-46AE-B6F5-9EC8704316CD}"/>
    <cellStyle name="Percent 2 5 3 2" xfId="5396" xr:uid="{41ADF8B5-9BAF-43A8-84F7-5B2EBAA3041E}"/>
    <cellStyle name="Percent 2 5 3 2 2" xfId="22956" xr:uid="{E80F50C6-4804-492F-B552-C8C7D89650EC}"/>
    <cellStyle name="Percent 2 5 3 2 3" xfId="43732" xr:uid="{FA94D087-CFA5-4FC8-8684-C9DC108C5CAF}"/>
    <cellStyle name="Percent 2 5 3 2 4" xfId="19339" xr:uid="{08C8F130-F749-4461-B275-93573FAE1BBC}"/>
    <cellStyle name="Percent 2 5 3 3" xfId="4354" xr:uid="{46956820-17B5-4A86-934B-84136708AB0E}"/>
    <cellStyle name="Percent 2 5 3 3 2" xfId="44157" xr:uid="{2A541FC5-1174-45A2-91A8-0F8EBA65EABF}"/>
    <cellStyle name="Percent 2 5 3 3 3" xfId="36300" xr:uid="{FE95B422-DA42-46A1-B647-579D6552417B}"/>
    <cellStyle name="Percent 2 5 3 4" xfId="6420" xr:uid="{7E9EC83C-456B-477C-9BCD-DBE3624FA061}"/>
    <cellStyle name="Percent 2 5 3 4 2" xfId="46068" xr:uid="{952A5092-9E19-4C73-B798-0F37670FE60F}"/>
    <cellStyle name="Percent 2 5 3 4 3" xfId="36301" xr:uid="{1171481D-D656-4A41-8C52-2A8FA2236666}"/>
    <cellStyle name="Percent 2 5 3 5" xfId="9297" xr:uid="{8684BB9B-E5FF-4D8F-A927-042F5589817C}"/>
    <cellStyle name="Percent 2 5 3 5 2" xfId="36302" xr:uid="{C60B2459-91A2-4A06-BFDC-5505644A648B}"/>
    <cellStyle name="Percent 2 5 3 6" xfId="36303" xr:uid="{593CB030-FF6B-4D19-BBEC-224B03816BAC}"/>
    <cellStyle name="Percent 2 5 3 7" xfId="36304" xr:uid="{547D57CB-35CF-493F-ABC9-0CCAB55E69C1}"/>
    <cellStyle name="Percent 2 5 4" xfId="3600" xr:uid="{375F8A30-6B5D-47D9-8F26-052B01DFA5FE}"/>
    <cellStyle name="Percent 2 5 4 2" xfId="5397" xr:uid="{1DE33CEA-7F10-4F88-A58F-CBC66C581487}"/>
    <cellStyle name="Percent 2 5 4 2 2" xfId="22957" xr:uid="{096498C8-BD32-4F7E-9D58-3D26764138D3}"/>
    <cellStyle name="Percent 2 5 4 2 3" xfId="43733" xr:uid="{8EB8C026-4331-4DAD-930F-764F2A9E84A5}"/>
    <cellStyle name="Percent 2 5 4 2 4" xfId="19340" xr:uid="{E09AB898-4660-410B-A8AB-606C0DC1BC9C}"/>
    <cellStyle name="Percent 2 5 4 3" xfId="4355" xr:uid="{656842A2-75F2-43BC-AE25-3A7DE33A4B9E}"/>
    <cellStyle name="Percent 2 5 4 3 2" xfId="44158" xr:uid="{36C41FB6-3E65-4B58-A007-675AAA3ECF26}"/>
    <cellStyle name="Percent 2 5 4 3 3" xfId="36305" xr:uid="{C08C07B2-4E43-493D-8735-42AF837A5CD0}"/>
    <cellStyle name="Percent 2 5 4 4" xfId="6421" xr:uid="{358F5CF1-4C17-4BCA-8C4D-1B601C45EEEC}"/>
    <cellStyle name="Percent 2 5 4 4 2" xfId="46069" xr:uid="{181C7320-6A53-47FB-B6A9-D14E796D3E89}"/>
    <cellStyle name="Percent 2 5 4 4 3" xfId="36306" xr:uid="{4318C517-E17A-40E0-AA55-5E3F32143BB9}"/>
    <cellStyle name="Percent 2 5 4 5" xfId="9298" xr:uid="{91D68BDF-D260-429A-8D7D-1A03B9ED5D2E}"/>
    <cellStyle name="Percent 2 5 4 5 2" xfId="36307" xr:uid="{27570E02-EE68-404A-93FD-D84435057D96}"/>
    <cellStyle name="Percent 2 5 4 6" xfId="36308" xr:uid="{1A500C46-8A9E-494B-887C-D0DCE4C2FC35}"/>
    <cellStyle name="Percent 2 5 4 7" xfId="36309" xr:uid="{2ECD01C6-99C6-45D9-838C-CED73502341F}"/>
    <cellStyle name="Percent 2 5 5" xfId="5394" xr:uid="{26489C5E-79F8-4C10-B1A2-DEBD60DE9DE0}"/>
    <cellStyle name="Percent 2 5 5 2" xfId="22954" xr:uid="{92C6A40F-2BAF-42D8-8ABB-83D27E2467D1}"/>
    <cellStyle name="Percent 2 5 5 3" xfId="43730" xr:uid="{A236E04E-96F2-4807-8F21-1BB562068BAD}"/>
    <cellStyle name="Percent 2 5 5 4" xfId="19337" xr:uid="{A80D310C-01FB-4379-91B9-70600C2B9DCF}"/>
    <cellStyle name="Percent 2 5 6" xfId="4352" xr:uid="{DA2274E0-E027-4F6E-B3F7-14CFCC00C9AB}"/>
    <cellStyle name="Percent 2 5 6 2" xfId="44155" xr:uid="{981478BD-ECE0-4152-8CBF-F942BC659079}"/>
    <cellStyle name="Percent 2 5 6 3" xfId="36310" xr:uid="{77EC8CB1-855F-48EC-8822-A8B74088AC5A}"/>
    <cellStyle name="Percent 2 5 7" xfId="6418" xr:uid="{35E176CD-873C-4E06-846D-2483EBCB0EAE}"/>
    <cellStyle name="Percent 2 5 7 2" xfId="46066" xr:uid="{DD26E4EE-1DBE-4A85-9282-621200213D32}"/>
    <cellStyle name="Percent 2 5 7 3" xfId="36311" xr:uid="{DB1D728B-4860-4559-99A4-CD6865B15854}"/>
    <cellStyle name="Percent 2 5 8" xfId="9295" xr:uid="{7DFE2ECA-1A10-4CA8-ADBE-877B4C6FA8D0}"/>
    <cellStyle name="Percent 2 5 8 2" xfId="36312" xr:uid="{567CB66E-AC4B-4258-A57E-140A16A2F0D1}"/>
    <cellStyle name="Percent 2 5 9" xfId="36313" xr:uid="{2D9F5DBE-B86F-4682-9722-06A2A1E64864}"/>
    <cellStyle name="Percent 2 6" xfId="3601" xr:uid="{5B1C75E7-B923-49A7-82B1-2BBFACC1008C}"/>
    <cellStyle name="Percent 2 6 10" xfId="36314" xr:uid="{F50B722F-A390-4B38-A53A-C10E6BF82D88}"/>
    <cellStyle name="Percent 2 6 2" xfId="3602" xr:uid="{B2EF0C23-BD26-4235-8F90-839B7005AF41}"/>
    <cellStyle name="Percent 2 6 2 2" xfId="5399" xr:uid="{083F111D-CFB1-4CBC-9DD3-0371DDCF8B4E}"/>
    <cellStyle name="Percent 2 6 2 2 2" xfId="22959" xr:uid="{DF2A1E0D-B1D6-4D62-8927-CE3ED80E87D4}"/>
    <cellStyle name="Percent 2 6 2 2 3" xfId="43735" xr:uid="{AE4DB4BB-C3FE-4524-BAB2-AA84C1A7F040}"/>
    <cellStyle name="Percent 2 6 2 2 4" xfId="19342" xr:uid="{E71D21AF-6ABA-4988-AD13-14085FFE1D08}"/>
    <cellStyle name="Percent 2 6 2 3" xfId="4357" xr:uid="{0A33DCF8-E660-46E1-BBE0-AF180A432090}"/>
    <cellStyle name="Percent 2 6 2 3 2" xfId="44160" xr:uid="{19022B14-099F-4383-AD44-9AC5FB382BB7}"/>
    <cellStyle name="Percent 2 6 2 3 3" xfId="36315" xr:uid="{35097EC3-1883-4AFA-B23A-6C3FC87A1589}"/>
    <cellStyle name="Percent 2 6 2 4" xfId="6423" xr:uid="{DA682974-25EE-44C4-90BA-FCBE7F8ECE4B}"/>
    <cellStyle name="Percent 2 6 2 4 2" xfId="46071" xr:uid="{F2F287D5-7B25-4A84-9434-B4E67D814089}"/>
    <cellStyle name="Percent 2 6 2 4 3" xfId="36316" xr:uid="{48907C5A-1AF9-4B75-AB1E-17EAF151FBB5}"/>
    <cellStyle name="Percent 2 6 2 5" xfId="9300" xr:uid="{B89515DF-A1DF-4CE9-BDE1-4CB1AD8071B6}"/>
    <cellStyle name="Percent 2 6 2 5 2" xfId="36317" xr:uid="{F8BD25E8-4B54-4C02-A25B-D819E8F564A0}"/>
    <cellStyle name="Percent 2 6 2 6" xfId="36318" xr:uid="{F5C3AE1C-3C2C-4EAA-A49A-A854B6A2921A}"/>
    <cellStyle name="Percent 2 6 2 7" xfId="36319" xr:uid="{60E48DB2-4DA5-4076-8188-1975191B50A2}"/>
    <cellStyle name="Percent 2 6 3" xfId="3603" xr:uid="{02475F56-6234-4F18-A841-E2FEDC3E7116}"/>
    <cellStyle name="Percent 2 6 3 2" xfId="5400" xr:uid="{6429AEB0-8913-4592-B902-4510E92F2C64}"/>
    <cellStyle name="Percent 2 6 3 2 2" xfId="22960" xr:uid="{049E1D27-41B6-4146-8504-5279914830BD}"/>
    <cellStyle name="Percent 2 6 3 2 3" xfId="43736" xr:uid="{36D51AFD-FEA7-4449-80BA-215768F5DD4F}"/>
    <cellStyle name="Percent 2 6 3 2 4" xfId="19343" xr:uid="{BF469DB3-BF28-40BA-BC5F-25562AFDF3A8}"/>
    <cellStyle name="Percent 2 6 3 3" xfId="4358" xr:uid="{D1C7F404-8A6B-4198-AA1A-19473D35ADF9}"/>
    <cellStyle name="Percent 2 6 3 3 2" xfId="44161" xr:uid="{10A3CCA7-BE71-4120-8241-84A7303318AA}"/>
    <cellStyle name="Percent 2 6 3 3 3" xfId="36320" xr:uid="{DF7893B2-897C-4574-B57F-6540A8D837CD}"/>
    <cellStyle name="Percent 2 6 3 4" xfId="6424" xr:uid="{D1D5F02B-BDA0-4043-973F-53C55E5D233C}"/>
    <cellStyle name="Percent 2 6 3 4 2" xfId="46072" xr:uid="{8AF7FDA3-620A-4264-9495-2C9C3707654E}"/>
    <cellStyle name="Percent 2 6 3 4 3" xfId="36321" xr:uid="{0D09F152-8B33-4EF1-958D-924F6C7FDF52}"/>
    <cellStyle name="Percent 2 6 3 5" xfId="9301" xr:uid="{9583AF02-FBB1-4B60-8946-376984D7BD53}"/>
    <cellStyle name="Percent 2 6 3 5 2" xfId="36322" xr:uid="{874E8E20-63A7-4B3E-A528-CDB527E0F018}"/>
    <cellStyle name="Percent 2 6 3 6" xfId="36323" xr:uid="{2AAA9F3C-13F6-42FF-8EBF-E345C1DC3236}"/>
    <cellStyle name="Percent 2 6 3 7" xfId="36324" xr:uid="{7415902D-2C65-4DD4-AFB6-32D5A70127F2}"/>
    <cellStyle name="Percent 2 6 4" xfId="3604" xr:uid="{5513B71E-4396-429B-851A-62DCC1E725D5}"/>
    <cellStyle name="Percent 2 6 4 2" xfId="5401" xr:uid="{A7844844-05B7-4493-8DAE-A88A199CC665}"/>
    <cellStyle name="Percent 2 6 4 2 2" xfId="22961" xr:uid="{74A48AA0-4F17-4B81-9C5E-DD6B2BD927CD}"/>
    <cellStyle name="Percent 2 6 4 2 3" xfId="43737" xr:uid="{B5FC2B13-17DA-4F5E-B68A-130DA70BD587}"/>
    <cellStyle name="Percent 2 6 4 2 4" xfId="19344" xr:uid="{A20BAFA4-3252-4DC5-B9C0-812D7443235A}"/>
    <cellStyle name="Percent 2 6 4 3" xfId="4359" xr:uid="{71ACC5F3-6C9E-4515-9713-91F0BC43BE5A}"/>
    <cellStyle name="Percent 2 6 4 3 2" xfId="44162" xr:uid="{5E6DAD5F-8E00-432A-8778-C56691518C95}"/>
    <cellStyle name="Percent 2 6 4 3 3" xfId="36325" xr:uid="{86F1A03C-3C90-482D-B152-359EE429CFB0}"/>
    <cellStyle name="Percent 2 6 4 4" xfId="6425" xr:uid="{DE6D65B3-47C7-4A71-B4AB-80A4AC15876C}"/>
    <cellStyle name="Percent 2 6 4 4 2" xfId="46073" xr:uid="{1E90AD38-D5FB-4E11-B8FA-817EB923DC47}"/>
    <cellStyle name="Percent 2 6 4 4 3" xfId="36326" xr:uid="{5A2A0F1C-56A2-4674-9A6F-1BF07D6D26A5}"/>
    <cellStyle name="Percent 2 6 4 5" xfId="9302" xr:uid="{176EFBEC-3F23-41CC-8516-B0DB29EECEE3}"/>
    <cellStyle name="Percent 2 6 4 5 2" xfId="36327" xr:uid="{8509A3CF-E491-432E-BA2C-AB17449E8282}"/>
    <cellStyle name="Percent 2 6 4 6" xfId="36328" xr:uid="{80B2D255-8AD1-486C-99EB-F137840C2EAF}"/>
    <cellStyle name="Percent 2 6 4 7" xfId="36329" xr:uid="{EE4A5853-58A1-4133-8087-0BA54BFF1A65}"/>
    <cellStyle name="Percent 2 6 5" xfId="5398" xr:uid="{1983EBCC-41E8-446D-8C88-A2ECEE63C981}"/>
    <cellStyle name="Percent 2 6 5 2" xfId="22958" xr:uid="{51C78DCA-81C8-47AD-8BBC-5A235ADF2CBE}"/>
    <cellStyle name="Percent 2 6 5 3" xfId="43734" xr:uid="{96A2A995-43A1-44E8-8118-D081A1CF8114}"/>
    <cellStyle name="Percent 2 6 5 4" xfId="19341" xr:uid="{A493407D-3743-4E9F-8C0C-D0151F2DC431}"/>
    <cellStyle name="Percent 2 6 6" xfId="4356" xr:uid="{46A85147-DF70-4DFB-8DFF-6DDE460EF3FD}"/>
    <cellStyle name="Percent 2 6 6 2" xfId="44159" xr:uid="{5E50E057-C51E-4E38-BA98-E11A49715B06}"/>
    <cellStyle name="Percent 2 6 6 3" xfId="36330" xr:uid="{07C1FB5E-EDCC-4728-B85D-A5CC57799364}"/>
    <cellStyle name="Percent 2 6 7" xfId="6422" xr:uid="{A577C2E2-4B92-43D8-8AF6-FABF88A8A6B9}"/>
    <cellStyle name="Percent 2 6 7 2" xfId="46070" xr:uid="{10766157-AED7-47E6-99F6-0F384825792F}"/>
    <cellStyle name="Percent 2 6 7 3" xfId="36331" xr:uid="{FE76C967-5B5C-4020-87C2-05E40437669B}"/>
    <cellStyle name="Percent 2 6 8" xfId="9299" xr:uid="{4840A586-9764-4579-A7FB-B07987E1A9C7}"/>
    <cellStyle name="Percent 2 6 8 2" xfId="36332" xr:uid="{E65E34C9-646F-42F8-8FDD-07DF4F488FD6}"/>
    <cellStyle name="Percent 2 6 9" xfId="36333" xr:uid="{174188A6-97ED-4EAB-851B-840BEA1E66B4}"/>
    <cellStyle name="Percent 2 7" xfId="3605" xr:uid="{FB599CFA-151A-4206-B28C-D3065D4396AF}"/>
    <cellStyle name="Percent 2 7 10" xfId="36334" xr:uid="{A8F475ED-7F6D-4BF6-A90E-3BC78D568CED}"/>
    <cellStyle name="Percent 2 7 2" xfId="3606" xr:uid="{3A884E55-C2E6-4F6C-87F6-7D8FB76B4454}"/>
    <cellStyle name="Percent 2 7 2 2" xfId="5403" xr:uid="{B6E8E04D-7438-4177-966E-E3D8F92FBB51}"/>
    <cellStyle name="Percent 2 7 2 2 2" xfId="22963" xr:uid="{A34988CB-F299-4B24-A6B6-CD3821C49B6C}"/>
    <cellStyle name="Percent 2 7 2 2 3" xfId="43739" xr:uid="{7459BA2E-3875-4131-A06A-E931F4389340}"/>
    <cellStyle name="Percent 2 7 2 2 4" xfId="19346" xr:uid="{D49D9449-B42B-4F16-A6F2-B2E823FDE70D}"/>
    <cellStyle name="Percent 2 7 2 3" xfId="4361" xr:uid="{79AA630E-E61C-4FB9-879C-506CEBCDFF1D}"/>
    <cellStyle name="Percent 2 7 2 3 2" xfId="44164" xr:uid="{D2EF65B1-3376-4D71-9B1F-21980282AEC0}"/>
    <cellStyle name="Percent 2 7 2 3 3" xfId="36335" xr:uid="{B13A0218-5C41-4048-A6DE-E82AD9D028CD}"/>
    <cellStyle name="Percent 2 7 2 4" xfId="6427" xr:uid="{59F75814-D392-458B-B546-2E314D242411}"/>
    <cellStyle name="Percent 2 7 2 4 2" xfId="46075" xr:uid="{A2A5B9FA-958E-44A8-A8BE-B8D17E6C1C1E}"/>
    <cellStyle name="Percent 2 7 2 4 3" xfId="36336" xr:uid="{425CA094-1331-4483-9CCA-A202E8D5449E}"/>
    <cellStyle name="Percent 2 7 2 5" xfId="9304" xr:uid="{FD2F15A7-D784-4908-AF74-691F1F6A61BB}"/>
    <cellStyle name="Percent 2 7 2 5 2" xfId="36337" xr:uid="{3BFC31A2-809D-4721-BBC4-CE82E3AF9E35}"/>
    <cellStyle name="Percent 2 7 2 6" xfId="36338" xr:uid="{167BE47E-B282-46CC-A5B0-33D568A0AB60}"/>
    <cellStyle name="Percent 2 7 2 7" xfId="36339" xr:uid="{6A9C058C-BFF9-4541-8C35-1D1474E5BFDD}"/>
    <cellStyle name="Percent 2 7 3" xfId="3607" xr:uid="{949F0A5F-C4AE-41C1-B2A6-F4661F48B034}"/>
    <cellStyle name="Percent 2 7 3 2" xfId="5404" xr:uid="{0204CF97-8A00-4453-B2F0-C4079C3926C6}"/>
    <cellStyle name="Percent 2 7 3 2 2" xfId="22964" xr:uid="{03D33AF2-C8AB-4AF9-8CC0-188D7A10BB9D}"/>
    <cellStyle name="Percent 2 7 3 2 3" xfId="43740" xr:uid="{137BAC78-A394-46FC-9922-BBFBA388A135}"/>
    <cellStyle name="Percent 2 7 3 2 4" xfId="19347" xr:uid="{C3A03AAB-C094-4485-8F05-D37FF2073C3F}"/>
    <cellStyle name="Percent 2 7 3 3" xfId="4362" xr:uid="{7F2CE15B-D104-4DB8-9214-1B4DD17AE8EC}"/>
    <cellStyle name="Percent 2 7 3 3 2" xfId="44165" xr:uid="{2E063E87-37D5-49C2-9676-713F6DEBA7F0}"/>
    <cellStyle name="Percent 2 7 3 3 3" xfId="36340" xr:uid="{DC7349F7-B24E-4726-9F36-DA08BA257211}"/>
    <cellStyle name="Percent 2 7 3 4" xfId="6428" xr:uid="{B8A58116-B7C4-483E-B435-36738BBBA695}"/>
    <cellStyle name="Percent 2 7 3 4 2" xfId="46076" xr:uid="{CD6B8C8A-D689-4DE1-A06C-5E79B51F52C2}"/>
    <cellStyle name="Percent 2 7 3 4 3" xfId="36341" xr:uid="{B0770123-7483-4674-8E31-A80CB7E4BB0F}"/>
    <cellStyle name="Percent 2 7 3 5" xfId="9305" xr:uid="{2C1F8560-2E39-48D3-99A9-61CC05A03460}"/>
    <cellStyle name="Percent 2 7 3 5 2" xfId="36342" xr:uid="{D4F79995-BC9D-41D8-8BBB-E7A1CB024EAD}"/>
    <cellStyle name="Percent 2 7 3 6" xfId="36343" xr:uid="{B0E47BFA-DEB8-4DC7-8E56-15FCC796E01F}"/>
    <cellStyle name="Percent 2 7 3 7" xfId="36344" xr:uid="{37AB214A-EC34-4E19-B740-E1D410046581}"/>
    <cellStyle name="Percent 2 7 4" xfId="3608" xr:uid="{C770876E-3046-40B1-96FF-B0B79C02C2A8}"/>
    <cellStyle name="Percent 2 7 4 2" xfId="5405" xr:uid="{79A8026A-C3BD-428D-9339-4FE378CADA6D}"/>
    <cellStyle name="Percent 2 7 4 2 2" xfId="22965" xr:uid="{7ABCA3F2-B19C-4CEB-B792-C6FCB4F5286D}"/>
    <cellStyle name="Percent 2 7 4 2 3" xfId="43741" xr:uid="{EC4EDFDC-1F50-4613-9F45-D8E4AAE83A9F}"/>
    <cellStyle name="Percent 2 7 4 2 4" xfId="19348" xr:uid="{0B65E617-FF82-47B4-90EF-26EC6F89FBE1}"/>
    <cellStyle name="Percent 2 7 4 3" xfId="4363" xr:uid="{94561570-95CB-42D3-8807-735290B2462C}"/>
    <cellStyle name="Percent 2 7 4 3 2" xfId="44166" xr:uid="{90FDD4DD-8F4C-46E5-B882-83FB898467CB}"/>
    <cellStyle name="Percent 2 7 4 3 3" xfId="36345" xr:uid="{BE9C32E3-1A27-4515-822E-54A2A62C1818}"/>
    <cellStyle name="Percent 2 7 4 4" xfId="6429" xr:uid="{4B7AE804-4C0F-427D-99BF-A5E5DA49856F}"/>
    <cellStyle name="Percent 2 7 4 4 2" xfId="46077" xr:uid="{609206CC-DD3F-4B1F-B50C-21CE877E0A8A}"/>
    <cellStyle name="Percent 2 7 4 4 3" xfId="36346" xr:uid="{7EB156A1-5BE3-4A00-8EC0-A3E27988B881}"/>
    <cellStyle name="Percent 2 7 4 5" xfId="9306" xr:uid="{C34F1BD8-E974-4EA8-B426-ACB6F530BD06}"/>
    <cellStyle name="Percent 2 7 4 5 2" xfId="36347" xr:uid="{967A012E-7773-4EA6-81FC-FDB691E65833}"/>
    <cellStyle name="Percent 2 7 4 6" xfId="36348" xr:uid="{215C0424-67BB-4141-AB3B-2B7FF1B6A538}"/>
    <cellStyle name="Percent 2 7 4 7" xfId="36349" xr:uid="{A35FFFA3-736F-4DF8-91EE-0AA294AEC64B}"/>
    <cellStyle name="Percent 2 7 5" xfId="5402" xr:uid="{A27A62DA-7243-412E-8ADC-510E96557454}"/>
    <cellStyle name="Percent 2 7 5 2" xfId="22962" xr:uid="{DB10C2F6-C8CE-42DD-A24D-4865DE1D3B7A}"/>
    <cellStyle name="Percent 2 7 5 3" xfId="43738" xr:uid="{2708ED60-4EF1-46EF-9EE8-D2E8B4013749}"/>
    <cellStyle name="Percent 2 7 5 4" xfId="19345" xr:uid="{28D79C90-181B-4449-B25E-74C98E3E8503}"/>
    <cellStyle name="Percent 2 7 6" xfId="4360" xr:uid="{D44A373B-E9A1-4CFA-AE1F-53B8CBEFAAFE}"/>
    <cellStyle name="Percent 2 7 6 2" xfId="44163" xr:uid="{C38EC35D-599E-4335-969B-BCF78A910B3D}"/>
    <cellStyle name="Percent 2 7 6 3" xfId="36350" xr:uid="{3201F0A1-C480-4BA7-A678-1FE150E023D7}"/>
    <cellStyle name="Percent 2 7 7" xfId="6426" xr:uid="{7A6B581C-A25F-4A9E-B5A4-0C2F14D07104}"/>
    <cellStyle name="Percent 2 7 7 2" xfId="46074" xr:uid="{93F9F3B6-ADC5-4299-B971-0119A0ED0F12}"/>
    <cellStyle name="Percent 2 7 7 3" xfId="36351" xr:uid="{45436554-6792-4B9E-B60B-F2FACE99C295}"/>
    <cellStyle name="Percent 2 7 8" xfId="9303" xr:uid="{93E2C91D-EB4E-484F-894B-DEE045D189EB}"/>
    <cellStyle name="Percent 2 7 8 2" xfId="36352" xr:uid="{386878B0-0BCC-49F3-9E10-D675AF787C69}"/>
    <cellStyle name="Percent 2 7 9" xfId="36353" xr:uid="{C748216B-B5ED-48F5-B008-EE1DFC7705D6}"/>
    <cellStyle name="Percent 2 8" xfId="3609" xr:uid="{66F15442-0227-4AAE-AD66-49C66C892403}"/>
    <cellStyle name="Percent 2 8 2" xfId="10486" xr:uid="{15E53A80-29C2-4097-AB90-8A1D60069FF6}"/>
    <cellStyle name="Percent 2 8 2 2" xfId="22966" xr:uid="{D9C43778-2B64-4E5E-BE09-4C740664EBE4}"/>
    <cellStyle name="Percent 2 8 2 3" xfId="19349" xr:uid="{03DD5490-380A-466C-89F5-13579F66AC31}"/>
    <cellStyle name="Percent 2 8 3" xfId="11072" xr:uid="{F1E5AD66-78F4-4697-BC65-98826821B555}"/>
    <cellStyle name="Percent 2 8 3 2" xfId="36354" xr:uid="{10FB0CFC-36B2-4D25-908F-9101C9E2FF86}"/>
    <cellStyle name="Percent 2 8 4" xfId="10627" xr:uid="{70435B22-5E60-469C-B4B0-5EE20761B5E4}"/>
    <cellStyle name="Percent 2 8 4 2" xfId="36355" xr:uid="{2F24BC90-6303-4203-A8CD-29BAB67995E8}"/>
    <cellStyle name="Percent 2 8 5" xfId="11194" xr:uid="{94A2CA5F-82D7-49CD-9BFB-94FF60B92553}"/>
    <cellStyle name="Percent 2 8 5 2" xfId="36356" xr:uid="{FCC03950-D3EF-4871-87B2-2E7D4D6CE432}"/>
    <cellStyle name="Percent 2 8 6" xfId="10830" xr:uid="{213FA9FE-C3A4-487F-B354-5352FAB555E8}"/>
    <cellStyle name="Percent 2 8 6 2" xfId="36357" xr:uid="{8C67FE70-0FBF-43D3-A189-385182C6C874}"/>
    <cellStyle name="Percent 2 8 7" xfId="36358" xr:uid="{078DE508-8A5C-4A6D-ABC9-13C48FCF10FA}"/>
    <cellStyle name="Percent 2 9" xfId="3610" xr:uid="{F798875D-E57C-4219-B1D3-6984E46FA301}"/>
    <cellStyle name="Percent 2 9 2" xfId="10960" xr:uid="{3EC840FA-B0B6-4A28-9A16-4C6A72639204}"/>
    <cellStyle name="Percent 2 9 2 2" xfId="22967" xr:uid="{A60F9FF1-9E79-44EB-B31E-8BA238FACBE9}"/>
    <cellStyle name="Percent 2 9 2 3" xfId="19350" xr:uid="{725FF10B-20A1-469D-8660-5C74E7859087}"/>
    <cellStyle name="Percent 2 9 3" xfId="10487" xr:uid="{836C45B4-1D68-4809-9E6F-7B6D62BE8E61}"/>
    <cellStyle name="Percent 2 9 3 2" xfId="36359" xr:uid="{FA480BA2-B71E-435A-B554-03A20012680F}"/>
    <cellStyle name="Percent 2 9 4" xfId="10392" xr:uid="{5F5633FF-418B-4880-952F-0A6620F50AC4}"/>
    <cellStyle name="Percent 2 9 4 2" xfId="36360" xr:uid="{FB84CE43-E919-472E-87DC-5978457CC412}"/>
    <cellStyle name="Percent 2 9 5" xfId="10391" xr:uid="{4DE6FE67-BB6F-4CE0-9A25-40EEF9053C00}"/>
    <cellStyle name="Percent 2 9 5 2" xfId="36361" xr:uid="{892DBFF4-F76E-4644-AFEA-D03D2AAEF17E}"/>
    <cellStyle name="Percent 2 9 6" xfId="8226" xr:uid="{37B0042F-5466-4C46-8C73-12DB13848EFA}"/>
    <cellStyle name="Percent 2 9 6 2" xfId="36362" xr:uid="{02EBDC68-5F54-4EEE-911E-6DF15658DC52}"/>
    <cellStyle name="Percent 2 9 7" xfId="36363" xr:uid="{434AEBE6-64A7-4BE3-9E46-82D13E655A68}"/>
    <cellStyle name="Percent 20" xfId="3611" xr:uid="{FAB83AC8-3AFF-471F-A52E-7B6779C21A77}"/>
    <cellStyle name="Percent 20 2" xfId="5406" xr:uid="{1FF61807-5080-45AE-B67B-D5FD8700B79A}"/>
    <cellStyle name="Percent 20 2 2" xfId="19352" xr:uid="{97E710F2-5060-4773-87A2-2CC121324A6B}"/>
    <cellStyle name="Percent 20 2 2 2" xfId="22969" xr:uid="{04FC21EA-BB38-46B0-90FE-4A54E4BC234B}"/>
    <cellStyle name="Percent 20 2 3" xfId="36364" xr:uid="{71939745-3835-4BA2-8678-F759EB69C327}"/>
    <cellStyle name="Percent 20 2 4" xfId="36365" xr:uid="{0A6902CA-E2BA-4975-BAF7-D20F80A326CE}"/>
    <cellStyle name="Percent 20 2 5" xfId="36366" xr:uid="{668B56F7-AB4F-44A9-B232-7D4BFBDBA658}"/>
    <cellStyle name="Percent 20 2 6" xfId="36367" xr:uid="{61322FF8-BDC6-4704-959D-1B7CEBBA5C92}"/>
    <cellStyle name="Percent 20 3" xfId="7033" xr:uid="{96E7493D-98AC-47DF-BE52-9E1A49887D25}"/>
    <cellStyle name="Percent 20 3 2" xfId="22968" xr:uid="{00432CDE-F76E-48A3-B9DE-71612A22A4AC}"/>
    <cellStyle name="Percent 20 3 3" xfId="46487" xr:uid="{0FA0E9AB-EBB1-4D29-9E0D-8EC5B036D474}"/>
    <cellStyle name="Percent 20 3 4" xfId="19351" xr:uid="{ED728DC0-2E27-420A-975B-023C8BAC4257}"/>
    <cellStyle name="Percent 20 4" xfId="9307" xr:uid="{6BC96A37-0131-4E84-B94C-2670A013B085}"/>
    <cellStyle name="Percent 20 4 2" xfId="36368" xr:uid="{DD25E7D5-77BF-4B8D-BD8E-932629EBC079}"/>
    <cellStyle name="Percent 20 5" xfId="36369" xr:uid="{79E2BE21-83D6-4622-A7E2-783C82E582A9}"/>
    <cellStyle name="Percent 20 6" xfId="36370" xr:uid="{98A2A228-CF20-4DE8-9210-F9B2F20A7DA4}"/>
    <cellStyle name="Percent 20 7" xfId="36371" xr:uid="{E6BA998C-2649-4764-B7C3-6104695DD8CE}"/>
    <cellStyle name="Percent 21" xfId="3612" xr:uid="{9A58C0F8-7D90-470E-840D-A8EB3B73CE22}"/>
    <cellStyle name="Percent 21 2" xfId="5407" xr:uid="{9EAF2D41-A491-4719-83BC-1F2AE8A7670E}"/>
    <cellStyle name="Percent 21 2 2" xfId="19354" xr:uid="{EDF0F3A2-8CB4-40F9-8ACD-272821C559B1}"/>
    <cellStyle name="Percent 21 2 2 2" xfId="22971" xr:uid="{0ED5E2C8-2871-478C-900D-3F929CB524E3}"/>
    <cellStyle name="Percent 21 2 3" xfId="36372" xr:uid="{CCF9A055-7D61-4CEC-98D6-601CEC720A63}"/>
    <cellStyle name="Percent 21 2 4" xfId="36373" xr:uid="{76B56D77-4C7D-4CA9-9E82-E917E6DF15F2}"/>
    <cellStyle name="Percent 21 2 5" xfId="36374" xr:uid="{043E8B81-9127-4F71-9571-F56F8481ED3D}"/>
    <cellStyle name="Percent 21 2 6" xfId="36375" xr:uid="{052A14EB-B479-4CD2-B657-EB45F9DA6EE2}"/>
    <cellStyle name="Percent 21 3" xfId="7034" xr:uid="{D124FA72-6397-44B0-8098-42429928731F}"/>
    <cellStyle name="Percent 21 3 2" xfId="22970" xr:uid="{E9D94796-EC0A-471D-969B-671B87CAFCD0}"/>
    <cellStyle name="Percent 21 3 3" xfId="46488" xr:uid="{8C64324C-7FCA-42DB-8BD7-3AFB065CDFD8}"/>
    <cellStyle name="Percent 21 3 4" xfId="19353" xr:uid="{8F0E305B-26B0-4C30-A565-7189F3113895}"/>
    <cellStyle name="Percent 21 4" xfId="9308" xr:uid="{F879E0B6-98BE-4085-9C01-2A4148F62D45}"/>
    <cellStyle name="Percent 21 4 2" xfId="36376" xr:uid="{11DDFEE5-5CFF-4930-AD18-379682E05AE7}"/>
    <cellStyle name="Percent 21 5" xfId="36377" xr:uid="{4436451F-175E-488E-B528-8B04067B1942}"/>
    <cellStyle name="Percent 21 6" xfId="36378" xr:uid="{94B7CCE6-A861-45C6-B974-6D415F2F4143}"/>
    <cellStyle name="Percent 21 7" xfId="36379" xr:uid="{31E38497-DACE-4E93-BA61-37A5C158BB25}"/>
    <cellStyle name="Percent 22" xfId="3613" xr:uid="{0A547B99-76DB-4ABA-A8A8-6E5DD47B4486}"/>
    <cellStyle name="Percent 22 2" xfId="5408" xr:uid="{C3AE04E5-F38A-45E8-ABB2-B3C762F000B6}"/>
    <cellStyle name="Percent 22 2 2" xfId="19356" xr:uid="{1E45048E-0696-4BB0-B7D7-DBCF1D0FAC97}"/>
    <cellStyle name="Percent 22 2 2 2" xfId="22973" xr:uid="{28BE9247-207E-4D82-A6B3-33CBC2B8F972}"/>
    <cellStyle name="Percent 22 2 3" xfId="36380" xr:uid="{E0F470A2-CE44-4C2A-B399-CAFF21998385}"/>
    <cellStyle name="Percent 22 2 4" xfId="36381" xr:uid="{61028EF8-EB07-432C-BFF2-42EC4ED15640}"/>
    <cellStyle name="Percent 22 2 5" xfId="36382" xr:uid="{3FF7D1FC-9021-4015-B7D6-246582B606D8}"/>
    <cellStyle name="Percent 22 2 6" xfId="36383" xr:uid="{B9A09BD2-B128-48F8-98A2-62F1EE064C25}"/>
    <cellStyle name="Percent 22 3" xfId="7035" xr:uid="{85542AE1-DA27-4860-A63B-7F4D914B3911}"/>
    <cellStyle name="Percent 22 3 2" xfId="22972" xr:uid="{BA201062-DFF5-467E-8D3B-BCBE584BDC3E}"/>
    <cellStyle name="Percent 22 3 3" xfId="46489" xr:uid="{9A8B40B6-A7AB-419F-9547-D5D5C40ED0C7}"/>
    <cellStyle name="Percent 22 3 4" xfId="19355" xr:uid="{3BBE7C33-0F6C-480F-8860-863661124319}"/>
    <cellStyle name="Percent 22 4" xfId="9309" xr:uid="{FCCDB19F-6E9F-476B-84F6-0BA726B0A3C8}"/>
    <cellStyle name="Percent 22 4 2" xfId="36384" xr:uid="{9C96DB81-9AAD-43E7-9F1D-E55209F7E933}"/>
    <cellStyle name="Percent 22 5" xfId="36385" xr:uid="{FB4A4D0D-A7C6-4C0C-AF2E-4E142DF4679E}"/>
    <cellStyle name="Percent 22 6" xfId="36386" xr:uid="{807AF3FC-D661-4588-82C4-36F6BEB70150}"/>
    <cellStyle name="Percent 22 7" xfId="36387" xr:uid="{FA01E604-F84F-4720-AC73-01FEC9F94BA9}"/>
    <cellStyle name="Percent 23" xfId="3614" xr:uid="{7E993AD1-6C87-48CA-96B7-4BD384555315}"/>
    <cellStyle name="Percent 23 2" xfId="5409" xr:uid="{F75E03AF-87F6-4E57-AA0A-3570D429898B}"/>
    <cellStyle name="Percent 23 2 2" xfId="19358" xr:uid="{E515285F-9A7D-422C-A66C-5AAC0B310B7C}"/>
    <cellStyle name="Percent 23 2 2 2" xfId="22975" xr:uid="{C6BCD267-5D3F-4427-BDC3-FB9F4120C1E5}"/>
    <cellStyle name="Percent 23 2 3" xfId="36388" xr:uid="{D70D07C3-E405-4B8A-8B0D-2D4D3E0A55F3}"/>
    <cellStyle name="Percent 23 2 4" xfId="36389" xr:uid="{D6C8D146-9036-432C-B706-6E662828BA00}"/>
    <cellStyle name="Percent 23 2 5" xfId="36390" xr:uid="{EF6F24AD-080F-4486-A38D-6DEB865BE326}"/>
    <cellStyle name="Percent 23 2 6" xfId="36391" xr:uid="{372C326E-E960-493D-8A04-0BE73A931F04}"/>
    <cellStyle name="Percent 23 3" xfId="7036" xr:uid="{BDC1A4F6-FBC5-4EAF-8C3B-AD132D8EA977}"/>
    <cellStyle name="Percent 23 3 2" xfId="22974" xr:uid="{237FA914-C4F5-46AA-9F44-E9B9E10574A0}"/>
    <cellStyle name="Percent 23 3 3" xfId="46490" xr:uid="{C60B12E9-83C8-412E-A31A-45D499DF5E59}"/>
    <cellStyle name="Percent 23 3 4" xfId="19357" xr:uid="{484421D9-B49A-47C8-A79E-95B5A2029689}"/>
    <cellStyle name="Percent 23 4" xfId="9310" xr:uid="{558B89DB-5317-435D-B247-F2966A9031A9}"/>
    <cellStyle name="Percent 23 4 2" xfId="36392" xr:uid="{76AC2C58-7406-4B5C-9043-E6B0799DE3A7}"/>
    <cellStyle name="Percent 23 5" xfId="36393" xr:uid="{92288A05-65D8-4168-8FC8-76B8B02BF1BE}"/>
    <cellStyle name="Percent 23 6" xfId="36394" xr:uid="{4E52BC4D-6FCC-4449-85A7-D69F1E6FCF2A}"/>
    <cellStyle name="Percent 23 7" xfId="36395" xr:uid="{005E7B1A-D8D6-444E-8340-2BE00FCA7576}"/>
    <cellStyle name="Percent 24" xfId="3615" xr:uid="{BB7E65B6-D874-4601-8CBB-C9FE7252DAAE}"/>
    <cellStyle name="Percent 24 2" xfId="5410" xr:uid="{9C4C2B0C-33DE-4808-B8A7-D9046329D9D6}"/>
    <cellStyle name="Percent 24 2 2" xfId="19360" xr:uid="{C5C9BAE7-E9B9-4475-B6A7-AA48FAFA9904}"/>
    <cellStyle name="Percent 24 2 2 2" xfId="22977" xr:uid="{8E4ED7E7-F3D6-428C-8264-4B7DFAA51C2A}"/>
    <cellStyle name="Percent 24 2 3" xfId="36396" xr:uid="{E6D5C568-0A1B-440B-8E96-2D586942363F}"/>
    <cellStyle name="Percent 24 2 4" xfId="36397" xr:uid="{34E023FA-31D8-4EEF-9F98-B2A82BB65A34}"/>
    <cellStyle name="Percent 24 2 5" xfId="36398" xr:uid="{22E66404-7FE1-41E6-B98C-C32AC8CE87DD}"/>
    <cellStyle name="Percent 24 2 6" xfId="36399" xr:uid="{1FF23161-592C-462B-8F0E-74A89BD03318}"/>
    <cellStyle name="Percent 24 3" xfId="7037" xr:uid="{AC350E7D-8F79-4763-B342-3933C33A3AB1}"/>
    <cellStyle name="Percent 24 3 2" xfId="22976" xr:uid="{663BDD50-6FE1-45AF-8C78-D303B31242A5}"/>
    <cellStyle name="Percent 24 3 3" xfId="46491" xr:uid="{6245246F-5CDD-4E13-8AA3-F953803283A0}"/>
    <cellStyle name="Percent 24 3 4" xfId="19359" xr:uid="{1C3EEA3A-6076-4640-841D-4579CC9AF5F4}"/>
    <cellStyle name="Percent 24 4" xfId="9311" xr:uid="{B11A8D1A-8FC5-4AF9-B36E-9318D3328873}"/>
    <cellStyle name="Percent 24 4 2" xfId="36400" xr:uid="{C58303E9-207F-40AA-BD7F-ABB256FCAFC9}"/>
    <cellStyle name="Percent 24 5" xfId="36401" xr:uid="{EDEDED08-1C5F-4FBF-9BE4-48FE3690F4DB}"/>
    <cellStyle name="Percent 24 6" xfId="36402" xr:uid="{85564C4D-C946-4F14-A137-024F999E5A1C}"/>
    <cellStyle name="Percent 24 7" xfId="36403" xr:uid="{042C3D04-798E-436B-9BBD-0ECD998F7ECE}"/>
    <cellStyle name="Percent 25" xfId="3616" xr:uid="{7DB3EF0E-D9A9-4BEB-A4F8-5E149D59F0D9}"/>
    <cellStyle name="Percent 25 2" xfId="5411" xr:uid="{2F41601B-C070-49AD-AECE-71EEEACE656A}"/>
    <cellStyle name="Percent 25 2 2" xfId="19362" xr:uid="{A673AFFF-136D-4769-A2FB-C1233BFC4212}"/>
    <cellStyle name="Percent 25 2 2 2" xfId="22979" xr:uid="{0FFD6C8C-2686-4C51-B93B-5A4313C99428}"/>
    <cellStyle name="Percent 25 2 3" xfId="36404" xr:uid="{5BEDE2C2-142F-4012-BAB7-6D16CDD00606}"/>
    <cellStyle name="Percent 25 2 4" xfId="36405" xr:uid="{AAD44022-3020-4BC2-8B69-34737802C77D}"/>
    <cellStyle name="Percent 25 2 5" xfId="36406" xr:uid="{BB0FFCFD-CAA7-4EBD-9782-74A56FB00D65}"/>
    <cellStyle name="Percent 25 2 6" xfId="36407" xr:uid="{6FFD1777-AFBA-4424-B677-73066A1B7FA4}"/>
    <cellStyle name="Percent 25 3" xfId="7038" xr:uid="{1F3DA0E3-F5C5-485F-A5B5-024ABDC45581}"/>
    <cellStyle name="Percent 25 3 2" xfId="22978" xr:uid="{787E8B5E-C841-43BC-9D74-09BABEC41585}"/>
    <cellStyle name="Percent 25 3 3" xfId="46492" xr:uid="{C888D074-4DDC-42DE-ACCC-DFBB563AB8B4}"/>
    <cellStyle name="Percent 25 3 4" xfId="19361" xr:uid="{4F2C4123-C179-4F08-A65C-33CE3A3DB786}"/>
    <cellStyle name="Percent 25 4" xfId="9312" xr:uid="{16F03317-2A10-4CD4-A4F8-502FFEE0E53B}"/>
    <cellStyle name="Percent 25 4 2" xfId="36408" xr:uid="{D50AB3DF-47AC-47B6-9C37-25A75D251F73}"/>
    <cellStyle name="Percent 25 5" xfId="36409" xr:uid="{00AABCA4-ED3C-4545-B1A1-20B036EC59C4}"/>
    <cellStyle name="Percent 25 6" xfId="36410" xr:uid="{A38ABA07-DCE6-4277-AFB6-64268D9FF817}"/>
    <cellStyle name="Percent 25 7" xfId="36411" xr:uid="{7BF9ABFA-F8C1-4004-A98E-D7227EE5D78A}"/>
    <cellStyle name="Percent 26" xfId="3617" xr:uid="{BF908D54-3998-4C35-A2E7-FD95E1047B8E}"/>
    <cellStyle name="Percent 26 2" xfId="5412" xr:uid="{C96C0A18-BB5A-4F7C-A50B-5B5925169839}"/>
    <cellStyle name="Percent 26 2 2" xfId="19364" xr:uid="{79812419-DEE9-405E-ADC7-49ACA0D2606C}"/>
    <cellStyle name="Percent 26 2 2 2" xfId="22981" xr:uid="{181076C5-13F5-4BD4-8BE7-9838594B3775}"/>
    <cellStyle name="Percent 26 2 3" xfId="36412" xr:uid="{89329827-B688-4BC4-81E0-6EB0B5D381FD}"/>
    <cellStyle name="Percent 26 2 4" xfId="36413" xr:uid="{35F992FD-5A84-4691-BA4B-DEAAC4908202}"/>
    <cellStyle name="Percent 26 2 5" xfId="36414" xr:uid="{478E507D-6024-4C42-930B-1494790A7B93}"/>
    <cellStyle name="Percent 26 2 6" xfId="36415" xr:uid="{F5F954EC-1E0C-451F-B72C-02BD3F786AFB}"/>
    <cellStyle name="Percent 26 3" xfId="7039" xr:uid="{B69611BB-C000-413D-9CE9-E190701A5399}"/>
    <cellStyle name="Percent 26 3 2" xfId="22980" xr:uid="{143B5E47-3B84-49E7-95A7-2251806D3B99}"/>
    <cellStyle name="Percent 26 3 3" xfId="46493" xr:uid="{86992CE8-0FE3-4EBF-A2CE-5D8C4F7F251B}"/>
    <cellStyle name="Percent 26 3 4" xfId="19363" xr:uid="{3A76698D-CFE6-4054-BFA1-A2064FE4E4A1}"/>
    <cellStyle name="Percent 26 4" xfId="9313" xr:uid="{E54BAC6F-636F-445A-918E-58B7BA1C73B9}"/>
    <cellStyle name="Percent 26 4 2" xfId="36416" xr:uid="{413DE48A-7907-4FCD-9406-36A45B762741}"/>
    <cellStyle name="Percent 26 5" xfId="36417" xr:uid="{73583ADF-B5F7-4A82-80DD-8DEFECF7AD53}"/>
    <cellStyle name="Percent 26 6" xfId="36418" xr:uid="{1AAF09B7-D3A3-4382-89C3-8A14480475C0}"/>
    <cellStyle name="Percent 26 7" xfId="36419" xr:uid="{34928ACA-10D6-43EE-9004-D7C19BB4866B}"/>
    <cellStyle name="Percent 27" xfId="3618" xr:uid="{F7CCC9CB-83F0-464C-903B-DD5ECDD9712A}"/>
    <cellStyle name="Percent 27 2" xfId="5413" xr:uid="{B1BDD84B-2503-478F-BE6C-55EFB3DA80BC}"/>
    <cellStyle name="Percent 27 2 2" xfId="19366" xr:uid="{C2277468-6045-42C5-A720-1DEC04E4D6BA}"/>
    <cellStyle name="Percent 27 2 2 2" xfId="22983" xr:uid="{773612CC-871D-479B-BD37-15A846A2911B}"/>
    <cellStyle name="Percent 27 2 3" xfId="36420" xr:uid="{D2163E0D-F1D2-4D91-879B-494AB7D6390D}"/>
    <cellStyle name="Percent 27 2 4" xfId="36421" xr:uid="{669399FA-8C0D-41B4-AADF-EE3D6184A93E}"/>
    <cellStyle name="Percent 27 2 5" xfId="36422" xr:uid="{3FC7D42F-BEFE-48AA-9475-51F6CA87445B}"/>
    <cellStyle name="Percent 27 2 6" xfId="36423" xr:uid="{1A89BBC9-A350-4007-8406-B1FFE2659763}"/>
    <cellStyle name="Percent 27 3" xfId="7040" xr:uid="{06746109-8AB0-40AC-833E-4B191DAD5DAC}"/>
    <cellStyle name="Percent 27 3 2" xfId="22982" xr:uid="{D1E4BEA1-6A2D-4A2C-80E6-7CAD2DC34E70}"/>
    <cellStyle name="Percent 27 3 3" xfId="46494" xr:uid="{7FF8CFB3-A86C-446D-A06E-38AED9A92034}"/>
    <cellStyle name="Percent 27 3 4" xfId="19365" xr:uid="{D2EA7638-D6FC-4289-BD87-0174B1F62A18}"/>
    <cellStyle name="Percent 27 4" xfId="9314" xr:uid="{A472708A-3B6F-4E59-ADFF-13561EF0985C}"/>
    <cellStyle name="Percent 27 4 2" xfId="36424" xr:uid="{5A6506E6-E782-4CB1-A066-7A9255825D42}"/>
    <cellStyle name="Percent 27 5" xfId="36425" xr:uid="{03336296-C2A7-4239-999C-CD4128A91488}"/>
    <cellStyle name="Percent 27 6" xfId="36426" xr:uid="{F43F9D2D-BC12-4A1A-9DCF-C5BD54E71A3F}"/>
    <cellStyle name="Percent 27 7" xfId="36427" xr:uid="{ABBA0CB1-65E6-4243-B179-27238A212A84}"/>
    <cellStyle name="Percent 28" xfId="3619" xr:uid="{7136DAC2-07B3-4B04-B807-0FF0955619EC}"/>
    <cellStyle name="Percent 28 2" xfId="5414" xr:uid="{843E22C1-7FB2-416D-A61C-D2462C84E49C}"/>
    <cellStyle name="Percent 28 2 2" xfId="19368" xr:uid="{DC0F3206-5A3B-463B-9641-438D04A5F92B}"/>
    <cellStyle name="Percent 28 2 2 2" xfId="22985" xr:uid="{22F7163A-65EF-4C81-9071-55B9FB504CC7}"/>
    <cellStyle name="Percent 28 2 3" xfId="36428" xr:uid="{04FAC7B6-DA49-409A-9BEE-9DA766BEFF3B}"/>
    <cellStyle name="Percent 28 2 4" xfId="36429" xr:uid="{A955D0F5-E3AD-459C-9C14-B1035ECAC28E}"/>
    <cellStyle name="Percent 28 2 5" xfId="36430" xr:uid="{F7A8ADDA-ACCC-433A-B693-618034778611}"/>
    <cellStyle name="Percent 28 2 6" xfId="36431" xr:uid="{6911624C-55A9-47F5-B496-3DE007BF0E57}"/>
    <cellStyle name="Percent 28 3" xfId="7041" xr:uid="{46EDF49D-943C-4135-B7F7-EB42E094C7FB}"/>
    <cellStyle name="Percent 28 3 2" xfId="22984" xr:uid="{9FF2F18B-F350-46D7-9C77-CAA054B5449D}"/>
    <cellStyle name="Percent 28 3 3" xfId="46495" xr:uid="{16EFC8D7-1733-4981-BE18-71252227EC4A}"/>
    <cellStyle name="Percent 28 3 4" xfId="19367" xr:uid="{77E83DCD-C1A1-4F1C-9F47-EF7E7AE816B4}"/>
    <cellStyle name="Percent 28 4" xfId="9315" xr:uid="{C93B46F9-766E-45BA-B6BF-E692CDB67544}"/>
    <cellStyle name="Percent 28 4 2" xfId="36432" xr:uid="{F34A890A-B4B3-4190-9BA5-75B1D660266A}"/>
    <cellStyle name="Percent 28 5" xfId="36433" xr:uid="{CEE0E590-5599-4B6E-9688-F59FE564E733}"/>
    <cellStyle name="Percent 28 6" xfId="36434" xr:uid="{6E88F682-3E5D-4E12-9009-981FA3EAC706}"/>
    <cellStyle name="Percent 28 7" xfId="36435" xr:uid="{F137E59C-DB4F-43C9-9A9C-C8CAC767C10A}"/>
    <cellStyle name="Percent 29" xfId="3620" xr:uid="{74EF36F7-E78B-4CA4-873D-BC06E87924C9}"/>
    <cellStyle name="Percent 29 2" xfId="5415" xr:uid="{7AC0B7D9-0BFA-45C3-8D38-B08033D9A91C}"/>
    <cellStyle name="Percent 29 2 2" xfId="19370" xr:uid="{164E9D64-7686-4DDC-90C4-E4D9AF7E707F}"/>
    <cellStyle name="Percent 29 2 2 2" xfId="22987" xr:uid="{0962E733-32CF-482C-838E-B6343B4C65C7}"/>
    <cellStyle name="Percent 29 2 3" xfId="36436" xr:uid="{6965F791-1F5E-4D0E-A71D-AF20C4D227DA}"/>
    <cellStyle name="Percent 29 2 4" xfId="36437" xr:uid="{62791B74-BBFA-44C2-A040-033102F3A56E}"/>
    <cellStyle name="Percent 29 2 5" xfId="36438" xr:uid="{C47D7BF2-2E99-4A2D-9876-196A80ADBF71}"/>
    <cellStyle name="Percent 29 2 6" xfId="36439" xr:uid="{C886A915-DC03-4B7F-B8D8-363B801ABF97}"/>
    <cellStyle name="Percent 29 3" xfId="7042" xr:uid="{82C7A0F5-F564-482A-9F06-E7502B3D9DA4}"/>
    <cellStyle name="Percent 29 3 2" xfId="22986" xr:uid="{40C4A5BB-3C03-4DD5-8668-7428B3621E87}"/>
    <cellStyle name="Percent 29 3 3" xfId="46496" xr:uid="{04382A4B-DF77-4211-870B-720250FEAA66}"/>
    <cellStyle name="Percent 29 3 4" xfId="19369" xr:uid="{EEC1FA1A-0DBF-4D87-B3A9-FD67121A52EA}"/>
    <cellStyle name="Percent 29 4" xfId="9316" xr:uid="{9AFCA4F3-2C13-4D91-A85B-4F718E0C19BC}"/>
    <cellStyle name="Percent 29 4 2" xfId="36440" xr:uid="{889EAA7F-6C7A-49D5-8BD8-A65736172F0D}"/>
    <cellStyle name="Percent 29 5" xfId="36441" xr:uid="{F9ED2E4C-866C-4E44-B9EA-77C3D4B9DCB7}"/>
    <cellStyle name="Percent 29 6" xfId="36442" xr:uid="{AD5AB2D3-CB5A-4A08-AFCF-EEA699005334}"/>
    <cellStyle name="Percent 29 7" xfId="36443" xr:uid="{0A49F904-CAE5-42ED-A071-A8C512F1DB2A}"/>
    <cellStyle name="Percent 3" xfId="5939" xr:uid="{A666B185-5A33-4672-B91A-2FBA8377DAA5}"/>
    <cellStyle name="Percent 3 10" xfId="3621" xr:uid="{CE5B71C8-6CC6-477B-846B-E43E0C8F4AE0}"/>
    <cellStyle name="Percent 3 10 2" xfId="5416" xr:uid="{7AB651BE-F718-4111-9D68-5C4EC2556B31}"/>
    <cellStyle name="Percent 3 10 2 2" xfId="22989" xr:uid="{210336EF-075E-4360-93B9-6FB43D51C299}"/>
    <cellStyle name="Percent 3 10 2 3" xfId="44346" xr:uid="{7371EE53-14E7-4646-93A7-420F4CD7EC65}"/>
    <cellStyle name="Percent 3 10 2 4" xfId="19372" xr:uid="{7C601A90-B05E-4807-BC39-3B361567CDDB}"/>
    <cellStyle name="Percent 3 10 3" xfId="7043" xr:uid="{36C96A87-0FA1-444D-80E2-ED2A570CE072}"/>
    <cellStyle name="Percent 3 10 3 2" xfId="36444" xr:uid="{8CA8472B-EA47-468A-B61C-9B80938214B9}"/>
    <cellStyle name="Percent 3 10 4" xfId="9317" xr:uid="{4D009733-399C-4C73-AE53-73B2DA1D7B17}"/>
    <cellStyle name="Percent 3 10 4 2" xfId="36445" xr:uid="{F58CA1BA-138F-4E1F-BAF1-EAB8D492F417}"/>
    <cellStyle name="Percent 3 10 5" xfId="36446" xr:uid="{6BECC268-01B0-47CB-B62A-44AB5C9C3C25}"/>
    <cellStyle name="Percent 3 10 6" xfId="36447" xr:uid="{9C57E837-6C9C-4353-8440-F9757759C952}"/>
    <cellStyle name="Percent 3 10 7" xfId="36448" xr:uid="{06794A81-092D-4DA9-9461-92B9E27FE87A}"/>
    <cellStyle name="Percent 3 11" xfId="19371" xr:uid="{EC6944AF-4950-41D2-A1AE-F39C58040EAB}"/>
    <cellStyle name="Percent 3 11 2" xfId="22988" xr:uid="{E096F456-F8C6-4CA0-BC43-65C0BFED165D}"/>
    <cellStyle name="Percent 3 12" xfId="36449" xr:uid="{0B8C2D7E-10D9-4BB1-BA58-4947B435C00F}"/>
    <cellStyle name="Percent 3 13" xfId="36450" xr:uid="{87658A81-C634-4685-B618-0D8FE7085F5E}"/>
    <cellStyle name="Percent 3 14" xfId="36451" xr:uid="{078A200D-8FA7-4F12-9FB0-852C1FAC3D97}"/>
    <cellStyle name="Percent 3 15" xfId="36452" xr:uid="{1514A97E-F6A3-47A1-9FFF-7B0EEDCB717F}"/>
    <cellStyle name="Percent 3 2" xfId="3622" xr:uid="{3D3FE340-5492-4067-AB45-3E3F4535C652}"/>
    <cellStyle name="Percent 3 2 10" xfId="4364" xr:uid="{F67A3D44-AE05-47D5-8891-474799E0496E}"/>
    <cellStyle name="Percent 3 2 10 2" xfId="22990" xr:uid="{B4ABBBAF-2901-4062-A6E7-4DCBEC639D61}"/>
    <cellStyle name="Percent 3 2 10 3" xfId="44167" xr:uid="{D99D9C76-0350-4C7E-B755-866F2D27E657}"/>
    <cellStyle name="Percent 3 2 10 4" xfId="19373" xr:uid="{A893BD30-F7FB-449B-8752-750669C70F61}"/>
    <cellStyle name="Percent 3 2 11" xfId="6430" xr:uid="{5E013FAC-9CEB-4EE1-85DE-5DB75DE5C4C6}"/>
    <cellStyle name="Percent 3 2 11 2" xfId="46078" xr:uid="{E3EC42E6-66C6-48A0-B536-B2F94485B12A}"/>
    <cellStyle name="Percent 3 2 11 3" xfId="36453" xr:uid="{91BDFBE1-3387-4CA4-BAE8-BD71E91EFD34}"/>
    <cellStyle name="Percent 3 2 12" xfId="9318" xr:uid="{1D6CE04C-63B2-4CF7-8883-A603A01D1619}"/>
    <cellStyle name="Percent 3 2 12 2" xfId="36454" xr:uid="{7E862A41-8F3A-4B3B-A9FC-0005921802FE}"/>
    <cellStyle name="Percent 3 2 13" xfId="36455" xr:uid="{0994EAAC-1F14-4CA8-9394-BEEDCF75401A}"/>
    <cellStyle name="Percent 3 2 14" xfId="36456" xr:uid="{9C9A4760-AA8D-47CA-875A-95745B03F5BD}"/>
    <cellStyle name="Percent 3 2 15" xfId="36457" xr:uid="{CC51AA1A-2DD8-480A-BC11-FFC87AA2A9D3}"/>
    <cellStyle name="Percent 3 2 2" xfId="3623" xr:uid="{72378FA7-2AAF-45BC-8BEB-CBFC201040B5}"/>
    <cellStyle name="Percent 3 2 2 2" xfId="3624" xr:uid="{4857DD9B-C2C2-4969-B32C-4F748C10449C}"/>
    <cellStyle name="Percent 3 2 2 2 2" xfId="3625" xr:uid="{10078BF9-DEC1-4599-922F-A4431C786A24}"/>
    <cellStyle name="Percent 3 2 2 2 2 2" xfId="5419" xr:uid="{12BDD860-5E0C-4273-B72F-18D3A840AEAC}"/>
    <cellStyle name="Percent 3 2 2 2 2 2 2" xfId="19377" xr:uid="{A6BB28D8-6FA8-497A-9F95-3A6A1B377C50}"/>
    <cellStyle name="Percent 3 2 2 2 2 2 2 2" xfId="22994" xr:uid="{B9123B2B-679B-4475-B506-1422693B311B}"/>
    <cellStyle name="Percent 3 2 2 2 2 2 3" xfId="36458" xr:uid="{6D29A75B-5EAF-440B-AE34-52748345CEED}"/>
    <cellStyle name="Percent 3 2 2 2 2 2 4" xfId="36459" xr:uid="{1B122E7E-D892-4A67-88AE-442520868413}"/>
    <cellStyle name="Percent 3 2 2 2 2 2 5" xfId="36460" xr:uid="{E4C1035F-075B-42C5-BFC9-D05B4CC17C7C}"/>
    <cellStyle name="Percent 3 2 2 2 2 2 6" xfId="36461" xr:uid="{56681563-D8A9-44E3-B2E8-129C2A7D21DB}"/>
    <cellStyle name="Percent 3 2 2 2 2 3" xfId="7044" xr:uid="{52190044-C7E1-4280-9BCE-0B428B42AFCC}"/>
    <cellStyle name="Percent 3 2 2 2 2 3 2" xfId="22993" xr:uid="{68AA1903-3528-4CD7-9F9F-5C3E22D6699E}"/>
    <cellStyle name="Percent 3 2 2 2 2 3 3" xfId="46497" xr:uid="{1F5FD9A6-5FF3-4563-B767-B154E5FC332F}"/>
    <cellStyle name="Percent 3 2 2 2 2 3 4" xfId="19376" xr:uid="{D19E8224-4CAF-41B4-A96C-941DF042ECE7}"/>
    <cellStyle name="Percent 3 2 2 2 2 4" xfId="9320" xr:uid="{1A719837-3FED-49D9-9599-E9F82103996D}"/>
    <cellStyle name="Percent 3 2 2 2 2 4 2" xfId="36462" xr:uid="{B8F204BD-0A9C-4DFB-BA9F-0682AA123245}"/>
    <cellStyle name="Percent 3 2 2 2 2 5" xfId="36463" xr:uid="{9CCED454-FEDC-4AD3-88CA-6B030AF5440C}"/>
    <cellStyle name="Percent 3 2 2 2 2 6" xfId="36464" xr:uid="{1E53EE22-FA11-4C52-B03C-74705A5D1F44}"/>
    <cellStyle name="Percent 3 2 2 2 2 7" xfId="36465" xr:uid="{D089024C-6BF2-49EE-A454-B7364EB6A122}"/>
    <cellStyle name="Percent 3 2 2 2 3" xfId="16624" xr:uid="{55DB9BFD-4178-45B4-BBD0-DEA716080BCC}"/>
    <cellStyle name="Percent 3 2 2 2 3 2" xfId="19378" xr:uid="{0CE05E17-90C9-4C83-94DD-5F614C1FF16E}"/>
    <cellStyle name="Percent 3 2 2 2 3 2 2" xfId="22995" xr:uid="{5A6BF3EB-73C4-4410-903B-D531B8E9A5CD}"/>
    <cellStyle name="Percent 3 2 2 2 3 3" xfId="36466" xr:uid="{0BCE4FAE-D3CC-48AE-BE60-FC307EE49FC1}"/>
    <cellStyle name="Percent 3 2 2 2 3 4" xfId="36467" xr:uid="{E25B6687-4A09-4B87-B4CD-8001F24CDECB}"/>
    <cellStyle name="Percent 3 2 2 2 3 5" xfId="36468" xr:uid="{4999AB61-2545-4205-96D8-DC6E065939ED}"/>
    <cellStyle name="Percent 3 2 2 2 3 6" xfId="36469" xr:uid="{443C23D9-6C4F-4AE4-A21C-EC23FB1E652C}"/>
    <cellStyle name="Percent 3 2 2 2 4" xfId="19375" xr:uid="{57B0A8D5-F67D-49A7-B6B0-2D6886DC033A}"/>
    <cellStyle name="Percent 3 2 2 2 4 2" xfId="22992" xr:uid="{0A126228-5C67-4D5B-AC3E-E549EA0D1569}"/>
    <cellStyle name="Percent 3 2 2 2 5" xfId="36470" xr:uid="{8929843C-3ED2-4CAB-A0BF-684AC32BB992}"/>
    <cellStyle name="Percent 3 2 2 2 6" xfId="36471" xr:uid="{A7054915-69AF-45CD-B5EE-293697133760}"/>
    <cellStyle name="Percent 3 2 2 2 7" xfId="36472" xr:uid="{191145B7-B5FA-4EA6-948B-441AEB1D3F5D}"/>
    <cellStyle name="Percent 3 2 2 2 8" xfId="36473" xr:uid="{E6DBB452-5DEA-45D1-A4B8-D9A153ABB6B8}"/>
    <cellStyle name="Percent 3 2 2 3" xfId="5418" xr:uid="{D6316BD2-5AB4-492D-AF24-D6615DBCCC60}"/>
    <cellStyle name="Percent 3 2 2 3 2" xfId="19379" xr:uid="{84B965C3-7F5B-43A1-872E-5FF0BAD16F23}"/>
    <cellStyle name="Percent 3 2 2 3 2 2" xfId="22996" xr:uid="{349A65E9-420A-442C-849F-2E124A9E6DAE}"/>
    <cellStyle name="Percent 3 2 2 3 3" xfId="36474" xr:uid="{70F0FC81-997A-4BC2-9E8A-A95CC832CDD0}"/>
    <cellStyle name="Percent 3 2 2 3 4" xfId="36475" xr:uid="{2BA7545C-EAF4-4FE1-B215-13D808CE1EF6}"/>
    <cellStyle name="Percent 3 2 2 3 5" xfId="36476" xr:uid="{0CED1CE9-F236-49CD-B0C3-C606EDDA7788}"/>
    <cellStyle name="Percent 3 2 2 3 6" xfId="36477" xr:uid="{24263505-8FBB-4EA2-9859-D51DF6F3C891}"/>
    <cellStyle name="Percent 3 2 2 4" xfId="4365" xr:uid="{9BD0694F-8534-455C-A703-EE88B71AFBA0}"/>
    <cellStyle name="Percent 3 2 2 4 2" xfId="22991" xr:uid="{E4E8534D-2712-4E80-9378-FF5F7A6BD069}"/>
    <cellStyle name="Percent 3 2 2 4 3" xfId="44168" xr:uid="{90FD84AF-693C-4DFC-BC7F-D850C9ABD176}"/>
    <cellStyle name="Percent 3 2 2 4 4" xfId="19374" xr:uid="{DFA6F5CD-DA6F-436F-B636-CAF123D9B45E}"/>
    <cellStyle name="Percent 3 2 2 5" xfId="6431" xr:uid="{593142BD-72A3-4EAD-AD31-A3E0A663856B}"/>
    <cellStyle name="Percent 3 2 2 5 2" xfId="46079" xr:uid="{78608DF0-32AF-4D44-9F74-0BB0CE4BE373}"/>
    <cellStyle name="Percent 3 2 2 5 3" xfId="36478" xr:uid="{3F80D4CF-BFBB-4FCB-B753-7D6F59F10B60}"/>
    <cellStyle name="Percent 3 2 2 6" xfId="9319" xr:uid="{F6DD9D17-9ABB-4926-B4D7-9158E9BCC6C2}"/>
    <cellStyle name="Percent 3 2 2 6 2" xfId="36479" xr:uid="{22DF5C73-F696-4E7A-BA87-D14E3CE213BF}"/>
    <cellStyle name="Percent 3 2 2 7" xfId="36480" xr:uid="{5548EF14-591B-45CC-9F12-FD1B0905DC09}"/>
    <cellStyle name="Percent 3 2 2 8" xfId="36481" xr:uid="{E89F0601-2C46-4E8A-9676-3CAC87213134}"/>
    <cellStyle name="Percent 3 2 2 9" xfId="36482" xr:uid="{7F226124-B95D-4B74-B022-723206238C2A}"/>
    <cellStyle name="Percent 3 2 3" xfId="3626" xr:uid="{26129AA5-4BA1-4F7C-B8BA-25E0B6A67F14}"/>
    <cellStyle name="Percent 3 2 3 10" xfId="36483" xr:uid="{CA411E97-1A5E-4109-BA41-9C98E5BEF69A}"/>
    <cellStyle name="Percent 3 2 3 2" xfId="3627" xr:uid="{F35AFF7D-5DFD-4DA2-9DB1-BC39B2A0DCF0}"/>
    <cellStyle name="Percent 3 2 3 2 2" xfId="5421" xr:uid="{F36C55A6-D109-419D-AF06-265D212709BC}"/>
    <cellStyle name="Percent 3 2 3 2 2 2" xfId="19382" xr:uid="{00019E59-3DCF-4189-99A8-DDA3258C64DA}"/>
    <cellStyle name="Percent 3 2 3 2 2 2 2" xfId="22999" xr:uid="{A2B0267C-0E36-4135-8EC8-398DD4C19C82}"/>
    <cellStyle name="Percent 3 2 3 2 2 3" xfId="36484" xr:uid="{EA3FB429-EEE8-4A4D-BF76-F513B9A0896B}"/>
    <cellStyle name="Percent 3 2 3 2 2 4" xfId="36485" xr:uid="{29CD344E-65DB-4B78-B79A-E99BCDC17986}"/>
    <cellStyle name="Percent 3 2 3 2 2 5" xfId="36486" xr:uid="{8049D6E8-D70E-4755-936E-D6AFB16249FC}"/>
    <cellStyle name="Percent 3 2 3 2 2 6" xfId="36487" xr:uid="{D2423F62-BABA-42CF-AF34-81AD993A9C9C}"/>
    <cellStyle name="Percent 3 2 3 2 3" xfId="7045" xr:uid="{4C931859-9AFE-454D-90BE-3201A5A07FE4}"/>
    <cellStyle name="Percent 3 2 3 2 3 2" xfId="22998" xr:uid="{78AD172A-41DF-49E8-99AF-F0F6D5214ED5}"/>
    <cellStyle name="Percent 3 2 3 2 3 3" xfId="46498" xr:uid="{C6AE9603-5E90-45C3-88A3-DFAD0E2C3376}"/>
    <cellStyle name="Percent 3 2 3 2 3 4" xfId="19381" xr:uid="{007CEC7A-AB0D-40D7-A0A5-8BCA0372C2C4}"/>
    <cellStyle name="Percent 3 2 3 2 4" xfId="9322" xr:uid="{F807CC4C-D585-4E39-90E7-1D422A856236}"/>
    <cellStyle name="Percent 3 2 3 2 4 2" xfId="36488" xr:uid="{3E83AA42-E664-40F2-BD98-599929D07A69}"/>
    <cellStyle name="Percent 3 2 3 2 5" xfId="36489" xr:uid="{EDF93FE1-A6F7-4F0C-A7A8-18BF6FA3387B}"/>
    <cellStyle name="Percent 3 2 3 2 6" xfId="36490" xr:uid="{678BD078-B257-46C9-819E-1DD58261FFD8}"/>
    <cellStyle name="Percent 3 2 3 2 7" xfId="36491" xr:uid="{8476A96F-1950-419D-A8D7-135375779F7F}"/>
    <cellStyle name="Percent 3 2 3 3" xfId="3628" xr:uid="{D42D951E-385F-4D02-A6BD-703ED4645F53}"/>
    <cellStyle name="Percent 3 2 3 3 2" xfId="5422" xr:uid="{07291E60-E9CB-4F45-971A-D3ABDA7825BC}"/>
    <cellStyle name="Percent 3 2 3 3 2 2" xfId="19384" xr:uid="{FD78C701-3408-4557-B823-98DCF73DC407}"/>
    <cellStyle name="Percent 3 2 3 3 2 2 2" xfId="23001" xr:uid="{A2D4551D-BF11-49EB-832E-8B3E8D8417CE}"/>
    <cellStyle name="Percent 3 2 3 3 2 3" xfId="36492" xr:uid="{C235216A-BFEE-4324-A6B9-3C2DAAB9F45E}"/>
    <cellStyle name="Percent 3 2 3 3 2 4" xfId="36493" xr:uid="{46B347A2-B89E-489B-9607-6DA226B0AB80}"/>
    <cellStyle name="Percent 3 2 3 3 2 5" xfId="36494" xr:uid="{E4859576-B233-43C5-AB91-FA31A889E002}"/>
    <cellStyle name="Percent 3 2 3 3 2 6" xfId="36495" xr:uid="{EB2ABE23-BD22-4963-A66B-EBAA87F5C03C}"/>
    <cellStyle name="Percent 3 2 3 3 3" xfId="7046" xr:uid="{FBBFC5DC-660C-4108-9315-0537DCE04FC6}"/>
    <cellStyle name="Percent 3 2 3 3 3 2" xfId="23000" xr:uid="{4A4A07FB-554C-48CE-91D6-B589576F2D9E}"/>
    <cellStyle name="Percent 3 2 3 3 3 3" xfId="46499" xr:uid="{EB3E19AA-9240-455C-A7E5-27FCDF27FFCF}"/>
    <cellStyle name="Percent 3 2 3 3 3 4" xfId="19383" xr:uid="{16DEBD4B-9F87-423C-8079-C58375AB5A12}"/>
    <cellStyle name="Percent 3 2 3 3 4" xfId="9323" xr:uid="{95B7F06F-6806-4EBF-BB38-BAF8740F391E}"/>
    <cellStyle name="Percent 3 2 3 3 4 2" xfId="36496" xr:uid="{AC71B3F1-E919-42D0-9328-1B5C6C7A8B34}"/>
    <cellStyle name="Percent 3 2 3 3 5" xfId="36497" xr:uid="{2AC15BBB-C9AA-41AF-8905-0E23F8ACA607}"/>
    <cellStyle name="Percent 3 2 3 3 6" xfId="36498" xr:uid="{22BAD055-E3A5-43CE-B2B3-98A1A89C4B70}"/>
    <cellStyle name="Percent 3 2 3 3 7" xfId="36499" xr:uid="{617E3CEE-2DDD-4A3C-823B-4214FE2B184C}"/>
    <cellStyle name="Percent 3 2 3 4" xfId="5420" xr:uid="{19C0FE9F-18CF-4ECE-801F-CC7BA7D5F0DE}"/>
    <cellStyle name="Percent 3 2 3 4 2" xfId="19385" xr:uid="{656BD6FD-FD68-4762-A0E8-8AC818266610}"/>
    <cellStyle name="Percent 3 2 3 4 2 2" xfId="23002" xr:uid="{A574E60B-7D8C-4C73-97D3-4E91D984D266}"/>
    <cellStyle name="Percent 3 2 3 4 3" xfId="36500" xr:uid="{37F426A2-85BE-4907-A6E7-466338BA449A}"/>
    <cellStyle name="Percent 3 2 3 4 4" xfId="36501" xr:uid="{79B9BF53-D099-4279-8DFA-CEBBD1D8DB60}"/>
    <cellStyle name="Percent 3 2 3 4 5" xfId="36502" xr:uid="{D1D2791A-6CC2-4F02-AC58-B1932C7D3D27}"/>
    <cellStyle name="Percent 3 2 3 4 6" xfId="36503" xr:uid="{273339A5-6AD7-41E0-A471-23CD31F411B0}"/>
    <cellStyle name="Percent 3 2 3 5" xfId="4366" xr:uid="{A8F706A1-A90D-4F4E-8D60-0E42DB773EA4}"/>
    <cellStyle name="Percent 3 2 3 5 2" xfId="22997" xr:uid="{010724BB-4BE4-46C3-B572-ED6CFFF03F3C}"/>
    <cellStyle name="Percent 3 2 3 5 3" xfId="44169" xr:uid="{248AC28D-AD17-4ECC-B17C-B76DB1B9C062}"/>
    <cellStyle name="Percent 3 2 3 5 4" xfId="19380" xr:uid="{E1079955-58B1-4537-A26B-3EF1E6862FF8}"/>
    <cellStyle name="Percent 3 2 3 6" xfId="6432" xr:uid="{9F4DAB5F-68EE-4F6E-B874-3D17C3EB7736}"/>
    <cellStyle name="Percent 3 2 3 6 2" xfId="46080" xr:uid="{798512C8-2619-41EE-AEB0-7424CBCB1469}"/>
    <cellStyle name="Percent 3 2 3 6 3" xfId="36504" xr:uid="{9E523C6C-6467-4E5D-BD77-F331B1ADE006}"/>
    <cellStyle name="Percent 3 2 3 7" xfId="9321" xr:uid="{5648BC88-2BE2-40AD-83DB-9CE315BD1A85}"/>
    <cellStyle name="Percent 3 2 3 7 2" xfId="36505" xr:uid="{4FE4DFD9-8F41-4981-AB08-129888723DE2}"/>
    <cellStyle name="Percent 3 2 3 8" xfId="36506" xr:uid="{81A016F5-F901-4209-AD97-CC4F992898D3}"/>
    <cellStyle name="Percent 3 2 3 9" xfId="36507" xr:uid="{A45BFD63-C0FC-4ADC-A266-819290A17095}"/>
    <cellStyle name="Percent 3 2 4" xfId="3629" xr:uid="{7D59A50B-BD07-40DC-B8D9-ACBED825D8C7}"/>
    <cellStyle name="Percent 3 2 4 10" xfId="36508" xr:uid="{C49CA69B-4075-4B49-B59D-5E7171B07866}"/>
    <cellStyle name="Percent 3 2 4 2" xfId="3630" xr:uid="{7CD8B873-9ECE-4511-BCEB-645D0CDEDF29}"/>
    <cellStyle name="Percent 3 2 4 2 2" xfId="5424" xr:uid="{20A5239D-4BC7-49FE-9F34-36376171C603}"/>
    <cellStyle name="Percent 3 2 4 2 2 2" xfId="19388" xr:uid="{1C8756A7-005B-4060-A2B4-E66B22AD175B}"/>
    <cellStyle name="Percent 3 2 4 2 2 2 2" xfId="23005" xr:uid="{92B21CF7-39E8-4962-A71E-287BC1AFB694}"/>
    <cellStyle name="Percent 3 2 4 2 2 3" xfId="36509" xr:uid="{B96BB14E-B5DA-42B0-B2DE-60AAC6F1F19B}"/>
    <cellStyle name="Percent 3 2 4 2 2 4" xfId="36510" xr:uid="{755F7A8E-94DA-4FA7-BE63-3CB93217FEB5}"/>
    <cellStyle name="Percent 3 2 4 2 2 5" xfId="36511" xr:uid="{ECBAE3B8-6760-4E79-A2D3-E8D409E50A5A}"/>
    <cellStyle name="Percent 3 2 4 2 2 6" xfId="36512" xr:uid="{38E6E513-692A-4F2F-A7A0-CD3CE9EF79DE}"/>
    <cellStyle name="Percent 3 2 4 2 3" xfId="7047" xr:uid="{24A5AC79-67FB-4099-82A4-B8FFEBA96FAF}"/>
    <cellStyle name="Percent 3 2 4 2 3 2" xfId="23004" xr:uid="{76E8A2FD-2B27-43F1-9805-4C4D60050C78}"/>
    <cellStyle name="Percent 3 2 4 2 3 3" xfId="46500" xr:uid="{0E90070B-97C1-4966-987A-E1736B7051A6}"/>
    <cellStyle name="Percent 3 2 4 2 3 4" xfId="19387" xr:uid="{B874F4CB-3100-4FDB-8184-18D98E896211}"/>
    <cellStyle name="Percent 3 2 4 2 4" xfId="9325" xr:uid="{970AA2FE-A173-47D8-972C-98CC635AC98F}"/>
    <cellStyle name="Percent 3 2 4 2 4 2" xfId="36513" xr:uid="{3DCED29B-FA58-4722-8FA3-EC7186C68BB5}"/>
    <cellStyle name="Percent 3 2 4 2 5" xfId="36514" xr:uid="{094A2D09-4AF9-44CE-8C12-F3E397A84323}"/>
    <cellStyle name="Percent 3 2 4 2 6" xfId="36515" xr:uid="{06A2B8FC-BCB8-4C79-B419-B2F1B28EC7D1}"/>
    <cellStyle name="Percent 3 2 4 2 7" xfId="36516" xr:uid="{0C3DE26F-0345-4A1B-A234-7067AEBD0E79}"/>
    <cellStyle name="Percent 3 2 4 3" xfId="3631" xr:uid="{0FEF1FD3-1F60-439F-9EBD-CDD77404AAE5}"/>
    <cellStyle name="Percent 3 2 4 3 2" xfId="5425" xr:uid="{11FBFEBE-7598-47D2-BAB6-A14D0BC8AD37}"/>
    <cellStyle name="Percent 3 2 4 3 2 2" xfId="19390" xr:uid="{98769B3D-1938-4CA8-B9A6-D86C75FE4B74}"/>
    <cellStyle name="Percent 3 2 4 3 2 2 2" xfId="23007" xr:uid="{BCC03511-B0B5-4074-8C62-5B0FE92B6221}"/>
    <cellStyle name="Percent 3 2 4 3 2 3" xfId="36517" xr:uid="{459AAFA4-D253-4BF8-88FE-D403A707FB81}"/>
    <cellStyle name="Percent 3 2 4 3 2 4" xfId="36518" xr:uid="{FE8805B4-3C47-41F4-92F1-EAFE341AF3BE}"/>
    <cellStyle name="Percent 3 2 4 3 2 5" xfId="36519" xr:uid="{8B920DFC-1F44-4711-BCF5-602EE0E91743}"/>
    <cellStyle name="Percent 3 2 4 3 2 6" xfId="36520" xr:uid="{71B3EB4D-A254-449E-8945-05625FB74E85}"/>
    <cellStyle name="Percent 3 2 4 3 3" xfId="7048" xr:uid="{289E8260-CF2A-445A-91D3-D8BABD2C1EB8}"/>
    <cellStyle name="Percent 3 2 4 3 3 2" xfId="23006" xr:uid="{15DA02A8-FF88-4A03-8A1A-136B56BED5EC}"/>
    <cellStyle name="Percent 3 2 4 3 3 3" xfId="46501" xr:uid="{A12FBCDC-B5EE-4E3B-96AC-2DF491F6CDCD}"/>
    <cellStyle name="Percent 3 2 4 3 3 4" xfId="19389" xr:uid="{D698BE3C-AFFF-4A28-8ED7-1DC6E05F1EF3}"/>
    <cellStyle name="Percent 3 2 4 3 4" xfId="9326" xr:uid="{8DE206A3-E790-43F6-9D32-36FF9A9BEDAC}"/>
    <cellStyle name="Percent 3 2 4 3 4 2" xfId="36521" xr:uid="{F5A8A5FC-01D9-4BAA-B2CD-7CD98FFD52D4}"/>
    <cellStyle name="Percent 3 2 4 3 5" xfId="36522" xr:uid="{627913D1-14CD-40FD-B365-7520EE6D675B}"/>
    <cellStyle name="Percent 3 2 4 3 6" xfId="36523" xr:uid="{44622DA6-B5A6-4842-AB47-880E81F3E3A3}"/>
    <cellStyle name="Percent 3 2 4 3 7" xfId="36524" xr:uid="{DC740CAD-53A7-48C3-8E4D-0FE9BD9743B3}"/>
    <cellStyle name="Percent 3 2 4 4" xfId="5423" xr:uid="{9E4517B0-3FED-40B2-A973-B26F6EEFEE2B}"/>
    <cellStyle name="Percent 3 2 4 4 2" xfId="19391" xr:uid="{E8B21687-B0E9-44C8-8567-F1CA1084EFDC}"/>
    <cellStyle name="Percent 3 2 4 4 2 2" xfId="23008" xr:uid="{236F1FE3-FEAC-4C87-8D21-D94F26E5DE97}"/>
    <cellStyle name="Percent 3 2 4 4 3" xfId="36525" xr:uid="{F7CA64A5-8B3F-4BDE-B7A2-E2790275E4F0}"/>
    <cellStyle name="Percent 3 2 4 4 4" xfId="36526" xr:uid="{288C5B8A-29F0-4749-BBBE-E243C2C3523C}"/>
    <cellStyle name="Percent 3 2 4 4 5" xfId="36527" xr:uid="{48071637-AA2D-47B8-A7AE-8185A9C415B6}"/>
    <cellStyle name="Percent 3 2 4 4 6" xfId="36528" xr:uid="{73BD8393-26DC-46B5-88C1-C1675BB2E883}"/>
    <cellStyle name="Percent 3 2 4 5" xfId="4367" xr:uid="{3F258772-0DFF-4BD5-9E21-14623D8DA2F8}"/>
    <cellStyle name="Percent 3 2 4 5 2" xfId="23003" xr:uid="{B2C5970D-C351-454A-8620-5E0AB5486E15}"/>
    <cellStyle name="Percent 3 2 4 5 3" xfId="44170" xr:uid="{B3BD235C-B92C-40F6-8C2E-7CBC3AB20276}"/>
    <cellStyle name="Percent 3 2 4 5 4" xfId="19386" xr:uid="{6B3CA82A-3951-4035-B5CB-34818534267E}"/>
    <cellStyle name="Percent 3 2 4 6" xfId="6433" xr:uid="{AEC11B45-3413-46AC-854C-EC75230131DD}"/>
    <cellStyle name="Percent 3 2 4 6 2" xfId="46081" xr:uid="{D4A3F4A8-E1AE-44FB-9C1A-51BEC69AD242}"/>
    <cellStyle name="Percent 3 2 4 6 3" xfId="36529" xr:uid="{7E3EB16E-8471-4CFF-A1AB-39DE0D17E71C}"/>
    <cellStyle name="Percent 3 2 4 7" xfId="9324" xr:uid="{35ED3D31-1A51-423A-945E-9ED5ADF7B0D0}"/>
    <cellStyle name="Percent 3 2 4 7 2" xfId="36530" xr:uid="{366FD500-C918-4DDA-B363-43005A39825A}"/>
    <cellStyle name="Percent 3 2 4 8" xfId="36531" xr:uid="{EFD6F6E3-CF93-435D-B70D-643D7A6EFFC5}"/>
    <cellStyle name="Percent 3 2 4 9" xfId="36532" xr:uid="{CAEBC540-8E42-4068-8608-2E615DA7BA7D}"/>
    <cellStyle name="Percent 3 2 5" xfId="3632" xr:uid="{2BB8E41C-CDF9-4A64-A908-0465FA400D8D}"/>
    <cellStyle name="Percent 3 2 5 2" xfId="5426" xr:uid="{7986BFBF-E8F9-4EFF-A3F7-7F6CD3D61A86}"/>
    <cellStyle name="Percent 3 2 5 2 2" xfId="19393" xr:uid="{F210EA1F-8193-44A0-8D9B-33A2964CD549}"/>
    <cellStyle name="Percent 3 2 5 2 2 2" xfId="23010" xr:uid="{141CD525-B88A-4E5E-9841-EF2BC81EBB38}"/>
    <cellStyle name="Percent 3 2 5 2 3" xfId="36533" xr:uid="{0CA2318F-470B-4AE8-B54F-0E383CB8F63A}"/>
    <cellStyle name="Percent 3 2 5 2 4" xfId="36534" xr:uid="{3B525D4B-25C5-42ED-8F9B-CBDD2CC30143}"/>
    <cellStyle name="Percent 3 2 5 2 5" xfId="36535" xr:uid="{BDD496B8-C93C-4919-B6F5-0C0731C74A52}"/>
    <cellStyle name="Percent 3 2 5 2 6" xfId="36536" xr:uid="{CD349D91-87EE-41B1-835E-E792314D00F5}"/>
    <cellStyle name="Percent 3 2 5 3" xfId="7049" xr:uid="{7E4377F7-F1AD-46B7-AD4C-408E9E475E22}"/>
    <cellStyle name="Percent 3 2 5 3 2" xfId="23009" xr:uid="{CD2D11A1-8AEF-4D5D-8B08-3CFF185E2F47}"/>
    <cellStyle name="Percent 3 2 5 3 3" xfId="46502" xr:uid="{A8C0C7AB-6107-4A53-B613-492715F3A205}"/>
    <cellStyle name="Percent 3 2 5 3 4" xfId="19392" xr:uid="{C06FBE45-C159-4702-B022-57D54A5E5721}"/>
    <cellStyle name="Percent 3 2 5 4" xfId="9327" xr:uid="{7983ADE8-1C05-4982-AEA7-422735FA28DE}"/>
    <cellStyle name="Percent 3 2 5 4 2" xfId="36537" xr:uid="{0C8192E9-7AD0-4644-9CC8-55613F351EA9}"/>
    <cellStyle name="Percent 3 2 5 5" xfId="36538" xr:uid="{C159114B-F5EE-490C-98A2-CEC736AF7000}"/>
    <cellStyle name="Percent 3 2 5 6" xfId="36539" xr:uid="{12B0441F-FD42-47F8-AB82-4D3D8575AC01}"/>
    <cellStyle name="Percent 3 2 5 7" xfId="36540" xr:uid="{47F21CF3-FD84-4324-AF4C-54C745690A4D}"/>
    <cellStyle name="Percent 3 2 6" xfId="3633" xr:uid="{C21C2125-F676-450D-986E-17B1CC2F56A7}"/>
    <cellStyle name="Percent 3 2 6 2" xfId="5427" xr:uid="{3C50D5BA-EF69-4E6B-ADA8-BAB8F869D50A}"/>
    <cellStyle name="Percent 3 2 6 2 2" xfId="19395" xr:uid="{59B3809B-BCCA-4BB1-84FB-8E2D23CA12EE}"/>
    <cellStyle name="Percent 3 2 6 2 2 2" xfId="23012" xr:uid="{78905DAF-69CD-479C-86B0-D9AA8FD43A82}"/>
    <cellStyle name="Percent 3 2 6 2 3" xfId="36541" xr:uid="{430B756C-083C-48CC-924E-E570F722205F}"/>
    <cellStyle name="Percent 3 2 6 2 4" xfId="36542" xr:uid="{5267823D-6023-47F5-8228-B347E557034E}"/>
    <cellStyle name="Percent 3 2 6 2 5" xfId="36543" xr:uid="{D66AB878-EEBB-4501-839F-B64C791617B9}"/>
    <cellStyle name="Percent 3 2 6 2 6" xfId="36544" xr:uid="{DA045DED-0323-46CA-8037-084D5617A04F}"/>
    <cellStyle name="Percent 3 2 6 3" xfId="7050" xr:uid="{497699C8-029D-4033-ADE4-3F3D64D8EA8A}"/>
    <cellStyle name="Percent 3 2 6 3 2" xfId="23011" xr:uid="{81A14FBA-5C63-404F-9601-88B2568C8BA0}"/>
    <cellStyle name="Percent 3 2 6 3 3" xfId="46503" xr:uid="{8DFC6AAC-A97C-44A1-83E6-DB99AA9BF2B1}"/>
    <cellStyle name="Percent 3 2 6 3 4" xfId="19394" xr:uid="{80ED7EB4-CE2F-46EA-9033-C74AEC8EB025}"/>
    <cellStyle name="Percent 3 2 6 4" xfId="9328" xr:uid="{292F85BA-B033-4C6D-BDF8-B3FD250D5182}"/>
    <cellStyle name="Percent 3 2 6 4 2" xfId="36545" xr:uid="{AA60BEE3-2637-4B79-99D0-61B77908DC25}"/>
    <cellStyle name="Percent 3 2 6 5" xfId="36546" xr:uid="{0C8453ED-EB1D-4035-AE3D-0DE4F1F1E0AA}"/>
    <cellStyle name="Percent 3 2 6 6" xfId="36547" xr:uid="{88A2CD92-62ED-46F0-A573-E7DA41B8255F}"/>
    <cellStyle name="Percent 3 2 6 7" xfId="36548" xr:uid="{2959FFC5-52C2-45C6-B6B9-55E065EFAE34}"/>
    <cellStyle name="Percent 3 2 7" xfId="3634" xr:uid="{BE87FE62-8F5A-4318-9CB7-9675C8280FAA}"/>
    <cellStyle name="Percent 3 2 7 2" xfId="19396" xr:uid="{4A8B946D-6E34-494A-9209-98A40AB60989}"/>
    <cellStyle name="Percent 3 2 7 2 2" xfId="23013" xr:uid="{A9B97F40-4A3B-4DC3-81D7-C867EFFF1811}"/>
    <cellStyle name="Percent 3 2 7 3" xfId="36549" xr:uid="{8C62C5B1-D43E-4A8D-A76B-330ED5A43298}"/>
    <cellStyle name="Percent 3 2 7 4" xfId="36550" xr:uid="{FD02064A-7240-453C-A852-DDCDC1EDC0B0}"/>
    <cellStyle name="Percent 3 2 7 5" xfId="36551" xr:uid="{FBA60977-5081-4F89-B5D9-24383B8D38A5}"/>
    <cellStyle name="Percent 3 2 7 6" xfId="36552" xr:uid="{907BEB96-6E98-4715-B153-1604200A8F08}"/>
    <cellStyle name="Percent 3 2 8" xfId="3635" xr:uid="{BBA001C3-2994-4851-8387-6717E9298706}"/>
    <cellStyle name="Percent 3 2 8 2" xfId="19397" xr:uid="{26D15BE3-1CF6-4BBC-9C2B-F830628F7329}"/>
    <cellStyle name="Percent 3 2 8 2 2" xfId="23014" xr:uid="{472005E1-1888-4640-B847-A4EAF3ABD022}"/>
    <cellStyle name="Percent 3 2 8 3" xfId="36553" xr:uid="{D8E19357-6672-445F-8DBD-471D8BE0E79B}"/>
    <cellStyle name="Percent 3 2 8 4" xfId="36554" xr:uid="{266D426E-D9CE-4EE4-AEC4-5CA6CFEED99D}"/>
    <cellStyle name="Percent 3 2 8 5" xfId="36555" xr:uid="{65C57DEA-639A-463B-BB8C-251640552FFC}"/>
    <cellStyle name="Percent 3 2 8 6" xfId="36556" xr:uid="{46ACA769-6678-440F-817A-AAA24D583F05}"/>
    <cellStyle name="Percent 3 2 9" xfId="5417" xr:uid="{B7843E87-97EF-4E94-B4E5-C2DE3E7BE474}"/>
    <cellStyle name="Percent 3 2 9 2" xfId="19398" xr:uid="{64FB432D-1A1B-4FBE-9040-AC0F32A31EBA}"/>
    <cellStyle name="Percent 3 2 9 2 2" xfId="23015" xr:uid="{11EEC565-C3BC-4BC6-96A8-EC6E7F1BB620}"/>
    <cellStyle name="Percent 3 2 9 3" xfId="36557" xr:uid="{9795B742-DE85-4368-86FD-9D8545BE98B1}"/>
    <cellStyle name="Percent 3 2 9 4" xfId="36558" xr:uid="{5F829E16-ABC3-4F2A-A286-A8A2675576B0}"/>
    <cellStyle name="Percent 3 2 9 5" xfId="36559" xr:uid="{143A79BB-41B8-462E-8308-FCB40E2856F3}"/>
    <cellStyle name="Percent 3 2 9 6" xfId="36560" xr:uid="{78173B60-9C8C-4266-BD7A-3B09687AA864}"/>
    <cellStyle name="Percent 3 3" xfId="3636" xr:uid="{0F411D9D-2B59-42C2-9A15-CD575DDCA5D9}"/>
    <cellStyle name="Percent 3 3 10" xfId="36561" xr:uid="{B2CC33A9-79A9-41D2-AEF7-D8F2BF4B0B38}"/>
    <cellStyle name="Percent 3 3 2" xfId="3637" xr:uid="{01632170-42C5-428E-A018-9120B8C57CB0}"/>
    <cellStyle name="Percent 3 3 2 2" xfId="5429" xr:uid="{18E218AA-C048-4189-92B2-F45D01B9D198}"/>
    <cellStyle name="Percent 3 3 2 2 2" xfId="23017" xr:uid="{0428CAFA-E71E-4858-B56D-70474229BCD6}"/>
    <cellStyle name="Percent 3 3 2 2 3" xfId="43743" xr:uid="{50B92824-C2F1-42B5-9CD5-0CAEA2B09A39}"/>
    <cellStyle name="Percent 3 3 2 2 4" xfId="19400" xr:uid="{18E0ECC7-25EF-48D9-B601-5F6FF5986B99}"/>
    <cellStyle name="Percent 3 3 2 3" xfId="4369" xr:uid="{E0A209D1-3177-45F6-97B9-5EE454FB8B49}"/>
    <cellStyle name="Percent 3 3 2 3 2" xfId="44172" xr:uid="{BB710E2B-D61C-425C-96F5-C8BE3BFCE16B}"/>
    <cellStyle name="Percent 3 3 2 3 3" xfId="36562" xr:uid="{CDE1683B-8B6D-4166-97C1-E23ACF65B65A}"/>
    <cellStyle name="Percent 3 3 2 4" xfId="6435" xr:uid="{17B44417-4E86-4EA0-B06F-F24D5BB6CDF1}"/>
    <cellStyle name="Percent 3 3 2 4 2" xfId="46083" xr:uid="{C04550DD-E46D-43A3-B394-8D4E119EAF8B}"/>
    <cellStyle name="Percent 3 3 2 4 3" xfId="36563" xr:uid="{B1424547-9541-4FC3-8687-19854E89B0DC}"/>
    <cellStyle name="Percent 3 3 2 5" xfId="9330" xr:uid="{DB009FB9-AA68-4D9F-AC8F-C46FA19F5D28}"/>
    <cellStyle name="Percent 3 3 2 5 2" xfId="36564" xr:uid="{424BB9E0-1BED-4560-AFFD-26A3DEF0D6E2}"/>
    <cellStyle name="Percent 3 3 2 6" xfId="36565" xr:uid="{11F0DA78-E552-4A7C-A0B1-11666B7DA499}"/>
    <cellStyle name="Percent 3 3 2 7" xfId="36566" xr:uid="{AD2D7E63-A01E-4573-9904-1C2B3D2A2CD3}"/>
    <cellStyle name="Percent 3 3 3" xfId="3638" xr:uid="{C4A45036-E09A-4CA1-A150-D541B8367E67}"/>
    <cellStyle name="Percent 3 3 3 2" xfId="5430" xr:uid="{3A2D92A4-DA45-451D-AA70-19103C1842A7}"/>
    <cellStyle name="Percent 3 3 3 2 2" xfId="23018" xr:uid="{5EC47BA8-8BDE-41FB-AD82-4A1AD158754C}"/>
    <cellStyle name="Percent 3 3 3 2 3" xfId="43744" xr:uid="{4182FD06-DB50-48EF-9CC7-6F5747D90E1C}"/>
    <cellStyle name="Percent 3 3 3 2 4" xfId="19401" xr:uid="{E7BC7276-2477-485B-AF7D-3659C832D298}"/>
    <cellStyle name="Percent 3 3 3 3" xfId="4370" xr:uid="{68096FB3-C3F4-41A8-AA38-DAB40894D183}"/>
    <cellStyle name="Percent 3 3 3 3 2" xfId="44173" xr:uid="{80442AD2-6F34-48CD-9A41-61954BDA1ADB}"/>
    <cellStyle name="Percent 3 3 3 3 3" xfId="36567" xr:uid="{B9556D62-9426-4D5D-B667-F19726CF5485}"/>
    <cellStyle name="Percent 3 3 3 4" xfId="6436" xr:uid="{08E39053-41D9-4349-92B1-10BA2E5C5A2F}"/>
    <cellStyle name="Percent 3 3 3 4 2" xfId="46084" xr:uid="{43450BA8-21CD-4F07-9E57-9473EA872099}"/>
    <cellStyle name="Percent 3 3 3 4 3" xfId="36568" xr:uid="{ACC490E8-CA5B-4BC0-8E58-8AC69838DAE8}"/>
    <cellStyle name="Percent 3 3 3 5" xfId="9331" xr:uid="{8F23E4CE-2DC6-4E6E-8471-6B4C473653F3}"/>
    <cellStyle name="Percent 3 3 3 5 2" xfId="36569" xr:uid="{4B396314-9AB3-4480-AB94-0F16F307C617}"/>
    <cellStyle name="Percent 3 3 3 6" xfId="36570" xr:uid="{AC5DD360-636F-4934-A9CF-78B34F893A4C}"/>
    <cellStyle name="Percent 3 3 3 7" xfId="36571" xr:uid="{63650AE0-99D7-4DE8-A0E7-3028432C9349}"/>
    <cellStyle name="Percent 3 3 4" xfId="3639" xr:uid="{6DA8905C-D8D3-46F9-AFBC-DE3A861C7A79}"/>
    <cellStyle name="Percent 3 3 4 2" xfId="5431" xr:uid="{6CAFD85E-CBDF-4937-A49F-8E65E112E88D}"/>
    <cellStyle name="Percent 3 3 4 2 2" xfId="23019" xr:uid="{CE2D0025-9790-4D6B-986A-3CFD4359ADEC}"/>
    <cellStyle name="Percent 3 3 4 2 3" xfId="43745" xr:uid="{03A76B3B-4D45-406B-B1B3-43041D4F0D76}"/>
    <cellStyle name="Percent 3 3 4 2 4" xfId="19402" xr:uid="{2941B190-DD1B-44D2-BAC3-964C63FDDBF0}"/>
    <cellStyle name="Percent 3 3 4 3" xfId="4371" xr:uid="{FFE7CE68-48D3-4119-8366-767BC35F2AF3}"/>
    <cellStyle name="Percent 3 3 4 3 2" xfId="44174" xr:uid="{A5849208-5429-4F69-AE9E-3BD17471947A}"/>
    <cellStyle name="Percent 3 3 4 3 3" xfId="36572" xr:uid="{EBF2D2AF-435C-4E72-A96A-B4B45AC658EA}"/>
    <cellStyle name="Percent 3 3 4 4" xfId="6437" xr:uid="{0591C8E9-8532-45A1-9848-F197A75E1153}"/>
    <cellStyle name="Percent 3 3 4 4 2" xfId="46085" xr:uid="{618845C6-90ED-4FFE-BFE2-4031863F6B65}"/>
    <cellStyle name="Percent 3 3 4 4 3" xfId="36573" xr:uid="{7DE4945B-1171-493E-AF21-9407B8A2A4D2}"/>
    <cellStyle name="Percent 3 3 4 5" xfId="9332" xr:uid="{2D6DDBBA-33FC-48BA-91EF-F7A675CC6D59}"/>
    <cellStyle name="Percent 3 3 4 5 2" xfId="36574" xr:uid="{0D6F707B-295C-4ABA-A6AF-435402572706}"/>
    <cellStyle name="Percent 3 3 4 6" xfId="36575" xr:uid="{9A864C40-99B4-404D-B1E7-6311E1FF69A4}"/>
    <cellStyle name="Percent 3 3 4 7" xfId="36576" xr:uid="{0B1BD977-2C62-42E7-B72E-AC9DEF320D71}"/>
    <cellStyle name="Percent 3 3 5" xfId="5428" xr:uid="{F83FFE1D-22FD-4744-9A0B-EFC77DCE104E}"/>
    <cellStyle name="Percent 3 3 5 2" xfId="23016" xr:uid="{63954732-D0C2-4DC9-B744-7DEF8200317E}"/>
    <cellStyle name="Percent 3 3 5 3" xfId="43742" xr:uid="{0A6171BD-C5CE-4CB2-A498-49B612FAF251}"/>
    <cellStyle name="Percent 3 3 5 4" xfId="19399" xr:uid="{7B4327EE-D609-4273-9122-FF6D98DDF073}"/>
    <cellStyle name="Percent 3 3 6" xfId="4368" xr:uid="{1BD23CBB-6602-4673-8901-641FF7BAC6DF}"/>
    <cellStyle name="Percent 3 3 6 2" xfId="44171" xr:uid="{A3EB3E06-272E-4997-B0C4-D68EBC3E3F11}"/>
    <cellStyle name="Percent 3 3 6 3" xfId="36577" xr:uid="{B07D36C1-FEEF-4A30-81BF-D2D03503D165}"/>
    <cellStyle name="Percent 3 3 7" xfId="6434" xr:uid="{6CCD128D-7CEE-4CE3-9A2D-F12D77FAB946}"/>
    <cellStyle name="Percent 3 3 7 2" xfId="46082" xr:uid="{AE6797A0-377F-4DC2-89EF-A68F7F86B172}"/>
    <cellStyle name="Percent 3 3 7 3" xfId="36578" xr:uid="{F7326EF9-B3F0-48DF-BE7C-10CEAD641245}"/>
    <cellStyle name="Percent 3 3 8" xfId="9329" xr:uid="{3E1BC229-353A-4907-A73D-6808A1C90F64}"/>
    <cellStyle name="Percent 3 3 8 2" xfId="36579" xr:uid="{D6809B14-239A-42A5-97EB-2455BC767D47}"/>
    <cellStyle name="Percent 3 3 9" xfId="36580" xr:uid="{DC5B9494-434C-4408-9D89-2540A98D2738}"/>
    <cellStyle name="Percent 3 4" xfId="3640" xr:uid="{B30BCA9C-08A2-4402-A0CD-17F6281A73B8}"/>
    <cellStyle name="Percent 3 4 10" xfId="36581" xr:uid="{5967D20A-1E2B-4C2E-859F-F5F38FB3CDCC}"/>
    <cellStyle name="Percent 3 4 2" xfId="3641" xr:uid="{975EC674-8588-45D8-913E-E8B98D70E109}"/>
    <cellStyle name="Percent 3 4 2 2" xfId="5433" xr:uid="{5D20A59A-9A2A-40B6-848C-DFAC698A95E1}"/>
    <cellStyle name="Percent 3 4 2 2 2" xfId="23021" xr:uid="{337E50E9-7BB1-4331-B887-0E2305756802}"/>
    <cellStyle name="Percent 3 4 2 2 3" xfId="43747" xr:uid="{F3AFBF1C-394B-41AA-80D6-CA1671112A22}"/>
    <cellStyle name="Percent 3 4 2 2 4" xfId="19404" xr:uid="{2C3359F9-8CBF-47AD-86BC-A6155CA91A35}"/>
    <cellStyle name="Percent 3 4 2 3" xfId="4373" xr:uid="{00DB3066-BBB0-4A8B-B2AA-FEFCAF42DC92}"/>
    <cellStyle name="Percent 3 4 2 3 2" xfId="44176" xr:uid="{9428154E-EBB8-4B5B-839F-1519D495F603}"/>
    <cellStyle name="Percent 3 4 2 3 3" xfId="36582" xr:uid="{6DA38E07-1763-44C4-8328-7A0717299806}"/>
    <cellStyle name="Percent 3 4 2 4" xfId="6439" xr:uid="{F8B1AAF9-49CD-4CF5-8015-EDD28CCC9010}"/>
    <cellStyle name="Percent 3 4 2 4 2" xfId="46087" xr:uid="{F3095BDA-CFCD-4FCE-A555-7D9161BB5338}"/>
    <cellStyle name="Percent 3 4 2 4 3" xfId="36583" xr:uid="{6B90CDAD-0C53-4CA7-9C99-445BDDB4C6E8}"/>
    <cellStyle name="Percent 3 4 2 5" xfId="9334" xr:uid="{ACD7F986-8F73-4A77-AAD4-3B0778034091}"/>
    <cellStyle name="Percent 3 4 2 5 2" xfId="36584" xr:uid="{DCB7523E-59B4-43D0-A49D-2311743E3CAE}"/>
    <cellStyle name="Percent 3 4 2 6" xfId="36585" xr:uid="{C3C8139F-4FB1-4681-A91E-8916F053A1CE}"/>
    <cellStyle name="Percent 3 4 2 7" xfId="36586" xr:uid="{A9D0FBBA-D087-4AD2-A0EB-212DDB073E52}"/>
    <cellStyle name="Percent 3 4 3" xfId="3642" xr:uid="{321DF986-DC02-4199-9E2D-E679444E36B4}"/>
    <cellStyle name="Percent 3 4 3 2" xfId="5434" xr:uid="{752BE510-07E8-483B-A0CD-3A0927874EEE}"/>
    <cellStyle name="Percent 3 4 3 2 2" xfId="23022" xr:uid="{11163B4E-0DDE-40B3-81D4-BBCA1344E805}"/>
    <cellStyle name="Percent 3 4 3 2 3" xfId="43748" xr:uid="{46224A95-53AA-4339-9BF3-8F1A70323C76}"/>
    <cellStyle name="Percent 3 4 3 2 4" xfId="19405" xr:uid="{40F4497B-9A14-4763-B224-262B41026F76}"/>
    <cellStyle name="Percent 3 4 3 3" xfId="4374" xr:uid="{F5C3460F-855E-440C-826D-B7DEDA250036}"/>
    <cellStyle name="Percent 3 4 3 3 2" xfId="44177" xr:uid="{53F8D4B6-042B-43B5-8D06-0752C094088F}"/>
    <cellStyle name="Percent 3 4 3 3 3" xfId="36587" xr:uid="{12574D81-5EA7-41F6-A158-16E2452992D3}"/>
    <cellStyle name="Percent 3 4 3 4" xfId="6440" xr:uid="{117A83C9-6B93-44B9-8FD7-18BE1D7FB5E7}"/>
    <cellStyle name="Percent 3 4 3 4 2" xfId="46088" xr:uid="{D2DD249A-E620-4FCA-8BBA-DDFC88C59952}"/>
    <cellStyle name="Percent 3 4 3 4 3" xfId="36588" xr:uid="{CD207030-651B-4F9A-BE9E-799DD57A99F3}"/>
    <cellStyle name="Percent 3 4 3 5" xfId="9335" xr:uid="{66001A7E-E4EF-4326-A9C9-F044528F593C}"/>
    <cellStyle name="Percent 3 4 3 5 2" xfId="36589" xr:uid="{F557C492-2A63-40CA-914D-239D5537AC99}"/>
    <cellStyle name="Percent 3 4 3 6" xfId="36590" xr:uid="{A69E87D2-1D6B-483F-BBEC-4D9A992EB9A8}"/>
    <cellStyle name="Percent 3 4 3 7" xfId="36591" xr:uid="{BFBBF734-141F-4CC8-AF97-1CF7BCD3B315}"/>
    <cellStyle name="Percent 3 4 4" xfId="3643" xr:uid="{C880CF5A-6A5B-4DC8-A6C0-266CA390E5F4}"/>
    <cellStyle name="Percent 3 4 4 2" xfId="5435" xr:uid="{2F875025-4522-4384-AD17-827305C0C583}"/>
    <cellStyle name="Percent 3 4 4 2 2" xfId="23023" xr:uid="{0F45F8EA-B49E-471F-864C-DD2746DE78E6}"/>
    <cellStyle name="Percent 3 4 4 2 3" xfId="43749" xr:uid="{FCCEAAF2-47D4-4678-9E5F-60727C912BFC}"/>
    <cellStyle name="Percent 3 4 4 2 4" xfId="19406" xr:uid="{35463F62-8BF4-4F7A-A8E7-D0C7CB76D1E2}"/>
    <cellStyle name="Percent 3 4 4 3" xfId="4375" xr:uid="{3F8FBD5E-52FC-4D12-B946-C73A509BFCB7}"/>
    <cellStyle name="Percent 3 4 4 3 2" xfId="44178" xr:uid="{A2FCC20B-841F-4E40-9E62-C8C6088E1DDF}"/>
    <cellStyle name="Percent 3 4 4 3 3" xfId="36592" xr:uid="{68701574-3A5F-43C0-A7F1-FE46A15C4115}"/>
    <cellStyle name="Percent 3 4 4 4" xfId="6441" xr:uid="{191833B2-7916-4FBE-A5E7-E7C65640302B}"/>
    <cellStyle name="Percent 3 4 4 4 2" xfId="46089" xr:uid="{7AAC4421-D7D2-4311-98BB-3BB237CEAD42}"/>
    <cellStyle name="Percent 3 4 4 4 3" xfId="36593" xr:uid="{1EABF32C-57B0-4C3C-BDD5-8F946F318D21}"/>
    <cellStyle name="Percent 3 4 4 5" xfId="9336" xr:uid="{3E7A4409-2B3C-4A95-929D-08F80B580CA5}"/>
    <cellStyle name="Percent 3 4 4 5 2" xfId="36594" xr:uid="{40D97332-A721-4948-AEC7-8C1588017E09}"/>
    <cellStyle name="Percent 3 4 4 6" xfId="36595" xr:uid="{BAA728C8-5C91-4369-A3E2-021B62134B46}"/>
    <cellStyle name="Percent 3 4 4 7" xfId="36596" xr:uid="{AD0A798B-2B6B-4A75-9C92-3FAC66FCC4F4}"/>
    <cellStyle name="Percent 3 4 5" xfId="5432" xr:uid="{1D31315A-6CA7-420F-A79C-65D499A3B9E0}"/>
    <cellStyle name="Percent 3 4 5 2" xfId="23020" xr:uid="{987FFB23-1969-4AB6-8C40-E5C19BFDD2D7}"/>
    <cellStyle name="Percent 3 4 5 3" xfId="43746" xr:uid="{2D594F56-EB16-426B-B33C-A6507C7207C5}"/>
    <cellStyle name="Percent 3 4 5 4" xfId="19403" xr:uid="{6488E4F1-9909-4FFB-8734-1378136CA841}"/>
    <cellStyle name="Percent 3 4 6" xfId="4372" xr:uid="{0ED98877-BA60-40E1-B6E8-231D44CD0691}"/>
    <cellStyle name="Percent 3 4 6 2" xfId="44175" xr:uid="{A0BDAD97-B626-4B49-BF3D-40CF39AA887A}"/>
    <cellStyle name="Percent 3 4 6 3" xfId="36597" xr:uid="{EA64B991-3956-4DE4-A32E-014D91DD99BE}"/>
    <cellStyle name="Percent 3 4 7" xfId="6438" xr:uid="{BFF29F88-9DC5-4D8A-A3E2-E966E890E332}"/>
    <cellStyle name="Percent 3 4 7 2" xfId="46086" xr:uid="{7F99C0C9-22D3-43CF-84B8-EFC09693C3B6}"/>
    <cellStyle name="Percent 3 4 7 3" xfId="36598" xr:uid="{0070D758-7D88-4D8C-ACD1-2FBCDC49D94C}"/>
    <cellStyle name="Percent 3 4 8" xfId="9333" xr:uid="{B9BD876C-AC48-4855-8DC1-7E72075A4F45}"/>
    <cellStyle name="Percent 3 4 8 2" xfId="36599" xr:uid="{2D272597-FF27-4E67-B008-0DA0FF206AE5}"/>
    <cellStyle name="Percent 3 4 9" xfId="36600" xr:uid="{DA7EE221-8042-47FC-A842-018322C63887}"/>
    <cellStyle name="Percent 3 5" xfId="3644" xr:uid="{DEE6D968-E894-4567-BC5D-5C397E3668B0}"/>
    <cellStyle name="Percent 3 5 10" xfId="36601" xr:uid="{5C78F48C-E2AB-4A9D-ADB6-E1A8970AF20F}"/>
    <cellStyle name="Percent 3 5 2" xfId="3645" xr:uid="{F7AA53AD-F5E7-4D5D-8B05-7F568A7E0CF6}"/>
    <cellStyle name="Percent 3 5 2 2" xfId="5437" xr:uid="{F3544324-A3E1-4118-835E-4F83C5B1A9D8}"/>
    <cellStyle name="Percent 3 5 2 2 2" xfId="23025" xr:uid="{B12CF2E7-69BD-4ED6-90C1-7C209559BFA3}"/>
    <cellStyle name="Percent 3 5 2 2 3" xfId="43751" xr:uid="{32DBCCBA-3965-4D3F-99A3-041435A5A9E6}"/>
    <cellStyle name="Percent 3 5 2 2 4" xfId="19408" xr:uid="{6624FB69-FD33-4B54-82E4-A0CA4ED9207D}"/>
    <cellStyle name="Percent 3 5 2 3" xfId="4377" xr:uid="{18088A02-200D-4C43-8A74-61C81933563A}"/>
    <cellStyle name="Percent 3 5 2 3 2" xfId="44180" xr:uid="{80D10768-8C9B-4FBD-9EA1-C0CDFBD96723}"/>
    <cellStyle name="Percent 3 5 2 3 3" xfId="36602" xr:uid="{8DC1DDA2-E9A3-4CC4-9755-2EACBC39E7F6}"/>
    <cellStyle name="Percent 3 5 2 4" xfId="6443" xr:uid="{19A9D759-6D5A-404A-AAEA-CFE536CB1807}"/>
    <cellStyle name="Percent 3 5 2 4 2" xfId="46091" xr:uid="{A745C055-9C06-4855-8F01-626A622A15CC}"/>
    <cellStyle name="Percent 3 5 2 4 3" xfId="36603" xr:uid="{C57DC1EA-7963-49C4-BE14-C1C784ADF18B}"/>
    <cellStyle name="Percent 3 5 2 5" xfId="9338" xr:uid="{BA5C88DD-22C1-43CA-8185-967805E4B872}"/>
    <cellStyle name="Percent 3 5 2 5 2" xfId="36604" xr:uid="{CDA0ACA4-A56B-4DBC-9784-D12445A78C2F}"/>
    <cellStyle name="Percent 3 5 2 6" xfId="36605" xr:uid="{61D28832-A70A-4C4E-8B91-3916347EC3C3}"/>
    <cellStyle name="Percent 3 5 2 7" xfId="36606" xr:uid="{A8B8FF41-3CE3-40C8-928E-98AE9157941A}"/>
    <cellStyle name="Percent 3 5 3" xfId="3646" xr:uid="{80C9E87A-BA51-422D-A456-331AA4651904}"/>
    <cellStyle name="Percent 3 5 3 2" xfId="5438" xr:uid="{293B5E78-A07D-445E-B090-68B5BD314A98}"/>
    <cellStyle name="Percent 3 5 3 2 2" xfId="23026" xr:uid="{8DF16250-88F3-4C85-8323-783B2755C61D}"/>
    <cellStyle name="Percent 3 5 3 2 3" xfId="43752" xr:uid="{2177FC5F-BFDD-4AB4-9854-BADD59433355}"/>
    <cellStyle name="Percent 3 5 3 2 4" xfId="19409" xr:uid="{C3CA3853-9F88-4BE1-9F66-1ECA0E57465A}"/>
    <cellStyle name="Percent 3 5 3 3" xfId="4378" xr:uid="{A8A0B9CD-F0FA-4C90-A65B-F10B26CDF848}"/>
    <cellStyle name="Percent 3 5 3 3 2" xfId="44181" xr:uid="{7C31AFB6-C1CB-4A3B-B984-B01B892A969D}"/>
    <cellStyle name="Percent 3 5 3 3 3" xfId="36607" xr:uid="{592D6B9E-3FB6-4020-B728-E34234ED6AD3}"/>
    <cellStyle name="Percent 3 5 3 4" xfId="6444" xr:uid="{4D62D0E4-DD35-450A-BC7A-AC9E998B61CC}"/>
    <cellStyle name="Percent 3 5 3 4 2" xfId="46092" xr:uid="{694F2805-4D26-462A-B867-AB330843F52C}"/>
    <cellStyle name="Percent 3 5 3 4 3" xfId="36608" xr:uid="{F0829486-F555-4A4A-80BC-04E66D23BB39}"/>
    <cellStyle name="Percent 3 5 3 5" xfId="9339" xr:uid="{278F9048-BE5F-413A-9401-45C225760A83}"/>
    <cellStyle name="Percent 3 5 3 5 2" xfId="36609" xr:uid="{2FDACDB9-9545-4909-AE16-22DECB83D76C}"/>
    <cellStyle name="Percent 3 5 3 6" xfId="36610" xr:uid="{4C798DE5-7D43-407F-9524-8EEBDB9915FF}"/>
    <cellStyle name="Percent 3 5 3 7" xfId="36611" xr:uid="{593F212C-D4C5-4086-8E13-1D5997CB85FD}"/>
    <cellStyle name="Percent 3 5 4" xfId="3647" xr:uid="{A2332B2B-999E-4018-9DF5-B1FC4FF6E58B}"/>
    <cellStyle name="Percent 3 5 4 2" xfId="5439" xr:uid="{832D811D-8E2D-4E94-A78E-D1580CB12529}"/>
    <cellStyle name="Percent 3 5 4 2 2" xfId="23027" xr:uid="{4518F300-0F26-4376-805B-69CF93856A88}"/>
    <cellStyle name="Percent 3 5 4 2 3" xfId="43753" xr:uid="{EADA4CA2-0811-4447-8183-1395B35BC645}"/>
    <cellStyle name="Percent 3 5 4 2 4" xfId="19410" xr:uid="{8CD164EC-A95F-4B98-B2B4-C670CBAE2CF2}"/>
    <cellStyle name="Percent 3 5 4 3" xfId="4379" xr:uid="{BAD55DBD-64FE-45A8-BF8B-D7B1B291BC1A}"/>
    <cellStyle name="Percent 3 5 4 3 2" xfId="44182" xr:uid="{89793E47-103E-466C-876E-7E9E94069866}"/>
    <cellStyle name="Percent 3 5 4 3 3" xfId="36612" xr:uid="{4C014562-ACAA-4C7C-93B0-68AFCEA338D1}"/>
    <cellStyle name="Percent 3 5 4 4" xfId="6445" xr:uid="{3CACE55C-518E-4007-9350-E65D9C2729A4}"/>
    <cellStyle name="Percent 3 5 4 4 2" xfId="46093" xr:uid="{40A965C8-D2BD-4749-AE6B-149095693F3C}"/>
    <cellStyle name="Percent 3 5 4 4 3" xfId="36613" xr:uid="{720250AA-4836-4AD9-A1CC-6CAA2B937C35}"/>
    <cellStyle name="Percent 3 5 4 5" xfId="9340" xr:uid="{FF4019CA-55A3-4156-9324-8034A141D790}"/>
    <cellStyle name="Percent 3 5 4 5 2" xfId="36614" xr:uid="{57E75F01-463E-4970-8C4E-DD9747FEF36E}"/>
    <cellStyle name="Percent 3 5 4 6" xfId="36615" xr:uid="{B510C964-E4E5-4766-84B1-23A045DB7FD9}"/>
    <cellStyle name="Percent 3 5 4 7" xfId="36616" xr:uid="{BD191877-9B4D-48C8-9127-0EE760EF5FE8}"/>
    <cellStyle name="Percent 3 5 5" xfId="5436" xr:uid="{4DCAF823-59C7-45F7-8627-BEF79AB71629}"/>
    <cellStyle name="Percent 3 5 5 2" xfId="23024" xr:uid="{BCF77A11-49F7-449F-B080-2D80CCFE47DF}"/>
    <cellStyle name="Percent 3 5 5 3" xfId="43750" xr:uid="{23B0C58F-D528-4C63-B114-4B8506B894DD}"/>
    <cellStyle name="Percent 3 5 5 4" xfId="19407" xr:uid="{2B0C4644-0746-4402-9FF8-0399D3193B9B}"/>
    <cellStyle name="Percent 3 5 6" xfId="4376" xr:uid="{71406ACC-5836-48A5-8882-1409C93F96E0}"/>
    <cellStyle name="Percent 3 5 6 2" xfId="44179" xr:uid="{8D3443BA-CBB9-4B2C-A26A-B349329A308C}"/>
    <cellStyle name="Percent 3 5 6 3" xfId="36617" xr:uid="{E47DA66C-0FED-4D44-A3F7-4FB76CB2F1EE}"/>
    <cellStyle name="Percent 3 5 7" xfId="6442" xr:uid="{E1757953-99AC-4E20-ABB0-F4DD1E348B0A}"/>
    <cellStyle name="Percent 3 5 7 2" xfId="46090" xr:uid="{9B9BFE18-9F19-4DBC-B1A6-BDFC07737183}"/>
    <cellStyle name="Percent 3 5 7 3" xfId="36618" xr:uid="{574F55F0-967A-4818-AAD5-2B56881DE69A}"/>
    <cellStyle name="Percent 3 5 8" xfId="9337" xr:uid="{A1E8BE5D-0943-4F4F-8269-D6C587F2C31C}"/>
    <cellStyle name="Percent 3 5 8 2" xfId="36619" xr:uid="{C29417DE-0C6D-4F74-B145-64A804892905}"/>
    <cellStyle name="Percent 3 5 9" xfId="36620" xr:uid="{9FB71EFB-02C2-4D9B-B230-6C3999AF30D6}"/>
    <cellStyle name="Percent 3 6" xfId="3648" xr:uid="{7A79A379-CBA1-4BCA-A411-ADB39F532022}"/>
    <cellStyle name="Percent 3 6 10" xfId="36621" xr:uid="{1831719D-C46D-427D-BD5F-D214E32E95B9}"/>
    <cellStyle name="Percent 3 6 2" xfId="3649" xr:uid="{92F6ED85-BB70-4D4E-9BBB-43414E2781DA}"/>
    <cellStyle name="Percent 3 6 2 2" xfId="5441" xr:uid="{4F48A0FB-36F8-4964-BE69-37C404905A56}"/>
    <cellStyle name="Percent 3 6 2 2 2" xfId="23029" xr:uid="{165F49AC-77E1-4B0C-A6DE-1248D0F7624B}"/>
    <cellStyle name="Percent 3 6 2 2 3" xfId="43755" xr:uid="{71D0EC56-BAB8-4620-9F60-17055EB2D37F}"/>
    <cellStyle name="Percent 3 6 2 2 4" xfId="19412" xr:uid="{CDC2A512-AACF-4931-9624-3C8B03184B79}"/>
    <cellStyle name="Percent 3 6 2 3" xfId="4381" xr:uid="{99A3B899-A990-46D9-8B3F-163D2EA1FFB3}"/>
    <cellStyle name="Percent 3 6 2 3 2" xfId="44184" xr:uid="{91126912-F4BC-46F3-958E-E57F3E111E8A}"/>
    <cellStyle name="Percent 3 6 2 3 3" xfId="36622" xr:uid="{ACE9CE66-1D5D-455E-8560-4E2F64143776}"/>
    <cellStyle name="Percent 3 6 2 4" xfId="6447" xr:uid="{004DBCD2-3166-4F3D-A060-3C4F07AE268D}"/>
    <cellStyle name="Percent 3 6 2 4 2" xfId="46095" xr:uid="{2ED4B67D-E078-4EED-B8AD-BDD3FFE156BB}"/>
    <cellStyle name="Percent 3 6 2 4 3" xfId="36623" xr:uid="{C3329D18-923C-4098-A3AB-99D5EE3D89B2}"/>
    <cellStyle name="Percent 3 6 2 5" xfId="9342" xr:uid="{3C8019EA-6522-4FA0-8D5D-1C8351276D30}"/>
    <cellStyle name="Percent 3 6 2 5 2" xfId="36624" xr:uid="{1A559306-A14D-42B7-B039-7F0529AE7D6B}"/>
    <cellStyle name="Percent 3 6 2 6" xfId="36625" xr:uid="{E6553E4C-7237-4627-92D1-16838ECC9B85}"/>
    <cellStyle name="Percent 3 6 2 7" xfId="36626" xr:uid="{09F47A2C-EE5C-46DA-ABE8-553F915EE5CC}"/>
    <cellStyle name="Percent 3 6 3" xfId="3650" xr:uid="{5F9F8595-ED64-4778-8434-CC455EE17E30}"/>
    <cellStyle name="Percent 3 6 3 2" xfId="5442" xr:uid="{CA7D83AE-34B7-4774-A8A5-1B7491E48665}"/>
    <cellStyle name="Percent 3 6 3 2 2" xfId="23030" xr:uid="{BB58D36A-45DA-4565-BC4A-F9C19BEDC37F}"/>
    <cellStyle name="Percent 3 6 3 2 3" xfId="43756" xr:uid="{1DCEA90B-0691-4EF7-B049-74CBEF586111}"/>
    <cellStyle name="Percent 3 6 3 2 4" xfId="19413" xr:uid="{674489DB-D586-496D-B36A-51AEA6139CAD}"/>
    <cellStyle name="Percent 3 6 3 3" xfId="4382" xr:uid="{BC027631-EC57-4413-9B1D-0385079E5D2F}"/>
    <cellStyle name="Percent 3 6 3 3 2" xfId="44185" xr:uid="{BB6BF6FA-84C6-421B-A4DF-798C01C8ADD6}"/>
    <cellStyle name="Percent 3 6 3 3 3" xfId="36627" xr:uid="{230E3012-E388-41BD-A3F8-43C0972EBDD5}"/>
    <cellStyle name="Percent 3 6 3 4" xfId="6448" xr:uid="{A40ED46C-BA8F-4717-9D47-64124FEDCEA2}"/>
    <cellStyle name="Percent 3 6 3 4 2" xfId="46096" xr:uid="{C94E94B5-E381-4F70-8992-CEFEAB4C7F64}"/>
    <cellStyle name="Percent 3 6 3 4 3" xfId="36628" xr:uid="{50C509B3-ABE5-4AAD-A56C-B063BB98AA00}"/>
    <cellStyle name="Percent 3 6 3 5" xfId="9343" xr:uid="{63A8C1D5-82DD-40D8-B177-10F7C363AAFF}"/>
    <cellStyle name="Percent 3 6 3 5 2" xfId="36629" xr:uid="{270A1688-2D18-45B3-875C-1B7C5C6E974A}"/>
    <cellStyle name="Percent 3 6 3 6" xfId="36630" xr:uid="{AFFBCD5E-A406-49F5-BBFC-EADFE7BE0443}"/>
    <cellStyle name="Percent 3 6 3 7" xfId="36631" xr:uid="{D470FB43-6F01-4198-8823-2790568352C5}"/>
    <cellStyle name="Percent 3 6 4" xfId="3651" xr:uid="{F2AEBFBF-94E6-4DC9-8E7E-0F3696992953}"/>
    <cellStyle name="Percent 3 6 4 2" xfId="5443" xr:uid="{EEA2695F-6F48-4AD1-AC68-799DF8E10CBA}"/>
    <cellStyle name="Percent 3 6 4 2 2" xfId="23031" xr:uid="{8BDDC3E6-5288-4FD0-AA29-2FE32E20BC2D}"/>
    <cellStyle name="Percent 3 6 4 2 3" xfId="43757" xr:uid="{C636FBAA-DF61-4716-B2E2-D0961892017D}"/>
    <cellStyle name="Percent 3 6 4 2 4" xfId="19414" xr:uid="{35B78B0B-56A6-4B98-8984-B3587E9A6C08}"/>
    <cellStyle name="Percent 3 6 4 3" xfId="4383" xr:uid="{5CE4BC51-280C-41F9-9385-F304C5F92AF2}"/>
    <cellStyle name="Percent 3 6 4 3 2" xfId="44186" xr:uid="{7166B50D-8FDC-48E2-B438-FAA3E919BF26}"/>
    <cellStyle name="Percent 3 6 4 3 3" xfId="36632" xr:uid="{531AC737-5013-426C-B041-16AA9DBA6659}"/>
    <cellStyle name="Percent 3 6 4 4" xfId="6449" xr:uid="{ACDA10CE-FE44-41B5-A1E5-84AFE133AE11}"/>
    <cellStyle name="Percent 3 6 4 4 2" xfId="46097" xr:uid="{061EF5C4-7F87-4000-8AD3-8AA62453E05E}"/>
    <cellStyle name="Percent 3 6 4 4 3" xfId="36633" xr:uid="{9AF33849-F663-4543-B8D2-3D54925D8146}"/>
    <cellStyle name="Percent 3 6 4 5" xfId="9344" xr:uid="{E5D2A53E-ACA9-414B-A188-F504E8AE113D}"/>
    <cellStyle name="Percent 3 6 4 5 2" xfId="36634" xr:uid="{D251C525-FD7B-46C9-B864-4467444D619D}"/>
    <cellStyle name="Percent 3 6 4 6" xfId="36635" xr:uid="{8F5FC876-284C-4E0F-91ED-6FDC96F8FA94}"/>
    <cellStyle name="Percent 3 6 4 7" xfId="36636" xr:uid="{347139B4-F91D-419F-89F2-D80A42B557D1}"/>
    <cellStyle name="Percent 3 6 5" xfId="5440" xr:uid="{142C1EAD-46E4-46B9-98C2-563886676A17}"/>
    <cellStyle name="Percent 3 6 5 2" xfId="23028" xr:uid="{4BAFB8F8-B179-456D-8B4C-ABF38947F0E5}"/>
    <cellStyle name="Percent 3 6 5 3" xfId="43754" xr:uid="{018BDB1F-13B7-4BEF-B16E-6D127033951B}"/>
    <cellStyle name="Percent 3 6 5 4" xfId="19411" xr:uid="{0E377A1D-AE1F-445D-95BB-74C283F1560B}"/>
    <cellStyle name="Percent 3 6 6" xfId="4380" xr:uid="{DAD177A8-B8E7-4282-A2D0-BCEE9533BDDA}"/>
    <cellStyle name="Percent 3 6 6 2" xfId="44183" xr:uid="{5368E029-A4BB-4274-B117-6F78C2D62F1D}"/>
    <cellStyle name="Percent 3 6 6 3" xfId="36637" xr:uid="{96CE04CE-F9AC-4BA4-A540-54A7215E047A}"/>
    <cellStyle name="Percent 3 6 7" xfId="6446" xr:uid="{363F4259-FA5C-4031-A01E-3C387D9B9590}"/>
    <cellStyle name="Percent 3 6 7 2" xfId="46094" xr:uid="{6A476B1F-0A45-4325-8DF8-CB3BF226F5FC}"/>
    <cellStyle name="Percent 3 6 7 3" xfId="36638" xr:uid="{D7D76994-A609-477D-A954-07FDAADA4AAB}"/>
    <cellStyle name="Percent 3 6 8" xfId="9341" xr:uid="{B02BF353-72D9-454E-AB66-56E63C9BEFE8}"/>
    <cellStyle name="Percent 3 6 8 2" xfId="36639" xr:uid="{74A032A0-D50F-428E-B6BD-EC05F9E9EBC1}"/>
    <cellStyle name="Percent 3 6 9" xfId="36640" xr:uid="{14091246-9003-46FD-BA36-3FF00E35A217}"/>
    <cellStyle name="Percent 3 7" xfId="3652" xr:uid="{97C0FD5C-0103-49CC-98A6-58FD55B07183}"/>
    <cellStyle name="Percent 3 7 2" xfId="3653" xr:uid="{8F01B01C-BDF9-435F-9E62-2D9FE5C3E6ED}"/>
    <cellStyle name="Percent 3 7 2 2" xfId="8051" xr:uid="{439C409F-77E3-4627-A6D6-6641F22BF3E5}"/>
    <cellStyle name="Percent 3 7 2 2 2" xfId="19417" xr:uid="{775D8636-04FB-4BA1-8158-837426261716}"/>
    <cellStyle name="Percent 3 7 2 2 2 2" xfId="23034" xr:uid="{9F47D1D9-6CAD-4561-B7DC-DAB4FF70BCEF}"/>
    <cellStyle name="Percent 3 7 2 2 3" xfId="36641" xr:uid="{2AB230E6-445D-46F4-BB25-BF7040E4432A}"/>
    <cellStyle name="Percent 3 7 2 2 4" xfId="36642" xr:uid="{5FAAC93A-3998-4529-A53F-42B76F6FCDC7}"/>
    <cellStyle name="Percent 3 7 2 2 5" xfId="36643" xr:uid="{F5A0AE69-4B40-4657-B1EC-35766C0D2E18}"/>
    <cellStyle name="Percent 3 7 2 2 6" xfId="36644" xr:uid="{33A84C12-D20D-40A1-968A-8AA0D71DF5EB}"/>
    <cellStyle name="Percent 3 7 2 2 7" xfId="16235" xr:uid="{79F48293-4713-471E-A94B-70096502F1D0}"/>
    <cellStyle name="Percent 3 7 2 3" xfId="19416" xr:uid="{380825E9-B7BD-4D4E-BC79-098C9BA73C9A}"/>
    <cellStyle name="Percent 3 7 2 3 2" xfId="23033" xr:uid="{EE881529-B29B-402A-AFC1-6C30F290D1DD}"/>
    <cellStyle name="Percent 3 7 2 4" xfId="36645" xr:uid="{ED672C8F-DFFE-470F-AF9D-D45AF501BA27}"/>
    <cellStyle name="Percent 3 7 2 5" xfId="36646" xr:uid="{89C1D3BA-A845-4164-9A47-E41E481A55FF}"/>
    <cellStyle name="Percent 3 7 2 6" xfId="36647" xr:uid="{BBB5AADD-6B5B-4542-97D8-EE96C9F45C92}"/>
    <cellStyle name="Percent 3 7 2 7" xfId="36648" xr:uid="{FC73EF6D-FE7A-45BC-B997-CF1AD2208576}"/>
    <cellStyle name="Percent 3 7 2 8" xfId="16574" xr:uid="{66AE9B7E-6936-42AA-B78B-7A77FEB3F224}"/>
    <cellStyle name="Percent 3 7 3" xfId="5444" xr:uid="{2865DDC1-5145-4AF8-A875-FEE5539B6A52}"/>
    <cellStyle name="Percent 3 7 3 2" xfId="23032" xr:uid="{55A4A2C5-B64B-42D5-8D42-BC3FE7D7B867}"/>
    <cellStyle name="Percent 3 7 3 3" xfId="43758" xr:uid="{755AADF2-0029-401A-8663-F23AC0148383}"/>
    <cellStyle name="Percent 3 7 3 4" xfId="19415" xr:uid="{34DAE075-5591-4B36-8137-F4992DA93458}"/>
    <cellStyle name="Percent 3 7 4" xfId="4384" xr:uid="{17945816-888A-4D2C-9319-3802CD63DA8B}"/>
    <cellStyle name="Percent 3 7 4 2" xfId="44187" xr:uid="{6E274189-CF03-4CF5-9A3D-067FE7FECF50}"/>
    <cellStyle name="Percent 3 7 4 3" xfId="36649" xr:uid="{F5193AA6-63FC-440A-92EA-FDE383849897}"/>
    <cellStyle name="Percent 3 7 5" xfId="6450" xr:uid="{9DA1BBF7-B133-4C66-B464-5C4927E249D1}"/>
    <cellStyle name="Percent 3 7 5 2" xfId="46098" xr:uid="{D8258190-723A-4ED5-A20A-F27CE1AB0138}"/>
    <cellStyle name="Percent 3 7 5 3" xfId="36650" xr:uid="{1502F3CC-2A9C-4F3B-BB73-144CC0189440}"/>
    <cellStyle name="Percent 3 7 6" xfId="9345" xr:uid="{CC6202B0-F255-41A2-8EAB-287E143A1B1E}"/>
    <cellStyle name="Percent 3 7 6 2" xfId="36651" xr:uid="{03514BEB-B50A-430C-8969-981B3978F9D7}"/>
    <cellStyle name="Percent 3 7 7" xfId="36652" xr:uid="{9E332C6C-16ED-4B45-9F03-B7D9DFC4CF1E}"/>
    <cellStyle name="Percent 3 7 8" xfId="36653" xr:uid="{5EB4433C-D394-43CA-AC8C-1534DAD2CE46}"/>
    <cellStyle name="Percent 3 8" xfId="3654" xr:uid="{BE7F2900-470E-44F2-9F68-C09C3674644A}"/>
    <cellStyle name="Percent 3 8 2" xfId="19418" xr:uid="{7E124CE6-CF0A-4367-83D2-D637359D2578}"/>
    <cellStyle name="Percent 3 8 2 2" xfId="23035" xr:uid="{953630A1-3805-4C68-8F55-87CC53D1E3AC}"/>
    <cellStyle name="Percent 3 8 3" xfId="36654" xr:uid="{90BD69E0-7F79-4469-9FED-65792D35FD2B}"/>
    <cellStyle name="Percent 3 8 4" xfId="36655" xr:uid="{3AFF4994-6E56-4638-AD9D-C3B942BC4D57}"/>
    <cellStyle name="Percent 3 8 5" xfId="36656" xr:uid="{4620B3F8-748B-426E-A285-C68E4F0F8AC6}"/>
    <cellStyle name="Percent 3 8 6" xfId="36657" xr:uid="{F7049B8E-0B2D-46FB-838E-C7149E3EAA12}"/>
    <cellStyle name="Percent 3 8 7" xfId="36658" xr:uid="{BEE28A22-3EA3-492F-962E-AA3F1DC18430}"/>
    <cellStyle name="Percent 3 9" xfId="3655" xr:uid="{DAF32E21-7533-4DE5-9482-FD1817B53D64}"/>
    <cellStyle name="Percent 3 9 2" xfId="3656" xr:uid="{F77C9751-F8BB-4414-9F47-2989E8B8A653}"/>
    <cellStyle name="Percent 3 9 2 2" xfId="5446" xr:uid="{24F38823-2A6E-4EB5-A864-85DC50C3FC09}"/>
    <cellStyle name="Percent 3 9 2 2 2" xfId="36660" xr:uid="{5F7E1BEE-B648-47A4-874C-4D41386205D3}"/>
    <cellStyle name="Percent 3 9 2 2 3" xfId="36661" xr:uid="{CB036401-2274-4CF5-9C17-446282DD9867}"/>
    <cellStyle name="Percent 3 9 2 2 4" xfId="36662" xr:uid="{7ECCEDDA-3856-4EB1-83EA-BF03BB78A49D}"/>
    <cellStyle name="Percent 3 9 2 2 5" xfId="36663" xr:uid="{2F58D1EC-CFCE-4280-81E1-D2385A07E76E}"/>
    <cellStyle name="Percent 3 9 2 2 6" xfId="36659" xr:uid="{AA0D3757-D6BB-41AF-8C73-433A928CC195}"/>
    <cellStyle name="Percent 3 9 2 3" xfId="4386" xr:uid="{60381F99-ABF5-4892-8772-AEC0D11F33C0}"/>
    <cellStyle name="Percent 3 9 2 3 2" xfId="44189" xr:uid="{4399E2F0-8A4C-4414-9C81-D19A13714736}"/>
    <cellStyle name="Percent 3 9 2 3 3" xfId="23036" xr:uid="{428118E5-5B9E-471F-83FF-98D164421FDE}"/>
    <cellStyle name="Percent 3 9 2 4" xfId="6452" xr:uid="{285C906A-EC7A-49E8-8864-159DFDDC13CA}"/>
    <cellStyle name="Percent 3 9 2 5" xfId="9347" xr:uid="{ABDC719B-07D6-41C8-B303-0958A4C7C282}"/>
    <cellStyle name="Percent 3 9 2 5 2" xfId="19419" xr:uid="{A49CE601-77C3-4CC7-A861-99FDC364B783}"/>
    <cellStyle name="Percent 3 9 3" xfId="5445" xr:uid="{ABAADA87-8DC0-42AC-85CA-74383A50F9FB}"/>
    <cellStyle name="Percent 3 9 3 2" xfId="43759" xr:uid="{B6493E9E-C52C-4382-8280-6D397FB992D8}"/>
    <cellStyle name="Percent 3 9 3 3" xfId="36664" xr:uid="{4068AF29-2CA8-44A8-8139-FA032B22D0E7}"/>
    <cellStyle name="Percent 3 9 4" xfId="4385" xr:uid="{20783BD4-F70C-4F55-A879-0A1F79912005}"/>
    <cellStyle name="Percent 3 9 4 2" xfId="44188" xr:uid="{6D17BAE5-E6B9-4505-B64A-C3C923AC9D10}"/>
    <cellStyle name="Percent 3 9 4 3" xfId="36665" xr:uid="{C7D7D3C2-CF08-4AAC-8BC3-674E04A6E8CD}"/>
    <cellStyle name="Percent 3 9 5" xfId="6451" xr:uid="{D0C44667-CE28-4670-8ACF-282D45E691A8}"/>
    <cellStyle name="Percent 3 9 5 2" xfId="46099" xr:uid="{DAEE1112-249E-4D73-B3C5-8BD5AFF66E05}"/>
    <cellStyle name="Percent 3 9 5 3" xfId="36666" xr:uid="{BA5874CC-3720-43DB-BF75-ED1C11A2C16B}"/>
    <cellStyle name="Percent 3 9 6" xfId="9346" xr:uid="{F87AF164-A9D4-4596-B445-AD46548CBD50}"/>
    <cellStyle name="Percent 3 9 6 2" xfId="36667" xr:uid="{F62CBEAE-F219-4F1C-8DD0-846119D5190E}"/>
    <cellStyle name="Percent 3 9 7" xfId="36668" xr:uid="{1393E565-5BB9-4E82-8BDA-178FDE23E8E6}"/>
    <cellStyle name="Percent 30" xfId="3657" xr:uid="{F9D8EA3C-761A-41A4-9F06-6F1996D0EA29}"/>
    <cellStyle name="Percent 30 2" xfId="5447" xr:uid="{46B36861-2448-4FD5-B260-9E9EF6E158A6}"/>
    <cellStyle name="Percent 30 2 2" xfId="19421" xr:uid="{B5457E54-D47B-4B55-99B1-EB9A79CF0158}"/>
    <cellStyle name="Percent 30 2 2 2" xfId="23038" xr:uid="{33542385-E9E2-4A87-AFFB-1A524DFF2A48}"/>
    <cellStyle name="Percent 30 2 3" xfId="36669" xr:uid="{7D739B63-7551-4A0C-BE6A-EB0100FE90E2}"/>
    <cellStyle name="Percent 30 2 4" xfId="36670" xr:uid="{8115FD27-2B03-4E49-B5F6-13A92244053D}"/>
    <cellStyle name="Percent 30 2 5" xfId="36671" xr:uid="{CF222BF4-2025-46F7-92D6-63E18A3A65D8}"/>
    <cellStyle name="Percent 30 2 6" xfId="36672" xr:uid="{B8F76F65-9364-438C-8A20-19D14B183E26}"/>
    <cellStyle name="Percent 30 3" xfId="7051" xr:uid="{365412DB-BF89-4184-8510-00C76DFA196A}"/>
    <cellStyle name="Percent 30 3 2" xfId="23037" xr:uid="{26714127-1FB9-47EC-95B7-A197676238B6}"/>
    <cellStyle name="Percent 30 3 3" xfId="46504" xr:uid="{E3AE8B04-3D80-42D6-84CC-4CB554026254}"/>
    <cellStyle name="Percent 30 3 4" xfId="19420" xr:uid="{BA2C7495-CF54-4373-AFE9-95716EA599E0}"/>
    <cellStyle name="Percent 30 4" xfId="9348" xr:uid="{2F9490F9-5CCF-4DF3-8F7F-21AD3CFEF20B}"/>
    <cellStyle name="Percent 30 4 2" xfId="36673" xr:uid="{58ECBF41-FBAB-4FDB-AFF6-4CF24C77CA67}"/>
    <cellStyle name="Percent 30 5" xfId="36674" xr:uid="{47F1BF54-B659-421B-843B-CD3F5FC54DE5}"/>
    <cellStyle name="Percent 30 6" xfId="36675" xr:uid="{2F728C3F-0383-49D4-8028-A7A902E6D2FB}"/>
    <cellStyle name="Percent 30 7" xfId="36676" xr:uid="{67010DAA-EA9C-4E06-97BB-C2EFFBDE026D}"/>
    <cellStyle name="Percent 31" xfId="3658" xr:uid="{2724F0E6-B4F6-45FF-97C1-EB0C6EF7D8CB}"/>
    <cellStyle name="Percent 31 2" xfId="5448" xr:uid="{F8BC4F0D-4A42-4FF7-A21E-AA164D722704}"/>
    <cellStyle name="Percent 31 2 2" xfId="19423" xr:uid="{D47EF404-F9E8-47A9-A0A1-AB6D7793EE5C}"/>
    <cellStyle name="Percent 31 2 2 2" xfId="23040" xr:uid="{1FEC4159-29CE-47E7-9E2D-281D0B55A78D}"/>
    <cellStyle name="Percent 31 2 3" xfId="36677" xr:uid="{A0284BC0-717D-411C-8E74-19C2FCE5084A}"/>
    <cellStyle name="Percent 31 2 4" xfId="36678" xr:uid="{614A7BF6-2D88-47FA-9DE9-AE97B95F5944}"/>
    <cellStyle name="Percent 31 2 5" xfId="36679" xr:uid="{3CF592AF-4096-4AA6-8596-39B045B76594}"/>
    <cellStyle name="Percent 31 2 6" xfId="36680" xr:uid="{3CD1D23F-FA60-4FCF-A473-1E1773BCD400}"/>
    <cellStyle name="Percent 31 3" xfId="7052" xr:uid="{88994ED1-1CEA-4B04-9981-7964DD1F3F5F}"/>
    <cellStyle name="Percent 31 3 2" xfId="23039" xr:uid="{60AA06D5-5BDE-4629-86B6-A17117A03986}"/>
    <cellStyle name="Percent 31 3 3" xfId="46505" xr:uid="{A0E2C50F-1525-41E4-8695-5AE4247A144D}"/>
    <cellStyle name="Percent 31 3 4" xfId="19422" xr:uid="{9D5C48D3-33D4-4E77-AFE9-2D6678983CD2}"/>
    <cellStyle name="Percent 31 4" xfId="9349" xr:uid="{F750AEA7-2C18-45D5-8F7A-55AF7A66BA2E}"/>
    <cellStyle name="Percent 31 4 2" xfId="36681" xr:uid="{32700EEF-AF82-445F-AB26-41899612F460}"/>
    <cellStyle name="Percent 31 5" xfId="36682" xr:uid="{AEE4DD10-51AF-42A6-B74B-5B9F871A830A}"/>
    <cellStyle name="Percent 31 6" xfId="36683" xr:uid="{283F575E-A8FD-4E2B-9616-1065E02D716E}"/>
    <cellStyle name="Percent 31 7" xfId="36684" xr:uid="{C4804107-3931-4671-B895-0153DD44DE04}"/>
    <cellStyle name="Percent 32" xfId="3659" xr:uid="{3A86E98C-C76F-4410-979D-11232668F13F}"/>
    <cellStyle name="Percent 32 2" xfId="5449" xr:uid="{DADCAFBF-427C-4DB3-B3E2-2A28E0F5B5B5}"/>
    <cellStyle name="Percent 32 2 2" xfId="19425" xr:uid="{BBAAD794-9E30-49AF-B5FE-634D6CDBC477}"/>
    <cellStyle name="Percent 32 2 2 2" xfId="23042" xr:uid="{673DFB79-BC20-4FEE-95ED-F781038A26BC}"/>
    <cellStyle name="Percent 32 2 3" xfId="36685" xr:uid="{F337B6C1-D703-456E-ABD4-B793F0835C66}"/>
    <cellStyle name="Percent 32 2 4" xfId="36686" xr:uid="{B1674C00-4455-4A89-8942-2E2D49777A3D}"/>
    <cellStyle name="Percent 32 2 5" xfId="36687" xr:uid="{36C3C3C7-27A7-4F33-89A7-ABFA7580E2FB}"/>
    <cellStyle name="Percent 32 2 6" xfId="36688" xr:uid="{CF5311D5-AC73-49D7-827A-F51DBAF94A4A}"/>
    <cellStyle name="Percent 32 3" xfId="7053" xr:uid="{671760D9-22C7-430B-AAF2-93FA99990FEB}"/>
    <cellStyle name="Percent 32 3 2" xfId="23041" xr:uid="{76FC60AB-1628-4759-9F6A-F800886B8B15}"/>
    <cellStyle name="Percent 32 3 3" xfId="46506" xr:uid="{025C019F-7A4B-4301-BEB0-EB6EBDD5E897}"/>
    <cellStyle name="Percent 32 3 4" xfId="19424" xr:uid="{78DF613F-05F6-4807-8366-1A841837AE36}"/>
    <cellStyle name="Percent 32 4" xfId="9350" xr:uid="{F73EA213-CA11-4D6C-8E9A-83A5666D06EB}"/>
    <cellStyle name="Percent 32 4 2" xfId="36689" xr:uid="{1470B7C0-20C9-4B94-8499-FFBE925D88B9}"/>
    <cellStyle name="Percent 32 5" xfId="36690" xr:uid="{65B5BF4A-C352-41FF-BDF5-FB7F9142E4DB}"/>
    <cellStyle name="Percent 32 6" xfId="36691" xr:uid="{37D7053F-9108-4A04-987E-DB4FC47789CB}"/>
    <cellStyle name="Percent 32 7" xfId="36692" xr:uid="{F8ECDD6A-50C0-4047-B9FA-0031A68F2D04}"/>
    <cellStyle name="Percent 33" xfId="3660" xr:uid="{8C5214F7-730C-4B4F-92CF-C341F5DFC84A}"/>
    <cellStyle name="Percent 33 2" xfId="5450" xr:uid="{268E7EF2-B2F2-4117-9926-A509E3E4753E}"/>
    <cellStyle name="Percent 33 2 2" xfId="19427" xr:uid="{730A8C1B-153F-4E7B-AC85-8EFF0EDFB724}"/>
    <cellStyle name="Percent 33 2 2 2" xfId="23044" xr:uid="{FB3B3EA5-8CDF-431F-A6FA-E5F7B47C1412}"/>
    <cellStyle name="Percent 33 2 3" xfId="36693" xr:uid="{14C96425-A830-4DC6-BE34-D312F48A8024}"/>
    <cellStyle name="Percent 33 2 4" xfId="36694" xr:uid="{3B9CD458-4286-4FDF-9CB0-FE8AC9410443}"/>
    <cellStyle name="Percent 33 2 5" xfId="36695" xr:uid="{7A86566D-3CDD-460F-80DE-2E1FF97F3128}"/>
    <cellStyle name="Percent 33 2 6" xfId="36696" xr:uid="{1664E0FD-2A41-474D-A1C6-5FECC3D120FC}"/>
    <cellStyle name="Percent 33 3" xfId="7054" xr:uid="{905ECE22-9948-4ECF-B9AA-C699F55EEB76}"/>
    <cellStyle name="Percent 33 3 2" xfId="23043" xr:uid="{916A38B6-4AAC-47E2-9829-73C963AAB5CC}"/>
    <cellStyle name="Percent 33 3 3" xfId="46507" xr:uid="{C1C5AD01-4183-45FF-AF84-4983E4582360}"/>
    <cellStyle name="Percent 33 3 4" xfId="19426" xr:uid="{9D4316DF-4756-46E8-9972-71E30E666C1B}"/>
    <cellStyle name="Percent 33 4" xfId="9351" xr:uid="{5276D6D8-304A-42A1-8893-19A86CC0C019}"/>
    <cellStyle name="Percent 33 4 2" xfId="36697" xr:uid="{C9273E0F-DB39-4D05-91A1-98B38DBF429A}"/>
    <cellStyle name="Percent 33 5" xfId="36698" xr:uid="{C6F549B4-62A0-4AFE-AB50-2C94C7EBC503}"/>
    <cellStyle name="Percent 33 6" xfId="36699" xr:uid="{3E7A2A99-9F62-425E-A2BA-E8DAA705AD9A}"/>
    <cellStyle name="Percent 33 7" xfId="36700" xr:uid="{BDB25441-E03B-45F5-832B-57A49734FADC}"/>
    <cellStyle name="Percent 34" xfId="3661" xr:uid="{BF877469-F263-44D9-AB0C-BEF0E665B60F}"/>
    <cellStyle name="Percent 34 2" xfId="5451" xr:uid="{A223F75C-30DA-48E4-98F1-53F160ECA445}"/>
    <cellStyle name="Percent 34 2 2" xfId="19429" xr:uid="{0223CD15-CBC7-4EA9-BD97-C7CF4EEE613B}"/>
    <cellStyle name="Percent 34 2 2 2" xfId="23046" xr:uid="{A29E9E80-6AE5-4B82-B70B-EB0953422243}"/>
    <cellStyle name="Percent 34 2 3" xfId="36701" xr:uid="{34406FEE-B08C-47B5-96C3-64198BB1D614}"/>
    <cellStyle name="Percent 34 2 4" xfId="36702" xr:uid="{68456C7C-4D66-4954-8811-DD0E241633E6}"/>
    <cellStyle name="Percent 34 2 5" xfId="36703" xr:uid="{C0ACD458-48B1-458D-9797-752AF3EE4096}"/>
    <cellStyle name="Percent 34 2 6" xfId="36704" xr:uid="{478C2863-D84C-435D-992A-3E786CFAE983}"/>
    <cellStyle name="Percent 34 3" xfId="7055" xr:uid="{243B9088-5A13-4BC6-958C-2BB2A90623B3}"/>
    <cellStyle name="Percent 34 3 2" xfId="23045" xr:uid="{88752EA0-7150-4AED-BD56-6FE8D0DA9727}"/>
    <cellStyle name="Percent 34 3 3" xfId="46508" xr:uid="{CF133DC9-2A16-4897-9D60-A8D680F39A50}"/>
    <cellStyle name="Percent 34 3 4" xfId="19428" xr:uid="{891A6C76-1431-41C9-B64D-6693BBB855A7}"/>
    <cellStyle name="Percent 34 4" xfId="9352" xr:uid="{65D65003-0C8D-4ABC-B64C-08E245E6D2EB}"/>
    <cellStyle name="Percent 34 4 2" xfId="36705" xr:uid="{A2F7AA7D-1202-4E01-8AC1-001E59008D99}"/>
    <cellStyle name="Percent 34 5" xfId="36706" xr:uid="{DBFE3646-EE40-43EE-BC68-FA68BA50F44B}"/>
    <cellStyle name="Percent 34 6" xfId="36707" xr:uid="{1A508D3E-FEC8-4E54-9998-1C12CF6F0270}"/>
    <cellStyle name="Percent 34 7" xfId="36708" xr:uid="{DC6051B0-E0A8-49BB-BAFC-AAECCC7E574F}"/>
    <cellStyle name="Percent 35" xfId="3662" xr:uid="{1F277B44-C244-49B2-97A8-7F2FA2C8EC66}"/>
    <cellStyle name="Percent 35 2" xfId="5452" xr:uid="{08F96C8B-E024-4123-A42B-3FC3F4CA5E7D}"/>
    <cellStyle name="Percent 35 2 2" xfId="19431" xr:uid="{30AFB93F-5683-4FF5-B92D-63AEE98307F6}"/>
    <cellStyle name="Percent 35 2 2 2" xfId="23048" xr:uid="{3099BA48-012E-4079-A127-CCA1E19FA6A1}"/>
    <cellStyle name="Percent 35 2 3" xfId="36709" xr:uid="{E82861F0-BB91-4F80-8110-B4B04F3987C9}"/>
    <cellStyle name="Percent 35 2 4" xfId="36710" xr:uid="{735FC435-5A9F-43AF-8A89-EB6F21F6407F}"/>
    <cellStyle name="Percent 35 2 5" xfId="36711" xr:uid="{C12D2C78-5747-4BA5-8B0F-1BDF6A203D96}"/>
    <cellStyle name="Percent 35 2 6" xfId="36712" xr:uid="{B09691E1-6354-4143-81ED-F0B0858CB5E2}"/>
    <cellStyle name="Percent 35 3" xfId="7056" xr:uid="{5C21F733-F80C-473F-86EC-83177C14B2E1}"/>
    <cellStyle name="Percent 35 3 2" xfId="23047" xr:uid="{A19692F3-C687-4B69-9F1B-C2151805BBFA}"/>
    <cellStyle name="Percent 35 3 3" xfId="46509" xr:uid="{183BE18F-F66C-4075-B8CC-4604286AE238}"/>
    <cellStyle name="Percent 35 3 4" xfId="19430" xr:uid="{3E071219-F734-4EB3-90F3-7DDC03DDDFF2}"/>
    <cellStyle name="Percent 35 4" xfId="9353" xr:uid="{7E57E3FB-775F-44E4-8A7E-B3B208BF9F6D}"/>
    <cellStyle name="Percent 35 4 2" xfId="36713" xr:uid="{1B7301D7-0A51-4F9B-BDE2-7DD7FECBF016}"/>
    <cellStyle name="Percent 35 5" xfId="36714" xr:uid="{33C13D37-9A32-4AEC-96F8-551628467DD5}"/>
    <cellStyle name="Percent 35 6" xfId="36715" xr:uid="{E989068E-ABC6-4019-BECD-CD39A7992C6C}"/>
    <cellStyle name="Percent 35 7" xfId="36716" xr:uid="{F2080D76-4F9A-4F97-903C-864B27FC0022}"/>
    <cellStyle name="Percent 36" xfId="3663" xr:uid="{66ECFA22-A674-4670-B81B-BAA9285AF6A8}"/>
    <cellStyle name="Percent 36 2" xfId="5453" xr:uid="{6CB6F192-37C2-4D3E-8F9A-7B6C937FB775}"/>
    <cellStyle name="Percent 36 2 2" xfId="19433" xr:uid="{243246BE-4DBD-41F8-8AE8-651FF153CEAA}"/>
    <cellStyle name="Percent 36 2 2 2" xfId="23050" xr:uid="{4144F377-B75F-45BF-B71D-A8DC763DD1A2}"/>
    <cellStyle name="Percent 36 2 3" xfId="36717" xr:uid="{8B1AB62D-78CB-47DC-B66E-E494CC039F65}"/>
    <cellStyle name="Percent 36 2 4" xfId="36718" xr:uid="{58ADA288-DE2D-4114-AF21-C4835FEED650}"/>
    <cellStyle name="Percent 36 2 5" xfId="36719" xr:uid="{AC206103-5AB9-43A7-AE87-A73C497BFA7A}"/>
    <cellStyle name="Percent 36 2 6" xfId="36720" xr:uid="{CB779AF0-EDAF-4F8F-A4B8-2F6057C1CAFB}"/>
    <cellStyle name="Percent 36 3" xfId="7057" xr:uid="{EBCE3958-8386-42A9-9566-DF6739E8BA1D}"/>
    <cellStyle name="Percent 36 3 2" xfId="23049" xr:uid="{81BF26B3-B5B9-423C-9C1D-4B8189C2189A}"/>
    <cellStyle name="Percent 36 3 3" xfId="46510" xr:uid="{DE38C49F-7E27-4ABF-A204-5652AD10A007}"/>
    <cellStyle name="Percent 36 3 4" xfId="19432" xr:uid="{E9548636-6ABA-4DCA-A87F-527F0E999DCE}"/>
    <cellStyle name="Percent 36 4" xfId="9354" xr:uid="{3C85A24A-E3A0-4C0A-A389-7816CF5198B1}"/>
    <cellStyle name="Percent 36 4 2" xfId="36721" xr:uid="{19352C98-1443-4717-B421-D3A3C92FD42B}"/>
    <cellStyle name="Percent 36 5" xfId="36722" xr:uid="{A879C68B-26E6-4603-8FDB-4288814B59AB}"/>
    <cellStyle name="Percent 36 6" xfId="36723" xr:uid="{828CDC18-8B35-4D50-8B30-2ED4F507B964}"/>
    <cellStyle name="Percent 36 7" xfId="36724" xr:uid="{A00EEC67-A846-4DBE-BAEB-56F8E7BF1B08}"/>
    <cellStyle name="Percent 37" xfId="3664" xr:uid="{DA335941-EEFC-4100-B39F-E1250C6FD297}"/>
    <cellStyle name="Percent 37 2" xfId="5454" xr:uid="{3AD3B66A-D1E1-4BC0-B718-276EF1343192}"/>
    <cellStyle name="Percent 37 2 2" xfId="19435" xr:uid="{C455CC48-2FB6-498C-A364-8CCD61C7BA48}"/>
    <cellStyle name="Percent 37 2 2 2" xfId="23052" xr:uid="{E2FD3377-87EA-46EB-8ABC-447CE1CBD302}"/>
    <cellStyle name="Percent 37 2 3" xfId="36725" xr:uid="{3AF46A04-BD24-4893-B19A-D460D3728C6F}"/>
    <cellStyle name="Percent 37 2 4" xfId="36726" xr:uid="{B7706374-8D1B-4822-8A35-DA173ED2D997}"/>
    <cellStyle name="Percent 37 2 5" xfId="36727" xr:uid="{4F3531FB-700F-4EAB-AA0A-0E8EE1C36DEC}"/>
    <cellStyle name="Percent 37 2 6" xfId="36728" xr:uid="{7741AF33-B34C-4ECB-AB03-1C8FBBA5846B}"/>
    <cellStyle name="Percent 37 3" xfId="7058" xr:uid="{1FA34131-3782-4017-A7F9-C0F0F1D704CF}"/>
    <cellStyle name="Percent 37 3 2" xfId="23051" xr:uid="{58E86100-D6A2-41D2-BE6F-5DA05E121E84}"/>
    <cellStyle name="Percent 37 3 3" xfId="46511" xr:uid="{FE109B7B-0954-4766-B4CC-1BF1BF2C6A17}"/>
    <cellStyle name="Percent 37 3 4" xfId="19434" xr:uid="{E72B71D2-7CA2-4350-9F56-3960C604804D}"/>
    <cellStyle name="Percent 37 4" xfId="9355" xr:uid="{083663E3-AB08-4386-B1C9-1B0594A5F21E}"/>
    <cellStyle name="Percent 37 4 2" xfId="36729" xr:uid="{F7A48CDD-AE6A-4769-A260-3987FD01F223}"/>
    <cellStyle name="Percent 37 5" xfId="36730" xr:uid="{EC6EFD9B-0E25-4405-99CD-05A1590815D1}"/>
    <cellStyle name="Percent 37 6" xfId="36731" xr:uid="{E00E10E5-2E94-4F1C-B30E-520054993025}"/>
    <cellStyle name="Percent 37 7" xfId="36732" xr:uid="{D07F0ED5-4461-4D77-B9CD-3DD815401D81}"/>
    <cellStyle name="Percent 38" xfId="3665" xr:uid="{1CA95D62-FCDC-498E-B5F2-D5F31B60C894}"/>
    <cellStyle name="Percent 38 2" xfId="5455" xr:uid="{6ED1F0B9-28A9-42BC-8E32-800D6B3D4AF2}"/>
    <cellStyle name="Percent 38 2 2" xfId="19437" xr:uid="{3231E5C5-1C83-40F7-BFC6-0A4A38D92FCB}"/>
    <cellStyle name="Percent 38 2 2 2" xfId="23054" xr:uid="{76036F81-31AC-469C-95D0-0B7D05A74BF4}"/>
    <cellStyle name="Percent 38 2 3" xfId="36733" xr:uid="{74DDE853-712C-43A8-8C98-A80046AB707F}"/>
    <cellStyle name="Percent 38 2 4" xfId="36734" xr:uid="{B7D3EF8E-101D-4B9A-A254-CF7CB9F6AD8D}"/>
    <cellStyle name="Percent 38 2 5" xfId="36735" xr:uid="{096D2CEE-35F1-4C8F-89EB-59C89DE59567}"/>
    <cellStyle name="Percent 38 2 6" xfId="36736" xr:uid="{30E32D12-D8BF-4F47-BBB9-A6915D02BC05}"/>
    <cellStyle name="Percent 38 3" xfId="7059" xr:uid="{6167746F-15CD-4472-A67C-8E9732E099FE}"/>
    <cellStyle name="Percent 38 3 2" xfId="23053" xr:uid="{0E72D92C-1E1D-4940-A313-D0183EA91C90}"/>
    <cellStyle name="Percent 38 3 3" xfId="46512" xr:uid="{1255486F-6163-4338-AE90-F61DEF6F62B1}"/>
    <cellStyle name="Percent 38 3 4" xfId="19436" xr:uid="{70DEBF04-0C3D-47BF-A9DD-81524033B4F0}"/>
    <cellStyle name="Percent 38 4" xfId="9356" xr:uid="{A5A7FFF0-696C-49DD-84E7-83F053BB57B8}"/>
    <cellStyle name="Percent 38 4 2" xfId="36737" xr:uid="{01F950ED-925B-4BAE-9AA1-BFF8AC0BC2BD}"/>
    <cellStyle name="Percent 38 5" xfId="36738" xr:uid="{89B086F0-CE4D-486B-B40F-E13CEBEB9944}"/>
    <cellStyle name="Percent 38 6" xfId="36739" xr:uid="{D7E58816-B385-41EE-978E-F6E5E99C5C2D}"/>
    <cellStyle name="Percent 38 7" xfId="36740" xr:uid="{C596D991-C55B-49C3-B571-7CE7198E409F}"/>
    <cellStyle name="Percent 39" xfId="3666" xr:uid="{95F9B046-141D-4305-9DAB-9F8CB5692D7B}"/>
    <cellStyle name="Percent 39 2" xfId="5456" xr:uid="{F33C2E68-9A8E-452C-8631-C596431181CA}"/>
    <cellStyle name="Percent 39 2 2" xfId="19439" xr:uid="{78291ED4-97F8-4F13-820A-A4B5B8C0297D}"/>
    <cellStyle name="Percent 39 2 2 2" xfId="23056" xr:uid="{D5CE44F3-F951-432D-A9FB-DDFA29DBA60C}"/>
    <cellStyle name="Percent 39 2 3" xfId="36741" xr:uid="{AF005029-B045-46FB-B3C3-D091BF8F4E36}"/>
    <cellStyle name="Percent 39 2 4" xfId="36742" xr:uid="{8B98F774-59F7-4341-8DD8-1C8B60B0F618}"/>
    <cellStyle name="Percent 39 2 5" xfId="36743" xr:uid="{63515E82-CFF7-4101-9102-96E108FA0F1F}"/>
    <cellStyle name="Percent 39 2 6" xfId="36744" xr:uid="{3C66A29F-F7E4-433F-9DE1-C09E854B5AAE}"/>
    <cellStyle name="Percent 39 3" xfId="7060" xr:uid="{E3EF003D-92B6-4CD5-92FB-6796D3FB3EA0}"/>
    <cellStyle name="Percent 39 3 2" xfId="23055" xr:uid="{D8944682-E716-4694-90F9-CDF43C5C54D2}"/>
    <cellStyle name="Percent 39 3 3" xfId="46513" xr:uid="{944CC686-9C33-4818-BADC-F1F8B8BA5CA0}"/>
    <cellStyle name="Percent 39 3 4" xfId="19438" xr:uid="{CD2C1B8D-BACD-460C-8DAC-33E4F2EF22BE}"/>
    <cellStyle name="Percent 39 4" xfId="9357" xr:uid="{934951A1-A407-4571-8B32-209A2D07819F}"/>
    <cellStyle name="Percent 39 4 2" xfId="36745" xr:uid="{36DC1DFB-940F-44E1-A149-6ABF4B18E40C}"/>
    <cellStyle name="Percent 39 5" xfId="36746" xr:uid="{9FD45C7E-28D2-4FF9-97A0-79E654604710}"/>
    <cellStyle name="Percent 39 6" xfId="36747" xr:uid="{1EF1E846-E7A7-42B1-86AE-38CF694E93D4}"/>
    <cellStyle name="Percent 39 7" xfId="36748" xr:uid="{A933F06B-38C3-46B0-BE6F-913906E4A16D}"/>
    <cellStyle name="Percent 4" xfId="15265" xr:uid="{B0539259-A314-4BEC-9DA0-78772D61684E}"/>
    <cellStyle name="Percent 4 10" xfId="36749" xr:uid="{FBCB55D7-77A2-4FE9-BF20-DBF4C8739FAB}"/>
    <cellStyle name="Percent 4 11" xfId="36750" xr:uid="{ABA523B1-3010-4F17-B659-37C5559DDBE3}"/>
    <cellStyle name="Percent 4 12" xfId="47621" xr:uid="{8EA30F16-7CFD-4CD6-BD20-A8DDDC91914B}"/>
    <cellStyle name="Percent 4 2" xfId="3667" xr:uid="{3FEC8774-5B11-44F0-B388-F1C4A7F33CC8}"/>
    <cellStyle name="Percent 4 2 2" xfId="15383" xr:uid="{8EB980C8-2C56-4058-B9E8-31F848542C33}"/>
    <cellStyle name="Percent 4 2 2 2" xfId="19442" xr:uid="{1888AFD4-FB9B-4FA9-B68B-E307D9348CA8}"/>
    <cellStyle name="Percent 4 2 2 2 2" xfId="23059" xr:uid="{CAF55099-A82A-48EC-AA56-21D354DE8074}"/>
    <cellStyle name="Percent 4 2 2 3" xfId="36751" xr:uid="{66217A17-53F1-4F42-B084-5C0F470C7FA9}"/>
    <cellStyle name="Percent 4 2 2 4" xfId="36752" xr:uid="{E6352A92-16EF-42D2-8257-F651D42E458F}"/>
    <cellStyle name="Percent 4 2 2 5" xfId="36753" xr:uid="{B93B8707-B484-4501-9A59-655F02A914A9}"/>
    <cellStyle name="Percent 4 2 2 6" xfId="36754" xr:uid="{A5349423-857A-4840-8ED1-48F8A616C883}"/>
    <cellStyle name="Percent 4 2 3" xfId="19441" xr:uid="{EF04942F-C6FF-47F4-854D-B467EED0DBD6}"/>
    <cellStyle name="Percent 4 2 3 2" xfId="23058" xr:uid="{63944ED4-2551-4575-B4B2-AA745D72FB14}"/>
    <cellStyle name="Percent 4 2 4" xfId="36755" xr:uid="{2881984F-700A-4499-A87A-506E58437C90}"/>
    <cellStyle name="Percent 4 2 5" xfId="36756" xr:uid="{ED0EFB97-A1D0-4FAA-B9E0-4A60C67E85DB}"/>
    <cellStyle name="Percent 4 2 6" xfId="36757" xr:uid="{F00F6082-B818-415C-B985-D389440486FB}"/>
    <cellStyle name="Percent 4 2 7" xfId="36758" xr:uid="{E4F93B7E-9F8B-4D91-9A16-B907F22B685D}"/>
    <cellStyle name="Percent 4 3" xfId="3668" xr:uid="{BACE0738-BDF0-4B69-A248-388230633841}"/>
    <cellStyle name="Percent 4 3 2" xfId="15384" xr:uid="{CE4B587F-9ED7-4662-8D3F-5C5BC0275B09}"/>
    <cellStyle name="Percent 4 3 2 2" xfId="19444" xr:uid="{859886F4-1851-40B0-980B-997E681F7D58}"/>
    <cellStyle name="Percent 4 3 2 2 2" xfId="23061" xr:uid="{2B26FD12-7F26-4236-8873-78BAD7E9BBF5}"/>
    <cellStyle name="Percent 4 3 2 3" xfId="36759" xr:uid="{DFCB72FC-B92D-4AAF-ADA9-73B87293A175}"/>
    <cellStyle name="Percent 4 3 2 4" xfId="36760" xr:uid="{A69C9BF2-9184-481F-A874-D5949BC73367}"/>
    <cellStyle name="Percent 4 3 2 5" xfId="36761" xr:uid="{6F2328CA-E4AC-49A7-B748-B85E1E6A8E8F}"/>
    <cellStyle name="Percent 4 3 2 6" xfId="36762" xr:uid="{E93411DC-0A32-45B6-8018-80FDCA1AA48C}"/>
    <cellStyle name="Percent 4 3 3" xfId="19443" xr:uid="{D0E9F4AD-A022-451D-BADE-1BFD025CDA28}"/>
    <cellStyle name="Percent 4 3 3 2" xfId="23060" xr:uid="{C34FE25A-AE53-40C8-A545-9012E9FCA494}"/>
    <cellStyle name="Percent 4 3 4" xfId="36763" xr:uid="{5DC10C46-5768-4749-A9C2-1279BE7F5E9B}"/>
    <cellStyle name="Percent 4 3 5" xfId="36764" xr:uid="{66F7CDDE-B82B-40FA-AD9B-FCF5D0FFD578}"/>
    <cellStyle name="Percent 4 3 6" xfId="36765" xr:uid="{EB8E1505-DCAF-463E-B10D-F192804F61C3}"/>
    <cellStyle name="Percent 4 3 7" xfId="36766" xr:uid="{FEFFD610-8FC9-4F2E-A6E4-74A813012CA8}"/>
    <cellStyle name="Percent 4 4" xfId="3669" xr:uid="{9E887FE7-67D9-43DC-A0C6-2E37F926EB4E}"/>
    <cellStyle name="Percent 4 4 2" xfId="5457" xr:uid="{9680BC3C-3E00-4712-81FA-7081BE5ADB9D}"/>
    <cellStyle name="Percent 4 4 2 2" xfId="23062" xr:uid="{2CB15100-24C8-41A1-8364-DCCD8DE536D8}"/>
    <cellStyle name="Percent 4 4 2 3" xfId="44347" xr:uid="{2B12D834-E2F5-4A53-AE1A-41CC37D73911}"/>
    <cellStyle name="Percent 4 4 2 4" xfId="19445" xr:uid="{448366BD-AE4C-446A-8392-45857992F5EE}"/>
    <cellStyle name="Percent 4 4 3" xfId="7061" xr:uid="{72FBB892-822C-4531-AECB-DEAD60E1C446}"/>
    <cellStyle name="Percent 4 4 3 2" xfId="46514" xr:uid="{1236CEE6-E448-41CF-BDDC-B0540C9E6507}"/>
    <cellStyle name="Percent 4 4 3 3" xfId="36767" xr:uid="{8FCB3F8A-CB0C-42A3-B219-C99010D99827}"/>
    <cellStyle name="Percent 4 4 4" xfId="9358" xr:uid="{91195D61-CB61-4C68-8E1C-B5DA273135F2}"/>
    <cellStyle name="Percent 4 4 4 2" xfId="36768" xr:uid="{B7CFBFA1-EFA9-47B7-AC59-90A76BDCAB9F}"/>
    <cellStyle name="Percent 4 4 5" xfId="36769" xr:uid="{CE4C01CD-223F-4EE2-AD2D-EB76A42020B6}"/>
    <cellStyle name="Percent 4 4 6" xfId="36770" xr:uid="{A17025D6-AB67-4302-8C3E-B1A7B5DD084E}"/>
    <cellStyle name="Percent 4 5" xfId="16730" xr:uid="{ADAA936F-88E1-4216-9291-8EAE31943AD1}"/>
    <cellStyle name="Percent 4 5 2" xfId="19446" xr:uid="{76E2558B-3DD2-4CFD-91D5-102C97AB8A79}"/>
    <cellStyle name="Percent 4 5 2 2" xfId="23063" xr:uid="{06F57C6C-3EAF-48AE-A009-2C52CEDF7214}"/>
    <cellStyle name="Percent 4 5 3" xfId="36771" xr:uid="{C6B000B1-72AA-4B03-A4AA-E161C610FA2F}"/>
    <cellStyle name="Percent 4 5 4" xfId="36772" xr:uid="{1BB92256-FDBD-431E-A4B0-348763BA269F}"/>
    <cellStyle name="Percent 4 5 5" xfId="36773" xr:uid="{53C3B496-2F57-422D-A551-80B81260A158}"/>
    <cellStyle name="Percent 4 5 6" xfId="36774" xr:uid="{707320DD-5A18-45C6-894E-95B6C7E7A988}"/>
    <cellStyle name="Percent 4 5 7" xfId="49205" xr:uid="{7CD87AA4-D4A5-471E-B991-2576E343EAA6}"/>
    <cellStyle name="Percent 4 6" xfId="19447" xr:uid="{F94C07F9-98D8-4EA0-997D-93289402C295}"/>
    <cellStyle name="Percent 4 6 2" xfId="23064" xr:uid="{218ACB1D-C184-4CD6-B7F2-20D676E4C4F2}"/>
    <cellStyle name="Percent 4 7" xfId="19440" xr:uid="{4E92BB53-9669-4949-884C-32679B84A2E8}"/>
    <cellStyle name="Percent 4 7 2" xfId="23057" xr:uid="{D7050FBE-1CAC-4033-AB2F-875F84B18B2F}"/>
    <cellStyle name="Percent 4 8" xfId="36775" xr:uid="{2203065C-C094-46DB-BCFF-70F141BCEA0F}"/>
    <cellStyle name="Percent 4 9" xfId="36776" xr:uid="{47159AD7-ACCF-45BA-B51A-EB03077E9181}"/>
    <cellStyle name="Percent 40" xfId="3670" xr:uid="{7059AB57-0C47-464D-8F14-1A83E70E1AAD}"/>
    <cellStyle name="Percent 40 2" xfId="5458" xr:uid="{9A4BE610-EC80-4FA7-9B46-15AC9BA1A907}"/>
    <cellStyle name="Percent 40 2 2" xfId="19449" xr:uid="{0D87CA74-D2A7-4D9F-AF9D-301ED481453E}"/>
    <cellStyle name="Percent 40 2 2 2" xfId="23066" xr:uid="{6E9EB32A-64B1-43C5-8FD9-70279BD47109}"/>
    <cellStyle name="Percent 40 2 3" xfId="36777" xr:uid="{3048D7B2-A9A6-45D1-A658-2E1ABCE8AADF}"/>
    <cellStyle name="Percent 40 2 4" xfId="36778" xr:uid="{244D9413-5FC3-4CB3-9440-EBC808E6C270}"/>
    <cellStyle name="Percent 40 2 5" xfId="36779" xr:uid="{B7306BFA-FE72-4C7F-A558-AFDD8EB80E7D}"/>
    <cellStyle name="Percent 40 2 6" xfId="36780" xr:uid="{50FB3847-B500-4744-B108-8A9D8E1E218C}"/>
    <cellStyle name="Percent 40 3" xfId="7062" xr:uid="{D3B83051-C826-46C2-88BF-820E82710850}"/>
    <cellStyle name="Percent 40 3 2" xfId="23065" xr:uid="{1B8EEB19-C30D-4DB2-923C-333535027D32}"/>
    <cellStyle name="Percent 40 3 3" xfId="46515" xr:uid="{AFAF2E60-EA41-4725-8F14-8EDE7E2B7A0A}"/>
    <cellStyle name="Percent 40 3 4" xfId="19448" xr:uid="{30AFB0EC-AD94-430B-9034-FD4E8B087F13}"/>
    <cellStyle name="Percent 40 4" xfId="9359" xr:uid="{E69FF5C5-7C8E-4ED1-9EAF-B39F51BD39A0}"/>
    <cellStyle name="Percent 40 4 2" xfId="36781" xr:uid="{EC683354-C9E8-4C44-8585-E71BB51365B5}"/>
    <cellStyle name="Percent 40 5" xfId="36782" xr:uid="{D9B7642C-41C6-4975-9BEC-DDAB049F1A78}"/>
    <cellStyle name="Percent 40 6" xfId="36783" xr:uid="{D25AD949-1274-4220-A3C4-20EA54411BDC}"/>
    <cellStyle name="Percent 40 7" xfId="36784" xr:uid="{5BCC8CD4-9416-4C3E-A5AB-4845E2EF6792}"/>
    <cellStyle name="Percent 41" xfId="3671" xr:uid="{D87B612D-74B4-40D0-8E1E-F744276330B6}"/>
    <cellStyle name="Percent 41 2" xfId="5459" xr:uid="{7138795C-8F3E-498B-B4F6-F402653D3A3A}"/>
    <cellStyle name="Percent 41 2 2" xfId="19451" xr:uid="{367B9B78-946B-4BD6-86AC-C785C81778BE}"/>
    <cellStyle name="Percent 41 2 2 2" xfId="23068" xr:uid="{B9FA5F87-2AE4-443C-BA13-82F57A11F4FF}"/>
    <cellStyle name="Percent 41 2 3" xfId="36785" xr:uid="{3B322625-2C7B-47BB-A81B-E4644DABAABB}"/>
    <cellStyle name="Percent 41 2 4" xfId="36786" xr:uid="{4533D0A2-7E29-489D-B5FB-9CCC436445C8}"/>
    <cellStyle name="Percent 41 2 5" xfId="36787" xr:uid="{FCFC1AA3-8F3A-4696-AC85-589559FDC0B5}"/>
    <cellStyle name="Percent 41 2 6" xfId="36788" xr:uid="{56B30DB1-2358-46C4-A2CA-D19BC67CB580}"/>
    <cellStyle name="Percent 41 3" xfId="7063" xr:uid="{24145A87-435F-4D36-9A43-846A36A84C6B}"/>
    <cellStyle name="Percent 41 3 2" xfId="23067" xr:uid="{48C775C6-D719-49D0-852F-EB3A99262D7F}"/>
    <cellStyle name="Percent 41 3 3" xfId="46516" xr:uid="{BA7F85CE-069B-4F8A-B272-CC5032CD55CC}"/>
    <cellStyle name="Percent 41 3 4" xfId="19450" xr:uid="{39582A04-9451-4F73-8C6B-FA087BBBD2E3}"/>
    <cellStyle name="Percent 41 4" xfId="9360" xr:uid="{5B139BE2-28AD-475E-B43D-533240C173ED}"/>
    <cellStyle name="Percent 41 4 2" xfId="36789" xr:uid="{CD49100C-8C00-41FA-B021-7F6A4035B128}"/>
    <cellStyle name="Percent 41 5" xfId="36790" xr:uid="{67E9AC39-6865-416E-8AC4-62D24096AC4F}"/>
    <cellStyle name="Percent 41 6" xfId="36791" xr:uid="{1A073D78-B50D-4436-B7BA-BB1F509D8DE6}"/>
    <cellStyle name="Percent 41 7" xfId="36792" xr:uid="{444191E1-AF77-4E68-AC07-F774A83FB246}"/>
    <cellStyle name="Percent 42" xfId="3672" xr:uid="{6F554618-3954-477F-AE15-CAAD9DE09187}"/>
    <cellStyle name="Percent 42 2" xfId="5460" xr:uid="{5B5DAD96-895C-4512-9F23-5592B52C7EF7}"/>
    <cellStyle name="Percent 42 2 2" xfId="19453" xr:uid="{0D12906C-B8EF-4516-931E-397E4328361D}"/>
    <cellStyle name="Percent 42 2 2 2" xfId="23070" xr:uid="{7F479C05-AA4D-48C5-8F23-2F3A6C4AD2F3}"/>
    <cellStyle name="Percent 42 2 3" xfId="36793" xr:uid="{18CF23B8-AC91-4336-87D6-C771C825677B}"/>
    <cellStyle name="Percent 42 2 4" xfId="36794" xr:uid="{72482E86-FE6D-4113-AF7E-2A41165456E0}"/>
    <cellStyle name="Percent 42 2 5" xfId="36795" xr:uid="{2765D561-E439-4556-8ED3-07BAD9B3643E}"/>
    <cellStyle name="Percent 42 2 6" xfId="36796" xr:uid="{C11B515D-B463-476B-B0E3-FFAA68DFE2C9}"/>
    <cellStyle name="Percent 42 3" xfId="7064" xr:uid="{C7B22A04-2217-4AAD-A3F3-BE2182A17B8D}"/>
    <cellStyle name="Percent 42 3 2" xfId="23069" xr:uid="{A57007E8-ED4F-4B1B-A337-A608D9E3C0A3}"/>
    <cellStyle name="Percent 42 3 3" xfId="46517" xr:uid="{2C456F32-D565-4EC7-AA61-963FAF3BFD68}"/>
    <cellStyle name="Percent 42 3 4" xfId="19452" xr:uid="{B1C016CE-E7B7-4AE1-A9C2-E7FBEF638D84}"/>
    <cellStyle name="Percent 42 4" xfId="9361" xr:uid="{244A7DAC-250E-40F1-9351-73EFF810A3ED}"/>
    <cellStyle name="Percent 42 4 2" xfId="36797" xr:uid="{3BAB2F41-4094-469E-84CB-0C4D9C72917F}"/>
    <cellStyle name="Percent 42 5" xfId="36798" xr:uid="{89AB62E4-056C-41EA-BABC-0DD3E13DC749}"/>
    <cellStyle name="Percent 42 6" xfId="36799" xr:uid="{C74EB7CB-E2BB-4717-B42E-98715A6F1AF4}"/>
    <cellStyle name="Percent 42 7" xfId="36800" xr:uid="{767C2DCE-68F0-4BB1-BA2F-909D050B65D1}"/>
    <cellStyle name="Percent 43" xfId="3673" xr:uid="{343684D3-7199-4A30-94DE-99E8BDEF3EC9}"/>
    <cellStyle name="Percent 43 2" xfId="5461" xr:uid="{A4639061-6020-40B3-88EC-01CF4F6361F2}"/>
    <cellStyle name="Percent 43 2 2" xfId="19455" xr:uid="{BC35681E-6676-4947-A892-E774C3E21E44}"/>
    <cellStyle name="Percent 43 2 2 2" xfId="23072" xr:uid="{7563BB18-2AD4-4C84-A0C8-42D33B2E7C63}"/>
    <cellStyle name="Percent 43 2 3" xfId="36801" xr:uid="{CDADB3B4-F5DD-417B-AD60-208D482C332A}"/>
    <cellStyle name="Percent 43 2 4" xfId="36802" xr:uid="{F1A6E3D8-662C-4F0F-B249-409206B152E2}"/>
    <cellStyle name="Percent 43 2 5" xfId="36803" xr:uid="{461F23B3-3848-4BEC-BC92-590F91492F57}"/>
    <cellStyle name="Percent 43 2 6" xfId="36804" xr:uid="{8D0C43B9-21E1-40D0-ACF7-3964A9435381}"/>
    <cellStyle name="Percent 43 3" xfId="7065" xr:uid="{EBCA996C-22D2-43F0-9C22-CB41495AE6FB}"/>
    <cellStyle name="Percent 43 3 2" xfId="23071" xr:uid="{19EF5A8F-0744-42E2-836B-8FC3482F30F5}"/>
    <cellStyle name="Percent 43 3 3" xfId="46518" xr:uid="{A717D6E4-4EB3-4C00-B2DD-74A083743573}"/>
    <cellStyle name="Percent 43 3 4" xfId="19454" xr:uid="{BE896583-C1D4-4B6A-AC43-ADF61A6C7D76}"/>
    <cellStyle name="Percent 43 4" xfId="9362" xr:uid="{B2FFCEE8-6745-4DDA-BA8C-C46B1A49069A}"/>
    <cellStyle name="Percent 43 4 2" xfId="36805" xr:uid="{362E02D3-7CA2-4D8A-8800-3AE6FBEEF5C0}"/>
    <cellStyle name="Percent 43 5" xfId="36806" xr:uid="{7302FDB9-DA91-499F-8EE8-C7AF060F3C2C}"/>
    <cellStyle name="Percent 43 6" xfId="36807" xr:uid="{8CBDE589-D8C3-4A15-AD9E-90833C36B163}"/>
    <cellStyle name="Percent 43 7" xfId="36808" xr:uid="{6EEA21AE-5461-4900-938A-69EA1B962C7F}"/>
    <cellStyle name="Percent 44" xfId="3674" xr:uid="{FA91578E-6451-4744-85CE-39D041EB624B}"/>
    <cellStyle name="Percent 44 2" xfId="5462" xr:uid="{F636066D-1F1D-4EFB-9EA7-E4801088751E}"/>
    <cellStyle name="Percent 44 2 2" xfId="19457" xr:uid="{773108CF-29DF-4834-B455-9FF412598FFA}"/>
    <cellStyle name="Percent 44 2 2 2" xfId="23074" xr:uid="{BDABAF88-986C-474B-8C2B-8F79394593F1}"/>
    <cellStyle name="Percent 44 2 3" xfId="36809" xr:uid="{9541A855-3ABE-4C0D-835A-6715D4193A77}"/>
    <cellStyle name="Percent 44 2 4" xfId="36810" xr:uid="{7BF1E53A-5A92-413B-A8BF-B1957E57541B}"/>
    <cellStyle name="Percent 44 2 5" xfId="36811" xr:uid="{9E398327-8328-4501-B581-EEBD0BEB6B42}"/>
    <cellStyle name="Percent 44 2 6" xfId="36812" xr:uid="{20F4933B-2F23-40AB-A9E8-20C89B742539}"/>
    <cellStyle name="Percent 44 3" xfId="7066" xr:uid="{9556D467-A3BB-495F-A6ED-9FAEEA715718}"/>
    <cellStyle name="Percent 44 3 2" xfId="23073" xr:uid="{43CD095B-A520-421C-9838-243F77D55981}"/>
    <cellStyle name="Percent 44 3 3" xfId="46519" xr:uid="{CA33F14A-93FF-4F92-80D7-B8ABBF948CC7}"/>
    <cellStyle name="Percent 44 3 4" xfId="19456" xr:uid="{14140466-C70D-43D9-930E-88085E97618B}"/>
    <cellStyle name="Percent 44 4" xfId="9363" xr:uid="{434F8933-3C5C-40C7-B516-E1A09641BB9E}"/>
    <cellStyle name="Percent 44 4 2" xfId="36813" xr:uid="{3EC4D991-D550-49EC-BCE6-1DAAD1FF5331}"/>
    <cellStyle name="Percent 44 5" xfId="36814" xr:uid="{B04D89A8-B081-463D-BA4E-CA3C4E2C264C}"/>
    <cellStyle name="Percent 44 6" xfId="36815" xr:uid="{F53DDDA3-3997-4A09-BC7C-A0772B9014AD}"/>
    <cellStyle name="Percent 44 7" xfId="36816" xr:uid="{E8CC299C-9114-4B7A-BA6D-E3D102ABFB5D}"/>
    <cellStyle name="Percent 45" xfId="3675" xr:uid="{2BCEA672-9776-40AA-8C21-2F8F16B888BA}"/>
    <cellStyle name="Percent 45 2" xfId="5463" xr:uid="{E95CC0A4-A664-4B0A-8759-60A94E55CFDE}"/>
    <cellStyle name="Percent 45 2 2" xfId="19459" xr:uid="{30BE4D0C-5406-4788-8724-27FDEA51B80C}"/>
    <cellStyle name="Percent 45 2 2 2" xfId="23076" xr:uid="{60EE5158-4B97-4D71-9979-FDA57C621FBB}"/>
    <cellStyle name="Percent 45 2 3" xfId="36817" xr:uid="{62EF3486-AC76-4AC4-B927-96C5B442000B}"/>
    <cellStyle name="Percent 45 2 4" xfId="36818" xr:uid="{EA6ECB8C-3054-4311-AF79-34740DD30FAA}"/>
    <cellStyle name="Percent 45 2 5" xfId="36819" xr:uid="{0AEE194C-ED31-46C8-A8D5-4237B6237A47}"/>
    <cellStyle name="Percent 45 2 6" xfId="36820" xr:uid="{241AF62E-2483-4C07-894F-15A2294C4994}"/>
    <cellStyle name="Percent 45 3" xfId="7067" xr:uid="{DB96C606-15F7-493C-9DFD-BAF42FDC504C}"/>
    <cellStyle name="Percent 45 3 2" xfId="23075" xr:uid="{7084A97D-4974-48D3-AFA9-F0078D8DE89B}"/>
    <cellStyle name="Percent 45 3 3" xfId="46520" xr:uid="{475563DE-3A4B-4540-9AC4-A8A152233F95}"/>
    <cellStyle name="Percent 45 3 4" xfId="19458" xr:uid="{4CB9D51B-4F9B-4FA5-8B90-BA09A67E11D7}"/>
    <cellStyle name="Percent 45 4" xfId="9364" xr:uid="{32C51A30-C119-4BD4-997B-80F138EF4056}"/>
    <cellStyle name="Percent 45 4 2" xfId="36821" xr:uid="{155D9465-60DD-4B1F-B979-BDBA2925C145}"/>
    <cellStyle name="Percent 45 5" xfId="36822" xr:uid="{37396690-3484-4D17-8CDC-2B09659A4B1A}"/>
    <cellStyle name="Percent 45 6" xfId="36823" xr:uid="{939C0F33-50CC-48CB-BE2D-117A7D299563}"/>
    <cellStyle name="Percent 45 7" xfId="36824" xr:uid="{529E6C70-F4C0-4076-BF3A-56D18B202812}"/>
    <cellStyle name="Percent 46" xfId="3676" xr:uid="{A4F5C428-E6C3-4821-9C68-7AF1999762C0}"/>
    <cellStyle name="Percent 46 2" xfId="5464" xr:uid="{B1B5DB6E-BE9F-4C41-963B-AA40AA17225A}"/>
    <cellStyle name="Percent 46 2 2" xfId="19461" xr:uid="{265A9162-D3ED-4D57-9539-B63AF0309501}"/>
    <cellStyle name="Percent 46 2 2 2" xfId="23078" xr:uid="{3879D718-0D66-4511-A897-16A99B040D9C}"/>
    <cellStyle name="Percent 46 2 3" xfId="36825" xr:uid="{7B512BC6-2186-4AC0-A192-9CA28BEEF0CD}"/>
    <cellStyle name="Percent 46 2 4" xfId="36826" xr:uid="{061FD7E7-8F4B-48CB-A589-EE144F556A9D}"/>
    <cellStyle name="Percent 46 2 5" xfId="36827" xr:uid="{FD0934AB-8DF0-4B10-835F-53ED10626AFA}"/>
    <cellStyle name="Percent 46 2 6" xfId="36828" xr:uid="{A326E52D-B118-4940-81BB-096B5ED781BA}"/>
    <cellStyle name="Percent 46 3" xfId="7068" xr:uid="{77408E3B-63AA-40A4-B512-3A8F35C9C023}"/>
    <cellStyle name="Percent 46 3 2" xfId="23077" xr:uid="{D46BEA43-91F6-49A9-9270-611EE51B77D6}"/>
    <cellStyle name="Percent 46 3 3" xfId="46521" xr:uid="{804ECCF6-593F-46F8-91E1-B94D479E68BF}"/>
    <cellStyle name="Percent 46 3 4" xfId="19460" xr:uid="{4C2CF090-F1A8-42AB-A2A5-D93E43DBC765}"/>
    <cellStyle name="Percent 46 4" xfId="9365" xr:uid="{A8054654-94E2-464C-BF03-D96B6D9AF7D3}"/>
    <cellStyle name="Percent 46 4 2" xfId="36829" xr:uid="{3F908E50-FB43-4349-B52D-F26E2E2AEDA5}"/>
    <cellStyle name="Percent 46 5" xfId="36830" xr:uid="{FB41B02A-2323-4C02-AA2F-2EEE80BF8412}"/>
    <cellStyle name="Percent 46 6" xfId="36831" xr:uid="{723F5B00-6BD6-4628-8FEC-B58AC9C5D22B}"/>
    <cellStyle name="Percent 46 7" xfId="36832" xr:uid="{F201787D-D94C-4154-B77A-B4D8CC7B1FC0}"/>
    <cellStyle name="Percent 47" xfId="3677" xr:uid="{69323CE0-65C8-4AE4-8A63-D4F41BF5DC6B}"/>
    <cellStyle name="Percent 47 2" xfId="5465" xr:uid="{205F85B5-1E1D-417A-AA14-8C828B5361BA}"/>
    <cellStyle name="Percent 47 2 2" xfId="19463" xr:uid="{C663F881-FE10-4766-963E-1ECFCB8F2B45}"/>
    <cellStyle name="Percent 47 2 2 2" xfId="23080" xr:uid="{69861E6C-E372-4B40-AE57-78791C484FE5}"/>
    <cellStyle name="Percent 47 2 3" xfId="36833" xr:uid="{B15DE9A0-6F90-45EB-977E-40EAB6418CA2}"/>
    <cellStyle name="Percent 47 2 4" xfId="36834" xr:uid="{4AD42B46-E06A-4798-8447-5401F8F22588}"/>
    <cellStyle name="Percent 47 2 5" xfId="36835" xr:uid="{E280023E-B20B-464F-890A-8CCCF6209206}"/>
    <cellStyle name="Percent 47 2 6" xfId="36836" xr:uid="{46853EBD-5071-4FD5-8F46-DFF02177A2C6}"/>
    <cellStyle name="Percent 47 3" xfId="7069" xr:uid="{5E987F65-E835-472C-A678-40FA79F4A304}"/>
    <cellStyle name="Percent 47 3 2" xfId="23079" xr:uid="{E692B1D2-B713-4028-94E0-33C025705ED6}"/>
    <cellStyle name="Percent 47 3 3" xfId="46522" xr:uid="{3C2CD680-5005-4959-97F1-4B6944825A7A}"/>
    <cellStyle name="Percent 47 3 4" xfId="19462" xr:uid="{D3A94BEF-1477-4635-A398-DAFF1C9AE639}"/>
    <cellStyle name="Percent 47 4" xfId="9366" xr:uid="{3EA435D7-2E9B-4CC5-947B-BEB1079EF1BB}"/>
    <cellStyle name="Percent 47 4 2" xfId="36837" xr:uid="{8BA6386D-E6DE-48EA-AA2D-5F3C5989498D}"/>
    <cellStyle name="Percent 47 5" xfId="36838" xr:uid="{1F6CFFF6-570A-48DF-8D85-B50169E915AE}"/>
    <cellStyle name="Percent 47 6" xfId="36839" xr:uid="{3F7C514A-A622-4246-812E-DA10BA410CC3}"/>
    <cellStyle name="Percent 47 7" xfId="36840" xr:uid="{06EEFEBF-87A2-42FD-80C9-46794EF2D189}"/>
    <cellStyle name="Percent 48" xfId="19795" xr:uid="{2756CC68-A286-47EC-8CEC-9873CFE83CA1}"/>
    <cellStyle name="Percent 48 2" xfId="23414" xr:uid="{9AF17F61-FEAD-4DCC-BC25-44145BC5F9E8}"/>
    <cellStyle name="Percent 48 2 2" xfId="36842" xr:uid="{E155B5E4-4F0C-4E76-923D-F1CAC26E9194}"/>
    <cellStyle name="Percent 48 3" xfId="36843" xr:uid="{6CA62276-ABB6-4C98-8310-32B1B7986184}"/>
    <cellStyle name="Percent 48 4" xfId="36841" xr:uid="{5E0189F4-1ADC-4AE2-9AD9-FD8C9772ADC3}"/>
    <cellStyle name="Percent 49" xfId="19824" xr:uid="{0506AD0B-87DF-4273-B906-7D268095A2FB}"/>
    <cellStyle name="Percent 49 2" xfId="23435" xr:uid="{3EAB3C42-2F61-463B-88A6-5C581E316283}"/>
    <cellStyle name="Percent 49 3" xfId="36844" xr:uid="{79BFC2B6-57A9-4AE7-A070-D0050666F9A9}"/>
    <cellStyle name="Percent 5" xfId="5940" xr:uid="{B8F18568-38EA-4E84-AE94-1BC433722907}"/>
    <cellStyle name="Percent 5 10" xfId="45793" xr:uid="{2F7501D9-0738-40DD-90FB-4A0D0B15041D}"/>
    <cellStyle name="Percent 5 2" xfId="3678" xr:uid="{A9A48FB1-37FC-4E9B-B1DC-FCBB4BBBCD19}"/>
    <cellStyle name="Percent 5 2 2" xfId="5466" xr:uid="{E7C3823A-4406-45EA-8757-5A0916C36888}"/>
    <cellStyle name="Percent 5 2 2 2" xfId="19466" xr:uid="{5C28559F-32EF-4ACA-AB27-A492366D88BD}"/>
    <cellStyle name="Percent 5 2 2 2 2" xfId="23083" xr:uid="{6EB8C591-79E5-4D64-8CBC-F4680C9C18A9}"/>
    <cellStyle name="Percent 5 2 2 3" xfId="36845" xr:uid="{02938925-DBE9-4B97-A0E5-74C379451A8A}"/>
    <cellStyle name="Percent 5 2 2 4" xfId="36846" xr:uid="{4631193B-CEB9-4DB2-AD23-D0B9485AA538}"/>
    <cellStyle name="Percent 5 2 2 5" xfId="36847" xr:uid="{7F86AD45-D9FD-4BB5-9B82-E853F46435A7}"/>
    <cellStyle name="Percent 5 2 2 6" xfId="36848" xr:uid="{67527DF7-04CF-487C-9BC0-4597D6F304FD}"/>
    <cellStyle name="Percent 5 2 3" xfId="7070" xr:uid="{C2DD57B0-91F6-4BB0-8F7E-FCF1769B2439}"/>
    <cellStyle name="Percent 5 2 3 2" xfId="19467" xr:uid="{1FACE600-1AC9-439B-BF07-6D4EC1BCAA28}"/>
    <cellStyle name="Percent 5 2 3 2 2" xfId="23084" xr:uid="{EBB38E22-1D8D-49F3-A4A2-58AD07D7F22F}"/>
    <cellStyle name="Percent 5 2 3 3" xfId="36849" xr:uid="{9C0FA4B5-37F1-4D93-91EE-2E5C63493320}"/>
    <cellStyle name="Percent 5 2 3 4" xfId="36850" xr:uid="{87D5E24C-DACD-4347-85DE-3DEEF69F008A}"/>
    <cellStyle name="Percent 5 2 3 5" xfId="36851" xr:uid="{CFB90CB2-47E2-4642-95F3-A41522CA95D2}"/>
    <cellStyle name="Percent 5 2 3 6" xfId="36852" xr:uid="{E6660A21-CF83-4D79-999F-52122CB8AB1E}"/>
    <cellStyle name="Percent 5 2 3 7" xfId="46523" xr:uid="{4D69A896-117E-45C8-8747-5E1F7CBA24D0}"/>
    <cellStyle name="Percent 5 2 3 8" xfId="16625" xr:uid="{6BB821E0-E9DE-454F-B77A-07A98BBEC600}"/>
    <cellStyle name="Percent 5 2 4" xfId="9367" xr:uid="{0B970986-1C8B-4320-881A-F3A59164EA87}"/>
    <cellStyle name="Percent 5 2 4 2" xfId="23082" xr:uid="{C4AFA775-17AA-4708-B974-93E8951005BA}"/>
    <cellStyle name="Percent 5 2 4 3" xfId="19465" xr:uid="{2074FC9C-F4E0-4DB9-A626-D8A5A584E813}"/>
    <cellStyle name="Percent 5 2 5" xfId="36853" xr:uid="{3495F92C-23FF-4B82-8F22-DE06E4AFC45A}"/>
    <cellStyle name="Percent 5 2 6" xfId="36854" xr:uid="{76008610-2434-4B20-B060-C34BDB29D589}"/>
    <cellStyle name="Percent 5 2 7" xfId="36855" xr:uid="{0B51B1EA-86C8-4538-A2C4-AA4F47A16B8A}"/>
    <cellStyle name="Percent 5 2 8" xfId="36856" xr:uid="{A06A03B4-C59D-4DE1-8078-B977E6860823}"/>
    <cellStyle name="Percent 5 3" xfId="7398" xr:uid="{E898E382-07A7-47D0-BC00-88A175A27B33}"/>
    <cellStyle name="Percent 5 3 2" xfId="19468" xr:uid="{A803CC44-91DE-4DB3-B12E-FBEDA62D71FD}"/>
    <cellStyle name="Percent 5 3 2 2" xfId="23085" xr:uid="{AB3035A8-BA7A-4E77-8B6F-0FE75447A2F8}"/>
    <cellStyle name="Percent 5 3 3" xfId="36857" xr:uid="{69C3393A-2F8E-4E3F-8136-53965A2425C8}"/>
    <cellStyle name="Percent 5 3 4" xfId="36858" xr:uid="{FDE5ADF8-4CAA-45DA-A7B8-EF021EAE692E}"/>
    <cellStyle name="Percent 5 3 5" xfId="36859" xr:uid="{3974D9A0-AECD-4C44-8793-128C206F09B3}"/>
    <cellStyle name="Percent 5 3 6" xfId="36860" xr:uid="{68D28F19-759F-44CF-ABAA-6D5399CDEF41}"/>
    <cellStyle name="Percent 5 3 7" xfId="46792" xr:uid="{20130AD4-C265-41BD-8C40-8BA6A74DB839}"/>
    <cellStyle name="Percent 5 3 8" xfId="16731" xr:uid="{3D3AD2C3-64B2-4EF9-8DD6-AFAF9FF48241}"/>
    <cellStyle name="Percent 5 4" xfId="19469" xr:uid="{C97E2D03-AEA5-4CA3-9687-6D1DBE5CECD1}"/>
    <cellStyle name="Percent 5 4 2" xfId="23086" xr:uid="{A94A4FBE-8E48-44A1-B85A-DD0BB52323DD}"/>
    <cellStyle name="Percent 5 5" xfId="19464" xr:uid="{46C0EA54-23C9-43E6-B248-987682B3615A}"/>
    <cellStyle name="Percent 5 5 2" xfId="23081" xr:uid="{A9DF0B4D-71E2-482D-BD8A-A57F38300BAF}"/>
    <cellStyle name="Percent 5 6" xfId="36861" xr:uid="{A4D874F9-88A8-4EBF-A7F3-3C1193D7940E}"/>
    <cellStyle name="Percent 5 7" xfId="36862" xr:uid="{7C739BCF-6BE2-49BF-8175-F9953B716F6C}"/>
    <cellStyle name="Percent 5 8" xfId="36863" xr:uid="{76C5F342-3C8D-479C-B049-D53A2B00B39F}"/>
    <cellStyle name="Percent 5 9" xfId="36864" xr:uid="{29154402-F0D7-4814-A7D5-82275B945FC8}"/>
    <cellStyle name="Percent 50" xfId="19845" xr:uid="{597530D9-BDCC-430B-97C7-48383B9269AB}"/>
    <cellStyle name="Percent 50 2" xfId="36865" xr:uid="{DB658211-77E3-4EA6-AA13-786ED06D452F}"/>
    <cellStyle name="Percent 51" xfId="15264" xr:uid="{47B85208-DE56-4962-8202-21A65DE141BE}"/>
    <cellStyle name="Percent 51 2" xfId="36866" xr:uid="{99205ED7-5C68-44E4-97C0-32B2AA0E25B9}"/>
    <cellStyle name="Percent 51 3" xfId="45549" xr:uid="{7D330E55-D555-4B0C-BCE1-013151F2B5DC}"/>
    <cellStyle name="Percent 52" xfId="36867" xr:uid="{8DAB9286-99D3-4D0D-9249-7C5D790273E2}"/>
    <cellStyle name="Percent 52 2" xfId="45570" xr:uid="{924AE260-5B96-4ABA-882E-101E434A7B09}"/>
    <cellStyle name="Percent 53" xfId="54526" xr:uid="{8FCD19D7-A07B-45E5-9FB9-4AC7FAD9BECE}"/>
    <cellStyle name="Percent 54" xfId="54528" xr:uid="{DF543AB6-7225-408E-B4BE-B090F73A6A91}"/>
    <cellStyle name="Percent 6" xfId="9387" xr:uid="{2B3E2F91-D5A7-4D44-859C-F6393079FDC9}"/>
    <cellStyle name="Percent 6 2" xfId="3679" xr:uid="{A8225129-8737-463B-9295-7C3B1DA17D46}"/>
    <cellStyle name="Percent 6 2 2" xfId="3680" xr:uid="{3796BCC9-3AE8-47AA-B281-815E1616F4C2}"/>
    <cellStyle name="Percent 6 2 2 2" xfId="5468" xr:uid="{A02BF9E7-7422-4B28-A990-F1AA53588DD7}"/>
    <cellStyle name="Percent 6 2 2 2 2" xfId="23089" xr:uid="{27338F1D-EA25-4BC3-A13B-802F3CDE5EF9}"/>
    <cellStyle name="Percent 6 2 2 2 3" xfId="44348" xr:uid="{3AD860FE-108A-4A5D-9C2E-D62CA5AE7904}"/>
    <cellStyle name="Percent 6 2 2 2 4" xfId="19472" xr:uid="{C35B5D33-ABAB-4053-8F93-DDA3CA0639AD}"/>
    <cellStyle name="Percent 6 2 2 3" xfId="7071" xr:uid="{AE7ACEBA-588E-4B9B-9E40-2C23AF897C92}"/>
    <cellStyle name="Percent 6 2 2 3 2" xfId="46524" xr:uid="{837923B4-4632-4613-A573-91C187AF01B3}"/>
    <cellStyle name="Percent 6 2 2 3 3" xfId="36868" xr:uid="{184AF6AC-9F7D-4533-AC22-AD4291EAF0F6}"/>
    <cellStyle name="Percent 6 2 2 4" xfId="9369" xr:uid="{C124F0B4-63C3-4A39-9849-92D38D848B68}"/>
    <cellStyle name="Percent 6 2 2 4 2" xfId="36869" xr:uid="{B73E85CA-95BC-4E84-B5A0-AEC346A412C7}"/>
    <cellStyle name="Percent 6 2 2 5" xfId="36870" xr:uid="{0B184BF2-8686-4A41-B2E2-4F6EE7EFB6E5}"/>
    <cellStyle name="Percent 6 2 2 6" xfId="36871" xr:uid="{D3A1DEB5-6E33-45FB-8B02-695CE8AFB7F0}"/>
    <cellStyle name="Percent 6 2 3" xfId="5467" xr:uid="{B019E3C3-CFF7-42EB-A2D0-C7BC0FA145F2}"/>
    <cellStyle name="Percent 6 2 3 2" xfId="23088" xr:uid="{4B55722D-48DF-4C9C-8A93-EFBEF5C294F1}"/>
    <cellStyle name="Percent 6 2 3 3" xfId="43760" xr:uid="{4FDD6E0E-5D4D-4A3D-812B-FFB84FD92699}"/>
    <cellStyle name="Percent 6 2 3 4" xfId="19471" xr:uid="{97BCF2DD-1F53-4E1A-8CE5-70B661E82F8B}"/>
    <cellStyle name="Percent 6 2 4" xfId="4387" xr:uid="{A6539C61-A0A9-4389-8270-E2D5CFCF0B71}"/>
    <cellStyle name="Percent 6 2 4 2" xfId="44190" xr:uid="{EB57258A-D4A9-489C-A6A0-3AAC73F5B58C}"/>
    <cellStyle name="Percent 6 2 4 3" xfId="36872" xr:uid="{DBC5622B-D315-49A8-AE86-CEE5E3D7B618}"/>
    <cellStyle name="Percent 6 2 5" xfId="6453" xr:uid="{D0B0150A-FE94-4D9F-8FD9-E4C4928EA388}"/>
    <cellStyle name="Percent 6 2 5 2" xfId="46100" xr:uid="{E35E8C55-3EBD-4686-AC43-6F348C5CAA4A}"/>
    <cellStyle name="Percent 6 2 5 3" xfId="36873" xr:uid="{A616063A-CD89-4F02-9379-A1D1220DB79A}"/>
    <cellStyle name="Percent 6 2 6" xfId="9368" xr:uid="{41002B4D-9999-4816-A578-592D3839A47E}"/>
    <cellStyle name="Percent 6 2 6 2" xfId="36874" xr:uid="{02580383-6722-451D-80B0-D54AAF362805}"/>
    <cellStyle name="Percent 6 2 7" xfId="36875" xr:uid="{3ECFBBED-C3AD-4D11-A390-D3ECF40B16A8}"/>
    <cellStyle name="Percent 6 2 8" xfId="36876" xr:uid="{1F5B510D-73CB-47EB-A146-3B697FDC3B3F}"/>
    <cellStyle name="Percent 6 3" xfId="3681" xr:uid="{9ACB086F-045D-42C6-AC24-AFFC3E764FF5}"/>
    <cellStyle name="Percent 6 3 2" xfId="5469" xr:uid="{D0B56968-DB10-49F1-8B16-E0BE09455C3F}"/>
    <cellStyle name="Percent 6 3 2 2" xfId="23090" xr:uid="{5A0ED48D-6A44-430A-AE45-C555C3D64172}"/>
    <cellStyle name="Percent 6 3 2 3" xfId="43761" xr:uid="{DC05A773-8BB7-46E1-967B-70B95B34EFFD}"/>
    <cellStyle name="Percent 6 3 2 4" xfId="19473" xr:uid="{4CCA28C7-C273-407C-8289-A8C481BA8BF0}"/>
    <cellStyle name="Percent 6 3 3" xfId="4388" xr:uid="{83BDA7B5-A023-43C9-856F-22D471F21D1E}"/>
    <cellStyle name="Percent 6 3 3 2" xfId="44191" xr:uid="{C9774FBE-AE8C-4FA2-A4BD-2DB792300D4C}"/>
    <cellStyle name="Percent 6 3 3 3" xfId="36877" xr:uid="{FA96F871-0DDF-4222-9A49-467E7FD2EAEF}"/>
    <cellStyle name="Percent 6 3 4" xfId="6454" xr:uid="{6E2A782C-BA8F-4D7F-A328-D1D13D487A3A}"/>
    <cellStyle name="Percent 6 3 4 2" xfId="46101" xr:uid="{686DA7F4-9612-457A-848C-8B1A1360F45C}"/>
    <cellStyle name="Percent 6 3 4 3" xfId="36878" xr:uid="{977AEFC4-6DA5-46F8-8DBA-736E5B87CE4D}"/>
    <cellStyle name="Percent 6 3 5" xfId="9370" xr:uid="{456AC2F8-2E24-4FAB-AD32-5CCE0247208D}"/>
    <cellStyle name="Percent 6 3 5 2" xfId="36879" xr:uid="{4630F1EE-5ACA-49F2-956D-5E19DFF61CE2}"/>
    <cellStyle name="Percent 6 3 6" xfId="36880" xr:uid="{CAB992D7-A3E6-4748-AE7C-767F89761CC6}"/>
    <cellStyle name="Percent 6 3 7" xfId="36881" xr:uid="{B54D27A0-680B-488D-B4D4-759FF26FC13F}"/>
    <cellStyle name="Percent 6 4" xfId="4389" xr:uid="{13F1BC98-1311-45ED-82A6-CB2CC70C9AA6}"/>
    <cellStyle name="Percent 6 4 2" xfId="7254" xr:uid="{352C74BF-A6BD-4DFC-86D6-D7AA5CEE7456}"/>
    <cellStyle name="Percent 6 4 2 2" xfId="44192" xr:uid="{0FFE79E9-945C-48B5-816D-F9F7B6908619}"/>
    <cellStyle name="Percent 6 4 2 3" xfId="23091" xr:uid="{D1870559-64E0-47B9-8664-AC06144530CC}"/>
    <cellStyle name="Percent 6 4 3" xfId="43496" xr:uid="{6BB5FAB2-6514-4BEF-BF0E-93ABA2FB4433}"/>
    <cellStyle name="Percent 6 4 4" xfId="19474" xr:uid="{D6E729E7-A2CF-4A23-97AF-3B3538F10972}"/>
    <cellStyle name="Percent 6 5" xfId="19470" xr:uid="{3BF6A811-AB86-4F80-9658-1E2DAB13E1AD}"/>
    <cellStyle name="Percent 6 5 2" xfId="23087" xr:uid="{6A6E3E4D-9090-43C7-9D20-AECD4784A966}"/>
    <cellStyle name="Percent 6 6" xfId="36882" xr:uid="{894C6A56-A3DB-405C-BD21-FE07B9ABCE62}"/>
    <cellStyle name="Percent 6 7" xfId="36883" xr:uid="{C3BA0D39-D92E-4281-90E4-47D5E1B0B6D9}"/>
    <cellStyle name="Percent 6 8" xfId="36884" xr:uid="{A29E0E14-0847-4837-9A77-607CD9BDDD94}"/>
    <cellStyle name="Percent 6 9" xfId="36885" xr:uid="{9B1FB460-5A99-48D8-A347-B3C219EBE3A7}"/>
    <cellStyle name="Percent 7" xfId="9388" xr:uid="{CD7627CA-F7AC-4118-BF10-25EB13915E9F}"/>
    <cellStyle name="Percent 7 2" xfId="3682" xr:uid="{04CB1821-1088-45DB-88C6-BC5ABCBAE071}"/>
    <cellStyle name="Percent 7 2 2" xfId="3683" xr:uid="{F597D9E7-214F-48A3-8C09-0FA0346860B5}"/>
    <cellStyle name="Percent 7 2 2 2" xfId="5470" xr:uid="{DF85E5B1-C8CD-4CE0-8222-241AE35A731E}"/>
    <cellStyle name="Percent 7 2 2 2 2" xfId="36887" xr:uid="{1F5787CF-4EEE-4556-B337-2DF881DF417C}"/>
    <cellStyle name="Percent 7 2 2 2 3" xfId="36888" xr:uid="{134E8786-54F8-4144-9A02-AAE9671B43D8}"/>
    <cellStyle name="Percent 7 2 2 2 4" xfId="36889" xr:uid="{C7308227-F1AB-4419-8427-1E8FEA7F631E}"/>
    <cellStyle name="Percent 7 2 2 2 5" xfId="36890" xr:uid="{829A68B0-FE9F-49F3-9060-2E1FA53CF900}"/>
    <cellStyle name="Percent 7 2 2 2 6" xfId="36886" xr:uid="{5548B55D-2BB6-499B-99E5-B917696E4E49}"/>
    <cellStyle name="Percent 7 2 2 3" xfId="7072" xr:uid="{A05DA034-9BEA-4D1E-97F3-53FD0C317B93}"/>
    <cellStyle name="Percent 7 2 2 3 2" xfId="46525" xr:uid="{60BF854C-D3E3-461D-8A48-88EF7A56636C}"/>
    <cellStyle name="Percent 7 2 2 3 3" xfId="23093" xr:uid="{77CC3B3C-8CD4-48EF-9ECB-D06D32F314F6}"/>
    <cellStyle name="Percent 7 2 2 4" xfId="9371" xr:uid="{28EE0FB2-1CC9-48FA-AA74-58AD22ACF5E3}"/>
    <cellStyle name="Percent 7 2 2 4 2" xfId="19476" xr:uid="{97195051-8C03-42E0-99DE-352EEC8D1CE0}"/>
    <cellStyle name="Percent 7 2 3" xfId="11105" xr:uid="{D5DDACB2-3A73-4BFF-8083-470E7CA1A27B}"/>
    <cellStyle name="Percent 7 2 3 2" xfId="36892" xr:uid="{57AFCF78-CB58-4AE8-B5EB-50235D84F689}"/>
    <cellStyle name="Percent 7 2 3 3" xfId="36893" xr:uid="{A5819B68-0AF2-48AB-910B-A43AC975B485}"/>
    <cellStyle name="Percent 7 2 3 4" xfId="36894" xr:uid="{DDBDD6DC-6D64-4B3A-B117-C3D566F0B473}"/>
    <cellStyle name="Percent 7 2 3 5" xfId="36895" xr:uid="{97BA80E9-94FE-4952-9329-6CBABE6C3438}"/>
    <cellStyle name="Percent 7 2 3 6" xfId="36891" xr:uid="{B86D708A-778C-4CDE-9E0B-88979C7BE1CE}"/>
    <cellStyle name="Percent 7 2 4" xfId="11219" xr:uid="{04CE21E9-4524-496B-B5B4-C504427813D6}"/>
    <cellStyle name="Percent 7 2 4 2" xfId="47098" xr:uid="{216DFDA2-73B1-4E38-92A0-9AF223903767}"/>
    <cellStyle name="Percent 7 2 4 3" xfId="36896" xr:uid="{25D3D86C-E3D9-47FF-805E-823F8B5C5C10}"/>
    <cellStyle name="Percent 7 2 5" xfId="36897" xr:uid="{A2439F89-1A66-49D3-98FC-7FEDC261CCB6}"/>
    <cellStyle name="Percent 7 2 6" xfId="36898" xr:uid="{85492546-5316-4618-BC20-F9E733995F2A}"/>
    <cellStyle name="Percent 7 2 7" xfId="36899" xr:uid="{FC0753CD-12FA-430C-B05E-A974E6AA06CD}"/>
    <cellStyle name="Percent 7 2 8" xfId="36900" xr:uid="{B04D420D-20F5-41D4-B967-937A9E144AA6}"/>
    <cellStyle name="Percent 7 3" xfId="19477" xr:uid="{FF4EDC44-7489-48EB-BB0A-0DF939108517}"/>
    <cellStyle name="Percent 7 3 2" xfId="23094" xr:uid="{E73C0EFF-29D5-47AA-9B57-FBAC0C8859D7}"/>
    <cellStyle name="Percent 7 4" xfId="19475" xr:uid="{1609AAF4-CF63-432C-B8AA-71F79F1F112F}"/>
    <cellStyle name="Percent 7 4 2" xfId="23092" xr:uid="{0F5E1536-37C9-456F-B1D8-FEA9478FC779}"/>
    <cellStyle name="Percent 7 5" xfId="36901" xr:uid="{F8B7DC6B-DB59-4E94-8B84-71BA0E10EAC5}"/>
    <cellStyle name="Percent 7 6" xfId="36902" xr:uid="{A59A9829-20B6-449D-8EE8-F42C4DF22E66}"/>
    <cellStyle name="Percent 7 7" xfId="36903" xr:uid="{2CF8074B-5F0E-4086-AD59-8EA185115980}"/>
    <cellStyle name="Percent 7 8" xfId="36904" xr:uid="{1D4CA73F-76AD-41CF-A0C7-BF233BFE003F}"/>
    <cellStyle name="Percent 8" xfId="15266" xr:uid="{606FE241-1FE5-4D3D-A64C-FB096B09733B}"/>
    <cellStyle name="Percent 8 2" xfId="3684" xr:uid="{7BFA7882-1389-46DE-A8AD-43618D0B8FAB}"/>
    <cellStyle name="Percent 8 2 2" xfId="5471" xr:uid="{10544F30-3703-4BC2-BAE5-166BB2E843BE}"/>
    <cellStyle name="Percent 8 2 2 2" xfId="23096" xr:uid="{B8607B3D-F78C-4539-882E-FDF3B8926B7E}"/>
    <cellStyle name="Percent 8 2 2 3" xfId="44349" xr:uid="{C10FF9C7-261C-463A-80E4-AA3A3F527DDA}"/>
    <cellStyle name="Percent 8 2 2 4" xfId="19479" xr:uid="{BE9EB2E4-C0C6-4261-9983-49ED95FE920C}"/>
    <cellStyle name="Percent 8 2 3" xfId="7073" xr:uid="{6DFE4AC7-DA14-4B6B-9ADF-584B4C909F70}"/>
    <cellStyle name="Percent 8 2 3 2" xfId="46526" xr:uid="{203B1545-5B97-49DD-9D26-CB8D92B91EFC}"/>
    <cellStyle name="Percent 8 2 3 3" xfId="36905" xr:uid="{483B4D9F-0B96-46C4-9B6A-9B372B1383FE}"/>
    <cellStyle name="Percent 8 2 4" xfId="9372" xr:uid="{84E96A99-403E-403E-860C-38F5ED56828B}"/>
    <cellStyle name="Percent 8 2 4 2" xfId="36906" xr:uid="{4201C9BD-E7A2-4F56-AA54-CA3357E51CFC}"/>
    <cellStyle name="Percent 8 2 5" xfId="36907" xr:uid="{A41AB46E-39B7-4571-A532-DF6B892B1D0F}"/>
    <cellStyle name="Percent 8 2 6" xfId="36908" xr:uid="{96EC55B1-FC0B-458D-87C0-105A49FF250E}"/>
    <cellStyle name="Percent 8 3" xfId="19480" xr:uid="{520B07B8-B28C-4FB0-886D-B96E7D517B38}"/>
    <cellStyle name="Percent 8 3 2" xfId="23097" xr:uid="{5D18BCE4-EFE1-4BD5-B927-1DD87472B18E}"/>
    <cellStyle name="Percent 8 4" xfId="19478" xr:uid="{3A6612FA-0EAA-409D-94BC-DD2D04F642C2}"/>
    <cellStyle name="Percent 8 4 2" xfId="23095" xr:uid="{44B986F0-8811-432A-9774-8CC0A54FBEA9}"/>
    <cellStyle name="Percent 8 5" xfId="36909" xr:uid="{15526F9A-F563-4D7D-90E8-566510B8884B}"/>
    <cellStyle name="Percent 8 6" xfId="36910" xr:uid="{3B184504-5072-41F0-A35E-2A8ECA06CA0C}"/>
    <cellStyle name="Percent 8 7" xfId="36911" xr:uid="{7F4E1012-1ECC-4298-8F69-8856C9CC9659}"/>
    <cellStyle name="Percent 8 8" xfId="36912" xr:uid="{94E3ECBB-EC96-4F04-907D-CACE2E19F572}"/>
    <cellStyle name="Percent 9" xfId="4390" xr:uid="{F60A303F-5A74-43F8-A84D-03B75118F2FD}"/>
    <cellStyle name="Percent 9 2" xfId="3685" xr:uid="{C841AA38-F571-4479-9E33-32FCF8A47317}"/>
    <cellStyle name="Percent 9 2 2" xfId="5472" xr:uid="{24687BBC-2ACB-4138-B35D-0948FC72F3DC}"/>
    <cellStyle name="Percent 9 2 2 2" xfId="23099" xr:uid="{334F1CEE-BAAE-40F2-91B1-60040595B6C0}"/>
    <cellStyle name="Percent 9 2 2 3" xfId="44350" xr:uid="{A198D6B3-650F-458D-B475-532134A36F30}"/>
    <cellStyle name="Percent 9 2 2 4" xfId="19482" xr:uid="{643E72D8-9884-41D2-893B-67DCCF557008}"/>
    <cellStyle name="Percent 9 2 3" xfId="7074" xr:uid="{19AD8085-1AC9-4487-9C85-7EE686AA4355}"/>
    <cellStyle name="Percent 9 2 3 2" xfId="46527" xr:uid="{926F62D8-6A8E-4D7B-A7B5-9286FCD4AD6C}"/>
    <cellStyle name="Percent 9 2 3 3" xfId="36913" xr:uid="{71693482-3B88-4152-A96E-3A5520D1F7DB}"/>
    <cellStyle name="Percent 9 2 4" xfId="9373" xr:uid="{14399AAA-3653-47C6-8890-A1E757D19E22}"/>
    <cellStyle name="Percent 9 2 4 2" xfId="36914" xr:uid="{46D6E6CA-5B2F-48DF-9453-102CD2E6000B}"/>
    <cellStyle name="Percent 9 2 5" xfId="36915" xr:uid="{6FBB070C-06AB-4325-A542-5903F83FE72B}"/>
    <cellStyle name="Percent 9 2 6" xfId="36916" xr:uid="{569D111D-B01B-4680-BD7C-314D3F962EB7}"/>
    <cellStyle name="Percent 9 3" xfId="19483" xr:uid="{B2D8DA9F-C446-458D-BEAC-F42608B15926}"/>
    <cellStyle name="Percent 9 3 2" xfId="23100" xr:uid="{39332DDD-1429-4C08-87A8-6954455946B6}"/>
    <cellStyle name="Percent 9 4" xfId="19481" xr:uid="{2A654207-9267-49E1-AC3D-CE2826A1BBBA}"/>
    <cellStyle name="Percent 9 4 2" xfId="23098" xr:uid="{216DBCD8-18E1-47F2-9025-746DE39942A5}"/>
    <cellStyle name="Percent 9 5" xfId="36917" xr:uid="{DE0AC361-2CC8-407E-A017-9DF4CB230776}"/>
    <cellStyle name="Percent 9 6" xfId="36918" xr:uid="{97A4F9AD-5C20-48E8-AC52-2F7D88E9422D}"/>
    <cellStyle name="Percent 9 7" xfId="36919" xr:uid="{F58D6241-CD88-402A-A4C4-C99204E2BB4E}"/>
    <cellStyle name="Percent 9 8" xfId="36920" xr:uid="{E08A84EA-EF7F-41B8-8A59-ADDA956199DF}"/>
    <cellStyle name="Percent 9 9" xfId="36921" xr:uid="{AD0BBC17-7ABD-4874-B098-B5BF3E079B89}"/>
    <cellStyle name="Percentagem 2" xfId="3686" xr:uid="{F41E7170-C1A8-4DAD-BB82-9C2EDEF13F5C}"/>
    <cellStyle name="Percentagem 2 2" xfId="3687" xr:uid="{DBD93A2A-9448-49EA-BA10-0E327289A5CE}"/>
    <cellStyle name="Percentagem 2 2 2" xfId="19485" xr:uid="{C07BE85B-D134-4A9F-BE4E-0218B6502B0F}"/>
    <cellStyle name="Percentagem 2 2 2 2" xfId="23102" xr:uid="{150A2FDB-FBE0-496E-B659-B597BFF9DE19}"/>
    <cellStyle name="Percentagem 2 2 3" xfId="36922" xr:uid="{F7F468B2-38FB-430C-8F58-95D96010CBB0}"/>
    <cellStyle name="Percentagem 2 2 4" xfId="36923" xr:uid="{4CD316F6-2F8B-441F-9ADA-BBB519C3CE14}"/>
    <cellStyle name="Percentagem 2 2 5" xfId="36924" xr:uid="{98EBCD19-4124-4DC4-87E8-8DC94D77089D}"/>
    <cellStyle name="Percentagem 2 2 6" xfId="36925" xr:uid="{93963770-AA74-4F2A-8F16-38DA06E2DEB3}"/>
    <cellStyle name="Percentagem 2 3" xfId="19484" xr:uid="{2FED291C-6723-41EC-A8AC-A4063BFDB09B}"/>
    <cellStyle name="Percentagem 2 3 2" xfId="23101" xr:uid="{3DA3245F-8B18-4696-B779-A245C01E70BC}"/>
    <cellStyle name="Percentagem 2 4" xfId="36926" xr:uid="{FB7DAC2B-2F5E-4DDB-B747-5083862797D5}"/>
    <cellStyle name="Percentagem 2 5" xfId="36927" xr:uid="{10E45438-51FA-4D71-BB7B-910BB4EBF05A}"/>
    <cellStyle name="Percentagem 2 6" xfId="36928" xr:uid="{A76AFA1A-669F-42FD-8AB6-1C14D3A9F3B6}"/>
    <cellStyle name="Percentagem 2 7" xfId="36929" xr:uid="{7BD33D14-E61A-429B-94F3-551E2FF510AD}"/>
    <cellStyle name="Percentagem 2 8" xfId="36930" xr:uid="{479DBC2B-0301-4194-80F8-3348B9867CFA}"/>
    <cellStyle name="Percentagem 2 9" xfId="36931" xr:uid="{0E9E9611-1F5B-48C3-985C-8785D765D74E}"/>
    <cellStyle name="Percentagem 3" xfId="3688" xr:uid="{58CAB956-8049-4E1E-9721-FCC7F9C1C6C3}"/>
    <cellStyle name="Percentagem 3 10" xfId="36932" xr:uid="{D6B42CEC-FFA4-47B6-BD8E-25C9AE52914A}"/>
    <cellStyle name="Percentagem 3 11" xfId="36933" xr:uid="{35878D0D-EC0B-462D-8D7B-C6E860EBD686}"/>
    <cellStyle name="Percentagem 3 2" xfId="3689" xr:uid="{0C18049C-B1A2-49CC-8001-230E44DA98E5}"/>
    <cellStyle name="Percentagem 3 2 2" xfId="5474" xr:uid="{766E9263-21C6-42B7-AA44-3EA981278051}"/>
    <cellStyle name="Percentagem 3 2 2 2" xfId="23104" xr:uid="{94A483D9-361F-4AC6-801F-C06E1B83B667}"/>
    <cellStyle name="Percentagem 3 2 2 3" xfId="43763" xr:uid="{ACFE7E8D-FA1B-47F5-93F4-8BADDDAAB7BD}"/>
    <cellStyle name="Percentagem 3 2 2 4" xfId="19487" xr:uid="{93C9F8CD-B915-474F-B7A6-B67299E0F1A8}"/>
    <cellStyle name="Percentagem 3 2 3" xfId="4392" xr:uid="{A985596C-9018-4506-9AFE-F974CB68D43D}"/>
    <cellStyle name="Percentagem 3 2 3 2" xfId="44194" xr:uid="{6258CED2-FD46-4721-8FD4-2CD601A6ACF3}"/>
    <cellStyle name="Percentagem 3 2 3 3" xfId="36934" xr:uid="{41B81EA1-4056-4339-8B92-19BBAF6B8699}"/>
    <cellStyle name="Percentagem 3 2 4" xfId="6456" xr:uid="{173C6410-8C54-4823-8F68-6BE569803EB3}"/>
    <cellStyle name="Percentagem 3 2 4 2" xfId="46103" xr:uid="{DC6A851A-D844-4A10-8FC3-7A7775908D4D}"/>
    <cellStyle name="Percentagem 3 2 4 3" xfId="36935" xr:uid="{1762CDF0-5796-4501-B076-53FBECBF9888}"/>
    <cellStyle name="Percentagem 3 2 5" xfId="9375" xr:uid="{4B287C11-FD7C-404B-8C44-E6FA0F7C048E}"/>
    <cellStyle name="Percentagem 3 2 5 2" xfId="36936" xr:uid="{7226AF67-60EC-40D4-88F6-35518E76D22D}"/>
    <cellStyle name="Percentagem 3 2 6" xfId="36937" xr:uid="{43A1B28F-DC55-467A-A10D-D28A8E24B559}"/>
    <cellStyle name="Percentagem 3 2 7" xfId="36938" xr:uid="{3EA33096-7E42-4736-AEB4-5EEBE4E04AE3}"/>
    <cellStyle name="Percentagem 3 3" xfId="3690" xr:uid="{884DD923-B4DB-480F-A7A3-426D084B24D3}"/>
    <cellStyle name="Percentagem 3 3 2" xfId="5475" xr:uid="{6D29B1D1-3B15-4CE8-B586-DC53C427C3C9}"/>
    <cellStyle name="Percentagem 3 3 2 2" xfId="23105" xr:uid="{62BC4459-D086-4AE6-BF6B-DDEA33670CB2}"/>
    <cellStyle name="Percentagem 3 3 2 3" xfId="43764" xr:uid="{555AF8CC-A7EF-469E-B5D5-0CB2DB89B27E}"/>
    <cellStyle name="Percentagem 3 3 2 4" xfId="19488" xr:uid="{9B3AB4A3-1387-4A55-A97E-CFD9D005AFD3}"/>
    <cellStyle name="Percentagem 3 3 3" xfId="4393" xr:uid="{C0CDEF35-649B-4E21-83E2-43C86C539B28}"/>
    <cellStyle name="Percentagem 3 3 3 2" xfId="44195" xr:uid="{27B802AD-DE27-4E2E-AA23-00A99A1EB946}"/>
    <cellStyle name="Percentagem 3 3 3 3" xfId="36939" xr:uid="{848607F8-368D-4D37-BA0C-BCA798732A0F}"/>
    <cellStyle name="Percentagem 3 3 4" xfId="6457" xr:uid="{66212046-A43C-472F-89E5-68EBA055E0ED}"/>
    <cellStyle name="Percentagem 3 3 4 2" xfId="46104" xr:uid="{DEF8C008-A5DB-4F4F-98EF-4D26DFA21F1E}"/>
    <cellStyle name="Percentagem 3 3 4 3" xfId="36940" xr:uid="{BDA8E7AC-260A-4EC1-B17B-0628B5BFC233}"/>
    <cellStyle name="Percentagem 3 3 5" xfId="9376" xr:uid="{EA46BFEE-D39A-41E4-9BC7-AC317756F246}"/>
    <cellStyle name="Percentagem 3 3 5 2" xfId="36941" xr:uid="{95FEE269-37C7-4173-8087-B677526E63E2}"/>
    <cellStyle name="Percentagem 3 3 6" xfId="36942" xr:uid="{28E97794-E236-4B3F-B4EE-F41D39CCA483}"/>
    <cellStyle name="Percentagem 3 3 7" xfId="36943" xr:uid="{6293DDF3-4394-4D96-8FF8-47B88D292F48}"/>
    <cellStyle name="Percentagem 3 4" xfId="3691" xr:uid="{7BCECB5F-1172-424F-919A-165CB9E9B8A1}"/>
    <cellStyle name="Percentagem 3 4 2" xfId="5476" xr:uid="{06F0F2A6-ABFD-468B-AABF-C8176603BF7F}"/>
    <cellStyle name="Percentagem 3 4 2 2" xfId="23106" xr:uid="{2769EB56-5593-48C5-AD74-64A33FADD46E}"/>
    <cellStyle name="Percentagem 3 4 2 3" xfId="43765" xr:uid="{8CDE6C57-4467-496F-98A8-1A97F4B3C137}"/>
    <cellStyle name="Percentagem 3 4 2 4" xfId="19489" xr:uid="{A70078D9-738B-41F9-8FD1-46297B4B4BA1}"/>
    <cellStyle name="Percentagem 3 4 3" xfId="4394" xr:uid="{2B3A79E8-C182-4EBF-B20A-A33373F40F77}"/>
    <cellStyle name="Percentagem 3 4 3 2" xfId="44196" xr:uid="{749D1670-19AE-4C1D-A9DC-4D97824A28CF}"/>
    <cellStyle name="Percentagem 3 4 3 3" xfId="36944" xr:uid="{E32F9E30-22F6-485E-B637-90487E2DE9C9}"/>
    <cellStyle name="Percentagem 3 4 4" xfId="6458" xr:uid="{EE9A483B-BC4E-400E-8539-245DAFED5735}"/>
    <cellStyle name="Percentagem 3 4 4 2" xfId="46105" xr:uid="{1EB7DC11-C1AE-48F7-B0F1-07EC260DFDDE}"/>
    <cellStyle name="Percentagem 3 4 4 3" xfId="36945" xr:uid="{4DA8C37D-22B2-4FE1-8EFB-3BB1BD3DECC3}"/>
    <cellStyle name="Percentagem 3 4 5" xfId="9377" xr:uid="{22070BA0-890A-4FF1-9974-86861A4FD14F}"/>
    <cellStyle name="Percentagem 3 4 5 2" xfId="36946" xr:uid="{ADDD5C08-6CE8-4905-8E7C-1919C2FE7CEB}"/>
    <cellStyle name="Percentagem 3 4 6" xfId="36947" xr:uid="{1D1FFA42-ED27-4B41-AB11-4FD14FE4A0B0}"/>
    <cellStyle name="Percentagem 3 4 7" xfId="36948" xr:uid="{2149DB73-FCED-4E1D-971B-8566EE93A187}"/>
    <cellStyle name="Percentagem 3 5" xfId="5473" xr:uid="{B1F2EE95-F0E8-4D72-972D-1F6FD2A7186F}"/>
    <cellStyle name="Percentagem 3 5 2" xfId="23103" xr:uid="{80BBEDE6-3F66-4F50-9CFB-DA52D971DFEB}"/>
    <cellStyle name="Percentagem 3 5 3" xfId="43762" xr:uid="{84A64EF9-C023-434D-9075-F6B59E398ECF}"/>
    <cellStyle name="Percentagem 3 5 4" xfId="19486" xr:uid="{C1CF9815-3B47-4462-B609-590390D6A1EE}"/>
    <cellStyle name="Percentagem 3 6" xfId="4391" xr:uid="{2F21EB89-0D42-45DC-A498-888007484F0B}"/>
    <cellStyle name="Percentagem 3 6 2" xfId="44193" xr:uid="{EDFD1E43-2B00-4471-A984-99BCA1253423}"/>
    <cellStyle name="Percentagem 3 6 3" xfId="36949" xr:uid="{C40E8763-82E2-4848-87B6-84537364D679}"/>
    <cellStyle name="Percentagem 3 7" xfId="6455" xr:uid="{BAF099E7-A8B8-48D6-BFEF-A315C65D21B9}"/>
    <cellStyle name="Percentagem 3 7 2" xfId="46102" xr:uid="{31FE3E8E-ACB3-4DDD-9801-B3747F6AEF01}"/>
    <cellStyle name="Percentagem 3 7 3" xfId="36950" xr:uid="{0B91E2EB-D9D5-4768-BF9D-43F109F466B4}"/>
    <cellStyle name="Percentagem 3 8" xfId="9374" xr:uid="{047DE236-112E-4033-8F30-6707E99FDA93}"/>
    <cellStyle name="Percentagem 3 8 2" xfId="36951" xr:uid="{AAF5BC9E-A81F-4E2A-94A1-A1D406311AAC}"/>
    <cellStyle name="Percentagem 3 9" xfId="36952" xr:uid="{6E4AEDD5-2E11-4B5D-854A-7176E6D17992}"/>
    <cellStyle name="Percentagem 4" xfId="3692" xr:uid="{3C46EB50-858D-46C3-BABC-56903EBC0F30}"/>
    <cellStyle name="Percentagem 4 10" xfId="16141" xr:uid="{91663CEC-CBFC-4A6A-B395-C643A7960C66}"/>
    <cellStyle name="Percentagem 4 10 2" xfId="19491" xr:uid="{74EEEF95-347C-4064-8713-1907398606C3}"/>
    <cellStyle name="Percentagem 4 10 2 2" xfId="23108" xr:uid="{96B5B8D9-2B37-44CE-89D7-DAF358EB32F6}"/>
    <cellStyle name="Percentagem 4 10 3" xfId="36953" xr:uid="{FBCE37BC-DFEB-4D2E-8743-ECC7CE240535}"/>
    <cellStyle name="Percentagem 4 10 4" xfId="36954" xr:uid="{7A4D54E0-821B-4CD6-A7E6-AA2E13A62145}"/>
    <cellStyle name="Percentagem 4 10 5" xfId="36955" xr:uid="{1C676EED-01AF-488A-AD94-90A2C35A4E47}"/>
    <cellStyle name="Percentagem 4 10 6" xfId="36956" xr:uid="{AE308045-CC81-4A04-BF47-EF117C947DE3}"/>
    <cellStyle name="Percentagem 4 11" xfId="16142" xr:uid="{77908716-EB64-491B-90D8-7F206869B229}"/>
    <cellStyle name="Percentagem 4 11 2" xfId="19492" xr:uid="{F2F5E5F5-2C9B-4178-9AA2-2F4D19AF1CDE}"/>
    <cellStyle name="Percentagem 4 11 2 2" xfId="23109" xr:uid="{406A8F6F-9062-4F25-978E-25E7B9A77056}"/>
    <cellStyle name="Percentagem 4 11 3" xfId="36957" xr:uid="{0F2DE13A-789E-43EA-980A-86D534578898}"/>
    <cellStyle name="Percentagem 4 11 4" xfId="36958" xr:uid="{DA322C16-75DD-4FAC-A533-CAD1F8CB7934}"/>
    <cellStyle name="Percentagem 4 11 5" xfId="36959" xr:uid="{D4C41B5C-3AB9-492B-B8BA-F8214290C2EB}"/>
    <cellStyle name="Percentagem 4 11 6" xfId="36960" xr:uid="{D5A000E2-985E-4920-8A18-F224452FCB8B}"/>
    <cellStyle name="Percentagem 4 12" xfId="16143" xr:uid="{0670C7AB-9CDF-4992-8D43-D9BC6132E083}"/>
    <cellStyle name="Percentagem 4 12 2" xfId="19493" xr:uid="{77CF6BEB-85EF-4C27-AE88-29AD8105CA0C}"/>
    <cellStyle name="Percentagem 4 12 2 2" xfId="23110" xr:uid="{00A410EC-F81C-4D1D-858D-C742A072217F}"/>
    <cellStyle name="Percentagem 4 12 3" xfId="36961" xr:uid="{211B512D-89F7-4383-99B2-C2DD2BDFD493}"/>
    <cellStyle name="Percentagem 4 12 4" xfId="36962" xr:uid="{480BD013-D5AA-40D5-ADF6-463FFACEF8F6}"/>
    <cellStyle name="Percentagem 4 12 5" xfId="36963" xr:uid="{792634C7-3B3A-4AE4-9EFF-41B60DD2AEFD}"/>
    <cellStyle name="Percentagem 4 12 6" xfId="36964" xr:uid="{D2602C93-031B-4E08-A322-9BE216C8EA72}"/>
    <cellStyle name="Percentagem 4 13" xfId="16144" xr:uid="{C46FCD3C-92CA-457A-80AA-F3BF827AFE0C}"/>
    <cellStyle name="Percentagem 4 13 2" xfId="19494" xr:uid="{9379AFE7-0FCE-42AB-AC68-A1397C96253F}"/>
    <cellStyle name="Percentagem 4 13 2 2" xfId="23111" xr:uid="{2DC2A061-8FB0-47A1-B239-917FA97D77C3}"/>
    <cellStyle name="Percentagem 4 13 3" xfId="36965" xr:uid="{528201D5-7168-45B6-86C6-71C23608A7E6}"/>
    <cellStyle name="Percentagem 4 13 4" xfId="36966" xr:uid="{108D3A58-DACD-426E-AA46-E07CBC7F28A8}"/>
    <cellStyle name="Percentagem 4 13 5" xfId="36967" xr:uid="{3E17D94D-1B43-4AC5-BD2F-D1A272CEDFC7}"/>
    <cellStyle name="Percentagem 4 13 6" xfId="36968" xr:uid="{01D446D5-69A1-4024-ADBD-E93C1C7B0DFB}"/>
    <cellStyle name="Percentagem 4 14" xfId="16145" xr:uid="{F8430720-E82C-4692-981B-B029C4170D0F}"/>
    <cellStyle name="Percentagem 4 14 2" xfId="19495" xr:uid="{E3A45AD1-203F-4003-A11E-10BDBCC6CCC9}"/>
    <cellStyle name="Percentagem 4 14 2 2" xfId="23112" xr:uid="{0A2EF57F-7ACD-4C35-8BF9-06F8137B4B21}"/>
    <cellStyle name="Percentagem 4 14 3" xfId="36969" xr:uid="{8388CCBD-BD75-46A5-A163-0E863DA676D2}"/>
    <cellStyle name="Percentagem 4 14 4" xfId="36970" xr:uid="{FBB80D6D-05A1-4997-82FC-449BB935B74F}"/>
    <cellStyle name="Percentagem 4 14 5" xfId="36971" xr:uid="{A3CBCE41-44FD-4490-9CC4-E2F9B84158EC}"/>
    <cellStyle name="Percentagem 4 14 6" xfId="36972" xr:uid="{32BB0A18-1D8E-49D6-8788-57EAF43A5A07}"/>
    <cellStyle name="Percentagem 4 15" xfId="16146" xr:uid="{E9953EA0-4A0E-4654-945A-3C139BBE78F3}"/>
    <cellStyle name="Percentagem 4 15 2" xfId="19496" xr:uid="{7F1B736F-4BB7-4C6F-84C9-7613D5389896}"/>
    <cellStyle name="Percentagem 4 15 2 2" xfId="23113" xr:uid="{F0A8E27B-0274-4AFB-9800-62A5F56C369A}"/>
    <cellStyle name="Percentagem 4 15 3" xfId="36973" xr:uid="{DAB2A70D-BEB7-4540-BA29-EE2299379D75}"/>
    <cellStyle name="Percentagem 4 15 4" xfId="36974" xr:uid="{5766B43F-E266-4111-8C5E-15419264C81F}"/>
    <cellStyle name="Percentagem 4 15 5" xfId="36975" xr:uid="{AB4BB213-882B-4811-92B4-144534965CED}"/>
    <cellStyle name="Percentagem 4 15 6" xfId="36976" xr:uid="{29594477-97A1-47A0-8DEB-70D484EBA4F4}"/>
    <cellStyle name="Percentagem 4 16" xfId="16147" xr:uid="{4880A1CE-704E-47CD-A606-E3EC7A23E1FA}"/>
    <cellStyle name="Percentagem 4 16 2" xfId="19497" xr:uid="{438E6D84-3EB4-4D70-B119-FEDD40422F7F}"/>
    <cellStyle name="Percentagem 4 16 2 2" xfId="23114" xr:uid="{4EBF083B-FF79-4144-BCCD-B8D2ADAAEADE}"/>
    <cellStyle name="Percentagem 4 16 3" xfId="36977" xr:uid="{E2769565-64FC-405A-B2C9-BD8E8E45B799}"/>
    <cellStyle name="Percentagem 4 16 4" xfId="36978" xr:uid="{419E203A-5B6F-45D6-B8B2-0204A1B05ED2}"/>
    <cellStyle name="Percentagem 4 16 5" xfId="36979" xr:uid="{53560143-A57C-418B-9DF2-FE340375E779}"/>
    <cellStyle name="Percentagem 4 16 6" xfId="36980" xr:uid="{08142E96-BB5A-4CC3-81A5-900CC8BF67E4}"/>
    <cellStyle name="Percentagem 4 17" xfId="16148" xr:uid="{2380752E-1351-44F6-A641-084480395857}"/>
    <cellStyle name="Percentagem 4 17 2" xfId="19498" xr:uid="{FBD8A694-0521-4862-9121-511B4A1AD1BC}"/>
    <cellStyle name="Percentagem 4 17 2 2" xfId="23115" xr:uid="{E89BEB78-F77C-4103-B6C7-2982C6D19FDE}"/>
    <cellStyle name="Percentagem 4 17 3" xfId="36981" xr:uid="{6029BCE2-44E9-42E5-A881-FACE2E1D3E58}"/>
    <cellStyle name="Percentagem 4 17 4" xfId="36982" xr:uid="{A33830B2-A11B-4F72-8CEA-E598EFAE8F5A}"/>
    <cellStyle name="Percentagem 4 17 5" xfId="36983" xr:uid="{0D84FE70-DA43-4D7D-9055-941BEDCFC2CE}"/>
    <cellStyle name="Percentagem 4 17 6" xfId="36984" xr:uid="{00A4EB9C-747E-4D6F-BF3F-E4506E7DE088}"/>
    <cellStyle name="Percentagem 4 18" xfId="19490" xr:uid="{8F154997-48F3-4D28-9645-E84D817DEBD1}"/>
    <cellStyle name="Percentagem 4 18 2" xfId="23107" xr:uid="{536FD7F0-F874-44C0-8BC0-3708D052CBDD}"/>
    <cellStyle name="Percentagem 4 19" xfId="36985" xr:uid="{39E34576-1E32-40C5-BE4C-73180D89B4A1}"/>
    <cellStyle name="Percentagem 4 2" xfId="3693" xr:uid="{76C981B5-15F7-44A4-BA96-FE454724A0EA}"/>
    <cellStyle name="Percentagem 4 2 2" xfId="19499" xr:uid="{34AF6D23-BEC5-4D39-A99F-9B0A0A48D199}"/>
    <cellStyle name="Percentagem 4 2 2 2" xfId="23116" xr:uid="{C0494B5C-BF88-48A7-B2AA-099BA2E9F5C4}"/>
    <cellStyle name="Percentagem 4 2 3" xfId="36986" xr:uid="{B587B512-24B7-420D-9D79-418451B134C4}"/>
    <cellStyle name="Percentagem 4 2 4" xfId="36987" xr:uid="{7E01A68B-FE20-4DBE-BD01-2BBB2F6721A8}"/>
    <cellStyle name="Percentagem 4 2 5" xfId="36988" xr:uid="{338DC172-132E-4F50-AD97-13870E4E0C1A}"/>
    <cellStyle name="Percentagem 4 2 6" xfId="36989" xr:uid="{E18AF74B-C8AB-4CC5-930D-B4FAA26A4030}"/>
    <cellStyle name="Percentagem 4 2 7" xfId="36990" xr:uid="{7A14064A-4DE8-484F-93DF-14C92FAA0E27}"/>
    <cellStyle name="Percentagem 4 20" xfId="36991" xr:uid="{8A8791DD-3277-4F53-A7BA-41265B4C2AFA}"/>
    <cellStyle name="Percentagem 4 21" xfId="36992" xr:uid="{33A73547-CD28-4568-AFDF-0ECC5F1E2742}"/>
    <cellStyle name="Percentagem 4 22" xfId="36993" xr:uid="{E6E04471-FB7D-4156-830F-0DF8A9205C22}"/>
    <cellStyle name="Percentagem 4 23" xfId="36994" xr:uid="{70F72AD5-AA2C-4216-B696-CC4D6144DAFF}"/>
    <cellStyle name="Percentagem 4 24" xfId="36995" xr:uid="{72DA104D-740D-4688-BC22-BAE389A89BAC}"/>
    <cellStyle name="Percentagem 4 3" xfId="3694" xr:uid="{216D8B20-89C3-4D76-8455-665EBEC3C878}"/>
    <cellStyle name="Percentagem 4 3 2" xfId="19500" xr:uid="{FB4A8FEC-930D-4A29-88E7-7ABCE3995B28}"/>
    <cellStyle name="Percentagem 4 3 2 2" xfId="23117" xr:uid="{15905035-7910-4F4B-A89A-0374B49A28B0}"/>
    <cellStyle name="Percentagem 4 3 3" xfId="36996" xr:uid="{FC0AE609-03C3-4642-9EA8-06DEE635D90C}"/>
    <cellStyle name="Percentagem 4 3 4" xfId="36997" xr:uid="{0DED3ACC-B1CE-48D7-B5D6-B30C8D69BFB7}"/>
    <cellStyle name="Percentagem 4 3 5" xfId="36998" xr:uid="{813FD816-659F-4521-BB83-729B409ACAC7}"/>
    <cellStyle name="Percentagem 4 3 6" xfId="36999" xr:uid="{4B784897-A675-4F24-8BCC-A15CE65CED57}"/>
    <cellStyle name="Percentagem 4 3 7" xfId="37000" xr:uid="{5EE4895B-2ADD-44B6-8293-31E0B2E9F62D}"/>
    <cellStyle name="Percentagem 4 4" xfId="3695" xr:uid="{EDC168AA-CD9A-4B22-82A9-F0EF3EF226FC}"/>
    <cellStyle name="Percentagem 4 4 2" xfId="19501" xr:uid="{27DA5AAB-D548-4AB7-BC28-023BBF16E1FE}"/>
    <cellStyle name="Percentagem 4 4 2 2" xfId="23118" xr:uid="{D34881FA-44E0-400F-AD5C-40998533A055}"/>
    <cellStyle name="Percentagem 4 4 3" xfId="37001" xr:uid="{755D0CCB-FE8B-412B-8A74-D17E366907E6}"/>
    <cellStyle name="Percentagem 4 4 4" xfId="37002" xr:uid="{2466161C-E754-48D4-B93E-CEC92CBBF8F0}"/>
    <cellStyle name="Percentagem 4 4 5" xfId="37003" xr:uid="{E4D1E5DE-B252-458E-92E4-D99C68308E07}"/>
    <cellStyle name="Percentagem 4 4 6" xfId="37004" xr:uid="{0AE31920-2765-4049-B496-1A4F7CEC19CE}"/>
    <cellStyle name="Percentagem 4 4 7" xfId="37005" xr:uid="{29D2F8C4-C341-433F-9041-720FB6E3562F}"/>
    <cellStyle name="Percentagem 4 5" xfId="3696" xr:uid="{C5A549BA-97A3-4DF2-B324-C1FE30452456}"/>
    <cellStyle name="Percentagem 4 5 2" xfId="19502" xr:uid="{5B75514D-2F33-45A1-980D-04B34F670C9E}"/>
    <cellStyle name="Percentagem 4 5 2 2" xfId="23119" xr:uid="{164FC095-6865-4873-8CB4-142F7238027F}"/>
    <cellStyle name="Percentagem 4 5 3" xfId="37006" xr:uid="{91ABA410-4038-4C39-B70D-6126395C451E}"/>
    <cellStyle name="Percentagem 4 5 4" xfId="37007" xr:uid="{2D26D515-F6AB-46DB-B768-36E2B5FA77D7}"/>
    <cellStyle name="Percentagem 4 5 5" xfId="37008" xr:uid="{BFA850F0-D590-4AF4-A0CC-F6A0A0617252}"/>
    <cellStyle name="Percentagem 4 5 6" xfId="37009" xr:uid="{9C34E438-0000-47FF-B3A0-23C07F8B1102}"/>
    <cellStyle name="Percentagem 4 5 7" xfId="37010" xr:uid="{F22229C4-C7F0-4522-9646-B928C240B97A}"/>
    <cellStyle name="Percentagem 4 6" xfId="3697" xr:uid="{94D1E9B1-E3F1-4AA7-8378-FD0FA2A2DCB2}"/>
    <cellStyle name="Percentagem 4 6 2" xfId="19503" xr:uid="{8CD0AA35-E4C3-47C7-8B1C-1A0CDDCC32D4}"/>
    <cellStyle name="Percentagem 4 6 2 2" xfId="23120" xr:uid="{AB791ECF-34AE-4D97-B928-F623647EF26A}"/>
    <cellStyle name="Percentagem 4 6 3" xfId="37011" xr:uid="{44B8E4D9-9502-4FE5-A411-BF1D8BF6C6F2}"/>
    <cellStyle name="Percentagem 4 6 4" xfId="37012" xr:uid="{6DA7AD33-876F-4A7F-80D7-351805768E59}"/>
    <cellStyle name="Percentagem 4 6 5" xfId="37013" xr:uid="{C6B802C9-3B65-4C89-9E2E-D3DB9D2CA405}"/>
    <cellStyle name="Percentagem 4 6 6" xfId="37014" xr:uid="{BDCBECAA-5386-4F1E-9635-ACE9D36212FF}"/>
    <cellStyle name="Percentagem 4 6 7" xfId="37015" xr:uid="{4CE44410-0100-4C8F-A6F2-4A1D927A5F33}"/>
    <cellStyle name="Percentagem 4 7" xfId="3698" xr:uid="{AA8AD861-B87C-4E9D-8869-6F232610089D}"/>
    <cellStyle name="Percentagem 4 7 2" xfId="19504" xr:uid="{35F16E3D-065E-4FE1-B4F1-7AFBF10383FB}"/>
    <cellStyle name="Percentagem 4 7 2 2" xfId="23121" xr:uid="{33DDDB42-DCDD-485D-B146-D0D5E89AA0F6}"/>
    <cellStyle name="Percentagem 4 7 3" xfId="37016" xr:uid="{BBA2BCA6-B9D4-441A-A23A-F3407F6893DC}"/>
    <cellStyle name="Percentagem 4 7 4" xfId="37017" xr:uid="{A76B8FB9-2FCA-4362-9F95-1E8575862706}"/>
    <cellStyle name="Percentagem 4 7 5" xfId="37018" xr:uid="{4A95B6D2-678A-4CAD-BD84-DC1CD6A968AD}"/>
    <cellStyle name="Percentagem 4 7 6" xfId="37019" xr:uid="{6D519451-917F-47A4-8112-F5565079BDE3}"/>
    <cellStyle name="Percentagem 4 7 7" xfId="37020" xr:uid="{0756504F-CF00-46D9-BC4F-3D2F006CD328}"/>
    <cellStyle name="Percentagem 4 8" xfId="3699" xr:uid="{EAB4F56F-728B-4C04-BBD9-6423A04AF61E}"/>
    <cellStyle name="Percentagem 4 8 2" xfId="19505" xr:uid="{745673F1-4519-462E-BECA-1E3E233D0DA7}"/>
    <cellStyle name="Percentagem 4 8 2 2" xfId="23122" xr:uid="{D2EB004E-35D9-4EE1-89DB-894197E466E1}"/>
    <cellStyle name="Percentagem 4 8 3" xfId="37021" xr:uid="{D45C3E77-A30C-4B01-A717-ACC9A5E95649}"/>
    <cellStyle name="Percentagem 4 8 4" xfId="37022" xr:uid="{0028CF95-2098-4774-9190-97BB1FA41948}"/>
    <cellStyle name="Percentagem 4 8 5" xfId="37023" xr:uid="{B56C045B-8EE8-4E9E-8112-380771A24F9B}"/>
    <cellStyle name="Percentagem 4 8 6" xfId="37024" xr:uid="{841E7967-3E75-4E7F-8E59-0AE733130AE9}"/>
    <cellStyle name="Percentagem 4 9" xfId="10508" xr:uid="{0EC8662E-117A-4914-A25D-D591E121B15C}"/>
    <cellStyle name="Percentagem 4 9 2" xfId="19506" xr:uid="{60CC25EE-3764-42C9-906E-754F323ADE0A}"/>
    <cellStyle name="Percentagem 4 9 2 2" xfId="23123" xr:uid="{9272B9DE-B2D8-40E1-93CE-4157A2340F41}"/>
    <cellStyle name="Percentagem 4 9 3" xfId="37025" xr:uid="{FABE0FD9-5B7B-42EA-BD25-0054EE59BA7A}"/>
    <cellStyle name="Percentagem 4 9 4" xfId="37026" xr:uid="{A495A2A7-0961-46B9-B25F-23B9F501841D}"/>
    <cellStyle name="Percentagem 4 9 5" xfId="37027" xr:uid="{68D49E4A-0206-4161-98DD-9EA5A5A0BB3B}"/>
    <cellStyle name="Percentagem 4 9 6" xfId="37028" xr:uid="{46FFCDEB-63FD-41E1-A3ED-12BE04CD701D}"/>
    <cellStyle name="Pilkku_Layo9704" xfId="3700" xr:uid="{94DB3545-5064-4263-96F6-F8A5DF9A9FC2}"/>
    <cellStyle name="Pyör. luku_Layo9704" xfId="3701" xr:uid="{065C6FBE-9C7C-45A2-A30D-EA90407792DF}"/>
    <cellStyle name="Pyör. valuutta_Layo9704" xfId="3702" xr:uid="{6F2A021A-1C5E-46F6-B8DB-833F618E8DAB}"/>
    <cellStyle name="QDTITULO" xfId="3703" xr:uid="{3127F14C-EFDB-47DD-9B26-ACA08007AC6A}"/>
    <cellStyle name="QDTITULO 2" xfId="19507" xr:uid="{D1489720-446C-43EB-AD9C-D1A5FB71D2F8}"/>
    <cellStyle name="QDTITULO 2 2" xfId="23124" xr:uid="{B15886E4-8FB0-4E31-89EB-046A3A205DFC}"/>
    <cellStyle name="QDTITULO 3" xfId="37029" xr:uid="{93D77871-18A7-4EDB-8E93-0A1C9E1EF3EC}"/>
    <cellStyle name="QDTITULO 4" xfId="37030" xr:uid="{3E7B6327-BE49-40C6-B266-7988439140E0}"/>
    <cellStyle name="QDTITULO 5" xfId="37031" xr:uid="{D199AAA1-09CD-4D28-9713-1783E3D003CD}"/>
    <cellStyle name="QDTITULO 6" xfId="37032" xr:uid="{1868EE02-4BBE-46A6-A2AD-A61A0E79D1F9}"/>
    <cellStyle name="QDTITULO 7" xfId="37033" xr:uid="{1F23BBF0-0BAC-4B1E-BEE4-6CD5A3F0FF08}"/>
    <cellStyle name="QDTITULO 8" xfId="37034" xr:uid="{E8EBF868-03E3-4081-A099-4B9887AFE3F2}"/>
    <cellStyle name="Saída" xfId="3704" xr:uid="{B23314FE-B8B5-45C4-AFBC-3A818CCB3FA4}"/>
    <cellStyle name="Saída 2" xfId="19508" xr:uid="{3A74429C-B043-4B6A-91EC-F0FD2E56A9E1}"/>
    <cellStyle name="Saída 2 2" xfId="23125" xr:uid="{E71A6896-BC4D-4F72-9FEC-4E594276150C}"/>
    <cellStyle name="Saída 3" xfId="37035" xr:uid="{D82DC4F1-AF70-43AC-943A-1FEA8DA6DB86}"/>
    <cellStyle name="Saída 4" xfId="37036" xr:uid="{199614FB-5521-4C6C-B75E-A6D086919515}"/>
    <cellStyle name="Saída 5" xfId="37037" xr:uid="{B4730C0F-46A3-47E3-9D09-711462FC51D5}"/>
    <cellStyle name="Saída 6" xfId="37038" xr:uid="{2A7C3199-B215-43A9-BC6E-A86723B332C7}"/>
    <cellStyle name="Saída 7" xfId="37039" xr:uid="{C16E6F45-70B2-4B94-82C2-5AB0E1DEE80A}"/>
    <cellStyle name="Saída 8" xfId="37040" xr:uid="{4FB52CD1-402C-43CC-A13F-F5CB165D9AFA}"/>
    <cellStyle name="Shade_R_border" xfId="3705" xr:uid="{9F51BD77-6C26-4580-A185-F0157CE8C22B}"/>
    <cellStyle name="Standard 2" xfId="54522" xr:uid="{93237EE5-83AC-4C24-8FD4-E6CC05C00BCE}"/>
    <cellStyle name="Style 1" xfId="3706" xr:uid="{4FE4DC19-1058-429B-8DB4-4081644DAD99}"/>
    <cellStyle name="Style 1 2" xfId="3707" xr:uid="{BFFA4DC8-CF0C-45EB-ACE0-D9FCA393CF07}"/>
    <cellStyle name="Style 1 2 2" xfId="19510" xr:uid="{2F418852-1498-4D67-BE96-20A9426CDA31}"/>
    <cellStyle name="Style 1 2 2 2" xfId="23127" xr:uid="{1626BB8E-2F25-4340-A0B2-AA311029D17C}"/>
    <cellStyle name="Style 1 2 3" xfId="37041" xr:uid="{647F7B2A-4CBB-4FDE-9E8E-C7DEA5FFDD02}"/>
    <cellStyle name="Style 1 2 4" xfId="37042" xr:uid="{FF6F9D54-640F-40EB-A644-1081C34F7B19}"/>
    <cellStyle name="Style 1 2 5" xfId="37043" xr:uid="{8E6E39EC-E6A9-4FC8-BEC0-F57A313899D8}"/>
    <cellStyle name="Style 1 2 6" xfId="37044" xr:uid="{2F06F10A-5F39-4329-89CA-86CD897DEA4D}"/>
    <cellStyle name="Style 1 2 7" xfId="37045" xr:uid="{7F37C7DE-72DA-4E7C-B5FD-3C17A223284B}"/>
    <cellStyle name="Style 1 3" xfId="19509" xr:uid="{A6A935B6-620B-497D-895C-3C1EF6180893}"/>
    <cellStyle name="Style 1 3 2" xfId="23126" xr:uid="{323AD642-E83E-4E35-82A0-3FA7A80AE40C}"/>
    <cellStyle name="Style 1 4" xfId="37046" xr:uid="{2E8B57EB-785B-4EE6-BF0A-504D97E87AC1}"/>
    <cellStyle name="Style 1 5" xfId="37047" xr:uid="{989D8DFA-A57B-4A26-BA33-98E1C9BE7A78}"/>
    <cellStyle name="Style 1 6" xfId="37048" xr:uid="{F0445453-F18A-4564-BCBB-0693FF32CC19}"/>
    <cellStyle name="Style 1 7" xfId="37049" xr:uid="{8F81A475-6054-4C0A-A74E-D4153CFF4AC1}"/>
    <cellStyle name="Style 1 8" xfId="37050" xr:uid="{638DB7A7-CD29-410C-B1E4-FE1311C61C5A}"/>
    <cellStyle name="Style 1 9" xfId="37051" xr:uid="{1BF88662-5149-443F-B7D6-131D208FD58A}"/>
    <cellStyle name="Texto de Aviso" xfId="3708" xr:uid="{B6E90160-1D30-4A4C-B582-0041CF1DF10B}"/>
    <cellStyle name="Texto de Aviso 2" xfId="19511" xr:uid="{3E28A4D9-F044-4343-8DD6-0961C8259E90}"/>
    <cellStyle name="Texto de Aviso 2 2" xfId="23128" xr:uid="{999BE7D7-996B-47F1-AC35-48906ADDF61A}"/>
    <cellStyle name="Texto de Aviso 3" xfId="37052" xr:uid="{8C16D2EE-3A5D-49F3-9F5C-E93F552245DF}"/>
    <cellStyle name="Texto de Aviso 4" xfId="37053" xr:uid="{72D5339D-D8F5-41C1-A662-6FC5FD755F89}"/>
    <cellStyle name="Texto de Aviso 5" xfId="37054" xr:uid="{CD392B3B-9B13-4188-8923-C7EE91B64A12}"/>
    <cellStyle name="Texto de Aviso 6" xfId="37055" xr:uid="{41B58311-333B-4EC0-9141-6722B781664B}"/>
    <cellStyle name="Texto de Aviso 7" xfId="37056" xr:uid="{26E19C4D-B03F-4C49-BA46-C2D3D21797C5}"/>
    <cellStyle name="Texto de Aviso 8" xfId="37057" xr:uid="{F339AAC3-20EB-4641-A4C0-415174A4A872}"/>
    <cellStyle name="Texto Explicativo" xfId="3709" xr:uid="{78F51FBC-A23A-435D-9F59-8C5978974B13}"/>
    <cellStyle name="Texto Explicativo 2" xfId="3710" xr:uid="{98FBE545-43F3-492D-9155-D81A724368E7}"/>
    <cellStyle name="Texto Explicativo 2 2" xfId="19792" xr:uid="{C8D3C46D-6AD7-4B64-84C3-5B4A03814AFF}"/>
    <cellStyle name="Texto Explicativo 2 2 2" xfId="37059" xr:uid="{99040397-8F0D-46AF-A5DF-A0ACDA3A4A46}"/>
    <cellStyle name="Texto Explicativo 2 2 3" xfId="37060" xr:uid="{FFA06517-BD8B-43DB-B409-1F146067FC24}"/>
    <cellStyle name="Texto Explicativo 2 2 4" xfId="37061" xr:uid="{FF8A3ABC-DDEA-4D6C-A643-5CE2BCFE97C6}"/>
    <cellStyle name="Texto Explicativo 2 2 5" xfId="37062" xr:uid="{0918CA99-7A8D-4AA1-910F-3B613ED39CAE}"/>
    <cellStyle name="Texto Explicativo 2 2 6" xfId="37058" xr:uid="{77049F7D-182A-4E01-ABFC-DCF6387D5802}"/>
    <cellStyle name="Texto Explicativo 2 3" xfId="23129" xr:uid="{3D110F5B-79AA-40AC-8E12-013E3597592C}"/>
    <cellStyle name="Texto Explicativo 2 4" xfId="19512" xr:uid="{F5C8EE61-06FB-49E8-A81C-AAEF291BC2D5}"/>
    <cellStyle name="Texto Explicativo 3" xfId="37063" xr:uid="{90EFE0FF-54AA-4949-9BBC-6BD50C7437F3}"/>
    <cellStyle name="Texto Explicativo 4" xfId="37064" xr:uid="{1B1048FF-4CAB-4DFE-BBB8-BC7E8EEE1D57}"/>
    <cellStyle name="Texto Explicativo 5" xfId="37065" xr:uid="{D4340C81-6823-4999-81BE-0A85608BE80F}"/>
    <cellStyle name="Texto Explicativo 6" xfId="37066" xr:uid="{86DE5EBB-E264-47B9-87A5-11BE56651F55}"/>
    <cellStyle name="Texto Explicativo 7" xfId="37067" xr:uid="{032559D2-B449-4400-9852-7CCCD128DB19}"/>
    <cellStyle name="Texto Explicativo 8" xfId="37068" xr:uid="{A601D98A-4697-43DE-97A9-6E6124BE7B81}"/>
    <cellStyle name="TITCOLUNA" xfId="3711" xr:uid="{1DE971B6-879C-406B-8E1C-EA4FEA10B35A}"/>
    <cellStyle name="TITCOLUNA 2" xfId="19513" xr:uid="{7A9D717C-378E-4AA1-B44C-50BBB44F2347}"/>
    <cellStyle name="TITCOLUNA 2 2" xfId="23130" xr:uid="{24A69514-E6E1-410B-9B59-56FA93B6427A}"/>
    <cellStyle name="TITCOLUNA 3" xfId="37069" xr:uid="{C52733A8-7D72-4EFE-BB28-2D5FE43E89A2}"/>
    <cellStyle name="TITCOLUNA 4" xfId="37070" xr:uid="{440BCD9D-2601-4527-809C-A3269141971B}"/>
    <cellStyle name="TITCOLUNA 5" xfId="37071" xr:uid="{6554EE0E-86B4-4449-86A9-6E66300F55BA}"/>
    <cellStyle name="TITCOLUNA 6" xfId="37072" xr:uid="{EE169C70-BF46-4A77-BD59-9EDF7AA2687D}"/>
    <cellStyle name="TITCOLUNA 7" xfId="37073" xr:uid="{52B4D652-1D0B-4074-B797-37B9EA721314}"/>
    <cellStyle name="TITCOLUNA 8" xfId="37074" xr:uid="{EB56FD7B-7FAB-4392-8646-CE87F032093F}"/>
    <cellStyle name="Title 10" xfId="3712" xr:uid="{2D93CDC4-77B9-4DC2-BC61-26B6CC90A637}"/>
    <cellStyle name="Title 10 2" xfId="3713" xr:uid="{E6C7B268-FE00-4446-AFC4-0A8C9D066A8C}"/>
    <cellStyle name="Title 10 2 2" xfId="19515" xr:uid="{BF8F4288-7633-41DB-8FF5-99FA3EEA7D70}"/>
    <cellStyle name="Title 10 2 2 2" xfId="23132" xr:uid="{2FC47CA9-57F3-461C-B9FE-9B4846E2CE32}"/>
    <cellStyle name="Title 10 2 3" xfId="37075" xr:uid="{C57D0B45-DC04-4C12-9A10-0BB189A64E7D}"/>
    <cellStyle name="Title 10 2 4" xfId="37076" xr:uid="{0E2008E8-AE30-4ACC-AEDC-03E974527538}"/>
    <cellStyle name="Title 10 2 5" xfId="37077" xr:uid="{05334401-FB2C-407B-B9C1-830039AB8598}"/>
    <cellStyle name="Title 10 2 6" xfId="37078" xr:uid="{292B5408-AB39-4C2E-82C1-D452247A1F01}"/>
    <cellStyle name="Title 10 3" xfId="19514" xr:uid="{9EE11162-EBF6-48A1-8251-DEAC7A47C68F}"/>
    <cellStyle name="Title 10 3 2" xfId="23131" xr:uid="{52627798-B88B-462E-B1DC-2567FF94EEFF}"/>
    <cellStyle name="Title 10 4" xfId="37079" xr:uid="{7AE0CC71-3CB8-4E12-AB05-AEFF2C9C73BD}"/>
    <cellStyle name="Title 10 5" xfId="37080" xr:uid="{A1CE3D1E-8094-46BD-A44B-ED159D268224}"/>
    <cellStyle name="Title 10 6" xfId="37081" xr:uid="{96115DC9-350F-429E-BA0A-0BB0C6F30C2F}"/>
    <cellStyle name="Title 10 7" xfId="37082" xr:uid="{D288747B-ACAC-45AE-B134-E10DC2184ACE}"/>
    <cellStyle name="Title 10 8" xfId="37083" xr:uid="{D0FECC8A-84CE-49D9-A3C1-D348790B8D3A}"/>
    <cellStyle name="Title 11" xfId="3714" xr:uid="{A5AF1E68-77F9-4F46-BD6C-893BBB3CAFCD}"/>
    <cellStyle name="Title 11 2" xfId="11070" xr:uid="{FE3D6AB7-C021-4BC7-94E2-23772E3A708E}"/>
    <cellStyle name="Title 11 2 2" xfId="19517" xr:uid="{55F86636-5448-415D-A476-68F920284DC8}"/>
    <cellStyle name="Title 11 2 2 2" xfId="23134" xr:uid="{9682ADB2-23C5-4553-8653-C8045E623475}"/>
    <cellStyle name="Title 11 2 3" xfId="37084" xr:uid="{AB562F21-CAF9-4A71-8F27-81993DDC3B04}"/>
    <cellStyle name="Title 11 2 4" xfId="37085" xr:uid="{5EEB3AE6-1560-49EC-8D56-0A1A2F6E90D7}"/>
    <cellStyle name="Title 11 2 5" xfId="37086" xr:uid="{F8C6475A-0009-4C5F-AB5B-1A5FBB7FF827}"/>
    <cellStyle name="Title 11 2 6" xfId="37087" xr:uid="{28D811A7-2D02-472F-8BD8-7C6BE8C4DC39}"/>
    <cellStyle name="Title 11 3" xfId="19516" xr:uid="{23405ADD-EBFA-4287-8187-A609D37C6896}"/>
    <cellStyle name="Title 11 3 2" xfId="23133" xr:uid="{EC3A8966-55A4-4E95-A193-28E5697736E8}"/>
    <cellStyle name="Title 11 4" xfId="37088" xr:uid="{EEDDFF33-BD6D-49E2-9CBB-B6D35D3B94B9}"/>
    <cellStyle name="Title 11 5" xfId="37089" xr:uid="{D8C26525-0FE6-44DC-B264-B8D6DA395E88}"/>
    <cellStyle name="Title 11 6" xfId="37090" xr:uid="{72F7488E-0AFB-4DB2-893D-3AF11FE48013}"/>
    <cellStyle name="Title 11 7" xfId="37091" xr:uid="{E8FBEEB4-010A-4C74-9F2E-6F7F1CD39A7A}"/>
    <cellStyle name="Title 11 8" xfId="37092" xr:uid="{C0872728-2198-4F56-905F-A59203BA4A42}"/>
    <cellStyle name="Title 12" xfId="3715" xr:uid="{90DF6CA9-0B13-4AC7-914B-301B003AE5EC}"/>
    <cellStyle name="Title 12 2" xfId="10626" xr:uid="{719E34BA-5C24-427D-915A-9C5A8264EA2D}"/>
    <cellStyle name="Title 12 2 2" xfId="19519" xr:uid="{64119809-00E1-4AC6-A036-0681E9FA2EBD}"/>
    <cellStyle name="Title 12 2 2 2" xfId="23136" xr:uid="{F1C761C6-B100-44ED-AA7A-5668C0E53029}"/>
    <cellStyle name="Title 12 2 3" xfId="37093" xr:uid="{B38873EF-90D2-4A8F-987B-41786D4C94B6}"/>
    <cellStyle name="Title 12 2 4" xfId="37094" xr:uid="{BC1C614A-A524-401E-A7FF-BBE357D31E5E}"/>
    <cellStyle name="Title 12 2 5" xfId="37095" xr:uid="{6D23A96B-41FF-4694-9517-085AA9F4E99C}"/>
    <cellStyle name="Title 12 2 6" xfId="37096" xr:uid="{1D6915F3-CF9F-40F1-BDC6-6AB3DC5A3A79}"/>
    <cellStyle name="Title 12 3" xfId="19518" xr:uid="{3A89C699-4A98-4C68-ADED-CA3BCE1A0216}"/>
    <cellStyle name="Title 12 3 2" xfId="23135" xr:uid="{5D8A725F-C4C2-470F-9DC2-4110387CEA34}"/>
    <cellStyle name="Title 12 4" xfId="37097" xr:uid="{9DEC4AC3-ACED-4169-A8B4-DF552578312B}"/>
    <cellStyle name="Title 12 5" xfId="37098" xr:uid="{F977EEB9-5E95-4D4D-8E41-EA7DF75497B5}"/>
    <cellStyle name="Title 12 6" xfId="37099" xr:uid="{BBCFB90D-5A8C-41F1-9E4C-5735A02EC6A4}"/>
    <cellStyle name="Title 12 7" xfId="37100" xr:uid="{4B9A9CAC-BD72-4DD5-9FE5-62173913C5A5}"/>
    <cellStyle name="Title 12 8" xfId="37101" xr:uid="{000C5B57-C80D-4F2B-AB57-345BFF85C2A8}"/>
    <cellStyle name="Title 13" xfId="3716" xr:uid="{2615DE21-B3E6-4194-92AC-D51E48C8E7FC}"/>
    <cellStyle name="Title 13 2" xfId="8050" xr:uid="{40C7298A-5585-4EA9-957F-0DDA86193AAC}"/>
    <cellStyle name="Title 13 2 2" xfId="19521" xr:uid="{C3165DC4-188C-440E-9523-E22625671071}"/>
    <cellStyle name="Title 13 2 2 2" xfId="23138" xr:uid="{91B5C7BC-E92D-4607-8DEB-77A79F0AA3A2}"/>
    <cellStyle name="Title 13 2 3" xfId="37102" xr:uid="{A5313AB3-AC92-45DC-89AE-8D1024DB4F43}"/>
    <cellStyle name="Title 13 2 4" xfId="37103" xr:uid="{8D9BA25E-F57C-44F5-A62F-3B8A4C247C07}"/>
    <cellStyle name="Title 13 2 5" xfId="37104" xr:uid="{DE572400-C933-497B-9BBE-FAA85A98BA12}"/>
    <cellStyle name="Title 13 2 6" xfId="37105" xr:uid="{680545C6-A23F-44FD-B1CD-88A3E50B8AF7}"/>
    <cellStyle name="Title 13 3" xfId="19520" xr:uid="{8B6F5653-ED95-41EB-A06C-8F8E35D85D8A}"/>
    <cellStyle name="Title 13 3 2" xfId="23137" xr:uid="{1AFBAC62-EB7C-4D76-94A7-7896A1ED064C}"/>
    <cellStyle name="Title 13 4" xfId="37106" xr:uid="{03648037-CD2A-4860-95DA-D692AC765DF3}"/>
    <cellStyle name="Title 13 5" xfId="37107" xr:uid="{C19B7795-F5C4-4290-9A5E-4D233064737F}"/>
    <cellStyle name="Title 13 6" xfId="37108" xr:uid="{C2F579F9-AD18-4043-BB2B-E8C50B15FBB9}"/>
    <cellStyle name="Title 13 7" xfId="37109" xr:uid="{1DDC3B87-3A77-4698-9158-C92BD1360A8D}"/>
    <cellStyle name="Title 13 8" xfId="37110" xr:uid="{C4E7B825-50BE-48DD-94DB-7593BE16B916}"/>
    <cellStyle name="Title 14" xfId="3717" xr:uid="{F5E36140-7D4E-425D-8B1E-AF6ABD24B89F}"/>
    <cellStyle name="Title 14 2" xfId="8049" xr:uid="{39C79062-9373-4689-88F8-12FA836F7526}"/>
    <cellStyle name="Title 14 2 2" xfId="19523" xr:uid="{265FFDC3-EF22-4CFE-B9EC-509681AC6E16}"/>
    <cellStyle name="Title 14 2 2 2" xfId="23140" xr:uid="{1DF06877-BA79-4940-9EBC-B2E7D375F393}"/>
    <cellStyle name="Title 14 2 3" xfId="37111" xr:uid="{745037FB-E97F-44B5-A022-A106C35292F0}"/>
    <cellStyle name="Title 14 2 4" xfId="37112" xr:uid="{62FAD492-6BF3-4558-BE79-8C6199620E2C}"/>
    <cellStyle name="Title 14 2 5" xfId="37113" xr:uid="{EF6F571F-2BBE-4C4F-A993-B5970B66D879}"/>
    <cellStyle name="Title 14 2 6" xfId="37114" xr:uid="{C8DE1B1F-9A01-4A57-BD1F-F02896CB421F}"/>
    <cellStyle name="Title 14 3" xfId="19522" xr:uid="{EBAF640F-813C-4B13-B3DA-F5A4E1D9B995}"/>
    <cellStyle name="Title 14 3 2" xfId="23139" xr:uid="{43D01675-C83E-4968-B814-191505242E3B}"/>
    <cellStyle name="Title 14 4" xfId="37115" xr:uid="{F101375B-C66A-451F-9300-1AA8454B1EE0}"/>
    <cellStyle name="Title 14 5" xfId="37116" xr:uid="{DCF1B73F-63C5-44DB-9969-DEBD38331F7B}"/>
    <cellStyle name="Title 14 6" xfId="37117" xr:uid="{6B36B310-CCE5-45DD-B3F3-51AF80A33C41}"/>
    <cellStyle name="Title 14 7" xfId="37118" xr:uid="{C4ACA2A2-F283-4DBC-BF91-112807FC118E}"/>
    <cellStyle name="Title 14 8" xfId="37119" xr:uid="{A91FE23C-ED56-4767-A81A-9F3A5F1E09D7}"/>
    <cellStyle name="Title 15" xfId="3718" xr:uid="{904F8361-488A-4D41-B576-F52E38F40E84}"/>
    <cellStyle name="Title 15 2" xfId="16575" xr:uid="{E483D5CE-C17B-4600-8D7F-546BE7F57F07}"/>
    <cellStyle name="Title 15 2 2" xfId="19525" xr:uid="{CCC31C9B-AD0D-422F-8B6A-05D337549EE1}"/>
    <cellStyle name="Title 15 2 2 2" xfId="23142" xr:uid="{44D2DC6F-48EA-437E-B3F5-D1A82142F86F}"/>
    <cellStyle name="Title 15 2 3" xfId="37120" xr:uid="{900B8D95-BB6D-47F7-BB4D-A0BE53489C40}"/>
    <cellStyle name="Title 15 2 4" xfId="37121" xr:uid="{344316FB-FBB7-4966-A2EE-10735C35A07F}"/>
    <cellStyle name="Title 15 2 5" xfId="37122" xr:uid="{FB529D1F-BBFE-483C-B364-7CF922123E4F}"/>
    <cellStyle name="Title 15 2 6" xfId="37123" xr:uid="{3E06BFD5-8565-426A-B691-00FCC6F1BD17}"/>
    <cellStyle name="Title 15 3" xfId="19524" xr:uid="{2B95EA2A-9AC1-451A-9B16-9477454595E5}"/>
    <cellStyle name="Title 15 3 2" xfId="23141" xr:uid="{9BC29808-5C92-423C-947C-C2494D9B3942}"/>
    <cellStyle name="Title 15 4" xfId="37124" xr:uid="{BC510211-8B26-4ED3-A1B2-4A31B0249445}"/>
    <cellStyle name="Title 15 5" xfId="37125" xr:uid="{31990FB7-958D-4B0D-9343-C8C0BC532CC1}"/>
    <cellStyle name="Title 15 6" xfId="37126" xr:uid="{372F5244-7063-444C-A873-882517418968}"/>
    <cellStyle name="Title 15 7" xfId="37127" xr:uid="{742188A8-6C4D-4C80-827D-6ECBA4AB15A4}"/>
    <cellStyle name="Title 16" xfId="3719" xr:uid="{96DC9A69-3292-4560-98AE-3EBB7FDC6827}"/>
    <cellStyle name="Title 16 2" xfId="16576" xr:uid="{D7880355-A0E7-4A44-8FD3-8976EA0092FE}"/>
    <cellStyle name="Title 16 2 2" xfId="19527" xr:uid="{A1060E48-8539-4BBE-B53D-57E245F65D05}"/>
    <cellStyle name="Title 16 2 2 2" xfId="23144" xr:uid="{708813BB-2139-4F4F-8F8C-A01576360EB0}"/>
    <cellStyle name="Title 16 2 3" xfId="37128" xr:uid="{EBD790A2-A08C-4905-8859-E88B39D98336}"/>
    <cellStyle name="Title 16 2 4" xfId="37129" xr:uid="{AB37B7F8-62C9-4E3D-9339-304E72C43C13}"/>
    <cellStyle name="Title 16 2 5" xfId="37130" xr:uid="{04E0BAA8-C4E5-48E6-B865-97EFE7581514}"/>
    <cellStyle name="Title 16 2 6" xfId="37131" xr:uid="{57BABA8D-1188-4776-AF7E-5D7F0FA74782}"/>
    <cellStyle name="Title 16 3" xfId="19526" xr:uid="{014F6E02-2EFA-4A71-B3E4-51D89F58B05F}"/>
    <cellStyle name="Title 16 3 2" xfId="23143" xr:uid="{71990065-0B2C-4C15-9087-7253C33B163C}"/>
    <cellStyle name="Title 16 4" xfId="37132" xr:uid="{8CEA6F1B-C54E-41B4-BF0E-D7156D08B211}"/>
    <cellStyle name="Title 16 5" xfId="37133" xr:uid="{CD2E2647-1BEB-469B-9AB8-D363BA54425A}"/>
    <cellStyle name="Title 16 6" xfId="37134" xr:uid="{551920D1-7081-4941-9F9F-A194630CB99A}"/>
    <cellStyle name="Title 16 7" xfId="37135" xr:uid="{5D498ED7-FDE5-41AA-892F-25876039EF5F}"/>
    <cellStyle name="Title 17" xfId="3720" xr:uid="{4410D483-BB49-425F-89FA-D187DCD58127}"/>
    <cellStyle name="Title 17 2" xfId="16577" xr:uid="{03752733-494E-4A75-B8E0-F568936ADBD8}"/>
    <cellStyle name="Title 17 2 2" xfId="19529" xr:uid="{7ED0E5E8-F4E0-40F2-8ECD-8AE5E32B0632}"/>
    <cellStyle name="Title 17 2 2 2" xfId="23146" xr:uid="{C70B23CD-5818-4FB4-94BF-C35954166023}"/>
    <cellStyle name="Title 17 2 3" xfId="37136" xr:uid="{633BCD9C-D230-41BC-9B96-1E66E6F9464C}"/>
    <cellStyle name="Title 17 2 4" xfId="37137" xr:uid="{8A8279F5-A756-4555-9BD1-4200D0A3E809}"/>
    <cellStyle name="Title 17 2 5" xfId="37138" xr:uid="{0B9E85D8-486D-47CC-8B48-D576994B99DA}"/>
    <cellStyle name="Title 17 2 6" xfId="37139" xr:uid="{B8267B47-3AA6-432B-9592-BF7826B233BC}"/>
    <cellStyle name="Title 17 3" xfId="19528" xr:uid="{46990655-88AD-4A39-9E26-B244899B10FC}"/>
    <cellStyle name="Title 17 3 2" xfId="23145" xr:uid="{B54B1F21-DEB0-4126-AE43-3FE12C589E43}"/>
    <cellStyle name="Title 17 4" xfId="37140" xr:uid="{FC073B70-C79C-4E7A-9494-B59C0E68D637}"/>
    <cellStyle name="Title 17 5" xfId="37141" xr:uid="{D044CF21-AAB3-469B-B35D-D574B606344B}"/>
    <cellStyle name="Title 17 6" xfId="37142" xr:uid="{F9048A1E-F802-429B-B857-B28DC7F8BCC0}"/>
    <cellStyle name="Title 17 7" xfId="37143" xr:uid="{C88C25D3-8DC7-4238-B288-75220ADD6CBA}"/>
    <cellStyle name="Title 18" xfId="3721" xr:uid="{7CF36478-2A7B-4D58-8981-7D36B243BB6F}"/>
    <cellStyle name="Title 18 2" xfId="16578" xr:uid="{79A909F1-8650-4969-ACC2-25DE28AEC3B7}"/>
    <cellStyle name="Title 18 2 2" xfId="19531" xr:uid="{E70760E9-1C58-4BAE-BBC4-B9A67171B29E}"/>
    <cellStyle name="Title 18 2 2 2" xfId="23148" xr:uid="{EA2A4E51-1814-4C18-854D-0CA6F2A96D32}"/>
    <cellStyle name="Title 18 2 3" xfId="37144" xr:uid="{C3869155-E42A-4A3F-BCEC-FD7FE7911E71}"/>
    <cellStyle name="Title 18 2 4" xfId="37145" xr:uid="{B01B42EA-D087-4EE8-9C61-32E2325CCBA3}"/>
    <cellStyle name="Title 18 2 5" xfId="37146" xr:uid="{F1DCC6D8-A653-4084-862B-CF2B2B36C5DA}"/>
    <cellStyle name="Title 18 2 6" xfId="37147" xr:uid="{DF0EB8C1-D1CC-4032-9CE0-3839E38536D8}"/>
    <cellStyle name="Title 18 3" xfId="19530" xr:uid="{1C16D004-8DF7-46E2-93A7-F4E6CFE3694F}"/>
    <cellStyle name="Title 18 3 2" xfId="23147" xr:uid="{55598BF0-84CA-4699-BDAA-6B93DD41B76B}"/>
    <cellStyle name="Title 18 4" xfId="37148" xr:uid="{7C9EB688-4ABD-40B6-850F-589320C81D19}"/>
    <cellStyle name="Title 18 5" xfId="37149" xr:uid="{C181E8DF-A0E2-40BE-9DE1-A55CE3153D72}"/>
    <cellStyle name="Title 18 6" xfId="37150" xr:uid="{13D3C4F4-B33B-456F-9D7B-B2743E1D862C}"/>
    <cellStyle name="Title 18 7" xfId="37151" xr:uid="{BF7061E6-96BD-4BA6-97E4-93B1060DE1DB}"/>
    <cellStyle name="Title 19" xfId="3722" xr:uid="{ECD4F31F-8508-4C75-B6B7-0A7B8D11C9C6}"/>
    <cellStyle name="Title 19 2" xfId="16579" xr:uid="{56F2BA29-DAE9-4EB9-8B0F-768642DBE291}"/>
    <cellStyle name="Title 19 2 2" xfId="19533" xr:uid="{B8B7F74B-90DD-44B6-AB89-45EDAD91233D}"/>
    <cellStyle name="Title 19 2 2 2" xfId="23150" xr:uid="{2527A233-6212-4927-8B0A-82107CBD390B}"/>
    <cellStyle name="Title 19 2 3" xfId="37152" xr:uid="{C3E5C629-762C-485A-9671-1310180D517C}"/>
    <cellStyle name="Title 19 2 4" xfId="37153" xr:uid="{8C1E25A1-211A-46C0-B71D-263F4522E4B5}"/>
    <cellStyle name="Title 19 2 5" xfId="37154" xr:uid="{89CC6454-0DCE-4A50-8BA4-68E2E4456431}"/>
    <cellStyle name="Title 19 2 6" xfId="37155" xr:uid="{C1A3751F-5D2E-492C-9972-2779D6B8536B}"/>
    <cellStyle name="Title 19 3" xfId="19532" xr:uid="{47BBE8A2-B212-4AE8-A957-9ADF4814D260}"/>
    <cellStyle name="Title 19 3 2" xfId="23149" xr:uid="{2BBFECF0-C7F0-4E41-9DC1-1E2B8D6ED2A2}"/>
    <cellStyle name="Title 19 4" xfId="37156" xr:uid="{4820CE05-1343-46B2-8228-A46DC5BD44D6}"/>
    <cellStyle name="Title 19 5" xfId="37157" xr:uid="{686D9016-1FDE-4316-BF10-47C8F80D7576}"/>
    <cellStyle name="Title 19 6" xfId="37158" xr:uid="{78D13699-6A5E-4B54-AA80-94550D5DED12}"/>
    <cellStyle name="Title 19 7" xfId="37159" xr:uid="{D0CEEE93-7382-410D-89A3-A3732CC78846}"/>
    <cellStyle name="Title 2" xfId="3723" xr:uid="{B155643E-BC01-4DBA-9835-73F0122994CF}"/>
    <cellStyle name="Title 2 10" xfId="8048" xr:uid="{EC758DF5-2F36-4861-BAB6-07E618BF6FB7}"/>
    <cellStyle name="Title 2 10 2" xfId="23151" xr:uid="{BDD1A974-541A-4F9E-A2D8-5FE63FA6B8D9}"/>
    <cellStyle name="Title 2 10 3" xfId="19534" xr:uid="{F46F8A92-F47C-432E-A75D-772CF0266C1E}"/>
    <cellStyle name="Title 2 11" xfId="37160" xr:uid="{080C1EC4-9014-41F0-91A1-B789AB41CE22}"/>
    <cellStyle name="Title 2 12" xfId="37161" xr:uid="{BA4C51B9-BA23-4547-A511-6DE653584941}"/>
    <cellStyle name="Title 2 13" xfId="37162" xr:uid="{98FA6BF7-442F-40D3-8425-4D102B5FDB29}"/>
    <cellStyle name="Title 2 14" xfId="37163" xr:uid="{00C29FB4-3488-4B05-93E9-BAC874E66560}"/>
    <cellStyle name="Title 2 15" xfId="37164" xr:uid="{812BB7AD-8A42-4DE9-ACDE-5A74C7C2FEC2}"/>
    <cellStyle name="Title 2 16" xfId="37165" xr:uid="{2482A051-FFD9-4D3C-B0D0-FE141F01D0F6}"/>
    <cellStyle name="Title 2 2" xfId="3724" xr:uid="{8AEAD709-12F7-4879-B873-EA2FCBEAB38D}"/>
    <cellStyle name="Title 2 2 2" xfId="19535" xr:uid="{EA8A8F0B-90C3-4797-9FF0-C8B1F1A90FDF}"/>
    <cellStyle name="Title 2 2 2 2" xfId="23152" xr:uid="{F28BEB37-2461-4580-9988-F9B50B10A474}"/>
    <cellStyle name="Title 2 2 3" xfId="37166" xr:uid="{C5B01871-6FBE-4748-B6C9-3BCFAF50A88B}"/>
    <cellStyle name="Title 2 2 4" xfId="37167" xr:uid="{D8255F0F-6E2A-46EC-A18E-A73A8CDFFA2A}"/>
    <cellStyle name="Title 2 2 5" xfId="37168" xr:uid="{2699AE1A-82B9-4EB8-8FC2-8DE213C93302}"/>
    <cellStyle name="Title 2 2 6" xfId="37169" xr:uid="{2A51EE7C-C51F-4074-B586-91786C0D7199}"/>
    <cellStyle name="Title 2 2 7" xfId="37170" xr:uid="{C6BDF111-8BAE-4DFE-988C-B867A51BDDAE}"/>
    <cellStyle name="Title 2 3" xfId="3725" xr:uid="{BE4CA83C-73B0-4A2B-B44D-7601BE4D20C2}"/>
    <cellStyle name="Title 2 3 2" xfId="19536" xr:uid="{628E3003-CAB9-4C1A-9924-C4451F8BC715}"/>
    <cellStyle name="Title 2 3 2 2" xfId="23153" xr:uid="{B8BEFFC3-B306-4B0E-9CF5-AB64BA3CA2DE}"/>
    <cellStyle name="Title 2 3 3" xfId="37171" xr:uid="{36426ED4-2461-475F-883E-4B8B8E257AAB}"/>
    <cellStyle name="Title 2 3 4" xfId="37172" xr:uid="{5030B290-27EA-48DA-9BEE-76EA661A2FC5}"/>
    <cellStyle name="Title 2 3 5" xfId="37173" xr:uid="{EBA32BFC-D57E-443C-B2EB-784BD8971BA8}"/>
    <cellStyle name="Title 2 3 6" xfId="37174" xr:uid="{1E05D055-5ED0-4CDB-97F9-00DF9D8D238E}"/>
    <cellStyle name="Title 2 3 7" xfId="37175" xr:uid="{BF8BE7E3-9BD4-4680-95FB-03955F9B62B2}"/>
    <cellStyle name="Title 2 4" xfId="3726" xr:uid="{B5D71D35-C5F2-40C3-9877-439CFA663BAE}"/>
    <cellStyle name="Title 2 4 2" xfId="19537" xr:uid="{3C8AA819-D5FB-4E67-B79B-FE555058D832}"/>
    <cellStyle name="Title 2 4 2 2" xfId="23154" xr:uid="{8B249273-DEE1-4793-9EF3-7E7FC75F6064}"/>
    <cellStyle name="Title 2 4 3" xfId="37176" xr:uid="{68FB04AF-6210-4274-BFB6-8E1D9D22C395}"/>
    <cellStyle name="Title 2 4 4" xfId="37177" xr:uid="{8F172F31-373B-4DAB-AE35-9765F271235B}"/>
    <cellStyle name="Title 2 4 5" xfId="37178" xr:uid="{82BF136A-53AB-4794-99AA-B03FBC1B9EF5}"/>
    <cellStyle name="Title 2 4 6" xfId="37179" xr:uid="{ED03034F-180A-4397-86F8-CE391DA6424B}"/>
    <cellStyle name="Title 2 4 7" xfId="37180" xr:uid="{4A6BB77E-C70A-4F12-9AA2-8DD00B614B2F}"/>
    <cellStyle name="Title 2 5" xfId="3727" xr:uid="{5CA34F1D-3EA1-41B1-B934-68C3170A6EDE}"/>
    <cellStyle name="Title 2 5 2" xfId="19538" xr:uid="{549003A9-8841-4CCD-8189-1114C897D6A5}"/>
    <cellStyle name="Title 2 5 2 2" xfId="23155" xr:uid="{C8244204-FDDF-4CB0-8610-377AC8252433}"/>
    <cellStyle name="Title 2 5 3" xfId="37181" xr:uid="{DCECE7AA-EF70-44DB-959F-BBB069628B3D}"/>
    <cellStyle name="Title 2 5 4" xfId="37182" xr:uid="{9948A5A2-87CD-46B8-A75C-C0B2A51BDE79}"/>
    <cellStyle name="Title 2 5 5" xfId="37183" xr:uid="{84584CCA-BBAF-4D91-9B59-34E6B7AD8475}"/>
    <cellStyle name="Title 2 5 6" xfId="37184" xr:uid="{092FBE52-50B1-43F5-BC3B-FC422DD1995E}"/>
    <cellStyle name="Title 2 5 7" xfId="37185" xr:uid="{B9893766-10A7-4731-8AF9-0851B7EFF4D9}"/>
    <cellStyle name="Title 2 6" xfId="3728" xr:uid="{20E02534-C092-4D9F-AB39-508798D962F1}"/>
    <cellStyle name="Title 2 6 2" xfId="19539" xr:uid="{DA85B442-87C7-427A-9696-F6BF2C418847}"/>
    <cellStyle name="Title 2 6 2 2" xfId="23156" xr:uid="{05780A12-3D6E-4C88-ACD2-67C85A4CBCB0}"/>
    <cellStyle name="Title 2 6 3" xfId="37186" xr:uid="{B0842A4B-5498-4786-BE87-E6D23160BC8C}"/>
    <cellStyle name="Title 2 6 4" xfId="37187" xr:uid="{B95A6C86-F032-4448-9FE4-A0ABE9626A9B}"/>
    <cellStyle name="Title 2 6 5" xfId="37188" xr:uid="{1F9F916D-8DD6-4356-9219-498E91BA103E}"/>
    <cellStyle name="Title 2 6 6" xfId="37189" xr:uid="{B9AA48E1-262C-4360-AC01-99CAEF4E7086}"/>
    <cellStyle name="Title 2 6 7" xfId="37190" xr:uid="{AEFFB5E7-9CEF-43A0-8B2F-014DD3BEAA97}"/>
    <cellStyle name="Title 2 7" xfId="3729" xr:uid="{3B6473DD-3AC1-4138-A5F0-905CE7EB32D5}"/>
    <cellStyle name="Title 2 7 2" xfId="19540" xr:uid="{52A1E33F-C191-4147-8C93-F00B568FA1EC}"/>
    <cellStyle name="Title 2 7 2 2" xfId="23157" xr:uid="{5B4D3D39-1422-4795-B817-87B984FFFA97}"/>
    <cellStyle name="Title 2 7 3" xfId="37191" xr:uid="{D8A80AC3-DF2B-43FF-8C34-8B691F4FCDEE}"/>
    <cellStyle name="Title 2 7 4" xfId="37192" xr:uid="{80D6C2E2-2ECC-4F97-B823-E8F6F5ACDCE5}"/>
    <cellStyle name="Title 2 7 5" xfId="37193" xr:uid="{72DE564C-11E9-42ED-BD9D-30AC7A1E845F}"/>
    <cellStyle name="Title 2 7 6" xfId="37194" xr:uid="{14E06B59-B15A-4FF4-B790-F1975F666F85}"/>
    <cellStyle name="Title 2 7 7" xfId="37195" xr:uid="{B962E365-13F1-47EA-8D0A-1F7344F71CF2}"/>
    <cellStyle name="Title 2 8" xfId="3730" xr:uid="{267F42F1-25A8-40E9-BD65-69D4DBB97341}"/>
    <cellStyle name="Title 2 8 2" xfId="19541" xr:uid="{2A0A019F-C1AC-419E-B446-D92757572AD6}"/>
    <cellStyle name="Title 2 8 2 2" xfId="23158" xr:uid="{8403B9BC-CB4B-4108-9B50-F02373437329}"/>
    <cellStyle name="Title 2 8 3" xfId="37196" xr:uid="{E49CBA4B-A4EE-4442-AD9E-79D109992FDA}"/>
    <cellStyle name="Title 2 8 4" xfId="37197" xr:uid="{DF38A372-919D-40A8-9655-B2E7215D6280}"/>
    <cellStyle name="Title 2 8 5" xfId="37198" xr:uid="{828A5010-ED3C-40E0-A273-ABAB1A31D296}"/>
    <cellStyle name="Title 2 8 6" xfId="37199" xr:uid="{3ED10B0D-0985-4A42-9D1E-8C64A11C3138}"/>
    <cellStyle name="Title 2 8 7" xfId="37200" xr:uid="{DBA20374-8D33-4470-A246-8C4DFB642946}"/>
    <cellStyle name="Title 2 9" xfId="3731" xr:uid="{51E8CBFA-2FB6-4697-B7DF-29F6A25EAAD5}"/>
    <cellStyle name="Title 2 9 2" xfId="19542" xr:uid="{C36DF56A-E5B0-421E-ADE4-F6330FE30A08}"/>
    <cellStyle name="Title 2 9 2 2" xfId="23159" xr:uid="{31AF4906-D331-4620-8132-BB2D4DF75DD4}"/>
    <cellStyle name="Title 2 9 3" xfId="37201" xr:uid="{6A2A4097-3335-4311-9C96-B7E4D0534792}"/>
    <cellStyle name="Title 2 9 4" xfId="37202" xr:uid="{01FEB6B6-36EC-4DB4-99DF-9AD189E9E2DD}"/>
    <cellStyle name="Title 2 9 5" xfId="37203" xr:uid="{65E464B6-73C1-4C24-B92E-A6701D546FDB}"/>
    <cellStyle name="Title 2 9 6" xfId="37204" xr:uid="{6E52621E-9A99-4268-8042-C2D9ECF17D52}"/>
    <cellStyle name="Title 2 9 7" xfId="37205" xr:uid="{5E622670-9B5F-41AC-B9EB-97BD9FA71910}"/>
    <cellStyle name="Title 20" xfId="3732" xr:uid="{DC42D0A6-1A7C-458D-BF29-25801B59EA9D}"/>
    <cellStyle name="Title 20 2" xfId="16580" xr:uid="{782058E1-78C8-403E-95BF-E7C8D04C5904}"/>
    <cellStyle name="Title 20 2 2" xfId="19544" xr:uid="{4F27C459-589A-4E54-A2DD-5F0D2A300667}"/>
    <cellStyle name="Title 20 2 2 2" xfId="23161" xr:uid="{78A7A6A3-38E0-47F8-BB0E-6A5AC1D2983C}"/>
    <cellStyle name="Title 20 2 3" xfId="37206" xr:uid="{51928055-9A63-465E-AECF-5D984BA78D7E}"/>
    <cellStyle name="Title 20 2 4" xfId="37207" xr:uid="{29D01025-CCE9-468A-B400-7296FEAA5504}"/>
    <cellStyle name="Title 20 2 5" xfId="37208" xr:uid="{64778716-03D5-486F-9915-60E0B76948B8}"/>
    <cellStyle name="Title 20 2 6" xfId="37209" xr:uid="{AF1942A1-0A5E-453B-A222-FDE4C17A7C33}"/>
    <cellStyle name="Title 20 3" xfId="19543" xr:uid="{65D26C2F-B6EF-41C7-B191-396A55FF6867}"/>
    <cellStyle name="Title 20 3 2" xfId="23160" xr:uid="{C4D0EDF9-E7FB-4A90-9942-895142029F6C}"/>
    <cellStyle name="Title 20 4" xfId="37210" xr:uid="{A0BCD9CC-B7CF-4A6D-8FD5-E4BA76BD573E}"/>
    <cellStyle name="Title 20 5" xfId="37211" xr:uid="{4DD4415D-F10B-4C4E-B751-B000A7C4F029}"/>
    <cellStyle name="Title 20 6" xfId="37212" xr:uid="{AC9BAEBD-195C-4BFF-AF51-AF9E1D43E7F9}"/>
    <cellStyle name="Title 20 7" xfId="37213" xr:uid="{F9974DC5-763F-4D9E-A5FB-9A4EB13F9085}"/>
    <cellStyle name="Title 21" xfId="16581" xr:uid="{0B8045BD-A568-4429-A845-1D7C535589A0}"/>
    <cellStyle name="Title 21 2" xfId="19545" xr:uid="{E02CB698-A6C1-4A88-B1AE-10535095A72B}"/>
    <cellStyle name="Title 21 2 2" xfId="23162" xr:uid="{5D77CB7B-2273-4948-95B1-701F483F925F}"/>
    <cellStyle name="Title 21 3" xfId="37214" xr:uid="{99212293-DA1D-4B8A-8FEE-E68B22FB06F4}"/>
    <cellStyle name="Title 21 4" xfId="37215" xr:uid="{4EF200DF-1956-4BFA-8E79-6FA775F90693}"/>
    <cellStyle name="Title 21 5" xfId="37216" xr:uid="{6ECFCFCD-C536-4FB3-8858-074533572CDA}"/>
    <cellStyle name="Title 21 6" xfId="37217" xr:uid="{CA1D7666-1041-457E-B342-7882D9EB6B50}"/>
    <cellStyle name="Title 22" xfId="15267" xr:uid="{F33A43CB-45F8-43F2-9EEB-473A54B3F615}"/>
    <cellStyle name="Title 22 2" xfId="37219" xr:uid="{B824EF63-7FA3-4411-9DA4-48B7D097B531}"/>
    <cellStyle name="Title 22 3" xfId="37218" xr:uid="{EE6A052E-736C-4307-A5A4-83EAC7D0DF90}"/>
    <cellStyle name="Title 23" xfId="37220" xr:uid="{94BD90B3-7F58-441A-873A-3B5F5FF06CB6}"/>
    <cellStyle name="Title 24" xfId="37221" xr:uid="{2C3CCEA4-3529-4AD2-96D9-546DC53F55D1}"/>
    <cellStyle name="Title 25" xfId="37222" xr:uid="{79188DA1-BA17-44F5-BD19-65B3586349DC}"/>
    <cellStyle name="Title 3" xfId="3733" xr:uid="{E79B5F6C-7451-46D8-820A-FC7A63960E1E}"/>
    <cellStyle name="Title 3 10" xfId="3734" xr:uid="{DA3723AD-224E-42DD-AA3C-89DB57906236}"/>
    <cellStyle name="Title 3 10 2" xfId="19547" xr:uid="{C060A73F-BA03-4464-82E8-BA5C76AED73E}"/>
    <cellStyle name="Title 3 10 2 2" xfId="23164" xr:uid="{3D5A6180-DB4B-48E4-A80F-EF2444629641}"/>
    <cellStyle name="Title 3 10 3" xfId="37223" xr:uid="{9CBA4DFF-AFEC-475E-B962-FFBAEEBE401A}"/>
    <cellStyle name="Title 3 10 4" xfId="37224" xr:uid="{2959274C-BCE2-4209-BB14-C2CCB268C0BF}"/>
    <cellStyle name="Title 3 10 5" xfId="37225" xr:uid="{DFBB47A4-FA0B-4AD7-8427-618CF0B7D597}"/>
    <cellStyle name="Title 3 10 6" xfId="37226" xr:uid="{297229CE-5C47-463E-A402-D3F084FB8E92}"/>
    <cellStyle name="Title 3 11" xfId="3735" xr:uid="{E150F55B-E1A6-4D75-881A-5DC5729DFFA2}"/>
    <cellStyle name="Title 3 11 2" xfId="19548" xr:uid="{1374B651-0719-431E-9FB9-07F3E0CFE69D}"/>
    <cellStyle name="Title 3 11 2 2" xfId="23165" xr:uid="{90F658D0-8BBD-434B-A07C-28C7C92214A4}"/>
    <cellStyle name="Title 3 11 3" xfId="37227" xr:uid="{0C023ACE-ACA0-40F8-94B7-9A5258660D05}"/>
    <cellStyle name="Title 3 11 4" xfId="37228" xr:uid="{489C96CF-0151-464D-AFE3-1F070FD50099}"/>
    <cellStyle name="Title 3 11 5" xfId="37229" xr:uid="{995733E5-D803-46E5-8CA0-A7E7541B0213}"/>
    <cellStyle name="Title 3 11 6" xfId="37230" xr:uid="{D23D8BB0-D3BD-4E7B-B0B3-65BAAA68BC34}"/>
    <cellStyle name="Title 3 12" xfId="3736" xr:uid="{0558718E-E266-4B69-82B7-32B353E8269D}"/>
    <cellStyle name="Title 3 12 2" xfId="19549" xr:uid="{693A60F6-5C3B-4E55-B306-BEEC47A7FC3C}"/>
    <cellStyle name="Title 3 12 2 2" xfId="23166" xr:uid="{327194C9-CB7B-4CFF-B507-66B676D99880}"/>
    <cellStyle name="Title 3 12 3" xfId="37231" xr:uid="{5DF8E3D0-7334-474E-B0C7-C100E685A442}"/>
    <cellStyle name="Title 3 12 4" xfId="37232" xr:uid="{AAA1C8DE-80B0-401C-AC52-F11C4D5DB306}"/>
    <cellStyle name="Title 3 12 5" xfId="37233" xr:uid="{ADF7CB37-AF11-4E11-80D6-4E7C1BF503D6}"/>
    <cellStyle name="Title 3 12 6" xfId="37234" xr:uid="{01FC2D4D-8289-468D-8653-4C8D965F0FEE}"/>
    <cellStyle name="Title 3 13" xfId="3737" xr:uid="{24261CA7-68C9-4CD8-80E0-87819FA76833}"/>
    <cellStyle name="Title 3 13 2" xfId="19550" xr:uid="{808046CD-D323-4093-BF06-51FA4EF00DA6}"/>
    <cellStyle name="Title 3 13 2 2" xfId="23167" xr:uid="{19FFCC09-D524-4513-AE43-E486A761EA8F}"/>
    <cellStyle name="Title 3 13 3" xfId="37235" xr:uid="{AF9F9DDF-E16F-4D25-85B6-A82C2549B595}"/>
    <cellStyle name="Title 3 13 4" xfId="37236" xr:uid="{EEC3193B-14CE-468C-B585-616D4470EC5D}"/>
    <cellStyle name="Title 3 13 5" xfId="37237" xr:uid="{A6FE5DD8-1286-4312-9293-94E626F9C96B}"/>
    <cellStyle name="Title 3 13 6" xfId="37238" xr:uid="{8F73A0D0-4A58-4AC2-A220-C9C39C6892B1}"/>
    <cellStyle name="Title 3 14" xfId="3738" xr:uid="{CB56C676-C259-46E4-B5FE-EF524392A6CA}"/>
    <cellStyle name="Title 3 14 2" xfId="19551" xr:uid="{03FE4B49-9F03-4DA2-BBA9-6CB4884A196A}"/>
    <cellStyle name="Title 3 14 2 2" xfId="23168" xr:uid="{2B1373F1-AA22-4593-A8E9-E17B043B6A8F}"/>
    <cellStyle name="Title 3 14 3" xfId="37239" xr:uid="{4A1AC30D-CE18-4A21-9577-0B72E980D937}"/>
    <cellStyle name="Title 3 14 4" xfId="37240" xr:uid="{E1E12019-D3FA-4E16-8878-7CD8E5369AEB}"/>
    <cellStyle name="Title 3 14 5" xfId="37241" xr:uid="{943601F5-6E4C-47DF-975A-24B7962A40C2}"/>
    <cellStyle name="Title 3 14 6" xfId="37242" xr:uid="{62E5F7F5-8658-47AA-8C4D-99782FEE6200}"/>
    <cellStyle name="Title 3 15" xfId="16582" xr:uid="{521DBC35-1A8C-4CC0-B2DD-0041B7327E8E}"/>
    <cellStyle name="Title 3 15 2" xfId="19552" xr:uid="{665D7DE5-D8EB-4713-BC45-BD20A1C18D0B}"/>
    <cellStyle name="Title 3 15 2 2" xfId="23169" xr:uid="{C161EEF9-622B-43B3-83BF-B9FDE23001FF}"/>
    <cellStyle name="Title 3 15 3" xfId="37243" xr:uid="{12388494-0402-4B34-9B82-E06F8E6E4AFD}"/>
    <cellStyle name="Title 3 15 4" xfId="37244" xr:uid="{CC920451-36EE-415B-B7E1-BF03B465FDEF}"/>
    <cellStyle name="Title 3 15 5" xfId="37245" xr:uid="{80BC45CC-E9E1-414E-98BE-7801AD90CE78}"/>
    <cellStyle name="Title 3 15 6" xfId="37246" xr:uid="{17318030-3CBB-491C-BC7B-8DF97F9CAA7B}"/>
    <cellStyle name="Title 3 16" xfId="19546" xr:uid="{35313E29-B6ED-40B1-8D7E-974D8D43B4C2}"/>
    <cellStyle name="Title 3 16 2" xfId="23163" xr:uid="{498BD351-2692-45A3-A7D4-51CA7AC1A85F}"/>
    <cellStyle name="Title 3 17" xfId="37247" xr:uid="{8312A730-8C25-430E-9CC0-24EEAED5FDC1}"/>
    <cellStyle name="Title 3 18" xfId="37248" xr:uid="{6DF92857-CFB3-4C88-8C03-60C4A8A04B58}"/>
    <cellStyle name="Title 3 19" xfId="37249" xr:uid="{D4D2FC2D-7B9E-497C-B383-6D7702449A02}"/>
    <cellStyle name="Title 3 2" xfId="3739" xr:uid="{78B14251-E32A-4F70-A9EF-3E9072D6F9EF}"/>
    <cellStyle name="Title 3 2 2" xfId="19553" xr:uid="{61C0E8C5-5E24-4AEA-BDA7-F02334C5F2A2}"/>
    <cellStyle name="Title 3 2 2 2" xfId="23170" xr:uid="{1F802202-69A7-4849-9484-9EF400FBDAD0}"/>
    <cellStyle name="Title 3 2 3" xfId="37250" xr:uid="{7871C804-DCDF-49CF-8943-826E0B8F513B}"/>
    <cellStyle name="Title 3 2 4" xfId="37251" xr:uid="{F730D147-B8F1-4363-B744-06C223FEB2A1}"/>
    <cellStyle name="Title 3 2 5" xfId="37252" xr:uid="{B012D543-4073-4346-933A-97A15F9F38A6}"/>
    <cellStyle name="Title 3 2 6" xfId="37253" xr:uid="{694959AF-5679-4657-8C5D-6441141B1253}"/>
    <cellStyle name="Title 3 2 7" xfId="37254" xr:uid="{E5A28A04-CF2A-41AA-90C5-570505D606C2}"/>
    <cellStyle name="Title 3 20" xfId="37255" xr:uid="{CE7E4EB7-6366-4C7A-8810-73F8EC65A0C7}"/>
    <cellStyle name="Title 3 21" xfId="37256" xr:uid="{967FCC5C-CB77-4938-8ED9-5F12954866C5}"/>
    <cellStyle name="Title 3 3" xfId="3740" xr:uid="{ADBE48EF-608B-4A95-B15F-CEDC4A584912}"/>
    <cellStyle name="Title 3 3 2" xfId="19554" xr:uid="{24860367-2254-462B-ABD2-DDDB58B055EA}"/>
    <cellStyle name="Title 3 3 2 2" xfId="23171" xr:uid="{4C8EDB13-E4E9-47AE-A252-BC30C19FAF1A}"/>
    <cellStyle name="Title 3 3 3" xfId="37257" xr:uid="{805BD016-D87F-4690-8204-3C6D2CA40511}"/>
    <cellStyle name="Title 3 3 4" xfId="37258" xr:uid="{F1810B39-E98C-49B6-9994-264461FDE956}"/>
    <cellStyle name="Title 3 3 5" xfId="37259" xr:uid="{361E0F81-E649-4190-8088-5B47F0D48D06}"/>
    <cellStyle name="Title 3 3 6" xfId="37260" xr:uid="{BCC738E3-2350-42E0-AEA5-4F4F6033E4CD}"/>
    <cellStyle name="Title 3 4" xfId="3741" xr:uid="{D0999434-0543-4743-8BC7-6CB8A7222933}"/>
    <cellStyle name="Title 3 4 2" xfId="19555" xr:uid="{1224B0CD-6795-402D-B1D1-2CF1816DB7CC}"/>
    <cellStyle name="Title 3 4 2 2" xfId="23172" xr:uid="{B9B2B537-6076-4768-B20B-24888D1387E6}"/>
    <cellStyle name="Title 3 4 3" xfId="37261" xr:uid="{F06AFA9B-DF5F-41B5-9B9D-DF71C934AF9F}"/>
    <cellStyle name="Title 3 4 4" xfId="37262" xr:uid="{FBEC0849-75CA-44C5-A899-62AF288083A2}"/>
    <cellStyle name="Title 3 4 5" xfId="37263" xr:uid="{3E1928AD-EB30-44CD-A9DE-AC85760B30E5}"/>
    <cellStyle name="Title 3 4 6" xfId="37264" xr:uid="{E5FE1A25-B50D-4380-8219-416D82A0AA84}"/>
    <cellStyle name="Title 3 5" xfId="3742" xr:uid="{EBDD1A41-FFC7-4697-AC5B-EEE296E7A4E7}"/>
    <cellStyle name="Title 3 5 2" xfId="19556" xr:uid="{5969B9D2-8AD0-4116-99AB-A64B0CF6B105}"/>
    <cellStyle name="Title 3 5 2 2" xfId="23173" xr:uid="{CE14F69D-8EFE-4FA6-82D4-F65B58683B7C}"/>
    <cellStyle name="Title 3 5 3" xfId="37265" xr:uid="{3740FF98-7BCC-4D52-8E45-BDF4BF1E8C03}"/>
    <cellStyle name="Title 3 5 4" xfId="37266" xr:uid="{88AE2862-BB58-4BA3-A5B7-C8BB84E251F1}"/>
    <cellStyle name="Title 3 5 5" xfId="37267" xr:uid="{1E48CBC5-D724-41A3-B85A-E3DADB00BC33}"/>
    <cellStyle name="Title 3 5 6" xfId="37268" xr:uid="{03357AF5-D157-458F-B33E-2A479BD8B38A}"/>
    <cellStyle name="Title 3 6" xfId="3743" xr:uid="{294D695D-A384-4DF0-8292-771C15D47AFB}"/>
    <cellStyle name="Title 3 6 2" xfId="19557" xr:uid="{C27A9256-D409-4DF4-8793-7B237EF65EB4}"/>
    <cellStyle name="Title 3 6 2 2" xfId="23174" xr:uid="{1A3E91CA-BF65-4766-99A8-64333F9F5A65}"/>
    <cellStyle name="Title 3 6 3" xfId="37269" xr:uid="{D46E845D-D153-4A8C-9B97-6534C53FF30B}"/>
    <cellStyle name="Title 3 6 4" xfId="37270" xr:uid="{8924A5E6-C1F5-4C7E-B2FA-712E7375774D}"/>
    <cellStyle name="Title 3 6 5" xfId="37271" xr:uid="{A9BEDDCC-3567-4C62-A12E-FF336EC94551}"/>
    <cellStyle name="Title 3 6 6" xfId="37272" xr:uid="{B92BA4CD-D53E-4863-BE11-3A98EF1A5A77}"/>
    <cellStyle name="Title 3 7" xfId="3744" xr:uid="{0B3B2789-72D4-4C6A-9E1C-E4A3541BC3CF}"/>
    <cellStyle name="Title 3 7 2" xfId="19558" xr:uid="{27D43634-D828-4406-B3DF-FE74D2BA3F9F}"/>
    <cellStyle name="Title 3 7 2 2" xfId="23175" xr:uid="{0CCBADCB-C89B-48C1-9678-546400921482}"/>
    <cellStyle name="Title 3 7 3" xfId="37273" xr:uid="{C24D9411-992F-4C5A-88E5-2164D0EEAAC7}"/>
    <cellStyle name="Title 3 7 4" xfId="37274" xr:uid="{F068D597-E0AE-46CF-94BE-E618C6C258CF}"/>
    <cellStyle name="Title 3 7 5" xfId="37275" xr:uid="{EC0C66A5-66F5-40D2-88C1-5AA3F9F06327}"/>
    <cellStyle name="Title 3 7 6" xfId="37276" xr:uid="{AB11C264-BEB0-4588-B0EA-8790A3DCCC9D}"/>
    <cellStyle name="Title 3 8" xfId="3745" xr:uid="{0E885B24-4680-48F4-9E5E-5334EEEDD859}"/>
    <cellStyle name="Title 3 8 2" xfId="19559" xr:uid="{117FC3FC-9FD6-417F-A62A-31E6AFDC6945}"/>
    <cellStyle name="Title 3 8 2 2" xfId="23176" xr:uid="{D16B783C-57FC-42FD-8F4D-94AC5EE84A18}"/>
    <cellStyle name="Title 3 8 3" xfId="37277" xr:uid="{4F2A389B-56B3-4AB5-8D3F-DA223ADED8D4}"/>
    <cellStyle name="Title 3 8 4" xfId="37278" xr:uid="{0F26EF62-B2DC-45BE-9B13-EC75D9A5C263}"/>
    <cellStyle name="Title 3 8 5" xfId="37279" xr:uid="{A5EBA384-B878-4F5F-B005-B6629F2A3BF4}"/>
    <cellStyle name="Title 3 8 6" xfId="37280" xr:uid="{6672FEBC-9AA7-4C76-8706-EC668F76E1FF}"/>
    <cellStyle name="Title 3 9" xfId="3746" xr:uid="{D4A791D0-EAD0-428F-A4B2-36D58AC315AE}"/>
    <cellStyle name="Title 3 9 2" xfId="19560" xr:uid="{8A17C9B8-ECE7-4239-86C4-B496093ECBE8}"/>
    <cellStyle name="Title 3 9 2 2" xfId="23177" xr:uid="{40DB76E2-060D-401B-8212-580A658564E8}"/>
    <cellStyle name="Title 3 9 3" xfId="37281" xr:uid="{81D6B015-BC1E-402D-98B1-D3F442C99A3A}"/>
    <cellStyle name="Title 3 9 4" xfId="37282" xr:uid="{3A7C2DBB-0500-4BAE-9586-D2052F363A01}"/>
    <cellStyle name="Title 3 9 5" xfId="37283" xr:uid="{FA170C23-9609-410D-A8F9-95B825CAC98F}"/>
    <cellStyle name="Title 3 9 6" xfId="37284" xr:uid="{AD588377-227B-4988-B4A3-B03799254210}"/>
    <cellStyle name="Title 4" xfId="3747" xr:uid="{84049486-D42D-41E1-BCE2-115644300CFE}"/>
    <cellStyle name="Title 4 2" xfId="3748" xr:uid="{D6FA3D89-1E6C-4354-B5F9-873C86DACF99}"/>
    <cellStyle name="Title 4 2 2" xfId="19562" xr:uid="{669B51F4-55E4-487E-87A5-9947B1C500FA}"/>
    <cellStyle name="Title 4 2 2 2" xfId="23179" xr:uid="{CC25D776-6E2A-438E-A874-E9127891D2FB}"/>
    <cellStyle name="Title 4 2 3" xfId="37285" xr:uid="{46DF96DC-BD09-4D3A-9A7E-A5190AEAE39A}"/>
    <cellStyle name="Title 4 2 4" xfId="37286" xr:uid="{EB0A2620-3C33-4AD0-A562-56FF72C34257}"/>
    <cellStyle name="Title 4 2 5" xfId="37287" xr:uid="{BF522008-BA98-4D6B-8976-DEDA34058FA9}"/>
    <cellStyle name="Title 4 2 6" xfId="37288" xr:uid="{09209B1A-D14D-4863-A5E5-1955A59196E6}"/>
    <cellStyle name="Title 4 2 7" xfId="37289" xr:uid="{0A67B5D1-DF92-4607-AE8E-D67204AAA500}"/>
    <cellStyle name="Title 4 3" xfId="19561" xr:uid="{61D507D7-FEF0-46CC-9B82-75E23B96F102}"/>
    <cellStyle name="Title 4 3 2" xfId="23178" xr:uid="{30ABF383-EB48-4B36-80DF-13B8F462B531}"/>
    <cellStyle name="Title 4 4" xfId="37290" xr:uid="{4585D55A-CF84-4B6B-BCD8-829C0A8D7E43}"/>
    <cellStyle name="Title 4 5" xfId="37291" xr:uid="{914799AC-83EC-4370-85EA-BAC291B44274}"/>
    <cellStyle name="Title 4 6" xfId="37292" xr:uid="{2BC24EFD-E677-430A-BA6C-E096C90A441E}"/>
    <cellStyle name="Title 4 7" xfId="37293" xr:uid="{2D7BEECB-247F-48F7-AB26-6F2802BF9EDA}"/>
    <cellStyle name="Title 4 8" xfId="37294" xr:uid="{81F29AB2-2CDE-423A-945F-B7ABE14AA1C1}"/>
    <cellStyle name="Title 5" xfId="3749" xr:uid="{A328C58A-8BB8-48DB-A1EF-CAEB39791389}"/>
    <cellStyle name="Title 5 2" xfId="3750" xr:uid="{4E2CC6E3-1033-4C9D-A984-E4D7023DEEF1}"/>
    <cellStyle name="Title 5 2 2" xfId="19564" xr:uid="{A5E1A8C4-56D5-4735-AF53-EBD61361BCB1}"/>
    <cellStyle name="Title 5 2 2 2" xfId="23181" xr:uid="{F40898A2-14E3-43DF-8083-FF32A29496E5}"/>
    <cellStyle name="Title 5 2 3" xfId="37295" xr:uid="{3CE9E8A9-40B8-4A28-8D17-EF9FC30F4BCB}"/>
    <cellStyle name="Title 5 2 4" xfId="37296" xr:uid="{8FD7BC14-3DD7-4843-9A46-F32B708B6E64}"/>
    <cellStyle name="Title 5 2 5" xfId="37297" xr:uid="{0AFDA2F0-9D5A-41B5-8A52-EFA0A8F2F26B}"/>
    <cellStyle name="Title 5 2 6" xfId="37298" xr:uid="{6306B8E2-11EA-4AA5-9927-C2491353C1EC}"/>
    <cellStyle name="Title 5 2 7" xfId="37299" xr:uid="{9515D714-1634-49A4-8268-A12C1F5BFE2C}"/>
    <cellStyle name="Title 5 3" xfId="19563" xr:uid="{322BEB7E-6010-49E8-8FD1-649E4089816A}"/>
    <cellStyle name="Title 5 3 2" xfId="23180" xr:uid="{B6BBA890-36BB-42A3-8EA9-B1C060357D93}"/>
    <cellStyle name="Title 5 4" xfId="37300" xr:uid="{041F5904-EAC4-4B3F-84BA-F5C0875E803F}"/>
    <cellStyle name="Title 5 5" xfId="37301" xr:uid="{7BDE9436-072E-4589-91C7-D8F32F6629C5}"/>
    <cellStyle name="Title 5 6" xfId="37302" xr:uid="{260F59CC-293D-4D34-8968-975518F164B9}"/>
    <cellStyle name="Title 5 7" xfId="37303" xr:uid="{50A774B7-CA2B-49F8-BB4E-2D05C4DB6F0C}"/>
    <cellStyle name="Title 5 8" xfId="37304" xr:uid="{0DDA25E5-F88A-4FB8-AF94-16E1645EEA26}"/>
    <cellStyle name="Title 6" xfId="3751" xr:uid="{2DE4FCC8-E5B0-4D65-94D3-B59F8F174BC2}"/>
    <cellStyle name="Title 6 2" xfId="3752" xr:uid="{0A61D455-9D7E-448E-BDA5-19396F808542}"/>
    <cellStyle name="Title 6 2 2" xfId="19566" xr:uid="{422BD1EF-BEF5-498D-92DB-9547978879E8}"/>
    <cellStyle name="Title 6 2 2 2" xfId="23183" xr:uid="{D6CBDD46-E67F-49A1-8FDE-742A8C6AA31D}"/>
    <cellStyle name="Title 6 2 3" xfId="37305" xr:uid="{FD378E30-9915-425A-95FA-5E4A84C65B78}"/>
    <cellStyle name="Title 6 2 4" xfId="37306" xr:uid="{BE9876D0-67C3-4B53-800B-ED0D69259294}"/>
    <cellStyle name="Title 6 2 5" xfId="37307" xr:uid="{A5D4CE19-5E05-4417-9E20-7199F0A65693}"/>
    <cellStyle name="Title 6 2 6" xfId="37308" xr:uid="{4BBAD085-5E6A-401D-91D4-855DDED963B8}"/>
    <cellStyle name="Title 6 2 7" xfId="37309" xr:uid="{B457D1DB-5D44-4B69-97EF-CF3E43C5792E}"/>
    <cellStyle name="Title 6 3" xfId="3753" xr:uid="{29340188-38C2-4806-95F9-FF8EA48D4874}"/>
    <cellStyle name="Title 6 3 2" xfId="19567" xr:uid="{0145EFF8-169E-4CD4-8BFF-223C4D6C7263}"/>
    <cellStyle name="Title 6 3 2 2" xfId="23184" xr:uid="{56C1F604-AE13-4FA3-8646-0699DF286EB1}"/>
    <cellStyle name="Title 6 3 3" xfId="37310" xr:uid="{38D9DABA-DFB2-4CB6-99F8-E7516BDE5AC2}"/>
    <cellStyle name="Title 6 3 4" xfId="37311" xr:uid="{6106F200-5A93-475A-ABDE-FAEA6228EE25}"/>
    <cellStyle name="Title 6 3 5" xfId="37312" xr:uid="{A43652D9-806D-4224-A9A9-E9A24864DBB8}"/>
    <cellStyle name="Title 6 3 6" xfId="37313" xr:uid="{394DB709-0D0A-4542-95C9-F32D153EAF84}"/>
    <cellStyle name="Title 6 4" xfId="19565" xr:uid="{70719526-CEF5-4D58-89D4-8693631826B4}"/>
    <cellStyle name="Title 6 4 2" xfId="23182" xr:uid="{1D1CED53-54B4-4802-A71D-C877323E39A3}"/>
    <cellStyle name="Title 6 5" xfId="37314" xr:uid="{16BCC0BD-802B-4092-AEF2-749C11BB1952}"/>
    <cellStyle name="Title 6 6" xfId="37315" xr:uid="{DC425C9B-FAAB-4FB4-AC9C-EB31F51E80F7}"/>
    <cellStyle name="Title 6 7" xfId="37316" xr:uid="{C9D7394A-2D45-4C55-AE47-3DFF00E2B72F}"/>
    <cellStyle name="Title 6 8" xfId="37317" xr:uid="{E83BB2B7-C747-4A0F-968A-A67C9A6A2082}"/>
    <cellStyle name="Title 6 9" xfId="37318" xr:uid="{B8A57708-9C0C-4907-B41A-D5DC2B27FF4A}"/>
    <cellStyle name="Title 7" xfId="3754" xr:uid="{8484CAE5-686D-4DBD-89CC-536168F4D290}"/>
    <cellStyle name="Title 7 2" xfId="3755" xr:uid="{0E22468E-F0A1-4501-B561-0B1C25DB5AC8}"/>
    <cellStyle name="Title 7 2 2" xfId="19569" xr:uid="{5B337177-D0E9-4D5F-A3B3-E133A7DA4C6E}"/>
    <cellStyle name="Title 7 2 2 2" xfId="23186" xr:uid="{1FDE5823-B817-459B-BF76-8DC1B22E61F9}"/>
    <cellStyle name="Title 7 2 3" xfId="37319" xr:uid="{32AB9652-0182-4D22-BA01-42447644B499}"/>
    <cellStyle name="Title 7 2 4" xfId="37320" xr:uid="{9FDC518A-00E8-45C6-BBA3-77DACE72E5AE}"/>
    <cellStyle name="Title 7 2 5" xfId="37321" xr:uid="{CEE27CE7-1CB5-4E6E-B3D1-1F3B6DB62AF2}"/>
    <cellStyle name="Title 7 2 6" xfId="37322" xr:uid="{83C8A016-A19A-4273-A162-6BC950331564}"/>
    <cellStyle name="Title 7 2 7" xfId="37323" xr:uid="{AEC4660D-172D-426F-A442-2F040B3BF542}"/>
    <cellStyle name="Title 7 3" xfId="3756" xr:uid="{166A01CA-C8CD-4A82-9406-F7AFAD47B3DE}"/>
    <cellStyle name="Title 7 3 2" xfId="19570" xr:uid="{543C96F4-655C-49A7-9E16-8AB8E2F96E71}"/>
    <cellStyle name="Title 7 3 2 2" xfId="23187" xr:uid="{D368BA6A-3298-4C55-96AC-B8ECF81FBC62}"/>
    <cellStyle name="Title 7 3 3" xfId="37324" xr:uid="{D36C4D81-5D2A-472C-9EE1-A53AC42BA1FF}"/>
    <cellStyle name="Title 7 3 4" xfId="37325" xr:uid="{130CDBD4-C699-4342-A75D-A431024EAC84}"/>
    <cellStyle name="Title 7 3 5" xfId="37326" xr:uid="{DFCE5799-762E-4430-A9E7-232A3ADC1039}"/>
    <cellStyle name="Title 7 3 6" xfId="37327" xr:uid="{502E60CA-B00C-459D-AB36-07CA4A0DCCF6}"/>
    <cellStyle name="Title 7 4" xfId="19568" xr:uid="{80954B44-5EBC-4A68-8A75-DCFF547C847B}"/>
    <cellStyle name="Title 7 4 2" xfId="23185" xr:uid="{5473F440-3E5E-4231-AD76-590177403F8D}"/>
    <cellStyle name="Title 7 5" xfId="37328" xr:uid="{6192B5DF-5075-40DB-A5CB-B33D16C46F2A}"/>
    <cellStyle name="Title 7 6" xfId="37329" xr:uid="{92342A97-0C0D-4CB7-A81E-4DD857B5942A}"/>
    <cellStyle name="Title 7 7" xfId="37330" xr:uid="{BDE8BB26-6077-4E82-844A-CE18AD34D52F}"/>
    <cellStyle name="Title 7 8" xfId="37331" xr:uid="{6CCFB097-C3E6-415F-9C64-899C2D59774B}"/>
    <cellStyle name="Title 7 9" xfId="37332" xr:uid="{08F93849-F848-46CB-A4BA-EA17290BA105}"/>
    <cellStyle name="Title 8" xfId="3757" xr:uid="{ABFBE0D5-8B53-4B35-9E4F-396C81182485}"/>
    <cellStyle name="Title 8 2" xfId="3758" xr:uid="{AE5F9944-0821-4EF3-B229-DDDF02C7182B}"/>
    <cellStyle name="Title 8 2 2" xfId="19572" xr:uid="{19291F78-451F-4495-B716-91878D97FF0C}"/>
    <cellStyle name="Title 8 2 2 2" xfId="23189" xr:uid="{6DD24839-12D2-4276-993E-32C2972B565F}"/>
    <cellStyle name="Title 8 2 3" xfId="37333" xr:uid="{134FFD22-9EC6-4866-A239-0FCE406E270B}"/>
    <cellStyle name="Title 8 2 4" xfId="37334" xr:uid="{DBB72283-1603-4911-AB51-6C110F712F7A}"/>
    <cellStyle name="Title 8 2 5" xfId="37335" xr:uid="{F9D75BD6-D401-43C4-AA2E-056EF5DA9B44}"/>
    <cellStyle name="Title 8 2 6" xfId="37336" xr:uid="{4471B997-099B-4966-9391-56F2DDBF66FF}"/>
    <cellStyle name="Title 8 2 7" xfId="37337" xr:uid="{73823509-06A0-428D-A7B1-83A327A78879}"/>
    <cellStyle name="Title 8 3" xfId="3759" xr:uid="{F1F59F63-6495-4B56-B5C2-DF72B94F3DD4}"/>
    <cellStyle name="Title 8 3 2" xfId="19573" xr:uid="{5E7425D6-EF7E-4501-972B-DA07E34380B8}"/>
    <cellStyle name="Title 8 3 2 2" xfId="23190" xr:uid="{A4C7286D-6BCA-4FC3-AC97-B2CAEE0E2B39}"/>
    <cellStyle name="Title 8 3 3" xfId="37338" xr:uid="{AEFF499D-7CCE-40FC-8707-8A9D6E4ED637}"/>
    <cellStyle name="Title 8 3 4" xfId="37339" xr:uid="{6582D659-0BF2-476F-B3C6-E06FEB94A315}"/>
    <cellStyle name="Title 8 3 5" xfId="37340" xr:uid="{7F89300F-7DB6-4CA5-B56B-4C9077DB64D0}"/>
    <cellStyle name="Title 8 3 6" xfId="37341" xr:uid="{C9BE2328-B161-4734-907C-47BD0BC24B55}"/>
    <cellStyle name="Title 8 4" xfId="19571" xr:uid="{35139D0A-6D04-4578-869A-0A4B6C13139B}"/>
    <cellStyle name="Title 8 4 2" xfId="23188" xr:uid="{EFB523BF-A5D6-4FC2-88F9-0EE19C77E0A7}"/>
    <cellStyle name="Title 8 5" xfId="37342" xr:uid="{A6242A54-D1A2-4CD4-AEEE-6A14D02A6494}"/>
    <cellStyle name="Title 8 6" xfId="37343" xr:uid="{EEB20C60-D131-440F-AE11-7D373E109C39}"/>
    <cellStyle name="Title 8 7" xfId="37344" xr:uid="{921BABBF-D05F-49BB-891C-4F604C9858D1}"/>
    <cellStyle name="Title 8 8" xfId="37345" xr:uid="{F004646C-248F-4299-B27F-795508F3518D}"/>
    <cellStyle name="Title 8 9" xfId="37346" xr:uid="{6E01A605-1D95-4EC1-84E5-04E18A4F459B}"/>
    <cellStyle name="Title 9" xfId="3760" xr:uid="{6888FEFF-CB31-40AF-A3A1-6943913F1D31}"/>
    <cellStyle name="Title 9 2" xfId="3761" xr:uid="{452B9122-AB15-417B-B2B2-D2B872BE55C5}"/>
    <cellStyle name="Title 9 2 2" xfId="19575" xr:uid="{0F49B3AF-037B-489D-9577-4CE8C9D94824}"/>
    <cellStyle name="Title 9 2 2 2" xfId="23192" xr:uid="{B274B063-47E8-4AD5-A854-E5295D501D21}"/>
    <cellStyle name="Title 9 2 3" xfId="37347" xr:uid="{E86B0AEE-0808-4A72-8A56-8F304EB00C21}"/>
    <cellStyle name="Title 9 2 4" xfId="37348" xr:uid="{756EAE08-9007-460C-9893-B30DEF87AEA2}"/>
    <cellStyle name="Title 9 2 5" xfId="37349" xr:uid="{A5F9B3C4-EEC4-4370-A8A0-CEC19A5A0958}"/>
    <cellStyle name="Title 9 2 6" xfId="37350" xr:uid="{7183CF02-0C0D-4568-A900-B919BC82989C}"/>
    <cellStyle name="Title 9 3" xfId="19574" xr:uid="{2994276B-7A1F-45B9-AF88-E74638D1711A}"/>
    <cellStyle name="Title 9 3 2" xfId="23191" xr:uid="{887CEE4C-03B9-43C4-A664-10E3AB9C0575}"/>
    <cellStyle name="Title 9 4" xfId="37351" xr:uid="{D2732354-875C-4118-AC46-1AEE00416EBE}"/>
    <cellStyle name="Title 9 5" xfId="37352" xr:uid="{9D0636B4-60D7-4E27-A85B-64CC39075EA8}"/>
    <cellStyle name="Title 9 6" xfId="37353" xr:uid="{3BF92270-BA80-43F9-8B83-119C9902117B}"/>
    <cellStyle name="Title 9 7" xfId="37354" xr:uid="{33EAE651-1803-49F7-AA4C-4A8AEB47EDED}"/>
    <cellStyle name="Title 9 8" xfId="37355" xr:uid="{DE386728-E4D5-4316-9505-2264D34622C6}"/>
    <cellStyle name="Titre ligne" xfId="3762" xr:uid="{B020866E-CDB0-42C7-A763-870327854E46}"/>
    <cellStyle name="Titre ligne 2" xfId="19576" xr:uid="{45BEDF7D-212D-49D7-B31D-E5D1A3C16AC2}"/>
    <cellStyle name="Titre ligne 2 2" xfId="23193" xr:uid="{0ED059A9-AC4B-42C5-B32D-5F6CDFC053C2}"/>
    <cellStyle name="Titre ligne 3" xfId="37356" xr:uid="{063A872E-2BE8-4F86-8E87-680755769855}"/>
    <cellStyle name="Titre ligne 4" xfId="37357" xr:uid="{266FC826-4FDA-43A2-B50A-8A39D3D7043D}"/>
    <cellStyle name="Titre ligne 5" xfId="37358" xr:uid="{3A72D5C2-8AA7-4D3A-9D30-05FB0A48E3E1}"/>
    <cellStyle name="Titre ligne 6" xfId="37359" xr:uid="{0B4E9435-5A49-481F-AAF8-90495CC76156}"/>
    <cellStyle name="Titre ligne 7" xfId="37360" xr:uid="{12E3C823-D47C-4E4A-AE91-568353D789DD}"/>
    <cellStyle name="Titre ligne 8" xfId="37361" xr:uid="{48409594-B6D1-4387-BB54-ABECFC4ED710}"/>
    <cellStyle name="Título" xfId="3763" xr:uid="{A6E75153-7B5C-4D05-8D07-B5F0F4B70FD0}"/>
    <cellStyle name="Título 2" xfId="19577" xr:uid="{09959DE1-C63D-463C-9449-DDF5C2DDA2F3}"/>
    <cellStyle name="Título 2 2" xfId="23194" xr:uid="{965B9C8A-B665-4915-9F45-3AEF0C98E239}"/>
    <cellStyle name="Título 3" xfId="37362" xr:uid="{C4AEE7B8-FEBC-40B8-8156-CB04B9011617}"/>
    <cellStyle name="Título 4" xfId="3764" xr:uid="{28949A27-2AEA-47A1-BD0D-44E2D6649953}"/>
    <cellStyle name="Título 4 2" xfId="37364" xr:uid="{D184B50C-7AE5-4D96-A000-265D62AAC545}"/>
    <cellStyle name="Título 4 3" xfId="37365" xr:uid="{4616189E-3FFE-4CA6-BE36-8CF1932A3653}"/>
    <cellStyle name="Título 4 4" xfId="37366" xr:uid="{4B549552-0E1E-498D-AAA5-121B53E30CB4}"/>
    <cellStyle name="Título 4 5" xfId="37367" xr:uid="{859FE8D2-ECBC-439D-BCB0-147722340F68}"/>
    <cellStyle name="Título 4 6" xfId="37368" xr:uid="{78E6FC46-6E3D-48E4-AFE7-7419E311DE6F}"/>
    <cellStyle name="Título 4 7" xfId="37363" xr:uid="{F9413682-A9C3-4B7B-B6D9-64B531551BB8}"/>
    <cellStyle name="Título 5" xfId="37369" xr:uid="{60779B14-80C2-4394-BE0D-2F46C95CE507}"/>
    <cellStyle name="Título 6" xfId="37370" xr:uid="{6AA6A0D0-6052-4161-B51B-E01B4A7B1DD6}"/>
    <cellStyle name="Título 7" xfId="37371" xr:uid="{1F3FBA3C-A14F-47DB-A8AE-3DB5D5C32B5C}"/>
    <cellStyle name="Título 8" xfId="37372" xr:uid="{D1E9BD84-6D00-45E4-8041-39CEFAC72CFA}"/>
    <cellStyle name="Título 9" xfId="37373" xr:uid="{E2DD420F-0E3C-4D79-B679-E6FB279AC964}"/>
    <cellStyle name="Total 10" xfId="3765" xr:uid="{D42DD84C-3CF9-4B27-9D44-20A928FAB2B6}"/>
    <cellStyle name="Total 10 2" xfId="3766" xr:uid="{2387E99B-C5B0-45A5-8E33-EAF8B4BF2D71}"/>
    <cellStyle name="Total 10 2 2" xfId="19579" xr:uid="{0BC81F1E-F460-47B0-90CA-1547355892F4}"/>
    <cellStyle name="Total 10 2 2 2" xfId="23196" xr:uid="{12D020E4-2B31-4DF8-8921-F2C6B62087B8}"/>
    <cellStyle name="Total 10 2 3" xfId="37374" xr:uid="{0314F02E-0316-4B2F-8191-E457F7B0E160}"/>
    <cellStyle name="Total 10 2 4" xfId="37375" xr:uid="{4501CA8E-A1B8-4F86-8C5A-603AAB06BB87}"/>
    <cellStyle name="Total 10 2 5" xfId="37376" xr:uid="{B5E9B3BD-0C19-4D9C-8F98-CAE84C7E4F2B}"/>
    <cellStyle name="Total 10 2 6" xfId="37377" xr:uid="{5159F04A-A692-4B1B-B6D8-478031A912D7}"/>
    <cellStyle name="Total 10 3" xfId="19578" xr:uid="{755E3AEC-6D5A-4282-8A14-08989AD84298}"/>
    <cellStyle name="Total 10 3 2" xfId="23195" xr:uid="{7AB56CEC-D1C8-4198-8108-FB95A105DBAB}"/>
    <cellStyle name="Total 10 4" xfId="37378" xr:uid="{3D308E77-0AE4-4118-B701-556085F75266}"/>
    <cellStyle name="Total 10 5" xfId="37379" xr:uid="{4F00F69C-FDA4-4C1A-B538-AC3E125FCB36}"/>
    <cellStyle name="Total 10 6" xfId="37380" xr:uid="{9849EEB1-2735-4432-B55D-DFC05EDB58F1}"/>
    <cellStyle name="Total 10 7" xfId="37381" xr:uid="{BA72DBCC-33DB-4F78-A8AC-9E2F7130F5A5}"/>
    <cellStyle name="Total 10 8" xfId="37382" xr:uid="{CB2F96E6-A19E-496D-956D-3629145CB806}"/>
    <cellStyle name="Total 11" xfId="3767" xr:uid="{FFA148F1-8E5A-400E-93C4-F50B0A197E0B}"/>
    <cellStyle name="Total 11 2" xfId="10959" xr:uid="{CC62E953-A76E-456E-9E44-AA5309A63483}"/>
    <cellStyle name="Total 11 2 2" xfId="19581" xr:uid="{8FED3A73-65CA-446D-9E63-20321290748E}"/>
    <cellStyle name="Total 11 2 2 2" xfId="23198" xr:uid="{0AC693BE-3EB2-40F0-B295-656B51BD179B}"/>
    <cellStyle name="Total 11 2 3" xfId="37383" xr:uid="{115AB438-7469-4134-A488-C6BB00B102C0}"/>
    <cellStyle name="Total 11 2 4" xfId="37384" xr:uid="{802A1E51-A4D0-4C3C-9120-C230A8711525}"/>
    <cellStyle name="Total 11 2 5" xfId="37385" xr:uid="{8B4A8E6A-9477-4D1B-A2DC-9DAE212A94C9}"/>
    <cellStyle name="Total 11 2 6" xfId="37386" xr:uid="{0C563209-EB34-44B7-9AE5-90BF3BE47B68}"/>
    <cellStyle name="Total 11 3" xfId="19580" xr:uid="{6594EC65-2740-4F0B-8ECD-F8B573F54FC5}"/>
    <cellStyle name="Total 11 3 2" xfId="23197" xr:uid="{0AB79188-3D40-4EE9-A0FD-66ADA140F38B}"/>
    <cellStyle name="Total 11 4" xfId="37387" xr:uid="{D9FBDABD-F9D8-442A-B5AE-F76D66D410E1}"/>
    <cellStyle name="Total 11 5" xfId="37388" xr:uid="{6B21C31A-583C-47E7-AF40-6839113AE8A9}"/>
    <cellStyle name="Total 11 6" xfId="37389" xr:uid="{05B910CC-51F1-4A55-B9C6-35FE0221F3F7}"/>
    <cellStyle name="Total 11 7" xfId="37390" xr:uid="{C022928E-16DB-4D0F-A2F9-12D953C75180}"/>
    <cellStyle name="Total 11 8" xfId="37391" xr:uid="{65929D72-D670-4C9C-B7A9-9DFC93F0906E}"/>
    <cellStyle name="Total 12" xfId="3768" xr:uid="{DAF02FD2-76EC-486F-A2C9-4943B3F55883}"/>
    <cellStyle name="Total 12 2" xfId="10485" xr:uid="{40FD33F9-F166-4379-96F7-D92BF9B52D85}"/>
    <cellStyle name="Total 12 2 2" xfId="19583" xr:uid="{E8172FC2-B2AC-4008-BB00-D5664479F85A}"/>
    <cellStyle name="Total 12 2 2 2" xfId="23200" xr:uid="{8C7E25F6-E479-4092-B7AC-D76E28A3435F}"/>
    <cellStyle name="Total 12 2 3" xfId="37392" xr:uid="{E4E5D5C4-D65C-4403-A800-BAD6F1DABFF7}"/>
    <cellStyle name="Total 12 2 4" xfId="37393" xr:uid="{3653E63A-D0D2-419C-A6A3-82A570191D5D}"/>
    <cellStyle name="Total 12 2 5" xfId="37394" xr:uid="{32BA98F7-3AE3-4DEB-A722-BD3B41DEB693}"/>
    <cellStyle name="Total 12 2 6" xfId="37395" xr:uid="{39FA8F98-71BB-4D7D-A346-78F681BC28B0}"/>
    <cellStyle name="Total 12 3" xfId="19582" xr:uid="{A829905D-25E5-408E-8830-2D03EBD51692}"/>
    <cellStyle name="Total 12 3 2" xfId="23199" xr:uid="{13431772-59B0-4299-88A5-A68E7C7049B2}"/>
    <cellStyle name="Total 12 4" xfId="37396" xr:uid="{F7EFF4BE-EA54-461D-9385-EDA2C216CB1D}"/>
    <cellStyle name="Total 12 5" xfId="37397" xr:uid="{56D5AAF3-0A1C-468D-816C-02F3C528DDC4}"/>
    <cellStyle name="Total 12 6" xfId="37398" xr:uid="{764D8CFB-9677-4674-879C-A98E2252D302}"/>
    <cellStyle name="Total 12 7" xfId="37399" xr:uid="{835CE146-F0A0-46DD-B8BF-B21925A85146}"/>
    <cellStyle name="Total 12 8" xfId="37400" xr:uid="{F658A37C-5F96-4131-AFF0-9C62BA5D20FD}"/>
    <cellStyle name="Total 13" xfId="3769" xr:uid="{F8685F78-4F61-476F-92B8-27FD12F45FC2}"/>
    <cellStyle name="Total 13 2" xfId="8047" xr:uid="{19F4BB1C-AD4C-40B9-B6C1-DC721E7AEAAA}"/>
    <cellStyle name="Total 13 2 2" xfId="19585" xr:uid="{F173ECEC-FC6C-44B7-98EC-BD3CD59AC87F}"/>
    <cellStyle name="Total 13 2 2 2" xfId="23202" xr:uid="{EDCFD31E-2FC3-45A7-BAE9-DE3D474983F5}"/>
    <cellStyle name="Total 13 2 3" xfId="37401" xr:uid="{3CEE513E-9C22-463B-99DC-AA86861049CB}"/>
    <cellStyle name="Total 13 2 4" xfId="37402" xr:uid="{E16F3117-6AE5-42B0-BD6D-1DE6ECB783BE}"/>
    <cellStyle name="Total 13 2 5" xfId="37403" xr:uid="{FC603790-0CD4-4A9B-86F5-FFF4E18CC605}"/>
    <cellStyle name="Total 13 2 6" xfId="37404" xr:uid="{5FB3BBE5-4606-449E-907A-2D12BBFD5C21}"/>
    <cellStyle name="Total 13 3" xfId="19584" xr:uid="{F9FF4E0D-5E24-4973-AE76-1F211F18FC16}"/>
    <cellStyle name="Total 13 3 2" xfId="23201" xr:uid="{5FCD00EE-84C9-499F-858F-09A682A8D2B6}"/>
    <cellStyle name="Total 13 4" xfId="37405" xr:uid="{33DFFFBA-351D-4085-AB25-6E2CE27DEC6E}"/>
    <cellStyle name="Total 13 5" xfId="37406" xr:uid="{85F5CC2E-0116-4AF4-BBB0-41895F74CBA0}"/>
    <cellStyle name="Total 13 6" xfId="37407" xr:uid="{C25FF2F1-2ECD-44A5-9601-974C84105DC9}"/>
    <cellStyle name="Total 13 7" xfId="37408" xr:uid="{49CAFF7A-BEF2-40D2-8A78-456A0BC95FA5}"/>
    <cellStyle name="Total 13 8" xfId="37409" xr:uid="{BD8ADAA7-89E3-4138-B650-3B097B400DDC}"/>
    <cellStyle name="Total 14" xfId="3770" xr:uid="{D892E169-BB91-4582-91BA-ADA71E7CF9D2}"/>
    <cellStyle name="Total 14 2" xfId="8046" xr:uid="{77466310-F809-46DD-A3CE-26FE8D9FFFCF}"/>
    <cellStyle name="Total 14 2 2" xfId="19587" xr:uid="{414C81F6-DB7D-4B0F-A9E6-298B929E8CE0}"/>
    <cellStyle name="Total 14 2 2 2" xfId="23204" xr:uid="{DDE997BD-38A2-4D21-9A8F-8E6D0CDC2731}"/>
    <cellStyle name="Total 14 2 3" xfId="37410" xr:uid="{56DA9A07-928B-4C58-87BE-76C7AF0AEB0F}"/>
    <cellStyle name="Total 14 2 4" xfId="37411" xr:uid="{6D45BFA5-BD93-49AF-843F-CEF49F44B656}"/>
    <cellStyle name="Total 14 2 5" xfId="37412" xr:uid="{BCEABAE5-1338-419E-8C2A-9E3F4C3AFEA3}"/>
    <cellStyle name="Total 14 2 6" xfId="37413" xr:uid="{525AF67C-019F-491D-86EF-50DF66FC9857}"/>
    <cellStyle name="Total 14 3" xfId="19586" xr:uid="{AF1F16C2-1E62-4006-9730-00C9A0C0E007}"/>
    <cellStyle name="Total 14 3 2" xfId="23203" xr:uid="{4E12B84F-80B5-402D-839C-963186601A73}"/>
    <cellStyle name="Total 14 4" xfId="37414" xr:uid="{3311AF08-A8B9-49AA-82A9-FA4BC2E12946}"/>
    <cellStyle name="Total 14 5" xfId="37415" xr:uid="{3A2E781D-81CF-463A-A572-3E037541A855}"/>
    <cellStyle name="Total 14 6" xfId="37416" xr:uid="{534BC688-4B2E-4FA3-AB0E-E231824A36E3}"/>
    <cellStyle name="Total 14 7" xfId="37417" xr:uid="{AC298D21-9ECA-4FAE-A494-5C34A0621A6E}"/>
    <cellStyle name="Total 14 8" xfId="37418" xr:uid="{23FB9BDD-34C7-4B52-916F-7EA0A2928635}"/>
    <cellStyle name="Total 15" xfId="3771" xr:uid="{F20E05E7-06E5-4829-B50A-834AEC9A7C59}"/>
    <cellStyle name="Total 15 2" xfId="16583" xr:uid="{6C4ECA5D-1889-495F-9F2E-4E2CDEAA134F}"/>
    <cellStyle name="Total 15 2 2" xfId="19589" xr:uid="{A576DBA0-B298-4A84-8C01-98B0692770BA}"/>
    <cellStyle name="Total 15 2 2 2" xfId="23206" xr:uid="{06006DB2-8621-451A-8792-7CC99C525A06}"/>
    <cellStyle name="Total 15 2 3" xfId="37419" xr:uid="{B5C52928-4618-40DC-A4C9-50339DF13EF2}"/>
    <cellStyle name="Total 15 2 4" xfId="37420" xr:uid="{8B73DF1C-2FE6-4395-8028-E9E4DFAA0A38}"/>
    <cellStyle name="Total 15 2 5" xfId="37421" xr:uid="{92CF5E06-FB03-41E3-978F-FACEEFB4C816}"/>
    <cellStyle name="Total 15 2 6" xfId="37422" xr:uid="{0C0F5C2B-B8F6-4741-A4AB-8F6E09FA5F64}"/>
    <cellStyle name="Total 15 3" xfId="19588" xr:uid="{17604D42-EB7A-4340-9B1D-CE1834A90EA9}"/>
    <cellStyle name="Total 15 3 2" xfId="23205" xr:uid="{9CA8B9EC-76E8-402A-85D5-5E678DBED1AC}"/>
    <cellStyle name="Total 15 4" xfId="37423" xr:uid="{EF943BDC-C821-40DC-B312-E278252C06B1}"/>
    <cellStyle name="Total 15 5" xfId="37424" xr:uid="{49C01C1A-FFF0-4FE2-90D6-9ACE8B76CB20}"/>
    <cellStyle name="Total 15 6" xfId="37425" xr:uid="{D898AC8B-ACDB-48CA-A2C6-9FD03C0CDACD}"/>
    <cellStyle name="Total 15 7" xfId="37426" xr:uid="{5733217F-575A-4DDB-BACA-5F8DD0107636}"/>
    <cellStyle name="Total 16" xfId="3772" xr:uid="{D9133E4B-3F25-414D-8FA7-BD44E039AAD5}"/>
    <cellStyle name="Total 16 2" xfId="16584" xr:uid="{4DAD0A1E-8A47-4CA3-8A43-D368ADA67CB5}"/>
    <cellStyle name="Total 16 2 2" xfId="19591" xr:uid="{935F70AD-39E0-47F7-BC77-B6BB85731EBC}"/>
    <cellStyle name="Total 16 2 2 2" xfId="23208" xr:uid="{B1CE6292-686C-48FD-8D58-B57989248F7D}"/>
    <cellStyle name="Total 16 2 3" xfId="37427" xr:uid="{F4B357F0-CACC-4C72-B0F2-6ED8D3F41DD3}"/>
    <cellStyle name="Total 16 2 4" xfId="37428" xr:uid="{B5150E55-8E3D-433E-90AE-8E5397F7F80D}"/>
    <cellStyle name="Total 16 2 5" xfId="37429" xr:uid="{239651B1-4209-4F2E-9D84-BA1EFCE035C7}"/>
    <cellStyle name="Total 16 2 6" xfId="37430" xr:uid="{B3E6A554-4564-490F-82B8-37FDD94EF862}"/>
    <cellStyle name="Total 16 3" xfId="19590" xr:uid="{08A249FA-8220-4E8C-BC49-FEAB03BD0FA7}"/>
    <cellStyle name="Total 16 3 2" xfId="23207" xr:uid="{22955BB9-45EC-4AC7-B103-DBB2010A945A}"/>
    <cellStyle name="Total 16 4" xfId="37431" xr:uid="{983CBEF9-4381-4B29-838A-D9AC407447B2}"/>
    <cellStyle name="Total 16 5" xfId="37432" xr:uid="{4D61525E-C80A-4DB4-829A-C4242CB149E9}"/>
    <cellStyle name="Total 16 6" xfId="37433" xr:uid="{452F1D3D-FD73-4C69-9F11-025AEAD19017}"/>
    <cellStyle name="Total 16 7" xfId="37434" xr:uid="{90A3FC1A-2D1D-4BF3-A27A-21F95E45E1EB}"/>
    <cellStyle name="Total 17" xfId="3773" xr:uid="{943BFE68-1B7F-4233-9335-25E7B075E5C9}"/>
    <cellStyle name="Total 17 2" xfId="16585" xr:uid="{F1E03455-A42E-4417-95E0-DD98CE67C097}"/>
    <cellStyle name="Total 17 2 2" xfId="19593" xr:uid="{D5BFAF56-B8D0-4FE1-A7A1-5DB18B073597}"/>
    <cellStyle name="Total 17 2 2 2" xfId="23210" xr:uid="{6310DA48-EAB5-4307-B7EB-1D9EB6870FE1}"/>
    <cellStyle name="Total 17 2 3" xfId="37435" xr:uid="{B6C87164-5A90-44ED-8417-C1105D168CBD}"/>
    <cellStyle name="Total 17 2 4" xfId="37436" xr:uid="{770C23EF-3C49-4FF6-954B-BED38A6808A0}"/>
    <cellStyle name="Total 17 2 5" xfId="37437" xr:uid="{DC924ED8-F51A-4D5A-8975-8CB9F6F7EFF8}"/>
    <cellStyle name="Total 17 2 6" xfId="37438" xr:uid="{3051EE25-FF25-4ED9-9E17-28103448EBD5}"/>
    <cellStyle name="Total 17 3" xfId="19592" xr:uid="{6C043EF8-D742-415F-8089-C753A243B85E}"/>
    <cellStyle name="Total 17 3 2" xfId="23209" xr:uid="{69F16734-BED0-4AED-B290-417B84CFD059}"/>
    <cellStyle name="Total 17 4" xfId="37439" xr:uid="{A4E32682-65F2-45AF-BCCC-985FFB0C7BA9}"/>
    <cellStyle name="Total 17 5" xfId="37440" xr:uid="{0AD73276-D958-4C8D-A83A-02F8E253FD6E}"/>
    <cellStyle name="Total 17 6" xfId="37441" xr:uid="{9AAED112-E726-4353-9289-27505569F99A}"/>
    <cellStyle name="Total 17 7" xfId="37442" xr:uid="{12562024-1AC3-4071-883B-AE22CBD14A88}"/>
    <cellStyle name="Total 18" xfId="3774" xr:uid="{A1822E8A-B654-49CB-B3CE-0EA6F4E3EA17}"/>
    <cellStyle name="Total 18 2" xfId="16586" xr:uid="{F88B07DD-8409-4011-893B-51B7D6435933}"/>
    <cellStyle name="Total 18 2 2" xfId="19595" xr:uid="{30B878EF-AC33-4AE6-8CBB-5A16820D74AA}"/>
    <cellStyle name="Total 18 2 2 2" xfId="23212" xr:uid="{ECB88F2D-9576-430C-BDF1-C2469B76A0AE}"/>
    <cellStyle name="Total 18 2 3" xfId="37443" xr:uid="{5A33BF27-745A-4D1C-B7A7-6974BE2DD51A}"/>
    <cellStyle name="Total 18 2 4" xfId="37444" xr:uid="{AB4E9FD0-AD95-497D-94ED-714D8022B8B0}"/>
    <cellStyle name="Total 18 2 5" xfId="37445" xr:uid="{5742A113-5129-4A6F-9B17-D202A37212B6}"/>
    <cellStyle name="Total 18 2 6" xfId="37446" xr:uid="{7293ACF5-597D-47F1-A1AE-C9E6E34F3819}"/>
    <cellStyle name="Total 18 3" xfId="19594" xr:uid="{7CBF8DBE-8703-4A01-98CB-EAD7720C0D1D}"/>
    <cellStyle name="Total 18 3 2" xfId="23211" xr:uid="{14A86E97-0F4C-463E-935D-33BE253978BD}"/>
    <cellStyle name="Total 18 4" xfId="37447" xr:uid="{BE6AFA75-5C66-4CB5-9DC5-B7E160EB31C3}"/>
    <cellStyle name="Total 18 5" xfId="37448" xr:uid="{5DD11C3F-8357-4E85-B191-0FFC1D1B73E8}"/>
    <cellStyle name="Total 18 6" xfId="37449" xr:uid="{C43064EB-BF87-401E-9476-A4F6D4035A86}"/>
    <cellStyle name="Total 18 7" xfId="37450" xr:uid="{A534A925-38C8-4465-86AA-EB66AA0DF257}"/>
    <cellStyle name="Total 19" xfId="3775" xr:uid="{6813612C-8255-4005-B66E-21A9C4C1175A}"/>
    <cellStyle name="Total 19 2" xfId="16587" xr:uid="{C95D946F-2B34-4A06-9D7C-4A577D1FAD40}"/>
    <cellStyle name="Total 19 2 2" xfId="19597" xr:uid="{012BF53D-FA7E-42E5-A689-31BEA96C090D}"/>
    <cellStyle name="Total 19 2 2 2" xfId="23214" xr:uid="{836FDE30-1B47-49AF-B8A5-F955B0854DA3}"/>
    <cellStyle name="Total 19 2 3" xfId="37451" xr:uid="{60B2E5E0-3481-4B46-BAB1-4223A1083DC8}"/>
    <cellStyle name="Total 19 2 4" xfId="37452" xr:uid="{FDA9C317-3B09-4500-8801-4E02A025E9E2}"/>
    <cellStyle name="Total 19 2 5" xfId="37453" xr:uid="{38430D58-224B-4281-AFFE-A56C79D7B0AE}"/>
    <cellStyle name="Total 19 2 6" xfId="37454" xr:uid="{2F446164-7F2F-4239-9435-832328D64ADD}"/>
    <cellStyle name="Total 19 3" xfId="19596" xr:uid="{BBE25654-C83A-4805-A170-816B4F78407B}"/>
    <cellStyle name="Total 19 3 2" xfId="23213" xr:uid="{3F462452-9CE3-45FC-9CB8-010DCFB97B26}"/>
    <cellStyle name="Total 19 4" xfId="37455" xr:uid="{60A766B3-42FF-470A-B75A-BD1A7F9B85BE}"/>
    <cellStyle name="Total 19 5" xfId="37456" xr:uid="{8FC7BCB6-D6F4-4CF4-AA57-93D252898C45}"/>
    <cellStyle name="Total 19 6" xfId="37457" xr:uid="{452B5583-0483-4BB1-B71D-9605F0346C39}"/>
    <cellStyle name="Total 19 7" xfId="37458" xr:uid="{1C94780B-5965-40F5-B09E-E45D569492EE}"/>
    <cellStyle name="Total 2" xfId="3776" xr:uid="{2B73A93B-FA8B-4C07-BB73-C33442C377A6}"/>
    <cellStyle name="Total 2 10" xfId="8045" xr:uid="{E59D2B27-013F-4D0F-8C22-D341044FBD89}"/>
    <cellStyle name="Total 2 10 2" xfId="23215" xr:uid="{0EAFC722-350F-4612-B084-6756F2482CF1}"/>
    <cellStyle name="Total 2 10 3" xfId="19598" xr:uid="{A127C77F-90B8-4EFE-A156-8A15B99D8621}"/>
    <cellStyle name="Total 2 11" xfId="37459" xr:uid="{ABB8525C-B12E-42BD-9D7B-1054BA4B5DE1}"/>
    <cellStyle name="Total 2 12" xfId="37460" xr:uid="{D8EECE5E-FA98-4FA4-B840-1C43C2BB8E51}"/>
    <cellStyle name="Total 2 13" xfId="37461" xr:uid="{7C99755C-A252-4B44-AF64-52555755EDE8}"/>
    <cellStyle name="Total 2 14" xfId="37462" xr:uid="{9E964DCC-2AAD-4B01-A15D-8D86B824EFEC}"/>
    <cellStyle name="Total 2 15" xfId="37463" xr:uid="{E098626A-5AE1-439F-B2D6-9BF3082C3749}"/>
    <cellStyle name="Total 2 16" xfId="37464" xr:uid="{8FF6B096-CC95-4EFD-AA93-FD3D14CA8379}"/>
    <cellStyle name="Total 2 2" xfId="3777" xr:uid="{5639B31B-7C45-4066-ACA3-F5282DFFFAE2}"/>
    <cellStyle name="Total 2 2 2" xfId="19599" xr:uid="{A5CEC135-9CAE-4797-AE4C-84A800DEFA1A}"/>
    <cellStyle name="Total 2 2 2 2" xfId="23216" xr:uid="{15B6E4A9-9996-4066-93DC-7BDC01C17519}"/>
    <cellStyle name="Total 2 2 3" xfId="37465" xr:uid="{80D5096F-45B9-4B28-8C6E-AE893FD119AF}"/>
    <cellStyle name="Total 2 2 4" xfId="37466" xr:uid="{9E5B9E53-546D-4329-8E45-E62FEAC037A5}"/>
    <cellStyle name="Total 2 2 5" xfId="37467" xr:uid="{3A2DBA42-901F-4FBF-BEF8-6AC3951BCA15}"/>
    <cellStyle name="Total 2 2 6" xfId="37468" xr:uid="{AA3354D0-01AE-4EE3-90EF-CE2AA312A356}"/>
    <cellStyle name="Total 2 2 7" xfId="37469" xr:uid="{D2A5F1C8-C973-4CBD-9CA9-76D530108D13}"/>
    <cellStyle name="Total 2 3" xfId="3778" xr:uid="{FA7CB500-3B44-49FE-B774-3FB20E607F64}"/>
    <cellStyle name="Total 2 3 2" xfId="19600" xr:uid="{B531C912-1B72-4BF4-A489-CA7F52C78780}"/>
    <cellStyle name="Total 2 3 2 2" xfId="23217" xr:uid="{10D874E2-3471-43BE-A190-5CE90C661776}"/>
    <cellStyle name="Total 2 3 3" xfId="37470" xr:uid="{08FC6DB2-E918-463E-A875-A75950134890}"/>
    <cellStyle name="Total 2 3 4" xfId="37471" xr:uid="{CD768108-B775-47D1-BEF3-1E8342F455E1}"/>
    <cellStyle name="Total 2 3 5" xfId="37472" xr:uid="{F3D24567-59F7-4CA6-A8BF-945D185353E8}"/>
    <cellStyle name="Total 2 3 6" xfId="37473" xr:uid="{EC5EA8C9-29CD-4716-BBF0-1073C5BC2133}"/>
    <cellStyle name="Total 2 3 7" xfId="37474" xr:uid="{E5B9789E-F5C0-4BE2-8D3A-9CE365CFFBD6}"/>
    <cellStyle name="Total 2 4" xfId="3779" xr:uid="{EDDA35F3-A144-4A5F-A470-B79D81E101C5}"/>
    <cellStyle name="Total 2 4 2" xfId="19601" xr:uid="{07A3E1AA-3EC2-4CB3-ACB4-08F7CBB699FA}"/>
    <cellStyle name="Total 2 4 2 2" xfId="23218" xr:uid="{E2BCB9C0-D35A-49E3-9052-3A34A62EB5AA}"/>
    <cellStyle name="Total 2 4 3" xfId="37475" xr:uid="{37C86E37-502A-480E-844A-DFE729547761}"/>
    <cellStyle name="Total 2 4 4" xfId="37476" xr:uid="{6D553128-6126-4889-83BF-2F8C122590B7}"/>
    <cellStyle name="Total 2 4 5" xfId="37477" xr:uid="{0B98A92D-8660-408B-8B3E-C2B120158B35}"/>
    <cellStyle name="Total 2 4 6" xfId="37478" xr:uid="{3A7FF66C-9919-4ABE-A4C1-9BE3C817C966}"/>
    <cellStyle name="Total 2 4 7" xfId="37479" xr:uid="{1675C15E-11C7-4A7E-84DF-9080EDE5B409}"/>
    <cellStyle name="Total 2 5" xfId="3780" xr:uid="{50C4A515-F3AA-4260-B045-ECC8AAE2E6ED}"/>
    <cellStyle name="Total 2 5 2" xfId="19602" xr:uid="{DF23AC35-498D-4510-8574-88E5A92C689A}"/>
    <cellStyle name="Total 2 5 2 2" xfId="23219" xr:uid="{544A3CBD-7AE9-4C77-8653-2000D846A3C8}"/>
    <cellStyle name="Total 2 5 3" xfId="37480" xr:uid="{4427D710-600F-46E2-A33A-2BE78627814D}"/>
    <cellStyle name="Total 2 5 4" xfId="37481" xr:uid="{F327FAB8-CF0A-4FB8-8788-F4AFEF1455F6}"/>
    <cellStyle name="Total 2 5 5" xfId="37482" xr:uid="{E9021DBF-9CC1-4A49-887F-DB929460F278}"/>
    <cellStyle name="Total 2 5 6" xfId="37483" xr:uid="{718401D8-D1BE-40AA-807E-810B6C5B58BF}"/>
    <cellStyle name="Total 2 5 7" xfId="37484" xr:uid="{29B17701-C0EF-4E65-8F32-52EB45966D53}"/>
    <cellStyle name="Total 2 6" xfId="3781" xr:uid="{930D7164-2399-4E00-86DA-7A5F4BF34EEC}"/>
    <cellStyle name="Total 2 6 2" xfId="19603" xr:uid="{E2C85B66-1D5B-451F-926B-BE84024B6D6F}"/>
    <cellStyle name="Total 2 6 2 2" xfId="23220" xr:uid="{1419DACD-41C8-4D0A-9482-2F2A3D866C04}"/>
    <cellStyle name="Total 2 6 3" xfId="37485" xr:uid="{91F55891-2146-4F14-9D81-DA267A28DDFA}"/>
    <cellStyle name="Total 2 6 4" xfId="37486" xr:uid="{901C1CA8-5F16-4685-9FFE-91324260DA5F}"/>
    <cellStyle name="Total 2 6 5" xfId="37487" xr:uid="{0B05D733-6D26-4EA3-A392-CF82C74060CE}"/>
    <cellStyle name="Total 2 6 6" xfId="37488" xr:uid="{59939761-F164-435B-80BC-E6F7D539E07B}"/>
    <cellStyle name="Total 2 6 7" xfId="37489" xr:uid="{1C313BAF-EA7A-41C8-8BE0-1C94EE704E5E}"/>
    <cellStyle name="Total 2 7" xfId="3782" xr:uid="{B5F29951-0173-435A-B929-3576637A4934}"/>
    <cellStyle name="Total 2 7 2" xfId="19604" xr:uid="{99EAA240-BD08-49BC-98B6-1E0B224BFCFD}"/>
    <cellStyle name="Total 2 7 2 2" xfId="23221" xr:uid="{D5E108DC-6375-44BA-A76C-A2A057BE73DC}"/>
    <cellStyle name="Total 2 7 3" xfId="37490" xr:uid="{62D8AD19-DC75-4C92-B282-23C6366A81D8}"/>
    <cellStyle name="Total 2 7 4" xfId="37491" xr:uid="{58D39EB4-8E0C-4EC3-ACF9-96FFEC719521}"/>
    <cellStyle name="Total 2 7 5" xfId="37492" xr:uid="{C8454059-4B0C-4ACC-92C7-E3430D855BAC}"/>
    <cellStyle name="Total 2 7 6" xfId="37493" xr:uid="{C3291C64-7CE3-4B8F-AF5D-21C9DE48F466}"/>
    <cellStyle name="Total 2 7 7" xfId="37494" xr:uid="{615B4C0D-2C19-4B16-A5E9-FCDC6FCFD09A}"/>
    <cellStyle name="Total 2 8" xfId="3783" xr:uid="{3107C75B-83D4-43A6-AB1B-CECFC3772B1B}"/>
    <cellStyle name="Total 2 8 2" xfId="19605" xr:uid="{A25D6B79-7578-4702-9AA2-CF9CB64EE59A}"/>
    <cellStyle name="Total 2 8 2 2" xfId="23222" xr:uid="{961EB603-14A1-42F8-92B8-AC80E85620F0}"/>
    <cellStyle name="Total 2 8 3" xfId="37495" xr:uid="{548473EF-A812-472C-943B-B88A1F797EC0}"/>
    <cellStyle name="Total 2 8 4" xfId="37496" xr:uid="{088C9B11-DC2A-4E6F-95C8-AA35FC7808C1}"/>
    <cellStyle name="Total 2 8 5" xfId="37497" xr:uid="{F290840A-B3D0-4038-8540-BE66841BD077}"/>
    <cellStyle name="Total 2 8 6" xfId="37498" xr:uid="{A827C88D-3A58-4AC5-8FC5-AC283D1DE4FC}"/>
    <cellStyle name="Total 2 8 7" xfId="37499" xr:uid="{2619D062-812F-4F53-97B8-040498448A13}"/>
    <cellStyle name="Total 2 9" xfId="3784" xr:uid="{A5FCCDF5-6C62-42DE-BB3A-5F16C6C17CD6}"/>
    <cellStyle name="Total 2 9 2" xfId="19606" xr:uid="{9A2ADFB5-F30C-4F09-B471-FE4F733C8014}"/>
    <cellStyle name="Total 2 9 2 2" xfId="23223" xr:uid="{A2FCFB70-8A83-45EF-B463-4951A970E74D}"/>
    <cellStyle name="Total 2 9 3" xfId="37500" xr:uid="{BFEF6634-D48A-43F6-88DE-10283C8BD616}"/>
    <cellStyle name="Total 2 9 4" xfId="37501" xr:uid="{89FE952A-6982-4891-880E-88463A43E1D5}"/>
    <cellStyle name="Total 2 9 5" xfId="37502" xr:uid="{0F1D534E-7524-4722-BF80-873F328979D8}"/>
    <cellStyle name="Total 2 9 6" xfId="37503" xr:uid="{5D579511-8183-42EC-9B77-BCFF1E5DEC33}"/>
    <cellStyle name="Total 2 9 7" xfId="37504" xr:uid="{A5ACA9A6-B975-4158-AF7B-7FA37EB0D724}"/>
    <cellStyle name="Total 20" xfId="3785" xr:uid="{472CDAA8-BF2E-41E3-9D3B-0964E526289A}"/>
    <cellStyle name="Total 20 2" xfId="16588" xr:uid="{7BACC9B6-9961-45F6-AFC3-A0D6DD461956}"/>
    <cellStyle name="Total 20 2 2" xfId="19608" xr:uid="{BF81DD1B-DFAE-4509-9B97-FAB72B8A756C}"/>
    <cellStyle name="Total 20 2 2 2" xfId="23225" xr:uid="{B4EE33C7-8F02-4221-BA64-A84C65C7C7BE}"/>
    <cellStyle name="Total 20 2 3" xfId="37505" xr:uid="{DE53F16F-20BC-4513-8636-BBD0BABB34FD}"/>
    <cellStyle name="Total 20 2 4" xfId="37506" xr:uid="{FF59B0AA-EBAF-4F2D-B2FF-6613FEC0ACF2}"/>
    <cellStyle name="Total 20 2 5" xfId="37507" xr:uid="{3B1A072A-5CCA-4B9A-B14C-E65BDB4BACDC}"/>
    <cellStyle name="Total 20 2 6" xfId="37508" xr:uid="{99AABCD4-89A9-4DED-9313-8133A821F35B}"/>
    <cellStyle name="Total 20 3" xfId="19607" xr:uid="{A4955F6D-53DE-4525-8669-2A44258DBC10}"/>
    <cellStyle name="Total 20 3 2" xfId="23224" xr:uid="{12890DF1-D179-49BB-8DA2-9E46B5DC6CB0}"/>
    <cellStyle name="Total 20 4" xfId="37509" xr:uid="{9D288B56-07FB-473C-9FC1-3FA6F2BA3043}"/>
    <cellStyle name="Total 20 5" xfId="37510" xr:uid="{4FFE2D8E-B8F1-4701-8201-629BE817858B}"/>
    <cellStyle name="Total 20 6" xfId="37511" xr:uid="{3DA27AAF-592F-4CBD-832A-0D00D2FC510A}"/>
    <cellStyle name="Total 20 7" xfId="37512" xr:uid="{2F5CAD84-50E3-43D5-9F61-51BDE476F8AE}"/>
    <cellStyle name="Total 21" xfId="16589" xr:uid="{15A8B499-CDB0-4270-A749-0B5A8DE053F9}"/>
    <cellStyle name="Total 21 2" xfId="19609" xr:uid="{2A368E47-93C3-4777-9571-49A8EE62B370}"/>
    <cellStyle name="Total 21 2 2" xfId="23226" xr:uid="{EFB48844-E429-43CA-8AB9-D9C127BAD811}"/>
    <cellStyle name="Total 21 3" xfId="37513" xr:uid="{47397EAB-ABF7-4209-98D2-4448378F2859}"/>
    <cellStyle name="Total 21 4" xfId="37514" xr:uid="{0B4FBD58-351D-47E7-9B75-D5BF711D4A45}"/>
    <cellStyle name="Total 21 5" xfId="37515" xr:uid="{BCB10CBB-5292-497F-9BD6-DAE8917DA4F3}"/>
    <cellStyle name="Total 21 6" xfId="37516" xr:uid="{F04A486C-E9C7-4170-8488-A39194C42D92}"/>
    <cellStyle name="Total 22" xfId="15268" xr:uid="{14763832-FFF1-442A-9708-42ADF6968799}"/>
    <cellStyle name="Total 22 2" xfId="37518" xr:uid="{B2F967FE-CA7B-4F03-8CC0-8D74698F9B5B}"/>
    <cellStyle name="Total 22 3" xfId="37517" xr:uid="{CFC3EA8E-46F3-46FC-92FD-B9DFC4EAC942}"/>
    <cellStyle name="Total 23" xfId="37519" xr:uid="{477CB041-0203-461A-BC1D-D6189A64405C}"/>
    <cellStyle name="Total 24" xfId="37520" xr:uid="{774F4B2C-5E8E-40A3-B053-4773101979A5}"/>
    <cellStyle name="Total 25" xfId="37521" xr:uid="{58490FC0-F615-407B-8064-E77FEC008335}"/>
    <cellStyle name="Total 3" xfId="3786" xr:uid="{E30A85C3-9EC7-45AD-B1E7-467F32730958}"/>
    <cellStyle name="Total 3 10" xfId="3787" xr:uid="{6B1FC431-A8D2-4AEE-ADE6-DC8B798972AD}"/>
    <cellStyle name="Total 3 10 2" xfId="19611" xr:uid="{C529C2AE-9303-4F55-9082-04750DA69235}"/>
    <cellStyle name="Total 3 10 2 2" xfId="23228" xr:uid="{E92E15D6-7571-476D-A753-CCC1FEE5DADC}"/>
    <cellStyle name="Total 3 10 3" xfId="37522" xr:uid="{EF88DBD8-B94D-42A0-87E6-F696D7C814EB}"/>
    <cellStyle name="Total 3 10 4" xfId="37523" xr:uid="{0246B39F-0691-4E07-9609-D40498F7ED79}"/>
    <cellStyle name="Total 3 10 5" xfId="37524" xr:uid="{05E66D8F-9411-43DF-80AE-CC2B756FDDB4}"/>
    <cellStyle name="Total 3 10 6" xfId="37525" xr:uid="{C3CF97F7-58B3-44CB-9D63-5F05E99250B6}"/>
    <cellStyle name="Total 3 11" xfId="3788" xr:uid="{00F097BD-3EB9-4056-BDBC-BCC89925C6D7}"/>
    <cellStyle name="Total 3 11 2" xfId="19612" xr:uid="{9889BA2B-4EDE-4454-9EBD-655A9349144A}"/>
    <cellStyle name="Total 3 11 2 2" xfId="23229" xr:uid="{DD5F84F4-5FAB-4960-8AA8-C90144234796}"/>
    <cellStyle name="Total 3 11 3" xfId="37526" xr:uid="{A8D216A7-5990-4691-8059-6E733A1CBA69}"/>
    <cellStyle name="Total 3 11 4" xfId="37527" xr:uid="{8253D738-941C-4302-9D46-2A87F32D9711}"/>
    <cellStyle name="Total 3 11 5" xfId="37528" xr:uid="{12498656-3A73-4C39-9444-941D7A8F9859}"/>
    <cellStyle name="Total 3 11 6" xfId="37529" xr:uid="{3B9DD540-E84F-40E7-8348-2E824074A235}"/>
    <cellStyle name="Total 3 12" xfId="3789" xr:uid="{E18F0ECA-A50F-49B0-84C7-F36C301D80F0}"/>
    <cellStyle name="Total 3 12 2" xfId="19613" xr:uid="{908B942B-367C-43AE-A7A6-E78F63B5B699}"/>
    <cellStyle name="Total 3 12 2 2" xfId="23230" xr:uid="{C724401D-4782-4642-97ED-7F29FD069BBF}"/>
    <cellStyle name="Total 3 12 3" xfId="37530" xr:uid="{A31B81C9-CF98-4A84-8A7B-A1E9B7B22E99}"/>
    <cellStyle name="Total 3 12 4" xfId="37531" xr:uid="{CD250639-6716-49ED-9C25-8A3EF1785E48}"/>
    <cellStyle name="Total 3 12 5" xfId="37532" xr:uid="{0752F0FA-FA38-49E7-A979-EBFDF3B1231B}"/>
    <cellStyle name="Total 3 12 6" xfId="37533" xr:uid="{F19C031B-86DA-4B5B-B06D-F72C2D699F18}"/>
    <cellStyle name="Total 3 13" xfId="3790" xr:uid="{CC5ED652-44D1-4494-905B-4B2DD6D239A7}"/>
    <cellStyle name="Total 3 13 2" xfId="19614" xr:uid="{87884099-64D7-45B2-A24E-AC033E30CD65}"/>
    <cellStyle name="Total 3 13 2 2" xfId="23231" xr:uid="{C6CDE3E8-C8B3-4CC1-BAD7-8B072DBCC4C2}"/>
    <cellStyle name="Total 3 13 3" xfId="37534" xr:uid="{1892FCD7-F9ED-486A-AF50-760BAAA03B7B}"/>
    <cellStyle name="Total 3 13 4" xfId="37535" xr:uid="{71CF2044-6EAF-4D09-85B9-621036FCEB6E}"/>
    <cellStyle name="Total 3 13 5" xfId="37536" xr:uid="{95413652-D926-4439-997D-3F97D73FE346}"/>
    <cellStyle name="Total 3 13 6" xfId="37537" xr:uid="{4A70D0C1-AF7A-4F39-AB6E-509F32F6469A}"/>
    <cellStyle name="Total 3 14" xfId="3791" xr:uid="{2CA6C26A-5DE1-4EA2-B4ED-D1E62765C0BC}"/>
    <cellStyle name="Total 3 14 2" xfId="19615" xr:uid="{1DE11105-D09C-469B-81BD-452110E72C96}"/>
    <cellStyle name="Total 3 14 2 2" xfId="23232" xr:uid="{9FDC0E7C-E0C0-4445-B40B-A877C3A05EE7}"/>
    <cellStyle name="Total 3 14 3" xfId="37538" xr:uid="{411E98C3-E213-4138-AFB2-381B692C709E}"/>
    <cellStyle name="Total 3 14 4" xfId="37539" xr:uid="{81D9ECCD-BA79-43AC-AED3-350733E37148}"/>
    <cellStyle name="Total 3 14 5" xfId="37540" xr:uid="{4118EB52-91D9-4033-970E-9DF11146598B}"/>
    <cellStyle name="Total 3 14 6" xfId="37541" xr:uid="{371E7C83-253C-4308-A470-F09FADCFF20D}"/>
    <cellStyle name="Total 3 15" xfId="16590" xr:uid="{74534A21-177E-40B1-B3C2-EFE5114015A0}"/>
    <cellStyle name="Total 3 15 2" xfId="19616" xr:uid="{80F92782-23FC-4377-9C48-E68674091F1C}"/>
    <cellStyle name="Total 3 15 2 2" xfId="23233" xr:uid="{B525992B-9E24-4C53-8354-721D85A7F7AC}"/>
    <cellStyle name="Total 3 15 3" xfId="37542" xr:uid="{7022BFCE-FFBD-40E2-B6D8-AF4D644C9235}"/>
    <cellStyle name="Total 3 15 4" xfId="37543" xr:uid="{AF73277B-B196-4DF8-BD6E-1D2C2752D03D}"/>
    <cellStyle name="Total 3 15 5" xfId="37544" xr:uid="{C00C372E-C096-4760-A842-AF5F179A1A90}"/>
    <cellStyle name="Total 3 15 6" xfId="37545" xr:uid="{BA69F6E6-B041-4FE3-B994-38B01F28D56F}"/>
    <cellStyle name="Total 3 16" xfId="19610" xr:uid="{FD1CB1CE-86C6-4AE1-89CB-5AC1CC2F829C}"/>
    <cellStyle name="Total 3 16 2" xfId="23227" xr:uid="{D7AC2AB1-A536-4816-9C36-DAF6CE003F46}"/>
    <cellStyle name="Total 3 17" xfId="37546" xr:uid="{0378CCE9-A8A5-4E1D-BF00-9076D0BE921C}"/>
    <cellStyle name="Total 3 18" xfId="37547" xr:uid="{741A5D1C-0BB6-46D8-8E51-9E403ABF929E}"/>
    <cellStyle name="Total 3 19" xfId="37548" xr:uid="{EB39AFDB-A123-44A0-8A40-B25EC6BCA5EE}"/>
    <cellStyle name="Total 3 2" xfId="3792" xr:uid="{6C42F5BD-FE02-47C4-8C35-D67E149B004C}"/>
    <cellStyle name="Total 3 2 2" xfId="19617" xr:uid="{14DA24C6-0FB0-49D7-8B82-AE3E4863DD63}"/>
    <cellStyle name="Total 3 2 2 2" xfId="23234" xr:uid="{44FA38FE-4287-4517-8CF1-8E76A1A364A4}"/>
    <cellStyle name="Total 3 2 3" xfId="37549" xr:uid="{B7ECCAB7-4CD0-4115-9D09-4CBC83A97C36}"/>
    <cellStyle name="Total 3 2 4" xfId="37550" xr:uid="{C1762A10-224F-46B5-9248-57BFA5C9E39E}"/>
    <cellStyle name="Total 3 2 5" xfId="37551" xr:uid="{E0201189-3E38-4416-A2AA-087DCA99A873}"/>
    <cellStyle name="Total 3 2 6" xfId="37552" xr:uid="{BB0A8D1E-DC24-4269-82D2-C73564B39808}"/>
    <cellStyle name="Total 3 2 7" xfId="37553" xr:uid="{C7BDBC46-35F1-4124-B329-1312589DA2E6}"/>
    <cellStyle name="Total 3 20" xfId="37554" xr:uid="{E2068B71-1C5C-430A-BCEE-B08F6ECA97D7}"/>
    <cellStyle name="Total 3 21" xfId="37555" xr:uid="{7F9F4523-EBF6-46AC-8CAF-FE5EA4FB4930}"/>
    <cellStyle name="Total 3 3" xfId="3793" xr:uid="{6F09C0A2-4637-43B0-B09C-A49CC524C9CC}"/>
    <cellStyle name="Total 3 3 2" xfId="19618" xr:uid="{04E451A0-2EBC-4CB0-90E9-D96A01A1077F}"/>
    <cellStyle name="Total 3 3 2 2" xfId="23235" xr:uid="{8F0D4C8B-3096-410D-B42B-244301648C69}"/>
    <cellStyle name="Total 3 3 3" xfId="37556" xr:uid="{0472673A-7BDD-45BB-856C-5D69F7CA3A68}"/>
    <cellStyle name="Total 3 3 4" xfId="37557" xr:uid="{553A2803-710B-4A12-A420-AFB070EC5037}"/>
    <cellStyle name="Total 3 3 5" xfId="37558" xr:uid="{B9765313-88F5-4F3A-BC41-2B0D3E77551B}"/>
    <cellStyle name="Total 3 3 6" xfId="37559" xr:uid="{A5458083-9D28-4349-952E-B67812D93BED}"/>
    <cellStyle name="Total 3 4" xfId="3794" xr:uid="{695CD3AC-794E-467A-804E-E48D3FCE4020}"/>
    <cellStyle name="Total 3 4 2" xfId="19619" xr:uid="{CFC16E38-FC15-4F2B-B1A2-56E0661257F2}"/>
    <cellStyle name="Total 3 4 2 2" xfId="23236" xr:uid="{07A9A87E-6A97-4B4A-9E16-BDEB4AA9EA09}"/>
    <cellStyle name="Total 3 4 3" xfId="37560" xr:uid="{6A303604-0028-44A5-8993-4CE41683E40A}"/>
    <cellStyle name="Total 3 4 4" xfId="37561" xr:uid="{CCA236B5-3C47-4F02-860B-0BF3A80000DD}"/>
    <cellStyle name="Total 3 4 5" xfId="37562" xr:uid="{7AFA8338-A80D-421D-A8C3-37E4BB57709A}"/>
    <cellStyle name="Total 3 4 6" xfId="37563" xr:uid="{3F686E3C-C023-44B6-8B83-26D6AB8BFB14}"/>
    <cellStyle name="Total 3 5" xfId="3795" xr:uid="{F462139D-E102-47BC-82E5-A0AFFC4A44CC}"/>
    <cellStyle name="Total 3 5 2" xfId="19620" xr:uid="{481D6F37-957F-4F82-B34C-5F09B5F141DC}"/>
    <cellStyle name="Total 3 5 2 2" xfId="23237" xr:uid="{FDBBBD2D-B591-4ABF-AC84-9309EC7174CE}"/>
    <cellStyle name="Total 3 5 3" xfId="37564" xr:uid="{A1816974-EE55-4DED-A125-832A85337CD5}"/>
    <cellStyle name="Total 3 5 4" xfId="37565" xr:uid="{6F73CDA5-428D-44A3-9236-E39AA1DC9243}"/>
    <cellStyle name="Total 3 5 5" xfId="37566" xr:uid="{E9869A77-6F61-4ABB-BA4D-402C77BA94CA}"/>
    <cellStyle name="Total 3 5 6" xfId="37567" xr:uid="{08CACCAB-BE71-40B4-9B57-C31DCE7A98DA}"/>
    <cellStyle name="Total 3 6" xfId="3796" xr:uid="{0F0BBB04-DBAE-47C8-B03E-BD33342FBFEF}"/>
    <cellStyle name="Total 3 6 2" xfId="19621" xr:uid="{0BF9C301-257B-40AD-ADF4-C6793FD9C99B}"/>
    <cellStyle name="Total 3 6 2 2" xfId="23238" xr:uid="{EFC8C7FD-8352-40C9-B679-2827D6B3D43F}"/>
    <cellStyle name="Total 3 6 3" xfId="37568" xr:uid="{84600F4B-5D47-43D5-9F08-C29CAB5A9548}"/>
    <cellStyle name="Total 3 6 4" xfId="37569" xr:uid="{7AF12CC3-0BE5-411D-BB0A-8B4E3E476422}"/>
    <cellStyle name="Total 3 6 5" xfId="37570" xr:uid="{838AFED3-B68A-40E2-BCF8-7DE53BE3CB61}"/>
    <cellStyle name="Total 3 6 6" xfId="37571" xr:uid="{70C3EFE5-7E63-4E52-A39E-6BEA00E214AA}"/>
    <cellStyle name="Total 3 7" xfId="3797" xr:uid="{0085C2E2-21AF-4D94-9365-863B2B6E631E}"/>
    <cellStyle name="Total 3 7 2" xfId="19622" xr:uid="{087001CE-20D1-4912-9423-2EB46F46228A}"/>
    <cellStyle name="Total 3 7 2 2" xfId="23239" xr:uid="{B8F1D745-A60A-4257-BA60-13EE4A62CC05}"/>
    <cellStyle name="Total 3 7 3" xfId="37572" xr:uid="{9DC44E12-FA4B-4123-B1F6-547BDC3FAD6D}"/>
    <cellStyle name="Total 3 7 4" xfId="37573" xr:uid="{25D2121F-8B45-42BD-8AA0-0EAACD9FEE62}"/>
    <cellStyle name="Total 3 7 5" xfId="37574" xr:uid="{7AE83334-B345-41EA-B597-FA7B28CE2013}"/>
    <cellStyle name="Total 3 7 6" xfId="37575" xr:uid="{6616BE80-04FE-45A8-BB4A-5B9F9EFA9521}"/>
    <cellStyle name="Total 3 8" xfId="3798" xr:uid="{8B4FEC93-F211-4F92-A67A-838FA384686F}"/>
    <cellStyle name="Total 3 8 2" xfId="19623" xr:uid="{DE60BD2C-7C54-400E-AEF0-8CE75F9D1D0A}"/>
    <cellStyle name="Total 3 8 2 2" xfId="23240" xr:uid="{A857A0B7-F692-4ADD-81BB-56C4BBAD677C}"/>
    <cellStyle name="Total 3 8 3" xfId="37576" xr:uid="{3FF3506A-EF33-4F6C-A1E7-868BC2E0B234}"/>
    <cellStyle name="Total 3 8 4" xfId="37577" xr:uid="{942EBB78-A5B0-4EB1-8F40-017585C292F2}"/>
    <cellStyle name="Total 3 8 5" xfId="37578" xr:uid="{EFFE9687-2083-41E3-8CAB-FEADC2B37520}"/>
    <cellStyle name="Total 3 8 6" xfId="37579" xr:uid="{FF941056-D6A4-4230-B320-7B4E403559D2}"/>
    <cellStyle name="Total 3 9" xfId="3799" xr:uid="{4F9575F5-1ABC-427A-85F6-2CC7B88B7A1A}"/>
    <cellStyle name="Total 3 9 2" xfId="19624" xr:uid="{0F8ED787-D82E-4485-A54D-F44B863A4A4F}"/>
    <cellStyle name="Total 3 9 2 2" xfId="23241" xr:uid="{2C52D9EE-B347-4ADB-9261-860075BCB264}"/>
    <cellStyle name="Total 3 9 3" xfId="37580" xr:uid="{CEB805C9-F9AC-460A-A50C-0AC31DF583FE}"/>
    <cellStyle name="Total 3 9 4" xfId="37581" xr:uid="{EC454652-43E5-438D-8F30-D3AC7E8429C8}"/>
    <cellStyle name="Total 3 9 5" xfId="37582" xr:uid="{7C0931C7-FAB7-4C4F-A509-E11B4B7CE5E3}"/>
    <cellStyle name="Total 3 9 6" xfId="37583" xr:uid="{55140C6A-6803-4A56-A532-CEA2B0AAFFF8}"/>
    <cellStyle name="Total 4" xfId="3800" xr:uid="{24E2F071-3704-4E73-84BE-6C9986E86F82}"/>
    <cellStyle name="Total 4 2" xfId="3801" xr:uid="{7D543594-9297-4A9A-B704-6B2B579506C7}"/>
    <cellStyle name="Total 4 2 2" xfId="19626" xr:uid="{DBA1A58A-CDAD-4ABA-A867-91F7837D1ED8}"/>
    <cellStyle name="Total 4 2 2 2" xfId="23243" xr:uid="{1988F365-E5F3-42DB-89FB-6395AB559559}"/>
    <cellStyle name="Total 4 2 3" xfId="37584" xr:uid="{4C7D7740-AA10-4C2D-8B97-43D9078F7FF0}"/>
    <cellStyle name="Total 4 2 4" xfId="37585" xr:uid="{09FF6E26-D222-4D22-B371-64E4EA77E7DF}"/>
    <cellStyle name="Total 4 2 5" xfId="37586" xr:uid="{29E4642F-5D22-45A3-8213-684521E71E34}"/>
    <cellStyle name="Total 4 2 6" xfId="37587" xr:uid="{63EB61CE-9CCB-43BB-BAA5-08802F71A53E}"/>
    <cellStyle name="Total 4 2 7" xfId="37588" xr:uid="{20D1B1DD-9739-4248-BA95-F015CC30F677}"/>
    <cellStyle name="Total 4 3" xfId="19625" xr:uid="{7C3A9178-B208-453F-8A60-53B565917900}"/>
    <cellStyle name="Total 4 3 2" xfId="23242" xr:uid="{4BB5853D-62D6-4736-9947-D8646F2A9615}"/>
    <cellStyle name="Total 4 4" xfId="37589" xr:uid="{48D0E54E-8827-4C4C-B784-5E0C5C6F27F8}"/>
    <cellStyle name="Total 4 5" xfId="37590" xr:uid="{61913C0F-67A1-44C4-B0C7-0CA7BDD10557}"/>
    <cellStyle name="Total 4 6" xfId="37591" xr:uid="{94F58373-5F33-4BA6-AB9F-BFF21706EA36}"/>
    <cellStyle name="Total 4 7" xfId="37592" xr:uid="{CAE3F185-E109-4C01-9CB0-0F58703F88F7}"/>
    <cellStyle name="Total 4 8" xfId="37593" xr:uid="{81B45082-73FA-4A16-80A1-0D21C76F24B4}"/>
    <cellStyle name="Total 5" xfId="3802" xr:uid="{7DCFD152-3C7A-46BD-AC78-3B9F599B3333}"/>
    <cellStyle name="Total 5 2" xfId="3803" xr:uid="{FE10F41C-BB53-4D90-B523-13BE83C2B0DE}"/>
    <cellStyle name="Total 5 2 2" xfId="19628" xr:uid="{975BEEF4-B3F3-4E21-BE6C-C681CCDA6210}"/>
    <cellStyle name="Total 5 2 2 2" xfId="23245" xr:uid="{D7511277-BC78-4EB9-9795-B9E8A9C3B6DE}"/>
    <cellStyle name="Total 5 2 3" xfId="37594" xr:uid="{7EBA813A-3DE9-4953-8B48-C7C80C8D3AB2}"/>
    <cellStyle name="Total 5 2 4" xfId="37595" xr:uid="{88FCB01F-1FE6-4A09-8ECE-4E7307F8FF52}"/>
    <cellStyle name="Total 5 2 5" xfId="37596" xr:uid="{988B01CE-0237-4B20-9EB9-35498962CE22}"/>
    <cellStyle name="Total 5 2 6" xfId="37597" xr:uid="{69C34B36-8D4D-4A66-9287-CF8CE01635CC}"/>
    <cellStyle name="Total 5 2 7" xfId="37598" xr:uid="{63B2C2EA-8E9F-4D85-BABE-9076D542BD83}"/>
    <cellStyle name="Total 5 3" xfId="19627" xr:uid="{1DB94B36-AE33-427B-B09D-503302BE3075}"/>
    <cellStyle name="Total 5 3 2" xfId="23244" xr:uid="{6791D017-0F69-4382-8DB9-F4B4549AD29C}"/>
    <cellStyle name="Total 5 4" xfId="37599" xr:uid="{FA8C847A-9D3B-447E-B6ED-BF960D979C65}"/>
    <cellStyle name="Total 5 5" xfId="37600" xr:uid="{A55F8E65-36A2-444F-B104-14F6605C0604}"/>
    <cellStyle name="Total 5 6" xfId="37601" xr:uid="{6A83A703-2837-4FCB-BE8C-2EC05EC178F8}"/>
    <cellStyle name="Total 5 7" xfId="37602" xr:uid="{39EC8AB6-8E83-46AF-9D45-C2D74E514673}"/>
    <cellStyle name="Total 5 8" xfId="37603" xr:uid="{FD0DD8E2-F78C-4BBC-8997-775C1A738C44}"/>
    <cellStyle name="Total 6" xfId="3804" xr:uid="{4F40542B-E045-42BA-BAE7-1F17D23E7906}"/>
    <cellStyle name="Total 6 2" xfId="3805" xr:uid="{7308B0F9-60B5-47D7-822D-775D87083034}"/>
    <cellStyle name="Total 6 2 2" xfId="19630" xr:uid="{1918BDA5-C153-4590-B66A-A42BFCDC15E1}"/>
    <cellStyle name="Total 6 2 2 2" xfId="23247" xr:uid="{2C5EA6D7-7C93-4321-8CDD-6BE73DFE6917}"/>
    <cellStyle name="Total 6 2 3" xfId="37604" xr:uid="{4FE0174C-FC67-404B-BC1D-443DC0549D21}"/>
    <cellStyle name="Total 6 2 4" xfId="37605" xr:uid="{7B07B685-4271-4CD5-8307-C6D98D2563A3}"/>
    <cellStyle name="Total 6 2 5" xfId="37606" xr:uid="{92D87DDA-063D-44E4-A84A-0A3F8FECC85C}"/>
    <cellStyle name="Total 6 2 6" xfId="37607" xr:uid="{BBE2E1F8-2F8D-4D07-AEF0-1EE3F35113BB}"/>
    <cellStyle name="Total 6 2 7" xfId="37608" xr:uid="{FA6F15F8-B8D9-4B67-ADC1-E44ECD753CB4}"/>
    <cellStyle name="Total 6 3" xfId="3806" xr:uid="{AE4DBA26-504E-4B66-80DF-94992EC68E7B}"/>
    <cellStyle name="Total 6 3 2" xfId="19631" xr:uid="{3174B400-4F19-48FB-A91D-B2252D1436B5}"/>
    <cellStyle name="Total 6 3 2 2" xfId="23248" xr:uid="{BC53E976-7B8F-4EEB-8878-F2CE22EFF3E6}"/>
    <cellStyle name="Total 6 3 3" xfId="37609" xr:uid="{1AAFA7D1-A3F9-48D5-B4B9-7AC8FBE755C9}"/>
    <cellStyle name="Total 6 3 4" xfId="37610" xr:uid="{9BA639FF-3C29-4D10-8A29-21192516464A}"/>
    <cellStyle name="Total 6 3 5" xfId="37611" xr:uid="{51A555BE-AC6E-4857-A74D-32E7DE29EF73}"/>
    <cellStyle name="Total 6 3 6" xfId="37612" xr:uid="{E7846A63-9084-4225-A587-93BEB2601393}"/>
    <cellStyle name="Total 6 4" xfId="19629" xr:uid="{802FA5E8-BE6B-4A1F-9070-4CE777856E55}"/>
    <cellStyle name="Total 6 4 2" xfId="23246" xr:uid="{191085D7-7FE2-481E-AA6C-1356B495E3EC}"/>
    <cellStyle name="Total 6 5" xfId="37613" xr:uid="{0A242E13-5131-44D6-AC04-86ECE85144AF}"/>
    <cellStyle name="Total 6 6" xfId="37614" xr:uid="{B4EDAE89-71C2-4ACE-A8CE-756B65C66F0A}"/>
    <cellStyle name="Total 6 7" xfId="37615" xr:uid="{3071A3D4-6017-4DBD-A89D-7C3DFF48C21E}"/>
    <cellStyle name="Total 6 8" xfId="37616" xr:uid="{A98E26B4-40D3-4DF8-B7B3-B2C6EE4C4EA6}"/>
    <cellStyle name="Total 6 9" xfId="37617" xr:uid="{2302CF82-F6BE-423B-AF16-B690ADB6B76D}"/>
    <cellStyle name="Total 7" xfId="3807" xr:uid="{79A6F946-BC20-40FE-AF80-596DA94DB691}"/>
    <cellStyle name="Total 7 2" xfId="3808" xr:uid="{5B9D73C8-6A32-42B1-AB63-D6F58CBAC28D}"/>
    <cellStyle name="Total 7 2 2" xfId="19633" xr:uid="{750582BC-77D0-4240-AB78-3EF2E3262B96}"/>
    <cellStyle name="Total 7 2 2 2" xfId="23250" xr:uid="{351CF54C-62C7-49A7-AC30-4C83CD18ED3D}"/>
    <cellStyle name="Total 7 2 3" xfId="37618" xr:uid="{BF3A52D8-A9C8-48FB-85C8-76FFFBC9F3F7}"/>
    <cellStyle name="Total 7 2 4" xfId="37619" xr:uid="{B8194373-16FB-4930-9501-E214855EEBFE}"/>
    <cellStyle name="Total 7 2 5" xfId="37620" xr:uid="{D97850E0-65CF-4001-A4B0-E27F4750EF14}"/>
    <cellStyle name="Total 7 2 6" xfId="37621" xr:uid="{F7E34913-0EC2-4B09-B1C6-0011F60904CC}"/>
    <cellStyle name="Total 7 2 7" xfId="37622" xr:uid="{6853574B-E692-42E5-9A5D-0D2E5023CB1F}"/>
    <cellStyle name="Total 7 3" xfId="3809" xr:uid="{40864E52-FF13-49B1-BF05-D7852194445B}"/>
    <cellStyle name="Total 7 3 2" xfId="19634" xr:uid="{6B1E7D79-2EE9-4B15-8C7A-E1AC2EAD1C54}"/>
    <cellStyle name="Total 7 3 2 2" xfId="23251" xr:uid="{569A1785-21C2-41B0-AC54-3ED6F61064F1}"/>
    <cellStyle name="Total 7 3 3" xfId="37623" xr:uid="{DF181399-546E-4FD7-8EDD-70C809A57779}"/>
    <cellStyle name="Total 7 3 4" xfId="37624" xr:uid="{A54BB007-D0BF-4D07-BE8A-6C917129EE9A}"/>
    <cellStyle name="Total 7 3 5" xfId="37625" xr:uid="{9F309EE9-6190-43B9-9F8C-147EFA2C5A7C}"/>
    <cellStyle name="Total 7 3 6" xfId="37626" xr:uid="{A26A22E1-F607-4995-B605-DC56DBF96A58}"/>
    <cellStyle name="Total 7 4" xfId="19632" xr:uid="{F91700C8-55FA-449A-919E-937151016005}"/>
    <cellStyle name="Total 7 4 2" xfId="23249" xr:uid="{48968FC3-8019-484C-AB75-B7A44847556D}"/>
    <cellStyle name="Total 7 5" xfId="37627" xr:uid="{BD8A8C68-AF59-475C-9FF1-C54EB0DA22EA}"/>
    <cellStyle name="Total 7 6" xfId="37628" xr:uid="{1A0766A8-5753-470B-9DBC-7227BA5FE198}"/>
    <cellStyle name="Total 7 7" xfId="37629" xr:uid="{C8632B49-1094-4CB2-AFB3-25E11807DA14}"/>
    <cellStyle name="Total 7 8" xfId="37630" xr:uid="{3BA24E03-8D14-460C-A6C8-38B25F5621DF}"/>
    <cellStyle name="Total 7 9" xfId="37631" xr:uid="{D170C8EA-D4BD-4FBF-A01B-6CC7FB76746D}"/>
    <cellStyle name="Total 8" xfId="3810" xr:uid="{667588F1-CD17-4C85-B7B7-C1219A9F4D7E}"/>
    <cellStyle name="Total 8 2" xfId="3811" xr:uid="{846ACA49-3FF2-4DBE-BFC7-7E8C7A226181}"/>
    <cellStyle name="Total 8 2 2" xfId="19636" xr:uid="{C7092022-E6EA-4FE3-82BA-D008445214D8}"/>
    <cellStyle name="Total 8 2 2 2" xfId="23253" xr:uid="{6856FF19-136B-4651-9092-D99EEEA4F645}"/>
    <cellStyle name="Total 8 2 3" xfId="37632" xr:uid="{B7A536DF-ADCD-4A67-8A82-061779230131}"/>
    <cellStyle name="Total 8 2 4" xfId="37633" xr:uid="{14027FCF-EDF1-44A8-A503-A4DA9A2794BA}"/>
    <cellStyle name="Total 8 2 5" xfId="37634" xr:uid="{888723B7-BE0C-4827-98FC-7689904D5559}"/>
    <cellStyle name="Total 8 2 6" xfId="37635" xr:uid="{7CEFC638-17A9-4E87-AF70-5423CE632EAA}"/>
    <cellStyle name="Total 8 2 7" xfId="37636" xr:uid="{C39539EF-17F4-4D2B-9F2A-F0E5ECBF9F41}"/>
    <cellStyle name="Total 8 3" xfId="3812" xr:uid="{4A8AD437-576F-499C-9262-1DFF0091A8FD}"/>
    <cellStyle name="Total 8 3 2" xfId="19637" xr:uid="{08E6126F-8129-473C-8B8A-1173B6A668D4}"/>
    <cellStyle name="Total 8 3 2 2" xfId="23254" xr:uid="{70C22320-B5E5-4206-92D6-7F4525D99BF8}"/>
    <cellStyle name="Total 8 3 3" xfId="37637" xr:uid="{D3FCEB63-7A1B-4173-9A69-505419B390C2}"/>
    <cellStyle name="Total 8 3 4" xfId="37638" xr:uid="{3FD927FD-89F4-45A5-906B-C7013E994A7F}"/>
    <cellStyle name="Total 8 3 5" xfId="37639" xr:uid="{5C4C7CBF-85BC-4B48-BF07-37B8A3233574}"/>
    <cellStyle name="Total 8 3 6" xfId="37640" xr:uid="{2DAAC732-29C6-49BD-820B-CCCD510A0A92}"/>
    <cellStyle name="Total 8 4" xfId="19635" xr:uid="{584E769C-4E71-4C40-B2FD-F4AAA457CA25}"/>
    <cellStyle name="Total 8 4 2" xfId="23252" xr:uid="{8B6FC430-B59D-46CB-97AE-9FC91A4C531C}"/>
    <cellStyle name="Total 8 5" xfId="37641" xr:uid="{F21B9E77-12A8-4830-A8EF-E579DAA9B59F}"/>
    <cellStyle name="Total 8 6" xfId="37642" xr:uid="{A499E2F7-6C91-44AF-9BD0-6036BF6174AF}"/>
    <cellStyle name="Total 8 7" xfId="37643" xr:uid="{C2EA6828-8D30-4D03-A6D3-E1678B55AF09}"/>
    <cellStyle name="Total 8 8" xfId="37644" xr:uid="{E4B99B80-7510-4E81-85E9-2C215BD97767}"/>
    <cellStyle name="Total 8 9" xfId="37645" xr:uid="{0759E02D-C2F7-46FD-9096-43886C259396}"/>
    <cellStyle name="Total 9" xfId="3813" xr:uid="{07F70FA2-3266-4534-876E-CEE94164C82A}"/>
    <cellStyle name="Total 9 2" xfId="3814" xr:uid="{8DBCDA6D-CB35-4C77-9DF2-8E72FF792EAE}"/>
    <cellStyle name="Total 9 2 2" xfId="19639" xr:uid="{1D445604-9F6C-4FB7-B266-35C9E8FEC654}"/>
    <cellStyle name="Total 9 2 2 2" xfId="23256" xr:uid="{3B0B5CC5-E9A9-495D-A47D-50E1DECF8CE2}"/>
    <cellStyle name="Total 9 2 3" xfId="37646" xr:uid="{A4D2AA4E-95D8-4549-BE84-C1920B18455E}"/>
    <cellStyle name="Total 9 2 4" xfId="37647" xr:uid="{CDC98843-24CA-4FF2-8A4A-E77BE0B22E79}"/>
    <cellStyle name="Total 9 2 5" xfId="37648" xr:uid="{343EF42A-6B54-45B7-821F-EE97A9594EF7}"/>
    <cellStyle name="Total 9 2 6" xfId="37649" xr:uid="{F0FD7A32-C954-46D0-BA69-B579D7607A98}"/>
    <cellStyle name="Total 9 3" xfId="19638" xr:uid="{2A57D005-376D-41C8-A290-62B98DAA14D4}"/>
    <cellStyle name="Total 9 3 2" xfId="23255" xr:uid="{00F984D9-9021-455A-8458-728FA57EC456}"/>
    <cellStyle name="Total 9 4" xfId="37650" xr:uid="{726C26FB-94CE-477B-8675-730ADDF88198}"/>
    <cellStyle name="Total 9 5" xfId="37651" xr:uid="{6DCFA458-AE4A-419C-9EB0-AFE69A377A49}"/>
    <cellStyle name="Total 9 6" xfId="37652" xr:uid="{7CFB6DB8-F0BC-424B-AAEC-E1C619FA746E}"/>
    <cellStyle name="Total 9 7" xfId="37653" xr:uid="{84461D0E-8803-43AB-A6C3-E73D450F1861}"/>
    <cellStyle name="Total 9 8" xfId="37654" xr:uid="{D4A88EB7-7BBF-4CE3-97D3-CFA6E76307B8}"/>
    <cellStyle name="Total intermediaire" xfId="3815" xr:uid="{7F605239-4F20-4F74-8539-6BA7055E06E3}"/>
    <cellStyle name="Total intermediaire 2" xfId="19640" xr:uid="{568CC5C8-53F4-4609-9FB7-5F232B07FC74}"/>
    <cellStyle name="Total intermediaire 2 2" xfId="23257" xr:uid="{1A035C91-8E78-4DFE-9F66-F22C0126CA9A}"/>
    <cellStyle name="Total intermediaire 3" xfId="37655" xr:uid="{75C15484-CB09-43C8-B367-3391AF543E0E}"/>
    <cellStyle name="Total intermediaire 4" xfId="37656" xr:uid="{3A946910-5260-4CD2-A4CB-6AFA4AC59270}"/>
    <cellStyle name="Total intermediaire 5" xfId="37657" xr:uid="{22069B20-ABFE-4322-AF22-E019844E17C3}"/>
    <cellStyle name="Total intermediaire 6" xfId="37658" xr:uid="{013EF900-272F-485C-8476-99D0D084C38F}"/>
    <cellStyle name="Total intermediaire 7" xfId="37659" xr:uid="{D79C3378-8FB1-4609-AE1A-40191889518B}"/>
    <cellStyle name="Total intermediaire 8" xfId="37660" xr:uid="{82EE7908-B50C-4F2E-BDC9-502AB679ABE4}"/>
    <cellStyle name="Tusental (0)_SNI 23" xfId="3816" xr:uid="{13F1F0CF-E82E-4E34-9A09-E369A7B63539}"/>
    <cellStyle name="Valuta (0)_SNI 23" xfId="3817" xr:uid="{C0298093-D4D4-4AEE-B97F-4EB0ED478130}"/>
    <cellStyle name="Valuutta_Layo9704" xfId="3818" xr:uid="{FD2BCF0F-8EBA-44C2-A42F-172541D0D7E7}"/>
    <cellStyle name="Warning Text 10" xfId="3824" xr:uid="{A6A630C0-8AD2-4E67-B93B-010FC727F886}"/>
    <cellStyle name="Warning Text 10 2" xfId="3825" xr:uid="{70F28779-22FA-4534-9FCA-3726B2E96EB5}"/>
    <cellStyle name="Warning Text 10 2 2" xfId="19647" xr:uid="{4A324E48-340A-4589-9DDC-23378B4DDD56}"/>
    <cellStyle name="Warning Text 10 2 2 2" xfId="23264" xr:uid="{41A904EB-E4F9-4151-BBF4-01BC013E3BB9}"/>
    <cellStyle name="Warning Text 10 2 3" xfId="37688" xr:uid="{F9162C9A-0AE7-4D47-AA1A-0D82A1BFE8B5}"/>
    <cellStyle name="Warning Text 10 2 4" xfId="37689" xr:uid="{C8AB6A44-D968-431A-967C-96549C8EA1F9}"/>
    <cellStyle name="Warning Text 10 2 5" xfId="37690" xr:uid="{DF590ED7-165E-4CC7-9CBE-11619228CA81}"/>
    <cellStyle name="Warning Text 10 2 6" xfId="37691" xr:uid="{E8143789-5372-47AB-B1FC-C13C16A374FC}"/>
    <cellStyle name="Warning Text 10 3" xfId="19646" xr:uid="{E5D5DC6F-180A-43B8-AEA5-B58764DCF051}"/>
    <cellStyle name="Warning Text 10 3 2" xfId="23263" xr:uid="{2888893D-F17C-4917-89C5-3096D119868D}"/>
    <cellStyle name="Warning Text 10 4" xfId="37692" xr:uid="{ADC7C4B0-6685-427B-9705-EEB1759CCB40}"/>
    <cellStyle name="Warning Text 10 5" xfId="37693" xr:uid="{D54FA100-6F02-4BDB-8A59-0EB46A49EEF8}"/>
    <cellStyle name="Warning Text 10 6" xfId="37694" xr:uid="{E147BCFA-06DD-4DCF-B76B-5A0F4E4173DA}"/>
    <cellStyle name="Warning Text 10 7" xfId="37695" xr:uid="{D2197582-5925-498B-A3DC-8BA22F2F6128}"/>
    <cellStyle name="Warning Text 10 8" xfId="37696" xr:uid="{366A50A3-D2E5-47A1-837F-852A0A18E463}"/>
    <cellStyle name="Warning Text 11" xfId="3826" xr:uid="{2D53CDF2-CD85-4348-9D59-F7044B7B99FD}"/>
    <cellStyle name="Warning Text 11 2" xfId="10390" xr:uid="{592CA9B0-702E-434F-B413-95D8273E9045}"/>
    <cellStyle name="Warning Text 11 2 2" xfId="19649" xr:uid="{6627A89E-0DE5-4C1E-8BAF-35761D30BD9D}"/>
    <cellStyle name="Warning Text 11 2 2 2" xfId="23266" xr:uid="{1063B4CE-EDA0-4714-B31C-21DF1B02DAAE}"/>
    <cellStyle name="Warning Text 11 2 3" xfId="37697" xr:uid="{59AFF19A-5DBF-43B3-B561-646BE297D592}"/>
    <cellStyle name="Warning Text 11 2 4" xfId="37698" xr:uid="{30FF0EB7-3232-4D38-BC39-352A1D92085D}"/>
    <cellStyle name="Warning Text 11 2 5" xfId="37699" xr:uid="{770B6D14-843E-457B-9A43-40A02CB72C07}"/>
    <cellStyle name="Warning Text 11 2 6" xfId="37700" xr:uid="{D3987344-49B5-4020-9528-8A04662BAAEC}"/>
    <cellStyle name="Warning Text 11 3" xfId="19648" xr:uid="{8C4B3B6E-B07B-4DC3-8FCA-64230A8CBFD4}"/>
    <cellStyle name="Warning Text 11 3 2" xfId="23265" xr:uid="{4387739E-F13D-4253-BAE3-ADDA2A2CC688}"/>
    <cellStyle name="Warning Text 11 4" xfId="37701" xr:uid="{B29953C6-E597-4DC8-A89C-2C328C852982}"/>
    <cellStyle name="Warning Text 11 5" xfId="37702" xr:uid="{0D0E582C-BA43-4682-912F-42AE57329CD6}"/>
    <cellStyle name="Warning Text 11 6" xfId="37703" xr:uid="{964B6A2A-ED99-4CDA-BF58-B844BB41C256}"/>
    <cellStyle name="Warning Text 11 7" xfId="37704" xr:uid="{05FE6CB9-7105-4342-97CA-087774D27EAA}"/>
    <cellStyle name="Warning Text 11 8" xfId="37705" xr:uid="{C798F101-6F4B-460F-A754-DBF7E5BBE7DA}"/>
    <cellStyle name="Warning Text 12" xfId="3827" xr:uid="{BCCFF904-F774-417A-A240-701E5997694E}"/>
    <cellStyle name="Warning Text 12 2" xfId="11069" xr:uid="{8490732F-EADE-41B0-8A3F-06FBFDA906AC}"/>
    <cellStyle name="Warning Text 12 2 2" xfId="19651" xr:uid="{929B68B6-DDD9-49AC-BF89-F8C36773CCD9}"/>
    <cellStyle name="Warning Text 12 2 2 2" xfId="23268" xr:uid="{FC3901EE-3717-4D40-A6E5-2D5384D0F021}"/>
    <cellStyle name="Warning Text 12 2 3" xfId="37706" xr:uid="{2994F226-4206-4E29-B8DD-D3D3180F8C1E}"/>
    <cellStyle name="Warning Text 12 2 4" xfId="37707" xr:uid="{49BB5AFC-B993-40A3-8CE7-9FD239F70FB9}"/>
    <cellStyle name="Warning Text 12 2 5" xfId="37708" xr:uid="{F920B304-AD9B-4A6F-B484-C9DC60E9F4A2}"/>
    <cellStyle name="Warning Text 12 2 6" xfId="37709" xr:uid="{1AA403E5-ABEF-4FDA-8DA3-8E0BC1CEB576}"/>
    <cellStyle name="Warning Text 12 3" xfId="19650" xr:uid="{82B6AFAD-93B3-46B2-80CD-3D49A6A9EAB9}"/>
    <cellStyle name="Warning Text 12 3 2" xfId="23267" xr:uid="{BDF78DD3-99D2-4E93-9402-FB7C61A64D98}"/>
    <cellStyle name="Warning Text 12 4" xfId="37710" xr:uid="{B49ED3BA-7232-4AAB-A471-26392BB67DB6}"/>
    <cellStyle name="Warning Text 12 5" xfId="37711" xr:uid="{F7ACD341-EEB3-4C02-A2FC-3EAC2D6F13C0}"/>
    <cellStyle name="Warning Text 12 6" xfId="37712" xr:uid="{569FA19B-C118-4126-A885-2234C0475742}"/>
    <cellStyle name="Warning Text 12 7" xfId="37713" xr:uid="{FBA26A26-FEAB-410E-828B-B2C3ACA3D990}"/>
    <cellStyle name="Warning Text 12 8" xfId="37714" xr:uid="{974DF007-93DC-4740-A2C0-03F0A55F6256}"/>
    <cellStyle name="Warning Text 13" xfId="3828" xr:uid="{C2CF134B-6489-4F70-8D8E-F1BBD9F379AA}"/>
    <cellStyle name="Warning Text 13 2" xfId="8044" xr:uid="{DFDB4B36-7AAD-4C7F-BAAB-207E1BF8B6A0}"/>
    <cellStyle name="Warning Text 13 2 2" xfId="19653" xr:uid="{76C37F06-2500-4BD7-A6C2-EF14AFDB18FF}"/>
    <cellStyle name="Warning Text 13 2 2 2" xfId="23270" xr:uid="{D7ED350A-F7F1-4FEF-B2C0-CD937C26A279}"/>
    <cellStyle name="Warning Text 13 2 3" xfId="37715" xr:uid="{65F94CC0-6DEF-4574-A833-4AF84A8A47D4}"/>
    <cellStyle name="Warning Text 13 2 4" xfId="37716" xr:uid="{DD3DA3CF-166B-405F-AD72-4D707C2C7992}"/>
    <cellStyle name="Warning Text 13 2 5" xfId="37717" xr:uid="{BD54C923-0383-4687-A50B-2023DD5FF7D9}"/>
    <cellStyle name="Warning Text 13 2 6" xfId="37718" xr:uid="{0482F11D-5BB1-4649-A075-6D7F273DBF2B}"/>
    <cellStyle name="Warning Text 13 3" xfId="19652" xr:uid="{C6F2888F-4722-4C37-95F6-26CDC0A30300}"/>
    <cellStyle name="Warning Text 13 3 2" xfId="23269" xr:uid="{DBD3BA84-7A4C-47C9-AC75-31FF862FE52A}"/>
    <cellStyle name="Warning Text 13 4" xfId="37719" xr:uid="{B22C33AD-F3AC-41D0-BD17-E5A1F33E02F9}"/>
    <cellStyle name="Warning Text 13 5" xfId="37720" xr:uid="{322A7BB1-E336-4D59-A206-960A7A3CFEDB}"/>
    <cellStyle name="Warning Text 13 6" xfId="37721" xr:uid="{31EEF905-D5E5-40AC-B549-ABF335956E1B}"/>
    <cellStyle name="Warning Text 13 7" xfId="37722" xr:uid="{C2E7EDF0-75C7-4DEA-9CE9-45F98F23B7EC}"/>
    <cellStyle name="Warning Text 13 8" xfId="37723" xr:uid="{D7EEDFE0-F107-4E0F-B973-0944B6444F00}"/>
    <cellStyle name="Warning Text 14" xfId="3829" xr:uid="{A2BFFFD6-EFEF-48EB-B8F5-58920E6570A2}"/>
    <cellStyle name="Warning Text 14 2" xfId="8043" xr:uid="{67FB1007-3A31-4283-9F8C-88450E56E8C8}"/>
    <cellStyle name="Warning Text 14 2 2" xfId="19655" xr:uid="{3A7FA468-5911-44E3-A33E-397B94DDD0BE}"/>
    <cellStyle name="Warning Text 14 2 2 2" xfId="23272" xr:uid="{D0CA4451-D19B-49A0-95AD-0817A332D8ED}"/>
    <cellStyle name="Warning Text 14 2 3" xfId="37724" xr:uid="{5B679CCB-4D78-4BE7-B920-45D244F290C8}"/>
    <cellStyle name="Warning Text 14 2 4" xfId="37725" xr:uid="{4288F647-4A56-43EE-B3B0-0C08C56B499E}"/>
    <cellStyle name="Warning Text 14 2 5" xfId="37726" xr:uid="{A185CE65-A599-4635-80F0-66081B5201EF}"/>
    <cellStyle name="Warning Text 14 2 6" xfId="37727" xr:uid="{A0D2E9F6-B525-4218-B685-409182138839}"/>
    <cellStyle name="Warning Text 14 3" xfId="19654" xr:uid="{417BB535-CE2D-4C33-A3D7-1806D20FF3B5}"/>
    <cellStyle name="Warning Text 14 3 2" xfId="23271" xr:uid="{1E762769-2E86-4EA1-96ED-45FA0E414167}"/>
    <cellStyle name="Warning Text 14 4" xfId="37728" xr:uid="{34F39B63-7192-4678-9FF3-4AAF21F1C8AD}"/>
    <cellStyle name="Warning Text 14 5" xfId="37729" xr:uid="{06463806-50CE-4A94-9029-7BBCF674EF48}"/>
    <cellStyle name="Warning Text 14 6" xfId="37730" xr:uid="{16FF15EC-80A6-488A-8FD3-951E5DC8FB81}"/>
    <cellStyle name="Warning Text 14 7" xfId="37731" xr:uid="{995227D1-CB55-4C59-B9FE-1E3C660D44A1}"/>
    <cellStyle name="Warning Text 14 8" xfId="37732" xr:uid="{C2C9E5E3-B742-4403-A826-DFFCF41754E1}"/>
    <cellStyle name="Warning Text 15" xfId="3830" xr:uid="{7391EA78-66C1-40A6-9541-EB772D7C17A0}"/>
    <cellStyle name="Warning Text 15 2" xfId="16591" xr:uid="{7D555874-12BF-40DD-A311-BECE1E62D340}"/>
    <cellStyle name="Warning Text 15 2 2" xfId="19657" xr:uid="{ACFDBFA3-A9FA-4055-8C9B-9647365EF436}"/>
    <cellStyle name="Warning Text 15 2 2 2" xfId="23274" xr:uid="{2374AE25-1AEA-4141-95DE-0FFC1EE4F3D0}"/>
    <cellStyle name="Warning Text 15 2 3" xfId="37733" xr:uid="{F9EDB2A4-63C2-4D45-96EF-89010145E82F}"/>
    <cellStyle name="Warning Text 15 2 4" xfId="37734" xr:uid="{BE3B6207-E685-4D78-94A1-605DBAB14DAA}"/>
    <cellStyle name="Warning Text 15 2 5" xfId="37735" xr:uid="{238552BC-9474-4EA8-9979-456FA86F4491}"/>
    <cellStyle name="Warning Text 15 2 6" xfId="37736" xr:uid="{4D6A4A14-A8A7-4ABE-A00D-B0F8318808DA}"/>
    <cellStyle name="Warning Text 15 3" xfId="19656" xr:uid="{847098DD-6FC1-44D3-8301-D902E821BE1D}"/>
    <cellStyle name="Warning Text 15 3 2" xfId="23273" xr:uid="{43472636-A5BB-49E7-B6AB-77CDFF07A581}"/>
    <cellStyle name="Warning Text 15 4" xfId="37737" xr:uid="{7851DEB4-8562-42B2-86C5-88EAA8075CE2}"/>
    <cellStyle name="Warning Text 15 5" xfId="37738" xr:uid="{151A307C-3CAB-45D9-9DEF-F76BF7E2E97B}"/>
    <cellStyle name="Warning Text 15 6" xfId="37739" xr:uid="{F40D021A-D09C-4955-ACFA-82684CA5E670}"/>
    <cellStyle name="Warning Text 15 7" xfId="37740" xr:uid="{F7016C26-EC5C-4BBE-9209-1A0B38C7BE69}"/>
    <cellStyle name="Warning Text 16" xfId="3831" xr:uid="{08A01D64-AE25-4175-BCD1-0110E9E09332}"/>
    <cellStyle name="Warning Text 16 2" xfId="16592" xr:uid="{4F6F39A9-B86A-4A66-BCC8-E995048957F0}"/>
    <cellStyle name="Warning Text 16 2 2" xfId="19659" xr:uid="{530C5973-E011-49E6-9BCB-8D304386096E}"/>
    <cellStyle name="Warning Text 16 2 2 2" xfId="23276" xr:uid="{BFD0E6AF-52C9-4217-AF5D-1CE13D7EB798}"/>
    <cellStyle name="Warning Text 16 2 3" xfId="37741" xr:uid="{D889E0E1-760D-402D-B9DE-CECEA6DE090F}"/>
    <cellStyle name="Warning Text 16 2 4" xfId="37742" xr:uid="{BC9F3A87-5245-4374-B6F1-A938D4F189CC}"/>
    <cellStyle name="Warning Text 16 2 5" xfId="37743" xr:uid="{6F6B0102-654D-49A5-90EB-DB725DA042D1}"/>
    <cellStyle name="Warning Text 16 2 6" xfId="37744" xr:uid="{45F4621C-1A61-4EDD-A8C2-037BE5B3A877}"/>
    <cellStyle name="Warning Text 16 3" xfId="19658" xr:uid="{D4018BD2-3B55-4C1C-AA79-F105825AF54A}"/>
    <cellStyle name="Warning Text 16 3 2" xfId="23275" xr:uid="{2F8AE1FF-B303-496B-A43C-01A220318B22}"/>
    <cellStyle name="Warning Text 16 4" xfId="37745" xr:uid="{6297312F-B08E-432B-ADE5-5A150D8D8BE0}"/>
    <cellStyle name="Warning Text 16 5" xfId="37746" xr:uid="{DC31D407-D856-4D09-A0CE-B1B1FF941146}"/>
    <cellStyle name="Warning Text 16 6" xfId="37747" xr:uid="{E0AE71EB-0780-4523-9318-B0A9AAF559C3}"/>
    <cellStyle name="Warning Text 16 7" xfId="37748" xr:uid="{E8695956-F297-4851-990D-621E6C996AAD}"/>
    <cellStyle name="Warning Text 17" xfId="3832" xr:uid="{2DB1A98E-AA59-45CE-9099-50DC5BB59046}"/>
    <cellStyle name="Warning Text 17 2" xfId="16593" xr:uid="{9FE37A5D-91F8-4ABC-91F8-736D405E40BA}"/>
    <cellStyle name="Warning Text 17 2 2" xfId="19661" xr:uid="{BD1C8AC9-CA91-4BA9-8096-613AC62D733B}"/>
    <cellStyle name="Warning Text 17 2 2 2" xfId="23278" xr:uid="{3F3F2591-9788-4F3E-B26A-068860BDD1EA}"/>
    <cellStyle name="Warning Text 17 2 3" xfId="37749" xr:uid="{8084C50C-93FE-4B5C-9F34-9D8CCBD42B6C}"/>
    <cellStyle name="Warning Text 17 2 4" xfId="37750" xr:uid="{96E7D473-77AA-46CA-9E54-9FEB477718F8}"/>
    <cellStyle name="Warning Text 17 2 5" xfId="37751" xr:uid="{89A25902-1CFC-4114-B678-9BCD82360962}"/>
    <cellStyle name="Warning Text 17 2 6" xfId="37752" xr:uid="{33AAF190-D445-48E2-85C8-0E31CBAC8ED0}"/>
    <cellStyle name="Warning Text 17 3" xfId="19660" xr:uid="{B9D1DD7D-19D7-44C6-AB82-D05093FD9351}"/>
    <cellStyle name="Warning Text 17 3 2" xfId="23277" xr:uid="{34E50824-62B4-4F86-91AE-D825DB85E1EA}"/>
    <cellStyle name="Warning Text 17 4" xfId="37753" xr:uid="{44823679-02C0-4AC5-B4EC-58B368DAFD90}"/>
    <cellStyle name="Warning Text 17 5" xfId="37754" xr:uid="{EE5E9613-0746-47A7-BE11-FC16F4B88C30}"/>
    <cellStyle name="Warning Text 17 6" xfId="37755" xr:uid="{CB82F7D9-2486-4703-B465-117EC4DFD61B}"/>
    <cellStyle name="Warning Text 17 7" xfId="37756" xr:uid="{6D2070FB-55E2-4EEB-ABDB-C1B8D7F3B570}"/>
    <cellStyle name="Warning Text 18" xfId="3833" xr:uid="{73D4E030-AE61-4040-9DB9-7A851A604B4D}"/>
    <cellStyle name="Warning Text 18 2" xfId="16594" xr:uid="{A6974226-11BA-472D-A3C0-B1AFCD3F63E2}"/>
    <cellStyle name="Warning Text 18 2 2" xfId="19663" xr:uid="{663E7EDB-F5E8-468D-BF27-C2C62667682E}"/>
    <cellStyle name="Warning Text 18 2 2 2" xfId="23280" xr:uid="{4AC8095C-C0A9-435B-8DE6-6CA1077F5185}"/>
    <cellStyle name="Warning Text 18 2 3" xfId="37757" xr:uid="{D15DC422-72E0-4148-B787-F9681DFE1F20}"/>
    <cellStyle name="Warning Text 18 2 4" xfId="37758" xr:uid="{057CDA74-7EC3-44BA-8896-929FF659B432}"/>
    <cellStyle name="Warning Text 18 2 5" xfId="37759" xr:uid="{9447C6EA-9938-49DE-BE38-6EFAD23A00B2}"/>
    <cellStyle name="Warning Text 18 2 6" xfId="37760" xr:uid="{64878BDE-3587-4F97-A73B-0914F2DFED8E}"/>
    <cellStyle name="Warning Text 18 3" xfId="19662" xr:uid="{8E7BDB8C-CD1A-46D8-A3CF-D171D1C316B7}"/>
    <cellStyle name="Warning Text 18 3 2" xfId="23279" xr:uid="{F90B8D03-F0E4-4DC8-9AC3-F75A5DD53841}"/>
    <cellStyle name="Warning Text 18 4" xfId="37761" xr:uid="{BB4CA400-17A5-409F-BA33-AC1593A645A3}"/>
    <cellStyle name="Warning Text 18 5" xfId="37762" xr:uid="{8EB70984-3BF2-495F-A551-4E55AE5575E7}"/>
    <cellStyle name="Warning Text 18 6" xfId="37763" xr:uid="{F5FDB77E-0332-40ED-8330-B773AA79E71D}"/>
    <cellStyle name="Warning Text 18 7" xfId="37764" xr:uid="{62D4EF48-29EA-4EF7-AF00-F9D7BA968860}"/>
    <cellStyle name="Warning Text 19" xfId="3834" xr:uid="{A7D21BC6-783F-4B75-BAEA-A943E4864919}"/>
    <cellStyle name="Warning Text 19 2" xfId="16595" xr:uid="{F7ACB02E-670C-41FE-971A-5F47399F01F1}"/>
    <cellStyle name="Warning Text 19 2 2" xfId="19665" xr:uid="{74982F4F-64A9-4E25-9859-515308224D46}"/>
    <cellStyle name="Warning Text 19 2 2 2" xfId="23282" xr:uid="{0F52EA9D-3549-4A42-B80B-4066CEA20374}"/>
    <cellStyle name="Warning Text 19 2 3" xfId="37765" xr:uid="{54E3A4D2-0B05-450F-8F86-6B3549A4F98C}"/>
    <cellStyle name="Warning Text 19 2 4" xfId="37766" xr:uid="{0B7DA5D6-740E-4F79-B13A-74B54AC24C2C}"/>
    <cellStyle name="Warning Text 19 2 5" xfId="37767" xr:uid="{D7848E17-8FB9-4D5A-8D92-255D63211AC6}"/>
    <cellStyle name="Warning Text 19 2 6" xfId="37768" xr:uid="{AE102B7D-5D97-4F3A-AFC4-4FA89ADA7E58}"/>
    <cellStyle name="Warning Text 19 3" xfId="19664" xr:uid="{3D9882B9-CEC0-4B3E-BB1C-6E10AD88B34C}"/>
    <cellStyle name="Warning Text 19 3 2" xfId="23281" xr:uid="{440389C9-9BAD-4733-A6C0-60EC7FF8CAAB}"/>
    <cellStyle name="Warning Text 19 4" xfId="37769" xr:uid="{E8D7DF79-5596-4E09-AA36-E894CB248AE3}"/>
    <cellStyle name="Warning Text 19 5" xfId="37770" xr:uid="{EA8DF3DE-4B28-4521-A1E6-7C0190750ED0}"/>
    <cellStyle name="Warning Text 19 6" xfId="37771" xr:uid="{8D837B36-6E13-429E-8C13-243BA5EF57DA}"/>
    <cellStyle name="Warning Text 19 7" xfId="37772" xr:uid="{E905A76E-A070-4EDA-928A-0D7EDF8FC1D9}"/>
    <cellStyle name="Warning Text 2" xfId="3835" xr:uid="{BFE0ED76-29E9-4FE8-9130-0EEBD3054F05}"/>
    <cellStyle name="Warning Text 2 10" xfId="8042" xr:uid="{EBDDB616-0B33-45DA-B6D0-AD517B5A366D}"/>
    <cellStyle name="Warning Text 2 10 2" xfId="23283" xr:uid="{6EBE28DE-E349-4E21-ACAA-D28A7DD86C8F}"/>
    <cellStyle name="Warning Text 2 10 3" xfId="19666" xr:uid="{04D8951A-C095-4BCE-9523-04295F52FC53}"/>
    <cellStyle name="Warning Text 2 11" xfId="37773" xr:uid="{49454F74-946E-44E7-B287-D2AB0C95727D}"/>
    <cellStyle name="Warning Text 2 12" xfId="37774" xr:uid="{D7CE4C07-BB85-4787-B820-59F30A3DDCE8}"/>
    <cellStyle name="Warning Text 2 13" xfId="37775" xr:uid="{0E875D38-997B-4113-B152-6C058C4742B2}"/>
    <cellStyle name="Warning Text 2 14" xfId="37776" xr:uid="{1CC5F420-4260-450A-A8B0-30E71C9A4862}"/>
    <cellStyle name="Warning Text 2 15" xfId="37777" xr:uid="{E5041652-5143-498F-BBE9-399A915428B0}"/>
    <cellStyle name="Warning Text 2 16" xfId="37778" xr:uid="{967A786D-3D99-46CA-BE89-1BA4E463220C}"/>
    <cellStyle name="Warning Text 2 2" xfId="3836" xr:uid="{0E1A020A-BB65-4CCB-8091-759627854242}"/>
    <cellStyle name="Warning Text 2 2 2" xfId="19667" xr:uid="{3AC53A5A-8B8E-42E6-983A-5EB09FF05F1D}"/>
    <cellStyle name="Warning Text 2 2 2 2" xfId="23284" xr:uid="{31088561-F594-40CF-BC90-FE8BD14D0CE7}"/>
    <cellStyle name="Warning Text 2 2 3" xfId="37779" xr:uid="{1FF4BCE0-A8FB-416A-BC9C-7607562A1FDE}"/>
    <cellStyle name="Warning Text 2 2 4" xfId="37780" xr:uid="{72926B3F-E75B-4546-94C8-B8B423FC02A4}"/>
    <cellStyle name="Warning Text 2 2 5" xfId="37781" xr:uid="{D123F205-F0E2-40B1-9AB6-05CCB87512F3}"/>
    <cellStyle name="Warning Text 2 2 6" xfId="37782" xr:uid="{93E8C5FC-7882-4D52-AF95-C5F8AD1FE96E}"/>
    <cellStyle name="Warning Text 2 2 7" xfId="37783" xr:uid="{646D68C3-3CF2-4639-B75D-9B174D344D22}"/>
    <cellStyle name="Warning Text 2 3" xfId="3837" xr:uid="{F21B6FEE-6DB5-4824-9EC9-7BC834078B09}"/>
    <cellStyle name="Warning Text 2 3 2" xfId="19668" xr:uid="{7790E7DF-C6C1-49D6-9B9B-6BCAD81F0D83}"/>
    <cellStyle name="Warning Text 2 3 2 2" xfId="23285" xr:uid="{570E524B-60D2-4C2E-A5D3-91DA01D680B5}"/>
    <cellStyle name="Warning Text 2 3 3" xfId="37784" xr:uid="{A6BC2E82-3715-4FCB-B92A-740EFB9D6847}"/>
    <cellStyle name="Warning Text 2 3 4" xfId="37785" xr:uid="{1D48573F-E40C-4714-81C8-5F17BBBFA4F9}"/>
    <cellStyle name="Warning Text 2 3 5" xfId="37786" xr:uid="{44913E62-55D2-4ADD-9C59-3AF74B699699}"/>
    <cellStyle name="Warning Text 2 3 6" xfId="37787" xr:uid="{80386B4B-18F3-4F20-A2B9-9A1982121F45}"/>
    <cellStyle name="Warning Text 2 3 7" xfId="37788" xr:uid="{3726F549-909B-4F15-A800-EF98BF130284}"/>
    <cellStyle name="Warning Text 2 4" xfId="3838" xr:uid="{4E859F94-D1CF-42B5-A66F-EB015C78FE1C}"/>
    <cellStyle name="Warning Text 2 4 2" xfId="19669" xr:uid="{BA81A548-FD40-462C-93C7-0CFC21E4B67B}"/>
    <cellStyle name="Warning Text 2 4 2 2" xfId="23286" xr:uid="{0032AE43-3B9B-4DF8-86C7-48A880C18589}"/>
    <cellStyle name="Warning Text 2 4 3" xfId="37789" xr:uid="{6E7043AE-65AE-4242-9212-F33FD969373A}"/>
    <cellStyle name="Warning Text 2 4 4" xfId="37790" xr:uid="{CBE9F1CE-C85E-44E4-BF8D-D200D1D5B1B6}"/>
    <cellStyle name="Warning Text 2 4 5" xfId="37791" xr:uid="{0B0DA664-D8BD-40A1-A701-ABF6CD038DD3}"/>
    <cellStyle name="Warning Text 2 4 6" xfId="37792" xr:uid="{B666831F-15C6-4ED6-8F44-EAF47966568B}"/>
    <cellStyle name="Warning Text 2 4 7" xfId="37793" xr:uid="{468C0FFD-E13C-47E4-97EF-B9E7930061DF}"/>
    <cellStyle name="Warning Text 2 5" xfId="3839" xr:uid="{0EB1F016-5083-4E6C-8492-07B9B1B4B487}"/>
    <cellStyle name="Warning Text 2 5 2" xfId="19670" xr:uid="{C3FE6BB6-B8B9-4809-BDAF-340094D1F8C9}"/>
    <cellStyle name="Warning Text 2 5 2 2" xfId="23287" xr:uid="{EADB761B-6EFE-4B03-80EA-86E71F7652C7}"/>
    <cellStyle name="Warning Text 2 5 3" xfId="37794" xr:uid="{E32BD68E-031E-42A2-AE3D-53817C7AD33B}"/>
    <cellStyle name="Warning Text 2 5 4" xfId="37795" xr:uid="{6A9B3A05-3539-4E87-A64C-C199F5A55AAF}"/>
    <cellStyle name="Warning Text 2 5 5" xfId="37796" xr:uid="{1954CD25-956E-431E-949D-D0EB5C0DD529}"/>
    <cellStyle name="Warning Text 2 5 6" xfId="37797" xr:uid="{C4EBAF3B-6653-487D-AED9-602AA691CBBF}"/>
    <cellStyle name="Warning Text 2 5 7" xfId="37798" xr:uid="{7C5B9C06-58A6-4C4C-9128-0CD538E0541A}"/>
    <cellStyle name="Warning Text 2 6" xfId="3840" xr:uid="{D46305D6-6730-4054-A3AF-31C53C3EC94E}"/>
    <cellStyle name="Warning Text 2 6 2" xfId="19671" xr:uid="{A7BF0CD5-7272-418B-815F-E880984AE791}"/>
    <cellStyle name="Warning Text 2 6 2 2" xfId="23288" xr:uid="{26A4E2D4-E82F-4849-9A22-22EAFDDF8FFE}"/>
    <cellStyle name="Warning Text 2 6 3" xfId="37799" xr:uid="{B52AAE48-43C7-4832-B81D-14468230F56E}"/>
    <cellStyle name="Warning Text 2 6 4" xfId="37800" xr:uid="{BDA08122-7981-447C-AC13-7671983EF800}"/>
    <cellStyle name="Warning Text 2 6 5" xfId="37801" xr:uid="{05B3D7CC-B479-4FCD-832F-DDF77298ED94}"/>
    <cellStyle name="Warning Text 2 6 6" xfId="37802" xr:uid="{A36552A2-E4B7-415D-9819-7B2524C20ECF}"/>
    <cellStyle name="Warning Text 2 6 7" xfId="37803" xr:uid="{485C263E-237B-4F68-A275-8EB22E76362D}"/>
    <cellStyle name="Warning Text 2 7" xfId="3841" xr:uid="{62B01D67-1660-4EAF-9A82-66814719D6A3}"/>
    <cellStyle name="Warning Text 2 7 2" xfId="19672" xr:uid="{22DCEF62-E754-495B-BEAE-DF37191D2736}"/>
    <cellStyle name="Warning Text 2 7 2 2" xfId="23289" xr:uid="{B5A040E1-BD19-414D-B03B-BD64FECDB133}"/>
    <cellStyle name="Warning Text 2 7 3" xfId="37804" xr:uid="{139DAE27-E221-43ED-8787-899BBDD7E88D}"/>
    <cellStyle name="Warning Text 2 7 4" xfId="37805" xr:uid="{08655AC1-3EC2-4BAD-A7D6-DC27492DFD05}"/>
    <cellStyle name="Warning Text 2 7 5" xfId="37806" xr:uid="{8C7024DB-9E8D-4471-96D8-BD9233BBD8BB}"/>
    <cellStyle name="Warning Text 2 7 6" xfId="37807" xr:uid="{B967E587-2CBB-47AC-9C9B-14B9218CA3E7}"/>
    <cellStyle name="Warning Text 2 7 7" xfId="37808" xr:uid="{61FEB307-D12E-4C22-8047-0F1B3E03BC7B}"/>
    <cellStyle name="Warning Text 2 8" xfId="3842" xr:uid="{978A4EAF-EF13-44DF-BC0B-248C5E207374}"/>
    <cellStyle name="Warning Text 2 8 2" xfId="19673" xr:uid="{73C359E3-6BA7-45E9-8268-5947962F1C47}"/>
    <cellStyle name="Warning Text 2 8 2 2" xfId="23290" xr:uid="{EAA99251-B336-42B4-975F-9D9816B88C37}"/>
    <cellStyle name="Warning Text 2 8 3" xfId="37809" xr:uid="{C5C42A54-FCAF-4BC5-A52C-B7CFA540F5D3}"/>
    <cellStyle name="Warning Text 2 8 4" xfId="37810" xr:uid="{C1095988-DA0B-4938-8E80-5D598BA9A177}"/>
    <cellStyle name="Warning Text 2 8 5" xfId="37811" xr:uid="{D94EF822-FCD2-440E-A40B-7791E378C25F}"/>
    <cellStyle name="Warning Text 2 8 6" xfId="37812" xr:uid="{AEB0F548-B3D6-43F1-BCC9-1988EBE81BA4}"/>
    <cellStyle name="Warning Text 2 8 7" xfId="37813" xr:uid="{8C4C0779-E852-497F-84AD-45AF6A014824}"/>
    <cellStyle name="Warning Text 2 9" xfId="3843" xr:uid="{1A32B12F-8B1E-42F2-9F1F-ACCA32409A93}"/>
    <cellStyle name="Warning Text 2 9 2" xfId="19674" xr:uid="{E758DDA7-C63B-4BDB-A75F-578C8C1E4E89}"/>
    <cellStyle name="Warning Text 2 9 2 2" xfId="23291" xr:uid="{F59D7C24-348A-4517-B603-894067025AC3}"/>
    <cellStyle name="Warning Text 2 9 3" xfId="37814" xr:uid="{535ED128-925B-45DC-B5FE-38672EC3A78F}"/>
    <cellStyle name="Warning Text 2 9 4" xfId="37815" xr:uid="{1D62CD6A-6B96-4ED0-9CF3-E7D8E6AF5E48}"/>
    <cellStyle name="Warning Text 2 9 5" xfId="37816" xr:uid="{8D5B1AF8-2E7C-4F7B-BD5F-36FE57BFD518}"/>
    <cellStyle name="Warning Text 2 9 6" xfId="37817" xr:uid="{3CF83F80-41B9-4D55-95DB-742E6CF6F166}"/>
    <cellStyle name="Warning Text 2 9 7" xfId="37818" xr:uid="{7A129A0B-2922-4B66-8BE9-27E929D0258C}"/>
    <cellStyle name="Warning Text 20" xfId="3844" xr:uid="{BAB2C6A2-5491-4D07-8042-7760E14FF2B5}"/>
    <cellStyle name="Warning Text 20 2" xfId="16596" xr:uid="{8AAB37B8-E07D-4A37-AC3D-CF3F9DCE7596}"/>
    <cellStyle name="Warning Text 20 2 2" xfId="19676" xr:uid="{5726D578-F3AD-4A3D-A190-D8FE08A287D0}"/>
    <cellStyle name="Warning Text 20 2 2 2" xfId="23293" xr:uid="{EDB4197E-5D13-4D09-8984-54486F0C7072}"/>
    <cellStyle name="Warning Text 20 2 3" xfId="37819" xr:uid="{611A4028-2EE8-4AFD-838D-7A62FB7C5530}"/>
    <cellStyle name="Warning Text 20 2 4" xfId="37820" xr:uid="{629CE426-B184-4A2A-BAC8-5DF1982ACB24}"/>
    <cellStyle name="Warning Text 20 2 5" xfId="37821" xr:uid="{868CEE33-1B98-43E3-B6B4-728F745D3895}"/>
    <cellStyle name="Warning Text 20 2 6" xfId="37822" xr:uid="{B1254FBB-7B59-4F01-A01D-55ABC435E54F}"/>
    <cellStyle name="Warning Text 20 3" xfId="19675" xr:uid="{2566A029-FB10-44AA-8A25-403654B71923}"/>
    <cellStyle name="Warning Text 20 3 2" xfId="23292" xr:uid="{723854B5-6A12-45EF-A18D-B61429A24381}"/>
    <cellStyle name="Warning Text 20 4" xfId="37823" xr:uid="{4D73D969-903E-4F55-83B7-9973709F6F4B}"/>
    <cellStyle name="Warning Text 20 5" xfId="37824" xr:uid="{A9752DB6-1646-4D61-92D0-A5DBC2325928}"/>
    <cellStyle name="Warning Text 20 6" xfId="37825" xr:uid="{AC7A6B04-7A2F-4C68-A3DD-8A00761D2791}"/>
    <cellStyle name="Warning Text 20 7" xfId="37826" xr:uid="{3428DFBF-424A-476F-A336-C5DD682EF799}"/>
    <cellStyle name="Warning Text 21" xfId="16597" xr:uid="{E6F184C9-A352-43B0-9CB5-E4933EBE3807}"/>
    <cellStyle name="Warning Text 21 2" xfId="19677" xr:uid="{B8905157-D39F-48B0-AB60-D8DBE83BACB6}"/>
    <cellStyle name="Warning Text 21 2 2" xfId="23294" xr:uid="{AAD1F2DD-0F2F-482A-8C81-F10BC7B12EDE}"/>
    <cellStyle name="Warning Text 21 3" xfId="37827" xr:uid="{8277A6AE-4EAE-4BEB-A76B-FDEA92EF3223}"/>
    <cellStyle name="Warning Text 21 4" xfId="37828" xr:uid="{17C7E72E-132E-4BDC-A2D2-6CE5DBE2A5C9}"/>
    <cellStyle name="Warning Text 21 5" xfId="37829" xr:uid="{85E5AD45-2FFF-4B03-A2CD-1ABE2843D7AC}"/>
    <cellStyle name="Warning Text 21 6" xfId="37830" xr:uid="{D3E7E6E7-A18F-45C2-89A3-65FB5612F06F}"/>
    <cellStyle name="Warning Text 22" xfId="15269" xr:uid="{BFC7F1B5-B0E9-48BE-8685-E4671F4DB90A}"/>
    <cellStyle name="Warning Text 22 2" xfId="37832" xr:uid="{55250382-A94A-458D-9C7B-6139B088C3A5}"/>
    <cellStyle name="Warning Text 22 3" xfId="37831" xr:uid="{DD4549B3-6B62-4D60-93A8-F2191AA698C5}"/>
    <cellStyle name="Warning Text 23" xfId="37833" xr:uid="{20C7FD96-4C3F-4D10-A009-D3775C6E9040}"/>
    <cellStyle name="Warning Text 24" xfId="37834" xr:uid="{B83DD24C-DC9A-4D8F-B592-7BAAB8DA8A54}"/>
    <cellStyle name="Warning Text 25" xfId="37835" xr:uid="{2F8535C5-A35B-45EC-9F52-28A6D8D28611}"/>
    <cellStyle name="Warning Text 3" xfId="3845" xr:uid="{5C8892E8-AC80-4614-8748-0E534194D327}"/>
    <cellStyle name="Warning Text 3 10" xfId="3846" xr:uid="{3FA7BD0B-513F-4BC3-84F8-B83D461D37B4}"/>
    <cellStyle name="Warning Text 3 10 2" xfId="19679" xr:uid="{F9F611CB-F9BF-4CD7-A50D-70D1D10E2B05}"/>
    <cellStyle name="Warning Text 3 10 2 2" xfId="23296" xr:uid="{18587329-09F6-4933-9F7E-2174E7A8D26C}"/>
    <cellStyle name="Warning Text 3 10 3" xfId="37836" xr:uid="{D8019567-FCD6-4BBE-97CC-2D0B6F74BCB4}"/>
    <cellStyle name="Warning Text 3 10 4" xfId="37837" xr:uid="{5C2E8528-E160-4F88-A78B-0DA668695B60}"/>
    <cellStyle name="Warning Text 3 10 5" xfId="37838" xr:uid="{C8257AA9-0BBB-48B9-8E02-1F9876DFDCA1}"/>
    <cellStyle name="Warning Text 3 10 6" xfId="37839" xr:uid="{33C37614-F84C-4EBB-AFB9-A067C752ADD8}"/>
    <cellStyle name="Warning Text 3 11" xfId="3847" xr:uid="{4FD3C603-25BF-450A-AF3D-1DD19E289267}"/>
    <cellStyle name="Warning Text 3 11 2" xfId="19680" xr:uid="{3D9394B2-6862-46F7-8F49-CD13EAD1F59A}"/>
    <cellStyle name="Warning Text 3 11 2 2" xfId="23297" xr:uid="{6AC05B15-C907-462D-8EDA-EAA1D0B49549}"/>
    <cellStyle name="Warning Text 3 11 3" xfId="37840" xr:uid="{AEDE73E8-D2B3-4793-B4CC-0F52E4124C67}"/>
    <cellStyle name="Warning Text 3 11 4" xfId="37841" xr:uid="{83F661B3-C86E-4807-BEB9-DE8723A71585}"/>
    <cellStyle name="Warning Text 3 11 5" xfId="37842" xr:uid="{CE6A8B5A-20B3-4FAA-B1EF-EFDAD849BF55}"/>
    <cellStyle name="Warning Text 3 11 6" xfId="37843" xr:uid="{7A024371-CD91-4172-8CFE-41115B5DF079}"/>
    <cellStyle name="Warning Text 3 12" xfId="3848" xr:uid="{73A66E2E-46B1-4CDE-9158-5B3AA6671490}"/>
    <cellStyle name="Warning Text 3 12 2" xfId="19681" xr:uid="{C8DD9CE7-75A5-4F05-B2B2-DEDCD0BCCF7E}"/>
    <cellStyle name="Warning Text 3 12 2 2" xfId="23298" xr:uid="{E40B7F95-B2CC-4B20-9291-709E954EEE7B}"/>
    <cellStyle name="Warning Text 3 12 3" xfId="37844" xr:uid="{161085D7-6F53-4A18-A8E5-6E1FBB2827B5}"/>
    <cellStyle name="Warning Text 3 12 4" xfId="37845" xr:uid="{E6232F75-6A20-4138-9981-501FF25599DD}"/>
    <cellStyle name="Warning Text 3 12 5" xfId="37846" xr:uid="{00795CF7-ACDA-4B8A-B10D-F5FF0117A892}"/>
    <cellStyle name="Warning Text 3 12 6" xfId="37847" xr:uid="{B6928568-B7FC-478B-AE1C-86ACF2506F65}"/>
    <cellStyle name="Warning Text 3 13" xfId="3849" xr:uid="{111BC849-B1CD-45F1-9A72-C4CB216F287B}"/>
    <cellStyle name="Warning Text 3 13 2" xfId="19682" xr:uid="{31346D9C-8DCC-4BA5-ADB6-D737DA6275BB}"/>
    <cellStyle name="Warning Text 3 13 2 2" xfId="23299" xr:uid="{09018DF3-6A08-447F-AA6E-74DF0D87D21B}"/>
    <cellStyle name="Warning Text 3 13 3" xfId="37848" xr:uid="{FB4F4FF3-C73F-42E9-A1AF-80E6C709E5E6}"/>
    <cellStyle name="Warning Text 3 13 4" xfId="37849" xr:uid="{A72AD7DC-616C-4111-9264-E6A713A30613}"/>
    <cellStyle name="Warning Text 3 13 5" xfId="37850" xr:uid="{5D63F9D1-23A4-4F76-846A-6A70289B5323}"/>
    <cellStyle name="Warning Text 3 13 6" xfId="37851" xr:uid="{95734EB4-00DB-4050-81C0-59F53D3E67E2}"/>
    <cellStyle name="Warning Text 3 14" xfId="3850" xr:uid="{4083E626-2C0B-4336-8E28-384F7DA686DF}"/>
    <cellStyle name="Warning Text 3 14 2" xfId="19683" xr:uid="{BB8D11F0-4DC3-41B8-8FF9-3CEEE46F80D4}"/>
    <cellStyle name="Warning Text 3 14 2 2" xfId="23300" xr:uid="{85342F2F-0215-446E-9441-166E81879BA2}"/>
    <cellStyle name="Warning Text 3 14 3" xfId="37852" xr:uid="{114053D5-1F4E-42DA-98B1-FD668F444837}"/>
    <cellStyle name="Warning Text 3 14 4" xfId="37853" xr:uid="{66794FB5-3A11-4561-88F5-F1F1F95C14B7}"/>
    <cellStyle name="Warning Text 3 14 5" xfId="37854" xr:uid="{C37594DB-E04E-4EE0-B010-AD7FB83F5169}"/>
    <cellStyle name="Warning Text 3 14 6" xfId="37855" xr:uid="{60D753E6-B71F-41BE-BAAB-1E24ECB94410}"/>
    <cellStyle name="Warning Text 3 15" xfId="16598" xr:uid="{5180D262-4362-457F-A67B-C155BE1F67CE}"/>
    <cellStyle name="Warning Text 3 15 2" xfId="19684" xr:uid="{21DD3A38-7EE8-44D7-9446-AD25A213D801}"/>
    <cellStyle name="Warning Text 3 15 2 2" xfId="23301" xr:uid="{5241935B-399A-4084-80A8-082B6FEA7FD9}"/>
    <cellStyle name="Warning Text 3 15 3" xfId="37856" xr:uid="{2EC931BF-C62B-424E-B8F1-BF8CFC210279}"/>
    <cellStyle name="Warning Text 3 15 4" xfId="37857" xr:uid="{BD2852C3-8001-48F1-BD0F-79150BB7A547}"/>
    <cellStyle name="Warning Text 3 15 5" xfId="37858" xr:uid="{E48160EC-327C-45B4-8C04-5BCA1FDB8541}"/>
    <cellStyle name="Warning Text 3 15 6" xfId="37859" xr:uid="{13AD6579-5DE7-47D7-BDBB-7A5569440D17}"/>
    <cellStyle name="Warning Text 3 16" xfId="19678" xr:uid="{5B5F3F84-A596-4BF5-950C-6290146C5E11}"/>
    <cellStyle name="Warning Text 3 16 2" xfId="23295" xr:uid="{8C166505-A4A0-4D3E-8B32-21202B1009F6}"/>
    <cellStyle name="Warning Text 3 17" xfId="37860" xr:uid="{684A6306-725D-4463-830B-D874A92DA5E1}"/>
    <cellStyle name="Warning Text 3 18" xfId="37861" xr:uid="{A75B19E4-CCE2-4F07-8F4D-76DC7A629E9B}"/>
    <cellStyle name="Warning Text 3 19" xfId="37862" xr:uid="{2FA46AAA-CB9D-4AEE-B7F5-B5A2B60DBD0F}"/>
    <cellStyle name="Warning Text 3 2" xfId="3851" xr:uid="{9E1849C7-E7EC-45A1-9ED8-87D3F30A7F60}"/>
    <cellStyle name="Warning Text 3 2 2" xfId="19685" xr:uid="{AA3625B6-6E21-4DEB-89F6-F36261E79DD9}"/>
    <cellStyle name="Warning Text 3 2 2 2" xfId="23302" xr:uid="{F0BAFAF2-CA5A-4AB6-A06E-4F19C60F2D0C}"/>
    <cellStyle name="Warning Text 3 2 3" xfId="37863" xr:uid="{0DA729A5-C7B0-4299-AC61-636C44EBF26C}"/>
    <cellStyle name="Warning Text 3 2 4" xfId="37864" xr:uid="{69C5565B-6E08-48E8-87C2-D1790B434ACE}"/>
    <cellStyle name="Warning Text 3 2 5" xfId="37865" xr:uid="{20CEE0A2-509A-40E7-B5FC-BB5AE7D056A9}"/>
    <cellStyle name="Warning Text 3 2 6" xfId="37866" xr:uid="{D972CB77-CC48-4B91-9FE9-575487F6E76C}"/>
    <cellStyle name="Warning Text 3 2 7" xfId="37867" xr:uid="{1B98919F-0011-4E64-BB14-94B0869A3BBA}"/>
    <cellStyle name="Warning Text 3 20" xfId="37868" xr:uid="{3E3EC255-2A69-487D-962E-22296E07AE32}"/>
    <cellStyle name="Warning Text 3 21" xfId="37869" xr:uid="{AAB46E61-77D5-4A24-B3CD-69FCD57570D0}"/>
    <cellStyle name="Warning Text 3 3" xfId="3852" xr:uid="{658C72D6-0E7A-4F1D-8985-0A78FFFE8C0E}"/>
    <cellStyle name="Warning Text 3 3 2" xfId="19686" xr:uid="{F3076890-F4DA-49B6-84B2-DB745F36CF21}"/>
    <cellStyle name="Warning Text 3 3 2 2" xfId="23303" xr:uid="{FEBBDC3F-3C01-4A2C-AA74-0A53B6C0B772}"/>
    <cellStyle name="Warning Text 3 3 3" xfId="37870" xr:uid="{77C833EA-1DE9-4EB5-9FE4-AF6A06C63620}"/>
    <cellStyle name="Warning Text 3 3 4" xfId="37871" xr:uid="{22E8A52B-7C77-40E1-9868-1CEFB166FE9F}"/>
    <cellStyle name="Warning Text 3 3 5" xfId="37872" xr:uid="{83AAEBD2-536A-4F06-91A4-C6472BC9DAF5}"/>
    <cellStyle name="Warning Text 3 3 6" xfId="37873" xr:uid="{6AC5CD3F-86AC-4F7F-9508-F29653549D5B}"/>
    <cellStyle name="Warning Text 3 4" xfId="3853" xr:uid="{02C92564-FC5D-49EB-9A98-C07896B4AA3F}"/>
    <cellStyle name="Warning Text 3 4 2" xfId="19687" xr:uid="{C72EAA07-F1EF-44C8-9CED-FEDA27FD2C9C}"/>
    <cellStyle name="Warning Text 3 4 2 2" xfId="23304" xr:uid="{29AB229D-DF06-453B-89A8-73BB3FB093CB}"/>
    <cellStyle name="Warning Text 3 4 3" xfId="37874" xr:uid="{0C9A26C1-FBE7-4F2E-8735-A3BBC8E11696}"/>
    <cellStyle name="Warning Text 3 4 4" xfId="37875" xr:uid="{BCAF30B9-84CC-49C1-B8C4-AA3B2A3CC846}"/>
    <cellStyle name="Warning Text 3 4 5" xfId="37876" xr:uid="{E8D1178F-8FCA-4F5D-AD50-38319CE617B8}"/>
    <cellStyle name="Warning Text 3 4 6" xfId="37877" xr:uid="{85FBE278-BCA5-4340-93E7-D24C491FECD1}"/>
    <cellStyle name="Warning Text 3 5" xfId="3854" xr:uid="{CE490B01-9F96-4658-AE5A-5C0D44EED4CB}"/>
    <cellStyle name="Warning Text 3 5 2" xfId="19688" xr:uid="{62E0285A-C777-458F-A18E-B4897E35A313}"/>
    <cellStyle name="Warning Text 3 5 2 2" xfId="23305" xr:uid="{46397D88-7396-4742-8160-35CC96996921}"/>
    <cellStyle name="Warning Text 3 5 3" xfId="37878" xr:uid="{85F915D7-F540-4B0C-9C9C-28684E5DF08D}"/>
    <cellStyle name="Warning Text 3 5 4" xfId="37879" xr:uid="{F85E8035-68BA-4071-9A07-C710514E1712}"/>
    <cellStyle name="Warning Text 3 5 5" xfId="37880" xr:uid="{E2ABF718-CEC5-4FC1-9C9C-BD7C0FD31B11}"/>
    <cellStyle name="Warning Text 3 5 6" xfId="37881" xr:uid="{9FC18E30-450A-4E6A-9C23-C7C8F3384278}"/>
    <cellStyle name="Warning Text 3 6" xfId="3855" xr:uid="{D6504C84-0A69-42C6-84E1-F3A6996ADD97}"/>
    <cellStyle name="Warning Text 3 6 2" xfId="19689" xr:uid="{F11B0C58-A43E-405B-B208-B553F79736C3}"/>
    <cellStyle name="Warning Text 3 6 2 2" xfId="23306" xr:uid="{1EEB9E05-9E98-4861-B270-4E347CB65F5C}"/>
    <cellStyle name="Warning Text 3 6 3" xfId="37882" xr:uid="{D8A477C4-D81D-4ED3-9030-5A90D261C91A}"/>
    <cellStyle name="Warning Text 3 6 4" xfId="37883" xr:uid="{44506459-DC5E-4D5D-8E46-0AF85AE04798}"/>
    <cellStyle name="Warning Text 3 6 5" xfId="37884" xr:uid="{D8F50D75-057B-4ECF-ADC1-0CDA07DD830D}"/>
    <cellStyle name="Warning Text 3 6 6" xfId="37885" xr:uid="{11B83C7A-29F9-4BB8-B86D-270497161CBA}"/>
    <cellStyle name="Warning Text 3 7" xfId="3856" xr:uid="{37E02726-6DBF-40F9-84C0-F5EFBEDD1557}"/>
    <cellStyle name="Warning Text 3 7 2" xfId="19690" xr:uid="{8BA5E1B8-0155-405E-85B5-50B00DF14BD2}"/>
    <cellStyle name="Warning Text 3 7 2 2" xfId="23307" xr:uid="{8389A2AD-16A8-4246-8B03-F2468C00C76A}"/>
    <cellStyle name="Warning Text 3 7 3" xfId="37886" xr:uid="{6198FC0C-3D23-44D5-BD10-894DCD26CBFA}"/>
    <cellStyle name="Warning Text 3 7 4" xfId="37887" xr:uid="{4190EFD0-BCAB-4D68-B57E-0D4CF7071EFF}"/>
    <cellStyle name="Warning Text 3 7 5" xfId="37888" xr:uid="{19CDEAF1-754F-4A5A-BD00-91711BB50007}"/>
    <cellStyle name="Warning Text 3 7 6" xfId="37889" xr:uid="{A34AEB18-0B46-45C8-BB96-574AC7CCA55E}"/>
    <cellStyle name="Warning Text 3 8" xfId="3857" xr:uid="{E7D4329C-B93A-4878-A57B-CCA0847F82F3}"/>
    <cellStyle name="Warning Text 3 8 2" xfId="19691" xr:uid="{887043B7-9A91-4E45-B46E-0EEFC16893BA}"/>
    <cellStyle name="Warning Text 3 8 2 2" xfId="23308" xr:uid="{045E22E6-3D40-4702-AD1B-CAB5610536A1}"/>
    <cellStyle name="Warning Text 3 8 3" xfId="37890" xr:uid="{84D27B83-152F-4248-B340-085DDFEA948C}"/>
    <cellStyle name="Warning Text 3 8 4" xfId="37891" xr:uid="{5CE58BC4-C5E4-404C-B604-20791DCEF02B}"/>
    <cellStyle name="Warning Text 3 8 5" xfId="37892" xr:uid="{32CC5E56-08DA-4369-ADD0-DFE3613799AB}"/>
    <cellStyle name="Warning Text 3 8 6" xfId="37893" xr:uid="{B5135AE6-4FF5-40F5-A0D8-A26210829764}"/>
    <cellStyle name="Warning Text 3 9" xfId="3858" xr:uid="{DDF8A3FA-959D-41FC-8CDD-0AC6C2BC0C6D}"/>
    <cellStyle name="Warning Text 3 9 2" xfId="19692" xr:uid="{4E108D76-EB2F-488A-B13C-C213D57DD56A}"/>
    <cellStyle name="Warning Text 3 9 2 2" xfId="23309" xr:uid="{3EC833EF-31C9-4FEA-9506-0C82ABF7A091}"/>
    <cellStyle name="Warning Text 3 9 3" xfId="37894" xr:uid="{800E5A20-5625-46B3-ABB4-9023F6F8807F}"/>
    <cellStyle name="Warning Text 3 9 4" xfId="37895" xr:uid="{C7765BC0-C973-49FC-8A30-89703EAA374A}"/>
    <cellStyle name="Warning Text 3 9 5" xfId="37896" xr:uid="{4608F97B-53FA-4AF5-8E14-7670E3A44F01}"/>
    <cellStyle name="Warning Text 3 9 6" xfId="37897" xr:uid="{C4728580-97C2-42DC-9B83-A7F06D08ADCE}"/>
    <cellStyle name="Warning Text 4" xfId="3859" xr:uid="{DD81A5D7-6E84-40CB-902B-BAC52AB59CC3}"/>
    <cellStyle name="Warning Text 4 2" xfId="3860" xr:uid="{4421B0D0-7155-4255-9AAB-DD26CA97CAF3}"/>
    <cellStyle name="Warning Text 4 2 2" xfId="19694" xr:uid="{90BC7A38-3A61-4ABE-AA61-04F564769063}"/>
    <cellStyle name="Warning Text 4 2 2 2" xfId="23311" xr:uid="{89C6D845-3689-4F9D-A1E2-E8B496AE5213}"/>
    <cellStyle name="Warning Text 4 2 3" xfId="37898" xr:uid="{05A29785-A430-4E07-9F2B-361D2F562120}"/>
    <cellStyle name="Warning Text 4 2 4" xfId="37899" xr:uid="{265B3841-5BC7-4289-BB58-BEC9D9619101}"/>
    <cellStyle name="Warning Text 4 2 5" xfId="37900" xr:uid="{63B9FA74-6F8C-46A2-BE10-959E7170EB10}"/>
    <cellStyle name="Warning Text 4 2 6" xfId="37901" xr:uid="{EB4611ED-9662-44A4-8709-66365703ECE9}"/>
    <cellStyle name="Warning Text 4 2 7" xfId="37902" xr:uid="{F514891F-4B60-467B-B625-EBF7A55E27E5}"/>
    <cellStyle name="Warning Text 4 3" xfId="19693" xr:uid="{36E0F2F0-7AAB-4D3B-A7A5-E24F6F931154}"/>
    <cellStyle name="Warning Text 4 3 2" xfId="23310" xr:uid="{02A982FF-E2A5-4C99-B230-0EA1B41310CD}"/>
    <cellStyle name="Warning Text 4 4" xfId="37903" xr:uid="{B71DA82E-C542-4DFF-AFE9-36746EBA41E4}"/>
    <cellStyle name="Warning Text 4 5" xfId="37904" xr:uid="{68636707-5E38-4F6F-89F0-E8131A1296E5}"/>
    <cellStyle name="Warning Text 4 6" xfId="37905" xr:uid="{D00471F1-6675-4BB4-B32F-07314E5D0E39}"/>
    <cellStyle name="Warning Text 4 7" xfId="37906" xr:uid="{1AB54B6D-07E5-4830-8689-9EEEDF35A918}"/>
    <cellStyle name="Warning Text 4 8" xfId="37907" xr:uid="{2E403C33-602A-4DAA-9621-5B87BC907ED9}"/>
    <cellStyle name="Warning Text 5" xfId="3861" xr:uid="{917A5F47-61E0-4CAD-A176-DB8B91BCBE99}"/>
    <cellStyle name="Warning Text 5 2" xfId="3862" xr:uid="{1197174E-EEB2-4C57-8EB1-00C480322E73}"/>
    <cellStyle name="Warning Text 5 2 2" xfId="19696" xr:uid="{EE3C1CB4-DF42-4A0C-9D48-D149048BAFB8}"/>
    <cellStyle name="Warning Text 5 2 2 2" xfId="23313" xr:uid="{602FE702-7A6E-4B79-8FCC-AD9B3611C9E6}"/>
    <cellStyle name="Warning Text 5 2 3" xfId="37908" xr:uid="{6130D718-A1D4-473D-A601-86EE8E843C4E}"/>
    <cellStyle name="Warning Text 5 2 4" xfId="37909" xr:uid="{9092C9E9-51E2-4689-9603-98FAA52D8D41}"/>
    <cellStyle name="Warning Text 5 2 5" xfId="37910" xr:uid="{F01D0D49-4C96-4976-9D8B-038406BFA53B}"/>
    <cellStyle name="Warning Text 5 2 6" xfId="37911" xr:uid="{4867AE8A-D3FC-46AD-B2ED-33F951564181}"/>
    <cellStyle name="Warning Text 5 2 7" xfId="37912" xr:uid="{B71E67E2-B944-467D-B9D2-403A0515A00B}"/>
    <cellStyle name="Warning Text 5 3" xfId="19695" xr:uid="{3983084D-55B8-4139-BE7A-CF16800BB73C}"/>
    <cellStyle name="Warning Text 5 3 2" xfId="23312" xr:uid="{8F917595-4AF0-4780-8B3A-5785C6394F86}"/>
    <cellStyle name="Warning Text 5 4" xfId="37913" xr:uid="{56EDC22A-459D-414A-BEA3-871F63B54450}"/>
    <cellStyle name="Warning Text 5 5" xfId="37914" xr:uid="{4DEF70A0-D7E1-4983-9766-F1D2F121296E}"/>
    <cellStyle name="Warning Text 5 6" xfId="37915" xr:uid="{E407EC7E-23EC-4D12-BDB1-B1B7D8D7BD82}"/>
    <cellStyle name="Warning Text 5 7" xfId="37916" xr:uid="{DAD31071-CDB8-404B-B63A-19E993201D7A}"/>
    <cellStyle name="Warning Text 5 8" xfId="37917" xr:uid="{7611AAD6-434B-4DAF-967A-F9A7E4A31AFA}"/>
    <cellStyle name="Warning Text 6" xfId="3863" xr:uid="{52AA91D2-6D1E-4835-AADB-DA4E8AAFED78}"/>
    <cellStyle name="Warning Text 6 2" xfId="3864" xr:uid="{C6F919F2-1447-40F7-8D9A-F8059F8ED57B}"/>
    <cellStyle name="Warning Text 6 2 2" xfId="19698" xr:uid="{B130D7A3-D386-40F7-8D54-4697C9F6F70F}"/>
    <cellStyle name="Warning Text 6 2 2 2" xfId="23315" xr:uid="{BB2B23C4-33CB-4760-B674-CD5FBE00E707}"/>
    <cellStyle name="Warning Text 6 2 3" xfId="37918" xr:uid="{37351993-86D4-48E1-BA9C-8AA7061883AA}"/>
    <cellStyle name="Warning Text 6 2 4" xfId="37919" xr:uid="{444D918C-260B-4362-BD05-4C2A8B58AAFA}"/>
    <cellStyle name="Warning Text 6 2 5" xfId="37920" xr:uid="{9F651882-129F-478E-AE7B-95BA258D53A3}"/>
    <cellStyle name="Warning Text 6 2 6" xfId="37921" xr:uid="{73E3F7B3-9DE0-40E1-A6DA-F479E6C241FC}"/>
    <cellStyle name="Warning Text 6 2 7" xfId="37922" xr:uid="{943ED264-A715-42A3-92A4-FE13D87E9D89}"/>
    <cellStyle name="Warning Text 6 3" xfId="3865" xr:uid="{3A9A37F0-83CD-41F6-8FF3-A34757295A3E}"/>
    <cellStyle name="Warning Text 6 3 2" xfId="19699" xr:uid="{C99B8216-8182-4E2D-B10D-E84A741EBB37}"/>
    <cellStyle name="Warning Text 6 3 2 2" xfId="23316" xr:uid="{0EA825C2-856C-49A7-9CB3-72FCFDEBC840}"/>
    <cellStyle name="Warning Text 6 3 3" xfId="37923" xr:uid="{690E84CA-505A-4575-BF99-C03669F37CEE}"/>
    <cellStyle name="Warning Text 6 3 4" xfId="37924" xr:uid="{8107D10D-E85E-474D-A492-254F932A2C6F}"/>
    <cellStyle name="Warning Text 6 3 5" xfId="37925" xr:uid="{AF1F8084-2D77-4FB8-88DB-7F837EE28AA4}"/>
    <cellStyle name="Warning Text 6 3 6" xfId="37926" xr:uid="{E1754C27-8C57-4B7F-85A6-3343E801C065}"/>
    <cellStyle name="Warning Text 6 4" xfId="19697" xr:uid="{12C0CA17-3D80-466E-A0FC-3F51F9635881}"/>
    <cellStyle name="Warning Text 6 4 2" xfId="23314" xr:uid="{88633B05-167E-41E6-AEF4-F7C69B47078C}"/>
    <cellStyle name="Warning Text 6 5" xfId="37927" xr:uid="{ADD252B5-28EA-4450-B8AB-E34D71DEE672}"/>
    <cellStyle name="Warning Text 6 6" xfId="37928" xr:uid="{67589B5F-9EC9-49A7-9C2B-735C46B7FB07}"/>
    <cellStyle name="Warning Text 6 7" xfId="37929" xr:uid="{F01EB9F8-B9CA-4158-AFC5-281D878AD9BC}"/>
    <cellStyle name="Warning Text 6 8" xfId="37930" xr:uid="{7DCB2E2D-AD13-4EBB-95CE-4AB92D68C36A}"/>
    <cellStyle name="Warning Text 6 9" xfId="37931" xr:uid="{24246754-8702-481C-B0AC-AD6D293A4CD4}"/>
    <cellStyle name="Warning Text 7" xfId="3866" xr:uid="{9F6AFA41-E879-4184-BEA7-542577BC2938}"/>
    <cellStyle name="Warning Text 7 2" xfId="3867" xr:uid="{C8DABAC9-2603-4714-B44D-4495AE73165C}"/>
    <cellStyle name="Warning Text 7 2 2" xfId="19701" xr:uid="{898560D4-C943-4C6D-B339-5FB691BAABE4}"/>
    <cellStyle name="Warning Text 7 2 2 2" xfId="23318" xr:uid="{C4B82673-E193-44DC-B4A7-D074C88D1CBA}"/>
    <cellStyle name="Warning Text 7 2 3" xfId="37932" xr:uid="{65082FF9-B93D-4E17-98A9-2642A33FDF3B}"/>
    <cellStyle name="Warning Text 7 2 4" xfId="37933" xr:uid="{381612CE-1406-411E-B475-3FA060D5142D}"/>
    <cellStyle name="Warning Text 7 2 5" xfId="37934" xr:uid="{99A07B98-5766-4732-95A9-B7F564A02BE3}"/>
    <cellStyle name="Warning Text 7 2 6" xfId="37935" xr:uid="{AE0E709E-6840-44BE-92F7-2539449187E5}"/>
    <cellStyle name="Warning Text 7 2 7" xfId="37936" xr:uid="{2135298C-674D-478E-8F50-48893ABCF94D}"/>
    <cellStyle name="Warning Text 7 3" xfId="3868" xr:uid="{88E5A06C-B21F-43DD-A200-F0878A4F4AFB}"/>
    <cellStyle name="Warning Text 7 3 2" xfId="19702" xr:uid="{5FBE5AE4-A2CD-4EA8-8970-0B4EDC523884}"/>
    <cellStyle name="Warning Text 7 3 2 2" xfId="23319" xr:uid="{83BB5231-9B15-498E-AAA2-42E1F561C446}"/>
    <cellStyle name="Warning Text 7 3 3" xfId="37937" xr:uid="{925243D8-89AD-4C97-A39D-D1CADD6EEBE6}"/>
    <cellStyle name="Warning Text 7 3 4" xfId="37938" xr:uid="{28DFCE72-4ADE-49F0-81D5-BF761757F7DD}"/>
    <cellStyle name="Warning Text 7 3 5" xfId="37939" xr:uid="{4938599F-67DB-4A5B-804C-3FC8FC092CA9}"/>
    <cellStyle name="Warning Text 7 3 6" xfId="37940" xr:uid="{024E537F-998D-4458-8868-91D91067B3F5}"/>
    <cellStyle name="Warning Text 7 4" xfId="19700" xr:uid="{1DFD36C6-4217-4A2D-832D-975604A3DEBA}"/>
    <cellStyle name="Warning Text 7 4 2" xfId="23317" xr:uid="{94333AAE-BF35-4EF5-9453-957BC8A68218}"/>
    <cellStyle name="Warning Text 7 5" xfId="37941" xr:uid="{011F3DAC-1C99-462F-960D-9338DA2235FC}"/>
    <cellStyle name="Warning Text 7 6" xfId="37942" xr:uid="{902A29C9-786C-40BB-AA4F-427FDF8CF556}"/>
    <cellStyle name="Warning Text 7 7" xfId="37943" xr:uid="{233DF033-4D95-4072-9C62-5D095EF0207D}"/>
    <cellStyle name="Warning Text 7 8" xfId="37944" xr:uid="{4E7F61AA-7641-4DBE-A12E-D18A82903A03}"/>
    <cellStyle name="Warning Text 7 9" xfId="37945" xr:uid="{8D5E04D4-B814-4FEE-9B73-096C043A15E0}"/>
    <cellStyle name="Warning Text 8" xfId="3869" xr:uid="{2B974BA6-21CC-47A0-8F23-D6B0D88DFF8C}"/>
    <cellStyle name="Warning Text 8 2" xfId="3870" xr:uid="{40A46D57-9ABB-4FAB-BB1A-71102F77A130}"/>
    <cellStyle name="Warning Text 8 2 2" xfId="19704" xr:uid="{DE8D4F69-5599-402B-8A49-6F60B561D32A}"/>
    <cellStyle name="Warning Text 8 2 2 2" xfId="23321" xr:uid="{5ADDFC5E-A436-4EE4-AA7E-F72F7B859A59}"/>
    <cellStyle name="Warning Text 8 2 3" xfId="37946" xr:uid="{A7CFD8F2-91E7-419C-B364-2CE1A1885AD3}"/>
    <cellStyle name="Warning Text 8 2 4" xfId="37947" xr:uid="{6D44157E-24D0-4FCF-B21B-6AE2A7FCFD32}"/>
    <cellStyle name="Warning Text 8 2 5" xfId="37948" xr:uid="{661834CC-0CE4-4A3B-8CB0-7B192145BEAC}"/>
    <cellStyle name="Warning Text 8 2 6" xfId="37949" xr:uid="{F28D0BF2-ED43-42C6-BE9F-50CBD97FA948}"/>
    <cellStyle name="Warning Text 8 2 7" xfId="37950" xr:uid="{64F0BCCC-7E87-4397-B520-27C858618433}"/>
    <cellStyle name="Warning Text 8 3" xfId="3871" xr:uid="{A3047188-C568-4572-A6F3-213EE5E1B61F}"/>
    <cellStyle name="Warning Text 8 3 2" xfId="19705" xr:uid="{577ED84F-089C-46A5-A3E4-2DCCE5E89888}"/>
    <cellStyle name="Warning Text 8 3 2 2" xfId="23322" xr:uid="{55615995-795D-4B4F-827E-69296922BB15}"/>
    <cellStyle name="Warning Text 8 3 3" xfId="37951" xr:uid="{537DC570-3DD1-4DD4-8685-B19BA0E7FB93}"/>
    <cellStyle name="Warning Text 8 3 4" xfId="37952" xr:uid="{6AA1B078-E421-46F3-966A-DA903AC75801}"/>
    <cellStyle name="Warning Text 8 3 5" xfId="37953" xr:uid="{326FABFB-F9DC-4A4C-B5D4-93855FB05999}"/>
    <cellStyle name="Warning Text 8 3 6" xfId="37954" xr:uid="{96420D6B-B7FA-40FF-A4F6-598BE73C5408}"/>
    <cellStyle name="Warning Text 8 4" xfId="19703" xr:uid="{D1E0D289-83DA-4F90-B1BF-3914ED3101E0}"/>
    <cellStyle name="Warning Text 8 4 2" xfId="23320" xr:uid="{EED8B5F9-5036-4D72-AAD7-A085CDE8B3B2}"/>
    <cellStyle name="Warning Text 8 5" xfId="37955" xr:uid="{CF8D227E-D242-4BEE-BDAB-FDAB4D2D75E8}"/>
    <cellStyle name="Warning Text 8 6" xfId="37956" xr:uid="{29B9C9D1-74E8-418D-A284-CDD69E1CC334}"/>
    <cellStyle name="Warning Text 8 7" xfId="37957" xr:uid="{E215735A-3DB7-400E-B119-F8E2F4611303}"/>
    <cellStyle name="Warning Text 8 8" xfId="37958" xr:uid="{A4924CBE-99F4-495C-A649-F4AE9B096EFC}"/>
    <cellStyle name="Warning Text 8 9" xfId="37959" xr:uid="{759B1644-7EE0-4815-B559-9F889474B597}"/>
    <cellStyle name="Warning Text 9" xfId="3872" xr:uid="{7D741269-C3F6-42BA-AD2C-889F3DEA84A6}"/>
    <cellStyle name="Warning Text 9 2" xfId="3873" xr:uid="{6AA57276-A70D-465A-A4D7-0AD9215FE7B6}"/>
    <cellStyle name="Warning Text 9 2 2" xfId="19707" xr:uid="{E6238CAA-7125-47AF-9A9E-9A3D1788A902}"/>
    <cellStyle name="Warning Text 9 2 2 2" xfId="23324" xr:uid="{B2F1C4B4-C029-4427-B438-7A2290341F31}"/>
    <cellStyle name="Warning Text 9 2 3" xfId="37960" xr:uid="{C4632B12-AF21-45F6-84CE-F402DF0CD52D}"/>
    <cellStyle name="Warning Text 9 2 4" xfId="37961" xr:uid="{527F4842-6031-43DF-B356-0E24AC4DA387}"/>
    <cellStyle name="Warning Text 9 2 5" xfId="37962" xr:uid="{36C1C669-E144-4FC1-8D4B-1E1CE53EE5A4}"/>
    <cellStyle name="Warning Text 9 2 6" xfId="37963" xr:uid="{629A992B-E68C-4F17-9EF7-73EE6D625F94}"/>
    <cellStyle name="Warning Text 9 3" xfId="19706" xr:uid="{52C51336-15FF-4EF4-9577-73BD140AED6B}"/>
    <cellStyle name="Warning Text 9 3 2" xfId="23323" xr:uid="{1FAA7B8C-D95C-4EDA-ADDE-8FDEC92DEECA}"/>
    <cellStyle name="Warning Text 9 4" xfId="37964" xr:uid="{8AA2099C-81CA-4300-A31E-5EEE5FCB830C}"/>
    <cellStyle name="Warning Text 9 5" xfId="37965" xr:uid="{8F225FBD-C061-45D0-9449-ED7827222031}"/>
    <cellStyle name="Warning Text 9 6" xfId="37966" xr:uid="{6769071E-B464-4974-97F2-CC2111A3CDF3}"/>
    <cellStyle name="Warning Text 9 7" xfId="37967" xr:uid="{BB898854-BAB3-47E5-AE4F-37AB4C74D12D}"/>
    <cellStyle name="Warning Text 9 8" xfId="37968" xr:uid="{C8FB61FB-D3B8-4367-8636-587B3F39C88A}"/>
    <cellStyle name="Verificar Célula" xfId="3819" xr:uid="{A2FC3AF0-65F5-4751-915F-2C8DF9C01475}"/>
    <cellStyle name="Verificar Célula 2" xfId="19641" xr:uid="{4C875BD9-E128-41B1-8DD5-47BB35FD4485}"/>
    <cellStyle name="Verificar Célula 2 2" xfId="23258" xr:uid="{84D332D0-D249-4C37-97F0-7A4023E43209}"/>
    <cellStyle name="Verificar Célula 3" xfId="37661" xr:uid="{0C653BC3-2635-463E-80C0-7BA0F924D26A}"/>
    <cellStyle name="Verificar Célula 4" xfId="37662" xr:uid="{EB0E0DD1-12AF-47C0-B0C5-25465A98AE53}"/>
    <cellStyle name="Verificar Célula 5" xfId="37663" xr:uid="{D6CA1B79-CEB5-402A-B879-9D421048C57E}"/>
    <cellStyle name="Verificar Célula 6" xfId="37664" xr:uid="{9D3D9D6F-82F3-4D25-80A3-CA6C7656F2A0}"/>
    <cellStyle name="Verificar Célula 7" xfId="37665" xr:uid="{C385EE39-3A32-4E7D-B2D1-7CBE61B32E24}"/>
    <cellStyle name="Verificar Célula 8" xfId="37666" xr:uid="{4EC51B52-D663-47BB-8BCE-7DE2FA150F25}"/>
    <cellStyle name="Vírgula 2" xfId="3820" xr:uid="{4963DEA7-68BE-4A72-BA1D-4B854FA2855F}"/>
    <cellStyle name="Vírgula 2 10" xfId="37667" xr:uid="{D2AA0097-A444-4559-BFAE-CE2336ED30DB}"/>
    <cellStyle name="Vírgula 2 11" xfId="37668" xr:uid="{A0A3DB3F-A0F4-4737-9BB3-C4730AC2CF65}"/>
    <cellStyle name="Vírgula 2 2" xfId="3821" xr:uid="{C6775AB8-4992-4626-B9B7-215797081D13}"/>
    <cellStyle name="Vírgula 2 2 2" xfId="5478" xr:uid="{745CC0AA-5A36-4209-A2E7-516DC2BCD35A}"/>
    <cellStyle name="Vírgula 2 2 2 2" xfId="23260" xr:uid="{665F7792-26CD-4F3C-A875-E4A612277181}"/>
    <cellStyle name="Vírgula 2 2 2 3" xfId="43767" xr:uid="{1E561D54-948D-4617-AE53-48560301966F}"/>
    <cellStyle name="Vírgula 2 2 2 4" xfId="19643" xr:uid="{B6CB4A9F-BBA2-4804-85E9-23075562AE94}"/>
    <cellStyle name="Vírgula 2 2 3" xfId="4396" xr:uid="{F6D97F39-1DDC-4352-9A6F-C752D4C64FC7}"/>
    <cellStyle name="Vírgula 2 2 3 2" xfId="44198" xr:uid="{4322CBD9-483B-499B-8DCB-90F6FEC2EDDD}"/>
    <cellStyle name="Vírgula 2 2 3 3" xfId="37669" xr:uid="{53F82025-872D-476A-97D7-034932608188}"/>
    <cellStyle name="Vírgula 2 2 4" xfId="6460" xr:uid="{4B96EA7F-52B4-46E7-B15A-0DFB49D2819C}"/>
    <cellStyle name="Vírgula 2 2 4 2" xfId="46107" xr:uid="{504F661B-AF1F-43BD-8620-7B9E0152656C}"/>
    <cellStyle name="Vírgula 2 2 4 3" xfId="37670" xr:uid="{3C95832F-0BED-4896-9342-5E04BC1037AD}"/>
    <cellStyle name="Vírgula 2 2 5" xfId="9390" xr:uid="{9A8E539E-2C67-4B58-BAF8-7CBD6D7FCBB5}"/>
    <cellStyle name="Vírgula 2 2 5 2" xfId="37671" xr:uid="{6219E364-39B8-4AEB-8D9E-3C4CDCAB824B}"/>
    <cellStyle name="Vírgula 2 2 6" xfId="37672" xr:uid="{3F77C3DC-4E9D-4AA0-BF9C-316E834C15B3}"/>
    <cellStyle name="Vírgula 2 2 7" xfId="37673" xr:uid="{A126E5E3-EBB7-43E1-8F36-CADCB424C3BD}"/>
    <cellStyle name="Vírgula 2 3" xfId="3822" xr:uid="{CAD57572-8168-4006-8E95-4A23DB5A5084}"/>
    <cellStyle name="Vírgula 2 3 2" xfId="5479" xr:uid="{0B58EF07-0B48-4508-8E5C-6A7336CD9DC3}"/>
    <cellStyle name="Vírgula 2 3 2 2" xfId="23261" xr:uid="{FAAAEE84-1EC2-40C6-B8FF-A2C6D53E60AA}"/>
    <cellStyle name="Vírgula 2 3 2 3" xfId="43768" xr:uid="{AA578F5E-DFB8-4D83-81E5-D27FE51B4ACD}"/>
    <cellStyle name="Vírgula 2 3 2 4" xfId="19644" xr:uid="{D6E921BD-5A2D-461F-9C2F-B15E84489296}"/>
    <cellStyle name="Vírgula 2 3 3" xfId="4397" xr:uid="{650FD9E5-11D8-4974-AD57-6973E2078D7E}"/>
    <cellStyle name="Vírgula 2 3 3 2" xfId="44199" xr:uid="{9077E425-7977-4675-AF7C-BD1D7A306EA7}"/>
    <cellStyle name="Vírgula 2 3 3 3" xfId="37674" xr:uid="{6DC233C5-E45C-4959-9F59-973E787B3C82}"/>
    <cellStyle name="Vírgula 2 3 4" xfId="6461" xr:uid="{12E18986-264C-488D-B7A5-A9D4642FD94C}"/>
    <cellStyle name="Vírgula 2 3 4 2" xfId="46108" xr:uid="{E64DD905-9D9C-438E-A1B0-3159C9FC984A}"/>
    <cellStyle name="Vírgula 2 3 4 3" xfId="37675" xr:uid="{F9FB0C46-E80C-4852-8665-819CB094B713}"/>
    <cellStyle name="Vírgula 2 3 5" xfId="9391" xr:uid="{CF8F90F2-505B-4C9E-A041-EDB3AE05889E}"/>
    <cellStyle name="Vírgula 2 3 5 2" xfId="37676" xr:uid="{7890D1F4-AEF1-47DE-A0BD-9F5CCB1E6229}"/>
    <cellStyle name="Vírgula 2 3 6" xfId="37677" xr:uid="{1C9569D6-86BF-47FF-A744-D6D78AF9E0D0}"/>
    <cellStyle name="Vírgula 2 3 7" xfId="37678" xr:uid="{73A22385-2DCE-4A15-9EAD-302F25B24E46}"/>
    <cellStyle name="Vírgula 2 4" xfId="3823" xr:uid="{52EF9E1A-D454-48ED-BBD0-1B232FDE0821}"/>
    <cellStyle name="Vírgula 2 4 2" xfId="5480" xr:uid="{9090C5CB-C081-4B1F-A727-886C0FD27EF0}"/>
    <cellStyle name="Vírgula 2 4 2 2" xfId="23262" xr:uid="{24CD2A37-9132-4828-97B7-114FFAC79051}"/>
    <cellStyle name="Vírgula 2 4 2 3" xfId="43769" xr:uid="{C2A06C26-9AA0-4B7B-A520-B26C4C06FFF0}"/>
    <cellStyle name="Vírgula 2 4 2 4" xfId="19645" xr:uid="{0356F6E7-505F-4E2A-A55A-E0B3BD566086}"/>
    <cellStyle name="Vírgula 2 4 3" xfId="4398" xr:uid="{872BFBCC-3FD0-44E9-9DFE-80175E716B92}"/>
    <cellStyle name="Vírgula 2 4 3 2" xfId="44200" xr:uid="{85C08D72-229B-44ED-AB01-227FD1CF9536}"/>
    <cellStyle name="Vírgula 2 4 3 3" xfId="37679" xr:uid="{714F0EBE-7047-4567-87A7-8B42EE767C55}"/>
    <cellStyle name="Vírgula 2 4 4" xfId="6462" xr:uid="{7B83007A-2F66-429F-A4BC-ECB34EF4DFB0}"/>
    <cellStyle name="Vírgula 2 4 4 2" xfId="46109" xr:uid="{9B12C0F9-BEAA-410A-8A6B-64DDF3441291}"/>
    <cellStyle name="Vírgula 2 4 4 3" xfId="37680" xr:uid="{87B7B2E9-73F1-414B-BF38-4F6695C9501F}"/>
    <cellStyle name="Vírgula 2 4 5" xfId="9392" xr:uid="{A4CF1458-F14B-41E1-872A-12FF49708E5C}"/>
    <cellStyle name="Vírgula 2 4 5 2" xfId="37681" xr:uid="{1EFDCE43-B394-4F47-9D34-82AB5B3F4D00}"/>
    <cellStyle name="Vírgula 2 4 6" xfId="37682" xr:uid="{828C2D0A-892B-4F38-ADC5-9D74FB779301}"/>
    <cellStyle name="Vírgula 2 4 7" xfId="37683" xr:uid="{6DCEE2BB-371D-46F6-A8DE-16000227D57D}"/>
    <cellStyle name="Vírgula 2 5" xfId="5477" xr:uid="{E916E0E4-2655-4601-8994-A1806D35D19A}"/>
    <cellStyle name="Vírgula 2 5 2" xfId="23259" xr:uid="{5289190C-3C77-4461-BF46-9C8F0C31380A}"/>
    <cellStyle name="Vírgula 2 5 3" xfId="43766" xr:uid="{43C34AEB-A2C2-4D74-A7B4-5A6591D39613}"/>
    <cellStyle name="Vírgula 2 5 4" xfId="19642" xr:uid="{12B219E7-6A75-4E29-8C32-BD0F3EA3E02B}"/>
    <cellStyle name="Vírgula 2 6" xfId="4395" xr:uid="{0EAAE15B-AFAB-48F5-ABE1-3B2BBC998E2A}"/>
    <cellStyle name="Vírgula 2 6 2" xfId="44197" xr:uid="{FDCC12FE-2C01-4313-A5EE-552039707C03}"/>
    <cellStyle name="Vírgula 2 6 3" xfId="37684" xr:uid="{3E4384BD-DEF2-4407-8E1A-7F3C6D74A31E}"/>
    <cellStyle name="Vírgula 2 7" xfId="6459" xr:uid="{5B4A2209-5694-497D-AB5A-3C981328AB00}"/>
    <cellStyle name="Vírgula 2 7 2" xfId="46106" xr:uid="{752822B3-C9BA-48F8-B457-EC954F3CE025}"/>
    <cellStyle name="Vírgula 2 7 3" xfId="37685" xr:uid="{651C9DC6-01E3-45B0-AA80-4E64AB9C4C1B}"/>
    <cellStyle name="Vírgula 2 8" xfId="9389" xr:uid="{0C69BA70-F85E-4735-B4DF-D9D27A1238F3}"/>
    <cellStyle name="Vírgula 2 8 2" xfId="37686" xr:uid="{AF832255-8E69-4D86-BCB4-E79A3C926364}"/>
    <cellStyle name="Vírgula 2 9" xfId="37687" xr:uid="{2256AACB-B60B-40BB-B6D5-D10C7A5DD817}"/>
    <cellStyle name="Обычный_CRF2002 (1)" xfId="3874" xr:uid="{BDEA03F3-B15B-4AA2-BC9A-BDB930A1B6A8}"/>
  </cellStyles>
  <dxfs count="4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EA68CB"/>
      <color rgb="FF006666"/>
      <color rgb="FF70327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ltuse-my.sharepoint.com/Trillian/groups/SAGE/saic_technology/ResCOM/New%20Microsoft%20Excel%20Workshee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SAGE\saic_technology\ResCOM\New%20Microsoft%20Excel%20Workshee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ltuse-my.sharepoint.com/Trillian/groups/VEDA_Models/NEEDS_SE/SUBRES_TMPL/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ltuse-my.sharepoint.com/Wolfgang/c/temphold/TMPL_RE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ltuse-my.sharepoint.com/Trillian/groups/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Microsoft Excel Worksheet"/>
      <sheetName val="AGR_Fuels"/>
      <sheetName val="TechRep-Doc"/>
    </sheetNames>
    <sheetDataSet>
      <sheetData sheetId="0" refreshError="1"/>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Microsoft Excel Worksheet"/>
      <sheetName val="AGR_Fuels"/>
      <sheetName val="TechRep-Doc"/>
    </sheetNames>
    <sheetDataSet>
      <sheetData sheetId="0" refreshError="1"/>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_Emi"/>
      <sheetName val="AGR"/>
      <sheetName val="RES_Fuels"/>
      <sheetName val="RES_Emi"/>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OM_Emi"/>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Parvathy Sobha" id="{18E9465A-2167-46B1-84FA-8E85F5A0FFBE}" userId="S::parvathy.sobha@ltu.se::60f0b418-200d-40d3-b527-7aa1b01e708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O2" dT="2022-02-02T16:19:26.02" personId="{18E9465A-2167-46B1-84FA-8E85F5A0FFBE}" id="{396240CD-0AE4-4420-9A0E-3123E2CB5B22}">
    <text>For a process having different outputs say space heating and hot water, Multiplication factor is teh ratio of EFF of ist output bto EFF of second output. Multiplication factor of second output (i.e. hot water)*EFF of 1st output gives the efficiency of Second output</text>
  </threadedComment>
</ThreadedComments>
</file>

<file path=xl/threadedComments/threadedComment2.xml><?xml version="1.0" encoding="utf-8"?>
<ThreadedComments xmlns="http://schemas.microsoft.com/office/spreadsheetml/2018/threadedcomments" xmlns:x="http://schemas.openxmlformats.org/spreadsheetml/2006/main">
  <threadedComment ref="B52" dT="2022-02-01T16:02:50.84" personId="{18E9465A-2167-46B1-84FA-8E85F5A0FFBE}" id="{B76ACD4D-89F4-4AFB-93DD-3F97EAE21C19}">
    <text>One technology, with "natural gas / biogas" as fuel inputs which in TMES will be GAS</text>
  </threadedComment>
  <threadedComment ref="B54" dT="2022-02-01T16:05:26.77" personId="{18E9465A-2167-46B1-84FA-8E85F5A0FFBE}" id="{87BCC07A-F72F-4A17-B162-31B758DED4EF}">
    <text>Chemically very similar, hence consider both
as GAS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ebd.lth.se/fileadmin/energi_byggnadsdesign/publications/exjobb/17-5-web.pdf"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iea.org/reports/projected-costs-of-generating-electricity-2020" TargetMode="External"/><Relationship Id="rId13" Type="http://schemas.openxmlformats.org/officeDocument/2006/relationships/printerSettings" Target="../printerSettings/printerSettings4.bin"/><Relationship Id="rId3" Type="http://schemas.openxmlformats.org/officeDocument/2006/relationships/hyperlink" Target="mailto:isaagu-1@student.ltu.se" TargetMode="External"/><Relationship Id="rId7" Type="http://schemas.openxmlformats.org/officeDocument/2006/relationships/hyperlink" Target="mailto:erik.sandberg@ltu.se" TargetMode="External"/><Relationship Id="rId12" Type="http://schemas.openxmlformats.org/officeDocument/2006/relationships/hyperlink" Target="mailto:parvathy.sobha@ltu.se" TargetMode="External"/><Relationship Id="rId2" Type="http://schemas.openxmlformats.org/officeDocument/2006/relationships/hyperlink" Target="mailto:anna.krook-riekkola@ltu.se" TargetMode="External"/><Relationship Id="rId1" Type="http://schemas.openxmlformats.org/officeDocument/2006/relationships/hyperlink" Target="mailto:anna.krook-riekkola@ltu.se" TargetMode="External"/><Relationship Id="rId6" Type="http://schemas.openxmlformats.org/officeDocument/2006/relationships/hyperlink" Target="mailto:anna.krook-riekkola@ltu.se" TargetMode="External"/><Relationship Id="rId11" Type="http://schemas.openxmlformats.org/officeDocument/2006/relationships/hyperlink" Target="mailto:anna.krook-riekkola@ltu.se" TargetMode="External"/><Relationship Id="rId5" Type="http://schemas.openxmlformats.org/officeDocument/2006/relationships/hyperlink" Target="https://www.irena.org/publications/2021/Jun/Renewable-Power-Costs-in-2020" TargetMode="External"/><Relationship Id="rId10" Type="http://schemas.openxmlformats.org/officeDocument/2006/relationships/hyperlink" Target="mailto:anna.krook-riekkola@ltu.se" TargetMode="External"/><Relationship Id="rId4" Type="http://schemas.openxmlformats.org/officeDocument/2006/relationships/hyperlink" Target="https://www.irena.org/publications/2020/Jun/Renewable-Power-Costs-in-2019" TargetMode="External"/><Relationship Id="rId9" Type="http://schemas.openxmlformats.org/officeDocument/2006/relationships/hyperlink" Target="mailto:anna.krook-riekkola@ltu.se"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iso.org/obp/ui/" TargetMode="External"/><Relationship Id="rId1" Type="http://schemas.openxmlformats.org/officeDocument/2006/relationships/hyperlink" Target="https://www.ucl.ac.uk/energy-models/models/tiam-ucl/tiam-ucl-description"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66CF7-7F72-41A4-9331-7969709392A6}">
  <sheetPr>
    <tabColor rgb="FFFF0000"/>
  </sheetPr>
  <dimension ref="A1:AZ2106"/>
  <sheetViews>
    <sheetView zoomScale="60" zoomScaleNormal="60" workbookViewId="0">
      <pane ySplit="6" topLeftCell="A7" activePane="bottomLeft" state="frozen"/>
      <selection activeCell="E1" sqref="E1"/>
      <selection pane="bottomLeft" activeCell="S19" sqref="S19"/>
    </sheetView>
  </sheetViews>
  <sheetFormatPr defaultRowHeight="14.4" x14ac:dyDescent="0.3"/>
  <cols>
    <col min="1" max="1" width="8.88671875" style="239" customWidth="1"/>
    <col min="2" max="2" width="11.77734375" style="248" customWidth="1"/>
    <col min="3" max="3" width="21.5546875" style="528" customWidth="1"/>
    <col min="4" max="4" width="23.44140625" style="516" customWidth="1"/>
    <col min="5" max="5" width="13.88671875" style="516" customWidth="1"/>
    <col min="6" max="7" width="13.88671875" style="514" customWidth="1"/>
    <col min="8" max="8" width="25" style="545" customWidth="1"/>
    <col min="9" max="9" width="26.109375" style="516" customWidth="1"/>
    <col min="10" max="10" width="13.21875" style="246" customWidth="1"/>
    <col min="11" max="11" width="14.6640625" style="246" customWidth="1"/>
    <col min="12" max="12" width="13.77734375" style="516" customWidth="1"/>
    <col min="13" max="13" width="13.33203125" style="246" customWidth="1"/>
    <col min="14" max="15" width="12.109375" style="322" customWidth="1"/>
    <col min="16" max="16" width="9.44140625" style="246" customWidth="1"/>
    <col min="17" max="18" width="10.33203125" style="223" customWidth="1"/>
    <col min="19" max="19" width="16" style="246" customWidth="1"/>
    <col min="20" max="20" width="13" style="246" customWidth="1"/>
    <col min="21" max="21" width="23" style="246" customWidth="1"/>
    <col min="22" max="22" width="9.44140625" style="246" bestFit="1" customWidth="1"/>
    <col min="23" max="23" width="9" style="527" bestFit="1" customWidth="1"/>
    <col min="24" max="24" width="17.77734375" style="521" bestFit="1" customWidth="1"/>
    <col min="25" max="25" width="9" style="246" bestFit="1" customWidth="1"/>
    <col min="26" max="26" width="12.5546875" style="223" customWidth="1"/>
    <col min="27" max="27" width="13.6640625" style="246" customWidth="1"/>
    <col min="28" max="28" width="8.88671875" style="246" customWidth="1"/>
    <col min="29" max="29" width="13" style="322" customWidth="1"/>
    <col min="30" max="30" width="12.109375" style="322" customWidth="1"/>
    <col min="31" max="32" width="13" style="246" customWidth="1"/>
    <col min="33" max="33" width="20.44140625" style="239" customWidth="1"/>
    <col min="34" max="34" width="14.77734375" style="239" customWidth="1"/>
    <col min="35" max="35" width="15.21875" style="239" customWidth="1"/>
    <col min="36" max="36" width="12.44140625" style="248" customWidth="1"/>
    <col min="37" max="37" width="12.5546875" style="239" customWidth="1"/>
    <col min="38" max="38" width="10.88671875" style="239" customWidth="1"/>
    <col min="39" max="40" width="12.21875" style="239" customWidth="1"/>
    <col min="41" max="41" width="10" style="239" customWidth="1"/>
    <col min="42" max="42" width="10.5546875" style="239" customWidth="1"/>
    <col min="43" max="43" width="13.33203125" style="239" customWidth="1"/>
    <col min="44" max="44" width="9.33203125" style="239" customWidth="1"/>
    <col min="45" max="45" width="12.109375" style="239" customWidth="1"/>
    <col min="46" max="46" width="12.33203125" style="239" customWidth="1"/>
    <col min="47" max="47" width="15.109375" style="239" customWidth="1"/>
    <col min="48" max="49" width="9.88671875" style="239" customWidth="1"/>
    <col min="50" max="50" width="9.5546875" style="239" customWidth="1"/>
    <col min="51" max="54" width="8.88671875" style="239"/>
    <col min="55" max="55" width="10.44140625" style="239" customWidth="1"/>
    <col min="56" max="56" width="11.44140625" style="239" customWidth="1"/>
    <col min="57" max="57" width="11" style="239" customWidth="1"/>
    <col min="58" max="58" width="14" style="239" customWidth="1"/>
    <col min="59" max="59" width="13.33203125" style="239" customWidth="1"/>
    <col min="60" max="16384" width="8.88671875" style="239"/>
  </cols>
  <sheetData>
    <row r="1" spans="1:50" x14ac:dyDescent="0.3">
      <c r="D1" s="509"/>
      <c r="E1" s="509"/>
      <c r="H1" s="540"/>
      <c r="I1" s="509"/>
      <c r="J1"/>
      <c r="K1"/>
      <c r="L1" s="509"/>
      <c r="M1"/>
      <c r="N1" s="76"/>
      <c r="O1" s="76"/>
      <c r="P1"/>
      <c r="Q1" s="554"/>
      <c r="R1" s="554"/>
      <c r="S1"/>
      <c r="T1"/>
      <c r="U1"/>
      <c r="V1"/>
      <c r="W1" s="522"/>
      <c r="X1" s="517"/>
      <c r="Y1"/>
      <c r="Z1" s="554"/>
      <c r="AA1"/>
      <c r="AC1" s="76"/>
      <c r="AD1" s="76"/>
      <c r="AE1"/>
      <c r="AF1"/>
      <c r="AG1" s="247"/>
    </row>
    <row r="2" spans="1:50" x14ac:dyDescent="0.3">
      <c r="D2" s="509"/>
      <c r="E2" s="509"/>
      <c r="H2" s="540"/>
      <c r="I2" s="509"/>
      <c r="J2"/>
      <c r="K2"/>
      <c r="L2" s="509"/>
      <c r="M2"/>
      <c r="N2" s="76"/>
      <c r="O2" s="76"/>
      <c r="P2"/>
      <c r="Q2" s="554"/>
      <c r="R2" s="554"/>
      <c r="S2"/>
      <c r="T2"/>
      <c r="U2"/>
      <c r="V2"/>
      <c r="W2" s="522"/>
      <c r="X2" s="517"/>
      <c r="Y2"/>
      <c r="Z2" s="554"/>
      <c r="AA2"/>
      <c r="AC2" s="76"/>
      <c r="AD2" s="76"/>
      <c r="AE2"/>
      <c r="AF2"/>
      <c r="AG2" s="247"/>
    </row>
    <row r="3" spans="1:50" x14ac:dyDescent="0.3">
      <c r="D3" s="509"/>
      <c r="E3" s="509"/>
      <c r="H3" s="540"/>
      <c r="I3" s="509"/>
      <c r="J3"/>
      <c r="K3"/>
      <c r="L3" s="509"/>
      <c r="M3"/>
      <c r="N3" s="76"/>
      <c r="O3" s="76"/>
      <c r="P3"/>
      <c r="Q3" s="554"/>
      <c r="R3" s="554"/>
      <c r="S3"/>
      <c r="T3"/>
      <c r="U3"/>
      <c r="V3"/>
      <c r="W3" s="522"/>
      <c r="X3" s="517"/>
      <c r="Y3"/>
      <c r="Z3" s="554"/>
      <c r="AA3"/>
      <c r="AC3" s="76"/>
      <c r="AD3" s="76"/>
      <c r="AE3"/>
      <c r="AF3"/>
      <c r="AG3" s="247"/>
    </row>
    <row r="4" spans="1:50" x14ac:dyDescent="0.3">
      <c r="D4" s="509"/>
      <c r="E4" s="509"/>
      <c r="H4" s="540"/>
      <c r="I4" s="509"/>
      <c r="J4"/>
      <c r="K4"/>
      <c r="L4" s="509"/>
      <c r="M4"/>
      <c r="N4" s="76"/>
      <c r="O4" s="76"/>
      <c r="P4" s="259" t="s">
        <v>1139</v>
      </c>
      <c r="Q4" s="554"/>
      <c r="R4" s="554"/>
      <c r="T4"/>
      <c r="U4"/>
      <c r="V4"/>
      <c r="W4" s="522"/>
      <c r="X4" s="517"/>
      <c r="Y4"/>
      <c r="Z4" s="554"/>
      <c r="AA4"/>
      <c r="AC4" s="76"/>
      <c r="AD4" s="76"/>
      <c r="AE4"/>
      <c r="AF4"/>
    </row>
    <row r="5" spans="1:50" ht="28.2" customHeight="1" x14ac:dyDescent="0.3">
      <c r="C5" s="253" t="s">
        <v>1110</v>
      </c>
      <c r="D5" s="510" t="s">
        <v>1193</v>
      </c>
      <c r="E5" s="510" t="s">
        <v>1194</v>
      </c>
      <c r="F5" s="539"/>
      <c r="G5" s="539"/>
      <c r="H5" s="541" t="s">
        <v>1110</v>
      </c>
      <c r="I5" s="510" t="s">
        <v>1111</v>
      </c>
      <c r="J5" s="237" t="s">
        <v>1125</v>
      </c>
      <c r="K5" s="237" t="s">
        <v>1126</v>
      </c>
      <c r="L5" s="538" t="s">
        <v>47</v>
      </c>
      <c r="M5" s="230" t="s">
        <v>48</v>
      </c>
      <c r="N5" s="237" t="s">
        <v>49</v>
      </c>
      <c r="O5" s="237" t="s">
        <v>1134</v>
      </c>
      <c r="P5" s="230" t="s">
        <v>42</v>
      </c>
      <c r="Q5" s="230" t="s">
        <v>51</v>
      </c>
      <c r="R5" s="230" t="s">
        <v>1201</v>
      </c>
      <c r="S5" s="230" t="s">
        <v>1249</v>
      </c>
      <c r="T5" s="234" t="s">
        <v>1112</v>
      </c>
      <c r="U5" s="538" t="s">
        <v>1248</v>
      </c>
      <c r="V5" s="230" t="s">
        <v>76</v>
      </c>
      <c r="W5" s="234" t="s">
        <v>77</v>
      </c>
      <c r="X5" s="518" t="s">
        <v>1114</v>
      </c>
      <c r="Y5" s="230" t="s">
        <v>66</v>
      </c>
      <c r="Z5" s="233" t="s">
        <v>1138</v>
      </c>
      <c r="AA5" s="230" t="s">
        <v>1115</v>
      </c>
      <c r="AC5" s="230" t="s">
        <v>1123</v>
      </c>
      <c r="AD5" s="237" t="s">
        <v>1200</v>
      </c>
      <c r="AE5" s="234" t="s">
        <v>1250</v>
      </c>
      <c r="AF5" s="590"/>
      <c r="AG5" s="243" t="s">
        <v>47</v>
      </c>
      <c r="AH5" t="s">
        <v>1128</v>
      </c>
      <c r="AI5"/>
      <c r="AJ5" s="76"/>
      <c r="AK5" s="76"/>
      <c r="AL5"/>
      <c r="AM5" s="240"/>
      <c r="AN5" s="240"/>
      <c r="AO5" s="240"/>
      <c r="AP5" s="240"/>
      <c r="AQ5" s="249"/>
      <c r="AR5" s="240"/>
      <c r="AS5" s="240"/>
      <c r="AT5" s="240"/>
      <c r="AU5" s="240"/>
      <c r="AV5" s="240"/>
      <c r="AW5" s="240"/>
      <c r="AX5" s="240"/>
    </row>
    <row r="6" spans="1:50" s="499" customFormat="1" ht="15" thickBot="1" x14ac:dyDescent="0.35">
      <c r="C6" s="529" t="s">
        <v>1116</v>
      </c>
      <c r="D6" s="511" t="s">
        <v>1116</v>
      </c>
      <c r="E6" s="511"/>
      <c r="F6" s="537"/>
      <c r="G6" s="537"/>
      <c r="H6" s="542" t="s">
        <v>1116</v>
      </c>
      <c r="I6" s="533"/>
      <c r="J6" s="232"/>
      <c r="K6" s="232"/>
      <c r="L6" s="533"/>
      <c r="M6" s="232"/>
      <c r="N6" s="232"/>
      <c r="O6" s="232"/>
      <c r="P6" s="232"/>
      <c r="Q6" s="232"/>
      <c r="R6" s="232"/>
      <c r="S6" s="232" t="s">
        <v>1117</v>
      </c>
      <c r="T6" s="232"/>
      <c r="U6" s="232"/>
      <c r="V6" s="232" t="s">
        <v>1118</v>
      </c>
      <c r="W6" s="523" t="s">
        <v>1119</v>
      </c>
      <c r="X6" s="519" t="s">
        <v>1120</v>
      </c>
      <c r="Y6" s="232" t="s">
        <v>130</v>
      </c>
      <c r="Z6" s="232"/>
      <c r="AA6" s="232" t="s">
        <v>1121</v>
      </c>
      <c r="AB6" s="498"/>
      <c r="AC6" s="232" t="s">
        <v>1124</v>
      </c>
      <c r="AD6" s="232"/>
      <c r="AE6" s="232"/>
      <c r="AF6" s="591"/>
      <c r="AG6" s="500"/>
      <c r="AH6" s="554" t="s">
        <v>1127</v>
      </c>
      <c r="AI6" s="182"/>
      <c r="AJ6" s="554"/>
      <c r="AK6" s="554"/>
      <c r="AL6" s="554"/>
      <c r="AM6" s="241"/>
      <c r="AN6" s="241"/>
      <c r="AO6" s="241"/>
      <c r="AP6" s="241"/>
      <c r="AQ6" s="241"/>
      <c r="AR6" s="241"/>
      <c r="AS6" s="241"/>
      <c r="AT6" s="241"/>
      <c r="AU6" s="251"/>
      <c r="AV6" s="241"/>
      <c r="AW6" s="241"/>
      <c r="AX6" s="241"/>
    </row>
    <row r="7" spans="1:50" x14ac:dyDescent="0.3">
      <c r="A7" s="235"/>
      <c r="C7" s="528" t="str">
        <f>'RSD (DEA)'!Z10</f>
        <v>B_OIL_01</v>
      </c>
      <c r="D7" s="534" t="str">
        <f>RSD_HeatingDemand!N7&amp;"_"&amp;C7</f>
        <v>RHHSC_B_OIL_01</v>
      </c>
      <c r="E7" s="534" t="str">
        <f>"R"&amp;LEFT('RSD (DEA)'!AD10,2)&amp;IF(ISNUMBER(IFERROR(FIND("HTH",'RSD (DEA)'!Z10),IFERROR(FIND("HP",'RSD (DEA)'!Z10),"C"))),IF(IFERROR(FIND("HTH",'RSD (DEA)'!Z10),100)=100,"B","A"),"C")</f>
        <v>RHSC</v>
      </c>
      <c r="F7" s="515"/>
      <c r="G7" s="515"/>
      <c r="H7" s="543" t="str">
        <f>D7</f>
        <v>RHHSC_B_OIL_01</v>
      </c>
      <c r="I7" s="534" t="str">
        <f>'RSD (DEA)'!AA10</f>
        <v>Oil-fired boiler</v>
      </c>
      <c r="J7" s="535" t="s">
        <v>239</v>
      </c>
      <c r="K7" s="535" t="s">
        <v>240</v>
      </c>
      <c r="L7" s="515" t="str">
        <f>'RSD (DEA)'!AH10</f>
        <v>RSDOIL</v>
      </c>
      <c r="M7" s="502"/>
      <c r="N7" s="318" t="str">
        <f>LEFT('RSD (DEA)'!AJ10,2)&amp;RIGHT(E7,3)</f>
        <v>RHHSC</v>
      </c>
      <c r="O7" s="502"/>
      <c r="P7" s="502">
        <f>IF('RSD (DEA)'!P10&lt;RSD_HeatingDemand!$AH$15,RSD_HeatingDemand!$AH$15,'RSD (DEA)'!P10)</f>
        <v>2019</v>
      </c>
      <c r="Q7" s="502">
        <f>IF('RSD (DEA)'!X10&lt;RSD_HeatingDemand!$AH$15,RSD_HeatingDemand!$AH$15,'RSD (DEA)'!X10)</f>
        <v>2019</v>
      </c>
      <c r="R7" s="525">
        <f>IF(ISBLANK(I7),IF(MID(N7,2,2)="HA",VLOOKUP(I6,KEY_RSD_AF!$C$5:$G$52,2,FALSE),IF(MID(N7,2,2)="WA",VLOOKUP(I6,KEY_RSD_AF!$C$5:$G$52,3,FALSE),IF(MID(N7,2,2)="HH",VLOOKUP(I6,KEY_RSD_AF!$C$5:$G$52,4,FALSE),IF(MID(N7,2,2)="WH",VLOOKUP(I6,KEY_RSD_AF!$C$5:$G$52,5,FALSE))))),IF(MID(N7,2,2)="HA",VLOOKUP(I7,KEY_RSD_AF!$C$5:$G$52,2,FALSE),IF(MID(N7,2,2)="WA",VLOOKUP(I7,KEY_RSD_AF!$C$5:$G$52,3,FALSE),IF(MID(N7,2,2)="HH",VLOOKUP(I7,KEY_RSD_AF!$C$5:$G$52,4,FALSE),IF(MID(N7,2,2)="WH",VLOOKUP(I7,KEY_RSD_AF!$C$5:$G$52,5,FALSE))))))</f>
        <v>1</v>
      </c>
      <c r="S7" s="503">
        <f>'RSD (DEA)'!AZ10</f>
        <v>0.92</v>
      </c>
      <c r="T7" s="503">
        <f>'RSD (DEA)'!BA10</f>
        <v>0.92</v>
      </c>
      <c r="U7" s="503">
        <v>0.5</v>
      </c>
      <c r="V7" s="502">
        <f>'RSD (DEA)'!BR10/'RSD (DEA)'!S10</f>
        <v>16.63</v>
      </c>
      <c r="W7" s="525">
        <f>'RSD (DEA)'!BS10/RSD_HeatingDemand!$AH$9</f>
        <v>0</v>
      </c>
      <c r="X7" s="503">
        <f>'RSD (DEA)'!BK10*RSD_HeatingDemand!$AH$10/'RSD (DEA)'!S10</f>
        <v>400</v>
      </c>
      <c r="Y7" s="502">
        <f>'RSD (DEA)'!BI10</f>
        <v>20</v>
      </c>
      <c r="Z7" s="502"/>
      <c r="AA7" s="504">
        <f>'RSD (DEA)'!AM10</f>
        <v>31.536000000000001</v>
      </c>
      <c r="AC7" s="536">
        <f>'RSD (DEA)'!S10</f>
        <v>15</v>
      </c>
      <c r="AD7" s="318" t="str">
        <f>LEFT('RSD (DEA)'!AK10,2)&amp;RIGHT(E7,3)</f>
        <v>RWHSC</v>
      </c>
      <c r="AE7" s="503">
        <f>'RSD (DEA)'!BA10</f>
        <v>0.92</v>
      </c>
      <c r="AF7" s="503"/>
      <c r="AG7" s="243" t="s">
        <v>1129</v>
      </c>
      <c r="AH7" t="s">
        <v>1130</v>
      </c>
      <c r="AI7"/>
      <c r="AJ7" s="245">
        <v>0.65</v>
      </c>
      <c r="AK7" s="76"/>
      <c r="AL7"/>
    </row>
    <row r="8" spans="1:50" x14ac:dyDescent="0.3">
      <c r="A8" s="235"/>
      <c r="D8" s="512"/>
      <c r="E8" s="512"/>
      <c r="F8" s="515"/>
      <c r="G8" s="515"/>
      <c r="H8" s="540"/>
      <c r="I8" s="512"/>
      <c r="J8" s="242"/>
      <c r="K8" s="242"/>
      <c r="L8" s="513"/>
      <c r="M8" s="252"/>
      <c r="N8" s="244" t="str">
        <f>AD7</f>
        <v>RWHSC</v>
      </c>
      <c r="O8" s="244"/>
      <c r="P8" s="252"/>
      <c r="Q8" s="252"/>
      <c r="R8" s="525">
        <f>IF(ISBLANK(I8),IF(MID(N8,2,2)="HA",VLOOKUP(I7,KEY_RSD_AF!$C$5:$G$52,2,FALSE),IF(MID(N8,2,2)="WA",VLOOKUP(I7,KEY_RSD_AF!$C$5:$G$52,3,FALSE),IF(MID(N8,2,2)="HH",VLOOKUP(I7,KEY_RSD_AF!$C$5:$G$52,4,FALSE),IF(MID(N8,2,2)="WH",VLOOKUP(I7,KEY_RSD_AF!$C$5:$G$52,5,FALSE))))),IF(MID(N8,2,2)="HA",VLOOKUP(I8,KEY_RSD_AF!$C$5:$G$52,2,FALSE),IF(MID(N8,2,2)="WA",VLOOKUP(I8,KEY_RSD_AF!$C$5:$G$52,3,FALSE),IF(MID(N8,2,2)="HH",VLOOKUP(I8,KEY_RSD_AF!$C$5:$G$52,4,FALSE),IF(MID(N8,2,2)="WH",VLOOKUP(I8,KEY_RSD_AF!$C$5:$G$52,5,FALSE))))))</f>
        <v>1</v>
      </c>
      <c r="S8" s="503">
        <f>T7</f>
        <v>0.92</v>
      </c>
      <c r="T8" s="256"/>
      <c r="U8" s="503"/>
      <c r="V8" s="252"/>
      <c r="W8" s="524"/>
      <c r="X8" s="256"/>
      <c r="Y8" s="252"/>
      <c r="Z8" s="252"/>
      <c r="AA8" s="257"/>
      <c r="AC8" s="235"/>
      <c r="AD8" s="244"/>
      <c r="AE8" s="256"/>
      <c r="AF8" s="256"/>
      <c r="AG8" s="308"/>
    </row>
    <row r="9" spans="1:50" x14ac:dyDescent="0.3">
      <c r="A9" s="235"/>
      <c r="C9" s="528" t="str">
        <f>'RSD (DEA)'!Z11</f>
        <v>B_OIL_01</v>
      </c>
      <c r="D9" s="512" t="str">
        <f>RSD_HeatingDemand!N9&amp;"_"&amp;C9</f>
        <v>RHHSC_B_OIL_01</v>
      </c>
      <c r="E9" s="512" t="str">
        <f>"R"&amp;LEFT('RSD (DEA)'!AD11,2)&amp;IF(ISNUMBER(IFERROR(FIND("HTH",'RSD (DEA)'!Z11),IFERROR(FIND("HP",'RSD (DEA)'!Z11),"C"))),IF(IFERROR(FIND("HTH",'RSD (DEA)'!Z11),100)=100,"B","A"),"C")</f>
        <v>RHSC</v>
      </c>
      <c r="F9" s="515"/>
      <c r="G9" s="515"/>
      <c r="H9" s="540" t="str">
        <f>IF(LEFT(D9,LEN(D9)-2)=LEFT(D7,LEN(D9)-2),LEFT(D9,LEN(D9)-2)&amp;IF(RIGHT(H7,2)+1&lt;=9,"0"&amp;RIGHT(H7)+1,RIGHT(H7,2)+1),D9)</f>
        <v>RHHSC_B_OIL_02</v>
      </c>
      <c r="I9" s="512" t="str">
        <f>'RSD (DEA)'!AA11</f>
        <v>Oil-fired boiler</v>
      </c>
      <c r="J9" s="242" t="s">
        <v>239</v>
      </c>
      <c r="K9" s="242" t="s">
        <v>240</v>
      </c>
      <c r="L9" s="513" t="str">
        <f>'RSD (DEA)'!AH11</f>
        <v>RSDOIL</v>
      </c>
      <c r="M9" s="252"/>
      <c r="N9" s="244" t="str">
        <f>LEFT('RSD (DEA)'!AJ11,2)&amp;RIGHT(E9,3)</f>
        <v>RHHSC</v>
      </c>
      <c r="O9" s="252"/>
      <c r="P9" s="252">
        <f>IF('RSD (DEA)'!P11&lt;RSD_HeatingDemand!$AH$15,RSD_HeatingDemand!$AH$15,'RSD (DEA)'!P11)</f>
        <v>2019</v>
      </c>
      <c r="Q9" s="252">
        <f>IF('RSD (DEA)'!X11&lt;RSD_HeatingDemand!$AH$15,RSD_HeatingDemand!$AH$15,'RSD (DEA)'!X11)</f>
        <v>2020</v>
      </c>
      <c r="R9" s="525">
        <f>IF(ISBLANK(I9),IF(MID(N9,2,2)="HA",VLOOKUP(I8,KEY_RSD_AF!$C$5:$G$52,2,FALSE),IF(MID(N9,2,2)="WA",VLOOKUP(I8,KEY_RSD_AF!$C$5:$G$52,3,FALSE),IF(MID(N9,2,2)="HH",VLOOKUP(I8,KEY_RSD_AF!$C$5:$G$52,4,FALSE),IF(MID(N9,2,2)="WH",VLOOKUP(I8,KEY_RSD_AF!$C$5:$G$52,5,FALSE))))),IF(MID(N9,2,2)="HA",VLOOKUP(I9,KEY_RSD_AF!$C$5:$G$52,2,FALSE),IF(MID(N9,2,2)="WA",VLOOKUP(I9,KEY_RSD_AF!$C$5:$G$52,3,FALSE),IF(MID(N9,2,2)="HH",VLOOKUP(I9,KEY_RSD_AF!$C$5:$G$52,4,FALSE),IF(MID(N9,2,2)="WH",VLOOKUP(I9,KEY_RSD_AF!$C$5:$G$52,5,FALSE))))))</f>
        <v>1</v>
      </c>
      <c r="S9" s="256">
        <f>'RSD (DEA)'!AZ11</f>
        <v>0.92</v>
      </c>
      <c r="T9" s="256">
        <f>'RSD (DEA)'!BA11</f>
        <v>0.92</v>
      </c>
      <c r="U9" s="503">
        <v>0.5</v>
      </c>
      <c r="V9" s="252">
        <f>'RSD (DEA)'!BR11/'RSD (DEA)'!S11</f>
        <v>16.266666666666666</v>
      </c>
      <c r="W9" s="524">
        <f>'RSD (DEA)'!BS11/RSD_HeatingDemand!$AH$9</f>
        <v>0</v>
      </c>
      <c r="X9" s="256">
        <f>'RSD (DEA)'!BK11*RSD_HeatingDemand!$AH$10/'RSD (DEA)'!S11</f>
        <v>400</v>
      </c>
      <c r="Y9" s="252">
        <f>'RSD (DEA)'!BI11</f>
        <v>20</v>
      </c>
      <c r="Z9" s="252"/>
      <c r="AA9" s="257">
        <f>'RSD (DEA)'!AM11</f>
        <v>31.536000000000001</v>
      </c>
      <c r="AC9" s="235">
        <f>'RSD (DEA)'!S11</f>
        <v>15</v>
      </c>
      <c r="AD9" s="244" t="str">
        <f>LEFT('RSD (DEA)'!AK11,2)&amp;RIGHT(E9,3)</f>
        <v>RWHSC</v>
      </c>
      <c r="AE9" s="256">
        <f>'RSD (DEA)'!BA11</f>
        <v>0.92</v>
      </c>
      <c r="AF9" s="256"/>
      <c r="AG9" s="243" t="s">
        <v>1131</v>
      </c>
      <c r="AH9" s="245">
        <v>3.6</v>
      </c>
      <c r="AI9" t="s">
        <v>1132</v>
      </c>
    </row>
    <row r="10" spans="1:50" x14ac:dyDescent="0.3">
      <c r="A10" s="235"/>
      <c r="D10" s="512"/>
      <c r="E10" s="512"/>
      <c r="F10" s="515"/>
      <c r="G10" s="515"/>
      <c r="H10" s="540"/>
      <c r="I10" s="512"/>
      <c r="J10" s="242"/>
      <c r="K10" s="242"/>
      <c r="L10" s="513"/>
      <c r="M10" s="252"/>
      <c r="N10" s="244" t="str">
        <f>AD9</f>
        <v>RWHSC</v>
      </c>
      <c r="O10" s="244"/>
      <c r="P10" s="252"/>
      <c r="Q10" s="252"/>
      <c r="R10" s="525">
        <f>IF(ISBLANK(I10),IF(MID(N10,2,2)="HA",VLOOKUP(I9,KEY_RSD_AF!$C$5:$G$52,2,FALSE),IF(MID(N10,2,2)="WA",VLOOKUP(I9,KEY_RSD_AF!$C$5:$G$52,3,FALSE),IF(MID(N10,2,2)="HH",VLOOKUP(I9,KEY_RSD_AF!$C$5:$G$52,4,FALSE),IF(MID(N10,2,2)="WH",VLOOKUP(I9,KEY_RSD_AF!$C$5:$G$52,5,FALSE))))),IF(MID(N10,2,2)="HA",VLOOKUP(I10,KEY_RSD_AF!$C$5:$G$52,2,FALSE),IF(MID(N10,2,2)="WA",VLOOKUP(I10,KEY_RSD_AF!$C$5:$G$52,3,FALSE),IF(MID(N10,2,2)="HH",VLOOKUP(I10,KEY_RSD_AF!$C$5:$G$52,4,FALSE),IF(MID(N10,2,2)="WH",VLOOKUP(I10,KEY_RSD_AF!$C$5:$G$52,5,FALSE))))))</f>
        <v>1</v>
      </c>
      <c r="S10" s="503">
        <f>T9</f>
        <v>0.92</v>
      </c>
      <c r="T10" s="256"/>
      <c r="U10" s="503"/>
      <c r="V10" s="252"/>
      <c r="W10" s="524"/>
      <c r="X10" s="256"/>
      <c r="Y10" s="252"/>
      <c r="Z10" s="252"/>
      <c r="AA10" s="257"/>
      <c r="AC10" s="235"/>
      <c r="AD10" s="244"/>
      <c r="AE10" s="256"/>
      <c r="AF10" s="256"/>
      <c r="AG10" s="243" t="s">
        <v>136</v>
      </c>
      <c r="AH10" s="245">
        <v>1000</v>
      </c>
      <c r="AI10" t="s">
        <v>1133</v>
      </c>
    </row>
    <row r="11" spans="1:50" x14ac:dyDescent="0.3">
      <c r="A11" s="235"/>
      <c r="C11" s="528" t="str">
        <f>'RSD (DEA)'!Z12</f>
        <v>B_OIL_01</v>
      </c>
      <c r="D11" s="512" t="str">
        <f>RSD_HeatingDemand!N11&amp;"_"&amp;C11</f>
        <v>RHHSC_B_OIL_01</v>
      </c>
      <c r="E11" s="512" t="str">
        <f>"R"&amp;LEFT('RSD (DEA)'!AD12,2)&amp;IF(ISNUMBER(IFERROR(FIND("HTH",'RSD (DEA)'!Z12),IFERROR(FIND("HP",'RSD (DEA)'!Z12),"C"))),IF(IFERROR(FIND("HTH",'RSD (DEA)'!Z12),100)=100,"B","A"),"C")</f>
        <v>RHSC</v>
      </c>
      <c r="F11" s="515"/>
      <c r="G11" s="515"/>
      <c r="H11" s="540" t="str">
        <f t="shared" ref="H11:H73" si="0">IF(LEFT(D11,LEN(D11)-2)=LEFT(D9,LEN(D11)-2),LEFT(D11,LEN(D11)-2)&amp;IF(RIGHT(H9,2)+1&lt;=9,"0"&amp;RIGHT(H9)+1,RIGHT(H9,2)+1),D11)</f>
        <v>RHHSC_B_OIL_03</v>
      </c>
      <c r="I11" s="512" t="str">
        <f>'RSD (DEA)'!AA12</f>
        <v>Oil-fired boiler</v>
      </c>
      <c r="J11" s="242" t="s">
        <v>239</v>
      </c>
      <c r="K11" s="242" t="s">
        <v>240</v>
      </c>
      <c r="L11" s="513" t="str">
        <f>'RSD (DEA)'!AH12</f>
        <v>RSDOIL</v>
      </c>
      <c r="M11" s="252"/>
      <c r="N11" s="244" t="str">
        <f>LEFT('RSD (DEA)'!AJ12,2)&amp;RIGHT(E11,3)</f>
        <v>RHHSC</v>
      </c>
      <c r="O11" s="252"/>
      <c r="P11" s="252">
        <f>IF('RSD (DEA)'!P12&lt;RSD_HeatingDemand!$AH$15,RSD_HeatingDemand!$AH$15,'RSD (DEA)'!P12)</f>
        <v>2019</v>
      </c>
      <c r="Q11" s="252">
        <f>IF('RSD (DEA)'!X12&lt;RSD_HeatingDemand!$AH$15,RSD_HeatingDemand!$AH$15,'RSD (DEA)'!X12)</f>
        <v>2030</v>
      </c>
      <c r="R11" s="525">
        <f>IF(ISBLANK(I11),IF(MID(N11,2,2)="HA",VLOOKUP(I10,KEY_RSD_AF!$C$5:$G$52,2,FALSE),IF(MID(N11,2,2)="WA",VLOOKUP(I10,KEY_RSD_AF!$C$5:$G$52,3,FALSE),IF(MID(N11,2,2)="HH",VLOOKUP(I10,KEY_RSD_AF!$C$5:$G$52,4,FALSE),IF(MID(N11,2,2)="WH",VLOOKUP(I10,KEY_RSD_AF!$C$5:$G$52,5,FALSE))))),IF(MID(N11,2,2)="HA",VLOOKUP(I11,KEY_RSD_AF!$C$5:$G$52,2,FALSE),IF(MID(N11,2,2)="WA",VLOOKUP(I11,KEY_RSD_AF!$C$5:$G$52,3,FALSE),IF(MID(N11,2,2)="HH",VLOOKUP(I11,KEY_RSD_AF!$C$5:$G$52,4,FALSE),IF(MID(N11,2,2)="WH",VLOOKUP(I11,KEY_RSD_AF!$C$5:$G$52,5,FALSE))))))</f>
        <v>1</v>
      </c>
      <c r="S11" s="256">
        <f>'RSD (DEA)'!AZ12</f>
        <v>0.93</v>
      </c>
      <c r="T11" s="256">
        <f>'RSD (DEA)'!BA12</f>
        <v>0.93</v>
      </c>
      <c r="U11" s="503">
        <v>0.5</v>
      </c>
      <c r="V11" s="252">
        <f>'RSD (DEA)'!BR12/'RSD (DEA)'!S12</f>
        <v>15.733333333333333</v>
      </c>
      <c r="W11" s="524">
        <f>'RSD (DEA)'!BS12/RSD_HeatingDemand!$AH$9</f>
        <v>0</v>
      </c>
      <c r="X11" s="256">
        <f>'RSD (DEA)'!BK12*RSD_HeatingDemand!$AH$10/'RSD (DEA)'!S12</f>
        <v>400</v>
      </c>
      <c r="Y11" s="252">
        <f>'RSD (DEA)'!BI12</f>
        <v>20</v>
      </c>
      <c r="Z11" s="252"/>
      <c r="AA11" s="257">
        <f>'RSD (DEA)'!AM12</f>
        <v>31.536000000000001</v>
      </c>
      <c r="AC11" s="235">
        <f>'RSD (DEA)'!S12</f>
        <v>15</v>
      </c>
      <c r="AD11" s="244" t="str">
        <f>LEFT('RSD (DEA)'!AK12,2)&amp;RIGHT(E11,3)</f>
        <v>RWHSC</v>
      </c>
      <c r="AE11" s="256">
        <f>'RSD (DEA)'!BA12</f>
        <v>0.93</v>
      </c>
      <c r="AF11" s="256"/>
      <c r="AG11" s="308"/>
      <c r="AH11" s="248"/>
    </row>
    <row r="12" spans="1:50" x14ac:dyDescent="0.3">
      <c r="A12" s="235"/>
      <c r="D12" s="512"/>
      <c r="E12" s="512"/>
      <c r="F12" s="515"/>
      <c r="G12" s="515"/>
      <c r="H12" s="540"/>
      <c r="I12" s="512"/>
      <c r="J12" s="242"/>
      <c r="K12" s="242"/>
      <c r="L12" s="513"/>
      <c r="M12" s="252"/>
      <c r="N12" s="244" t="str">
        <f>AD11</f>
        <v>RWHSC</v>
      </c>
      <c r="O12" s="244"/>
      <c r="P12" s="252"/>
      <c r="Q12" s="252"/>
      <c r="R12" s="525">
        <f>IF(ISBLANK(I12),IF(MID(N12,2,2)="HA",VLOOKUP(I11,KEY_RSD_AF!$C$5:$G$52,2,FALSE),IF(MID(N12,2,2)="WA",VLOOKUP(I11,KEY_RSD_AF!$C$5:$G$52,3,FALSE),IF(MID(N12,2,2)="HH",VLOOKUP(I11,KEY_RSD_AF!$C$5:$G$52,4,FALSE),IF(MID(N12,2,2)="WH",VLOOKUP(I11,KEY_RSD_AF!$C$5:$G$52,5,FALSE))))),IF(MID(N12,2,2)="HA",VLOOKUP(I12,KEY_RSD_AF!$C$5:$G$52,2,FALSE),IF(MID(N12,2,2)="WA",VLOOKUP(I12,KEY_RSD_AF!$C$5:$G$52,3,FALSE),IF(MID(N12,2,2)="HH",VLOOKUP(I12,KEY_RSD_AF!$C$5:$G$52,4,FALSE),IF(MID(N12,2,2)="WH",VLOOKUP(I12,KEY_RSD_AF!$C$5:$G$52,5,FALSE))))))</f>
        <v>1</v>
      </c>
      <c r="S12" s="503">
        <f>T11</f>
        <v>0.93</v>
      </c>
      <c r="T12" s="256"/>
      <c r="U12" s="503"/>
      <c r="V12" s="252"/>
      <c r="W12" s="524"/>
      <c r="X12" s="256"/>
      <c r="Y12" s="252"/>
      <c r="Z12" s="252"/>
      <c r="AA12" s="257"/>
      <c r="AC12" s="235"/>
      <c r="AD12" s="244"/>
      <c r="AE12" s="256"/>
      <c r="AF12" s="256"/>
      <c r="AG12" s="243" t="s">
        <v>1136</v>
      </c>
      <c r="AH12" s="245" t="s">
        <v>1135</v>
      </c>
      <c r="AI12" s="309"/>
    </row>
    <row r="13" spans="1:50" x14ac:dyDescent="0.3">
      <c r="A13" s="235"/>
      <c r="C13" s="528" t="str">
        <f>'RSD (DEA)'!Z13</f>
        <v>B_OIL_01</v>
      </c>
      <c r="D13" s="512" t="str">
        <f>RSD_HeatingDemand!N13&amp;"_"&amp;C13</f>
        <v>RHHSC_B_OIL_01</v>
      </c>
      <c r="E13" s="512" t="str">
        <f>"R"&amp;LEFT('RSD (DEA)'!AD13,2)&amp;IF(ISNUMBER(IFERROR(FIND("HTH",'RSD (DEA)'!Z13),IFERROR(FIND("HP",'RSD (DEA)'!Z13),"C"))),IF(IFERROR(FIND("HTH",'RSD (DEA)'!Z13),100)=100,"B","A"),"C")</f>
        <v>RHSC</v>
      </c>
      <c r="F13" s="515"/>
      <c r="G13" s="515"/>
      <c r="H13" s="540" t="str">
        <f t="shared" si="0"/>
        <v>RHHSC_B_OIL_04</v>
      </c>
      <c r="I13" s="512" t="str">
        <f>'RSD (DEA)'!AA13</f>
        <v>Oil-fired boiler</v>
      </c>
      <c r="J13" s="242" t="s">
        <v>239</v>
      </c>
      <c r="K13" s="242" t="s">
        <v>240</v>
      </c>
      <c r="L13" s="513" t="str">
        <f>'RSD (DEA)'!AH13</f>
        <v>RSDOIL</v>
      </c>
      <c r="M13" s="252"/>
      <c r="N13" s="244" t="str">
        <f>LEFT('RSD (DEA)'!AJ13,2)&amp;RIGHT(E13,3)</f>
        <v>RHHSC</v>
      </c>
      <c r="O13" s="252"/>
      <c r="P13" s="252">
        <f>IF('RSD (DEA)'!P13&lt;RSD_HeatingDemand!$AH$15,RSD_HeatingDemand!$AH$15,'RSD (DEA)'!P13)</f>
        <v>2019</v>
      </c>
      <c r="Q13" s="252">
        <f>IF('RSD (DEA)'!X13&lt;RSD_HeatingDemand!$AH$15,RSD_HeatingDemand!$AH$15,'RSD (DEA)'!X13)</f>
        <v>2050</v>
      </c>
      <c r="R13" s="525">
        <f>IF(ISBLANK(I13),IF(MID(N13,2,2)="HA",VLOOKUP(I12,KEY_RSD_AF!$C$5:$G$52,2,FALSE),IF(MID(N13,2,2)="WA",VLOOKUP(I12,KEY_RSD_AF!$C$5:$G$52,3,FALSE),IF(MID(N13,2,2)="HH",VLOOKUP(I12,KEY_RSD_AF!$C$5:$G$52,4,FALSE),IF(MID(N13,2,2)="WH",VLOOKUP(I12,KEY_RSD_AF!$C$5:$G$52,5,FALSE))))),IF(MID(N13,2,2)="HA",VLOOKUP(I13,KEY_RSD_AF!$C$5:$G$52,2,FALSE),IF(MID(N13,2,2)="WA",VLOOKUP(I13,KEY_RSD_AF!$C$5:$G$52,3,FALSE),IF(MID(N13,2,2)="HH",VLOOKUP(I13,KEY_RSD_AF!$C$5:$G$52,4,FALSE),IF(MID(N13,2,2)="WH",VLOOKUP(I13,KEY_RSD_AF!$C$5:$G$52,5,FALSE))))))</f>
        <v>1</v>
      </c>
      <c r="S13" s="256">
        <f>'RSD (DEA)'!AZ13</f>
        <v>0.95</v>
      </c>
      <c r="T13" s="256">
        <f>'RSD (DEA)'!BA13</f>
        <v>0.95</v>
      </c>
      <c r="U13" s="503">
        <v>0.5</v>
      </c>
      <c r="V13" s="252">
        <f>'RSD (DEA)'!BR13/'RSD (DEA)'!S13</f>
        <v>14.266666666666667</v>
      </c>
      <c r="W13" s="524">
        <f>'RSD (DEA)'!BS13/RSD_HeatingDemand!$AH$9</f>
        <v>0</v>
      </c>
      <c r="X13" s="256">
        <f>'RSD (DEA)'!BK13*RSD_HeatingDemand!$AH$10/'RSD (DEA)'!S13</f>
        <v>666.66666666666663</v>
      </c>
      <c r="Y13" s="252">
        <f>'RSD (DEA)'!BI13</f>
        <v>20</v>
      </c>
      <c r="Z13" s="252"/>
      <c r="AA13" s="257">
        <f>'RSD (DEA)'!AM13</f>
        <v>31.536000000000001</v>
      </c>
      <c r="AC13" s="235">
        <f>'RSD (DEA)'!S13</f>
        <v>15</v>
      </c>
      <c r="AD13" s="244" t="str">
        <f>LEFT('RSD (DEA)'!AK13,2)&amp;RIGHT(E13,3)</f>
        <v>RWHSC</v>
      </c>
      <c r="AE13" s="256">
        <f>'RSD (DEA)'!BA13</f>
        <v>0.95</v>
      </c>
      <c r="AF13" s="256"/>
      <c r="AG13" s="243" t="s">
        <v>1137</v>
      </c>
      <c r="AH13" s="554"/>
      <c r="AI13"/>
    </row>
    <row r="14" spans="1:50" x14ac:dyDescent="0.3">
      <c r="A14" s="235"/>
      <c r="D14" s="512"/>
      <c r="E14" s="512"/>
      <c r="F14" s="515"/>
      <c r="G14" s="515"/>
      <c r="H14" s="540"/>
      <c r="I14" s="512"/>
      <c r="J14" s="242"/>
      <c r="K14" s="242"/>
      <c r="L14" s="513"/>
      <c r="M14" s="252"/>
      <c r="N14" s="244" t="str">
        <f>AD13</f>
        <v>RWHSC</v>
      </c>
      <c r="O14" s="244"/>
      <c r="P14" s="252"/>
      <c r="Q14" s="252"/>
      <c r="R14" s="525">
        <f>IF(ISBLANK(I14),IF(MID(N14,2,2)="HA",VLOOKUP(I13,KEY_RSD_AF!$C$5:$G$52,2,FALSE),IF(MID(N14,2,2)="WA",VLOOKUP(I13,KEY_RSD_AF!$C$5:$G$52,3,FALSE),IF(MID(N14,2,2)="HH",VLOOKUP(I13,KEY_RSD_AF!$C$5:$G$52,4,FALSE),IF(MID(N14,2,2)="WH",VLOOKUP(I13,KEY_RSD_AF!$C$5:$G$52,5,FALSE))))),IF(MID(N14,2,2)="HA",VLOOKUP(I14,KEY_RSD_AF!$C$5:$G$52,2,FALSE),IF(MID(N14,2,2)="WA",VLOOKUP(I14,KEY_RSD_AF!$C$5:$G$52,3,FALSE),IF(MID(N14,2,2)="HH",VLOOKUP(I14,KEY_RSD_AF!$C$5:$G$52,4,FALSE),IF(MID(N14,2,2)="WH",VLOOKUP(I14,KEY_RSD_AF!$C$5:$G$52,5,FALSE))))))</f>
        <v>1</v>
      </c>
      <c r="S14" s="503">
        <f>T13</f>
        <v>0.95</v>
      </c>
      <c r="T14" s="256"/>
      <c r="U14" s="503"/>
      <c r="V14" s="252"/>
      <c r="W14" s="524"/>
      <c r="X14" s="256"/>
      <c r="Y14" s="252"/>
      <c r="Z14" s="252"/>
      <c r="AA14" s="257"/>
      <c r="AC14" s="235"/>
      <c r="AD14" s="244"/>
      <c r="AE14" s="256"/>
      <c r="AF14" s="256"/>
      <c r="AG14" s="308"/>
      <c r="AH14" s="248"/>
    </row>
    <row r="15" spans="1:50" x14ac:dyDescent="0.3">
      <c r="A15" s="235"/>
      <c r="C15" s="528" t="str">
        <f>'RSD (DEA)'!Z14</f>
        <v>B_WOO_01</v>
      </c>
      <c r="D15" s="512" t="str">
        <f>RSD_HeatingDemand!N15&amp;"_"&amp;C15</f>
        <v>RHHSC_B_WOO_01</v>
      </c>
      <c r="E15" s="512" t="str">
        <f>"R"&amp;LEFT('RSD (DEA)'!AD14,2)&amp;IF(ISNUMBER(IFERROR(FIND("HTH",'RSD (DEA)'!Z14),IFERROR(FIND("HP",'RSD (DEA)'!Z14),"C"))),IF(IFERROR(FIND("HTH",'RSD (DEA)'!Z14),100)=100,"B","A"),"C")</f>
        <v>RHSC</v>
      </c>
      <c r="F15" s="515"/>
      <c r="G15" s="515"/>
      <c r="H15" s="540" t="str">
        <f t="shared" si="0"/>
        <v>RHHSC_B_WOO_01</v>
      </c>
      <c r="I15" s="512" t="str">
        <f>'RSD (DEA)'!AA14</f>
        <v>Oil-fired boiler</v>
      </c>
      <c r="J15" s="242" t="s">
        <v>239</v>
      </c>
      <c r="K15" s="242" t="s">
        <v>240</v>
      </c>
      <c r="L15" s="513" t="str">
        <f>'RSD (DEA)'!AH14</f>
        <v>RSDWOO</v>
      </c>
      <c r="M15" s="252"/>
      <c r="N15" s="244" t="str">
        <f>LEFT('RSD (DEA)'!AJ14,2)&amp;RIGHT(E15,3)</f>
        <v>RHHSC</v>
      </c>
      <c r="O15" s="252"/>
      <c r="P15" s="252">
        <f>IF('RSD (DEA)'!P14&lt;RSD_HeatingDemand!$AH$15,RSD_HeatingDemand!$AH$15,'RSD (DEA)'!P14)</f>
        <v>2019</v>
      </c>
      <c r="Q15" s="252">
        <f>IF('RSD (DEA)'!X14&lt;RSD_HeatingDemand!$AH$15,RSD_HeatingDemand!$AH$15,'RSD (DEA)'!X14)</f>
        <v>2019</v>
      </c>
      <c r="R15" s="525">
        <f>IF(ISBLANK(I15),IF(MID(N15,2,2)="HA",VLOOKUP(I14,KEY_RSD_AF!$C$5:$G$52,2,FALSE),IF(MID(N15,2,2)="WA",VLOOKUP(I14,KEY_RSD_AF!$C$5:$G$52,3,FALSE),IF(MID(N15,2,2)="HH",VLOOKUP(I14,KEY_RSD_AF!$C$5:$G$52,4,FALSE),IF(MID(N15,2,2)="WH",VLOOKUP(I14,KEY_RSD_AF!$C$5:$G$52,5,FALSE))))),IF(MID(N15,2,2)="HA",VLOOKUP(I15,KEY_RSD_AF!$C$5:$G$52,2,FALSE),IF(MID(N15,2,2)="WA",VLOOKUP(I15,KEY_RSD_AF!$C$5:$G$52,3,FALSE),IF(MID(N15,2,2)="HH",VLOOKUP(I15,KEY_RSD_AF!$C$5:$G$52,4,FALSE),IF(MID(N15,2,2)="WH",VLOOKUP(I15,KEY_RSD_AF!$C$5:$G$52,5,FALSE))))))</f>
        <v>1</v>
      </c>
      <c r="S15" s="256">
        <f>'RSD (DEA)'!AZ14</f>
        <v>0.88</v>
      </c>
      <c r="T15" s="256">
        <f>'RSD (DEA)'!BA14</f>
        <v>0.88</v>
      </c>
      <c r="U15" s="503">
        <v>0.5</v>
      </c>
      <c r="V15" s="252">
        <f>'RSD (DEA)'!BR14/'RSD (DEA)'!S14</f>
        <v>16.420000000000002</v>
      </c>
      <c r="W15" s="524">
        <f>'RSD (DEA)'!BS14/RSD_HeatingDemand!$AH$9</f>
        <v>0</v>
      </c>
      <c r="X15" s="256">
        <f>'RSD (DEA)'!BK14*RSD_HeatingDemand!$AH$10/'RSD (DEA)'!S14</f>
        <v>666.66666666666663</v>
      </c>
      <c r="Y15" s="252">
        <f>'RSD (DEA)'!BI14</f>
        <v>20</v>
      </c>
      <c r="Z15" s="252"/>
      <c r="AA15" s="257">
        <f>'RSD (DEA)'!AM14</f>
        <v>31.536000000000001</v>
      </c>
      <c r="AC15" s="235">
        <f>'RSD (DEA)'!S14</f>
        <v>15</v>
      </c>
      <c r="AD15" s="244" t="str">
        <f>LEFT('RSD (DEA)'!AK14,2)&amp;RIGHT(E15,3)</f>
        <v>RWHSC</v>
      </c>
      <c r="AE15" s="256">
        <f>'RSD (DEA)'!BA14</f>
        <v>0.88</v>
      </c>
      <c r="AF15" s="256"/>
      <c r="AG15" s="308" t="s">
        <v>42</v>
      </c>
      <c r="AH15" s="310">
        <v>2019</v>
      </c>
    </row>
    <row r="16" spans="1:50" x14ac:dyDescent="0.3">
      <c r="A16" s="235"/>
      <c r="D16" s="512"/>
      <c r="E16" s="512"/>
      <c r="F16" s="515"/>
      <c r="G16" s="515"/>
      <c r="H16" s="540"/>
      <c r="I16" s="512"/>
      <c r="J16" s="242"/>
      <c r="K16" s="242"/>
      <c r="L16" s="513"/>
      <c r="M16" s="252"/>
      <c r="N16" s="244" t="str">
        <f>AD15</f>
        <v>RWHSC</v>
      </c>
      <c r="O16" s="244"/>
      <c r="P16" s="252"/>
      <c r="Q16" s="252"/>
      <c r="R16" s="525">
        <f>IF(ISBLANK(I16),IF(MID(N16,2,2)="HA",VLOOKUP(I15,KEY_RSD_AF!$C$5:$G$52,2,FALSE),IF(MID(N16,2,2)="WA",VLOOKUP(I15,KEY_RSD_AF!$C$5:$G$52,3,FALSE),IF(MID(N16,2,2)="HH",VLOOKUP(I15,KEY_RSD_AF!$C$5:$G$52,4,FALSE),IF(MID(N16,2,2)="WH",VLOOKUP(I15,KEY_RSD_AF!$C$5:$G$52,5,FALSE))))),IF(MID(N16,2,2)="HA",VLOOKUP(I16,KEY_RSD_AF!$C$5:$G$52,2,FALSE),IF(MID(N16,2,2)="WA",VLOOKUP(I16,KEY_RSD_AF!$C$5:$G$52,3,FALSE),IF(MID(N16,2,2)="HH",VLOOKUP(I16,KEY_RSD_AF!$C$5:$G$52,4,FALSE),IF(MID(N16,2,2)="WH",VLOOKUP(I16,KEY_RSD_AF!$C$5:$G$52,5,FALSE))))))</f>
        <v>1</v>
      </c>
      <c r="S16" s="503">
        <f>T15</f>
        <v>0.88</v>
      </c>
      <c r="T16" s="256"/>
      <c r="U16" s="503"/>
      <c r="V16" s="252"/>
      <c r="W16" s="524"/>
      <c r="X16" s="256"/>
      <c r="Y16" s="252"/>
      <c r="Z16" s="252"/>
      <c r="AA16" s="257"/>
      <c r="AC16" s="235"/>
      <c r="AD16" s="244"/>
      <c r="AE16" s="256"/>
      <c r="AF16" s="256"/>
    </row>
    <row r="17" spans="1:35" x14ac:dyDescent="0.3">
      <c r="A17" s="235"/>
      <c r="C17" s="528" t="str">
        <f>'RSD (DEA)'!Z15</f>
        <v>B_WOO_01</v>
      </c>
      <c r="D17" s="512" t="str">
        <f>RSD_HeatingDemand!N17&amp;"_"&amp;C17</f>
        <v>RHHSC_B_WOO_01</v>
      </c>
      <c r="E17" s="512" t="str">
        <f>"R"&amp;LEFT('RSD (DEA)'!AD15,2)&amp;IF(ISNUMBER(IFERROR(FIND("HTH",'RSD (DEA)'!Z15),IFERROR(FIND("HP",'RSD (DEA)'!Z15),"C"))),IF(IFERROR(FIND("HTH",'RSD (DEA)'!Z15),100)=100,"B","A"),"C")</f>
        <v>RHSC</v>
      </c>
      <c r="F17" s="515"/>
      <c r="G17" s="515"/>
      <c r="H17" s="540" t="str">
        <f t="shared" si="0"/>
        <v>RHHSC_B_WOO_02</v>
      </c>
      <c r="I17" s="512" t="str">
        <f>'RSD (DEA)'!AA15</f>
        <v>Oil-fired boiler</v>
      </c>
      <c r="J17" s="242" t="s">
        <v>239</v>
      </c>
      <c r="K17" s="242" t="s">
        <v>240</v>
      </c>
      <c r="L17" s="513" t="str">
        <f>'RSD (DEA)'!AH15</f>
        <v>RSDWOO</v>
      </c>
      <c r="M17" s="252"/>
      <c r="N17" s="244" t="str">
        <f>LEFT('RSD (DEA)'!AJ15,2)&amp;RIGHT(E17,3)</f>
        <v>RHHSC</v>
      </c>
      <c r="O17" s="252"/>
      <c r="P17" s="252">
        <f>IF('RSD (DEA)'!P15&lt;RSD_HeatingDemand!$AH$15,RSD_HeatingDemand!$AH$15,'RSD (DEA)'!P15)</f>
        <v>2019</v>
      </c>
      <c r="Q17" s="252">
        <f>IF('RSD (DEA)'!X15&lt;RSD_HeatingDemand!$AH$15,RSD_HeatingDemand!$AH$15,'RSD (DEA)'!X15)</f>
        <v>2020</v>
      </c>
      <c r="R17" s="525">
        <f>IF(ISBLANK(I17),IF(MID(N17,2,2)="HA",VLOOKUP(I16,KEY_RSD_AF!$C$5:$G$52,2,FALSE),IF(MID(N17,2,2)="WA",VLOOKUP(I16,KEY_RSD_AF!$C$5:$G$52,3,FALSE),IF(MID(N17,2,2)="HH",VLOOKUP(I16,KEY_RSD_AF!$C$5:$G$52,4,FALSE),IF(MID(N17,2,2)="WH",VLOOKUP(I16,KEY_RSD_AF!$C$5:$G$52,5,FALSE))))),IF(MID(N17,2,2)="HA",VLOOKUP(I17,KEY_RSD_AF!$C$5:$G$52,2,FALSE),IF(MID(N17,2,2)="WA",VLOOKUP(I17,KEY_RSD_AF!$C$5:$G$52,3,FALSE),IF(MID(N17,2,2)="HH",VLOOKUP(I17,KEY_RSD_AF!$C$5:$G$52,4,FALSE),IF(MID(N17,2,2)="WH",VLOOKUP(I17,KEY_RSD_AF!$C$5:$G$52,5,FALSE))))))</f>
        <v>1</v>
      </c>
      <c r="S17" s="256">
        <f>'RSD (DEA)'!AZ15</f>
        <v>0.88</v>
      </c>
      <c r="T17" s="256">
        <f>'RSD (DEA)'!BA15</f>
        <v>0.88</v>
      </c>
      <c r="U17" s="503">
        <v>0.5</v>
      </c>
      <c r="V17" s="252">
        <f>'RSD (DEA)'!BR15/'RSD (DEA)'!S15</f>
        <v>16.066666666666666</v>
      </c>
      <c r="W17" s="524">
        <f>'RSD (DEA)'!BS15/RSD_HeatingDemand!$AH$9</f>
        <v>0</v>
      </c>
      <c r="X17" s="256">
        <f>'RSD (DEA)'!BK15*RSD_HeatingDemand!$AH$10/'RSD (DEA)'!S15</f>
        <v>666.66666666666663</v>
      </c>
      <c r="Y17" s="252">
        <f>'RSD (DEA)'!BI15</f>
        <v>20</v>
      </c>
      <c r="Z17" s="252"/>
      <c r="AA17" s="257">
        <f>'RSD (DEA)'!AM15</f>
        <v>31.536000000000001</v>
      </c>
      <c r="AC17" s="235">
        <f>'RSD (DEA)'!S15</f>
        <v>15</v>
      </c>
      <c r="AD17" s="244" t="str">
        <f>LEFT('RSD (DEA)'!AK15,2)&amp;RIGHT(E17,3)</f>
        <v>RWHSC</v>
      </c>
      <c r="AE17" s="256">
        <f>'RSD (DEA)'!BA15</f>
        <v>0.88</v>
      </c>
      <c r="AF17" s="256"/>
    </row>
    <row r="18" spans="1:35" x14ac:dyDescent="0.3">
      <c r="A18" s="235"/>
      <c r="D18" s="512"/>
      <c r="E18" s="512"/>
      <c r="F18" s="515"/>
      <c r="G18" s="515"/>
      <c r="H18" s="540"/>
      <c r="I18" s="512"/>
      <c r="J18" s="242"/>
      <c r="K18" s="242"/>
      <c r="L18" s="513"/>
      <c r="M18" s="252"/>
      <c r="N18" s="244" t="str">
        <f>AD17</f>
        <v>RWHSC</v>
      </c>
      <c r="O18" s="244"/>
      <c r="P18" s="252"/>
      <c r="Q18" s="252"/>
      <c r="R18" s="525">
        <f>IF(ISBLANK(I18),IF(MID(N18,2,2)="HA",VLOOKUP(I17,KEY_RSD_AF!$C$5:$G$52,2,FALSE),IF(MID(N18,2,2)="WA",VLOOKUP(I17,KEY_RSD_AF!$C$5:$G$52,3,FALSE),IF(MID(N18,2,2)="HH",VLOOKUP(I17,KEY_RSD_AF!$C$5:$G$52,4,FALSE),IF(MID(N18,2,2)="WH",VLOOKUP(I17,KEY_RSD_AF!$C$5:$G$52,5,FALSE))))),IF(MID(N18,2,2)="HA",VLOOKUP(I18,KEY_RSD_AF!$C$5:$G$52,2,FALSE),IF(MID(N18,2,2)="WA",VLOOKUP(I18,KEY_RSD_AF!$C$5:$G$52,3,FALSE),IF(MID(N18,2,2)="HH",VLOOKUP(I18,KEY_RSD_AF!$C$5:$G$52,4,FALSE),IF(MID(N18,2,2)="WH",VLOOKUP(I18,KEY_RSD_AF!$C$5:$G$52,5,FALSE))))))</f>
        <v>1</v>
      </c>
      <c r="S18" s="503">
        <f>T17</f>
        <v>0.88</v>
      </c>
      <c r="T18" s="256"/>
      <c r="U18" s="503"/>
      <c r="V18" s="252"/>
      <c r="W18" s="524"/>
      <c r="X18" s="256"/>
      <c r="Y18" s="252"/>
      <c r="Z18" s="252"/>
      <c r="AA18" s="257"/>
      <c r="AC18" s="235"/>
      <c r="AD18" s="244"/>
      <c r="AE18" s="256"/>
      <c r="AF18" s="256"/>
      <c r="AG18" s="308" t="s">
        <v>1195</v>
      </c>
    </row>
    <row r="19" spans="1:35" x14ac:dyDescent="0.3">
      <c r="A19" s="235"/>
      <c r="C19" s="528" t="str">
        <f>'RSD (DEA)'!Z16</f>
        <v>B_WOO_01</v>
      </c>
      <c r="D19" s="512" t="str">
        <f>RSD_HeatingDemand!N19&amp;"_"&amp;C19</f>
        <v>RHHSC_B_WOO_01</v>
      </c>
      <c r="E19" s="512" t="str">
        <f>"R"&amp;LEFT('RSD (DEA)'!AD16,2)&amp;IF(ISNUMBER(IFERROR(FIND("HTH",'RSD (DEA)'!Z16),IFERROR(FIND("HP",'RSD (DEA)'!Z16),"C"))),IF(IFERROR(FIND("HTH",'RSD (DEA)'!Z16),100)=100,"B","A"),"C")</f>
        <v>RHSC</v>
      </c>
      <c r="F19" s="515"/>
      <c r="G19" s="515"/>
      <c r="H19" s="540" t="str">
        <f t="shared" si="0"/>
        <v>RHHSC_B_WOO_03</v>
      </c>
      <c r="I19" s="512" t="str">
        <f>'RSD (DEA)'!AA16</f>
        <v>Oil-fired boiler</v>
      </c>
      <c r="J19" s="242" t="s">
        <v>239</v>
      </c>
      <c r="K19" s="242" t="s">
        <v>240</v>
      </c>
      <c r="L19" s="513" t="str">
        <f>'RSD (DEA)'!AH16</f>
        <v>RSDWOO</v>
      </c>
      <c r="M19" s="252"/>
      <c r="N19" s="244" t="str">
        <f>LEFT('RSD (DEA)'!AJ16,2)&amp;RIGHT(E19,3)</f>
        <v>RHHSC</v>
      </c>
      <c r="O19" s="252"/>
      <c r="P19" s="252">
        <f>IF('RSD (DEA)'!P16&lt;RSD_HeatingDemand!$AH$15,RSD_HeatingDemand!$AH$15,'RSD (DEA)'!P16)</f>
        <v>2019</v>
      </c>
      <c r="Q19" s="252">
        <f>IF('RSD (DEA)'!X16&lt;RSD_HeatingDemand!$AH$15,RSD_HeatingDemand!$AH$15,'RSD (DEA)'!X16)</f>
        <v>2030</v>
      </c>
      <c r="R19" s="525">
        <f>IF(ISBLANK(I19),IF(MID(N19,2,2)="HA",VLOOKUP(I18,KEY_RSD_AF!$C$5:$G$52,2,FALSE),IF(MID(N19,2,2)="WA",VLOOKUP(I18,KEY_RSD_AF!$C$5:$G$52,3,FALSE),IF(MID(N19,2,2)="HH",VLOOKUP(I18,KEY_RSD_AF!$C$5:$G$52,4,FALSE),IF(MID(N19,2,2)="WH",VLOOKUP(I18,KEY_RSD_AF!$C$5:$G$52,5,FALSE))))),IF(MID(N19,2,2)="HA",VLOOKUP(I19,KEY_RSD_AF!$C$5:$G$52,2,FALSE),IF(MID(N19,2,2)="WA",VLOOKUP(I19,KEY_RSD_AF!$C$5:$G$52,3,FALSE),IF(MID(N19,2,2)="HH",VLOOKUP(I19,KEY_RSD_AF!$C$5:$G$52,4,FALSE),IF(MID(N19,2,2)="WH",VLOOKUP(I19,KEY_RSD_AF!$C$5:$G$52,5,FALSE))))))</f>
        <v>1</v>
      </c>
      <c r="S19" s="256">
        <f>'RSD (DEA)'!AZ16</f>
        <v>0.92</v>
      </c>
      <c r="T19" s="256">
        <f>'RSD (DEA)'!BA16</f>
        <v>0.92</v>
      </c>
      <c r="U19" s="503">
        <v>0.5</v>
      </c>
      <c r="V19" s="252">
        <f>'RSD (DEA)'!BR16/'RSD (DEA)'!S16</f>
        <v>15.466666666666667</v>
      </c>
      <c r="W19" s="524">
        <f>'RSD (DEA)'!BS16/RSD_HeatingDemand!$AH$9</f>
        <v>0</v>
      </c>
      <c r="X19" s="256">
        <f>'RSD (DEA)'!BK16*RSD_HeatingDemand!$AH$10/'RSD (DEA)'!S16</f>
        <v>600</v>
      </c>
      <c r="Y19" s="252">
        <f>'RSD (DEA)'!BI16</f>
        <v>20</v>
      </c>
      <c r="Z19" s="252"/>
      <c r="AA19" s="257">
        <f>'RSD (DEA)'!AM16</f>
        <v>31.536000000000001</v>
      </c>
      <c r="AC19" s="235">
        <f>'RSD (DEA)'!S16</f>
        <v>15</v>
      </c>
      <c r="AD19" s="244" t="str">
        <f>LEFT('RSD (DEA)'!AK16,2)&amp;RIGHT(E19,3)</f>
        <v>RWHSC</v>
      </c>
      <c r="AE19" s="256">
        <f>'RSD (DEA)'!BA16</f>
        <v>0.92</v>
      </c>
      <c r="AF19" s="256"/>
    </row>
    <row r="20" spans="1:35" x14ac:dyDescent="0.3">
      <c r="A20" s="235"/>
      <c r="D20" s="512"/>
      <c r="E20" s="512"/>
      <c r="F20" s="515"/>
      <c r="G20" s="515"/>
      <c r="H20" s="540"/>
      <c r="I20" s="512"/>
      <c r="J20" s="242"/>
      <c r="K20" s="242"/>
      <c r="L20" s="513"/>
      <c r="M20" s="252"/>
      <c r="N20" s="244" t="str">
        <f>AD19</f>
        <v>RWHSC</v>
      </c>
      <c r="O20" s="244"/>
      <c r="P20" s="252"/>
      <c r="Q20" s="252"/>
      <c r="R20" s="525">
        <f>IF(ISBLANK(I20),IF(MID(N20,2,2)="HA",VLOOKUP(I19,KEY_RSD_AF!$C$5:$G$52,2,FALSE),IF(MID(N20,2,2)="WA",VLOOKUP(I19,KEY_RSD_AF!$C$5:$G$52,3,FALSE),IF(MID(N20,2,2)="HH",VLOOKUP(I19,KEY_RSD_AF!$C$5:$G$52,4,FALSE),IF(MID(N20,2,2)="WH",VLOOKUP(I19,KEY_RSD_AF!$C$5:$G$52,5,FALSE))))),IF(MID(N20,2,2)="HA",VLOOKUP(I20,KEY_RSD_AF!$C$5:$G$52,2,FALSE),IF(MID(N20,2,2)="WA",VLOOKUP(I20,KEY_RSD_AF!$C$5:$G$52,3,FALSE),IF(MID(N20,2,2)="HH",VLOOKUP(I20,KEY_RSD_AF!$C$5:$G$52,4,FALSE),IF(MID(N20,2,2)="WH",VLOOKUP(I20,KEY_RSD_AF!$C$5:$G$52,5,FALSE))))))</f>
        <v>1</v>
      </c>
      <c r="S20" s="503">
        <f>T19</f>
        <v>0.92</v>
      </c>
      <c r="T20" s="256"/>
      <c r="U20" s="503"/>
      <c r="V20" s="252"/>
      <c r="W20" s="524"/>
      <c r="X20" s="256"/>
      <c r="Y20" s="252"/>
      <c r="Z20" s="252"/>
      <c r="AA20" s="257"/>
      <c r="AC20" s="235"/>
      <c r="AD20" s="244"/>
      <c r="AE20" s="256"/>
      <c r="AF20" s="256"/>
      <c r="AG20" s="505" t="s">
        <v>244</v>
      </c>
      <c r="AH20" s="505" t="s">
        <v>1196</v>
      </c>
      <c r="AI20" s="505" t="s">
        <v>1197</v>
      </c>
    </row>
    <row r="21" spans="1:35" x14ac:dyDescent="0.3">
      <c r="A21" s="235"/>
      <c r="C21" s="528" t="str">
        <f>'RSD (DEA)'!Z17</f>
        <v>B_WOO_01</v>
      </c>
      <c r="D21" s="512" t="str">
        <f>RSD_HeatingDemand!N21&amp;"_"&amp;C21</f>
        <v>RHHSC_B_WOO_01</v>
      </c>
      <c r="E21" s="512" t="str">
        <f>"R"&amp;LEFT('RSD (DEA)'!AD17,2)&amp;IF(ISNUMBER(IFERROR(FIND("HTH",'RSD (DEA)'!Z17),IFERROR(FIND("HP",'RSD (DEA)'!Z17),"C"))),IF(IFERROR(FIND("HTH",'RSD (DEA)'!Z17),100)=100,"B","A"),"C")</f>
        <v>RHSC</v>
      </c>
      <c r="F21" s="515"/>
      <c r="G21" s="515"/>
      <c r="H21" s="540" t="str">
        <f t="shared" si="0"/>
        <v>RHHSC_B_WOO_04</v>
      </c>
      <c r="I21" s="512" t="str">
        <f>'RSD (DEA)'!AA17</f>
        <v>Oil-fired boiler</v>
      </c>
      <c r="J21" s="242" t="s">
        <v>239</v>
      </c>
      <c r="K21" s="242" t="s">
        <v>240</v>
      </c>
      <c r="L21" s="513" t="str">
        <f>'RSD (DEA)'!AH17</f>
        <v>RSDWOO</v>
      </c>
      <c r="M21" s="252"/>
      <c r="N21" s="244" t="str">
        <f>LEFT('RSD (DEA)'!AJ17,2)&amp;RIGHT(E21,3)</f>
        <v>RHHSC</v>
      </c>
      <c r="O21" s="252"/>
      <c r="P21" s="252">
        <f>IF('RSD (DEA)'!P17&lt;RSD_HeatingDemand!$AH$15,RSD_HeatingDemand!$AH$15,'RSD (DEA)'!P17)</f>
        <v>2019</v>
      </c>
      <c r="Q21" s="252">
        <f>IF('RSD (DEA)'!X17&lt;RSD_HeatingDemand!$AH$15,RSD_HeatingDemand!$AH$15,'RSD (DEA)'!X17)</f>
        <v>2050</v>
      </c>
      <c r="R21" s="525">
        <f>IF(ISBLANK(I21),IF(MID(N21,2,2)="HA",VLOOKUP(I20,KEY_RSD_AF!$C$5:$G$52,2,FALSE),IF(MID(N21,2,2)="WA",VLOOKUP(I20,KEY_RSD_AF!$C$5:$G$52,3,FALSE),IF(MID(N21,2,2)="HH",VLOOKUP(I20,KEY_RSD_AF!$C$5:$G$52,4,FALSE),IF(MID(N21,2,2)="WH",VLOOKUP(I20,KEY_RSD_AF!$C$5:$G$52,5,FALSE))))),IF(MID(N21,2,2)="HA",VLOOKUP(I21,KEY_RSD_AF!$C$5:$G$52,2,FALSE),IF(MID(N21,2,2)="WA",VLOOKUP(I21,KEY_RSD_AF!$C$5:$G$52,3,FALSE),IF(MID(N21,2,2)="HH",VLOOKUP(I21,KEY_RSD_AF!$C$5:$G$52,4,FALSE),IF(MID(N21,2,2)="WH",VLOOKUP(I21,KEY_RSD_AF!$C$5:$G$52,5,FALSE))))))</f>
        <v>1</v>
      </c>
      <c r="S21" s="256">
        <f>'RSD (DEA)'!AZ17</f>
        <v>0.94</v>
      </c>
      <c r="T21" s="256">
        <f>'RSD (DEA)'!BA17</f>
        <v>0.94</v>
      </c>
      <c r="U21" s="503">
        <v>0.5</v>
      </c>
      <c r="V21" s="252">
        <f>'RSD (DEA)'!BR17/'RSD (DEA)'!S17</f>
        <v>14</v>
      </c>
      <c r="W21" s="524">
        <f>'RSD (DEA)'!BS17/RSD_HeatingDemand!$AH$9</f>
        <v>0</v>
      </c>
      <c r="X21" s="256">
        <f>'RSD (DEA)'!BK17*RSD_HeatingDemand!$AH$10/'RSD (DEA)'!S17</f>
        <v>1133.3333333333333</v>
      </c>
      <c r="Y21" s="252">
        <f>'RSD (DEA)'!BI17</f>
        <v>20</v>
      </c>
      <c r="Z21" s="252"/>
      <c r="AA21" s="257">
        <f>'RSD (DEA)'!AM17</f>
        <v>31.536000000000001</v>
      </c>
      <c r="AC21" s="235">
        <f>'RSD (DEA)'!S17</f>
        <v>15</v>
      </c>
      <c r="AD21" s="244" t="str">
        <f>LEFT('RSD (DEA)'!AK17,2)&amp;RIGHT(E21,3)</f>
        <v>RWHSC</v>
      </c>
      <c r="AE21" s="256">
        <f>'RSD (DEA)'!BA17</f>
        <v>0.94</v>
      </c>
      <c r="AF21" s="256"/>
      <c r="AG21" s="505" t="s">
        <v>244</v>
      </c>
      <c r="AH21" s="505" t="s">
        <v>754</v>
      </c>
      <c r="AI21" s="505" t="s">
        <v>750</v>
      </c>
    </row>
    <row r="22" spans="1:35" x14ac:dyDescent="0.3">
      <c r="A22" s="235"/>
      <c r="D22" s="512"/>
      <c r="E22" s="512"/>
      <c r="F22" s="515"/>
      <c r="G22" s="515"/>
      <c r="H22" s="540"/>
      <c r="I22" s="512"/>
      <c r="J22" s="242"/>
      <c r="K22" s="242"/>
      <c r="L22" s="513"/>
      <c r="M22" s="252"/>
      <c r="N22" s="244" t="str">
        <f>AD21</f>
        <v>RWHSC</v>
      </c>
      <c r="O22" s="244"/>
      <c r="P22" s="252"/>
      <c r="Q22" s="252"/>
      <c r="R22" s="525">
        <f>IF(ISBLANK(I22),IF(MID(N22,2,2)="HA",VLOOKUP(I21,KEY_RSD_AF!$C$5:$G$52,2,FALSE),IF(MID(N22,2,2)="WA",VLOOKUP(I21,KEY_RSD_AF!$C$5:$G$52,3,FALSE),IF(MID(N22,2,2)="HH",VLOOKUP(I21,KEY_RSD_AF!$C$5:$G$52,4,FALSE),IF(MID(N22,2,2)="WH",VLOOKUP(I21,KEY_RSD_AF!$C$5:$G$52,5,FALSE))))),IF(MID(N22,2,2)="HA",VLOOKUP(I22,KEY_RSD_AF!$C$5:$G$52,2,FALSE),IF(MID(N22,2,2)="WA",VLOOKUP(I22,KEY_RSD_AF!$C$5:$G$52,3,FALSE),IF(MID(N22,2,2)="HH",VLOOKUP(I22,KEY_RSD_AF!$C$5:$G$52,4,FALSE),IF(MID(N22,2,2)="WH",VLOOKUP(I22,KEY_RSD_AF!$C$5:$G$52,5,FALSE))))))</f>
        <v>1</v>
      </c>
      <c r="S22" s="503">
        <f>T21</f>
        <v>0.94</v>
      </c>
      <c r="T22" s="256"/>
      <c r="U22" s="503"/>
      <c r="V22" s="252"/>
      <c r="W22" s="524"/>
      <c r="X22" s="256"/>
      <c r="Y22" s="252"/>
      <c r="Z22" s="252"/>
      <c r="AA22" s="257"/>
      <c r="AC22" s="235"/>
      <c r="AD22" s="244"/>
      <c r="AE22" s="256"/>
      <c r="AF22" s="256"/>
      <c r="AG22" s="505" t="s">
        <v>244</v>
      </c>
      <c r="AH22" s="505" t="s">
        <v>1198</v>
      </c>
      <c r="AI22" s="505" t="s">
        <v>1199</v>
      </c>
    </row>
    <row r="23" spans="1:35" x14ac:dyDescent="0.3">
      <c r="A23" s="235"/>
      <c r="C23" s="528" t="str">
        <f>'RSD (DEA)'!Z18</f>
        <v>B_OIL_02</v>
      </c>
      <c r="D23" s="512" t="str">
        <f>RSD_HeatingDemand!N23&amp;"_"&amp;LEFT(C23,LEN(C23)-2)&amp;"01"</f>
        <v>RHAPC_B_OIL_01</v>
      </c>
      <c r="E23" s="512" t="str">
        <f>"R"&amp;LEFT('RSD (DEA)'!AD18,2)&amp;IF(ISNUMBER(IFERROR(FIND("HTH",'RSD (DEA)'!Z18),IFERROR(FIND("HP",'RSD (DEA)'!Z18),"C"))),IF(IFERROR(FIND("HTH",'RSD (DEA)'!Z18),100)=100,"B","A"),"C")</f>
        <v>RAPC</v>
      </c>
      <c r="F23" s="515"/>
      <c r="G23" s="515"/>
      <c r="H23" s="540" t="str">
        <f t="shared" si="0"/>
        <v>RHAPC_B_OIL_01</v>
      </c>
      <c r="I23" s="512" t="str">
        <f>'RSD (DEA)'!AA18</f>
        <v>Oil-fired boiler</v>
      </c>
      <c r="J23" s="242" t="s">
        <v>239</v>
      </c>
      <c r="K23" s="242" t="s">
        <v>240</v>
      </c>
      <c r="L23" s="513" t="str">
        <f>'RSD (DEA)'!AH18</f>
        <v>RSDOIL</v>
      </c>
      <c r="M23" s="252"/>
      <c r="N23" s="244" t="str">
        <f>LEFT('RSD (DEA)'!AJ18,2)&amp;RIGHT(E23,3)</f>
        <v>RHAPC</v>
      </c>
      <c r="O23" s="252"/>
      <c r="P23" s="252">
        <f>IF('RSD (DEA)'!P18&lt;RSD_HeatingDemand!$AH$15,RSD_HeatingDemand!$AH$15,'RSD (DEA)'!P18)</f>
        <v>2019</v>
      </c>
      <c r="Q23" s="252">
        <f>IF('RSD (DEA)'!X18&lt;RSD_HeatingDemand!$AH$15,RSD_HeatingDemand!$AH$15,'RSD (DEA)'!X18)</f>
        <v>2019</v>
      </c>
      <c r="R23" s="525">
        <f>IF(ISBLANK(I23),IF(MID(N23,2,2)="HA",VLOOKUP(I22,KEY_RSD_AF!$C$5:$G$52,2,FALSE),IF(MID(N23,2,2)="WA",VLOOKUP(I22,KEY_RSD_AF!$C$5:$G$52,3,FALSE),IF(MID(N23,2,2)="HH",VLOOKUP(I22,KEY_RSD_AF!$C$5:$G$52,4,FALSE),IF(MID(N23,2,2)="WH",VLOOKUP(I22,KEY_RSD_AF!$C$5:$G$52,5,FALSE))))),IF(MID(N23,2,2)="HA",VLOOKUP(I23,KEY_RSD_AF!$C$5:$G$52,2,FALSE),IF(MID(N23,2,2)="WA",VLOOKUP(I23,KEY_RSD_AF!$C$5:$G$52,3,FALSE),IF(MID(N23,2,2)="HH",VLOOKUP(I23,KEY_RSD_AF!$C$5:$G$52,4,FALSE),IF(MID(N23,2,2)="WH",VLOOKUP(I23,KEY_RSD_AF!$C$5:$G$52,5,FALSE))))))</f>
        <v>1</v>
      </c>
      <c r="S23" s="256">
        <f>'RSD (DEA)'!AZ18</f>
        <v>0.92</v>
      </c>
      <c r="T23" s="256">
        <f>'RSD (DEA)'!BA18</f>
        <v>0.92</v>
      </c>
      <c r="U23" s="503">
        <v>0.5</v>
      </c>
      <c r="V23" s="252">
        <f>'RSD (DEA)'!BR18/'RSD (DEA)'!S18</f>
        <v>2.13625</v>
      </c>
      <c r="W23" s="524">
        <f>'RSD (DEA)'!BS18/RSD_HeatingDemand!$AH$9</f>
        <v>6.5483360815438685</v>
      </c>
      <c r="X23" s="256">
        <f>'RSD (DEA)'!BK18*RSD_HeatingDemand!$AH$10/'RSD (DEA)'!S18</f>
        <v>87.5</v>
      </c>
      <c r="Y23" s="252">
        <f>'RSD (DEA)'!BI18</f>
        <v>20</v>
      </c>
      <c r="Z23" s="252"/>
      <c r="AA23" s="257">
        <f>'RSD (DEA)'!AM18</f>
        <v>31.536000000000001</v>
      </c>
      <c r="AC23" s="235">
        <f>'RSD (DEA)'!S18</f>
        <v>400</v>
      </c>
      <c r="AD23" s="244" t="str">
        <f>LEFT('RSD (DEA)'!AK18,2)&amp;RIGHT(E23,3)</f>
        <v>RWAPC</v>
      </c>
      <c r="AE23" s="256">
        <f>'RSD (DEA)'!BA18</f>
        <v>0.92</v>
      </c>
      <c r="AF23" s="256"/>
      <c r="AG23" s="506" t="s">
        <v>754</v>
      </c>
      <c r="AH23" s="506" t="s">
        <v>1196</v>
      </c>
      <c r="AI23" s="506" t="s">
        <v>1197</v>
      </c>
    </row>
    <row r="24" spans="1:35" x14ac:dyDescent="0.3">
      <c r="A24" s="235"/>
      <c r="D24" s="512"/>
      <c r="E24" s="512"/>
      <c r="F24" s="515"/>
      <c r="G24" s="515"/>
      <c r="H24" s="540"/>
      <c r="I24" s="512"/>
      <c r="J24" s="242"/>
      <c r="K24" s="242"/>
      <c r="L24" s="513"/>
      <c r="M24" s="252"/>
      <c r="N24" s="244" t="str">
        <f>AD23</f>
        <v>RWAPC</v>
      </c>
      <c r="O24" s="244"/>
      <c r="P24" s="252"/>
      <c r="Q24" s="252"/>
      <c r="R24" s="525">
        <f>IF(ISBLANK(I24),IF(MID(N24,2,2)="HA",VLOOKUP(I23,KEY_RSD_AF!$C$5:$G$52,2,FALSE),IF(MID(N24,2,2)="WA",VLOOKUP(I23,KEY_RSD_AF!$C$5:$G$52,3,FALSE),IF(MID(N24,2,2)="HH",VLOOKUP(I23,KEY_RSD_AF!$C$5:$G$52,4,FALSE),IF(MID(N24,2,2)="WH",VLOOKUP(I23,KEY_RSD_AF!$C$5:$G$52,5,FALSE))))),IF(MID(N24,2,2)="HA",VLOOKUP(I24,KEY_RSD_AF!$C$5:$G$52,2,FALSE),IF(MID(N24,2,2)="WA",VLOOKUP(I24,KEY_RSD_AF!$C$5:$G$52,3,FALSE),IF(MID(N24,2,2)="HH",VLOOKUP(I24,KEY_RSD_AF!$C$5:$G$52,4,FALSE),IF(MID(N24,2,2)="WH",VLOOKUP(I24,KEY_RSD_AF!$C$5:$G$52,5,FALSE))))))</f>
        <v>1</v>
      </c>
      <c r="S24" s="503">
        <f>T23</f>
        <v>0.92</v>
      </c>
      <c r="T24" s="256"/>
      <c r="U24" s="503"/>
      <c r="V24" s="252"/>
      <c r="W24" s="524"/>
      <c r="X24" s="256"/>
      <c r="Y24" s="252"/>
      <c r="Z24" s="252"/>
      <c r="AA24" s="257"/>
      <c r="AC24" s="235"/>
      <c r="AD24" s="244"/>
      <c r="AE24" s="256"/>
      <c r="AF24" s="256"/>
      <c r="AG24" s="506" t="s">
        <v>754</v>
      </c>
      <c r="AH24" s="506" t="s">
        <v>754</v>
      </c>
      <c r="AI24" s="506" t="s">
        <v>750</v>
      </c>
    </row>
    <row r="25" spans="1:35" x14ac:dyDescent="0.3">
      <c r="A25" s="235"/>
      <c r="C25" s="528" t="str">
        <f>'RSD (DEA)'!Z19</f>
        <v>B_OIL_02</v>
      </c>
      <c r="D25" s="512" t="str">
        <f>RSD_HeatingDemand!N25&amp;"_"&amp;LEFT(C25,LEN(C25)-2)&amp;"01"</f>
        <v>RHAPC_B_OIL_01</v>
      </c>
      <c r="E25" s="512" t="str">
        <f>"R"&amp;LEFT('RSD (DEA)'!AD19,2)&amp;IF(ISNUMBER(IFERROR(FIND("HTH",'RSD (DEA)'!Z19),IFERROR(FIND("HP",'RSD (DEA)'!Z19),"C"))),IF(IFERROR(FIND("HTH",'RSD (DEA)'!Z19),100)=100,"B","A"),"C")</f>
        <v>RAPC</v>
      </c>
      <c r="F25" s="515"/>
      <c r="G25" s="515"/>
      <c r="H25" s="540" t="str">
        <f t="shared" si="0"/>
        <v>RHAPC_B_OIL_02</v>
      </c>
      <c r="I25" s="512" t="str">
        <f>'RSD (DEA)'!AA19</f>
        <v>Oil-fired boiler</v>
      </c>
      <c r="J25" s="242" t="s">
        <v>239</v>
      </c>
      <c r="K25" s="242" t="s">
        <v>240</v>
      </c>
      <c r="L25" s="513" t="str">
        <f>'RSD (DEA)'!AH19</f>
        <v>RSDOIL</v>
      </c>
      <c r="M25" s="252"/>
      <c r="N25" s="244" t="str">
        <f>LEFT('RSD (DEA)'!AJ19,2)&amp;RIGHT(E25,3)</f>
        <v>RHAPC</v>
      </c>
      <c r="O25" s="252"/>
      <c r="P25" s="252">
        <f>IF('RSD (DEA)'!P19&lt;RSD_HeatingDemand!$AH$15,RSD_HeatingDemand!$AH$15,'RSD (DEA)'!P19)</f>
        <v>2019</v>
      </c>
      <c r="Q25" s="252">
        <f>IF('RSD (DEA)'!X19&lt;RSD_HeatingDemand!$AH$15,RSD_HeatingDemand!$AH$15,'RSD (DEA)'!X19)</f>
        <v>2020</v>
      </c>
      <c r="R25" s="525">
        <f>IF(ISBLANK(I25),IF(MID(N25,2,2)="HA",VLOOKUP(I24,KEY_RSD_AF!$C$5:$G$52,2,FALSE),IF(MID(N25,2,2)="WA",VLOOKUP(I24,KEY_RSD_AF!$C$5:$G$52,3,FALSE),IF(MID(N25,2,2)="HH",VLOOKUP(I24,KEY_RSD_AF!$C$5:$G$52,4,FALSE),IF(MID(N25,2,2)="WH",VLOOKUP(I24,KEY_RSD_AF!$C$5:$G$52,5,FALSE))))),IF(MID(N25,2,2)="HA",VLOOKUP(I25,KEY_RSD_AF!$C$5:$G$52,2,FALSE),IF(MID(N25,2,2)="WA",VLOOKUP(I25,KEY_RSD_AF!$C$5:$G$52,3,FALSE),IF(MID(N25,2,2)="HH",VLOOKUP(I25,KEY_RSD_AF!$C$5:$G$52,4,FALSE),IF(MID(N25,2,2)="WH",VLOOKUP(I25,KEY_RSD_AF!$C$5:$G$52,5,FALSE))))))</f>
        <v>1</v>
      </c>
      <c r="S25" s="256">
        <f>'RSD (DEA)'!AZ19</f>
        <v>0.92</v>
      </c>
      <c r="T25" s="256">
        <f>'RSD (DEA)'!BA19</f>
        <v>0.92</v>
      </c>
      <c r="U25" s="503">
        <v>0.5</v>
      </c>
      <c r="V25" s="252">
        <f>'RSD (DEA)'!BR19/'RSD (DEA)'!S19</f>
        <v>2.0950000000000002</v>
      </c>
      <c r="W25" s="524">
        <f>'RSD (DEA)'!BS19/RSD_HeatingDemand!$AH$9</f>
        <v>6.5483360815438685</v>
      </c>
      <c r="X25" s="256">
        <f>'RSD (DEA)'!BK19*RSD_HeatingDemand!$AH$10/'RSD (DEA)'!S19</f>
        <v>85</v>
      </c>
      <c r="Y25" s="252">
        <f>'RSD (DEA)'!BI19</f>
        <v>20</v>
      </c>
      <c r="Z25" s="252"/>
      <c r="AA25" s="257">
        <f>'RSD (DEA)'!AM19</f>
        <v>31.536000000000001</v>
      </c>
      <c r="AC25" s="235">
        <f>'RSD (DEA)'!S19</f>
        <v>400</v>
      </c>
      <c r="AD25" s="244" t="str">
        <f>LEFT('RSD (DEA)'!AK19,2)&amp;RIGHT(E25,3)</f>
        <v>RWAPC</v>
      </c>
      <c r="AE25" s="256">
        <f>'RSD (DEA)'!BA19</f>
        <v>0.92</v>
      </c>
      <c r="AF25" s="256"/>
      <c r="AG25" s="506" t="s">
        <v>754</v>
      </c>
      <c r="AH25" s="506" t="s">
        <v>1198</v>
      </c>
      <c r="AI25" s="506" t="s">
        <v>1199</v>
      </c>
    </row>
    <row r="26" spans="1:35" x14ac:dyDescent="0.3">
      <c r="A26" s="235"/>
      <c r="D26" s="512"/>
      <c r="E26" s="512"/>
      <c r="F26" s="515"/>
      <c r="G26" s="515"/>
      <c r="H26" s="540"/>
      <c r="I26" s="512"/>
      <c r="J26" s="242"/>
      <c r="K26" s="242"/>
      <c r="L26" s="513"/>
      <c r="M26" s="252"/>
      <c r="N26" s="244" t="str">
        <f>AD25</f>
        <v>RWAPC</v>
      </c>
      <c r="O26" s="244"/>
      <c r="P26" s="252"/>
      <c r="Q26" s="252"/>
      <c r="R26" s="525">
        <f>IF(ISBLANK(I26),IF(MID(N26,2,2)="HA",VLOOKUP(I25,KEY_RSD_AF!$C$5:$G$52,2,FALSE),IF(MID(N26,2,2)="WA",VLOOKUP(I25,KEY_RSD_AF!$C$5:$G$52,3,FALSE),IF(MID(N26,2,2)="HH",VLOOKUP(I25,KEY_RSD_AF!$C$5:$G$52,4,FALSE),IF(MID(N26,2,2)="WH",VLOOKUP(I25,KEY_RSD_AF!$C$5:$G$52,5,FALSE))))),IF(MID(N26,2,2)="HA",VLOOKUP(I26,KEY_RSD_AF!$C$5:$G$52,2,FALSE),IF(MID(N26,2,2)="WA",VLOOKUP(I26,KEY_RSD_AF!$C$5:$G$52,3,FALSE),IF(MID(N26,2,2)="HH",VLOOKUP(I26,KEY_RSD_AF!$C$5:$G$52,4,FALSE),IF(MID(N26,2,2)="WH",VLOOKUP(I26,KEY_RSD_AF!$C$5:$G$52,5,FALSE))))))</f>
        <v>1</v>
      </c>
      <c r="S26" s="503">
        <f>T25</f>
        <v>0.92</v>
      </c>
      <c r="T26" s="256"/>
      <c r="U26" s="503"/>
      <c r="V26" s="252"/>
      <c r="W26" s="524"/>
      <c r="X26" s="256"/>
      <c r="Y26" s="252"/>
      <c r="Z26" s="252"/>
      <c r="AA26" s="257"/>
      <c r="AC26" s="235"/>
      <c r="AD26" s="244"/>
      <c r="AE26" s="256"/>
      <c r="AF26" s="256"/>
    </row>
    <row r="27" spans="1:35" x14ac:dyDescent="0.3">
      <c r="A27" s="235"/>
      <c r="C27" s="528" t="str">
        <f>'RSD (DEA)'!Z20</f>
        <v>B_OIL_02</v>
      </c>
      <c r="D27" s="512" t="str">
        <f>RSD_HeatingDemand!N27&amp;"_"&amp;LEFT(C27,LEN(C27)-2)&amp;"01"</f>
        <v>RHAPC_B_OIL_01</v>
      </c>
      <c r="E27" s="512" t="str">
        <f>"R"&amp;LEFT('RSD (DEA)'!AD20,2)&amp;IF(ISNUMBER(IFERROR(FIND("HTH",'RSD (DEA)'!Z20),IFERROR(FIND("HP",'RSD (DEA)'!Z20),"C"))),IF(IFERROR(FIND("HTH",'RSD (DEA)'!Z20),100)=100,"B","A"),"C")</f>
        <v>RAPC</v>
      </c>
      <c r="F27" s="515"/>
      <c r="G27" s="515"/>
      <c r="H27" s="540" t="str">
        <f t="shared" si="0"/>
        <v>RHAPC_B_OIL_03</v>
      </c>
      <c r="I27" s="512" t="str">
        <f>'RSD (DEA)'!AA20</f>
        <v>Oil-fired boiler</v>
      </c>
      <c r="J27" s="242" t="s">
        <v>239</v>
      </c>
      <c r="K27" s="242" t="s">
        <v>240</v>
      </c>
      <c r="L27" s="513" t="str">
        <f>'RSD (DEA)'!AH20</f>
        <v>RSDOIL</v>
      </c>
      <c r="M27" s="252"/>
      <c r="N27" s="244" t="str">
        <f>LEFT('RSD (DEA)'!AJ20,2)&amp;RIGHT(E27,3)</f>
        <v>RHAPC</v>
      </c>
      <c r="O27" s="252"/>
      <c r="P27" s="252">
        <f>IF('RSD (DEA)'!P20&lt;RSD_HeatingDemand!$AH$15,RSD_HeatingDemand!$AH$15,'RSD (DEA)'!P20)</f>
        <v>2019</v>
      </c>
      <c r="Q27" s="252">
        <f>IF('RSD (DEA)'!X20&lt;RSD_HeatingDemand!$AH$15,RSD_HeatingDemand!$AH$15,'RSD (DEA)'!X20)</f>
        <v>2030</v>
      </c>
      <c r="R27" s="525">
        <f>IF(ISBLANK(I27),IF(MID(N27,2,2)="HA",VLOOKUP(I26,KEY_RSD_AF!$C$5:$G$52,2,FALSE),IF(MID(N27,2,2)="WA",VLOOKUP(I26,KEY_RSD_AF!$C$5:$G$52,3,FALSE),IF(MID(N27,2,2)="HH",VLOOKUP(I26,KEY_RSD_AF!$C$5:$G$52,4,FALSE),IF(MID(N27,2,2)="WH",VLOOKUP(I26,KEY_RSD_AF!$C$5:$G$52,5,FALSE))))),IF(MID(N27,2,2)="HA",VLOOKUP(I27,KEY_RSD_AF!$C$5:$G$52,2,FALSE),IF(MID(N27,2,2)="WA",VLOOKUP(I27,KEY_RSD_AF!$C$5:$G$52,3,FALSE),IF(MID(N27,2,2)="HH",VLOOKUP(I27,KEY_RSD_AF!$C$5:$G$52,4,FALSE),IF(MID(N27,2,2)="WH",VLOOKUP(I27,KEY_RSD_AF!$C$5:$G$52,5,FALSE))))))</f>
        <v>1</v>
      </c>
      <c r="S27" s="256">
        <f>'RSD (DEA)'!AZ20</f>
        <v>0.93</v>
      </c>
      <c r="T27" s="256">
        <f>'RSD (DEA)'!BA20</f>
        <v>0.93</v>
      </c>
      <c r="U27" s="503">
        <v>0.5</v>
      </c>
      <c r="V27" s="252">
        <f>'RSD (DEA)'!BR20/'RSD (DEA)'!S20</f>
        <v>2.09</v>
      </c>
      <c r="W27" s="524">
        <f>'RSD (DEA)'!BS20/RSD_HeatingDemand!$AH$9</f>
        <v>6.5483360815438685</v>
      </c>
      <c r="X27" s="256">
        <f>'RSD (DEA)'!BK20*RSD_HeatingDemand!$AH$10/'RSD (DEA)'!S20</f>
        <v>80</v>
      </c>
      <c r="Y27" s="252">
        <f>'RSD (DEA)'!BI20</f>
        <v>20</v>
      </c>
      <c r="Z27" s="252"/>
      <c r="AA27" s="257">
        <f>'RSD (DEA)'!AM20</f>
        <v>31.536000000000001</v>
      </c>
      <c r="AC27" s="235">
        <f>'RSD (DEA)'!S20</f>
        <v>400</v>
      </c>
      <c r="AD27" s="244" t="str">
        <f>LEFT('RSD (DEA)'!AK20,2)&amp;RIGHT(E27,3)</f>
        <v>RWAPC</v>
      </c>
      <c r="AE27" s="256">
        <f>'RSD (DEA)'!BA20</f>
        <v>0.93</v>
      </c>
      <c r="AF27" s="256"/>
    </row>
    <row r="28" spans="1:35" x14ac:dyDescent="0.3">
      <c r="A28" s="235"/>
      <c r="D28" s="512"/>
      <c r="E28" s="512"/>
      <c r="F28" s="515"/>
      <c r="G28" s="515"/>
      <c r="H28" s="540"/>
      <c r="I28" s="512"/>
      <c r="J28" s="242"/>
      <c r="K28" s="242"/>
      <c r="L28" s="513"/>
      <c r="M28" s="252"/>
      <c r="N28" s="244" t="str">
        <f>AD27</f>
        <v>RWAPC</v>
      </c>
      <c r="O28" s="244"/>
      <c r="P28" s="252"/>
      <c r="Q28" s="252"/>
      <c r="R28" s="525">
        <f>IF(ISBLANK(I28),IF(MID(N28,2,2)="HA",VLOOKUP(I27,KEY_RSD_AF!$C$5:$G$52,2,FALSE),IF(MID(N28,2,2)="WA",VLOOKUP(I27,KEY_RSD_AF!$C$5:$G$52,3,FALSE),IF(MID(N28,2,2)="HH",VLOOKUP(I27,KEY_RSD_AF!$C$5:$G$52,4,FALSE),IF(MID(N28,2,2)="WH",VLOOKUP(I27,KEY_RSD_AF!$C$5:$G$52,5,FALSE))))),IF(MID(N28,2,2)="HA",VLOOKUP(I28,KEY_RSD_AF!$C$5:$G$52,2,FALSE),IF(MID(N28,2,2)="WA",VLOOKUP(I28,KEY_RSD_AF!$C$5:$G$52,3,FALSE),IF(MID(N28,2,2)="HH",VLOOKUP(I28,KEY_RSD_AF!$C$5:$G$52,4,FALSE),IF(MID(N28,2,2)="WH",VLOOKUP(I28,KEY_RSD_AF!$C$5:$G$52,5,FALSE))))))</f>
        <v>1</v>
      </c>
      <c r="S28" s="503">
        <f>T27</f>
        <v>0.93</v>
      </c>
      <c r="T28" s="256"/>
      <c r="U28" s="503"/>
      <c r="V28" s="252"/>
      <c r="W28" s="524"/>
      <c r="X28" s="256"/>
      <c r="Y28" s="252"/>
      <c r="Z28" s="252"/>
      <c r="AA28" s="257"/>
      <c r="AC28" s="235"/>
      <c r="AD28" s="244"/>
      <c r="AE28" s="256"/>
      <c r="AF28" s="256"/>
    </row>
    <row r="29" spans="1:35" x14ac:dyDescent="0.3">
      <c r="A29" s="235"/>
      <c r="C29" s="528" t="str">
        <f>'RSD (DEA)'!Z21</f>
        <v>B_OIL_02</v>
      </c>
      <c r="D29" s="512" t="str">
        <f>RSD_HeatingDemand!N29&amp;"_"&amp;LEFT(C29,LEN(C29)-2)&amp;"01"</f>
        <v>RHAPC_B_OIL_01</v>
      </c>
      <c r="E29" s="512" t="str">
        <f>"R"&amp;LEFT('RSD (DEA)'!AD21,2)&amp;IF(ISNUMBER(IFERROR(FIND("HTH",'RSD (DEA)'!Z21),IFERROR(FIND("HP",'RSD (DEA)'!Z21),"C"))),IF(IFERROR(FIND("HTH",'RSD (DEA)'!Z21),100)=100,"B","A"),"C")</f>
        <v>RAPC</v>
      </c>
      <c r="F29" s="515"/>
      <c r="G29" s="515"/>
      <c r="H29" s="540" t="str">
        <f t="shared" si="0"/>
        <v>RHAPC_B_OIL_04</v>
      </c>
      <c r="I29" s="512" t="str">
        <f>'RSD (DEA)'!AA21</f>
        <v>Oil-fired boiler</v>
      </c>
      <c r="J29" s="242" t="s">
        <v>239</v>
      </c>
      <c r="K29" s="242" t="s">
        <v>240</v>
      </c>
      <c r="L29" s="513" t="str">
        <f>'RSD (DEA)'!AH21</f>
        <v>RSDOIL</v>
      </c>
      <c r="M29" s="252"/>
      <c r="N29" s="244" t="str">
        <f>LEFT('RSD (DEA)'!AJ21,2)&amp;RIGHT(E29,3)</f>
        <v>RHAPC</v>
      </c>
      <c r="O29" s="252"/>
      <c r="P29" s="252">
        <f>IF('RSD (DEA)'!P21&lt;RSD_HeatingDemand!$AH$15,RSD_HeatingDemand!$AH$15,'RSD (DEA)'!P21)</f>
        <v>2019</v>
      </c>
      <c r="Q29" s="252">
        <f>IF('RSD (DEA)'!X21&lt;RSD_HeatingDemand!$AH$15,RSD_HeatingDemand!$AH$15,'RSD (DEA)'!X21)</f>
        <v>2050</v>
      </c>
      <c r="R29" s="525">
        <f>IF(ISBLANK(I29),IF(MID(N29,2,2)="HA",VLOOKUP(I28,KEY_RSD_AF!$C$5:$G$52,2,FALSE),IF(MID(N29,2,2)="WA",VLOOKUP(I28,KEY_RSD_AF!$C$5:$G$52,3,FALSE),IF(MID(N29,2,2)="HH",VLOOKUP(I28,KEY_RSD_AF!$C$5:$G$52,4,FALSE),IF(MID(N29,2,2)="WH",VLOOKUP(I28,KEY_RSD_AF!$C$5:$G$52,5,FALSE))))),IF(MID(N29,2,2)="HA",VLOOKUP(I29,KEY_RSD_AF!$C$5:$G$52,2,FALSE),IF(MID(N29,2,2)="WA",VLOOKUP(I29,KEY_RSD_AF!$C$5:$G$52,3,FALSE),IF(MID(N29,2,2)="HH",VLOOKUP(I29,KEY_RSD_AF!$C$5:$G$52,4,FALSE),IF(MID(N29,2,2)="WH",VLOOKUP(I29,KEY_RSD_AF!$C$5:$G$52,5,FALSE))))))</f>
        <v>1</v>
      </c>
      <c r="S29" s="256">
        <f>'RSD (DEA)'!AZ21</f>
        <v>0.95</v>
      </c>
      <c r="T29" s="256">
        <f>'RSD (DEA)'!BA21</f>
        <v>0.95</v>
      </c>
      <c r="U29" s="503">
        <v>0.5</v>
      </c>
      <c r="V29" s="252">
        <f>'RSD (DEA)'!BR21/'RSD (DEA)'!S21</f>
        <v>1.9450000000000001</v>
      </c>
      <c r="W29" s="524">
        <f>'RSD (DEA)'!BS21/RSD_HeatingDemand!$AH$9</f>
        <v>6.5483360815438685</v>
      </c>
      <c r="X29" s="256">
        <f>'RSD (DEA)'!BK21*RSD_HeatingDemand!$AH$10/'RSD (DEA)'!S21</f>
        <v>147.5</v>
      </c>
      <c r="Y29" s="252">
        <f>'RSD (DEA)'!BI21</f>
        <v>20</v>
      </c>
      <c r="Z29" s="252"/>
      <c r="AA29" s="257">
        <f>'RSD (DEA)'!AM21</f>
        <v>31.536000000000001</v>
      </c>
      <c r="AC29" s="235">
        <f>'RSD (DEA)'!S21</f>
        <v>400</v>
      </c>
      <c r="AD29" s="244" t="str">
        <f>LEFT('RSD (DEA)'!AK21,2)&amp;RIGHT(E29,3)</f>
        <v>RWAPC</v>
      </c>
      <c r="AE29" s="256">
        <f>'RSD (DEA)'!BA21</f>
        <v>0.95</v>
      </c>
      <c r="AF29" s="256"/>
    </row>
    <row r="30" spans="1:35" x14ac:dyDescent="0.3">
      <c r="A30" s="235"/>
      <c r="D30" s="512"/>
      <c r="E30" s="512"/>
      <c r="F30" s="515"/>
      <c r="G30" s="515"/>
      <c r="H30" s="540"/>
      <c r="I30" s="512"/>
      <c r="J30" s="242"/>
      <c r="K30" s="242"/>
      <c r="L30" s="513"/>
      <c r="M30" s="252"/>
      <c r="N30" s="244" t="str">
        <f>AD29</f>
        <v>RWAPC</v>
      </c>
      <c r="O30" s="244"/>
      <c r="P30" s="252"/>
      <c r="Q30" s="252"/>
      <c r="R30" s="525">
        <f>IF(ISBLANK(I30),IF(MID(N30,2,2)="HA",VLOOKUP(I29,KEY_RSD_AF!$C$5:$G$52,2,FALSE),IF(MID(N30,2,2)="WA",VLOOKUP(I29,KEY_RSD_AF!$C$5:$G$52,3,FALSE),IF(MID(N30,2,2)="HH",VLOOKUP(I29,KEY_RSD_AF!$C$5:$G$52,4,FALSE),IF(MID(N30,2,2)="WH",VLOOKUP(I29,KEY_RSD_AF!$C$5:$G$52,5,FALSE))))),IF(MID(N30,2,2)="HA",VLOOKUP(I30,KEY_RSD_AF!$C$5:$G$52,2,FALSE),IF(MID(N30,2,2)="WA",VLOOKUP(I30,KEY_RSD_AF!$C$5:$G$52,3,FALSE),IF(MID(N30,2,2)="HH",VLOOKUP(I30,KEY_RSD_AF!$C$5:$G$52,4,FALSE),IF(MID(N30,2,2)="WH",VLOOKUP(I30,KEY_RSD_AF!$C$5:$G$52,5,FALSE))))))</f>
        <v>1</v>
      </c>
      <c r="S30" s="503">
        <f>T29</f>
        <v>0.95</v>
      </c>
      <c r="T30" s="256"/>
      <c r="U30" s="503"/>
      <c r="V30" s="252"/>
      <c r="W30" s="524"/>
      <c r="X30" s="256"/>
      <c r="Y30" s="252"/>
      <c r="Z30" s="252"/>
      <c r="AA30" s="257"/>
      <c r="AC30" s="235"/>
      <c r="AD30" s="244"/>
      <c r="AE30" s="256"/>
      <c r="AF30" s="256"/>
    </row>
    <row r="31" spans="1:35" x14ac:dyDescent="0.3">
      <c r="A31" s="235"/>
      <c r="C31" s="528" t="str">
        <f>'RSD (DEA)'!Z22</f>
        <v>B_WOO_02</v>
      </c>
      <c r="D31" s="512" t="str">
        <f>RSD_HeatingDemand!N31&amp;"_"&amp;LEFT(C31,LEN(C31)-2)&amp;"01"</f>
        <v>RHAPC_B_WOO_01</v>
      </c>
      <c r="E31" s="512" t="str">
        <f>"R"&amp;LEFT('RSD (DEA)'!AD22,2)&amp;IF(ISNUMBER(IFERROR(FIND("HTH",'RSD (DEA)'!Z22),IFERROR(FIND("HP",'RSD (DEA)'!Z22),"C"))),IF(IFERROR(FIND("HTH",'RSD (DEA)'!Z22),100)=100,"B","A"),"C")</f>
        <v>RAPC</v>
      </c>
      <c r="F31" s="515"/>
      <c r="G31" s="515"/>
      <c r="H31" s="540" t="str">
        <f t="shared" si="0"/>
        <v>RHAPC_B_WOO_01</v>
      </c>
      <c r="I31" s="512" t="str">
        <f>'RSD (DEA)'!AA22</f>
        <v>Oil-fired boiler</v>
      </c>
      <c r="J31" s="242" t="s">
        <v>239</v>
      </c>
      <c r="K31" s="242" t="s">
        <v>240</v>
      </c>
      <c r="L31" s="513" t="str">
        <f>'RSD (DEA)'!AH22</f>
        <v>RSDWOO</v>
      </c>
      <c r="M31" s="252"/>
      <c r="N31" s="244" t="str">
        <f>LEFT('RSD (DEA)'!AJ22,2)&amp;RIGHT(E31,3)</f>
        <v>RHAPC</v>
      </c>
      <c r="O31" s="252"/>
      <c r="P31" s="252">
        <f>IF('RSD (DEA)'!P22&lt;RSD_HeatingDemand!$AH$15,RSD_HeatingDemand!$AH$15,'RSD (DEA)'!P22)</f>
        <v>2019</v>
      </c>
      <c r="Q31" s="252">
        <f>IF('RSD (DEA)'!X22&lt;RSD_HeatingDemand!$AH$15,RSD_HeatingDemand!$AH$15,'RSD (DEA)'!X22)</f>
        <v>2019</v>
      </c>
      <c r="R31" s="525">
        <f>IF(ISBLANK(I31),IF(MID(N31,2,2)="HA",VLOOKUP(I30,KEY_RSD_AF!$C$5:$G$52,2,FALSE),IF(MID(N31,2,2)="WA",VLOOKUP(I30,KEY_RSD_AF!$C$5:$G$52,3,FALSE),IF(MID(N31,2,2)="HH",VLOOKUP(I30,KEY_RSD_AF!$C$5:$G$52,4,FALSE),IF(MID(N31,2,2)="WH",VLOOKUP(I30,KEY_RSD_AF!$C$5:$G$52,5,FALSE))))),IF(MID(N31,2,2)="HA",VLOOKUP(I31,KEY_RSD_AF!$C$5:$G$52,2,FALSE),IF(MID(N31,2,2)="WA",VLOOKUP(I31,KEY_RSD_AF!$C$5:$G$52,3,FALSE),IF(MID(N31,2,2)="HH",VLOOKUP(I31,KEY_RSD_AF!$C$5:$G$52,4,FALSE),IF(MID(N31,2,2)="WH",VLOOKUP(I31,KEY_RSD_AF!$C$5:$G$52,5,FALSE))))))</f>
        <v>1</v>
      </c>
      <c r="S31" s="256">
        <f>'RSD (DEA)'!AZ22</f>
        <v>0.88</v>
      </c>
      <c r="T31" s="256">
        <f>'RSD (DEA)'!BA22</f>
        <v>0.88</v>
      </c>
      <c r="U31" s="503">
        <v>0.5</v>
      </c>
      <c r="V31" s="252">
        <f>'RSD (DEA)'!BR22/'RSD (DEA)'!S22</f>
        <v>3.5187499999999998</v>
      </c>
      <c r="W31" s="524">
        <f>'RSD (DEA)'!BS22/RSD_HeatingDemand!$AH$9</f>
        <v>6.5483360815438685</v>
      </c>
      <c r="X31" s="256">
        <f>'RSD (DEA)'!BK22*RSD_HeatingDemand!$AH$10/'RSD (DEA)'!S22</f>
        <v>175</v>
      </c>
      <c r="Y31" s="252">
        <f>'RSD (DEA)'!BI22</f>
        <v>20</v>
      </c>
      <c r="Z31" s="252"/>
      <c r="AA31" s="257">
        <f>'RSD (DEA)'!AM22</f>
        <v>31.536000000000001</v>
      </c>
      <c r="AC31" s="235">
        <f>'RSD (DEA)'!S22</f>
        <v>160</v>
      </c>
      <c r="AD31" s="244" t="str">
        <f>LEFT('RSD (DEA)'!AK22,2)&amp;RIGHT(E31,3)</f>
        <v>RWAPC</v>
      </c>
      <c r="AE31" s="256">
        <f>'RSD (DEA)'!BA22</f>
        <v>0.88</v>
      </c>
      <c r="AF31" s="256"/>
    </row>
    <row r="32" spans="1:35" x14ac:dyDescent="0.3">
      <c r="A32" s="235"/>
      <c r="D32" s="512"/>
      <c r="E32" s="512"/>
      <c r="F32" s="515"/>
      <c r="G32" s="515"/>
      <c r="H32" s="540"/>
      <c r="I32" s="512"/>
      <c r="J32" s="242"/>
      <c r="K32" s="242"/>
      <c r="L32" s="513"/>
      <c r="M32" s="252"/>
      <c r="N32" s="244" t="str">
        <f>AD31</f>
        <v>RWAPC</v>
      </c>
      <c r="O32" s="244"/>
      <c r="P32" s="252"/>
      <c r="Q32" s="252"/>
      <c r="R32" s="525">
        <f>IF(ISBLANK(I32),IF(MID(N32,2,2)="HA",VLOOKUP(I31,KEY_RSD_AF!$C$5:$G$52,2,FALSE),IF(MID(N32,2,2)="WA",VLOOKUP(I31,KEY_RSD_AF!$C$5:$G$52,3,FALSE),IF(MID(N32,2,2)="HH",VLOOKUP(I31,KEY_RSD_AF!$C$5:$G$52,4,FALSE),IF(MID(N32,2,2)="WH",VLOOKUP(I31,KEY_RSD_AF!$C$5:$G$52,5,FALSE))))),IF(MID(N32,2,2)="HA",VLOOKUP(I32,KEY_RSD_AF!$C$5:$G$52,2,FALSE),IF(MID(N32,2,2)="WA",VLOOKUP(I32,KEY_RSD_AF!$C$5:$G$52,3,FALSE),IF(MID(N32,2,2)="HH",VLOOKUP(I32,KEY_RSD_AF!$C$5:$G$52,4,FALSE),IF(MID(N32,2,2)="WH",VLOOKUP(I32,KEY_RSD_AF!$C$5:$G$52,5,FALSE))))))</f>
        <v>1</v>
      </c>
      <c r="S32" s="503">
        <f>T31</f>
        <v>0.88</v>
      </c>
      <c r="T32" s="256"/>
      <c r="U32" s="503"/>
      <c r="V32" s="252"/>
      <c r="W32" s="524"/>
      <c r="X32" s="256"/>
      <c r="Y32" s="252"/>
      <c r="Z32" s="252"/>
      <c r="AA32" s="257"/>
      <c r="AC32" s="235"/>
      <c r="AD32" s="244"/>
      <c r="AE32" s="256"/>
      <c r="AF32" s="256"/>
    </row>
    <row r="33" spans="1:32" x14ac:dyDescent="0.3">
      <c r="A33" s="235"/>
      <c r="C33" s="528" t="str">
        <f>'RSD (DEA)'!Z23</f>
        <v>B_WOO_02</v>
      </c>
      <c r="D33" s="512" t="str">
        <f>RSD_HeatingDemand!N33&amp;"_"&amp;LEFT(C33,LEN(C33)-2)&amp;"01"</f>
        <v>RHAPC_B_WOO_01</v>
      </c>
      <c r="E33" s="512" t="str">
        <f>"R"&amp;LEFT('RSD (DEA)'!AD23,2)&amp;IF(ISNUMBER(IFERROR(FIND("HTH",'RSD (DEA)'!Z23),IFERROR(FIND("HP",'RSD (DEA)'!Z23),"C"))),IF(IFERROR(FIND("HTH",'RSD (DEA)'!Z23),100)=100,"B","A"),"C")</f>
        <v>RAPC</v>
      </c>
      <c r="F33" s="515"/>
      <c r="G33" s="515"/>
      <c r="H33" s="540" t="str">
        <f t="shared" si="0"/>
        <v>RHAPC_B_WOO_02</v>
      </c>
      <c r="I33" s="512" t="str">
        <f>'RSD (DEA)'!AA23</f>
        <v>Oil-fired boiler</v>
      </c>
      <c r="J33" s="242" t="s">
        <v>239</v>
      </c>
      <c r="K33" s="242" t="s">
        <v>240</v>
      </c>
      <c r="L33" s="513" t="str">
        <f>'RSD (DEA)'!AH23</f>
        <v>RSDWOO</v>
      </c>
      <c r="M33" s="252"/>
      <c r="N33" s="244" t="str">
        <f>LEFT('RSD (DEA)'!AJ23,2)&amp;RIGHT(E33,3)</f>
        <v>RHAPC</v>
      </c>
      <c r="O33" s="252"/>
      <c r="P33" s="252">
        <f>IF('RSD (DEA)'!P23&lt;RSD_HeatingDemand!$AH$15,RSD_HeatingDemand!$AH$15,'RSD (DEA)'!P23)</f>
        <v>2019</v>
      </c>
      <c r="Q33" s="252">
        <f>IF('RSD (DEA)'!X23&lt;RSD_HeatingDemand!$AH$15,RSD_HeatingDemand!$AH$15,'RSD (DEA)'!X23)</f>
        <v>2020</v>
      </c>
      <c r="R33" s="525">
        <f>IF(ISBLANK(I33),IF(MID(N33,2,2)="HA",VLOOKUP(I32,KEY_RSD_AF!$C$5:$G$52,2,FALSE),IF(MID(N33,2,2)="WA",VLOOKUP(I32,KEY_RSD_AF!$C$5:$G$52,3,FALSE),IF(MID(N33,2,2)="HH",VLOOKUP(I32,KEY_RSD_AF!$C$5:$G$52,4,FALSE),IF(MID(N33,2,2)="WH",VLOOKUP(I32,KEY_RSD_AF!$C$5:$G$52,5,FALSE))))),IF(MID(N33,2,2)="HA",VLOOKUP(I33,KEY_RSD_AF!$C$5:$G$52,2,FALSE),IF(MID(N33,2,2)="WA",VLOOKUP(I33,KEY_RSD_AF!$C$5:$G$52,3,FALSE),IF(MID(N33,2,2)="HH",VLOOKUP(I33,KEY_RSD_AF!$C$5:$G$52,4,FALSE),IF(MID(N33,2,2)="WH",VLOOKUP(I33,KEY_RSD_AF!$C$5:$G$52,5,FALSE))))))</f>
        <v>1</v>
      </c>
      <c r="S33" s="256">
        <f>'RSD (DEA)'!AZ23</f>
        <v>0.88</v>
      </c>
      <c r="T33" s="256">
        <f>'RSD (DEA)'!BA23</f>
        <v>0.88</v>
      </c>
      <c r="U33" s="503">
        <v>0.5</v>
      </c>
      <c r="V33" s="252">
        <f>'RSD (DEA)'!BR23/'RSD (DEA)'!S23</f>
        <v>3.4375</v>
      </c>
      <c r="W33" s="524">
        <f>'RSD (DEA)'!BS23/RSD_HeatingDemand!$AH$9</f>
        <v>6.5483360815438685</v>
      </c>
      <c r="X33" s="256">
        <f>'RSD (DEA)'!BK23*RSD_HeatingDemand!$AH$10/'RSD (DEA)'!S23</f>
        <v>168.75</v>
      </c>
      <c r="Y33" s="252">
        <f>'RSD (DEA)'!BI23</f>
        <v>20</v>
      </c>
      <c r="Z33" s="252"/>
      <c r="AA33" s="257">
        <f>'RSD (DEA)'!AM23</f>
        <v>31.536000000000001</v>
      </c>
      <c r="AC33" s="235">
        <f>'RSD (DEA)'!S23</f>
        <v>160</v>
      </c>
      <c r="AD33" s="244" t="str">
        <f>LEFT('RSD (DEA)'!AK23,2)&amp;RIGHT(E33,3)</f>
        <v>RWAPC</v>
      </c>
      <c r="AE33" s="256">
        <f>'RSD (DEA)'!BA23</f>
        <v>0.88</v>
      </c>
      <c r="AF33" s="256"/>
    </row>
    <row r="34" spans="1:32" x14ac:dyDescent="0.3">
      <c r="A34" s="235"/>
      <c r="D34" s="512"/>
      <c r="E34" s="512"/>
      <c r="F34" s="515"/>
      <c r="G34" s="515"/>
      <c r="H34" s="540"/>
      <c r="I34" s="512"/>
      <c r="J34" s="242"/>
      <c r="K34" s="242"/>
      <c r="L34" s="513"/>
      <c r="M34" s="252"/>
      <c r="N34" s="244" t="str">
        <f>AD33</f>
        <v>RWAPC</v>
      </c>
      <c r="O34" s="244"/>
      <c r="P34" s="252"/>
      <c r="Q34" s="252"/>
      <c r="R34" s="525">
        <f>IF(ISBLANK(I34),IF(MID(N34,2,2)="HA",VLOOKUP(I33,KEY_RSD_AF!$C$5:$G$52,2,FALSE),IF(MID(N34,2,2)="WA",VLOOKUP(I33,KEY_RSD_AF!$C$5:$G$52,3,FALSE),IF(MID(N34,2,2)="HH",VLOOKUP(I33,KEY_RSD_AF!$C$5:$G$52,4,FALSE),IF(MID(N34,2,2)="WH",VLOOKUP(I33,KEY_RSD_AF!$C$5:$G$52,5,FALSE))))),IF(MID(N34,2,2)="HA",VLOOKUP(I34,KEY_RSD_AF!$C$5:$G$52,2,FALSE),IF(MID(N34,2,2)="WA",VLOOKUP(I34,KEY_RSD_AF!$C$5:$G$52,3,FALSE),IF(MID(N34,2,2)="HH",VLOOKUP(I34,KEY_RSD_AF!$C$5:$G$52,4,FALSE),IF(MID(N34,2,2)="WH",VLOOKUP(I34,KEY_RSD_AF!$C$5:$G$52,5,FALSE))))))</f>
        <v>1</v>
      </c>
      <c r="S34" s="503">
        <f>T33</f>
        <v>0.88</v>
      </c>
      <c r="T34" s="256"/>
      <c r="U34" s="503"/>
      <c r="V34" s="252"/>
      <c r="W34" s="524"/>
      <c r="X34" s="256"/>
      <c r="Y34" s="252"/>
      <c r="Z34" s="252"/>
      <c r="AA34" s="257"/>
      <c r="AC34" s="235"/>
      <c r="AD34" s="244"/>
      <c r="AE34" s="256"/>
      <c r="AF34" s="256"/>
    </row>
    <row r="35" spans="1:32" x14ac:dyDescent="0.3">
      <c r="A35" s="235"/>
      <c r="C35" s="528" t="str">
        <f>'RSD (DEA)'!Z24</f>
        <v>B_WOO_02</v>
      </c>
      <c r="D35" s="512" t="str">
        <f>RSD_HeatingDemand!N35&amp;"_"&amp;LEFT(C35,LEN(C35)-2)&amp;"01"</f>
        <v>RHAPC_B_WOO_01</v>
      </c>
      <c r="E35" s="512" t="str">
        <f>"R"&amp;LEFT('RSD (DEA)'!AD24,2)&amp;IF(ISNUMBER(IFERROR(FIND("HTH",'RSD (DEA)'!Z24),IFERROR(FIND("HP",'RSD (DEA)'!Z24),"C"))),IF(IFERROR(FIND("HTH",'RSD (DEA)'!Z24),100)=100,"B","A"),"C")</f>
        <v>RAPC</v>
      </c>
      <c r="F35" s="515"/>
      <c r="G35" s="515"/>
      <c r="H35" s="540" t="str">
        <f t="shared" si="0"/>
        <v>RHAPC_B_WOO_03</v>
      </c>
      <c r="I35" s="512" t="str">
        <f>'RSD (DEA)'!AA24</f>
        <v>Oil-fired boiler</v>
      </c>
      <c r="J35" s="242" t="s">
        <v>239</v>
      </c>
      <c r="K35" s="242" t="s">
        <v>240</v>
      </c>
      <c r="L35" s="513" t="str">
        <f>'RSD (DEA)'!AH24</f>
        <v>RSDWOO</v>
      </c>
      <c r="M35" s="252"/>
      <c r="N35" s="244" t="str">
        <f>LEFT('RSD (DEA)'!AJ24,2)&amp;RIGHT(E35,3)</f>
        <v>RHAPC</v>
      </c>
      <c r="O35" s="252"/>
      <c r="P35" s="252">
        <f>IF('RSD (DEA)'!P24&lt;RSD_HeatingDemand!$AH$15,RSD_HeatingDemand!$AH$15,'RSD (DEA)'!P24)</f>
        <v>2019</v>
      </c>
      <c r="Q35" s="252">
        <f>IF('RSD (DEA)'!X24&lt;RSD_HeatingDemand!$AH$15,RSD_HeatingDemand!$AH$15,'RSD (DEA)'!X24)</f>
        <v>2030</v>
      </c>
      <c r="R35" s="525">
        <f>IF(ISBLANK(I35),IF(MID(N35,2,2)="HA",VLOOKUP(I34,KEY_RSD_AF!$C$5:$G$52,2,FALSE),IF(MID(N35,2,2)="WA",VLOOKUP(I34,KEY_RSD_AF!$C$5:$G$52,3,FALSE),IF(MID(N35,2,2)="HH",VLOOKUP(I34,KEY_RSD_AF!$C$5:$G$52,4,FALSE),IF(MID(N35,2,2)="WH",VLOOKUP(I34,KEY_RSD_AF!$C$5:$G$52,5,FALSE))))),IF(MID(N35,2,2)="HA",VLOOKUP(I35,KEY_RSD_AF!$C$5:$G$52,2,FALSE),IF(MID(N35,2,2)="WA",VLOOKUP(I35,KEY_RSD_AF!$C$5:$G$52,3,FALSE),IF(MID(N35,2,2)="HH",VLOOKUP(I35,KEY_RSD_AF!$C$5:$G$52,4,FALSE),IF(MID(N35,2,2)="WH",VLOOKUP(I35,KEY_RSD_AF!$C$5:$G$52,5,FALSE))))))</f>
        <v>1</v>
      </c>
      <c r="S35" s="256">
        <f>'RSD (DEA)'!AZ24</f>
        <v>0.92</v>
      </c>
      <c r="T35" s="256">
        <f>'RSD (DEA)'!BA24</f>
        <v>0.92</v>
      </c>
      <c r="U35" s="503">
        <v>0.5</v>
      </c>
      <c r="V35" s="252">
        <f>'RSD (DEA)'!BR24/'RSD (DEA)'!S24</f>
        <v>3.2250000000000001</v>
      </c>
      <c r="W35" s="524">
        <f>'RSD (DEA)'!BS24/RSD_HeatingDemand!$AH$9</f>
        <v>6.5483360815438685</v>
      </c>
      <c r="X35" s="256">
        <f>'RSD (DEA)'!BK24*RSD_HeatingDemand!$AH$10/'RSD (DEA)'!S24</f>
        <v>162.5</v>
      </c>
      <c r="Y35" s="252">
        <f>'RSD (DEA)'!BI24</f>
        <v>20</v>
      </c>
      <c r="Z35" s="252"/>
      <c r="AA35" s="257">
        <f>'RSD (DEA)'!AM24</f>
        <v>31.536000000000001</v>
      </c>
      <c r="AC35" s="235">
        <f>'RSD (DEA)'!S24</f>
        <v>160</v>
      </c>
      <c r="AD35" s="244" t="str">
        <f>LEFT('RSD (DEA)'!AK24,2)&amp;RIGHT(E35,3)</f>
        <v>RWAPC</v>
      </c>
      <c r="AE35" s="256">
        <f>'RSD (DEA)'!BA24</f>
        <v>0.92</v>
      </c>
      <c r="AF35" s="256"/>
    </row>
    <row r="36" spans="1:32" x14ac:dyDescent="0.3">
      <c r="A36" s="235"/>
      <c r="D36" s="512"/>
      <c r="E36" s="512"/>
      <c r="F36" s="515"/>
      <c r="G36" s="515"/>
      <c r="H36" s="540"/>
      <c r="I36" s="512"/>
      <c r="J36" s="242"/>
      <c r="K36" s="242"/>
      <c r="L36" s="513"/>
      <c r="M36" s="252"/>
      <c r="N36" s="244" t="str">
        <f>AD35</f>
        <v>RWAPC</v>
      </c>
      <c r="O36" s="244"/>
      <c r="P36" s="252"/>
      <c r="Q36" s="252"/>
      <c r="R36" s="525">
        <f>IF(ISBLANK(I36),IF(MID(N36,2,2)="HA",VLOOKUP(I35,KEY_RSD_AF!$C$5:$G$52,2,FALSE),IF(MID(N36,2,2)="WA",VLOOKUP(I35,KEY_RSD_AF!$C$5:$G$52,3,FALSE),IF(MID(N36,2,2)="HH",VLOOKUP(I35,KEY_RSD_AF!$C$5:$G$52,4,FALSE),IF(MID(N36,2,2)="WH",VLOOKUP(I35,KEY_RSD_AF!$C$5:$G$52,5,FALSE))))),IF(MID(N36,2,2)="HA",VLOOKUP(I36,KEY_RSD_AF!$C$5:$G$52,2,FALSE),IF(MID(N36,2,2)="WA",VLOOKUP(I36,KEY_RSD_AF!$C$5:$G$52,3,FALSE),IF(MID(N36,2,2)="HH",VLOOKUP(I36,KEY_RSD_AF!$C$5:$G$52,4,FALSE),IF(MID(N36,2,2)="WH",VLOOKUP(I36,KEY_RSD_AF!$C$5:$G$52,5,FALSE))))))</f>
        <v>1</v>
      </c>
      <c r="S36" s="503">
        <f>T35</f>
        <v>0.92</v>
      </c>
      <c r="T36" s="256"/>
      <c r="U36" s="503"/>
      <c r="V36" s="252"/>
      <c r="W36" s="524"/>
      <c r="X36" s="256"/>
      <c r="Y36" s="252"/>
      <c r="Z36" s="252"/>
      <c r="AA36" s="257"/>
      <c r="AC36" s="235"/>
      <c r="AD36" s="244"/>
      <c r="AE36" s="256"/>
      <c r="AF36" s="256"/>
    </row>
    <row r="37" spans="1:32" x14ac:dyDescent="0.3">
      <c r="A37" s="235"/>
      <c r="C37" s="528" t="str">
        <f>'RSD (DEA)'!Z25</f>
        <v>B_WOO_02</v>
      </c>
      <c r="D37" s="512" t="str">
        <f>RSD_HeatingDemand!N37&amp;"_"&amp;LEFT(C37,LEN(C37)-2)&amp;"01"</f>
        <v>RHAPC_B_WOO_01</v>
      </c>
      <c r="E37" s="512" t="str">
        <f>"R"&amp;LEFT('RSD (DEA)'!AD25,2)&amp;IF(ISNUMBER(IFERROR(FIND("HTH",'RSD (DEA)'!Z25),IFERROR(FIND("HP",'RSD (DEA)'!Z25),"C"))),IF(IFERROR(FIND("HTH",'RSD (DEA)'!Z25),100)=100,"B","A"),"C")</f>
        <v>RAPC</v>
      </c>
      <c r="F37" s="515"/>
      <c r="G37" s="515"/>
      <c r="H37" s="540" t="str">
        <f t="shared" si="0"/>
        <v>RHAPC_B_WOO_04</v>
      </c>
      <c r="I37" s="512" t="str">
        <f>'RSD (DEA)'!AA25</f>
        <v>Oil-fired boiler</v>
      </c>
      <c r="J37" s="242" t="s">
        <v>239</v>
      </c>
      <c r="K37" s="242" t="s">
        <v>240</v>
      </c>
      <c r="L37" s="513" t="str">
        <f>'RSD (DEA)'!AH25</f>
        <v>RSDWOO</v>
      </c>
      <c r="M37" s="252"/>
      <c r="N37" s="244" t="str">
        <f>LEFT('RSD (DEA)'!AJ25,2)&amp;RIGHT(E37,3)</f>
        <v>RHAPC</v>
      </c>
      <c r="O37" s="252"/>
      <c r="P37" s="252">
        <f>IF('RSD (DEA)'!P25&lt;RSD_HeatingDemand!$AH$15,RSD_HeatingDemand!$AH$15,'RSD (DEA)'!P25)</f>
        <v>2019</v>
      </c>
      <c r="Q37" s="252">
        <f>IF('RSD (DEA)'!X25&lt;RSD_HeatingDemand!$AH$15,RSD_HeatingDemand!$AH$15,'RSD (DEA)'!X25)</f>
        <v>2050</v>
      </c>
      <c r="R37" s="525">
        <f>IF(ISBLANK(I37),IF(MID(N37,2,2)="HA",VLOOKUP(I36,KEY_RSD_AF!$C$5:$G$52,2,FALSE),IF(MID(N37,2,2)="WA",VLOOKUP(I36,KEY_RSD_AF!$C$5:$G$52,3,FALSE),IF(MID(N37,2,2)="HH",VLOOKUP(I36,KEY_RSD_AF!$C$5:$G$52,4,FALSE),IF(MID(N37,2,2)="WH",VLOOKUP(I36,KEY_RSD_AF!$C$5:$G$52,5,FALSE))))),IF(MID(N37,2,2)="HA",VLOOKUP(I37,KEY_RSD_AF!$C$5:$G$52,2,FALSE),IF(MID(N37,2,2)="WA",VLOOKUP(I37,KEY_RSD_AF!$C$5:$G$52,3,FALSE),IF(MID(N37,2,2)="HH",VLOOKUP(I37,KEY_RSD_AF!$C$5:$G$52,4,FALSE),IF(MID(N37,2,2)="WH",VLOOKUP(I37,KEY_RSD_AF!$C$5:$G$52,5,FALSE))))))</f>
        <v>1</v>
      </c>
      <c r="S37" s="256">
        <f>'RSD (DEA)'!AZ25</f>
        <v>0.94</v>
      </c>
      <c r="T37" s="256">
        <f>'RSD (DEA)'!BA25</f>
        <v>0.94</v>
      </c>
      <c r="U37" s="503">
        <v>0.5</v>
      </c>
      <c r="V37" s="252">
        <f>'RSD (DEA)'!BR25/'RSD (DEA)'!S25</f>
        <v>2.9750000000000001</v>
      </c>
      <c r="W37" s="524">
        <f>'RSD (DEA)'!BS25/RSD_HeatingDemand!$AH$9</f>
        <v>6.5483360815438685</v>
      </c>
      <c r="X37" s="256">
        <f>'RSD (DEA)'!BK25*RSD_HeatingDemand!$AH$10/'RSD (DEA)'!S25</f>
        <v>293.75</v>
      </c>
      <c r="Y37" s="252">
        <f>'RSD (DEA)'!BI25</f>
        <v>20</v>
      </c>
      <c r="Z37" s="252"/>
      <c r="AA37" s="257">
        <f>'RSD (DEA)'!AM25</f>
        <v>31.536000000000001</v>
      </c>
      <c r="AC37" s="235">
        <f>'RSD (DEA)'!S25</f>
        <v>160</v>
      </c>
      <c r="AD37" s="244" t="str">
        <f>LEFT('RSD (DEA)'!AK25,2)&amp;RIGHT(E37,3)</f>
        <v>RWAPC</v>
      </c>
      <c r="AE37" s="256">
        <f>'RSD (DEA)'!BA25</f>
        <v>0.94</v>
      </c>
      <c r="AF37" s="256"/>
    </row>
    <row r="38" spans="1:32" x14ac:dyDescent="0.3">
      <c r="A38" s="235"/>
      <c r="D38" s="512"/>
      <c r="E38" s="512"/>
      <c r="F38" s="515"/>
      <c r="G38" s="515"/>
      <c r="H38" s="540"/>
      <c r="I38" s="512"/>
      <c r="J38" s="242"/>
      <c r="K38" s="242"/>
      <c r="L38" s="513"/>
      <c r="M38" s="252"/>
      <c r="N38" s="244" t="str">
        <f>AD37</f>
        <v>RWAPC</v>
      </c>
      <c r="O38" s="244"/>
      <c r="P38" s="252"/>
      <c r="Q38" s="252"/>
      <c r="R38" s="525">
        <f>IF(ISBLANK(I38),IF(MID(N38,2,2)="HA",VLOOKUP(I37,KEY_RSD_AF!$C$5:$G$52,2,FALSE),IF(MID(N38,2,2)="WA",VLOOKUP(I37,KEY_RSD_AF!$C$5:$G$52,3,FALSE),IF(MID(N38,2,2)="HH",VLOOKUP(I37,KEY_RSD_AF!$C$5:$G$52,4,FALSE),IF(MID(N38,2,2)="WH",VLOOKUP(I37,KEY_RSD_AF!$C$5:$G$52,5,FALSE))))),IF(MID(N38,2,2)="HA",VLOOKUP(I38,KEY_RSD_AF!$C$5:$G$52,2,FALSE),IF(MID(N38,2,2)="WA",VLOOKUP(I38,KEY_RSD_AF!$C$5:$G$52,3,FALSE),IF(MID(N38,2,2)="HH",VLOOKUP(I38,KEY_RSD_AF!$C$5:$G$52,4,FALSE),IF(MID(N38,2,2)="WH",VLOOKUP(I38,KEY_RSD_AF!$C$5:$G$52,5,FALSE))))))</f>
        <v>1</v>
      </c>
      <c r="S38" s="503">
        <f>T37</f>
        <v>0.94</v>
      </c>
      <c r="T38" s="256"/>
      <c r="U38" s="503"/>
      <c r="V38" s="252"/>
      <c r="W38" s="524"/>
      <c r="X38" s="256"/>
      <c r="Y38" s="252"/>
      <c r="Z38" s="252"/>
      <c r="AA38" s="257"/>
      <c r="AC38" s="235"/>
      <c r="AD38" s="244"/>
      <c r="AE38" s="256"/>
      <c r="AF38" s="256"/>
    </row>
    <row r="39" spans="1:32" x14ac:dyDescent="0.3">
      <c r="A39" s="235"/>
      <c r="C39" s="528" t="str">
        <f>'RSD (DEA)'!Z26</f>
        <v>B_GAS_01</v>
      </c>
      <c r="D39" s="512" t="str">
        <f>RSD_HeatingDemand!N39&amp;"_"&amp;C39</f>
        <v>RHHSC_B_GAS_01</v>
      </c>
      <c r="E39" s="512" t="str">
        <f>"R"&amp;LEFT('RSD (DEA)'!AD26,2)&amp;IF(ISNUMBER(IFERROR(FIND("HTH",'RSD (DEA)'!Z26),IFERROR(FIND("HP",'RSD (DEA)'!Z26),"C"))),IF(IFERROR(FIND("HTH",'RSD (DEA)'!Z26),100)=100,"B","A"),"C")</f>
        <v>RHSC</v>
      </c>
      <c r="F39" s="515"/>
      <c r="G39" s="515"/>
      <c r="H39" s="540" t="str">
        <f t="shared" si="0"/>
        <v>RHHSC_B_GAS_01</v>
      </c>
      <c r="I39" s="512" t="str">
        <f>'RSD (DEA)'!AA26</f>
        <v>Natural gas boiler</v>
      </c>
      <c r="J39" s="242" t="s">
        <v>239</v>
      </c>
      <c r="K39" s="242" t="s">
        <v>240</v>
      </c>
      <c r="L39" s="513" t="str">
        <f>'RSD (DEA)'!AH26</f>
        <v>RSDGAS</v>
      </c>
      <c r="M39" s="252"/>
      <c r="N39" s="244" t="str">
        <f>LEFT('RSD (DEA)'!AJ26,2)&amp;RIGHT(E39,3)</f>
        <v>RHHSC</v>
      </c>
      <c r="O39" s="252"/>
      <c r="P39" s="252">
        <f>IF('RSD (DEA)'!P26&lt;RSD_HeatingDemand!$AH$15,RSD_HeatingDemand!$AH$15,'RSD (DEA)'!P26)</f>
        <v>2019</v>
      </c>
      <c r="Q39" s="252">
        <f>IF('RSD (DEA)'!X26&lt;RSD_HeatingDemand!$AH$15,RSD_HeatingDemand!$AH$15,'RSD (DEA)'!X26)</f>
        <v>2019</v>
      </c>
      <c r="R39" s="525">
        <f>IF(ISBLANK(I39),IF(MID(N39,2,2)="HA",VLOOKUP(I38,KEY_RSD_AF!$C$5:$G$52,2,FALSE),IF(MID(N39,2,2)="WA",VLOOKUP(I38,KEY_RSD_AF!$C$5:$G$52,3,FALSE),IF(MID(N39,2,2)="HH",VLOOKUP(I38,KEY_RSD_AF!$C$5:$G$52,4,FALSE),IF(MID(N39,2,2)="WH",VLOOKUP(I38,KEY_RSD_AF!$C$5:$G$52,5,FALSE))))),IF(MID(N39,2,2)="HA",VLOOKUP(I39,KEY_RSD_AF!$C$5:$G$52,2,FALSE),IF(MID(N39,2,2)="WA",VLOOKUP(I39,KEY_RSD_AF!$C$5:$G$52,3,FALSE),IF(MID(N39,2,2)="HH",VLOOKUP(I39,KEY_RSD_AF!$C$5:$G$52,4,FALSE),IF(MID(N39,2,2)="WH",VLOOKUP(I39,KEY_RSD_AF!$C$5:$G$52,5,FALSE))))))</f>
        <v>1</v>
      </c>
      <c r="S39" s="256">
        <f>'RSD (DEA)'!AZ26</f>
        <v>0.97</v>
      </c>
      <c r="T39" s="256">
        <f>'RSD (DEA)'!BA26</f>
        <v>0.97</v>
      </c>
      <c r="U39" s="503">
        <v>0.5</v>
      </c>
      <c r="V39" s="252">
        <f>'RSD (DEA)'!BR26/'RSD (DEA)'!S26</f>
        <v>20.945</v>
      </c>
      <c r="W39" s="524">
        <f>'RSD (DEA)'!BS26/RSD_HeatingDemand!$AH$9</f>
        <v>0</v>
      </c>
      <c r="X39" s="256">
        <f>'RSD (DEA)'!BK26*RSD_HeatingDemand!$AH$10/'RSD (DEA)'!S26</f>
        <v>520</v>
      </c>
      <c r="Y39" s="252">
        <f>'RSD (DEA)'!BI26</f>
        <v>20</v>
      </c>
      <c r="Z39" s="252"/>
      <c r="AA39" s="257">
        <f>'RSD (DEA)'!AM26</f>
        <v>31.536000000000001</v>
      </c>
      <c r="AC39" s="235">
        <f>'RSD (DEA)'!S26</f>
        <v>10</v>
      </c>
      <c r="AD39" s="244" t="str">
        <f>LEFT('RSD (DEA)'!AK26,2)&amp;RIGHT(E39,3)</f>
        <v>RWHSC</v>
      </c>
      <c r="AE39" s="256">
        <f>'RSD (DEA)'!BA26</f>
        <v>0.97</v>
      </c>
      <c r="AF39" s="256"/>
    </row>
    <row r="40" spans="1:32" x14ac:dyDescent="0.3">
      <c r="A40" s="235"/>
      <c r="D40" s="512"/>
      <c r="E40" s="512"/>
      <c r="F40" s="515"/>
      <c r="G40" s="515"/>
      <c r="H40" s="540"/>
      <c r="I40" s="512"/>
      <c r="J40" s="242"/>
      <c r="K40" s="242"/>
      <c r="L40" s="513"/>
      <c r="M40" s="252"/>
      <c r="N40" s="244" t="str">
        <f>AD39</f>
        <v>RWHSC</v>
      </c>
      <c r="O40" s="244"/>
      <c r="P40" s="252"/>
      <c r="Q40" s="252"/>
      <c r="R40" s="525">
        <f>IF(ISBLANK(I40),IF(MID(N40,2,2)="HA",VLOOKUP(I39,KEY_RSD_AF!$C$5:$G$52,2,FALSE),IF(MID(N40,2,2)="WA",VLOOKUP(I39,KEY_RSD_AF!$C$5:$G$52,3,FALSE),IF(MID(N40,2,2)="HH",VLOOKUP(I39,KEY_RSD_AF!$C$5:$G$52,4,FALSE),IF(MID(N40,2,2)="WH",VLOOKUP(I39,KEY_RSD_AF!$C$5:$G$52,5,FALSE))))),IF(MID(N40,2,2)="HA",VLOOKUP(I40,KEY_RSD_AF!$C$5:$G$52,2,FALSE),IF(MID(N40,2,2)="WA",VLOOKUP(I40,KEY_RSD_AF!$C$5:$G$52,3,FALSE),IF(MID(N40,2,2)="HH",VLOOKUP(I40,KEY_RSD_AF!$C$5:$G$52,4,FALSE),IF(MID(N40,2,2)="WH",VLOOKUP(I40,KEY_RSD_AF!$C$5:$G$52,5,FALSE))))))</f>
        <v>1</v>
      </c>
      <c r="S40" s="503">
        <f>T39</f>
        <v>0.97</v>
      </c>
      <c r="T40" s="256"/>
      <c r="U40" s="503"/>
      <c r="V40" s="252"/>
      <c r="W40" s="524"/>
      <c r="X40" s="256"/>
      <c r="Y40" s="252"/>
      <c r="Z40" s="252"/>
      <c r="AA40" s="257"/>
      <c r="AC40" s="235"/>
      <c r="AD40" s="244"/>
      <c r="AE40" s="256"/>
      <c r="AF40" s="256"/>
    </row>
    <row r="41" spans="1:32" x14ac:dyDescent="0.3">
      <c r="A41" s="235"/>
      <c r="C41" s="528" t="str">
        <f>'RSD (DEA)'!Z27</f>
        <v>B_GAS_01</v>
      </c>
      <c r="D41" s="512" t="str">
        <f>RSD_HeatingDemand!N41&amp;"_"&amp;C41</f>
        <v>RHHSC_B_GAS_01</v>
      </c>
      <c r="E41" s="512" t="str">
        <f>"R"&amp;LEFT('RSD (DEA)'!AD27,2)&amp;IF(ISNUMBER(IFERROR(FIND("HTH",'RSD (DEA)'!Z27),IFERROR(FIND("HP",'RSD (DEA)'!Z27),"C"))),IF(IFERROR(FIND("HTH",'RSD (DEA)'!Z27),100)=100,"B","A"),"C")</f>
        <v>RHSC</v>
      </c>
      <c r="F41" s="515"/>
      <c r="G41" s="515"/>
      <c r="H41" s="540" t="str">
        <f t="shared" si="0"/>
        <v>RHHSC_B_GAS_02</v>
      </c>
      <c r="I41" s="512" t="str">
        <f>'RSD (DEA)'!AA27</f>
        <v>Natural gas boiler</v>
      </c>
      <c r="J41" s="242" t="s">
        <v>239</v>
      </c>
      <c r="K41" s="242" t="s">
        <v>240</v>
      </c>
      <c r="L41" s="513" t="str">
        <f>'RSD (DEA)'!AH27</f>
        <v>RSDGAS</v>
      </c>
      <c r="M41" s="252"/>
      <c r="N41" s="244" t="str">
        <f>LEFT('RSD (DEA)'!AJ27,2)&amp;RIGHT(E41,3)</f>
        <v>RHHSC</v>
      </c>
      <c r="O41" s="252"/>
      <c r="P41" s="252">
        <f>IF('RSD (DEA)'!P27&lt;RSD_HeatingDemand!$AH$15,RSD_HeatingDemand!$AH$15,'RSD (DEA)'!P27)</f>
        <v>2019</v>
      </c>
      <c r="Q41" s="252">
        <f>IF('RSD (DEA)'!X27&lt;RSD_HeatingDemand!$AH$15,RSD_HeatingDemand!$AH$15,'RSD (DEA)'!X27)</f>
        <v>2020</v>
      </c>
      <c r="R41" s="525">
        <f>IF(ISBLANK(I41),IF(MID(N41,2,2)="HA",VLOOKUP(I40,KEY_RSD_AF!$C$5:$G$52,2,FALSE),IF(MID(N41,2,2)="WA",VLOOKUP(I40,KEY_RSD_AF!$C$5:$G$52,3,FALSE),IF(MID(N41,2,2)="HH",VLOOKUP(I40,KEY_RSD_AF!$C$5:$G$52,4,FALSE),IF(MID(N41,2,2)="WH",VLOOKUP(I40,KEY_RSD_AF!$C$5:$G$52,5,FALSE))))),IF(MID(N41,2,2)="HA",VLOOKUP(I41,KEY_RSD_AF!$C$5:$G$52,2,FALSE),IF(MID(N41,2,2)="WA",VLOOKUP(I41,KEY_RSD_AF!$C$5:$G$52,3,FALSE),IF(MID(N41,2,2)="HH",VLOOKUP(I41,KEY_RSD_AF!$C$5:$G$52,4,FALSE),IF(MID(N41,2,2)="WH",VLOOKUP(I41,KEY_RSD_AF!$C$5:$G$52,5,FALSE))))))</f>
        <v>1</v>
      </c>
      <c r="S41" s="256">
        <f>'RSD (DEA)'!AZ27</f>
        <v>0.97</v>
      </c>
      <c r="T41" s="256">
        <f>'RSD (DEA)'!BA27</f>
        <v>0.97</v>
      </c>
      <c r="U41" s="503">
        <v>0.5</v>
      </c>
      <c r="V41" s="252">
        <f>'RSD (DEA)'!BR27/'RSD (DEA)'!S27</f>
        <v>20.5</v>
      </c>
      <c r="W41" s="524">
        <f>'RSD (DEA)'!BS27/RSD_HeatingDemand!$AH$9</f>
        <v>0</v>
      </c>
      <c r="X41" s="256">
        <f>'RSD (DEA)'!BK27*RSD_HeatingDemand!$AH$10/'RSD (DEA)'!S27</f>
        <v>520</v>
      </c>
      <c r="Y41" s="252">
        <f>'RSD (DEA)'!BI27</f>
        <v>20</v>
      </c>
      <c r="Z41" s="252"/>
      <c r="AA41" s="257">
        <f>'RSD (DEA)'!AM27</f>
        <v>31.536000000000001</v>
      </c>
      <c r="AC41" s="235">
        <f>'RSD (DEA)'!S27</f>
        <v>10</v>
      </c>
      <c r="AD41" s="244" t="str">
        <f>LEFT('RSD (DEA)'!AK27,2)&amp;RIGHT(E41,3)</f>
        <v>RWHSC</v>
      </c>
      <c r="AE41" s="256">
        <f>'RSD (DEA)'!BA27</f>
        <v>0.97</v>
      </c>
      <c r="AF41" s="256"/>
    </row>
    <row r="42" spans="1:32" x14ac:dyDescent="0.3">
      <c r="A42" s="235"/>
      <c r="D42" s="512"/>
      <c r="E42" s="512"/>
      <c r="F42" s="515"/>
      <c r="G42" s="515"/>
      <c r="H42" s="540"/>
      <c r="I42" s="512"/>
      <c r="J42" s="242"/>
      <c r="K42" s="242"/>
      <c r="L42" s="513"/>
      <c r="M42" s="252"/>
      <c r="N42" s="244" t="str">
        <f>AD41</f>
        <v>RWHSC</v>
      </c>
      <c r="O42" s="244"/>
      <c r="P42" s="252"/>
      <c r="Q42" s="252"/>
      <c r="R42" s="525">
        <f>IF(ISBLANK(I42),IF(MID(N42,2,2)="HA",VLOOKUP(I41,KEY_RSD_AF!$C$5:$G$52,2,FALSE),IF(MID(N42,2,2)="WA",VLOOKUP(I41,KEY_RSD_AF!$C$5:$G$52,3,FALSE),IF(MID(N42,2,2)="HH",VLOOKUP(I41,KEY_RSD_AF!$C$5:$G$52,4,FALSE),IF(MID(N42,2,2)="WH",VLOOKUP(I41,KEY_RSD_AF!$C$5:$G$52,5,FALSE))))),IF(MID(N42,2,2)="HA",VLOOKUP(I42,KEY_RSD_AF!$C$5:$G$52,2,FALSE),IF(MID(N42,2,2)="WA",VLOOKUP(I42,KEY_RSD_AF!$C$5:$G$52,3,FALSE),IF(MID(N42,2,2)="HH",VLOOKUP(I42,KEY_RSD_AF!$C$5:$G$52,4,FALSE),IF(MID(N42,2,2)="WH",VLOOKUP(I42,KEY_RSD_AF!$C$5:$G$52,5,FALSE))))))</f>
        <v>1</v>
      </c>
      <c r="S42" s="503">
        <f>T41</f>
        <v>0.97</v>
      </c>
      <c r="T42" s="256"/>
      <c r="U42" s="503"/>
      <c r="V42" s="252"/>
      <c r="W42" s="524"/>
      <c r="X42" s="256"/>
      <c r="Y42" s="252"/>
      <c r="Z42" s="252"/>
      <c r="AA42" s="257"/>
      <c r="AC42" s="235"/>
      <c r="AD42" s="244"/>
      <c r="AE42" s="256"/>
      <c r="AF42" s="256"/>
    </row>
    <row r="43" spans="1:32" x14ac:dyDescent="0.3">
      <c r="A43" s="235"/>
      <c r="C43" s="528" t="str">
        <f>'RSD (DEA)'!Z28</f>
        <v>B_GAS_01</v>
      </c>
      <c r="D43" s="512" t="str">
        <f>RSD_HeatingDemand!N43&amp;"_"&amp;C43</f>
        <v>RHHSC_B_GAS_01</v>
      </c>
      <c r="E43" s="512" t="str">
        <f>"R"&amp;LEFT('RSD (DEA)'!AD28,2)&amp;IF(ISNUMBER(IFERROR(FIND("HTH",'RSD (DEA)'!Z28),IFERROR(FIND("HP",'RSD (DEA)'!Z28),"C"))),IF(IFERROR(FIND("HTH",'RSD (DEA)'!Z28),100)=100,"B","A"),"C")</f>
        <v>RHSC</v>
      </c>
      <c r="F43" s="515"/>
      <c r="G43" s="515"/>
      <c r="H43" s="540" t="str">
        <f t="shared" si="0"/>
        <v>RHHSC_B_GAS_03</v>
      </c>
      <c r="I43" s="512" t="str">
        <f>'RSD (DEA)'!AA28</f>
        <v>Natural gas boiler</v>
      </c>
      <c r="J43" s="242" t="s">
        <v>239</v>
      </c>
      <c r="K43" s="242" t="s">
        <v>240</v>
      </c>
      <c r="L43" s="513" t="str">
        <f>'RSD (DEA)'!AH28</f>
        <v>RSDGAS</v>
      </c>
      <c r="M43" s="252"/>
      <c r="N43" s="244" t="str">
        <f>LEFT('RSD (DEA)'!AJ28,2)&amp;RIGHT(E43,3)</f>
        <v>RHHSC</v>
      </c>
      <c r="O43" s="252"/>
      <c r="P43" s="252">
        <f>IF('RSD (DEA)'!P28&lt;RSD_HeatingDemand!$AH$15,RSD_HeatingDemand!$AH$15,'RSD (DEA)'!P28)</f>
        <v>2019</v>
      </c>
      <c r="Q43" s="252">
        <f>IF('RSD (DEA)'!X28&lt;RSD_HeatingDemand!$AH$15,RSD_HeatingDemand!$AH$15,'RSD (DEA)'!X28)</f>
        <v>2030</v>
      </c>
      <c r="R43" s="525">
        <f>IF(ISBLANK(I43),IF(MID(N43,2,2)="HA",VLOOKUP(I42,KEY_RSD_AF!$C$5:$G$52,2,FALSE),IF(MID(N43,2,2)="WA",VLOOKUP(I42,KEY_RSD_AF!$C$5:$G$52,3,FALSE),IF(MID(N43,2,2)="HH",VLOOKUP(I42,KEY_RSD_AF!$C$5:$G$52,4,FALSE),IF(MID(N43,2,2)="WH",VLOOKUP(I42,KEY_RSD_AF!$C$5:$G$52,5,FALSE))))),IF(MID(N43,2,2)="HA",VLOOKUP(I43,KEY_RSD_AF!$C$5:$G$52,2,FALSE),IF(MID(N43,2,2)="WA",VLOOKUP(I43,KEY_RSD_AF!$C$5:$G$52,3,FALSE),IF(MID(N43,2,2)="HH",VLOOKUP(I43,KEY_RSD_AF!$C$5:$G$52,4,FALSE),IF(MID(N43,2,2)="WH",VLOOKUP(I43,KEY_RSD_AF!$C$5:$G$52,5,FALSE))))))</f>
        <v>1</v>
      </c>
      <c r="S43" s="256">
        <f>'RSD (DEA)'!AZ28</f>
        <v>0.98</v>
      </c>
      <c r="T43" s="256">
        <f>'RSD (DEA)'!BA28</f>
        <v>0.98</v>
      </c>
      <c r="U43" s="503">
        <v>0.5</v>
      </c>
      <c r="V43" s="252">
        <f>'RSD (DEA)'!BR28/'RSD (DEA)'!S28</f>
        <v>19.899999999999999</v>
      </c>
      <c r="W43" s="524">
        <f>'RSD (DEA)'!BS28/RSD_HeatingDemand!$AH$9</f>
        <v>0</v>
      </c>
      <c r="X43" s="256">
        <f>'RSD (DEA)'!BK28*RSD_HeatingDemand!$AH$10/'RSD (DEA)'!S28</f>
        <v>520</v>
      </c>
      <c r="Y43" s="252">
        <f>'RSD (DEA)'!BI28</f>
        <v>20</v>
      </c>
      <c r="Z43" s="252"/>
      <c r="AA43" s="257">
        <f>'RSD (DEA)'!AM28</f>
        <v>31.536000000000001</v>
      </c>
      <c r="AC43" s="235">
        <f>'RSD (DEA)'!S28</f>
        <v>10</v>
      </c>
      <c r="AD43" s="244" t="str">
        <f>LEFT('RSD (DEA)'!AK28,2)&amp;RIGHT(E43,3)</f>
        <v>RWHSC</v>
      </c>
      <c r="AE43" s="256">
        <f>'RSD (DEA)'!BA28</f>
        <v>0.98</v>
      </c>
      <c r="AF43" s="256"/>
    </row>
    <row r="44" spans="1:32" x14ac:dyDescent="0.3">
      <c r="A44" s="235"/>
      <c r="D44" s="512"/>
      <c r="E44" s="512"/>
      <c r="F44" s="515"/>
      <c r="G44" s="515"/>
      <c r="H44" s="540"/>
      <c r="I44" s="512"/>
      <c r="J44" s="242"/>
      <c r="K44" s="242"/>
      <c r="L44" s="513"/>
      <c r="M44" s="252"/>
      <c r="N44" s="244" t="str">
        <f>AD43</f>
        <v>RWHSC</v>
      </c>
      <c r="O44" s="244"/>
      <c r="P44" s="252"/>
      <c r="Q44" s="252"/>
      <c r="R44" s="525">
        <f>IF(ISBLANK(I44),IF(MID(N44,2,2)="HA",VLOOKUP(I43,KEY_RSD_AF!$C$5:$G$52,2,FALSE),IF(MID(N44,2,2)="WA",VLOOKUP(I43,KEY_RSD_AF!$C$5:$G$52,3,FALSE),IF(MID(N44,2,2)="HH",VLOOKUP(I43,KEY_RSD_AF!$C$5:$G$52,4,FALSE),IF(MID(N44,2,2)="WH",VLOOKUP(I43,KEY_RSD_AF!$C$5:$G$52,5,FALSE))))),IF(MID(N44,2,2)="HA",VLOOKUP(I44,KEY_RSD_AF!$C$5:$G$52,2,FALSE),IF(MID(N44,2,2)="WA",VLOOKUP(I44,KEY_RSD_AF!$C$5:$G$52,3,FALSE),IF(MID(N44,2,2)="HH",VLOOKUP(I44,KEY_RSD_AF!$C$5:$G$52,4,FALSE),IF(MID(N44,2,2)="WH",VLOOKUP(I44,KEY_RSD_AF!$C$5:$G$52,5,FALSE))))))</f>
        <v>1</v>
      </c>
      <c r="S44" s="503">
        <f>T43</f>
        <v>0.98</v>
      </c>
      <c r="T44" s="256"/>
      <c r="U44" s="503"/>
      <c r="V44" s="252"/>
      <c r="W44" s="524"/>
      <c r="X44" s="256"/>
      <c r="Y44" s="252"/>
      <c r="Z44" s="252"/>
      <c r="AA44" s="257"/>
      <c r="AC44" s="235"/>
      <c r="AD44" s="244"/>
      <c r="AE44" s="256"/>
      <c r="AF44" s="256"/>
    </row>
    <row r="45" spans="1:32" x14ac:dyDescent="0.3">
      <c r="A45" s="235"/>
      <c r="C45" s="528" t="str">
        <f>'RSD (DEA)'!Z29</f>
        <v>B_GAS_01</v>
      </c>
      <c r="D45" s="512" t="str">
        <f>RSD_HeatingDemand!N45&amp;"_"&amp;C45</f>
        <v>RHHSC_B_GAS_01</v>
      </c>
      <c r="E45" s="512" t="str">
        <f>"R"&amp;LEFT('RSD (DEA)'!AD29,2)&amp;IF(ISNUMBER(IFERROR(FIND("HTH",'RSD (DEA)'!Z29),IFERROR(FIND("HP",'RSD (DEA)'!Z29),"C"))),IF(IFERROR(FIND("HTH",'RSD (DEA)'!Z29),100)=100,"B","A"),"C")</f>
        <v>RHSC</v>
      </c>
      <c r="F45" s="515"/>
      <c r="G45" s="515"/>
      <c r="H45" s="540" t="str">
        <f t="shared" si="0"/>
        <v>RHHSC_B_GAS_04</v>
      </c>
      <c r="I45" s="512" t="str">
        <f>'RSD (DEA)'!AA29</f>
        <v>Natural gas boiler</v>
      </c>
      <c r="J45" s="242" t="s">
        <v>239</v>
      </c>
      <c r="K45" s="242" t="s">
        <v>240</v>
      </c>
      <c r="L45" s="513" t="str">
        <f>'RSD (DEA)'!AH29</f>
        <v>RSDGAS</v>
      </c>
      <c r="M45" s="252"/>
      <c r="N45" s="244" t="str">
        <f>LEFT('RSD (DEA)'!AJ29,2)&amp;RIGHT(E45,3)</f>
        <v>RHHSC</v>
      </c>
      <c r="O45" s="252"/>
      <c r="P45" s="252">
        <f>IF('RSD (DEA)'!P29&lt;RSD_HeatingDemand!$AH$15,RSD_HeatingDemand!$AH$15,'RSD (DEA)'!P29)</f>
        <v>2019</v>
      </c>
      <c r="Q45" s="252">
        <f>IF('RSD (DEA)'!X29&lt;RSD_HeatingDemand!$AH$15,RSD_HeatingDemand!$AH$15,'RSD (DEA)'!X29)</f>
        <v>2050</v>
      </c>
      <c r="R45" s="525">
        <f>IF(ISBLANK(I45),IF(MID(N45,2,2)="HA",VLOOKUP(I44,KEY_RSD_AF!$C$5:$G$52,2,FALSE),IF(MID(N45,2,2)="WA",VLOOKUP(I44,KEY_RSD_AF!$C$5:$G$52,3,FALSE),IF(MID(N45,2,2)="HH",VLOOKUP(I44,KEY_RSD_AF!$C$5:$G$52,4,FALSE),IF(MID(N45,2,2)="WH",VLOOKUP(I44,KEY_RSD_AF!$C$5:$G$52,5,FALSE))))),IF(MID(N45,2,2)="HA",VLOOKUP(I45,KEY_RSD_AF!$C$5:$G$52,2,FALSE),IF(MID(N45,2,2)="WA",VLOOKUP(I45,KEY_RSD_AF!$C$5:$G$52,3,FALSE),IF(MID(N45,2,2)="HH",VLOOKUP(I45,KEY_RSD_AF!$C$5:$G$52,4,FALSE),IF(MID(N45,2,2)="WH",VLOOKUP(I45,KEY_RSD_AF!$C$5:$G$52,5,FALSE))))))</f>
        <v>1</v>
      </c>
      <c r="S45" s="256">
        <f>'RSD (DEA)'!AZ29</f>
        <v>0.99</v>
      </c>
      <c r="T45" s="256">
        <f>'RSD (DEA)'!BA29</f>
        <v>0.99</v>
      </c>
      <c r="U45" s="503">
        <v>0.5</v>
      </c>
      <c r="V45" s="252">
        <f>'RSD (DEA)'!BR29/'RSD (DEA)'!S29</f>
        <v>18.100000000000001</v>
      </c>
      <c r="W45" s="524">
        <f>'RSD (DEA)'!BS29/RSD_HeatingDemand!$AH$9</f>
        <v>0</v>
      </c>
      <c r="X45" s="256">
        <f>'RSD (DEA)'!BK29*RSD_HeatingDemand!$AH$10/'RSD (DEA)'!S29</f>
        <v>520</v>
      </c>
      <c r="Y45" s="252">
        <f>'RSD (DEA)'!BI29</f>
        <v>20</v>
      </c>
      <c r="Z45" s="252"/>
      <c r="AA45" s="257">
        <f>'RSD (DEA)'!AM29</f>
        <v>31.536000000000001</v>
      </c>
      <c r="AC45" s="235">
        <f>'RSD (DEA)'!S29</f>
        <v>10</v>
      </c>
      <c r="AD45" s="244" t="str">
        <f>LEFT('RSD (DEA)'!AK29,2)&amp;RIGHT(E45,3)</f>
        <v>RWHSC</v>
      </c>
      <c r="AE45" s="256">
        <f>'RSD (DEA)'!BA29</f>
        <v>0.99</v>
      </c>
      <c r="AF45" s="256"/>
    </row>
    <row r="46" spans="1:32" x14ac:dyDescent="0.3">
      <c r="A46" s="235"/>
      <c r="D46" s="512"/>
      <c r="E46" s="512"/>
      <c r="F46" s="515"/>
      <c r="G46" s="515"/>
      <c r="H46" s="540"/>
      <c r="I46" s="512"/>
      <c r="J46" s="242"/>
      <c r="K46" s="242"/>
      <c r="L46" s="513"/>
      <c r="M46" s="252"/>
      <c r="N46" s="244" t="str">
        <f>AD45</f>
        <v>RWHSC</v>
      </c>
      <c r="O46" s="244"/>
      <c r="P46" s="252"/>
      <c r="Q46" s="252"/>
      <c r="R46" s="525">
        <f>IF(ISBLANK(I46),IF(MID(N46,2,2)="HA",VLOOKUP(I45,KEY_RSD_AF!$C$5:$G$52,2,FALSE),IF(MID(N46,2,2)="WA",VLOOKUP(I45,KEY_RSD_AF!$C$5:$G$52,3,FALSE),IF(MID(N46,2,2)="HH",VLOOKUP(I45,KEY_RSD_AF!$C$5:$G$52,4,FALSE),IF(MID(N46,2,2)="WH",VLOOKUP(I45,KEY_RSD_AF!$C$5:$G$52,5,FALSE))))),IF(MID(N46,2,2)="HA",VLOOKUP(I46,KEY_RSD_AF!$C$5:$G$52,2,FALSE),IF(MID(N46,2,2)="WA",VLOOKUP(I46,KEY_RSD_AF!$C$5:$G$52,3,FALSE),IF(MID(N46,2,2)="HH",VLOOKUP(I46,KEY_RSD_AF!$C$5:$G$52,4,FALSE),IF(MID(N46,2,2)="WH",VLOOKUP(I46,KEY_RSD_AF!$C$5:$G$52,5,FALSE))))))</f>
        <v>1</v>
      </c>
      <c r="S46" s="503">
        <f>T45</f>
        <v>0.99</v>
      </c>
      <c r="T46" s="256"/>
      <c r="U46" s="503"/>
      <c r="V46" s="252"/>
      <c r="W46" s="524"/>
      <c r="X46" s="256"/>
      <c r="Y46" s="252"/>
      <c r="Z46" s="252"/>
      <c r="AA46" s="257"/>
      <c r="AC46" s="235"/>
      <c r="AD46" s="244"/>
      <c r="AE46" s="256"/>
      <c r="AF46" s="256"/>
    </row>
    <row r="47" spans="1:32" x14ac:dyDescent="0.3">
      <c r="A47" s="235"/>
      <c r="C47" s="528" t="str">
        <f>'RSD (DEA)'!Z30</f>
        <v>B_GAS_02</v>
      </c>
      <c r="D47" s="512" t="str">
        <f>RSD_HeatingDemand!N47&amp;"_"&amp;C47</f>
        <v>RHHSC_B_GAS_02</v>
      </c>
      <c r="E47" s="512" t="str">
        <f>"R"&amp;LEFT('RSD (DEA)'!AD30,2)&amp;IF(ISNUMBER(IFERROR(FIND("HTH",'RSD (DEA)'!Z30),IFERROR(FIND("HP",'RSD (DEA)'!Z30),"C"))),IF(IFERROR(FIND("HTH",'RSD (DEA)'!Z30),100)=100,"B","A"),"C")</f>
        <v>RHSC</v>
      </c>
      <c r="F47" s="515"/>
      <c r="G47" s="515"/>
      <c r="H47" s="540" t="str">
        <f t="shared" si="0"/>
        <v>RHHSC_B_GAS_05</v>
      </c>
      <c r="I47" s="512" t="str">
        <f>'RSD (DEA)'!AA30</f>
        <v>Natural gas boiler</v>
      </c>
      <c r="J47" s="242" t="s">
        <v>239</v>
      </c>
      <c r="K47" s="242" t="s">
        <v>240</v>
      </c>
      <c r="L47" s="513" t="str">
        <f>'RSD (DEA)'!AH30</f>
        <v>RSDGAS</v>
      </c>
      <c r="M47" s="252"/>
      <c r="N47" s="244" t="str">
        <f>LEFT('RSD (DEA)'!AJ30,2)&amp;RIGHT(E47,3)</f>
        <v>RHHSC</v>
      </c>
      <c r="O47" s="252"/>
      <c r="P47" s="252">
        <f>IF('RSD (DEA)'!P30&lt;RSD_HeatingDemand!$AH$15,RSD_HeatingDemand!$AH$15,'RSD (DEA)'!P30)</f>
        <v>2019</v>
      </c>
      <c r="Q47" s="252">
        <f>IF('RSD (DEA)'!X30&lt;RSD_HeatingDemand!$AH$15,RSD_HeatingDemand!$AH$15,'RSD (DEA)'!X30)</f>
        <v>2019</v>
      </c>
      <c r="R47" s="525">
        <f>IF(ISBLANK(I47),IF(MID(N47,2,2)="HA",VLOOKUP(I46,KEY_RSD_AF!$C$5:$G$52,2,FALSE),IF(MID(N47,2,2)="WA",VLOOKUP(I46,KEY_RSD_AF!$C$5:$G$52,3,FALSE),IF(MID(N47,2,2)="HH",VLOOKUP(I46,KEY_RSD_AF!$C$5:$G$52,4,FALSE),IF(MID(N47,2,2)="WH",VLOOKUP(I46,KEY_RSD_AF!$C$5:$G$52,5,FALSE))))),IF(MID(N47,2,2)="HA",VLOOKUP(I47,KEY_RSD_AF!$C$5:$G$52,2,FALSE),IF(MID(N47,2,2)="WA",VLOOKUP(I47,KEY_RSD_AF!$C$5:$G$52,3,FALSE),IF(MID(N47,2,2)="HH",VLOOKUP(I47,KEY_RSD_AF!$C$5:$G$52,4,FALSE),IF(MID(N47,2,2)="WH",VLOOKUP(I47,KEY_RSD_AF!$C$5:$G$52,5,FALSE))))))</f>
        <v>1</v>
      </c>
      <c r="S47" s="256">
        <f>'RSD (DEA)'!AZ30</f>
        <v>0.95</v>
      </c>
      <c r="T47" s="256">
        <f>'RSD (DEA)'!BA30</f>
        <v>0.95</v>
      </c>
      <c r="U47" s="503">
        <v>0.5</v>
      </c>
      <c r="V47" s="252">
        <f>'RSD (DEA)'!BR30/'RSD (DEA)'!S30</f>
        <v>20.945</v>
      </c>
      <c r="W47" s="524">
        <f>'RSD (DEA)'!BS30/RSD_HeatingDemand!$AH$9</f>
        <v>0</v>
      </c>
      <c r="X47" s="256">
        <f>'RSD (DEA)'!BK30*RSD_HeatingDemand!$AH$10/'RSD (DEA)'!S30</f>
        <v>520</v>
      </c>
      <c r="Y47" s="252">
        <f>'RSD (DEA)'!BI30</f>
        <v>20</v>
      </c>
      <c r="Z47" s="252"/>
      <c r="AA47" s="257">
        <f>'RSD (DEA)'!AM30</f>
        <v>31.536000000000001</v>
      </c>
      <c r="AC47" s="235">
        <f>'RSD (DEA)'!S30</f>
        <v>10</v>
      </c>
      <c r="AD47" s="244" t="str">
        <f>LEFT('RSD (DEA)'!AK30,2)&amp;RIGHT(E47,3)</f>
        <v>RWHSC</v>
      </c>
      <c r="AE47" s="256">
        <f>'RSD (DEA)'!BA30</f>
        <v>0.95</v>
      </c>
      <c r="AF47" s="256"/>
    </row>
    <row r="48" spans="1:32" x14ac:dyDescent="0.3">
      <c r="A48" s="235"/>
      <c r="D48" s="512"/>
      <c r="E48" s="512"/>
      <c r="F48" s="515"/>
      <c r="G48" s="515"/>
      <c r="H48" s="540"/>
      <c r="I48" s="512"/>
      <c r="J48" s="242"/>
      <c r="K48" s="242"/>
      <c r="L48" s="513"/>
      <c r="M48" s="252"/>
      <c r="N48" s="244" t="str">
        <f>AD47</f>
        <v>RWHSC</v>
      </c>
      <c r="O48" s="244"/>
      <c r="P48" s="252"/>
      <c r="Q48" s="252"/>
      <c r="R48" s="525">
        <f>IF(ISBLANK(I48),IF(MID(N48,2,2)="HA",VLOOKUP(I47,KEY_RSD_AF!$C$5:$G$52,2,FALSE),IF(MID(N48,2,2)="WA",VLOOKUP(I47,KEY_RSD_AF!$C$5:$G$52,3,FALSE),IF(MID(N48,2,2)="HH",VLOOKUP(I47,KEY_RSD_AF!$C$5:$G$52,4,FALSE),IF(MID(N48,2,2)="WH",VLOOKUP(I47,KEY_RSD_AF!$C$5:$G$52,5,FALSE))))),IF(MID(N48,2,2)="HA",VLOOKUP(I48,KEY_RSD_AF!$C$5:$G$52,2,FALSE),IF(MID(N48,2,2)="WA",VLOOKUP(I48,KEY_RSD_AF!$C$5:$G$52,3,FALSE),IF(MID(N48,2,2)="HH",VLOOKUP(I48,KEY_RSD_AF!$C$5:$G$52,4,FALSE),IF(MID(N48,2,2)="WH",VLOOKUP(I48,KEY_RSD_AF!$C$5:$G$52,5,FALSE))))))</f>
        <v>1</v>
      </c>
      <c r="S48" s="503">
        <f>T47</f>
        <v>0.95</v>
      </c>
      <c r="T48" s="256"/>
      <c r="U48" s="503"/>
      <c r="V48" s="252"/>
      <c r="W48" s="524"/>
      <c r="X48" s="256"/>
      <c r="Y48" s="252"/>
      <c r="Z48" s="252"/>
      <c r="AA48" s="257"/>
      <c r="AC48" s="235"/>
      <c r="AD48" s="244"/>
      <c r="AE48" s="256"/>
      <c r="AF48" s="256"/>
    </row>
    <row r="49" spans="1:32" x14ac:dyDescent="0.3">
      <c r="A49" s="235"/>
      <c r="C49" s="528" t="str">
        <f>'RSD (DEA)'!Z31</f>
        <v>B_GAS_02</v>
      </c>
      <c r="D49" s="512" t="str">
        <f>RSD_HeatingDemand!N49&amp;"_"&amp;C49</f>
        <v>RHHSC_B_GAS_02</v>
      </c>
      <c r="E49" s="512" t="str">
        <f>"R"&amp;LEFT('RSD (DEA)'!AD31,2)&amp;IF(ISNUMBER(IFERROR(FIND("HTH",'RSD (DEA)'!Z31),IFERROR(FIND("HP",'RSD (DEA)'!Z31),"C"))),IF(IFERROR(FIND("HTH",'RSD (DEA)'!Z31),100)=100,"B","A"),"C")</f>
        <v>RHSC</v>
      </c>
      <c r="F49" s="515"/>
      <c r="G49" s="515"/>
      <c r="H49" s="540" t="str">
        <f t="shared" si="0"/>
        <v>RHHSC_B_GAS_06</v>
      </c>
      <c r="I49" s="512" t="str">
        <f>'RSD (DEA)'!AA31</f>
        <v>Natural gas boiler</v>
      </c>
      <c r="J49" s="242" t="s">
        <v>239</v>
      </c>
      <c r="K49" s="242" t="s">
        <v>240</v>
      </c>
      <c r="L49" s="513" t="str">
        <f>'RSD (DEA)'!AH31</f>
        <v>RSDGAS</v>
      </c>
      <c r="M49" s="252"/>
      <c r="N49" s="244" t="str">
        <f>LEFT('RSD (DEA)'!AJ31,2)&amp;RIGHT(E49,3)</f>
        <v>RHHSC</v>
      </c>
      <c r="O49" s="252"/>
      <c r="P49" s="252">
        <f>IF('RSD (DEA)'!P31&lt;RSD_HeatingDemand!$AH$15,RSD_HeatingDemand!$AH$15,'RSD (DEA)'!P31)</f>
        <v>2019</v>
      </c>
      <c r="Q49" s="252">
        <f>IF('RSD (DEA)'!X31&lt;RSD_HeatingDemand!$AH$15,RSD_HeatingDemand!$AH$15,'RSD (DEA)'!X31)</f>
        <v>2020</v>
      </c>
      <c r="R49" s="525">
        <f>IF(ISBLANK(I49),IF(MID(N49,2,2)="HA",VLOOKUP(I48,KEY_RSD_AF!$C$5:$G$52,2,FALSE),IF(MID(N49,2,2)="WA",VLOOKUP(I48,KEY_RSD_AF!$C$5:$G$52,3,FALSE),IF(MID(N49,2,2)="HH",VLOOKUP(I48,KEY_RSD_AF!$C$5:$G$52,4,FALSE),IF(MID(N49,2,2)="WH",VLOOKUP(I48,KEY_RSD_AF!$C$5:$G$52,5,FALSE))))),IF(MID(N49,2,2)="HA",VLOOKUP(I49,KEY_RSD_AF!$C$5:$G$52,2,FALSE),IF(MID(N49,2,2)="WA",VLOOKUP(I49,KEY_RSD_AF!$C$5:$G$52,3,FALSE),IF(MID(N49,2,2)="HH",VLOOKUP(I49,KEY_RSD_AF!$C$5:$G$52,4,FALSE),IF(MID(N49,2,2)="WH",VLOOKUP(I49,KEY_RSD_AF!$C$5:$G$52,5,FALSE))))))</f>
        <v>1</v>
      </c>
      <c r="S49" s="256">
        <f>'RSD (DEA)'!AZ31</f>
        <v>0.95</v>
      </c>
      <c r="T49" s="256">
        <f>'RSD (DEA)'!BA31</f>
        <v>0.95</v>
      </c>
      <c r="U49" s="503">
        <v>0.5</v>
      </c>
      <c r="V49" s="252">
        <f>'RSD (DEA)'!BR31/'RSD (DEA)'!S31</f>
        <v>20.5</v>
      </c>
      <c r="W49" s="524">
        <f>'RSD (DEA)'!BS31/RSD_HeatingDemand!$AH$9</f>
        <v>0</v>
      </c>
      <c r="X49" s="256">
        <f>'RSD (DEA)'!BK31*RSD_HeatingDemand!$AH$10/'RSD (DEA)'!S31</f>
        <v>520</v>
      </c>
      <c r="Y49" s="252">
        <f>'RSD (DEA)'!BI31</f>
        <v>20</v>
      </c>
      <c r="Z49" s="252"/>
      <c r="AA49" s="257">
        <f>'RSD (DEA)'!AM31</f>
        <v>31.536000000000001</v>
      </c>
      <c r="AC49" s="235">
        <f>'RSD (DEA)'!S31</f>
        <v>10</v>
      </c>
      <c r="AD49" s="244" t="str">
        <f>LEFT('RSD (DEA)'!AK31,2)&amp;RIGHT(E49,3)</f>
        <v>RWHSC</v>
      </c>
      <c r="AE49" s="256">
        <f>'RSD (DEA)'!BA31</f>
        <v>0.95</v>
      </c>
      <c r="AF49" s="256"/>
    </row>
    <row r="50" spans="1:32" x14ac:dyDescent="0.3">
      <c r="A50" s="235"/>
      <c r="D50" s="512"/>
      <c r="E50" s="512"/>
      <c r="F50" s="515"/>
      <c r="G50" s="515"/>
      <c r="H50" s="540"/>
      <c r="I50" s="512"/>
      <c r="J50" s="242"/>
      <c r="K50" s="242"/>
      <c r="L50" s="513"/>
      <c r="M50" s="252"/>
      <c r="N50" s="244" t="str">
        <f>AD49</f>
        <v>RWHSC</v>
      </c>
      <c r="O50" s="244"/>
      <c r="P50" s="252"/>
      <c r="Q50" s="252"/>
      <c r="R50" s="525">
        <f>IF(ISBLANK(I50),IF(MID(N50,2,2)="HA",VLOOKUP(I49,KEY_RSD_AF!$C$5:$G$52,2,FALSE),IF(MID(N50,2,2)="WA",VLOOKUP(I49,KEY_RSD_AF!$C$5:$G$52,3,FALSE),IF(MID(N50,2,2)="HH",VLOOKUP(I49,KEY_RSD_AF!$C$5:$G$52,4,FALSE),IF(MID(N50,2,2)="WH",VLOOKUP(I49,KEY_RSD_AF!$C$5:$G$52,5,FALSE))))),IF(MID(N50,2,2)="HA",VLOOKUP(I50,KEY_RSD_AF!$C$5:$G$52,2,FALSE),IF(MID(N50,2,2)="WA",VLOOKUP(I50,KEY_RSD_AF!$C$5:$G$52,3,FALSE),IF(MID(N50,2,2)="HH",VLOOKUP(I50,KEY_RSD_AF!$C$5:$G$52,4,FALSE),IF(MID(N50,2,2)="WH",VLOOKUP(I50,KEY_RSD_AF!$C$5:$G$52,5,FALSE))))))</f>
        <v>1</v>
      </c>
      <c r="S50" s="503">
        <f>T49</f>
        <v>0.95</v>
      </c>
      <c r="T50" s="256"/>
      <c r="U50" s="503"/>
      <c r="V50" s="252"/>
      <c r="W50" s="524"/>
      <c r="X50" s="256"/>
      <c r="Y50" s="252"/>
      <c r="Z50" s="252"/>
      <c r="AA50" s="257"/>
      <c r="AC50" s="235"/>
      <c r="AD50" s="244"/>
      <c r="AE50" s="256"/>
      <c r="AF50" s="256"/>
    </row>
    <row r="51" spans="1:32" x14ac:dyDescent="0.3">
      <c r="A51" s="235"/>
      <c r="C51" s="528" t="str">
        <f>'RSD (DEA)'!Z32</f>
        <v>B_GAS_02</v>
      </c>
      <c r="D51" s="512" t="str">
        <f>RSD_HeatingDemand!N51&amp;"_"&amp;C51</f>
        <v>RHHSC_B_GAS_02</v>
      </c>
      <c r="E51" s="512" t="str">
        <f>"R"&amp;LEFT('RSD (DEA)'!AD32,2)&amp;IF(ISNUMBER(IFERROR(FIND("HTH",'RSD (DEA)'!Z32),IFERROR(FIND("HP",'RSD (DEA)'!Z32),"C"))),IF(IFERROR(FIND("HTH",'RSD (DEA)'!Z32),100)=100,"B","A"),"C")</f>
        <v>RHSC</v>
      </c>
      <c r="F51" s="515"/>
      <c r="G51" s="515"/>
      <c r="H51" s="540" t="str">
        <f t="shared" si="0"/>
        <v>RHHSC_B_GAS_07</v>
      </c>
      <c r="I51" s="512" t="str">
        <f>'RSD (DEA)'!AA32</f>
        <v>Natural gas boiler</v>
      </c>
      <c r="J51" s="242" t="s">
        <v>239</v>
      </c>
      <c r="K51" s="242" t="s">
        <v>240</v>
      </c>
      <c r="L51" s="513" t="str">
        <f>'RSD (DEA)'!AH32</f>
        <v>RSDGAS</v>
      </c>
      <c r="M51" s="252"/>
      <c r="N51" s="244" t="str">
        <f>LEFT('RSD (DEA)'!AJ32,2)&amp;RIGHT(E51,3)</f>
        <v>RHHSC</v>
      </c>
      <c r="O51" s="252"/>
      <c r="P51" s="252">
        <f>IF('RSD (DEA)'!P32&lt;RSD_HeatingDemand!$AH$15,RSD_HeatingDemand!$AH$15,'RSD (DEA)'!P32)</f>
        <v>2019</v>
      </c>
      <c r="Q51" s="252">
        <f>IF('RSD (DEA)'!X32&lt;RSD_HeatingDemand!$AH$15,RSD_HeatingDemand!$AH$15,'RSD (DEA)'!X32)</f>
        <v>2030</v>
      </c>
      <c r="R51" s="525">
        <f>IF(ISBLANK(I51),IF(MID(N51,2,2)="HA",VLOOKUP(I50,KEY_RSD_AF!$C$5:$G$52,2,FALSE),IF(MID(N51,2,2)="WA",VLOOKUP(I50,KEY_RSD_AF!$C$5:$G$52,3,FALSE),IF(MID(N51,2,2)="HH",VLOOKUP(I50,KEY_RSD_AF!$C$5:$G$52,4,FALSE),IF(MID(N51,2,2)="WH",VLOOKUP(I50,KEY_RSD_AF!$C$5:$G$52,5,FALSE))))),IF(MID(N51,2,2)="HA",VLOOKUP(I51,KEY_RSD_AF!$C$5:$G$52,2,FALSE),IF(MID(N51,2,2)="WA",VLOOKUP(I51,KEY_RSD_AF!$C$5:$G$52,3,FALSE),IF(MID(N51,2,2)="HH",VLOOKUP(I51,KEY_RSD_AF!$C$5:$G$52,4,FALSE),IF(MID(N51,2,2)="WH",VLOOKUP(I51,KEY_RSD_AF!$C$5:$G$52,5,FALSE))))))</f>
        <v>1</v>
      </c>
      <c r="S51" s="256">
        <f>'RSD (DEA)'!AZ32</f>
        <v>0.96</v>
      </c>
      <c r="T51" s="256">
        <f>'RSD (DEA)'!BA32</f>
        <v>0.96</v>
      </c>
      <c r="U51" s="503">
        <v>0.5</v>
      </c>
      <c r="V51" s="252">
        <f>'RSD (DEA)'!BR32/'RSD (DEA)'!S32</f>
        <v>19.899999999999999</v>
      </c>
      <c r="W51" s="524">
        <f>'RSD (DEA)'!BS32/RSD_HeatingDemand!$AH$9</f>
        <v>0</v>
      </c>
      <c r="X51" s="256">
        <f>'RSD (DEA)'!BK32*RSD_HeatingDemand!$AH$10/'RSD (DEA)'!S32</f>
        <v>520</v>
      </c>
      <c r="Y51" s="252">
        <f>'RSD (DEA)'!BI32</f>
        <v>20</v>
      </c>
      <c r="Z51" s="252"/>
      <c r="AA51" s="257">
        <f>'RSD (DEA)'!AM32</f>
        <v>31.536000000000001</v>
      </c>
      <c r="AC51" s="235">
        <f>'RSD (DEA)'!S32</f>
        <v>10</v>
      </c>
      <c r="AD51" s="244" t="str">
        <f>LEFT('RSD (DEA)'!AK32,2)&amp;RIGHT(E51,3)</f>
        <v>RWHSC</v>
      </c>
      <c r="AE51" s="256">
        <f>'RSD (DEA)'!BA32</f>
        <v>0.96</v>
      </c>
      <c r="AF51" s="256"/>
    </row>
    <row r="52" spans="1:32" x14ac:dyDescent="0.3">
      <c r="A52" s="235"/>
      <c r="D52" s="512"/>
      <c r="E52" s="512"/>
      <c r="F52" s="515"/>
      <c r="G52" s="515"/>
      <c r="H52" s="540"/>
      <c r="I52" s="512"/>
      <c r="J52" s="242"/>
      <c r="K52" s="242"/>
      <c r="L52" s="513"/>
      <c r="M52" s="252"/>
      <c r="N52" s="244" t="str">
        <f>AD51</f>
        <v>RWHSC</v>
      </c>
      <c r="O52" s="244"/>
      <c r="P52" s="252"/>
      <c r="Q52" s="252"/>
      <c r="R52" s="525">
        <f>IF(ISBLANK(I52),IF(MID(N52,2,2)="HA",VLOOKUP(I51,KEY_RSD_AF!$C$5:$G$52,2,FALSE),IF(MID(N52,2,2)="WA",VLOOKUP(I51,KEY_RSD_AF!$C$5:$G$52,3,FALSE),IF(MID(N52,2,2)="HH",VLOOKUP(I51,KEY_RSD_AF!$C$5:$G$52,4,FALSE),IF(MID(N52,2,2)="WH",VLOOKUP(I51,KEY_RSD_AF!$C$5:$G$52,5,FALSE))))),IF(MID(N52,2,2)="HA",VLOOKUP(I52,KEY_RSD_AF!$C$5:$G$52,2,FALSE),IF(MID(N52,2,2)="WA",VLOOKUP(I52,KEY_RSD_AF!$C$5:$G$52,3,FALSE),IF(MID(N52,2,2)="HH",VLOOKUP(I52,KEY_RSD_AF!$C$5:$G$52,4,FALSE),IF(MID(N52,2,2)="WH",VLOOKUP(I52,KEY_RSD_AF!$C$5:$G$52,5,FALSE))))))</f>
        <v>1</v>
      </c>
      <c r="S52" s="503">
        <f>T51</f>
        <v>0.96</v>
      </c>
      <c r="T52" s="256"/>
      <c r="U52" s="503"/>
      <c r="V52" s="252"/>
      <c r="W52" s="524"/>
      <c r="X52" s="256"/>
      <c r="Y52" s="252"/>
      <c r="Z52" s="252"/>
      <c r="AA52" s="257"/>
      <c r="AC52" s="235"/>
      <c r="AD52" s="244"/>
      <c r="AE52" s="256"/>
      <c r="AF52" s="256"/>
    </row>
    <row r="53" spans="1:32" x14ac:dyDescent="0.3">
      <c r="A53" s="235"/>
      <c r="C53" s="528" t="str">
        <f>'RSD (DEA)'!Z33</f>
        <v>B_GAS_02</v>
      </c>
      <c r="D53" s="512" t="str">
        <f>RSD_HeatingDemand!N53&amp;"_"&amp;C53</f>
        <v>RHHSC_B_GAS_02</v>
      </c>
      <c r="E53" s="512" t="str">
        <f>"R"&amp;LEFT('RSD (DEA)'!AD33,2)&amp;IF(ISNUMBER(IFERROR(FIND("HTH",'RSD (DEA)'!Z33),IFERROR(FIND("HP",'RSD (DEA)'!Z33),"C"))),IF(IFERROR(FIND("HTH",'RSD (DEA)'!Z33),100)=100,"B","A"),"C")</f>
        <v>RHSC</v>
      </c>
      <c r="F53" s="515"/>
      <c r="G53" s="515"/>
      <c r="H53" s="540" t="str">
        <f t="shared" si="0"/>
        <v>RHHSC_B_GAS_08</v>
      </c>
      <c r="I53" s="512" t="str">
        <f>'RSD (DEA)'!AA33</f>
        <v>Natural gas boiler</v>
      </c>
      <c r="J53" s="242" t="s">
        <v>239</v>
      </c>
      <c r="K53" s="242" t="s">
        <v>240</v>
      </c>
      <c r="L53" s="513" t="str">
        <f>'RSD (DEA)'!AH33</f>
        <v>RSDGAS</v>
      </c>
      <c r="M53" s="252"/>
      <c r="N53" s="244" t="str">
        <f>LEFT('RSD (DEA)'!AJ33,2)&amp;RIGHT(E53,3)</f>
        <v>RHHSC</v>
      </c>
      <c r="O53" s="252"/>
      <c r="P53" s="252">
        <f>IF('RSD (DEA)'!P33&lt;RSD_HeatingDemand!$AH$15,RSD_HeatingDemand!$AH$15,'RSD (DEA)'!P33)</f>
        <v>2019</v>
      </c>
      <c r="Q53" s="252">
        <f>IF('RSD (DEA)'!X33&lt;RSD_HeatingDemand!$AH$15,RSD_HeatingDemand!$AH$15,'RSD (DEA)'!X33)</f>
        <v>2050</v>
      </c>
      <c r="R53" s="525">
        <f>IF(ISBLANK(I53),IF(MID(N53,2,2)="HA",VLOOKUP(I52,KEY_RSD_AF!$C$5:$G$52,2,FALSE),IF(MID(N53,2,2)="WA",VLOOKUP(I52,KEY_RSD_AF!$C$5:$G$52,3,FALSE),IF(MID(N53,2,2)="HH",VLOOKUP(I52,KEY_RSD_AF!$C$5:$G$52,4,FALSE),IF(MID(N53,2,2)="WH",VLOOKUP(I52,KEY_RSD_AF!$C$5:$G$52,5,FALSE))))),IF(MID(N53,2,2)="HA",VLOOKUP(I53,KEY_RSD_AF!$C$5:$G$52,2,FALSE),IF(MID(N53,2,2)="WA",VLOOKUP(I53,KEY_RSD_AF!$C$5:$G$52,3,FALSE),IF(MID(N53,2,2)="HH",VLOOKUP(I53,KEY_RSD_AF!$C$5:$G$52,4,FALSE),IF(MID(N53,2,2)="WH",VLOOKUP(I53,KEY_RSD_AF!$C$5:$G$52,5,FALSE))))))</f>
        <v>1</v>
      </c>
      <c r="S53" s="256">
        <f>'RSD (DEA)'!AZ33</f>
        <v>0.97</v>
      </c>
      <c r="T53" s="256">
        <f>'RSD (DEA)'!BA33</f>
        <v>0.97</v>
      </c>
      <c r="U53" s="503">
        <v>0.5</v>
      </c>
      <c r="V53" s="252">
        <f>'RSD (DEA)'!BR33/'RSD (DEA)'!S33</f>
        <v>18.100000000000001</v>
      </c>
      <c r="W53" s="524">
        <f>'RSD (DEA)'!BS33/RSD_HeatingDemand!$AH$9</f>
        <v>0</v>
      </c>
      <c r="X53" s="256">
        <f>'RSD (DEA)'!BK33*RSD_HeatingDemand!$AH$10/'RSD (DEA)'!S33</f>
        <v>520</v>
      </c>
      <c r="Y53" s="252">
        <f>'RSD (DEA)'!BI33</f>
        <v>20</v>
      </c>
      <c r="Z53" s="252"/>
      <c r="AA53" s="257">
        <f>'RSD (DEA)'!AM33</f>
        <v>31.536000000000001</v>
      </c>
      <c r="AC53" s="235">
        <f>'RSD (DEA)'!S33</f>
        <v>10</v>
      </c>
      <c r="AD53" s="244" t="str">
        <f>LEFT('RSD (DEA)'!AK33,2)&amp;RIGHT(E53,3)</f>
        <v>RWHSC</v>
      </c>
      <c r="AE53" s="256">
        <f>'RSD (DEA)'!BA33</f>
        <v>0.97</v>
      </c>
      <c r="AF53" s="256"/>
    </row>
    <row r="54" spans="1:32" x14ac:dyDescent="0.3">
      <c r="A54" s="235"/>
      <c r="D54" s="512"/>
      <c r="E54" s="512"/>
      <c r="F54" s="515"/>
      <c r="G54" s="515"/>
      <c r="H54" s="540"/>
      <c r="I54" s="512"/>
      <c r="J54" s="242"/>
      <c r="K54" s="242"/>
      <c r="L54" s="513"/>
      <c r="M54" s="252"/>
      <c r="N54" s="244" t="str">
        <f>AD53</f>
        <v>RWHSC</v>
      </c>
      <c r="O54" s="244"/>
      <c r="P54" s="252"/>
      <c r="Q54" s="252"/>
      <c r="R54" s="525">
        <f>IF(ISBLANK(I54),IF(MID(N54,2,2)="HA",VLOOKUP(I53,KEY_RSD_AF!$C$5:$G$52,2,FALSE),IF(MID(N54,2,2)="WA",VLOOKUP(I53,KEY_RSD_AF!$C$5:$G$52,3,FALSE),IF(MID(N54,2,2)="HH",VLOOKUP(I53,KEY_RSD_AF!$C$5:$G$52,4,FALSE),IF(MID(N54,2,2)="WH",VLOOKUP(I53,KEY_RSD_AF!$C$5:$G$52,5,FALSE))))),IF(MID(N54,2,2)="HA",VLOOKUP(I54,KEY_RSD_AF!$C$5:$G$52,2,FALSE),IF(MID(N54,2,2)="WA",VLOOKUP(I54,KEY_RSD_AF!$C$5:$G$52,3,FALSE),IF(MID(N54,2,2)="HH",VLOOKUP(I54,KEY_RSD_AF!$C$5:$G$52,4,FALSE),IF(MID(N54,2,2)="WH",VLOOKUP(I54,KEY_RSD_AF!$C$5:$G$52,5,FALSE))))))</f>
        <v>1</v>
      </c>
      <c r="S54" s="503">
        <f>T53</f>
        <v>0.97</v>
      </c>
      <c r="T54" s="256"/>
      <c r="U54" s="503"/>
      <c r="V54" s="252"/>
      <c r="W54" s="524"/>
      <c r="X54" s="256"/>
      <c r="Y54" s="252"/>
      <c r="Z54" s="252"/>
      <c r="AA54" s="257"/>
      <c r="AC54" s="235"/>
      <c r="AD54" s="244"/>
      <c r="AE54" s="256"/>
      <c r="AF54" s="256"/>
    </row>
    <row r="55" spans="1:32" x14ac:dyDescent="0.3">
      <c r="A55" s="235"/>
      <c r="C55" s="528" t="str">
        <f>'RSD (DEA)'!Z34</f>
        <v>B_GAS_03</v>
      </c>
      <c r="D55" s="512" t="str">
        <f>RSD_HeatingDemand!N55&amp;"_"&amp;LEFT(C55,LEN(C55)-2)&amp;"01"</f>
        <v>RHAPC_B_GAS_01</v>
      </c>
      <c r="E55" s="512" t="str">
        <f>"R"&amp;LEFT('RSD (DEA)'!AD34,2)&amp;IF(ISNUMBER(IFERROR(FIND("HTH",'RSD (DEA)'!Z34),IFERROR(FIND("HP",'RSD (DEA)'!Z34),"C"))),IF(IFERROR(FIND("HTH",'RSD (DEA)'!Z34),100)=100,"B","A"),"C")</f>
        <v>RAPC</v>
      </c>
      <c r="F55" s="515"/>
      <c r="G55" s="515"/>
      <c r="H55" s="540" t="str">
        <f t="shared" si="0"/>
        <v>RHAPC_B_GAS_01</v>
      </c>
      <c r="I55" s="512" t="str">
        <f>'RSD (DEA)'!AA34</f>
        <v>Natural gas boiler</v>
      </c>
      <c r="J55" s="242" t="s">
        <v>239</v>
      </c>
      <c r="K55" s="242" t="s">
        <v>240</v>
      </c>
      <c r="L55" s="513" t="str">
        <f>'RSD (DEA)'!AH34</f>
        <v>RSDGAS</v>
      </c>
      <c r="M55" s="252"/>
      <c r="N55" s="244" t="str">
        <f>LEFT('RSD (DEA)'!AJ34,2)&amp;RIGHT(E55,3)</f>
        <v>RHAPC</v>
      </c>
      <c r="O55" s="252"/>
      <c r="P55" s="252">
        <f>IF('RSD (DEA)'!P34&lt;RSD_HeatingDemand!$AH$15,RSD_HeatingDemand!$AH$15,'RSD (DEA)'!P34)</f>
        <v>2019</v>
      </c>
      <c r="Q55" s="252">
        <f>IF('RSD (DEA)'!X34&lt;RSD_HeatingDemand!$AH$15,RSD_HeatingDemand!$AH$15,'RSD (DEA)'!X34)</f>
        <v>2019</v>
      </c>
      <c r="R55" s="525">
        <f>IF(ISBLANK(I55),IF(MID(N55,2,2)="HA",VLOOKUP(I54,KEY_RSD_AF!$C$5:$G$52,2,FALSE),IF(MID(N55,2,2)="WA",VLOOKUP(I54,KEY_RSD_AF!$C$5:$G$52,3,FALSE),IF(MID(N55,2,2)="HH",VLOOKUP(I54,KEY_RSD_AF!$C$5:$G$52,4,FALSE),IF(MID(N55,2,2)="WH",VLOOKUP(I54,KEY_RSD_AF!$C$5:$G$52,5,FALSE))))),IF(MID(N55,2,2)="HA",VLOOKUP(I55,KEY_RSD_AF!$C$5:$G$52,2,FALSE),IF(MID(N55,2,2)="WA",VLOOKUP(I55,KEY_RSD_AF!$C$5:$G$52,3,FALSE),IF(MID(N55,2,2)="HH",VLOOKUP(I55,KEY_RSD_AF!$C$5:$G$52,4,FALSE),IF(MID(N55,2,2)="WH",VLOOKUP(I55,KEY_RSD_AF!$C$5:$G$52,5,FALSE))))))</f>
        <v>1</v>
      </c>
      <c r="S55" s="256">
        <f>'RSD (DEA)'!AZ34</f>
        <v>1.01</v>
      </c>
      <c r="T55" s="256">
        <f>'RSD (DEA)'!BA34</f>
        <v>1.01</v>
      </c>
      <c r="U55" s="503">
        <v>0.5</v>
      </c>
      <c r="V55" s="252">
        <f>'RSD (DEA)'!BR34/'RSD (DEA)'!S34</f>
        <v>1.7081249999999999</v>
      </c>
      <c r="W55" s="524">
        <f>'RSD (DEA)'!BS34/RSD_HeatingDemand!$AH$9</f>
        <v>0</v>
      </c>
      <c r="X55" s="256">
        <f>'RSD (DEA)'!BK34*RSD_HeatingDemand!$AH$10/'RSD (DEA)'!S34</f>
        <v>68.000000000000014</v>
      </c>
      <c r="Y55" s="252">
        <f>'RSD (DEA)'!BI34</f>
        <v>25</v>
      </c>
      <c r="Z55" s="252"/>
      <c r="AA55" s="257">
        <f>'RSD (DEA)'!AM34</f>
        <v>31.536000000000001</v>
      </c>
      <c r="AC55" s="235">
        <f>'RSD (DEA)'!S34</f>
        <v>400</v>
      </c>
      <c r="AD55" s="244" t="str">
        <f>LEFT('RSD (DEA)'!AK34,2)&amp;RIGHT(E55,3)</f>
        <v>RWAPC</v>
      </c>
      <c r="AE55" s="256">
        <f>'RSD (DEA)'!BA34</f>
        <v>1.01</v>
      </c>
      <c r="AF55" s="256"/>
    </row>
    <row r="56" spans="1:32" x14ac:dyDescent="0.3">
      <c r="A56" s="235"/>
      <c r="D56" s="512"/>
      <c r="E56" s="512"/>
      <c r="F56" s="515"/>
      <c r="G56" s="515"/>
      <c r="H56" s="540"/>
      <c r="I56" s="512"/>
      <c r="J56" s="242"/>
      <c r="K56" s="242"/>
      <c r="L56" s="513"/>
      <c r="M56" s="252"/>
      <c r="N56" s="244" t="str">
        <f>AD55</f>
        <v>RWAPC</v>
      </c>
      <c r="O56" s="244"/>
      <c r="P56" s="252"/>
      <c r="Q56" s="252"/>
      <c r="R56" s="525">
        <f>IF(ISBLANK(I56),IF(MID(N56,2,2)="HA",VLOOKUP(I55,KEY_RSD_AF!$C$5:$G$52,2,FALSE),IF(MID(N56,2,2)="WA",VLOOKUP(I55,KEY_RSD_AF!$C$5:$G$52,3,FALSE),IF(MID(N56,2,2)="HH",VLOOKUP(I55,KEY_RSD_AF!$C$5:$G$52,4,FALSE),IF(MID(N56,2,2)="WH",VLOOKUP(I55,KEY_RSD_AF!$C$5:$G$52,5,FALSE))))),IF(MID(N56,2,2)="HA",VLOOKUP(I56,KEY_RSD_AF!$C$5:$G$52,2,FALSE),IF(MID(N56,2,2)="WA",VLOOKUP(I56,KEY_RSD_AF!$C$5:$G$52,3,FALSE),IF(MID(N56,2,2)="HH",VLOOKUP(I56,KEY_RSD_AF!$C$5:$G$52,4,FALSE),IF(MID(N56,2,2)="WH",VLOOKUP(I56,KEY_RSD_AF!$C$5:$G$52,5,FALSE))))))</f>
        <v>1</v>
      </c>
      <c r="S56" s="503">
        <f>T55</f>
        <v>1.01</v>
      </c>
      <c r="T56" s="256"/>
      <c r="U56" s="503"/>
      <c r="V56" s="252"/>
      <c r="W56" s="524"/>
      <c r="X56" s="256"/>
      <c r="Y56" s="252"/>
      <c r="Z56" s="252"/>
      <c r="AA56" s="257"/>
      <c r="AC56" s="235"/>
      <c r="AD56" s="244"/>
      <c r="AE56" s="256"/>
      <c r="AF56" s="256"/>
    </row>
    <row r="57" spans="1:32" x14ac:dyDescent="0.3">
      <c r="A57" s="235"/>
      <c r="C57" s="528" t="str">
        <f>'RSD (DEA)'!Z35</f>
        <v>B_GAS_03</v>
      </c>
      <c r="D57" s="512" t="str">
        <f>RSD_HeatingDemand!N57&amp;"_"&amp;LEFT(C57,LEN(C57)-2)&amp;"01"</f>
        <v>RHAPC_B_GAS_01</v>
      </c>
      <c r="E57" s="512" t="str">
        <f>"R"&amp;LEFT('RSD (DEA)'!AD35,2)&amp;IF(ISNUMBER(IFERROR(FIND("HTH",'RSD (DEA)'!Z35),IFERROR(FIND("HP",'RSD (DEA)'!Z35),"C"))),IF(IFERROR(FIND("HTH",'RSD (DEA)'!Z35),100)=100,"B","A"),"C")</f>
        <v>RAPC</v>
      </c>
      <c r="F57" s="515"/>
      <c r="G57" s="515"/>
      <c r="H57" s="540" t="str">
        <f t="shared" si="0"/>
        <v>RHAPC_B_GAS_02</v>
      </c>
      <c r="I57" s="512" t="str">
        <f>'RSD (DEA)'!AA35</f>
        <v>Natural gas boiler</v>
      </c>
      <c r="J57" s="242" t="s">
        <v>239</v>
      </c>
      <c r="K57" s="242" t="s">
        <v>240</v>
      </c>
      <c r="L57" s="513" t="str">
        <f>'RSD (DEA)'!AH35</f>
        <v>RSDGAS</v>
      </c>
      <c r="M57" s="252"/>
      <c r="N57" s="244" t="str">
        <f>LEFT('RSD (DEA)'!AJ35,2)&amp;RIGHT(E57,3)</f>
        <v>RHAPC</v>
      </c>
      <c r="O57" s="252"/>
      <c r="P57" s="252">
        <f>IF('RSD (DEA)'!P35&lt;RSD_HeatingDemand!$AH$15,RSD_HeatingDemand!$AH$15,'RSD (DEA)'!P35)</f>
        <v>2019</v>
      </c>
      <c r="Q57" s="252">
        <f>IF('RSD (DEA)'!X35&lt;RSD_HeatingDemand!$AH$15,RSD_HeatingDemand!$AH$15,'RSD (DEA)'!X35)</f>
        <v>2020</v>
      </c>
      <c r="R57" s="525">
        <f>IF(ISBLANK(I57),IF(MID(N57,2,2)="HA",VLOOKUP(I56,KEY_RSD_AF!$C$5:$G$52,2,FALSE),IF(MID(N57,2,2)="WA",VLOOKUP(I56,KEY_RSD_AF!$C$5:$G$52,3,FALSE),IF(MID(N57,2,2)="HH",VLOOKUP(I56,KEY_RSD_AF!$C$5:$G$52,4,FALSE),IF(MID(N57,2,2)="WH",VLOOKUP(I56,KEY_RSD_AF!$C$5:$G$52,5,FALSE))))),IF(MID(N57,2,2)="HA",VLOOKUP(I57,KEY_RSD_AF!$C$5:$G$52,2,FALSE),IF(MID(N57,2,2)="WA",VLOOKUP(I57,KEY_RSD_AF!$C$5:$G$52,3,FALSE),IF(MID(N57,2,2)="HH",VLOOKUP(I57,KEY_RSD_AF!$C$5:$G$52,4,FALSE),IF(MID(N57,2,2)="WH",VLOOKUP(I57,KEY_RSD_AF!$C$5:$G$52,5,FALSE))))))</f>
        <v>1</v>
      </c>
      <c r="S57" s="256">
        <f>'RSD (DEA)'!AZ35</f>
        <v>1.01</v>
      </c>
      <c r="T57" s="256">
        <f>'RSD (DEA)'!BA35</f>
        <v>1.01</v>
      </c>
      <c r="U57" s="503">
        <v>0.5</v>
      </c>
      <c r="V57" s="252">
        <f>'RSD (DEA)'!BR35/'RSD (DEA)'!S35</f>
        <v>1.6725000000000001</v>
      </c>
      <c r="W57" s="524">
        <f>'RSD (DEA)'!BS35/RSD_HeatingDemand!$AH$9</f>
        <v>0</v>
      </c>
      <c r="X57" s="256">
        <f>'RSD (DEA)'!BK35*RSD_HeatingDemand!$AH$10/'RSD (DEA)'!S35</f>
        <v>68.000000000000014</v>
      </c>
      <c r="Y57" s="252">
        <f>'RSD (DEA)'!BI35</f>
        <v>25</v>
      </c>
      <c r="Z57" s="252"/>
      <c r="AA57" s="257">
        <f>'RSD (DEA)'!AM35</f>
        <v>31.536000000000001</v>
      </c>
      <c r="AC57" s="235">
        <f>'RSD (DEA)'!S35</f>
        <v>400</v>
      </c>
      <c r="AD57" s="244" t="str">
        <f>LEFT('RSD (DEA)'!AK35,2)&amp;RIGHT(E57,3)</f>
        <v>RWAPC</v>
      </c>
      <c r="AE57" s="256">
        <f>'RSD (DEA)'!BA35</f>
        <v>1.01</v>
      </c>
      <c r="AF57" s="256"/>
    </row>
    <row r="58" spans="1:32" x14ac:dyDescent="0.3">
      <c r="A58" s="235"/>
      <c r="D58" s="512"/>
      <c r="E58" s="512"/>
      <c r="F58" s="515"/>
      <c r="G58" s="515"/>
      <c r="H58" s="540"/>
      <c r="I58" s="512"/>
      <c r="J58" s="242"/>
      <c r="K58" s="242"/>
      <c r="L58" s="513"/>
      <c r="M58" s="252"/>
      <c r="N58" s="244" t="str">
        <f>AD57</f>
        <v>RWAPC</v>
      </c>
      <c r="O58" s="244"/>
      <c r="P58" s="252"/>
      <c r="Q58" s="252"/>
      <c r="R58" s="525">
        <f>IF(ISBLANK(I58),IF(MID(N58,2,2)="HA",VLOOKUP(I57,KEY_RSD_AF!$C$5:$G$52,2,FALSE),IF(MID(N58,2,2)="WA",VLOOKUP(I57,KEY_RSD_AF!$C$5:$G$52,3,FALSE),IF(MID(N58,2,2)="HH",VLOOKUP(I57,KEY_RSD_AF!$C$5:$G$52,4,FALSE),IF(MID(N58,2,2)="WH",VLOOKUP(I57,KEY_RSD_AF!$C$5:$G$52,5,FALSE))))),IF(MID(N58,2,2)="HA",VLOOKUP(I58,KEY_RSD_AF!$C$5:$G$52,2,FALSE),IF(MID(N58,2,2)="WA",VLOOKUP(I58,KEY_RSD_AF!$C$5:$G$52,3,FALSE),IF(MID(N58,2,2)="HH",VLOOKUP(I58,KEY_RSD_AF!$C$5:$G$52,4,FALSE),IF(MID(N58,2,2)="WH",VLOOKUP(I58,KEY_RSD_AF!$C$5:$G$52,5,FALSE))))))</f>
        <v>1</v>
      </c>
      <c r="S58" s="503">
        <f>T57</f>
        <v>1.01</v>
      </c>
      <c r="T58" s="256"/>
      <c r="U58" s="503"/>
      <c r="V58" s="252"/>
      <c r="W58" s="524"/>
      <c r="X58" s="256"/>
      <c r="Y58" s="252"/>
      <c r="Z58" s="252"/>
      <c r="AA58" s="257"/>
      <c r="AC58" s="235"/>
      <c r="AD58" s="244"/>
      <c r="AE58" s="256"/>
      <c r="AF58" s="256"/>
    </row>
    <row r="59" spans="1:32" x14ac:dyDescent="0.3">
      <c r="A59" s="235"/>
      <c r="C59" s="528" t="str">
        <f>'RSD (DEA)'!Z36</f>
        <v>B_GAS_03</v>
      </c>
      <c r="D59" s="512" t="str">
        <f>RSD_HeatingDemand!N59&amp;"_"&amp;LEFT(C59,LEN(C59)-2)&amp;"01"</f>
        <v>RHAPC_B_GAS_01</v>
      </c>
      <c r="E59" s="512" t="str">
        <f>"R"&amp;LEFT('RSD (DEA)'!AD36,2)&amp;IF(ISNUMBER(IFERROR(FIND("HTH",'RSD (DEA)'!Z36),IFERROR(FIND("HP",'RSD (DEA)'!Z36),"C"))),IF(IFERROR(FIND("HTH",'RSD (DEA)'!Z36),100)=100,"B","A"),"C")</f>
        <v>RAPC</v>
      </c>
      <c r="F59" s="515"/>
      <c r="G59" s="515"/>
      <c r="H59" s="540" t="str">
        <f t="shared" si="0"/>
        <v>RHAPC_B_GAS_03</v>
      </c>
      <c r="I59" s="512" t="str">
        <f>'RSD (DEA)'!AA36</f>
        <v>Natural gas boiler</v>
      </c>
      <c r="J59" s="242" t="s">
        <v>239</v>
      </c>
      <c r="K59" s="242" t="s">
        <v>240</v>
      </c>
      <c r="L59" s="513" t="str">
        <f>'RSD (DEA)'!AH36</f>
        <v>RSDGAS</v>
      </c>
      <c r="M59" s="252"/>
      <c r="N59" s="244" t="str">
        <f>LEFT('RSD (DEA)'!AJ36,2)&amp;RIGHT(E59,3)</f>
        <v>RHAPC</v>
      </c>
      <c r="O59" s="252"/>
      <c r="P59" s="252">
        <f>IF('RSD (DEA)'!P36&lt;RSD_HeatingDemand!$AH$15,RSD_HeatingDemand!$AH$15,'RSD (DEA)'!P36)</f>
        <v>2019</v>
      </c>
      <c r="Q59" s="252">
        <f>IF('RSD (DEA)'!X36&lt;RSD_HeatingDemand!$AH$15,RSD_HeatingDemand!$AH$15,'RSD (DEA)'!X36)</f>
        <v>2030</v>
      </c>
      <c r="R59" s="525">
        <f>IF(ISBLANK(I59),IF(MID(N59,2,2)="HA",VLOOKUP(I58,KEY_RSD_AF!$C$5:$G$52,2,FALSE),IF(MID(N59,2,2)="WA",VLOOKUP(I58,KEY_RSD_AF!$C$5:$G$52,3,FALSE),IF(MID(N59,2,2)="HH",VLOOKUP(I58,KEY_RSD_AF!$C$5:$G$52,4,FALSE),IF(MID(N59,2,2)="WH",VLOOKUP(I58,KEY_RSD_AF!$C$5:$G$52,5,FALSE))))),IF(MID(N59,2,2)="HA",VLOOKUP(I59,KEY_RSD_AF!$C$5:$G$52,2,FALSE),IF(MID(N59,2,2)="WA",VLOOKUP(I59,KEY_RSD_AF!$C$5:$G$52,3,FALSE),IF(MID(N59,2,2)="HH",VLOOKUP(I59,KEY_RSD_AF!$C$5:$G$52,4,FALSE),IF(MID(N59,2,2)="WH",VLOOKUP(I59,KEY_RSD_AF!$C$5:$G$52,5,FALSE))))))</f>
        <v>1</v>
      </c>
      <c r="S59" s="256">
        <f>'RSD (DEA)'!AZ36</f>
        <v>1.02</v>
      </c>
      <c r="T59" s="256">
        <f>'RSD (DEA)'!BA36</f>
        <v>1.02</v>
      </c>
      <c r="U59" s="503">
        <v>0.5</v>
      </c>
      <c r="V59" s="252">
        <f>'RSD (DEA)'!BR36/'RSD (DEA)'!S36</f>
        <v>1.6274999999999999</v>
      </c>
      <c r="W59" s="524">
        <f>'RSD (DEA)'!BS36/RSD_HeatingDemand!$AH$9</f>
        <v>0</v>
      </c>
      <c r="X59" s="256">
        <f>'RSD (DEA)'!BK36*RSD_HeatingDemand!$AH$10/'RSD (DEA)'!S36</f>
        <v>62.5</v>
      </c>
      <c r="Y59" s="252">
        <f>'RSD (DEA)'!BI36</f>
        <v>25</v>
      </c>
      <c r="Z59" s="252"/>
      <c r="AA59" s="257">
        <f>'RSD (DEA)'!AM36</f>
        <v>31.536000000000001</v>
      </c>
      <c r="AC59" s="235">
        <f>'RSD (DEA)'!S36</f>
        <v>400</v>
      </c>
      <c r="AD59" s="244" t="str">
        <f>LEFT('RSD (DEA)'!AK36,2)&amp;RIGHT(E59,3)</f>
        <v>RWAPC</v>
      </c>
      <c r="AE59" s="256">
        <f>'RSD (DEA)'!BA36</f>
        <v>1.02</v>
      </c>
      <c r="AF59" s="256"/>
    </row>
    <row r="60" spans="1:32" x14ac:dyDescent="0.3">
      <c r="A60" s="235"/>
      <c r="D60" s="512"/>
      <c r="E60" s="512"/>
      <c r="F60" s="515"/>
      <c r="G60" s="515"/>
      <c r="H60" s="540"/>
      <c r="I60" s="512"/>
      <c r="J60" s="242"/>
      <c r="K60" s="242"/>
      <c r="L60" s="513"/>
      <c r="M60" s="252"/>
      <c r="N60" s="244" t="str">
        <f>AD59</f>
        <v>RWAPC</v>
      </c>
      <c r="O60" s="244"/>
      <c r="P60" s="252"/>
      <c r="Q60" s="252"/>
      <c r="R60" s="525">
        <f>IF(ISBLANK(I60),IF(MID(N60,2,2)="HA",VLOOKUP(I59,KEY_RSD_AF!$C$5:$G$52,2,FALSE),IF(MID(N60,2,2)="WA",VLOOKUP(I59,KEY_RSD_AF!$C$5:$G$52,3,FALSE),IF(MID(N60,2,2)="HH",VLOOKUP(I59,KEY_RSD_AF!$C$5:$G$52,4,FALSE),IF(MID(N60,2,2)="WH",VLOOKUP(I59,KEY_RSD_AF!$C$5:$G$52,5,FALSE))))),IF(MID(N60,2,2)="HA",VLOOKUP(I60,KEY_RSD_AF!$C$5:$G$52,2,FALSE),IF(MID(N60,2,2)="WA",VLOOKUP(I60,KEY_RSD_AF!$C$5:$G$52,3,FALSE),IF(MID(N60,2,2)="HH",VLOOKUP(I60,KEY_RSD_AF!$C$5:$G$52,4,FALSE),IF(MID(N60,2,2)="WH",VLOOKUP(I60,KEY_RSD_AF!$C$5:$G$52,5,FALSE))))))</f>
        <v>1</v>
      </c>
      <c r="S60" s="503">
        <f>T59</f>
        <v>1.02</v>
      </c>
      <c r="T60" s="256"/>
      <c r="U60" s="503"/>
      <c r="V60" s="252"/>
      <c r="W60" s="524"/>
      <c r="X60" s="256"/>
      <c r="Y60" s="252"/>
      <c r="Z60" s="252"/>
      <c r="AA60" s="257"/>
      <c r="AC60" s="235"/>
      <c r="AD60" s="244"/>
      <c r="AE60" s="256"/>
      <c r="AF60" s="256"/>
    </row>
    <row r="61" spans="1:32" x14ac:dyDescent="0.3">
      <c r="A61" s="235"/>
      <c r="C61" s="528" t="str">
        <f>'RSD (DEA)'!Z37</f>
        <v>B_GAS_03</v>
      </c>
      <c r="D61" s="512" t="str">
        <f>RSD_HeatingDemand!N61&amp;"_"&amp;LEFT(C61,LEN(C61)-2)&amp;"01"</f>
        <v>RHAPC_B_GAS_01</v>
      </c>
      <c r="E61" s="512" t="str">
        <f>"R"&amp;LEFT('RSD (DEA)'!AD37,2)&amp;IF(ISNUMBER(IFERROR(FIND("HTH",'RSD (DEA)'!Z37),IFERROR(FIND("HP",'RSD (DEA)'!Z37),"C"))),IF(IFERROR(FIND("HTH",'RSD (DEA)'!Z37),100)=100,"B","A"),"C")</f>
        <v>RAPC</v>
      </c>
      <c r="F61" s="515"/>
      <c r="G61" s="515"/>
      <c r="H61" s="540" t="str">
        <f t="shared" si="0"/>
        <v>RHAPC_B_GAS_04</v>
      </c>
      <c r="I61" s="512" t="str">
        <f>'RSD (DEA)'!AA37</f>
        <v>Natural gas boiler</v>
      </c>
      <c r="J61" s="242" t="s">
        <v>239</v>
      </c>
      <c r="K61" s="242" t="s">
        <v>240</v>
      </c>
      <c r="L61" s="513" t="str">
        <f>'RSD (DEA)'!AH37</f>
        <v>RSDGAS</v>
      </c>
      <c r="M61" s="252"/>
      <c r="N61" s="244" t="str">
        <f>LEFT('RSD (DEA)'!AJ37,2)&amp;RIGHT(E61,3)</f>
        <v>RHAPC</v>
      </c>
      <c r="O61" s="252"/>
      <c r="P61" s="252">
        <f>IF('RSD (DEA)'!P37&lt;RSD_HeatingDemand!$AH$15,RSD_HeatingDemand!$AH$15,'RSD (DEA)'!P37)</f>
        <v>2019</v>
      </c>
      <c r="Q61" s="252">
        <f>IF('RSD (DEA)'!X37&lt;RSD_HeatingDemand!$AH$15,RSD_HeatingDemand!$AH$15,'RSD (DEA)'!X37)</f>
        <v>2050</v>
      </c>
      <c r="R61" s="525">
        <f>IF(ISBLANK(I61),IF(MID(N61,2,2)="HA",VLOOKUP(I60,KEY_RSD_AF!$C$5:$G$52,2,FALSE),IF(MID(N61,2,2)="WA",VLOOKUP(I60,KEY_RSD_AF!$C$5:$G$52,3,FALSE),IF(MID(N61,2,2)="HH",VLOOKUP(I60,KEY_RSD_AF!$C$5:$G$52,4,FALSE),IF(MID(N61,2,2)="WH",VLOOKUP(I60,KEY_RSD_AF!$C$5:$G$52,5,FALSE))))),IF(MID(N61,2,2)="HA",VLOOKUP(I61,KEY_RSD_AF!$C$5:$G$52,2,FALSE),IF(MID(N61,2,2)="WA",VLOOKUP(I61,KEY_RSD_AF!$C$5:$G$52,3,FALSE),IF(MID(N61,2,2)="HH",VLOOKUP(I61,KEY_RSD_AF!$C$5:$G$52,4,FALSE),IF(MID(N61,2,2)="WH",VLOOKUP(I61,KEY_RSD_AF!$C$5:$G$52,5,FALSE))))))</f>
        <v>1</v>
      </c>
      <c r="S61" s="256">
        <f>'RSD (DEA)'!AZ37</f>
        <v>1.02</v>
      </c>
      <c r="T61" s="256">
        <f>'RSD (DEA)'!BA37</f>
        <v>1.02</v>
      </c>
      <c r="U61" s="503">
        <v>0.5</v>
      </c>
      <c r="V61" s="252">
        <f>'RSD (DEA)'!BR37/'RSD (DEA)'!S37</f>
        <v>1.55</v>
      </c>
      <c r="W61" s="524">
        <f>'RSD (DEA)'!BS37/RSD_HeatingDemand!$AH$9</f>
        <v>0</v>
      </c>
      <c r="X61" s="256">
        <f>'RSD (DEA)'!BK37*RSD_HeatingDemand!$AH$10/'RSD (DEA)'!S37</f>
        <v>57.5</v>
      </c>
      <c r="Y61" s="252">
        <f>'RSD (DEA)'!BI37</f>
        <v>25</v>
      </c>
      <c r="Z61" s="252"/>
      <c r="AA61" s="257">
        <f>'RSD (DEA)'!AM37</f>
        <v>31.536000000000001</v>
      </c>
      <c r="AC61" s="235">
        <f>'RSD (DEA)'!S37</f>
        <v>400</v>
      </c>
      <c r="AD61" s="244" t="str">
        <f>LEFT('RSD (DEA)'!AK37,2)&amp;RIGHT(E61,3)</f>
        <v>RWAPC</v>
      </c>
      <c r="AE61" s="256">
        <f>'RSD (DEA)'!BA37</f>
        <v>1.02</v>
      </c>
      <c r="AF61" s="256"/>
    </row>
    <row r="62" spans="1:32" x14ac:dyDescent="0.3">
      <c r="A62" s="235"/>
      <c r="D62" s="512"/>
      <c r="E62" s="512"/>
      <c r="F62" s="515"/>
      <c r="G62" s="515"/>
      <c r="H62" s="540"/>
      <c r="I62" s="512"/>
      <c r="J62" s="242"/>
      <c r="K62" s="242"/>
      <c r="L62" s="513"/>
      <c r="M62" s="252"/>
      <c r="N62" s="244" t="str">
        <f>AD61</f>
        <v>RWAPC</v>
      </c>
      <c r="O62" s="244"/>
      <c r="P62" s="252"/>
      <c r="Q62" s="252"/>
      <c r="R62" s="525">
        <f>IF(ISBLANK(I62),IF(MID(N62,2,2)="HA",VLOOKUP(I61,KEY_RSD_AF!$C$5:$G$52,2,FALSE),IF(MID(N62,2,2)="WA",VLOOKUP(I61,KEY_RSD_AF!$C$5:$G$52,3,FALSE),IF(MID(N62,2,2)="HH",VLOOKUP(I61,KEY_RSD_AF!$C$5:$G$52,4,FALSE),IF(MID(N62,2,2)="WH",VLOOKUP(I61,KEY_RSD_AF!$C$5:$G$52,5,FALSE))))),IF(MID(N62,2,2)="HA",VLOOKUP(I62,KEY_RSD_AF!$C$5:$G$52,2,FALSE),IF(MID(N62,2,2)="WA",VLOOKUP(I62,KEY_RSD_AF!$C$5:$G$52,3,FALSE),IF(MID(N62,2,2)="HH",VLOOKUP(I62,KEY_RSD_AF!$C$5:$G$52,4,FALSE),IF(MID(N62,2,2)="WH",VLOOKUP(I62,KEY_RSD_AF!$C$5:$G$52,5,FALSE))))))</f>
        <v>1</v>
      </c>
      <c r="S62" s="503">
        <f>T61</f>
        <v>1.02</v>
      </c>
      <c r="T62" s="256"/>
      <c r="U62" s="503"/>
      <c r="V62" s="252"/>
      <c r="W62" s="524"/>
      <c r="X62" s="256"/>
      <c r="Y62" s="252"/>
      <c r="Z62" s="252"/>
      <c r="AA62" s="257"/>
      <c r="AC62" s="235"/>
      <c r="AD62" s="244"/>
      <c r="AE62" s="256"/>
      <c r="AF62" s="256"/>
    </row>
    <row r="63" spans="1:32" x14ac:dyDescent="0.3">
      <c r="A63" s="235"/>
      <c r="C63" s="528" t="str">
        <f>'RSD (DEA)'!Z38</f>
        <v>B_GAS_04</v>
      </c>
      <c r="D63" s="512" t="str">
        <f>RSD_HeatingDemand!N63&amp;"_"&amp;LEFT(C63,LEN(C63)-2)&amp;"02"</f>
        <v>RHAPC_B_GAS_02</v>
      </c>
      <c r="E63" s="512" t="str">
        <f>"R"&amp;LEFT('RSD (DEA)'!AD38,2)&amp;IF(ISNUMBER(IFERROR(FIND("HTH",'RSD (DEA)'!Z38),IFERROR(FIND("HP",'RSD (DEA)'!Z38),"C"))),IF(IFERROR(FIND("HTH",'RSD (DEA)'!Z38),100)=100,"B","A"),"C")</f>
        <v>RAPC</v>
      </c>
      <c r="F63" s="515"/>
      <c r="G63" s="515"/>
      <c r="H63" s="540" t="str">
        <f t="shared" si="0"/>
        <v>RHAPC_B_GAS_05</v>
      </c>
      <c r="I63" s="512" t="str">
        <f>'RSD (DEA)'!AA38</f>
        <v>Natural gas boiler</v>
      </c>
      <c r="J63" s="242" t="s">
        <v>239</v>
      </c>
      <c r="K63" s="242" t="s">
        <v>240</v>
      </c>
      <c r="L63" s="513" t="str">
        <f>'RSD (DEA)'!AH38</f>
        <v>RSDGAS</v>
      </c>
      <c r="M63" s="252"/>
      <c r="N63" s="244" t="str">
        <f>LEFT('RSD (DEA)'!AJ38,2)&amp;RIGHT(E63,3)</f>
        <v>RHAPC</v>
      </c>
      <c r="O63" s="252"/>
      <c r="P63" s="252">
        <f>IF('RSD (DEA)'!P38&lt;RSD_HeatingDemand!$AH$15,RSD_HeatingDemand!$AH$15,'RSD (DEA)'!P38)</f>
        <v>2019</v>
      </c>
      <c r="Q63" s="252">
        <f>IF('RSD (DEA)'!X38&lt;RSD_HeatingDemand!$AH$15,RSD_HeatingDemand!$AH$15,'RSD (DEA)'!X38)</f>
        <v>2019</v>
      </c>
      <c r="R63" s="525">
        <f>IF(ISBLANK(I63),IF(MID(N63,2,2)="HA",VLOOKUP(I62,KEY_RSD_AF!$C$5:$G$52,2,FALSE),IF(MID(N63,2,2)="WA",VLOOKUP(I62,KEY_RSD_AF!$C$5:$G$52,3,FALSE),IF(MID(N63,2,2)="HH",VLOOKUP(I62,KEY_RSD_AF!$C$5:$G$52,4,FALSE),IF(MID(N63,2,2)="WH",VLOOKUP(I62,KEY_RSD_AF!$C$5:$G$52,5,FALSE))))),IF(MID(N63,2,2)="HA",VLOOKUP(I63,KEY_RSD_AF!$C$5:$G$52,2,FALSE),IF(MID(N63,2,2)="WA",VLOOKUP(I63,KEY_RSD_AF!$C$5:$G$52,3,FALSE),IF(MID(N63,2,2)="HH",VLOOKUP(I63,KEY_RSD_AF!$C$5:$G$52,4,FALSE),IF(MID(N63,2,2)="WH",VLOOKUP(I63,KEY_RSD_AF!$C$5:$G$52,5,FALSE))))))</f>
        <v>1</v>
      </c>
      <c r="S63" s="256">
        <f>'RSD (DEA)'!AZ38</f>
        <v>1.01</v>
      </c>
      <c r="T63" s="256">
        <f>'RSD (DEA)'!BA38</f>
        <v>1.01</v>
      </c>
      <c r="U63" s="503">
        <v>0.5</v>
      </c>
      <c r="V63" s="252">
        <f>'RSD (DEA)'!BR38/'RSD (DEA)'!S38</f>
        <v>2.7976562500000002</v>
      </c>
      <c r="W63" s="524">
        <f>'RSD (DEA)'!BS38/RSD_HeatingDemand!$AH$9</f>
        <v>0</v>
      </c>
      <c r="X63" s="256">
        <f>'RSD (DEA)'!BK38*RSD_HeatingDemand!$AH$10/'RSD (DEA)'!S38</f>
        <v>125</v>
      </c>
      <c r="Y63" s="252">
        <f>'RSD (DEA)'!BI38</f>
        <v>25</v>
      </c>
      <c r="Z63" s="252"/>
      <c r="AA63" s="257">
        <f>'RSD (DEA)'!AM38</f>
        <v>31.536000000000001</v>
      </c>
      <c r="AC63" s="235">
        <f>'RSD (DEA)'!S38</f>
        <v>160</v>
      </c>
      <c r="AD63" s="244" t="str">
        <f>LEFT('RSD (DEA)'!AK38,2)&amp;RIGHT(E63,3)</f>
        <v>RWAPC</v>
      </c>
      <c r="AE63" s="256">
        <f>'RSD (DEA)'!BA38</f>
        <v>1.01</v>
      </c>
      <c r="AF63" s="256"/>
    </row>
    <row r="64" spans="1:32" x14ac:dyDescent="0.3">
      <c r="A64" s="235"/>
      <c r="D64" s="512"/>
      <c r="E64" s="512"/>
      <c r="F64" s="515"/>
      <c r="G64" s="515"/>
      <c r="H64" s="540"/>
      <c r="I64" s="512"/>
      <c r="J64" s="242"/>
      <c r="K64" s="242"/>
      <c r="L64" s="513"/>
      <c r="M64" s="252"/>
      <c r="N64" s="244" t="str">
        <f>AD63</f>
        <v>RWAPC</v>
      </c>
      <c r="O64" s="244"/>
      <c r="P64" s="252"/>
      <c r="Q64" s="252"/>
      <c r="R64" s="525">
        <f>IF(ISBLANK(I64),IF(MID(N64,2,2)="HA",VLOOKUP(I63,KEY_RSD_AF!$C$5:$G$52,2,FALSE),IF(MID(N64,2,2)="WA",VLOOKUP(I63,KEY_RSD_AF!$C$5:$G$52,3,FALSE),IF(MID(N64,2,2)="HH",VLOOKUP(I63,KEY_RSD_AF!$C$5:$G$52,4,FALSE),IF(MID(N64,2,2)="WH",VLOOKUP(I63,KEY_RSD_AF!$C$5:$G$52,5,FALSE))))),IF(MID(N64,2,2)="HA",VLOOKUP(I64,KEY_RSD_AF!$C$5:$G$52,2,FALSE),IF(MID(N64,2,2)="WA",VLOOKUP(I64,KEY_RSD_AF!$C$5:$G$52,3,FALSE),IF(MID(N64,2,2)="HH",VLOOKUP(I64,KEY_RSD_AF!$C$5:$G$52,4,FALSE),IF(MID(N64,2,2)="WH",VLOOKUP(I64,KEY_RSD_AF!$C$5:$G$52,5,FALSE))))))</f>
        <v>1</v>
      </c>
      <c r="S64" s="503">
        <f>T63</f>
        <v>1.01</v>
      </c>
      <c r="T64" s="256"/>
      <c r="U64" s="503"/>
      <c r="V64" s="252"/>
      <c r="W64" s="524"/>
      <c r="X64" s="256"/>
      <c r="Y64" s="252"/>
      <c r="Z64" s="252"/>
      <c r="AA64" s="257"/>
      <c r="AC64" s="235"/>
      <c r="AD64" s="244"/>
      <c r="AE64" s="256"/>
      <c r="AF64" s="256"/>
    </row>
    <row r="65" spans="1:32" x14ac:dyDescent="0.3">
      <c r="A65" s="235"/>
      <c r="C65" s="528" t="str">
        <f>'RSD (DEA)'!Z39</f>
        <v>B_GAS_04</v>
      </c>
      <c r="D65" s="512" t="str">
        <f>RSD_HeatingDemand!N65&amp;"_"&amp;LEFT(C65,LEN(C65)-2)&amp;"02"</f>
        <v>RHAPC_B_GAS_02</v>
      </c>
      <c r="E65" s="512" t="str">
        <f>"R"&amp;LEFT('RSD (DEA)'!AD39,2)&amp;IF(ISNUMBER(IFERROR(FIND("HTH",'RSD (DEA)'!Z39),IFERROR(FIND("HP",'RSD (DEA)'!Z39),"C"))),IF(IFERROR(FIND("HTH",'RSD (DEA)'!Z39),100)=100,"B","A"),"C")</f>
        <v>RAPC</v>
      </c>
      <c r="F65" s="515"/>
      <c r="G65" s="515"/>
      <c r="H65" s="540" t="str">
        <f t="shared" si="0"/>
        <v>RHAPC_B_GAS_06</v>
      </c>
      <c r="I65" s="512" t="str">
        <f>'RSD (DEA)'!AA39</f>
        <v>Natural gas boiler</v>
      </c>
      <c r="J65" s="242" t="s">
        <v>239</v>
      </c>
      <c r="K65" s="242" t="s">
        <v>240</v>
      </c>
      <c r="L65" s="513" t="str">
        <f>'RSD (DEA)'!AH39</f>
        <v>RSDGAS</v>
      </c>
      <c r="M65" s="252"/>
      <c r="N65" s="244" t="str">
        <f>LEFT('RSD (DEA)'!AJ39,2)&amp;RIGHT(E65,3)</f>
        <v>RHAPC</v>
      </c>
      <c r="O65" s="252"/>
      <c r="P65" s="252">
        <f>IF('RSD (DEA)'!P39&lt;RSD_HeatingDemand!$AH$15,RSD_HeatingDemand!$AH$15,'RSD (DEA)'!P39)</f>
        <v>2019</v>
      </c>
      <c r="Q65" s="252">
        <f>IF('RSD (DEA)'!X39&lt;RSD_HeatingDemand!$AH$15,RSD_HeatingDemand!$AH$15,'RSD (DEA)'!X39)</f>
        <v>2020</v>
      </c>
      <c r="R65" s="525">
        <f>IF(ISBLANK(I65),IF(MID(N65,2,2)="HA",VLOOKUP(I64,KEY_RSD_AF!$C$5:$G$52,2,FALSE),IF(MID(N65,2,2)="WA",VLOOKUP(I64,KEY_RSD_AF!$C$5:$G$52,3,FALSE),IF(MID(N65,2,2)="HH",VLOOKUP(I64,KEY_RSD_AF!$C$5:$G$52,4,FALSE),IF(MID(N65,2,2)="WH",VLOOKUP(I64,KEY_RSD_AF!$C$5:$G$52,5,FALSE))))),IF(MID(N65,2,2)="HA",VLOOKUP(I65,KEY_RSD_AF!$C$5:$G$52,2,FALSE),IF(MID(N65,2,2)="WA",VLOOKUP(I65,KEY_RSD_AF!$C$5:$G$52,3,FALSE),IF(MID(N65,2,2)="HH",VLOOKUP(I65,KEY_RSD_AF!$C$5:$G$52,4,FALSE),IF(MID(N65,2,2)="WH",VLOOKUP(I65,KEY_RSD_AF!$C$5:$G$52,5,FALSE))))))</f>
        <v>1</v>
      </c>
      <c r="S65" s="256">
        <f>'RSD (DEA)'!AZ39</f>
        <v>1.01</v>
      </c>
      <c r="T65" s="256">
        <f>'RSD (DEA)'!BA39</f>
        <v>1.01</v>
      </c>
      <c r="U65" s="503">
        <v>0.5</v>
      </c>
      <c r="V65" s="252">
        <f>'RSD (DEA)'!BR39/'RSD (DEA)'!S39</f>
        <v>2.7374999999999998</v>
      </c>
      <c r="W65" s="524">
        <f>'RSD (DEA)'!BS39/RSD_HeatingDemand!$AH$9</f>
        <v>0</v>
      </c>
      <c r="X65" s="256">
        <f>'RSD (DEA)'!BK39*RSD_HeatingDemand!$AH$10/'RSD (DEA)'!S39</f>
        <v>125</v>
      </c>
      <c r="Y65" s="252">
        <f>'RSD (DEA)'!BI39</f>
        <v>25</v>
      </c>
      <c r="Z65" s="252"/>
      <c r="AA65" s="257">
        <f>'RSD (DEA)'!AM39</f>
        <v>31.536000000000001</v>
      </c>
      <c r="AC65" s="235">
        <f>'RSD (DEA)'!S39</f>
        <v>160</v>
      </c>
      <c r="AD65" s="244" t="str">
        <f>LEFT('RSD (DEA)'!AK39,2)&amp;RIGHT(E65,3)</f>
        <v>RWAPC</v>
      </c>
      <c r="AE65" s="256">
        <f>'RSD (DEA)'!BA39</f>
        <v>1.01</v>
      </c>
      <c r="AF65" s="256"/>
    </row>
    <row r="66" spans="1:32" x14ac:dyDescent="0.3">
      <c r="A66" s="235"/>
      <c r="D66" s="512"/>
      <c r="E66" s="512"/>
      <c r="F66" s="515"/>
      <c r="G66" s="515"/>
      <c r="H66" s="540"/>
      <c r="I66" s="512"/>
      <c r="J66" s="242"/>
      <c r="K66" s="242"/>
      <c r="L66" s="513"/>
      <c r="M66" s="252"/>
      <c r="N66" s="244" t="str">
        <f>AD65</f>
        <v>RWAPC</v>
      </c>
      <c r="O66" s="244"/>
      <c r="P66" s="252"/>
      <c r="Q66" s="252"/>
      <c r="R66" s="525">
        <f>IF(ISBLANK(I66),IF(MID(N66,2,2)="HA",VLOOKUP(I65,KEY_RSD_AF!$C$5:$G$52,2,FALSE),IF(MID(N66,2,2)="WA",VLOOKUP(I65,KEY_RSD_AF!$C$5:$G$52,3,FALSE),IF(MID(N66,2,2)="HH",VLOOKUP(I65,KEY_RSD_AF!$C$5:$G$52,4,FALSE),IF(MID(N66,2,2)="WH",VLOOKUP(I65,KEY_RSD_AF!$C$5:$G$52,5,FALSE))))),IF(MID(N66,2,2)="HA",VLOOKUP(I66,KEY_RSD_AF!$C$5:$G$52,2,FALSE),IF(MID(N66,2,2)="WA",VLOOKUP(I66,KEY_RSD_AF!$C$5:$G$52,3,FALSE),IF(MID(N66,2,2)="HH",VLOOKUP(I66,KEY_RSD_AF!$C$5:$G$52,4,FALSE),IF(MID(N66,2,2)="WH",VLOOKUP(I66,KEY_RSD_AF!$C$5:$G$52,5,FALSE))))))</f>
        <v>1</v>
      </c>
      <c r="S66" s="503">
        <f>T65</f>
        <v>1.01</v>
      </c>
      <c r="T66" s="256"/>
      <c r="U66" s="503"/>
      <c r="V66" s="252"/>
      <c r="W66" s="524"/>
      <c r="X66" s="256"/>
      <c r="Y66" s="252"/>
      <c r="Z66" s="252"/>
      <c r="AA66" s="257"/>
      <c r="AC66" s="235"/>
      <c r="AD66" s="244"/>
      <c r="AE66" s="256"/>
      <c r="AF66" s="256"/>
    </row>
    <row r="67" spans="1:32" x14ac:dyDescent="0.3">
      <c r="A67" s="235"/>
      <c r="C67" s="528" t="str">
        <f>'RSD (DEA)'!Z40</f>
        <v>B_GAS_04</v>
      </c>
      <c r="D67" s="512" t="str">
        <f>RSD_HeatingDemand!N67&amp;"_"&amp;LEFT(C67,LEN(C67)-2)&amp;"02"</f>
        <v>RHAPC_B_GAS_02</v>
      </c>
      <c r="E67" s="512" t="str">
        <f>"R"&amp;LEFT('RSD (DEA)'!AD40,2)&amp;IF(ISNUMBER(IFERROR(FIND("HTH",'RSD (DEA)'!Z40),IFERROR(FIND("HP",'RSD (DEA)'!Z40),"C"))),IF(IFERROR(FIND("HTH",'RSD (DEA)'!Z40),100)=100,"B","A"),"C")</f>
        <v>RAPC</v>
      </c>
      <c r="F67" s="515"/>
      <c r="G67" s="515"/>
      <c r="H67" s="540" t="str">
        <f t="shared" si="0"/>
        <v>RHAPC_B_GAS_07</v>
      </c>
      <c r="I67" s="512" t="str">
        <f>'RSD (DEA)'!AA40</f>
        <v>Natural gas boiler</v>
      </c>
      <c r="J67" s="242" t="s">
        <v>239</v>
      </c>
      <c r="K67" s="242" t="s">
        <v>240</v>
      </c>
      <c r="L67" s="513" t="str">
        <f>'RSD (DEA)'!AH40</f>
        <v>RSDGAS</v>
      </c>
      <c r="M67" s="252"/>
      <c r="N67" s="244" t="str">
        <f>LEFT('RSD (DEA)'!AJ40,2)&amp;RIGHT(E67,3)</f>
        <v>RHAPC</v>
      </c>
      <c r="O67" s="252"/>
      <c r="P67" s="252">
        <f>IF('RSD (DEA)'!P40&lt;RSD_HeatingDemand!$AH$15,RSD_HeatingDemand!$AH$15,'RSD (DEA)'!P40)</f>
        <v>2019</v>
      </c>
      <c r="Q67" s="252">
        <f>IF('RSD (DEA)'!X40&lt;RSD_HeatingDemand!$AH$15,RSD_HeatingDemand!$AH$15,'RSD (DEA)'!X40)</f>
        <v>2030</v>
      </c>
      <c r="R67" s="525">
        <f>IF(ISBLANK(I67),IF(MID(N67,2,2)="HA",VLOOKUP(I66,KEY_RSD_AF!$C$5:$G$52,2,FALSE),IF(MID(N67,2,2)="WA",VLOOKUP(I66,KEY_RSD_AF!$C$5:$G$52,3,FALSE),IF(MID(N67,2,2)="HH",VLOOKUP(I66,KEY_RSD_AF!$C$5:$G$52,4,FALSE),IF(MID(N67,2,2)="WH",VLOOKUP(I66,KEY_RSD_AF!$C$5:$G$52,5,FALSE))))),IF(MID(N67,2,2)="HA",VLOOKUP(I67,KEY_RSD_AF!$C$5:$G$52,2,FALSE),IF(MID(N67,2,2)="WA",VLOOKUP(I67,KEY_RSD_AF!$C$5:$G$52,3,FALSE),IF(MID(N67,2,2)="HH",VLOOKUP(I67,KEY_RSD_AF!$C$5:$G$52,4,FALSE),IF(MID(N67,2,2)="WH",VLOOKUP(I67,KEY_RSD_AF!$C$5:$G$52,5,FALSE))))))</f>
        <v>1</v>
      </c>
      <c r="S67" s="256">
        <f>'RSD (DEA)'!AZ40</f>
        <v>1.02</v>
      </c>
      <c r="T67" s="256">
        <f>'RSD (DEA)'!BA40</f>
        <v>1.02</v>
      </c>
      <c r="U67" s="503">
        <v>0.5</v>
      </c>
      <c r="V67" s="252">
        <f>'RSD (DEA)'!BR40/'RSD (DEA)'!S40</f>
        <v>2.65</v>
      </c>
      <c r="W67" s="524">
        <f>'RSD (DEA)'!BS40/RSD_HeatingDemand!$AH$9</f>
        <v>0</v>
      </c>
      <c r="X67" s="256">
        <f>'RSD (DEA)'!BK40*RSD_HeatingDemand!$AH$10/'RSD (DEA)'!S40</f>
        <v>118.75</v>
      </c>
      <c r="Y67" s="252">
        <f>'RSD (DEA)'!BI40</f>
        <v>25</v>
      </c>
      <c r="Z67" s="252"/>
      <c r="AA67" s="257">
        <f>'RSD (DEA)'!AM40</f>
        <v>31.536000000000001</v>
      </c>
      <c r="AC67" s="235">
        <f>'RSD (DEA)'!S40</f>
        <v>160</v>
      </c>
      <c r="AD67" s="244" t="str">
        <f>LEFT('RSD (DEA)'!AK40,2)&amp;RIGHT(E67,3)</f>
        <v>RWAPC</v>
      </c>
      <c r="AE67" s="256">
        <f>'RSD (DEA)'!BA40</f>
        <v>1.02</v>
      </c>
      <c r="AF67" s="256"/>
    </row>
    <row r="68" spans="1:32" x14ac:dyDescent="0.3">
      <c r="A68" s="235"/>
      <c r="D68" s="512"/>
      <c r="E68" s="512"/>
      <c r="F68" s="515"/>
      <c r="G68" s="515"/>
      <c r="H68" s="540"/>
      <c r="I68" s="512"/>
      <c r="J68" s="242"/>
      <c r="K68" s="242"/>
      <c r="L68" s="513"/>
      <c r="M68" s="252"/>
      <c r="N68" s="244" t="str">
        <f>AD67</f>
        <v>RWAPC</v>
      </c>
      <c r="O68" s="244"/>
      <c r="P68" s="252"/>
      <c r="Q68" s="252"/>
      <c r="R68" s="525">
        <f>IF(ISBLANK(I68),IF(MID(N68,2,2)="HA",VLOOKUP(I67,KEY_RSD_AF!$C$5:$G$52,2,FALSE),IF(MID(N68,2,2)="WA",VLOOKUP(I67,KEY_RSD_AF!$C$5:$G$52,3,FALSE),IF(MID(N68,2,2)="HH",VLOOKUP(I67,KEY_RSD_AF!$C$5:$G$52,4,FALSE),IF(MID(N68,2,2)="WH",VLOOKUP(I67,KEY_RSD_AF!$C$5:$G$52,5,FALSE))))),IF(MID(N68,2,2)="HA",VLOOKUP(I68,KEY_RSD_AF!$C$5:$G$52,2,FALSE),IF(MID(N68,2,2)="WA",VLOOKUP(I68,KEY_RSD_AF!$C$5:$G$52,3,FALSE),IF(MID(N68,2,2)="HH",VLOOKUP(I68,KEY_RSD_AF!$C$5:$G$52,4,FALSE),IF(MID(N68,2,2)="WH",VLOOKUP(I68,KEY_RSD_AF!$C$5:$G$52,5,FALSE))))))</f>
        <v>1</v>
      </c>
      <c r="S68" s="503">
        <f>T67</f>
        <v>1.02</v>
      </c>
      <c r="T68" s="256"/>
      <c r="U68" s="503"/>
      <c r="V68" s="252"/>
      <c r="W68" s="524"/>
      <c r="X68" s="256"/>
      <c r="Y68" s="252"/>
      <c r="Z68" s="252"/>
      <c r="AA68" s="257"/>
      <c r="AC68" s="235"/>
      <c r="AD68" s="244"/>
      <c r="AE68" s="256"/>
      <c r="AF68" s="256"/>
    </row>
    <row r="69" spans="1:32" x14ac:dyDescent="0.3">
      <c r="A69" s="235"/>
      <c r="C69" s="528" t="str">
        <f>'RSD (DEA)'!Z41</f>
        <v>B_GAS_04</v>
      </c>
      <c r="D69" s="512" t="str">
        <f>RSD_HeatingDemand!N69&amp;"_"&amp;LEFT(C69,LEN(C69)-2)&amp;"02"</f>
        <v>RHAPC_B_GAS_02</v>
      </c>
      <c r="E69" s="512" t="str">
        <f>"R"&amp;LEFT('RSD (DEA)'!AD41,2)&amp;IF(ISNUMBER(IFERROR(FIND("HTH",'RSD (DEA)'!Z41),IFERROR(FIND("HP",'RSD (DEA)'!Z41),"C"))),IF(IFERROR(FIND("HTH",'RSD (DEA)'!Z41),100)=100,"B","A"),"C")</f>
        <v>RAPC</v>
      </c>
      <c r="F69" s="515"/>
      <c r="G69" s="515"/>
      <c r="H69" s="540" t="str">
        <f t="shared" si="0"/>
        <v>RHAPC_B_GAS_08</v>
      </c>
      <c r="I69" s="512" t="str">
        <f>'RSD (DEA)'!AA41</f>
        <v>Natural gas boiler</v>
      </c>
      <c r="J69" s="242" t="s">
        <v>239</v>
      </c>
      <c r="K69" s="242" t="s">
        <v>240</v>
      </c>
      <c r="L69" s="513" t="str">
        <f>'RSD (DEA)'!AH41</f>
        <v>RSDGAS</v>
      </c>
      <c r="M69" s="252"/>
      <c r="N69" s="244" t="str">
        <f>LEFT('RSD (DEA)'!AJ41,2)&amp;RIGHT(E69,3)</f>
        <v>RHAPC</v>
      </c>
      <c r="O69" s="252"/>
      <c r="P69" s="252">
        <f>IF('RSD (DEA)'!P41&lt;RSD_HeatingDemand!$AH$15,RSD_HeatingDemand!$AH$15,'RSD (DEA)'!P41)</f>
        <v>2019</v>
      </c>
      <c r="Q69" s="252">
        <f>IF('RSD (DEA)'!X41&lt;RSD_HeatingDemand!$AH$15,RSD_HeatingDemand!$AH$15,'RSD (DEA)'!X41)</f>
        <v>2050</v>
      </c>
      <c r="R69" s="525">
        <f>IF(ISBLANK(I69),IF(MID(N69,2,2)="HA",VLOOKUP(I68,KEY_RSD_AF!$C$5:$G$52,2,FALSE),IF(MID(N69,2,2)="WA",VLOOKUP(I68,KEY_RSD_AF!$C$5:$G$52,3,FALSE),IF(MID(N69,2,2)="HH",VLOOKUP(I68,KEY_RSD_AF!$C$5:$G$52,4,FALSE),IF(MID(N69,2,2)="WH",VLOOKUP(I68,KEY_RSD_AF!$C$5:$G$52,5,FALSE))))),IF(MID(N69,2,2)="HA",VLOOKUP(I69,KEY_RSD_AF!$C$5:$G$52,2,FALSE),IF(MID(N69,2,2)="WA",VLOOKUP(I69,KEY_RSD_AF!$C$5:$G$52,3,FALSE),IF(MID(N69,2,2)="HH",VLOOKUP(I69,KEY_RSD_AF!$C$5:$G$52,4,FALSE),IF(MID(N69,2,2)="WH",VLOOKUP(I69,KEY_RSD_AF!$C$5:$G$52,5,FALSE))))))</f>
        <v>1</v>
      </c>
      <c r="S69" s="256">
        <f>'RSD (DEA)'!AZ41</f>
        <v>1.02</v>
      </c>
      <c r="T69" s="256">
        <f>'RSD (DEA)'!BA41</f>
        <v>1.02</v>
      </c>
      <c r="U69" s="503">
        <v>0.5</v>
      </c>
      <c r="V69" s="252">
        <f>'RSD (DEA)'!BR41/'RSD (DEA)'!S41</f>
        <v>2.5187499999999998</v>
      </c>
      <c r="W69" s="524">
        <f>'RSD (DEA)'!BS41/RSD_HeatingDemand!$AH$9</f>
        <v>0</v>
      </c>
      <c r="X69" s="256">
        <f>'RSD (DEA)'!BK41*RSD_HeatingDemand!$AH$10/'RSD (DEA)'!S41</f>
        <v>106.25</v>
      </c>
      <c r="Y69" s="252">
        <f>'RSD (DEA)'!BI41</f>
        <v>25</v>
      </c>
      <c r="Z69" s="252"/>
      <c r="AA69" s="257">
        <f>'RSD (DEA)'!AM41</f>
        <v>31.536000000000001</v>
      </c>
      <c r="AC69" s="235">
        <f>'RSD (DEA)'!S41</f>
        <v>160</v>
      </c>
      <c r="AD69" s="244" t="str">
        <f>LEFT('RSD (DEA)'!AK41,2)&amp;RIGHT(E69,3)</f>
        <v>RWAPC</v>
      </c>
      <c r="AE69" s="256">
        <f>'RSD (DEA)'!BA41</f>
        <v>1.02</v>
      </c>
      <c r="AF69" s="256"/>
    </row>
    <row r="70" spans="1:32" x14ac:dyDescent="0.3">
      <c r="A70" s="235"/>
      <c r="D70" s="512"/>
      <c r="E70" s="512"/>
      <c r="F70" s="515"/>
      <c r="G70" s="515"/>
      <c r="H70" s="540"/>
      <c r="I70" s="512"/>
      <c r="J70" s="242"/>
      <c r="K70" s="242"/>
      <c r="L70" s="513"/>
      <c r="M70" s="252"/>
      <c r="N70" s="244" t="str">
        <f>AD69</f>
        <v>RWAPC</v>
      </c>
      <c r="O70" s="244"/>
      <c r="P70" s="252"/>
      <c r="Q70" s="252"/>
      <c r="R70" s="525">
        <f>IF(ISBLANK(I70),IF(MID(N70,2,2)="HA",VLOOKUP(I69,KEY_RSD_AF!$C$5:$G$52,2,FALSE),IF(MID(N70,2,2)="WA",VLOOKUP(I69,KEY_RSD_AF!$C$5:$G$52,3,FALSE),IF(MID(N70,2,2)="HH",VLOOKUP(I69,KEY_RSD_AF!$C$5:$G$52,4,FALSE),IF(MID(N70,2,2)="WH",VLOOKUP(I69,KEY_RSD_AF!$C$5:$G$52,5,FALSE))))),IF(MID(N70,2,2)="HA",VLOOKUP(I70,KEY_RSD_AF!$C$5:$G$52,2,FALSE),IF(MID(N70,2,2)="WA",VLOOKUP(I70,KEY_RSD_AF!$C$5:$G$52,3,FALSE),IF(MID(N70,2,2)="HH",VLOOKUP(I70,KEY_RSD_AF!$C$5:$G$52,4,FALSE),IF(MID(N70,2,2)="WH",VLOOKUP(I70,KEY_RSD_AF!$C$5:$G$52,5,FALSE))))))</f>
        <v>1</v>
      </c>
      <c r="S70" s="503">
        <f>T69</f>
        <v>1.02</v>
      </c>
      <c r="T70" s="256"/>
      <c r="U70" s="503"/>
      <c r="V70" s="252"/>
      <c r="W70" s="524"/>
      <c r="X70" s="256"/>
      <c r="Y70" s="252"/>
      <c r="Z70" s="252"/>
      <c r="AA70" s="257"/>
      <c r="AC70" s="235"/>
      <c r="AD70" s="244"/>
      <c r="AE70" s="256"/>
      <c r="AF70" s="256"/>
    </row>
    <row r="71" spans="1:32" x14ac:dyDescent="0.3">
      <c r="A71" s="235"/>
      <c r="C71" s="528" t="str">
        <f>'RSD (DEA)'!Z42</f>
        <v>HTH_01</v>
      </c>
      <c r="D71" s="512" t="str">
        <f>RSD_HeatingDemand!N71&amp;"_"&amp;C71</f>
        <v>RHHSA_HTH_01</v>
      </c>
      <c r="E71" s="512" t="str">
        <f>"R"&amp;LEFT('RSD (DEA)'!AD42,2)&amp;IF(ISNUMBER(IFERROR(FIND("HTH",'RSD (DEA)'!Z42),IFERROR(FIND("HP",'RSD (DEA)'!Z42),"C"))),IF(IFERROR(FIND("HTH",'RSD (DEA)'!Z42),100)=100,"B","A"),"C")</f>
        <v>RHSA</v>
      </c>
      <c r="F71" s="515"/>
      <c r="G71" s="515"/>
      <c r="H71" s="540" t="str">
        <f t="shared" si="0"/>
        <v>RHHSA_HTH_01</v>
      </c>
      <c r="I71" s="512" t="str">
        <f>'RSD (DEA)'!AA42</f>
        <v>District heating Indirect substation</v>
      </c>
      <c r="J71" s="242" t="s">
        <v>239</v>
      </c>
      <c r="K71" s="242" t="s">
        <v>240</v>
      </c>
      <c r="L71" s="513" t="str">
        <f>'RSD (DEA)'!AH42</f>
        <v>RSDHTH</v>
      </c>
      <c r="M71" s="252"/>
      <c r="N71" s="244" t="str">
        <f>LEFT('RSD (DEA)'!AJ42,2)&amp;RIGHT(E71,3)</f>
        <v>RHHSA</v>
      </c>
      <c r="O71" s="252"/>
      <c r="P71" s="252">
        <f>IF('RSD (DEA)'!P42&lt;RSD_HeatingDemand!$AH$15,RSD_HeatingDemand!$AH$15,'RSD (DEA)'!P42)</f>
        <v>2019</v>
      </c>
      <c r="Q71" s="252">
        <f>IF('RSD (DEA)'!X42&lt;RSD_HeatingDemand!$AH$15,RSD_HeatingDemand!$AH$15,'RSD (DEA)'!X42)</f>
        <v>2019</v>
      </c>
      <c r="R71" s="525">
        <f>IF(ISBLANK(I71),IF(MID(N71,2,2)="HA",VLOOKUP(I70,KEY_RSD_AF!$C$5:$G$52,2,FALSE),IF(MID(N71,2,2)="WA",VLOOKUP(I70,KEY_RSD_AF!$C$5:$G$52,3,FALSE),IF(MID(N71,2,2)="HH",VLOOKUP(I70,KEY_RSD_AF!$C$5:$G$52,4,FALSE),IF(MID(N71,2,2)="WH",VLOOKUP(I70,KEY_RSD_AF!$C$5:$G$52,5,FALSE))))),IF(MID(N71,2,2)="HA",VLOOKUP(I71,KEY_RSD_AF!$C$5:$G$52,2,FALSE),IF(MID(N71,2,2)="WA",VLOOKUP(I71,KEY_RSD_AF!$C$5:$G$52,3,FALSE),IF(MID(N71,2,2)="HH",VLOOKUP(I71,KEY_RSD_AF!$C$5:$G$52,4,FALSE),IF(MID(N71,2,2)="WH",VLOOKUP(I71,KEY_RSD_AF!$C$5:$G$52,5,FALSE))))))</f>
        <v>1</v>
      </c>
      <c r="S71" s="256">
        <f>'RSD (DEA)'!AZ42</f>
        <v>0.97</v>
      </c>
      <c r="T71" s="256">
        <f>'RSD (DEA)'!BA42</f>
        <v>0.97</v>
      </c>
      <c r="U71" s="503">
        <v>0.5</v>
      </c>
      <c r="V71" s="252">
        <f>'RSD (DEA)'!BR42/'RSD (DEA)'!S42</f>
        <v>5.7560000000000002</v>
      </c>
      <c r="W71" s="524">
        <f>'RSD (DEA)'!BS42/RSD_HeatingDemand!$AH$9</f>
        <v>0</v>
      </c>
      <c r="X71" s="256">
        <f>'RSD (DEA)'!BK42*RSD_HeatingDemand!$AH$10/'RSD (DEA)'!S42</f>
        <v>520</v>
      </c>
      <c r="Y71" s="252">
        <f>'RSD (DEA)'!BI42</f>
        <v>25</v>
      </c>
      <c r="Z71" s="252"/>
      <c r="AA71" s="257">
        <f>'RSD (DEA)'!AM42</f>
        <v>31.536000000000001</v>
      </c>
      <c r="AC71" s="235">
        <f>'RSD (DEA)'!S42</f>
        <v>10</v>
      </c>
      <c r="AD71" s="244" t="str">
        <f>LEFT('RSD (DEA)'!AK42,2)&amp;RIGHT(E71,3)</f>
        <v>RWHSA</v>
      </c>
      <c r="AE71" s="256">
        <f>'RSD (DEA)'!BA42</f>
        <v>0.97</v>
      </c>
      <c r="AF71" s="256"/>
    </row>
    <row r="72" spans="1:32" x14ac:dyDescent="0.3">
      <c r="A72" s="235"/>
      <c r="D72" s="512"/>
      <c r="E72" s="512"/>
      <c r="F72" s="515"/>
      <c r="G72" s="515"/>
      <c r="H72" s="540"/>
      <c r="I72" s="512"/>
      <c r="J72" s="242"/>
      <c r="K72" s="242"/>
      <c r="L72" s="513"/>
      <c r="M72" s="252"/>
      <c r="N72" s="244" t="str">
        <f>AD71</f>
        <v>RWHSA</v>
      </c>
      <c r="O72" s="244"/>
      <c r="P72" s="252"/>
      <c r="Q72" s="252"/>
      <c r="R72" s="525">
        <f>IF(ISBLANK(I72),IF(MID(N72,2,2)="HA",VLOOKUP(I71,KEY_RSD_AF!$C$5:$G$52,2,FALSE),IF(MID(N72,2,2)="WA",VLOOKUP(I71,KEY_RSD_AF!$C$5:$G$52,3,FALSE),IF(MID(N72,2,2)="HH",VLOOKUP(I71,KEY_RSD_AF!$C$5:$G$52,4,FALSE),IF(MID(N72,2,2)="WH",VLOOKUP(I71,KEY_RSD_AF!$C$5:$G$52,5,FALSE))))),IF(MID(N72,2,2)="HA",VLOOKUP(I72,KEY_RSD_AF!$C$5:$G$52,2,FALSE),IF(MID(N72,2,2)="WA",VLOOKUP(I72,KEY_RSD_AF!$C$5:$G$52,3,FALSE),IF(MID(N72,2,2)="HH",VLOOKUP(I72,KEY_RSD_AF!$C$5:$G$52,4,FALSE),IF(MID(N72,2,2)="WH",VLOOKUP(I72,KEY_RSD_AF!$C$5:$G$52,5,FALSE))))))</f>
        <v>1</v>
      </c>
      <c r="S72" s="503">
        <f>T71</f>
        <v>0.97</v>
      </c>
      <c r="T72" s="256"/>
      <c r="U72" s="503"/>
      <c r="V72" s="252"/>
      <c r="W72" s="524"/>
      <c r="X72" s="256"/>
      <c r="Y72" s="252"/>
      <c r="Z72" s="252"/>
      <c r="AA72" s="257"/>
      <c r="AC72" s="235"/>
      <c r="AD72" s="244"/>
      <c r="AE72" s="256"/>
      <c r="AF72" s="256"/>
    </row>
    <row r="73" spans="1:32" x14ac:dyDescent="0.3">
      <c r="A73" s="235"/>
      <c r="C73" s="528" t="str">
        <f>'RSD (DEA)'!Z43</f>
        <v>HTH_01</v>
      </c>
      <c r="D73" s="512" t="str">
        <f>RSD_HeatingDemand!N73&amp;"_"&amp;C73</f>
        <v>RHHSA_HTH_01</v>
      </c>
      <c r="E73" s="512" t="str">
        <f>"R"&amp;LEFT('RSD (DEA)'!AD43,2)&amp;IF(ISNUMBER(IFERROR(FIND("HTH",'RSD (DEA)'!Z43),IFERROR(FIND("HP",'RSD (DEA)'!Z43),"C"))),IF(IFERROR(FIND("HTH",'RSD (DEA)'!Z43),100)=100,"B","A"),"C")</f>
        <v>RHSA</v>
      </c>
      <c r="F73" s="515"/>
      <c r="G73" s="515"/>
      <c r="H73" s="540" t="str">
        <f t="shared" si="0"/>
        <v>RHHSA_HTH_02</v>
      </c>
      <c r="I73" s="512" t="str">
        <f>'RSD (DEA)'!AA43</f>
        <v>District heating Indirect substation</v>
      </c>
      <c r="J73" s="242" t="s">
        <v>239</v>
      </c>
      <c r="K73" s="242" t="s">
        <v>240</v>
      </c>
      <c r="L73" s="513" t="str">
        <f>'RSD (DEA)'!AH43</f>
        <v>RSDHTH</v>
      </c>
      <c r="M73" s="252"/>
      <c r="N73" s="244" t="str">
        <f>LEFT('RSD (DEA)'!AJ43,2)&amp;RIGHT(E73,3)</f>
        <v>RHHSA</v>
      </c>
      <c r="O73" s="252"/>
      <c r="P73" s="252">
        <f>IF('RSD (DEA)'!P43&lt;RSD_HeatingDemand!$AH$15,RSD_HeatingDemand!$AH$15,'RSD (DEA)'!P43)</f>
        <v>2019</v>
      </c>
      <c r="Q73" s="252">
        <f>IF('RSD (DEA)'!X43&lt;RSD_HeatingDemand!$AH$15,RSD_HeatingDemand!$AH$15,'RSD (DEA)'!X43)</f>
        <v>2020</v>
      </c>
      <c r="R73" s="525">
        <f>IF(ISBLANK(I73),IF(MID(N73,2,2)="HA",VLOOKUP(I72,KEY_RSD_AF!$C$5:$G$52,2,FALSE),IF(MID(N73,2,2)="WA",VLOOKUP(I72,KEY_RSD_AF!$C$5:$G$52,3,FALSE),IF(MID(N73,2,2)="HH",VLOOKUP(I72,KEY_RSD_AF!$C$5:$G$52,4,FALSE),IF(MID(N73,2,2)="WH",VLOOKUP(I72,KEY_RSD_AF!$C$5:$G$52,5,FALSE))))),IF(MID(N73,2,2)="HA",VLOOKUP(I73,KEY_RSD_AF!$C$5:$G$52,2,FALSE),IF(MID(N73,2,2)="WA",VLOOKUP(I73,KEY_RSD_AF!$C$5:$G$52,3,FALSE),IF(MID(N73,2,2)="HH",VLOOKUP(I73,KEY_RSD_AF!$C$5:$G$52,4,FALSE),IF(MID(N73,2,2)="WH",VLOOKUP(I73,KEY_RSD_AF!$C$5:$G$52,5,FALSE))))))</f>
        <v>1</v>
      </c>
      <c r="S73" s="256">
        <f>'RSD (DEA)'!AZ43</f>
        <v>0.98</v>
      </c>
      <c r="T73" s="256">
        <f>'RSD (DEA)'!BA43</f>
        <v>0.98</v>
      </c>
      <c r="U73" s="503">
        <v>0.5</v>
      </c>
      <c r="V73" s="252">
        <f>'RSD (DEA)'!BR43/'RSD (DEA)'!S43</f>
        <v>5.6</v>
      </c>
      <c r="W73" s="524">
        <f>'RSD (DEA)'!BS43/RSD_HeatingDemand!$AH$9</f>
        <v>0</v>
      </c>
      <c r="X73" s="256">
        <f>'RSD (DEA)'!BK43*RSD_HeatingDemand!$AH$10/'RSD (DEA)'!S43</f>
        <v>520</v>
      </c>
      <c r="Y73" s="252">
        <f>'RSD (DEA)'!BI43</f>
        <v>25</v>
      </c>
      <c r="Z73" s="252"/>
      <c r="AA73" s="257">
        <f>'RSD (DEA)'!AM43</f>
        <v>31.536000000000001</v>
      </c>
      <c r="AC73" s="235">
        <f>'RSD (DEA)'!S43</f>
        <v>10</v>
      </c>
      <c r="AD73" s="244" t="str">
        <f>LEFT('RSD (DEA)'!AK43,2)&amp;RIGHT(E73,3)</f>
        <v>RWHSA</v>
      </c>
      <c r="AE73" s="256">
        <f>'RSD (DEA)'!BA43</f>
        <v>0.98</v>
      </c>
      <c r="AF73" s="256"/>
    </row>
    <row r="74" spans="1:32" x14ac:dyDescent="0.3">
      <c r="A74" s="235"/>
      <c r="D74" s="512"/>
      <c r="E74" s="512"/>
      <c r="F74" s="515"/>
      <c r="G74" s="515"/>
      <c r="H74" s="540"/>
      <c r="I74" s="512"/>
      <c r="J74" s="242"/>
      <c r="K74" s="242"/>
      <c r="L74" s="513"/>
      <c r="M74" s="252"/>
      <c r="N74" s="244" t="str">
        <f>AD73</f>
        <v>RWHSA</v>
      </c>
      <c r="O74" s="244"/>
      <c r="P74" s="252"/>
      <c r="Q74" s="252"/>
      <c r="R74" s="525">
        <f>IF(ISBLANK(I74),IF(MID(N74,2,2)="HA",VLOOKUP(I73,KEY_RSD_AF!$C$5:$G$52,2,FALSE),IF(MID(N74,2,2)="WA",VLOOKUP(I73,KEY_RSD_AF!$C$5:$G$52,3,FALSE),IF(MID(N74,2,2)="HH",VLOOKUP(I73,KEY_RSD_AF!$C$5:$G$52,4,FALSE),IF(MID(N74,2,2)="WH",VLOOKUP(I73,KEY_RSD_AF!$C$5:$G$52,5,FALSE))))),IF(MID(N74,2,2)="HA",VLOOKUP(I74,KEY_RSD_AF!$C$5:$G$52,2,FALSE),IF(MID(N74,2,2)="WA",VLOOKUP(I74,KEY_RSD_AF!$C$5:$G$52,3,FALSE),IF(MID(N74,2,2)="HH",VLOOKUP(I74,KEY_RSD_AF!$C$5:$G$52,4,FALSE),IF(MID(N74,2,2)="WH",VLOOKUP(I74,KEY_RSD_AF!$C$5:$G$52,5,FALSE))))))</f>
        <v>1</v>
      </c>
      <c r="S74" s="503">
        <f>T73</f>
        <v>0.98</v>
      </c>
      <c r="T74" s="256"/>
      <c r="U74" s="503"/>
      <c r="V74" s="252"/>
      <c r="W74" s="524"/>
      <c r="X74" s="256"/>
      <c r="Y74" s="252"/>
      <c r="Z74" s="252"/>
      <c r="AA74" s="257"/>
      <c r="AC74" s="235"/>
      <c r="AD74" s="244"/>
      <c r="AE74" s="256"/>
      <c r="AF74" s="256"/>
    </row>
    <row r="75" spans="1:32" x14ac:dyDescent="0.3">
      <c r="A75" s="235"/>
      <c r="C75" s="528" t="str">
        <f>'RSD (DEA)'!Z44</f>
        <v>HTH_01</v>
      </c>
      <c r="D75" s="512" t="str">
        <f>RSD_HeatingDemand!N75&amp;"_"&amp;C75</f>
        <v>RHHSA_HTH_01</v>
      </c>
      <c r="E75" s="512" t="str">
        <f>"R"&amp;LEFT('RSD (DEA)'!AD44,2)&amp;IF(ISNUMBER(IFERROR(FIND("HTH",'RSD (DEA)'!Z44),IFERROR(FIND("HP",'RSD (DEA)'!Z44),"C"))),IF(IFERROR(FIND("HTH",'RSD (DEA)'!Z44),100)=100,"B","A"),"C")</f>
        <v>RHSA</v>
      </c>
      <c r="F75" s="515"/>
      <c r="G75" s="515"/>
      <c r="H75" s="540" t="str">
        <f t="shared" ref="H75:H137" si="1">IF(LEFT(D75,LEN(D75)-2)=LEFT(D73,LEN(D75)-2),LEFT(D75,LEN(D75)-2)&amp;IF(RIGHT(H73,2)+1&lt;=9,"0"&amp;RIGHT(H73)+1,RIGHT(H73,2)+1),D75)</f>
        <v>RHHSA_HTH_03</v>
      </c>
      <c r="I75" s="512" t="str">
        <f>'RSD (DEA)'!AA44</f>
        <v>District heating Indirect substation</v>
      </c>
      <c r="J75" s="242" t="s">
        <v>239</v>
      </c>
      <c r="K75" s="242" t="s">
        <v>240</v>
      </c>
      <c r="L75" s="513" t="str">
        <f>'RSD (DEA)'!AH44</f>
        <v>RSDHTH</v>
      </c>
      <c r="M75" s="252"/>
      <c r="N75" s="244" t="str">
        <f>LEFT('RSD (DEA)'!AJ44,2)&amp;RIGHT(E75,3)</f>
        <v>RHHSA</v>
      </c>
      <c r="O75" s="252"/>
      <c r="P75" s="252">
        <f>IF('RSD (DEA)'!P44&lt;RSD_HeatingDemand!$AH$15,RSD_HeatingDemand!$AH$15,'RSD (DEA)'!P44)</f>
        <v>2019</v>
      </c>
      <c r="Q75" s="252">
        <f>IF('RSD (DEA)'!X44&lt;RSD_HeatingDemand!$AH$15,RSD_HeatingDemand!$AH$15,'RSD (DEA)'!X44)</f>
        <v>2030</v>
      </c>
      <c r="R75" s="525">
        <f>IF(ISBLANK(I75),IF(MID(N75,2,2)="HA",VLOOKUP(I74,KEY_RSD_AF!$C$5:$G$52,2,FALSE),IF(MID(N75,2,2)="WA",VLOOKUP(I74,KEY_RSD_AF!$C$5:$G$52,3,FALSE),IF(MID(N75,2,2)="HH",VLOOKUP(I74,KEY_RSD_AF!$C$5:$G$52,4,FALSE),IF(MID(N75,2,2)="WH",VLOOKUP(I74,KEY_RSD_AF!$C$5:$G$52,5,FALSE))))),IF(MID(N75,2,2)="HA",VLOOKUP(I75,KEY_RSD_AF!$C$5:$G$52,2,FALSE),IF(MID(N75,2,2)="WA",VLOOKUP(I75,KEY_RSD_AF!$C$5:$G$52,3,FALSE),IF(MID(N75,2,2)="HH",VLOOKUP(I75,KEY_RSD_AF!$C$5:$G$52,4,FALSE),IF(MID(N75,2,2)="WH",VLOOKUP(I75,KEY_RSD_AF!$C$5:$G$52,5,FALSE))))))</f>
        <v>1</v>
      </c>
      <c r="S75" s="256">
        <f>'RSD (DEA)'!AZ44</f>
        <v>0.98</v>
      </c>
      <c r="T75" s="256">
        <f>'RSD (DEA)'!BA44</f>
        <v>0.98</v>
      </c>
      <c r="U75" s="503">
        <v>0.5</v>
      </c>
      <c r="V75" s="252">
        <f>'RSD (DEA)'!BR44/'RSD (DEA)'!S44</f>
        <v>5.6</v>
      </c>
      <c r="W75" s="524">
        <f>'RSD (DEA)'!BS44/RSD_HeatingDemand!$AH$9</f>
        <v>0</v>
      </c>
      <c r="X75" s="256">
        <f>'RSD (DEA)'!BK44*RSD_HeatingDemand!$AH$10/'RSD (DEA)'!S44</f>
        <v>520</v>
      </c>
      <c r="Y75" s="252">
        <f>'RSD (DEA)'!BI44</f>
        <v>25</v>
      </c>
      <c r="Z75" s="252"/>
      <c r="AA75" s="257">
        <f>'RSD (DEA)'!AM44</f>
        <v>31.536000000000001</v>
      </c>
      <c r="AC75" s="235">
        <f>'RSD (DEA)'!S44</f>
        <v>10</v>
      </c>
      <c r="AD75" s="244" t="str">
        <f>LEFT('RSD (DEA)'!AK44,2)&amp;RIGHT(E75,3)</f>
        <v>RWHSA</v>
      </c>
      <c r="AE75" s="256">
        <f>'RSD (DEA)'!BA44</f>
        <v>0.98</v>
      </c>
      <c r="AF75" s="256"/>
    </row>
    <row r="76" spans="1:32" x14ac:dyDescent="0.3">
      <c r="A76" s="235"/>
      <c r="D76" s="512"/>
      <c r="E76" s="512"/>
      <c r="F76" s="515"/>
      <c r="G76" s="515"/>
      <c r="H76" s="540"/>
      <c r="I76" s="512"/>
      <c r="J76" s="242"/>
      <c r="K76" s="242"/>
      <c r="L76" s="513"/>
      <c r="M76" s="252"/>
      <c r="N76" s="244" t="str">
        <f>AD75</f>
        <v>RWHSA</v>
      </c>
      <c r="O76" s="244"/>
      <c r="P76" s="252"/>
      <c r="Q76" s="252"/>
      <c r="R76" s="525">
        <f>IF(ISBLANK(I76),IF(MID(N76,2,2)="HA",VLOOKUP(I75,KEY_RSD_AF!$C$5:$G$52,2,FALSE),IF(MID(N76,2,2)="WA",VLOOKUP(I75,KEY_RSD_AF!$C$5:$G$52,3,FALSE),IF(MID(N76,2,2)="HH",VLOOKUP(I75,KEY_RSD_AF!$C$5:$G$52,4,FALSE),IF(MID(N76,2,2)="WH",VLOOKUP(I75,KEY_RSD_AF!$C$5:$G$52,5,FALSE))))),IF(MID(N76,2,2)="HA",VLOOKUP(I76,KEY_RSD_AF!$C$5:$G$52,2,FALSE),IF(MID(N76,2,2)="WA",VLOOKUP(I76,KEY_RSD_AF!$C$5:$G$52,3,FALSE),IF(MID(N76,2,2)="HH",VLOOKUP(I76,KEY_RSD_AF!$C$5:$G$52,4,FALSE),IF(MID(N76,2,2)="WH",VLOOKUP(I76,KEY_RSD_AF!$C$5:$G$52,5,FALSE))))))</f>
        <v>1</v>
      </c>
      <c r="S76" s="503">
        <f>T75</f>
        <v>0.98</v>
      </c>
      <c r="T76" s="256"/>
      <c r="U76" s="503"/>
      <c r="V76" s="252"/>
      <c r="W76" s="524"/>
      <c r="X76" s="256"/>
      <c r="Y76" s="252"/>
      <c r="Z76" s="252"/>
      <c r="AA76" s="257"/>
      <c r="AC76" s="235"/>
      <c r="AD76" s="244"/>
      <c r="AE76" s="256"/>
      <c r="AF76" s="256"/>
    </row>
    <row r="77" spans="1:32" x14ac:dyDescent="0.3">
      <c r="A77" s="235"/>
      <c r="C77" s="528" t="str">
        <f>'RSD (DEA)'!Z45</f>
        <v>HTH_01</v>
      </c>
      <c r="D77" s="512" t="str">
        <f>RSD_HeatingDemand!N77&amp;"_"&amp;C77</f>
        <v>RHHSA_HTH_01</v>
      </c>
      <c r="E77" s="512" t="str">
        <f>"R"&amp;LEFT('RSD (DEA)'!AD45,2)&amp;IF(ISNUMBER(IFERROR(FIND("HTH",'RSD (DEA)'!Z45),IFERROR(FIND("HP",'RSD (DEA)'!Z45),"C"))),IF(IFERROR(FIND("HTH",'RSD (DEA)'!Z45),100)=100,"B","A"),"C")</f>
        <v>RHSA</v>
      </c>
      <c r="F77" s="515"/>
      <c r="G77" s="515"/>
      <c r="H77" s="540" t="str">
        <f t="shared" si="1"/>
        <v>RHHSA_HTH_04</v>
      </c>
      <c r="I77" s="512" t="str">
        <f>'RSD (DEA)'!AA45</f>
        <v>District heating Indirect substation</v>
      </c>
      <c r="J77" s="242" t="s">
        <v>239</v>
      </c>
      <c r="K77" s="242" t="s">
        <v>240</v>
      </c>
      <c r="L77" s="513" t="str">
        <f>'RSD (DEA)'!AH45</f>
        <v>RSDHTH</v>
      </c>
      <c r="M77" s="252"/>
      <c r="N77" s="244" t="str">
        <f>LEFT('RSD (DEA)'!AJ45,2)&amp;RIGHT(E77,3)</f>
        <v>RHHSA</v>
      </c>
      <c r="O77" s="252"/>
      <c r="P77" s="252">
        <f>IF('RSD (DEA)'!P45&lt;RSD_HeatingDemand!$AH$15,RSD_HeatingDemand!$AH$15,'RSD (DEA)'!P45)</f>
        <v>2019</v>
      </c>
      <c r="Q77" s="252">
        <f>IF('RSD (DEA)'!X45&lt;RSD_HeatingDemand!$AH$15,RSD_HeatingDemand!$AH$15,'RSD (DEA)'!X45)</f>
        <v>2050</v>
      </c>
      <c r="R77" s="525">
        <f>IF(ISBLANK(I77),IF(MID(N77,2,2)="HA",VLOOKUP(I76,KEY_RSD_AF!$C$5:$G$52,2,FALSE),IF(MID(N77,2,2)="WA",VLOOKUP(I76,KEY_RSD_AF!$C$5:$G$52,3,FALSE),IF(MID(N77,2,2)="HH",VLOOKUP(I76,KEY_RSD_AF!$C$5:$G$52,4,FALSE),IF(MID(N77,2,2)="WH",VLOOKUP(I76,KEY_RSD_AF!$C$5:$G$52,5,FALSE))))),IF(MID(N77,2,2)="HA",VLOOKUP(I77,KEY_RSD_AF!$C$5:$G$52,2,FALSE),IF(MID(N77,2,2)="WA",VLOOKUP(I77,KEY_RSD_AF!$C$5:$G$52,3,FALSE),IF(MID(N77,2,2)="HH",VLOOKUP(I77,KEY_RSD_AF!$C$5:$G$52,4,FALSE),IF(MID(N77,2,2)="WH",VLOOKUP(I77,KEY_RSD_AF!$C$5:$G$52,5,FALSE))))))</f>
        <v>1</v>
      </c>
      <c r="S77" s="256">
        <f>'RSD (DEA)'!AZ45</f>
        <v>0.98</v>
      </c>
      <c r="T77" s="256">
        <f>'RSD (DEA)'!BA45</f>
        <v>0.98</v>
      </c>
      <c r="U77" s="503">
        <v>0.5</v>
      </c>
      <c r="V77" s="252">
        <f>'RSD (DEA)'!BR45/'RSD (DEA)'!S45</f>
        <v>5.0999999999999996</v>
      </c>
      <c r="W77" s="524">
        <f>'RSD (DEA)'!BS45/RSD_HeatingDemand!$AH$9</f>
        <v>0</v>
      </c>
      <c r="X77" s="256">
        <f>'RSD (DEA)'!BK45*RSD_HeatingDemand!$AH$10/'RSD (DEA)'!S45</f>
        <v>400</v>
      </c>
      <c r="Y77" s="252">
        <f>'RSD (DEA)'!BI45</f>
        <v>25</v>
      </c>
      <c r="Z77" s="252"/>
      <c r="AA77" s="257">
        <f>'RSD (DEA)'!AM45</f>
        <v>31.536000000000001</v>
      </c>
      <c r="AC77" s="235">
        <f>'RSD (DEA)'!S45</f>
        <v>10</v>
      </c>
      <c r="AD77" s="244" t="str">
        <f>LEFT('RSD (DEA)'!AK45,2)&amp;RIGHT(E77,3)</f>
        <v>RWHSA</v>
      </c>
      <c r="AE77" s="256">
        <f>'RSD (DEA)'!BA45</f>
        <v>0.98</v>
      </c>
      <c r="AF77" s="256"/>
    </row>
    <row r="78" spans="1:32" x14ac:dyDescent="0.3">
      <c r="A78" s="235"/>
      <c r="D78" s="512"/>
      <c r="E78" s="512"/>
      <c r="F78" s="515"/>
      <c r="G78" s="515"/>
      <c r="H78" s="540"/>
      <c r="I78" s="512"/>
      <c r="J78" s="242"/>
      <c r="K78" s="242"/>
      <c r="L78" s="513"/>
      <c r="M78" s="252"/>
      <c r="N78" s="244" t="str">
        <f>AD77</f>
        <v>RWHSA</v>
      </c>
      <c r="O78" s="244"/>
      <c r="P78" s="252"/>
      <c r="Q78" s="252"/>
      <c r="R78" s="525">
        <f>IF(ISBLANK(I78),IF(MID(N78,2,2)="HA",VLOOKUP(I77,KEY_RSD_AF!$C$5:$G$52,2,FALSE),IF(MID(N78,2,2)="WA",VLOOKUP(I77,KEY_RSD_AF!$C$5:$G$52,3,FALSE),IF(MID(N78,2,2)="HH",VLOOKUP(I77,KEY_RSD_AF!$C$5:$G$52,4,FALSE),IF(MID(N78,2,2)="WH",VLOOKUP(I77,KEY_RSD_AF!$C$5:$G$52,5,FALSE))))),IF(MID(N78,2,2)="HA",VLOOKUP(I78,KEY_RSD_AF!$C$5:$G$52,2,FALSE),IF(MID(N78,2,2)="WA",VLOOKUP(I78,KEY_RSD_AF!$C$5:$G$52,3,FALSE),IF(MID(N78,2,2)="HH",VLOOKUP(I78,KEY_RSD_AF!$C$5:$G$52,4,FALSE),IF(MID(N78,2,2)="WH",VLOOKUP(I78,KEY_RSD_AF!$C$5:$G$52,5,FALSE))))))</f>
        <v>1</v>
      </c>
      <c r="S78" s="503">
        <f>T77</f>
        <v>0.98</v>
      </c>
      <c r="T78" s="256"/>
      <c r="U78" s="503"/>
      <c r="V78" s="252"/>
      <c r="W78" s="524"/>
      <c r="X78" s="256"/>
      <c r="Y78" s="252"/>
      <c r="Z78" s="252"/>
      <c r="AA78" s="257"/>
      <c r="AC78" s="235"/>
      <c r="AD78" s="244"/>
      <c r="AE78" s="256"/>
      <c r="AF78" s="256"/>
    </row>
    <row r="79" spans="1:32" x14ac:dyDescent="0.3">
      <c r="A79" s="235"/>
      <c r="C79" s="528" t="str">
        <f>'RSD (DEA)'!Z46</f>
        <v>HTH_02</v>
      </c>
      <c r="D79" s="512" t="str">
        <f>RSD_HeatingDemand!N79&amp;"_"&amp;C79</f>
        <v>RHHSA_HTH_02</v>
      </c>
      <c r="E79" s="512" t="str">
        <f>"R"&amp;LEFT('RSD (DEA)'!AD46,2)&amp;IF(ISNUMBER(IFERROR(FIND("HTH",'RSD (DEA)'!Z46),IFERROR(FIND("HP",'RSD (DEA)'!Z46),"C"))),IF(IFERROR(FIND("HTH",'RSD (DEA)'!Z46),100)=100,"B","A"),"C")</f>
        <v>RHSA</v>
      </c>
      <c r="F79" s="515"/>
      <c r="G79" s="515"/>
      <c r="H79" s="540" t="str">
        <f t="shared" si="1"/>
        <v>RHHSA_HTH_05</v>
      </c>
      <c r="I79" s="512" t="str">
        <f>'RSD (DEA)'!AA46</f>
        <v>District heating Indirect substation</v>
      </c>
      <c r="J79" s="242" t="s">
        <v>239</v>
      </c>
      <c r="K79" s="242" t="s">
        <v>240</v>
      </c>
      <c r="L79" s="513" t="str">
        <f>'RSD (DEA)'!AH46</f>
        <v>RSDHTH</v>
      </c>
      <c r="M79" s="252"/>
      <c r="N79" s="244" t="str">
        <f>LEFT('RSD (DEA)'!AJ46,2)&amp;RIGHT(E79,3)</f>
        <v>RHHSA</v>
      </c>
      <c r="O79" s="252"/>
      <c r="P79" s="252">
        <f>IF('RSD (DEA)'!P46&lt;RSD_HeatingDemand!$AH$15,RSD_HeatingDemand!$AH$15,'RSD (DEA)'!P46)</f>
        <v>2019</v>
      </c>
      <c r="Q79" s="252">
        <f>IF('RSD (DEA)'!X46&lt;RSD_HeatingDemand!$AH$15,RSD_HeatingDemand!$AH$15,'RSD (DEA)'!X46)</f>
        <v>2019</v>
      </c>
      <c r="R79" s="525">
        <f>IF(ISBLANK(I79),IF(MID(N79,2,2)="HA",VLOOKUP(I78,KEY_RSD_AF!$C$5:$G$52,2,FALSE),IF(MID(N79,2,2)="WA",VLOOKUP(I78,KEY_RSD_AF!$C$5:$G$52,3,FALSE),IF(MID(N79,2,2)="HH",VLOOKUP(I78,KEY_RSD_AF!$C$5:$G$52,4,FALSE),IF(MID(N79,2,2)="WH",VLOOKUP(I78,KEY_RSD_AF!$C$5:$G$52,5,FALSE))))),IF(MID(N79,2,2)="HA",VLOOKUP(I79,KEY_RSD_AF!$C$5:$G$52,2,FALSE),IF(MID(N79,2,2)="WA",VLOOKUP(I79,KEY_RSD_AF!$C$5:$G$52,3,FALSE),IF(MID(N79,2,2)="HH",VLOOKUP(I79,KEY_RSD_AF!$C$5:$G$52,4,FALSE),IF(MID(N79,2,2)="WH",VLOOKUP(I79,KEY_RSD_AF!$C$5:$G$52,5,FALSE))))))</f>
        <v>1</v>
      </c>
      <c r="S79" s="256">
        <f>'RSD (DEA)'!AZ46</f>
        <v>0.96</v>
      </c>
      <c r="T79" s="256">
        <f>'RSD (DEA)'!BA46</f>
        <v>0.96</v>
      </c>
      <c r="U79" s="503">
        <v>0.5</v>
      </c>
      <c r="V79" s="252">
        <f>'RSD (DEA)'!BR46/'RSD (DEA)'!S46</f>
        <v>5.3780000000000001</v>
      </c>
      <c r="W79" s="524">
        <f>'RSD (DEA)'!BS46/RSD_HeatingDemand!$AH$9</f>
        <v>0</v>
      </c>
      <c r="X79" s="256">
        <f>'RSD (DEA)'!BK46*RSD_HeatingDemand!$AH$10/'RSD (DEA)'!S46</f>
        <v>404.5994942815276</v>
      </c>
      <c r="Y79" s="252">
        <f>'RSD (DEA)'!BI46</f>
        <v>25</v>
      </c>
      <c r="Z79" s="252"/>
      <c r="AA79" s="257">
        <f>'RSD (DEA)'!AM46</f>
        <v>31.536000000000001</v>
      </c>
      <c r="AC79" s="235">
        <f>'RSD (DEA)'!S46</f>
        <v>10</v>
      </c>
      <c r="AD79" s="244" t="str">
        <f>LEFT('RSD (DEA)'!AK46,2)&amp;RIGHT(E79,3)</f>
        <v>RWHSA</v>
      </c>
      <c r="AE79" s="256">
        <f>'RSD (DEA)'!BA46</f>
        <v>0.96</v>
      </c>
      <c r="AF79" s="256"/>
    </row>
    <row r="80" spans="1:32" x14ac:dyDescent="0.3">
      <c r="A80" s="235"/>
      <c r="D80" s="512"/>
      <c r="E80" s="512"/>
      <c r="F80" s="515"/>
      <c r="G80" s="515"/>
      <c r="H80" s="540"/>
      <c r="I80" s="512"/>
      <c r="J80" s="242"/>
      <c r="K80" s="242"/>
      <c r="L80" s="513"/>
      <c r="M80" s="252"/>
      <c r="N80" s="244" t="str">
        <f>AD79</f>
        <v>RWHSA</v>
      </c>
      <c r="O80" s="244"/>
      <c r="P80" s="252"/>
      <c r="Q80" s="252"/>
      <c r="R80" s="525">
        <f>IF(ISBLANK(I80),IF(MID(N80,2,2)="HA",VLOOKUP(I79,KEY_RSD_AF!$C$5:$G$52,2,FALSE),IF(MID(N80,2,2)="WA",VLOOKUP(I79,KEY_RSD_AF!$C$5:$G$52,3,FALSE),IF(MID(N80,2,2)="HH",VLOOKUP(I79,KEY_RSD_AF!$C$5:$G$52,4,FALSE),IF(MID(N80,2,2)="WH",VLOOKUP(I79,KEY_RSD_AF!$C$5:$G$52,5,FALSE))))),IF(MID(N80,2,2)="HA",VLOOKUP(I80,KEY_RSD_AF!$C$5:$G$52,2,FALSE),IF(MID(N80,2,2)="WA",VLOOKUP(I80,KEY_RSD_AF!$C$5:$G$52,3,FALSE),IF(MID(N80,2,2)="HH",VLOOKUP(I80,KEY_RSD_AF!$C$5:$G$52,4,FALSE),IF(MID(N80,2,2)="WH",VLOOKUP(I80,KEY_RSD_AF!$C$5:$G$52,5,FALSE))))))</f>
        <v>1</v>
      </c>
      <c r="S80" s="503">
        <f>T79</f>
        <v>0.96</v>
      </c>
      <c r="T80" s="256"/>
      <c r="U80" s="503"/>
      <c r="V80" s="252"/>
      <c r="W80" s="524"/>
      <c r="X80" s="256"/>
      <c r="Y80" s="252"/>
      <c r="Z80" s="252"/>
      <c r="AA80" s="257"/>
      <c r="AC80" s="235"/>
      <c r="AD80" s="244"/>
      <c r="AE80" s="256"/>
      <c r="AF80" s="256"/>
    </row>
    <row r="81" spans="1:32" x14ac:dyDescent="0.3">
      <c r="A81" s="235"/>
      <c r="C81" s="528" t="str">
        <f>'RSD (DEA)'!Z47</f>
        <v>HTH_02</v>
      </c>
      <c r="D81" s="512" t="str">
        <f>RSD_HeatingDemand!N81&amp;"_"&amp;C81</f>
        <v>RHHSA_HTH_02</v>
      </c>
      <c r="E81" s="512" t="str">
        <f>"R"&amp;LEFT('RSD (DEA)'!AD47,2)&amp;IF(ISNUMBER(IFERROR(FIND("HTH",'RSD (DEA)'!Z47),IFERROR(FIND("HP",'RSD (DEA)'!Z47),"C"))),IF(IFERROR(FIND("HTH",'RSD (DEA)'!Z47),100)=100,"B","A"),"C")</f>
        <v>RHSA</v>
      </c>
      <c r="F81" s="515"/>
      <c r="G81" s="515"/>
      <c r="H81" s="540" t="str">
        <f t="shared" si="1"/>
        <v>RHHSA_HTH_06</v>
      </c>
      <c r="I81" s="512" t="str">
        <f>'RSD (DEA)'!AA47</f>
        <v>District heating Indirect substation</v>
      </c>
      <c r="J81" s="242" t="s">
        <v>239</v>
      </c>
      <c r="K81" s="242" t="s">
        <v>240</v>
      </c>
      <c r="L81" s="513" t="str">
        <f>'RSD (DEA)'!AH47</f>
        <v>RSDHTH</v>
      </c>
      <c r="M81" s="252"/>
      <c r="N81" s="244" t="str">
        <f>LEFT('RSD (DEA)'!AJ47,2)&amp;RIGHT(E81,3)</f>
        <v>RHHSA</v>
      </c>
      <c r="O81" s="252"/>
      <c r="P81" s="252">
        <f>IF('RSD (DEA)'!P47&lt;RSD_HeatingDemand!$AH$15,RSD_HeatingDemand!$AH$15,'RSD (DEA)'!P47)</f>
        <v>2019</v>
      </c>
      <c r="Q81" s="252">
        <f>IF('RSD (DEA)'!X47&lt;RSD_HeatingDemand!$AH$15,RSD_HeatingDemand!$AH$15,'RSD (DEA)'!X47)</f>
        <v>2020</v>
      </c>
      <c r="R81" s="525">
        <f>IF(ISBLANK(I81),IF(MID(N81,2,2)="HA",VLOOKUP(I80,KEY_RSD_AF!$C$5:$G$52,2,FALSE),IF(MID(N81,2,2)="WA",VLOOKUP(I80,KEY_RSD_AF!$C$5:$G$52,3,FALSE),IF(MID(N81,2,2)="HH",VLOOKUP(I80,KEY_RSD_AF!$C$5:$G$52,4,FALSE),IF(MID(N81,2,2)="WH",VLOOKUP(I80,KEY_RSD_AF!$C$5:$G$52,5,FALSE))))),IF(MID(N81,2,2)="HA",VLOOKUP(I81,KEY_RSD_AF!$C$5:$G$52,2,FALSE),IF(MID(N81,2,2)="WA",VLOOKUP(I81,KEY_RSD_AF!$C$5:$G$52,3,FALSE),IF(MID(N81,2,2)="HH",VLOOKUP(I81,KEY_RSD_AF!$C$5:$G$52,4,FALSE),IF(MID(N81,2,2)="WH",VLOOKUP(I81,KEY_RSD_AF!$C$5:$G$52,5,FALSE))))))</f>
        <v>1</v>
      </c>
      <c r="S81" s="256">
        <f>'RSD (DEA)'!AZ47</f>
        <v>0.96</v>
      </c>
      <c r="T81" s="256">
        <f>'RSD (DEA)'!BA47</f>
        <v>0.96</v>
      </c>
      <c r="U81" s="503">
        <v>0.5</v>
      </c>
      <c r="V81" s="252">
        <f>'RSD (DEA)'!BR47/'RSD (DEA)'!S47</f>
        <v>5.3</v>
      </c>
      <c r="W81" s="524">
        <f>'RSD (DEA)'!BS47/RSD_HeatingDemand!$AH$9</f>
        <v>0</v>
      </c>
      <c r="X81" s="256">
        <f>'RSD (DEA)'!BK47*RSD_HeatingDemand!$AH$10/'RSD (DEA)'!S47</f>
        <v>500</v>
      </c>
      <c r="Y81" s="252">
        <f>'RSD (DEA)'!BI47</f>
        <v>25</v>
      </c>
      <c r="Z81" s="252"/>
      <c r="AA81" s="257">
        <f>'RSD (DEA)'!AM47</f>
        <v>31.536000000000001</v>
      </c>
      <c r="AC81" s="235">
        <f>'RSD (DEA)'!S47</f>
        <v>10</v>
      </c>
      <c r="AD81" s="244" t="str">
        <f>LEFT('RSD (DEA)'!AK47,2)&amp;RIGHT(E81,3)</f>
        <v>RWHSA</v>
      </c>
      <c r="AE81" s="256">
        <f>'RSD (DEA)'!BA47</f>
        <v>0.96</v>
      </c>
      <c r="AF81" s="256"/>
    </row>
    <row r="82" spans="1:32" x14ac:dyDescent="0.3">
      <c r="A82" s="235"/>
      <c r="D82" s="512"/>
      <c r="E82" s="512"/>
      <c r="F82" s="515"/>
      <c r="G82" s="515"/>
      <c r="H82" s="540"/>
      <c r="I82" s="512"/>
      <c r="J82" s="242"/>
      <c r="K82" s="242"/>
      <c r="L82" s="513"/>
      <c r="M82" s="252"/>
      <c r="N82" s="244" t="str">
        <f>AD81</f>
        <v>RWHSA</v>
      </c>
      <c r="O82" s="244"/>
      <c r="P82" s="252"/>
      <c r="Q82" s="252"/>
      <c r="R82" s="525">
        <f>IF(ISBLANK(I82),IF(MID(N82,2,2)="HA",VLOOKUP(I81,KEY_RSD_AF!$C$5:$G$52,2,FALSE),IF(MID(N82,2,2)="WA",VLOOKUP(I81,KEY_RSD_AF!$C$5:$G$52,3,FALSE),IF(MID(N82,2,2)="HH",VLOOKUP(I81,KEY_RSD_AF!$C$5:$G$52,4,FALSE),IF(MID(N82,2,2)="WH",VLOOKUP(I81,KEY_RSD_AF!$C$5:$G$52,5,FALSE))))),IF(MID(N82,2,2)="HA",VLOOKUP(I82,KEY_RSD_AF!$C$5:$G$52,2,FALSE),IF(MID(N82,2,2)="WA",VLOOKUP(I82,KEY_RSD_AF!$C$5:$G$52,3,FALSE),IF(MID(N82,2,2)="HH",VLOOKUP(I82,KEY_RSD_AF!$C$5:$G$52,4,FALSE),IF(MID(N82,2,2)="WH",VLOOKUP(I82,KEY_RSD_AF!$C$5:$G$52,5,FALSE))))))</f>
        <v>1</v>
      </c>
      <c r="S82" s="503">
        <f>T81</f>
        <v>0.96</v>
      </c>
      <c r="T82" s="256"/>
      <c r="U82" s="503"/>
      <c r="V82" s="252"/>
      <c r="W82" s="524"/>
      <c r="X82" s="256"/>
      <c r="Y82" s="252"/>
      <c r="Z82" s="252"/>
      <c r="AA82" s="257"/>
      <c r="AC82" s="235"/>
      <c r="AD82" s="244"/>
      <c r="AE82" s="256"/>
      <c r="AF82" s="256"/>
    </row>
    <row r="83" spans="1:32" x14ac:dyDescent="0.3">
      <c r="A83" s="235"/>
      <c r="C83" s="528" t="str">
        <f>'RSD (DEA)'!Z48</f>
        <v>HTH_02</v>
      </c>
      <c r="D83" s="512" t="str">
        <f>RSD_HeatingDemand!N83&amp;"_"&amp;C83</f>
        <v>RHHSA_HTH_02</v>
      </c>
      <c r="E83" s="512" t="str">
        <f>"R"&amp;LEFT('RSD (DEA)'!AD48,2)&amp;IF(ISNUMBER(IFERROR(FIND("HTH",'RSD (DEA)'!Z48),IFERROR(FIND("HP",'RSD (DEA)'!Z48),"C"))),IF(IFERROR(FIND("HTH",'RSD (DEA)'!Z48),100)=100,"B","A"),"C")</f>
        <v>RHSA</v>
      </c>
      <c r="F83" s="515"/>
      <c r="G83" s="515"/>
      <c r="H83" s="540" t="str">
        <f t="shared" si="1"/>
        <v>RHHSA_HTH_07</v>
      </c>
      <c r="I83" s="512" t="str">
        <f>'RSD (DEA)'!AA48</f>
        <v>District heating Indirect substation</v>
      </c>
      <c r="J83" s="242" t="s">
        <v>239</v>
      </c>
      <c r="K83" s="242" t="s">
        <v>240</v>
      </c>
      <c r="L83" s="513" t="str">
        <f>'RSD (DEA)'!AH48</f>
        <v>RSDHTH</v>
      </c>
      <c r="M83" s="252"/>
      <c r="N83" s="244" t="str">
        <f>LEFT('RSD (DEA)'!AJ48,2)&amp;RIGHT(E83,3)</f>
        <v>RHHSA</v>
      </c>
      <c r="O83" s="252"/>
      <c r="P83" s="252">
        <f>IF('RSD (DEA)'!P48&lt;RSD_HeatingDemand!$AH$15,RSD_HeatingDemand!$AH$15,'RSD (DEA)'!P48)</f>
        <v>2019</v>
      </c>
      <c r="Q83" s="252">
        <f>IF('RSD (DEA)'!X48&lt;RSD_HeatingDemand!$AH$15,RSD_HeatingDemand!$AH$15,'RSD (DEA)'!X48)</f>
        <v>2030</v>
      </c>
      <c r="R83" s="525">
        <f>IF(ISBLANK(I83),IF(MID(N83,2,2)="HA",VLOOKUP(I82,KEY_RSD_AF!$C$5:$G$52,2,FALSE),IF(MID(N83,2,2)="WA",VLOOKUP(I82,KEY_RSD_AF!$C$5:$G$52,3,FALSE),IF(MID(N83,2,2)="HH",VLOOKUP(I82,KEY_RSD_AF!$C$5:$G$52,4,FALSE),IF(MID(N83,2,2)="WH",VLOOKUP(I82,KEY_RSD_AF!$C$5:$G$52,5,FALSE))))),IF(MID(N83,2,2)="HA",VLOOKUP(I83,KEY_RSD_AF!$C$5:$G$52,2,FALSE),IF(MID(N83,2,2)="WA",VLOOKUP(I83,KEY_RSD_AF!$C$5:$G$52,3,FALSE),IF(MID(N83,2,2)="HH",VLOOKUP(I83,KEY_RSD_AF!$C$5:$G$52,4,FALSE),IF(MID(N83,2,2)="WH",VLOOKUP(I83,KEY_RSD_AF!$C$5:$G$52,5,FALSE))))))</f>
        <v>1</v>
      </c>
      <c r="S83" s="256">
        <f>'RSD (DEA)'!AZ48</f>
        <v>0.97</v>
      </c>
      <c r="T83" s="256">
        <f>'RSD (DEA)'!BA48</f>
        <v>0.97</v>
      </c>
      <c r="U83" s="503">
        <v>0.5</v>
      </c>
      <c r="V83" s="252">
        <f>'RSD (DEA)'!BR48/'RSD (DEA)'!S48</f>
        <v>5.0999999999999996</v>
      </c>
      <c r="W83" s="524">
        <f>'RSD (DEA)'!BS48/RSD_HeatingDemand!$AH$9</f>
        <v>0</v>
      </c>
      <c r="X83" s="256">
        <f>'RSD (DEA)'!BK48*RSD_HeatingDemand!$AH$10/'RSD (DEA)'!S48</f>
        <v>500</v>
      </c>
      <c r="Y83" s="252">
        <f>'RSD (DEA)'!BI48</f>
        <v>25</v>
      </c>
      <c r="Z83" s="252"/>
      <c r="AA83" s="257">
        <f>'RSD (DEA)'!AM48</f>
        <v>31.536000000000001</v>
      </c>
      <c r="AC83" s="235">
        <f>'RSD (DEA)'!S48</f>
        <v>10</v>
      </c>
      <c r="AD83" s="244" t="str">
        <f>LEFT('RSD (DEA)'!AK48,2)&amp;RIGHT(E83,3)</f>
        <v>RWHSA</v>
      </c>
      <c r="AE83" s="256">
        <f>'RSD (DEA)'!BA48</f>
        <v>0.97</v>
      </c>
      <c r="AF83" s="256"/>
    </row>
    <row r="84" spans="1:32" x14ac:dyDescent="0.3">
      <c r="A84" s="235"/>
      <c r="D84" s="512"/>
      <c r="E84" s="512"/>
      <c r="F84" s="515"/>
      <c r="G84" s="515"/>
      <c r="H84" s="540"/>
      <c r="I84" s="512"/>
      <c r="J84" s="242"/>
      <c r="K84" s="242"/>
      <c r="L84" s="513"/>
      <c r="M84" s="252"/>
      <c r="N84" s="244" t="str">
        <f>AD83</f>
        <v>RWHSA</v>
      </c>
      <c r="O84" s="244"/>
      <c r="P84" s="252"/>
      <c r="Q84" s="252"/>
      <c r="R84" s="525">
        <f>IF(ISBLANK(I84),IF(MID(N84,2,2)="HA",VLOOKUP(I83,KEY_RSD_AF!$C$5:$G$52,2,FALSE),IF(MID(N84,2,2)="WA",VLOOKUP(I83,KEY_RSD_AF!$C$5:$G$52,3,FALSE),IF(MID(N84,2,2)="HH",VLOOKUP(I83,KEY_RSD_AF!$C$5:$G$52,4,FALSE),IF(MID(N84,2,2)="WH",VLOOKUP(I83,KEY_RSD_AF!$C$5:$G$52,5,FALSE))))),IF(MID(N84,2,2)="HA",VLOOKUP(I84,KEY_RSD_AF!$C$5:$G$52,2,FALSE),IF(MID(N84,2,2)="WA",VLOOKUP(I84,KEY_RSD_AF!$C$5:$G$52,3,FALSE),IF(MID(N84,2,2)="HH",VLOOKUP(I84,KEY_RSD_AF!$C$5:$G$52,4,FALSE),IF(MID(N84,2,2)="WH",VLOOKUP(I84,KEY_RSD_AF!$C$5:$G$52,5,FALSE))))))</f>
        <v>1</v>
      </c>
      <c r="S84" s="503">
        <f>T83</f>
        <v>0.97</v>
      </c>
      <c r="T84" s="256"/>
      <c r="U84" s="503"/>
      <c r="V84" s="252"/>
      <c r="W84" s="524"/>
      <c r="X84" s="256"/>
      <c r="Y84" s="252"/>
      <c r="Z84" s="252"/>
      <c r="AA84" s="257"/>
      <c r="AC84" s="235"/>
      <c r="AD84" s="244"/>
      <c r="AE84" s="256"/>
      <c r="AF84" s="256"/>
    </row>
    <row r="85" spans="1:32" x14ac:dyDescent="0.3">
      <c r="A85" s="235"/>
      <c r="C85" s="528" t="str">
        <f>'RSD (DEA)'!Z49</f>
        <v>HTH_02</v>
      </c>
      <c r="D85" s="512" t="str">
        <f>RSD_HeatingDemand!N85&amp;"_"&amp;C85</f>
        <v>RHHSA_HTH_02</v>
      </c>
      <c r="E85" s="512" t="str">
        <f>"R"&amp;LEFT('RSD (DEA)'!AD49,2)&amp;IF(ISNUMBER(IFERROR(FIND("HTH",'RSD (DEA)'!Z49),IFERROR(FIND("HP",'RSD (DEA)'!Z49),"C"))),IF(IFERROR(FIND("HTH",'RSD (DEA)'!Z49),100)=100,"B","A"),"C")</f>
        <v>RHSA</v>
      </c>
      <c r="F85" s="515"/>
      <c r="G85" s="515"/>
      <c r="H85" s="540" t="str">
        <f t="shared" si="1"/>
        <v>RHHSA_HTH_08</v>
      </c>
      <c r="I85" s="512" t="str">
        <f>'RSD (DEA)'!AA49</f>
        <v>District heating Indirect substation</v>
      </c>
      <c r="J85" s="242" t="s">
        <v>239</v>
      </c>
      <c r="K85" s="242" t="s">
        <v>240</v>
      </c>
      <c r="L85" s="513" t="str">
        <f>'RSD (DEA)'!AH49</f>
        <v>RSDHTH</v>
      </c>
      <c r="M85" s="252"/>
      <c r="N85" s="244" t="str">
        <f>LEFT('RSD (DEA)'!AJ49,2)&amp;RIGHT(E85,3)</f>
        <v>RHHSA</v>
      </c>
      <c r="O85" s="252"/>
      <c r="P85" s="252">
        <f>IF('RSD (DEA)'!P49&lt;RSD_HeatingDemand!$AH$15,RSD_HeatingDemand!$AH$15,'RSD (DEA)'!P49)</f>
        <v>2019</v>
      </c>
      <c r="Q85" s="252">
        <f>IF('RSD (DEA)'!X49&lt;RSD_HeatingDemand!$AH$15,RSD_HeatingDemand!$AH$15,'RSD (DEA)'!X49)</f>
        <v>2050</v>
      </c>
      <c r="R85" s="525">
        <f>IF(ISBLANK(I85),IF(MID(N85,2,2)="HA",VLOOKUP(I84,KEY_RSD_AF!$C$5:$G$52,2,FALSE),IF(MID(N85,2,2)="WA",VLOOKUP(I84,KEY_RSD_AF!$C$5:$G$52,3,FALSE),IF(MID(N85,2,2)="HH",VLOOKUP(I84,KEY_RSD_AF!$C$5:$G$52,4,FALSE),IF(MID(N85,2,2)="WH",VLOOKUP(I84,KEY_RSD_AF!$C$5:$G$52,5,FALSE))))),IF(MID(N85,2,2)="HA",VLOOKUP(I85,KEY_RSD_AF!$C$5:$G$52,2,FALSE),IF(MID(N85,2,2)="WA",VLOOKUP(I85,KEY_RSD_AF!$C$5:$G$52,3,FALSE),IF(MID(N85,2,2)="HH",VLOOKUP(I85,KEY_RSD_AF!$C$5:$G$52,4,FALSE),IF(MID(N85,2,2)="WH",VLOOKUP(I85,KEY_RSD_AF!$C$5:$G$52,5,FALSE))))))</f>
        <v>1</v>
      </c>
      <c r="S85" s="256">
        <f>'RSD (DEA)'!AZ49</f>
        <v>0.98</v>
      </c>
      <c r="T85" s="256">
        <f>'RSD (DEA)'!BA49</f>
        <v>0.98</v>
      </c>
      <c r="U85" s="503">
        <v>0.5</v>
      </c>
      <c r="V85" s="252">
        <f>'RSD (DEA)'!BR49/'RSD (DEA)'!S49</f>
        <v>4.7</v>
      </c>
      <c r="W85" s="524">
        <f>'RSD (DEA)'!BS49/RSD_HeatingDemand!$AH$9</f>
        <v>0</v>
      </c>
      <c r="X85" s="256">
        <f>'RSD (DEA)'!BK49*RSD_HeatingDemand!$AH$10/'RSD (DEA)'!S49</f>
        <v>404.5994942815276</v>
      </c>
      <c r="Y85" s="252">
        <f>'RSD (DEA)'!BI49</f>
        <v>25</v>
      </c>
      <c r="Z85" s="252"/>
      <c r="AA85" s="257">
        <f>'RSD (DEA)'!AM49</f>
        <v>31.536000000000001</v>
      </c>
      <c r="AC85" s="235">
        <f>'RSD (DEA)'!S49</f>
        <v>10</v>
      </c>
      <c r="AD85" s="244" t="str">
        <f>LEFT('RSD (DEA)'!AK49,2)&amp;RIGHT(E85,3)</f>
        <v>RWHSA</v>
      </c>
      <c r="AE85" s="256">
        <f>'RSD (DEA)'!BA49</f>
        <v>0.98</v>
      </c>
      <c r="AF85" s="256"/>
    </row>
    <row r="86" spans="1:32" x14ac:dyDescent="0.3">
      <c r="A86" s="235"/>
      <c r="D86" s="512"/>
      <c r="E86" s="512"/>
      <c r="F86" s="515"/>
      <c r="G86" s="515"/>
      <c r="H86" s="540"/>
      <c r="I86" s="512"/>
      <c r="J86" s="242"/>
      <c r="K86" s="242"/>
      <c r="L86" s="513"/>
      <c r="M86" s="252"/>
      <c r="N86" s="244" t="str">
        <f>AD85</f>
        <v>RWHSA</v>
      </c>
      <c r="O86" s="244"/>
      <c r="P86" s="252"/>
      <c r="Q86" s="252"/>
      <c r="R86" s="525">
        <f>IF(ISBLANK(I86),IF(MID(N86,2,2)="HA",VLOOKUP(I85,KEY_RSD_AF!$C$5:$G$52,2,FALSE),IF(MID(N86,2,2)="WA",VLOOKUP(I85,KEY_RSD_AF!$C$5:$G$52,3,FALSE),IF(MID(N86,2,2)="HH",VLOOKUP(I85,KEY_RSD_AF!$C$5:$G$52,4,FALSE),IF(MID(N86,2,2)="WH",VLOOKUP(I85,KEY_RSD_AF!$C$5:$G$52,5,FALSE))))),IF(MID(N86,2,2)="HA",VLOOKUP(I86,KEY_RSD_AF!$C$5:$G$52,2,FALSE),IF(MID(N86,2,2)="WA",VLOOKUP(I86,KEY_RSD_AF!$C$5:$G$52,3,FALSE),IF(MID(N86,2,2)="HH",VLOOKUP(I86,KEY_RSD_AF!$C$5:$G$52,4,FALSE),IF(MID(N86,2,2)="WH",VLOOKUP(I86,KEY_RSD_AF!$C$5:$G$52,5,FALSE))))))</f>
        <v>1</v>
      </c>
      <c r="S86" s="503">
        <f>T85</f>
        <v>0.98</v>
      </c>
      <c r="T86" s="256"/>
      <c r="U86" s="503"/>
      <c r="V86" s="252"/>
      <c r="W86" s="524"/>
      <c r="X86" s="256"/>
      <c r="Y86" s="252"/>
      <c r="Z86" s="252"/>
      <c r="AA86" s="257"/>
      <c r="AC86" s="235"/>
      <c r="AD86" s="244"/>
      <c r="AE86" s="256"/>
      <c r="AF86" s="256"/>
    </row>
    <row r="87" spans="1:32" x14ac:dyDescent="0.3">
      <c r="A87" s="235"/>
      <c r="C87" s="528" t="str">
        <f>'RSD (DEA)'!Z50</f>
        <v>HTH_03</v>
      </c>
      <c r="D87" s="512" t="str">
        <f>RSD_HeatingDemand!N87&amp;"_"&amp;LEFT(C87,LEN(C87)-2)&amp;"01"</f>
        <v>RHAPA_HTH_01</v>
      </c>
      <c r="E87" s="512" t="str">
        <f>"R"&amp;LEFT('RSD (DEA)'!AD50,2)&amp;IF(ISNUMBER(IFERROR(FIND("HTH",'RSD (DEA)'!Z50),IFERROR(FIND("HP",'RSD (DEA)'!Z50),"C"))),IF(IFERROR(FIND("HTH",'RSD (DEA)'!Z50),100)=100,"B","A"),"C")</f>
        <v>RAPA</v>
      </c>
      <c r="F87" s="515"/>
      <c r="G87" s="515"/>
      <c r="H87" s="540" t="str">
        <f t="shared" si="1"/>
        <v>RHAPA_HTH_01</v>
      </c>
      <c r="I87" s="512" t="str">
        <f>'RSD (DEA)'!AA50</f>
        <v>District heating Indirect substation</v>
      </c>
      <c r="J87" s="242" t="s">
        <v>239</v>
      </c>
      <c r="K87" s="242" t="s">
        <v>240</v>
      </c>
      <c r="L87" s="513" t="str">
        <f>'RSD (DEA)'!AH50</f>
        <v>RSDHTH</v>
      </c>
      <c r="M87" s="252"/>
      <c r="N87" s="244" t="str">
        <f>LEFT('RSD (DEA)'!AJ50,2)&amp;RIGHT(E87,3)</f>
        <v>RHAPA</v>
      </c>
      <c r="O87" s="252"/>
      <c r="P87" s="252">
        <f>IF('RSD (DEA)'!P50&lt;RSD_HeatingDemand!$AH$15,RSD_HeatingDemand!$AH$15,'RSD (DEA)'!P50)</f>
        <v>2019</v>
      </c>
      <c r="Q87" s="252">
        <f>IF('RSD (DEA)'!X50&lt;RSD_HeatingDemand!$AH$15,RSD_HeatingDemand!$AH$15,'RSD (DEA)'!X50)</f>
        <v>2019</v>
      </c>
      <c r="R87" s="525">
        <f>IF(ISBLANK(I87),IF(MID(N87,2,2)="HA",VLOOKUP(I86,KEY_RSD_AF!$C$5:$G$52,2,FALSE),IF(MID(N87,2,2)="WA",VLOOKUP(I86,KEY_RSD_AF!$C$5:$G$52,3,FALSE),IF(MID(N87,2,2)="HH",VLOOKUP(I86,KEY_RSD_AF!$C$5:$G$52,4,FALSE),IF(MID(N87,2,2)="WH",VLOOKUP(I86,KEY_RSD_AF!$C$5:$G$52,5,FALSE))))),IF(MID(N87,2,2)="HA",VLOOKUP(I87,KEY_RSD_AF!$C$5:$G$52,2,FALSE),IF(MID(N87,2,2)="WA",VLOOKUP(I87,KEY_RSD_AF!$C$5:$G$52,3,FALSE),IF(MID(N87,2,2)="HH",VLOOKUP(I87,KEY_RSD_AF!$C$5:$G$52,4,FALSE),IF(MID(N87,2,2)="WH",VLOOKUP(I87,KEY_RSD_AF!$C$5:$G$52,5,FALSE))))))</f>
        <v>1</v>
      </c>
      <c r="S87" s="256">
        <f>'RSD (DEA)'!AZ50</f>
        <v>1</v>
      </c>
      <c r="T87" s="256">
        <f>'RSD (DEA)'!BA50</f>
        <v>1</v>
      </c>
      <c r="U87" s="503">
        <v>0.5</v>
      </c>
      <c r="V87" s="252">
        <f>'RSD (DEA)'!BR50/'RSD (DEA)'!S50</f>
        <v>0.34700000000000003</v>
      </c>
      <c r="W87" s="524">
        <f>'RSD (DEA)'!BS50/RSD_HeatingDemand!$AH$9</f>
        <v>0</v>
      </c>
      <c r="X87" s="256">
        <f>'RSD (DEA)'!BK50*RSD_HeatingDemand!$AH$10/'RSD (DEA)'!S50</f>
        <v>50</v>
      </c>
      <c r="Y87" s="252">
        <f>'RSD (DEA)'!BI50</f>
        <v>25</v>
      </c>
      <c r="Z87" s="252"/>
      <c r="AA87" s="257">
        <f>'RSD (DEA)'!AM50</f>
        <v>31.536000000000001</v>
      </c>
      <c r="AC87" s="235">
        <f>'RSD (DEA)'!S50</f>
        <v>400</v>
      </c>
      <c r="AD87" s="244" t="str">
        <f>LEFT('RSD (DEA)'!AK50,2)&amp;RIGHT(E87,3)</f>
        <v>RWAPA</v>
      </c>
      <c r="AE87" s="256">
        <f>'RSD (DEA)'!BA50</f>
        <v>1</v>
      </c>
      <c r="AF87" s="256"/>
    </row>
    <row r="88" spans="1:32" x14ac:dyDescent="0.3">
      <c r="A88" s="235"/>
      <c r="D88" s="512"/>
      <c r="E88" s="512"/>
      <c r="F88" s="515"/>
      <c r="G88" s="515"/>
      <c r="H88" s="540"/>
      <c r="I88" s="512"/>
      <c r="J88" s="242"/>
      <c r="K88" s="242"/>
      <c r="L88" s="513"/>
      <c r="M88" s="252"/>
      <c r="N88" s="244" t="str">
        <f>AD87</f>
        <v>RWAPA</v>
      </c>
      <c r="O88" s="244"/>
      <c r="P88" s="252"/>
      <c r="Q88" s="252"/>
      <c r="R88" s="525">
        <f>IF(ISBLANK(I88),IF(MID(N88,2,2)="HA",VLOOKUP(I87,KEY_RSD_AF!$C$5:$G$52,2,FALSE),IF(MID(N88,2,2)="WA",VLOOKUP(I87,KEY_RSD_AF!$C$5:$G$52,3,FALSE),IF(MID(N88,2,2)="HH",VLOOKUP(I87,KEY_RSD_AF!$C$5:$G$52,4,FALSE),IF(MID(N88,2,2)="WH",VLOOKUP(I87,KEY_RSD_AF!$C$5:$G$52,5,FALSE))))),IF(MID(N88,2,2)="HA",VLOOKUP(I88,KEY_RSD_AF!$C$5:$G$52,2,FALSE),IF(MID(N88,2,2)="WA",VLOOKUP(I88,KEY_RSD_AF!$C$5:$G$52,3,FALSE),IF(MID(N88,2,2)="HH",VLOOKUP(I88,KEY_RSD_AF!$C$5:$G$52,4,FALSE),IF(MID(N88,2,2)="WH",VLOOKUP(I88,KEY_RSD_AF!$C$5:$G$52,5,FALSE))))))</f>
        <v>1</v>
      </c>
      <c r="S88" s="503">
        <f>T87</f>
        <v>1</v>
      </c>
      <c r="T88" s="256"/>
      <c r="U88" s="503"/>
      <c r="V88" s="252"/>
      <c r="W88" s="524"/>
      <c r="X88" s="256"/>
      <c r="Y88" s="252"/>
      <c r="Z88" s="252"/>
      <c r="AA88" s="257"/>
      <c r="AC88" s="235"/>
      <c r="AD88" s="244"/>
      <c r="AE88" s="256"/>
      <c r="AF88" s="256"/>
    </row>
    <row r="89" spans="1:32" x14ac:dyDescent="0.3">
      <c r="A89" s="235"/>
      <c r="C89" s="528" t="str">
        <f>'RSD (DEA)'!Z51</f>
        <v>HTH_03</v>
      </c>
      <c r="D89" s="512" t="str">
        <f>RSD_HeatingDemand!N89&amp;"_"&amp;LEFT(C89,LEN(C89)-2)&amp;"01"</f>
        <v>RHAPA_HTH_01</v>
      </c>
      <c r="E89" s="512" t="str">
        <f>"R"&amp;LEFT('RSD (DEA)'!AD51,2)&amp;IF(ISNUMBER(IFERROR(FIND("HTH",'RSD (DEA)'!Z51),IFERROR(FIND("HP",'RSD (DEA)'!Z51),"C"))),IF(IFERROR(FIND("HTH",'RSD (DEA)'!Z51),100)=100,"B","A"),"C")</f>
        <v>RAPA</v>
      </c>
      <c r="F89" s="515"/>
      <c r="G89" s="515"/>
      <c r="H89" s="540" t="str">
        <f t="shared" si="1"/>
        <v>RHAPA_HTH_02</v>
      </c>
      <c r="I89" s="512" t="str">
        <f>'RSD (DEA)'!AA51</f>
        <v>District heating Indirect substation</v>
      </c>
      <c r="J89" s="242" t="s">
        <v>239</v>
      </c>
      <c r="K89" s="242" t="s">
        <v>240</v>
      </c>
      <c r="L89" s="513" t="str">
        <f>'RSD (DEA)'!AH51</f>
        <v>RSDHTH</v>
      </c>
      <c r="M89" s="252"/>
      <c r="N89" s="244" t="str">
        <f>LEFT('RSD (DEA)'!AJ51,2)&amp;RIGHT(E89,3)</f>
        <v>RHAPA</v>
      </c>
      <c r="O89" s="252"/>
      <c r="P89" s="252">
        <f>IF('RSD (DEA)'!P51&lt;RSD_HeatingDemand!$AH$15,RSD_HeatingDemand!$AH$15,'RSD (DEA)'!P51)</f>
        <v>2019</v>
      </c>
      <c r="Q89" s="252">
        <f>IF('RSD (DEA)'!X51&lt;RSD_HeatingDemand!$AH$15,RSD_HeatingDemand!$AH$15,'RSD (DEA)'!X51)</f>
        <v>2020</v>
      </c>
      <c r="R89" s="525">
        <f>IF(ISBLANK(I89),IF(MID(N89,2,2)="HA",VLOOKUP(I88,KEY_RSD_AF!$C$5:$G$52,2,FALSE),IF(MID(N89,2,2)="WA",VLOOKUP(I88,KEY_RSD_AF!$C$5:$G$52,3,FALSE),IF(MID(N89,2,2)="HH",VLOOKUP(I88,KEY_RSD_AF!$C$5:$G$52,4,FALSE),IF(MID(N89,2,2)="WH",VLOOKUP(I88,KEY_RSD_AF!$C$5:$G$52,5,FALSE))))),IF(MID(N89,2,2)="HA",VLOOKUP(I89,KEY_RSD_AF!$C$5:$G$52,2,FALSE),IF(MID(N89,2,2)="WA",VLOOKUP(I89,KEY_RSD_AF!$C$5:$G$52,3,FALSE),IF(MID(N89,2,2)="HH",VLOOKUP(I89,KEY_RSD_AF!$C$5:$G$52,4,FALSE),IF(MID(N89,2,2)="WH",VLOOKUP(I89,KEY_RSD_AF!$C$5:$G$52,5,FALSE))))))</f>
        <v>1</v>
      </c>
      <c r="S89" s="256">
        <f>'RSD (DEA)'!AZ51</f>
        <v>1</v>
      </c>
      <c r="T89" s="256">
        <f>'RSD (DEA)'!BA51</f>
        <v>1</v>
      </c>
      <c r="U89" s="503">
        <v>0.5</v>
      </c>
      <c r="V89" s="252">
        <f>'RSD (DEA)'!BR51/'RSD (DEA)'!S51</f>
        <v>0.34</v>
      </c>
      <c r="W89" s="524">
        <f>'RSD (DEA)'!BS51/RSD_HeatingDemand!$AH$9</f>
        <v>0</v>
      </c>
      <c r="X89" s="256">
        <f>'RSD (DEA)'!BK51*RSD_HeatingDemand!$AH$10/'RSD (DEA)'!S51</f>
        <v>50</v>
      </c>
      <c r="Y89" s="252">
        <f>'RSD (DEA)'!BI51</f>
        <v>25</v>
      </c>
      <c r="Z89" s="252"/>
      <c r="AA89" s="257">
        <f>'RSD (DEA)'!AM51</f>
        <v>31.536000000000001</v>
      </c>
      <c r="AC89" s="235">
        <f>'RSD (DEA)'!S51</f>
        <v>400</v>
      </c>
      <c r="AD89" s="244" t="str">
        <f>LEFT('RSD (DEA)'!AK51,2)&amp;RIGHT(E89,3)</f>
        <v>RWAPA</v>
      </c>
      <c r="AE89" s="256">
        <f>'RSD (DEA)'!BA51</f>
        <v>1</v>
      </c>
      <c r="AF89" s="256"/>
    </row>
    <row r="90" spans="1:32" x14ac:dyDescent="0.3">
      <c r="A90" s="235"/>
      <c r="D90" s="512"/>
      <c r="E90" s="512"/>
      <c r="F90" s="515"/>
      <c r="G90" s="515"/>
      <c r="H90" s="540"/>
      <c r="I90" s="512"/>
      <c r="J90" s="242"/>
      <c r="K90" s="242"/>
      <c r="L90" s="513"/>
      <c r="M90" s="252"/>
      <c r="N90" s="244" t="str">
        <f>AD89</f>
        <v>RWAPA</v>
      </c>
      <c r="O90" s="244"/>
      <c r="P90" s="252"/>
      <c r="Q90" s="252"/>
      <c r="R90" s="525">
        <f>IF(ISBLANK(I90),IF(MID(N90,2,2)="HA",VLOOKUP(I89,KEY_RSD_AF!$C$5:$G$52,2,FALSE),IF(MID(N90,2,2)="WA",VLOOKUP(I89,KEY_RSD_AF!$C$5:$G$52,3,FALSE),IF(MID(N90,2,2)="HH",VLOOKUP(I89,KEY_RSD_AF!$C$5:$G$52,4,FALSE),IF(MID(N90,2,2)="WH",VLOOKUP(I89,KEY_RSD_AF!$C$5:$G$52,5,FALSE))))),IF(MID(N90,2,2)="HA",VLOOKUP(I90,KEY_RSD_AF!$C$5:$G$52,2,FALSE),IF(MID(N90,2,2)="WA",VLOOKUP(I90,KEY_RSD_AF!$C$5:$G$52,3,FALSE),IF(MID(N90,2,2)="HH",VLOOKUP(I90,KEY_RSD_AF!$C$5:$G$52,4,FALSE),IF(MID(N90,2,2)="WH",VLOOKUP(I90,KEY_RSD_AF!$C$5:$G$52,5,FALSE))))))</f>
        <v>1</v>
      </c>
      <c r="S90" s="503">
        <f>T89</f>
        <v>1</v>
      </c>
      <c r="T90" s="256"/>
      <c r="U90" s="503"/>
      <c r="V90" s="252"/>
      <c r="W90" s="524"/>
      <c r="X90" s="256"/>
      <c r="Y90" s="252"/>
      <c r="Z90" s="252"/>
      <c r="AA90" s="257"/>
      <c r="AC90" s="235"/>
      <c r="AD90" s="244"/>
      <c r="AE90" s="256"/>
      <c r="AF90" s="256"/>
    </row>
    <row r="91" spans="1:32" x14ac:dyDescent="0.3">
      <c r="A91" s="235"/>
      <c r="C91" s="528" t="str">
        <f>'RSD (DEA)'!Z52</f>
        <v>HTH_03</v>
      </c>
      <c r="D91" s="512" t="str">
        <f>RSD_HeatingDemand!N91&amp;"_"&amp;LEFT(C91,LEN(C91)-2)&amp;"01"</f>
        <v>RHAPA_HTH_01</v>
      </c>
      <c r="E91" s="512" t="str">
        <f>"R"&amp;LEFT('RSD (DEA)'!AD52,2)&amp;IF(ISNUMBER(IFERROR(FIND("HTH",'RSD (DEA)'!Z52),IFERROR(FIND("HP",'RSD (DEA)'!Z52),"C"))),IF(IFERROR(FIND("HTH",'RSD (DEA)'!Z52),100)=100,"B","A"),"C")</f>
        <v>RAPA</v>
      </c>
      <c r="F91" s="515"/>
      <c r="G91" s="515"/>
      <c r="H91" s="540" t="str">
        <f t="shared" si="1"/>
        <v>RHAPA_HTH_03</v>
      </c>
      <c r="I91" s="512" t="str">
        <f>'RSD (DEA)'!AA52</f>
        <v>District heating Indirect substation</v>
      </c>
      <c r="J91" s="242" t="s">
        <v>239</v>
      </c>
      <c r="K91" s="242" t="s">
        <v>240</v>
      </c>
      <c r="L91" s="513" t="str">
        <f>'RSD (DEA)'!AH52</f>
        <v>RSDHTH</v>
      </c>
      <c r="M91" s="252"/>
      <c r="N91" s="244" t="str">
        <f>LEFT('RSD (DEA)'!AJ52,2)&amp;RIGHT(E91,3)</f>
        <v>RHAPA</v>
      </c>
      <c r="O91" s="252"/>
      <c r="P91" s="252">
        <f>IF('RSD (DEA)'!P52&lt;RSD_HeatingDemand!$AH$15,RSD_HeatingDemand!$AH$15,'RSD (DEA)'!P52)</f>
        <v>2019</v>
      </c>
      <c r="Q91" s="252">
        <f>IF('RSD (DEA)'!X52&lt;RSD_HeatingDemand!$AH$15,RSD_HeatingDemand!$AH$15,'RSD (DEA)'!X52)</f>
        <v>2030</v>
      </c>
      <c r="R91" s="525">
        <f>IF(ISBLANK(I91),IF(MID(N91,2,2)="HA",VLOOKUP(I90,KEY_RSD_AF!$C$5:$G$52,2,FALSE),IF(MID(N91,2,2)="WA",VLOOKUP(I90,KEY_RSD_AF!$C$5:$G$52,3,FALSE),IF(MID(N91,2,2)="HH",VLOOKUP(I90,KEY_RSD_AF!$C$5:$G$52,4,FALSE),IF(MID(N91,2,2)="WH",VLOOKUP(I90,KEY_RSD_AF!$C$5:$G$52,5,FALSE))))),IF(MID(N91,2,2)="HA",VLOOKUP(I91,KEY_RSD_AF!$C$5:$G$52,2,FALSE),IF(MID(N91,2,2)="WA",VLOOKUP(I91,KEY_RSD_AF!$C$5:$G$52,3,FALSE),IF(MID(N91,2,2)="HH",VLOOKUP(I91,KEY_RSD_AF!$C$5:$G$52,4,FALSE),IF(MID(N91,2,2)="WH",VLOOKUP(I91,KEY_RSD_AF!$C$5:$G$52,5,FALSE))))))</f>
        <v>1</v>
      </c>
      <c r="S91" s="256">
        <f>'RSD (DEA)'!AZ52</f>
        <v>1</v>
      </c>
      <c r="T91" s="256">
        <f>'RSD (DEA)'!BA52</f>
        <v>1</v>
      </c>
      <c r="U91" s="503">
        <v>0.5</v>
      </c>
      <c r="V91" s="252">
        <f>'RSD (DEA)'!BR52/'RSD (DEA)'!S52</f>
        <v>0.36</v>
      </c>
      <c r="W91" s="524">
        <f>'RSD (DEA)'!BS52/RSD_HeatingDemand!$AH$9</f>
        <v>0</v>
      </c>
      <c r="X91" s="256">
        <f>'RSD (DEA)'!BK52*RSD_HeatingDemand!$AH$10/'RSD (DEA)'!S52</f>
        <v>47.5</v>
      </c>
      <c r="Y91" s="252">
        <f>'RSD (DEA)'!BI52</f>
        <v>25</v>
      </c>
      <c r="Z91" s="252"/>
      <c r="AA91" s="257">
        <f>'RSD (DEA)'!AM52</f>
        <v>31.536000000000001</v>
      </c>
      <c r="AC91" s="235">
        <f>'RSD (DEA)'!S52</f>
        <v>400</v>
      </c>
      <c r="AD91" s="244" t="str">
        <f>LEFT('RSD (DEA)'!AK52,2)&amp;RIGHT(E91,3)</f>
        <v>RWAPA</v>
      </c>
      <c r="AE91" s="256">
        <f>'RSD (DEA)'!BA52</f>
        <v>1</v>
      </c>
      <c r="AF91" s="256"/>
    </row>
    <row r="92" spans="1:32" x14ac:dyDescent="0.3">
      <c r="A92" s="235"/>
      <c r="D92" s="512"/>
      <c r="E92" s="512"/>
      <c r="F92" s="515"/>
      <c r="G92" s="515"/>
      <c r="H92" s="540"/>
      <c r="I92" s="512"/>
      <c r="J92" s="242"/>
      <c r="K92" s="242"/>
      <c r="L92" s="513"/>
      <c r="M92" s="252"/>
      <c r="N92" s="244" t="str">
        <f>AD91</f>
        <v>RWAPA</v>
      </c>
      <c r="O92" s="244"/>
      <c r="P92" s="252"/>
      <c r="Q92" s="252"/>
      <c r="R92" s="525">
        <f>IF(ISBLANK(I92),IF(MID(N92,2,2)="HA",VLOOKUP(I91,KEY_RSD_AF!$C$5:$G$52,2,FALSE),IF(MID(N92,2,2)="WA",VLOOKUP(I91,KEY_RSD_AF!$C$5:$G$52,3,FALSE),IF(MID(N92,2,2)="HH",VLOOKUP(I91,KEY_RSD_AF!$C$5:$G$52,4,FALSE),IF(MID(N92,2,2)="WH",VLOOKUP(I91,KEY_RSD_AF!$C$5:$G$52,5,FALSE))))),IF(MID(N92,2,2)="HA",VLOOKUP(I92,KEY_RSD_AF!$C$5:$G$52,2,FALSE),IF(MID(N92,2,2)="WA",VLOOKUP(I92,KEY_RSD_AF!$C$5:$G$52,3,FALSE),IF(MID(N92,2,2)="HH",VLOOKUP(I92,KEY_RSD_AF!$C$5:$G$52,4,FALSE),IF(MID(N92,2,2)="WH",VLOOKUP(I92,KEY_RSD_AF!$C$5:$G$52,5,FALSE))))))</f>
        <v>1</v>
      </c>
      <c r="S92" s="503">
        <f>T91</f>
        <v>1</v>
      </c>
      <c r="T92" s="256"/>
      <c r="U92" s="503"/>
      <c r="V92" s="252"/>
      <c r="W92" s="524"/>
      <c r="X92" s="256"/>
      <c r="Y92" s="252"/>
      <c r="Z92" s="252"/>
      <c r="AA92" s="257"/>
      <c r="AC92" s="235"/>
      <c r="AD92" s="244"/>
      <c r="AE92" s="256"/>
      <c r="AF92" s="256"/>
    </row>
    <row r="93" spans="1:32" x14ac:dyDescent="0.3">
      <c r="A93" s="235"/>
      <c r="C93" s="528" t="str">
        <f>'RSD (DEA)'!Z53</f>
        <v>HTH_03</v>
      </c>
      <c r="D93" s="512" t="str">
        <f>RSD_HeatingDemand!N93&amp;"_"&amp;LEFT(C93,LEN(C93)-2)&amp;"01"</f>
        <v>RHAPA_HTH_01</v>
      </c>
      <c r="E93" s="512" t="str">
        <f>"R"&amp;LEFT('RSD (DEA)'!AD53,2)&amp;IF(ISNUMBER(IFERROR(FIND("HTH",'RSD (DEA)'!Z53),IFERROR(FIND("HP",'RSD (DEA)'!Z53),"C"))),IF(IFERROR(FIND("HTH",'RSD (DEA)'!Z53),100)=100,"B","A"),"C")</f>
        <v>RAPA</v>
      </c>
      <c r="F93" s="515"/>
      <c r="G93" s="515"/>
      <c r="H93" s="540" t="str">
        <f t="shared" si="1"/>
        <v>RHAPA_HTH_04</v>
      </c>
      <c r="I93" s="512" t="str">
        <f>'RSD (DEA)'!AA53</f>
        <v>District heating Indirect substation</v>
      </c>
      <c r="J93" s="242" t="s">
        <v>239</v>
      </c>
      <c r="K93" s="242" t="s">
        <v>240</v>
      </c>
      <c r="L93" s="513" t="str">
        <f>'RSD (DEA)'!AH53</f>
        <v>RSDHTH</v>
      </c>
      <c r="M93" s="252"/>
      <c r="N93" s="244" t="str">
        <f>LEFT('RSD (DEA)'!AJ53,2)&amp;RIGHT(E93,3)</f>
        <v>RHAPA</v>
      </c>
      <c r="O93" s="252"/>
      <c r="P93" s="252">
        <f>IF('RSD (DEA)'!P53&lt;RSD_HeatingDemand!$AH$15,RSD_HeatingDemand!$AH$15,'RSD (DEA)'!P53)</f>
        <v>2019</v>
      </c>
      <c r="Q93" s="252">
        <f>IF('RSD (DEA)'!X53&lt;RSD_HeatingDemand!$AH$15,RSD_HeatingDemand!$AH$15,'RSD (DEA)'!X53)</f>
        <v>2050</v>
      </c>
      <c r="R93" s="525">
        <f>IF(ISBLANK(I93),IF(MID(N93,2,2)="HA",VLOOKUP(I92,KEY_RSD_AF!$C$5:$G$52,2,FALSE),IF(MID(N93,2,2)="WA",VLOOKUP(I92,KEY_RSD_AF!$C$5:$G$52,3,FALSE),IF(MID(N93,2,2)="HH",VLOOKUP(I92,KEY_RSD_AF!$C$5:$G$52,4,FALSE),IF(MID(N93,2,2)="WH",VLOOKUP(I92,KEY_RSD_AF!$C$5:$G$52,5,FALSE))))),IF(MID(N93,2,2)="HA",VLOOKUP(I93,KEY_RSD_AF!$C$5:$G$52,2,FALSE),IF(MID(N93,2,2)="WA",VLOOKUP(I93,KEY_RSD_AF!$C$5:$G$52,3,FALSE),IF(MID(N93,2,2)="HH",VLOOKUP(I93,KEY_RSD_AF!$C$5:$G$52,4,FALSE),IF(MID(N93,2,2)="WH",VLOOKUP(I93,KEY_RSD_AF!$C$5:$G$52,5,FALSE))))))</f>
        <v>1</v>
      </c>
      <c r="S93" s="256">
        <f>'RSD (DEA)'!AZ53</f>
        <v>1</v>
      </c>
      <c r="T93" s="256">
        <f>'RSD (DEA)'!BA53</f>
        <v>1</v>
      </c>
      <c r="U93" s="503">
        <v>0.5</v>
      </c>
      <c r="V93" s="252">
        <f>'RSD (DEA)'!BR53/'RSD (DEA)'!S53</f>
        <v>0.33</v>
      </c>
      <c r="W93" s="524">
        <f>'RSD (DEA)'!BS53/RSD_HeatingDemand!$AH$9</f>
        <v>0</v>
      </c>
      <c r="X93" s="256">
        <f>'RSD (DEA)'!BK53*RSD_HeatingDemand!$AH$10/'RSD (DEA)'!S53</f>
        <v>42.5</v>
      </c>
      <c r="Y93" s="252">
        <f>'RSD (DEA)'!BI53</f>
        <v>25</v>
      </c>
      <c r="Z93" s="252"/>
      <c r="AA93" s="257">
        <f>'RSD (DEA)'!AM53</f>
        <v>31.536000000000001</v>
      </c>
      <c r="AC93" s="235">
        <f>'RSD (DEA)'!S53</f>
        <v>400</v>
      </c>
      <c r="AD93" s="244" t="str">
        <f>LEFT('RSD (DEA)'!AK53,2)&amp;RIGHT(E93,3)</f>
        <v>RWAPA</v>
      </c>
      <c r="AE93" s="256">
        <f>'RSD (DEA)'!BA53</f>
        <v>1</v>
      </c>
      <c r="AF93" s="256"/>
    </row>
    <row r="94" spans="1:32" x14ac:dyDescent="0.3">
      <c r="A94" s="235"/>
      <c r="D94" s="512"/>
      <c r="E94" s="512"/>
      <c r="F94" s="515"/>
      <c r="G94" s="515"/>
      <c r="H94" s="540"/>
      <c r="I94" s="512"/>
      <c r="J94" s="242"/>
      <c r="K94" s="242"/>
      <c r="L94" s="513"/>
      <c r="M94" s="252"/>
      <c r="N94" s="244" t="str">
        <f>AD93</f>
        <v>RWAPA</v>
      </c>
      <c r="O94" s="244"/>
      <c r="P94" s="252"/>
      <c r="Q94" s="252"/>
      <c r="R94" s="525">
        <f>IF(ISBLANK(I94),IF(MID(N94,2,2)="HA",VLOOKUP(I93,KEY_RSD_AF!$C$5:$G$52,2,FALSE),IF(MID(N94,2,2)="WA",VLOOKUP(I93,KEY_RSD_AF!$C$5:$G$52,3,FALSE),IF(MID(N94,2,2)="HH",VLOOKUP(I93,KEY_RSD_AF!$C$5:$G$52,4,FALSE),IF(MID(N94,2,2)="WH",VLOOKUP(I93,KEY_RSD_AF!$C$5:$G$52,5,FALSE))))),IF(MID(N94,2,2)="HA",VLOOKUP(I94,KEY_RSD_AF!$C$5:$G$52,2,FALSE),IF(MID(N94,2,2)="WA",VLOOKUP(I94,KEY_RSD_AF!$C$5:$G$52,3,FALSE),IF(MID(N94,2,2)="HH",VLOOKUP(I94,KEY_RSD_AF!$C$5:$G$52,4,FALSE),IF(MID(N94,2,2)="WH",VLOOKUP(I94,KEY_RSD_AF!$C$5:$G$52,5,FALSE))))))</f>
        <v>1</v>
      </c>
      <c r="S94" s="503">
        <f>T93</f>
        <v>1</v>
      </c>
      <c r="T94" s="256"/>
      <c r="U94" s="503"/>
      <c r="V94" s="252"/>
      <c r="W94" s="524"/>
      <c r="X94" s="256"/>
      <c r="Y94" s="252"/>
      <c r="Z94" s="252"/>
      <c r="AA94" s="257"/>
      <c r="AC94" s="235"/>
      <c r="AD94" s="244"/>
      <c r="AE94" s="256"/>
      <c r="AF94" s="256"/>
    </row>
    <row r="95" spans="1:32" x14ac:dyDescent="0.3">
      <c r="A95" s="235"/>
      <c r="C95" s="528" t="str">
        <f>'RSD (DEA)'!Z54</f>
        <v>HTH_04</v>
      </c>
      <c r="D95" s="512" t="str">
        <f>RSD_HeatingDemand!N95&amp;"_"&amp;LEFT(C95,LEN(C95)-2)&amp;"02"</f>
        <v>RHAPA_HTH_02</v>
      </c>
      <c r="E95" s="512" t="str">
        <f>"R"&amp;LEFT('RSD (DEA)'!AD54,2)&amp;IF(ISNUMBER(IFERROR(FIND("HTH",'RSD (DEA)'!Z54),IFERROR(FIND("HP",'RSD (DEA)'!Z54),"C"))),IF(IFERROR(FIND("HTH",'RSD (DEA)'!Z54),100)=100,"B","A"),"C")</f>
        <v>RAPA</v>
      </c>
      <c r="F95" s="515"/>
      <c r="G95" s="515"/>
      <c r="H95" s="540" t="str">
        <f t="shared" si="1"/>
        <v>RHAPA_HTH_05</v>
      </c>
      <c r="I95" s="512" t="str">
        <f>'RSD (DEA)'!AA54</f>
        <v>District heating Indirect substation</v>
      </c>
      <c r="J95" s="242" t="s">
        <v>239</v>
      </c>
      <c r="K95" s="242" t="s">
        <v>240</v>
      </c>
      <c r="L95" s="513" t="str">
        <f>'RSD (DEA)'!AH54</f>
        <v>RSDHTH</v>
      </c>
      <c r="M95" s="252"/>
      <c r="N95" s="244" t="str">
        <f>LEFT('RSD (DEA)'!AJ54,2)&amp;RIGHT(E95,3)</f>
        <v>RHAPA</v>
      </c>
      <c r="O95" s="252"/>
      <c r="P95" s="252">
        <f>IF('RSD (DEA)'!P54&lt;RSD_HeatingDemand!$AH$15,RSD_HeatingDemand!$AH$15,'RSD (DEA)'!P54)</f>
        <v>2019</v>
      </c>
      <c r="Q95" s="252">
        <f>IF('RSD (DEA)'!X54&lt;RSD_HeatingDemand!$AH$15,RSD_HeatingDemand!$AH$15,'RSD (DEA)'!X54)</f>
        <v>2019</v>
      </c>
      <c r="R95" s="525">
        <f>IF(ISBLANK(I95),IF(MID(N95,2,2)="HA",VLOOKUP(I94,KEY_RSD_AF!$C$5:$G$52,2,FALSE),IF(MID(N95,2,2)="WA",VLOOKUP(I94,KEY_RSD_AF!$C$5:$G$52,3,FALSE),IF(MID(N95,2,2)="HH",VLOOKUP(I94,KEY_RSD_AF!$C$5:$G$52,4,FALSE),IF(MID(N95,2,2)="WH",VLOOKUP(I94,KEY_RSD_AF!$C$5:$G$52,5,FALSE))))),IF(MID(N95,2,2)="HA",VLOOKUP(I95,KEY_RSD_AF!$C$5:$G$52,2,FALSE),IF(MID(N95,2,2)="WA",VLOOKUP(I95,KEY_RSD_AF!$C$5:$G$52,3,FALSE),IF(MID(N95,2,2)="HH",VLOOKUP(I95,KEY_RSD_AF!$C$5:$G$52,4,FALSE),IF(MID(N95,2,2)="WH",VLOOKUP(I95,KEY_RSD_AF!$C$5:$G$52,5,FALSE))))))</f>
        <v>1</v>
      </c>
      <c r="S95" s="256">
        <f>'RSD (DEA)'!AZ54</f>
        <v>1</v>
      </c>
      <c r="T95" s="256">
        <f>'RSD (DEA)'!BA54</f>
        <v>1</v>
      </c>
      <c r="U95" s="503">
        <v>0.5</v>
      </c>
      <c r="V95" s="252">
        <f>'RSD (DEA)'!BR54/'RSD (DEA)'!S54</f>
        <v>0.6690625</v>
      </c>
      <c r="W95" s="524">
        <f>'RSD (DEA)'!BS54/RSD_HeatingDemand!$AH$9</f>
        <v>0</v>
      </c>
      <c r="X95" s="256">
        <f>'RSD (DEA)'!BK54*RSD_HeatingDemand!$AH$10/'RSD (DEA)'!S54</f>
        <v>95</v>
      </c>
      <c r="Y95" s="252">
        <f>'RSD (DEA)'!BI54</f>
        <v>25</v>
      </c>
      <c r="Z95" s="252"/>
      <c r="AA95" s="257">
        <f>'RSD (DEA)'!AM54</f>
        <v>31.536000000000001</v>
      </c>
      <c r="AC95" s="235">
        <f>'RSD (DEA)'!S54</f>
        <v>160</v>
      </c>
      <c r="AD95" s="244" t="str">
        <f>LEFT('RSD (DEA)'!AK54,2)&amp;RIGHT(E95,3)</f>
        <v>RWAPA</v>
      </c>
      <c r="AE95" s="256">
        <f>'RSD (DEA)'!BA54</f>
        <v>1</v>
      </c>
      <c r="AF95" s="256"/>
    </row>
    <row r="96" spans="1:32" x14ac:dyDescent="0.3">
      <c r="A96" s="235"/>
      <c r="D96" s="512"/>
      <c r="E96" s="512"/>
      <c r="F96" s="515"/>
      <c r="G96" s="515"/>
      <c r="H96" s="540"/>
      <c r="I96" s="512"/>
      <c r="J96" s="242"/>
      <c r="K96" s="242"/>
      <c r="L96" s="513"/>
      <c r="M96" s="252"/>
      <c r="N96" s="244" t="str">
        <f>AD95</f>
        <v>RWAPA</v>
      </c>
      <c r="O96" s="244"/>
      <c r="P96" s="252"/>
      <c r="Q96" s="252"/>
      <c r="R96" s="525">
        <f>IF(ISBLANK(I96),IF(MID(N96,2,2)="HA",VLOOKUP(I95,KEY_RSD_AF!$C$5:$G$52,2,FALSE),IF(MID(N96,2,2)="WA",VLOOKUP(I95,KEY_RSD_AF!$C$5:$G$52,3,FALSE),IF(MID(N96,2,2)="HH",VLOOKUP(I95,KEY_RSD_AF!$C$5:$G$52,4,FALSE),IF(MID(N96,2,2)="WH",VLOOKUP(I95,KEY_RSD_AF!$C$5:$G$52,5,FALSE))))),IF(MID(N96,2,2)="HA",VLOOKUP(I96,KEY_RSD_AF!$C$5:$G$52,2,FALSE),IF(MID(N96,2,2)="WA",VLOOKUP(I96,KEY_RSD_AF!$C$5:$G$52,3,FALSE),IF(MID(N96,2,2)="HH",VLOOKUP(I96,KEY_RSD_AF!$C$5:$G$52,4,FALSE),IF(MID(N96,2,2)="WH",VLOOKUP(I96,KEY_RSD_AF!$C$5:$G$52,5,FALSE))))))</f>
        <v>1</v>
      </c>
      <c r="S96" s="503">
        <f>T95</f>
        <v>1</v>
      </c>
      <c r="T96" s="256"/>
      <c r="U96" s="503"/>
      <c r="V96" s="252"/>
      <c r="W96" s="524"/>
      <c r="X96" s="256"/>
      <c r="Y96" s="252"/>
      <c r="Z96" s="252"/>
      <c r="AA96" s="257"/>
      <c r="AC96" s="235"/>
      <c r="AD96" s="244"/>
      <c r="AE96" s="256"/>
      <c r="AF96" s="256"/>
    </row>
    <row r="97" spans="1:32" x14ac:dyDescent="0.3">
      <c r="A97" s="235"/>
      <c r="C97" s="528" t="str">
        <f>'RSD (DEA)'!Z55</f>
        <v>HTH_04</v>
      </c>
      <c r="D97" s="512" t="str">
        <f>RSD_HeatingDemand!N97&amp;"_"&amp;LEFT(C97,LEN(C97)-2)&amp;"02"</f>
        <v>RHAPA_HTH_02</v>
      </c>
      <c r="E97" s="512" t="str">
        <f>"R"&amp;LEFT('RSD (DEA)'!AD55,2)&amp;IF(ISNUMBER(IFERROR(FIND("HTH",'RSD (DEA)'!Z55),IFERROR(FIND("HP",'RSD (DEA)'!Z55),"C"))),IF(IFERROR(FIND("HTH",'RSD (DEA)'!Z55),100)=100,"B","A"),"C")</f>
        <v>RAPA</v>
      </c>
      <c r="F97" s="515"/>
      <c r="G97" s="515"/>
      <c r="H97" s="540" t="str">
        <f t="shared" si="1"/>
        <v>RHAPA_HTH_06</v>
      </c>
      <c r="I97" s="512" t="str">
        <f>'RSD (DEA)'!AA55</f>
        <v>District heating Indirect substation</v>
      </c>
      <c r="J97" s="242" t="s">
        <v>239</v>
      </c>
      <c r="K97" s="242" t="s">
        <v>240</v>
      </c>
      <c r="L97" s="513" t="str">
        <f>'RSD (DEA)'!AH55</f>
        <v>RSDHTH</v>
      </c>
      <c r="M97" s="252"/>
      <c r="N97" s="244" t="str">
        <f>LEFT('RSD (DEA)'!AJ55,2)&amp;RIGHT(E97,3)</f>
        <v>RHAPA</v>
      </c>
      <c r="O97" s="252"/>
      <c r="P97" s="252">
        <f>IF('RSD (DEA)'!P55&lt;RSD_HeatingDemand!$AH$15,RSD_HeatingDemand!$AH$15,'RSD (DEA)'!P55)</f>
        <v>2019</v>
      </c>
      <c r="Q97" s="252">
        <f>IF('RSD (DEA)'!X55&lt;RSD_HeatingDemand!$AH$15,RSD_HeatingDemand!$AH$15,'RSD (DEA)'!X55)</f>
        <v>2020</v>
      </c>
      <c r="R97" s="525">
        <f>IF(ISBLANK(I97),IF(MID(N97,2,2)="HA",VLOOKUP(I96,KEY_RSD_AF!$C$5:$G$52,2,FALSE),IF(MID(N97,2,2)="WA",VLOOKUP(I96,KEY_RSD_AF!$C$5:$G$52,3,FALSE),IF(MID(N97,2,2)="HH",VLOOKUP(I96,KEY_RSD_AF!$C$5:$G$52,4,FALSE),IF(MID(N97,2,2)="WH",VLOOKUP(I96,KEY_RSD_AF!$C$5:$G$52,5,FALSE))))),IF(MID(N97,2,2)="HA",VLOOKUP(I97,KEY_RSD_AF!$C$5:$G$52,2,FALSE),IF(MID(N97,2,2)="WA",VLOOKUP(I97,KEY_RSD_AF!$C$5:$G$52,3,FALSE),IF(MID(N97,2,2)="HH",VLOOKUP(I97,KEY_RSD_AF!$C$5:$G$52,4,FALSE),IF(MID(N97,2,2)="WH",VLOOKUP(I97,KEY_RSD_AF!$C$5:$G$52,5,FALSE))))))</f>
        <v>1</v>
      </c>
      <c r="S97" s="256">
        <f>'RSD (DEA)'!AZ55</f>
        <v>1</v>
      </c>
      <c r="T97" s="256">
        <f>'RSD (DEA)'!BA55</f>
        <v>1</v>
      </c>
      <c r="U97" s="503">
        <v>0.5</v>
      </c>
      <c r="V97" s="252">
        <f>'RSD (DEA)'!BR55/'RSD (DEA)'!S55</f>
        <v>0.65625</v>
      </c>
      <c r="W97" s="524">
        <f>'RSD (DEA)'!BS55/RSD_HeatingDemand!$AH$9</f>
        <v>0</v>
      </c>
      <c r="X97" s="256">
        <f>'RSD (DEA)'!BK55*RSD_HeatingDemand!$AH$10/'RSD (DEA)'!S55</f>
        <v>95</v>
      </c>
      <c r="Y97" s="252">
        <f>'RSD (DEA)'!BI55</f>
        <v>25</v>
      </c>
      <c r="Z97" s="252"/>
      <c r="AA97" s="257">
        <f>'RSD (DEA)'!AM55</f>
        <v>31.536000000000001</v>
      </c>
      <c r="AC97" s="235">
        <f>'RSD (DEA)'!S55</f>
        <v>160</v>
      </c>
      <c r="AD97" s="244" t="str">
        <f>LEFT('RSD (DEA)'!AK55,2)&amp;RIGHT(E97,3)</f>
        <v>RWAPA</v>
      </c>
      <c r="AE97" s="256">
        <f>'RSD (DEA)'!BA55</f>
        <v>1</v>
      </c>
      <c r="AF97" s="256"/>
    </row>
    <row r="98" spans="1:32" x14ac:dyDescent="0.3">
      <c r="A98" s="235"/>
      <c r="D98" s="512"/>
      <c r="E98" s="512"/>
      <c r="F98" s="515"/>
      <c r="G98" s="515"/>
      <c r="H98" s="540"/>
      <c r="I98" s="512"/>
      <c r="J98" s="242"/>
      <c r="K98" s="242"/>
      <c r="L98" s="513"/>
      <c r="M98" s="252"/>
      <c r="N98" s="244" t="str">
        <f>AD97</f>
        <v>RWAPA</v>
      </c>
      <c r="O98" s="244"/>
      <c r="P98" s="252"/>
      <c r="Q98" s="252"/>
      <c r="R98" s="525">
        <f>IF(ISBLANK(I98),IF(MID(N98,2,2)="HA",VLOOKUP(I97,KEY_RSD_AF!$C$5:$G$52,2,FALSE),IF(MID(N98,2,2)="WA",VLOOKUP(I97,KEY_RSD_AF!$C$5:$G$52,3,FALSE),IF(MID(N98,2,2)="HH",VLOOKUP(I97,KEY_RSD_AF!$C$5:$G$52,4,FALSE),IF(MID(N98,2,2)="WH",VLOOKUP(I97,KEY_RSD_AF!$C$5:$G$52,5,FALSE))))),IF(MID(N98,2,2)="HA",VLOOKUP(I98,KEY_RSD_AF!$C$5:$G$52,2,FALSE),IF(MID(N98,2,2)="WA",VLOOKUP(I98,KEY_RSD_AF!$C$5:$G$52,3,FALSE),IF(MID(N98,2,2)="HH",VLOOKUP(I98,KEY_RSD_AF!$C$5:$G$52,4,FALSE),IF(MID(N98,2,2)="WH",VLOOKUP(I98,KEY_RSD_AF!$C$5:$G$52,5,FALSE))))))</f>
        <v>1</v>
      </c>
      <c r="S98" s="503">
        <f>T97</f>
        <v>1</v>
      </c>
      <c r="T98" s="256"/>
      <c r="U98" s="503"/>
      <c r="V98" s="252"/>
      <c r="W98" s="524"/>
      <c r="X98" s="256"/>
      <c r="Y98" s="252"/>
      <c r="Z98" s="252"/>
      <c r="AA98" s="257"/>
      <c r="AC98" s="235"/>
      <c r="AD98" s="244"/>
      <c r="AE98" s="256"/>
      <c r="AF98" s="256"/>
    </row>
    <row r="99" spans="1:32" x14ac:dyDescent="0.3">
      <c r="A99" s="235"/>
      <c r="C99" s="528" t="str">
        <f>'RSD (DEA)'!Z56</f>
        <v>HTH_04</v>
      </c>
      <c r="D99" s="512" t="str">
        <f>RSD_HeatingDemand!N99&amp;"_"&amp;LEFT(C99,LEN(C99)-2)&amp;"02"</f>
        <v>RHAPA_HTH_02</v>
      </c>
      <c r="E99" s="512" t="str">
        <f>"R"&amp;LEFT('RSD (DEA)'!AD56,2)&amp;IF(ISNUMBER(IFERROR(FIND("HTH",'RSD (DEA)'!Z56),IFERROR(FIND("HP",'RSD (DEA)'!Z56),"C"))),IF(IFERROR(FIND("HTH",'RSD (DEA)'!Z56),100)=100,"B","A"),"C")</f>
        <v>RAPA</v>
      </c>
      <c r="F99" s="515"/>
      <c r="G99" s="515"/>
      <c r="H99" s="540" t="str">
        <f t="shared" si="1"/>
        <v>RHAPA_HTH_07</v>
      </c>
      <c r="I99" s="512" t="str">
        <f>'RSD (DEA)'!AA56</f>
        <v>District heating Indirect substation</v>
      </c>
      <c r="J99" s="242" t="s">
        <v>239</v>
      </c>
      <c r="K99" s="242" t="s">
        <v>240</v>
      </c>
      <c r="L99" s="513" t="str">
        <f>'RSD (DEA)'!AH56</f>
        <v>RSDHTH</v>
      </c>
      <c r="M99" s="252"/>
      <c r="N99" s="244" t="str">
        <f>LEFT('RSD (DEA)'!AJ56,2)&amp;RIGHT(E99,3)</f>
        <v>RHAPA</v>
      </c>
      <c r="O99" s="252"/>
      <c r="P99" s="252">
        <f>IF('RSD (DEA)'!P56&lt;RSD_HeatingDemand!$AH$15,RSD_HeatingDemand!$AH$15,'RSD (DEA)'!P56)</f>
        <v>2019</v>
      </c>
      <c r="Q99" s="252">
        <f>IF('RSD (DEA)'!X56&lt;RSD_HeatingDemand!$AH$15,RSD_HeatingDemand!$AH$15,'RSD (DEA)'!X56)</f>
        <v>2030</v>
      </c>
      <c r="R99" s="525">
        <f>IF(ISBLANK(I99),IF(MID(N99,2,2)="HA",VLOOKUP(I98,KEY_RSD_AF!$C$5:$G$52,2,FALSE),IF(MID(N99,2,2)="WA",VLOOKUP(I98,KEY_RSD_AF!$C$5:$G$52,3,FALSE),IF(MID(N99,2,2)="HH",VLOOKUP(I98,KEY_RSD_AF!$C$5:$G$52,4,FALSE),IF(MID(N99,2,2)="WH",VLOOKUP(I98,KEY_RSD_AF!$C$5:$G$52,5,FALSE))))),IF(MID(N99,2,2)="HA",VLOOKUP(I99,KEY_RSD_AF!$C$5:$G$52,2,FALSE),IF(MID(N99,2,2)="WA",VLOOKUP(I99,KEY_RSD_AF!$C$5:$G$52,3,FALSE),IF(MID(N99,2,2)="HH",VLOOKUP(I99,KEY_RSD_AF!$C$5:$G$52,4,FALSE),IF(MID(N99,2,2)="WH",VLOOKUP(I99,KEY_RSD_AF!$C$5:$G$52,5,FALSE))))))</f>
        <v>1</v>
      </c>
      <c r="S99" s="256">
        <f>'RSD (DEA)'!AZ56</f>
        <v>1</v>
      </c>
      <c r="T99" s="256">
        <f>'RSD (DEA)'!BA56</f>
        <v>1</v>
      </c>
      <c r="U99" s="503">
        <v>0.5</v>
      </c>
      <c r="V99" s="252">
        <f>'RSD (DEA)'!BR56/'RSD (DEA)'!S56</f>
        <v>0.68125000000000002</v>
      </c>
      <c r="W99" s="524">
        <f>'RSD (DEA)'!BS56/RSD_HeatingDemand!$AH$9</f>
        <v>0</v>
      </c>
      <c r="X99" s="256">
        <f>'RSD (DEA)'!BK56*RSD_HeatingDemand!$AH$10/'RSD (DEA)'!S56</f>
        <v>87.5</v>
      </c>
      <c r="Y99" s="252">
        <f>'RSD (DEA)'!BI56</f>
        <v>25</v>
      </c>
      <c r="Z99" s="252"/>
      <c r="AA99" s="257">
        <f>'RSD (DEA)'!AM56</f>
        <v>31.536000000000001</v>
      </c>
      <c r="AC99" s="235">
        <f>'RSD (DEA)'!S56</f>
        <v>160</v>
      </c>
      <c r="AD99" s="244" t="str">
        <f>LEFT('RSD (DEA)'!AK56,2)&amp;RIGHT(E99,3)</f>
        <v>RWAPA</v>
      </c>
      <c r="AE99" s="256">
        <f>'RSD (DEA)'!BA56</f>
        <v>1</v>
      </c>
      <c r="AF99" s="256"/>
    </row>
    <row r="100" spans="1:32" x14ac:dyDescent="0.3">
      <c r="A100" s="235"/>
      <c r="D100" s="512"/>
      <c r="E100" s="512"/>
      <c r="F100" s="515"/>
      <c r="G100" s="515"/>
      <c r="H100" s="540"/>
      <c r="I100" s="512"/>
      <c r="J100" s="242"/>
      <c r="K100" s="242"/>
      <c r="L100" s="513"/>
      <c r="M100" s="252"/>
      <c r="N100" s="244" t="str">
        <f>AD99</f>
        <v>RWAPA</v>
      </c>
      <c r="O100" s="244"/>
      <c r="P100" s="252"/>
      <c r="Q100" s="252"/>
      <c r="R100" s="525">
        <f>IF(ISBLANK(I100),IF(MID(N100,2,2)="HA",VLOOKUP(I99,KEY_RSD_AF!$C$5:$G$52,2,FALSE),IF(MID(N100,2,2)="WA",VLOOKUP(I99,KEY_RSD_AF!$C$5:$G$52,3,FALSE),IF(MID(N100,2,2)="HH",VLOOKUP(I99,KEY_RSD_AF!$C$5:$G$52,4,FALSE),IF(MID(N100,2,2)="WH",VLOOKUP(I99,KEY_RSD_AF!$C$5:$G$52,5,FALSE))))),IF(MID(N100,2,2)="HA",VLOOKUP(I100,KEY_RSD_AF!$C$5:$G$52,2,FALSE),IF(MID(N100,2,2)="WA",VLOOKUP(I100,KEY_RSD_AF!$C$5:$G$52,3,FALSE),IF(MID(N100,2,2)="HH",VLOOKUP(I100,KEY_RSD_AF!$C$5:$G$52,4,FALSE),IF(MID(N100,2,2)="WH",VLOOKUP(I100,KEY_RSD_AF!$C$5:$G$52,5,FALSE))))))</f>
        <v>1</v>
      </c>
      <c r="S100" s="503">
        <f>T99</f>
        <v>1</v>
      </c>
      <c r="T100" s="256"/>
      <c r="U100" s="503"/>
      <c r="V100" s="252"/>
      <c r="W100" s="524"/>
      <c r="X100" s="256"/>
      <c r="Y100" s="252"/>
      <c r="Z100" s="252"/>
      <c r="AA100" s="257"/>
      <c r="AC100" s="235"/>
      <c r="AD100" s="244"/>
      <c r="AE100" s="256"/>
      <c r="AF100" s="256"/>
    </row>
    <row r="101" spans="1:32" x14ac:dyDescent="0.3">
      <c r="A101" s="235"/>
      <c r="C101" s="528" t="str">
        <f>'RSD (DEA)'!Z57</f>
        <v>HTH_04</v>
      </c>
      <c r="D101" s="512" t="str">
        <f>RSD_HeatingDemand!N101&amp;"_"&amp;LEFT(C101,LEN(C101)-2)&amp;"02"</f>
        <v>RHAPA_HTH_02</v>
      </c>
      <c r="E101" s="512" t="str">
        <f>"R"&amp;LEFT('RSD (DEA)'!AD57,2)&amp;IF(ISNUMBER(IFERROR(FIND("HTH",'RSD (DEA)'!Z57),IFERROR(FIND("HP",'RSD (DEA)'!Z57),"C"))),IF(IFERROR(FIND("HTH",'RSD (DEA)'!Z57),100)=100,"B","A"),"C")</f>
        <v>RAPA</v>
      </c>
      <c r="F101" s="515"/>
      <c r="G101" s="515"/>
      <c r="H101" s="540" t="str">
        <f t="shared" si="1"/>
        <v>RHAPA_HTH_08</v>
      </c>
      <c r="I101" s="512" t="str">
        <f>'RSD (DEA)'!AA57</f>
        <v>District heating Indirect substation</v>
      </c>
      <c r="J101" s="242" t="s">
        <v>239</v>
      </c>
      <c r="K101" s="242" t="s">
        <v>240</v>
      </c>
      <c r="L101" s="513" t="str">
        <f>'RSD (DEA)'!AH57</f>
        <v>RSDHTH</v>
      </c>
      <c r="M101" s="252"/>
      <c r="N101" s="244" t="str">
        <f>LEFT('RSD (DEA)'!AJ57,2)&amp;RIGHT(E101,3)</f>
        <v>RHAPA</v>
      </c>
      <c r="O101" s="252"/>
      <c r="P101" s="252">
        <f>IF('RSD (DEA)'!P57&lt;RSD_HeatingDemand!$AH$15,RSD_HeatingDemand!$AH$15,'RSD (DEA)'!P57)</f>
        <v>2019</v>
      </c>
      <c r="Q101" s="252">
        <f>IF('RSD (DEA)'!X57&lt;RSD_HeatingDemand!$AH$15,RSD_HeatingDemand!$AH$15,'RSD (DEA)'!X57)</f>
        <v>2050</v>
      </c>
      <c r="R101" s="525">
        <f>IF(ISBLANK(I101),IF(MID(N101,2,2)="HA",VLOOKUP(I100,KEY_RSD_AF!$C$5:$G$52,2,FALSE),IF(MID(N101,2,2)="WA",VLOOKUP(I100,KEY_RSD_AF!$C$5:$G$52,3,FALSE),IF(MID(N101,2,2)="HH",VLOOKUP(I100,KEY_RSD_AF!$C$5:$G$52,4,FALSE),IF(MID(N101,2,2)="WH",VLOOKUP(I100,KEY_RSD_AF!$C$5:$G$52,5,FALSE))))),IF(MID(N101,2,2)="HA",VLOOKUP(I101,KEY_RSD_AF!$C$5:$G$52,2,FALSE),IF(MID(N101,2,2)="WA",VLOOKUP(I101,KEY_RSD_AF!$C$5:$G$52,3,FALSE),IF(MID(N101,2,2)="HH",VLOOKUP(I101,KEY_RSD_AF!$C$5:$G$52,4,FALSE),IF(MID(N101,2,2)="WH",VLOOKUP(I101,KEY_RSD_AF!$C$5:$G$52,5,FALSE))))))</f>
        <v>1</v>
      </c>
      <c r="S101" s="256">
        <f>'RSD (DEA)'!AZ57</f>
        <v>1</v>
      </c>
      <c r="T101" s="256">
        <f>'RSD (DEA)'!BA57</f>
        <v>1</v>
      </c>
      <c r="U101" s="503">
        <v>0.5</v>
      </c>
      <c r="V101" s="252">
        <f>'RSD (DEA)'!BR57/'RSD (DEA)'!S57</f>
        <v>0.63124999999999998</v>
      </c>
      <c r="W101" s="524">
        <f>'RSD (DEA)'!BS57/RSD_HeatingDemand!$AH$9</f>
        <v>0</v>
      </c>
      <c r="X101" s="256">
        <f>'RSD (DEA)'!BK57*RSD_HeatingDemand!$AH$10/'RSD (DEA)'!S57</f>
        <v>81.25</v>
      </c>
      <c r="Y101" s="252">
        <f>'RSD (DEA)'!BI57</f>
        <v>25</v>
      </c>
      <c r="Z101" s="252"/>
      <c r="AA101" s="257">
        <f>'RSD (DEA)'!AM57</f>
        <v>31.536000000000001</v>
      </c>
      <c r="AC101" s="235">
        <f>'RSD (DEA)'!S57</f>
        <v>160</v>
      </c>
      <c r="AD101" s="244" t="str">
        <f>LEFT('RSD (DEA)'!AK57,2)&amp;RIGHT(E101,3)</f>
        <v>RWAPA</v>
      </c>
      <c r="AE101" s="256">
        <f>'RSD (DEA)'!BA57</f>
        <v>1</v>
      </c>
      <c r="AF101" s="256"/>
    </row>
    <row r="102" spans="1:32" x14ac:dyDescent="0.3">
      <c r="A102" s="235"/>
      <c r="D102" s="512"/>
      <c r="E102" s="512"/>
      <c r="F102" s="515"/>
      <c r="G102" s="515"/>
      <c r="H102" s="540"/>
      <c r="I102" s="512"/>
      <c r="J102" s="242"/>
      <c r="K102" s="242"/>
      <c r="L102" s="513"/>
      <c r="M102" s="252"/>
      <c r="N102" s="244" t="str">
        <f>AD101</f>
        <v>RWAPA</v>
      </c>
      <c r="O102" s="244"/>
      <c r="P102" s="252"/>
      <c r="Q102" s="252"/>
      <c r="R102" s="525">
        <f>IF(ISBLANK(I102),IF(MID(N102,2,2)="HA",VLOOKUP(I101,KEY_RSD_AF!$C$5:$G$52,2,FALSE),IF(MID(N102,2,2)="WA",VLOOKUP(I101,KEY_RSD_AF!$C$5:$G$52,3,FALSE),IF(MID(N102,2,2)="HH",VLOOKUP(I101,KEY_RSD_AF!$C$5:$G$52,4,FALSE),IF(MID(N102,2,2)="WH",VLOOKUP(I101,KEY_RSD_AF!$C$5:$G$52,5,FALSE))))),IF(MID(N102,2,2)="HA",VLOOKUP(I102,KEY_RSD_AF!$C$5:$G$52,2,FALSE),IF(MID(N102,2,2)="WA",VLOOKUP(I102,KEY_RSD_AF!$C$5:$G$52,3,FALSE),IF(MID(N102,2,2)="HH",VLOOKUP(I102,KEY_RSD_AF!$C$5:$G$52,4,FALSE),IF(MID(N102,2,2)="WH",VLOOKUP(I102,KEY_RSD_AF!$C$5:$G$52,5,FALSE))))))</f>
        <v>1</v>
      </c>
      <c r="S102" s="503">
        <f>T101</f>
        <v>1</v>
      </c>
      <c r="T102" s="256"/>
      <c r="U102" s="503"/>
      <c r="V102" s="252"/>
      <c r="W102" s="524"/>
      <c r="X102" s="256"/>
      <c r="Y102" s="252"/>
      <c r="Z102" s="252"/>
      <c r="AA102" s="257"/>
      <c r="AC102" s="235"/>
      <c r="AD102" s="244"/>
      <c r="AE102" s="256"/>
      <c r="AF102" s="256"/>
    </row>
    <row r="103" spans="1:32" x14ac:dyDescent="0.3">
      <c r="A103" s="235"/>
      <c r="C103" s="528" t="str">
        <f>'RSD (DEA)'!Z58</f>
        <v>HTH_05</v>
      </c>
      <c r="D103" s="512" t="str">
        <f>RSD_HeatingDemand!N103&amp;"_"&amp;LEFT(C103,LEN(C103)-2)&amp;"03"</f>
        <v>RHHSA_HTH_03</v>
      </c>
      <c r="E103" s="512" t="str">
        <f>"R"&amp;LEFT('RSD (DEA)'!AD58,2)&amp;IF(ISNUMBER(IFERROR(FIND("HTH",'RSD (DEA)'!Z58),IFERROR(FIND("HP",'RSD (DEA)'!Z58),"C"))),IF(IFERROR(FIND("HTH",'RSD (DEA)'!Z58),100)=100,"B","A"),"C")</f>
        <v>RHSA</v>
      </c>
      <c r="F103" s="515"/>
      <c r="G103" s="515"/>
      <c r="H103" s="540" t="str">
        <f>IF(LEFT(D103,LEN(D103)-2)=LEFT(D85,LEN(D103)-2),LEFT(D103,LEN(D103)-2)&amp;IF(RIGHT(H85,2)+1&lt;=9,"0"&amp;RIGHT(H85)+1,RIGHT(H85,2)+1),D103)</f>
        <v>RHHSA_HTH_09</v>
      </c>
      <c r="I103" s="512" t="str">
        <f>'RSD (DEA)'!AA58</f>
        <v>District heating Direct substation</v>
      </c>
      <c r="J103" s="242" t="s">
        <v>239</v>
      </c>
      <c r="K103" s="242" t="s">
        <v>240</v>
      </c>
      <c r="L103" s="513" t="str">
        <f>'RSD (DEA)'!AH58</f>
        <v>RSDHTH</v>
      </c>
      <c r="M103" s="252"/>
      <c r="N103" s="244" t="str">
        <f>LEFT('RSD (DEA)'!AJ58,2)&amp;RIGHT(E103,3)</f>
        <v>RHHSA</v>
      </c>
      <c r="O103" s="252"/>
      <c r="P103" s="252">
        <f>IF('RSD (DEA)'!P58&lt;RSD_HeatingDemand!$AH$15,RSD_HeatingDemand!$AH$15,'RSD (DEA)'!P58)</f>
        <v>2019</v>
      </c>
      <c r="Q103" s="252">
        <f>IF('RSD (DEA)'!X58&lt;RSD_HeatingDemand!$AH$15,RSD_HeatingDemand!$AH$15,'RSD (DEA)'!X58)</f>
        <v>2019</v>
      </c>
      <c r="R103" s="525">
        <f>IF(ISBLANK(I103),IF(MID(N103,2,2)="HA",VLOOKUP(I102,KEY_RSD_AF!$C$5:$G$52,2,FALSE),IF(MID(N103,2,2)="WA",VLOOKUP(I102,KEY_RSD_AF!$C$5:$G$52,3,FALSE),IF(MID(N103,2,2)="HH",VLOOKUP(I102,KEY_RSD_AF!$C$5:$G$52,4,FALSE),IF(MID(N103,2,2)="WH",VLOOKUP(I102,KEY_RSD_AF!$C$5:$G$52,5,FALSE))))),IF(MID(N103,2,2)="HA",VLOOKUP(I103,KEY_RSD_AF!$C$5:$G$52,2,FALSE),IF(MID(N103,2,2)="WA",VLOOKUP(I103,KEY_RSD_AF!$C$5:$G$52,3,FALSE),IF(MID(N103,2,2)="HH",VLOOKUP(I103,KEY_RSD_AF!$C$5:$G$52,4,FALSE),IF(MID(N103,2,2)="WH",VLOOKUP(I103,KEY_RSD_AF!$C$5:$G$52,5,FALSE))))))</f>
        <v>1</v>
      </c>
      <c r="S103" s="256">
        <f>'RSD (DEA)'!AZ58</f>
        <v>1</v>
      </c>
      <c r="T103" s="256">
        <f>'RSD (DEA)'!BA58</f>
        <v>1</v>
      </c>
      <c r="U103" s="503">
        <v>0.5</v>
      </c>
      <c r="V103" s="252">
        <f>'RSD (DEA)'!BR58/'RSD (DEA)'!S58</f>
        <v>4.952</v>
      </c>
      <c r="W103" s="524">
        <f>'RSD (DEA)'!BS58/RSD_HeatingDemand!$AH$9</f>
        <v>0</v>
      </c>
      <c r="X103" s="256">
        <f>'RSD (DEA)'!BK58*RSD_HeatingDemand!$AH$10/'RSD (DEA)'!S58</f>
        <v>490</v>
      </c>
      <c r="Y103" s="252">
        <f>'RSD (DEA)'!BI58</f>
        <v>25</v>
      </c>
      <c r="Z103" s="252"/>
      <c r="AA103" s="257">
        <f>'RSD (DEA)'!AM58</f>
        <v>31.536000000000001</v>
      </c>
      <c r="AC103" s="235">
        <f>'RSD (DEA)'!S58</f>
        <v>10</v>
      </c>
      <c r="AD103" s="244" t="str">
        <f>LEFT('RSD (DEA)'!AK58,2)&amp;RIGHT(E103,3)</f>
        <v>RWHSA</v>
      </c>
      <c r="AE103" s="256">
        <f>'RSD (DEA)'!BA58</f>
        <v>1</v>
      </c>
      <c r="AF103" s="256"/>
    </row>
    <row r="104" spans="1:32" x14ac:dyDescent="0.3">
      <c r="A104" s="235"/>
      <c r="D104" s="512"/>
      <c r="E104" s="512"/>
      <c r="F104" s="515"/>
      <c r="G104" s="515"/>
      <c r="H104" s="540"/>
      <c r="I104" s="512"/>
      <c r="J104" s="242"/>
      <c r="K104" s="242"/>
      <c r="L104" s="513"/>
      <c r="M104" s="252"/>
      <c r="N104" s="244" t="str">
        <f>AD103</f>
        <v>RWHSA</v>
      </c>
      <c r="O104" s="244"/>
      <c r="P104" s="252"/>
      <c r="Q104" s="252"/>
      <c r="R104" s="525">
        <f>IF(ISBLANK(I104),IF(MID(N104,2,2)="HA",VLOOKUP(I103,KEY_RSD_AF!$C$5:$G$52,2,FALSE),IF(MID(N104,2,2)="WA",VLOOKUP(I103,KEY_RSD_AF!$C$5:$G$52,3,FALSE),IF(MID(N104,2,2)="HH",VLOOKUP(I103,KEY_RSD_AF!$C$5:$G$52,4,FALSE),IF(MID(N104,2,2)="WH",VLOOKUP(I103,KEY_RSD_AF!$C$5:$G$52,5,FALSE))))),IF(MID(N104,2,2)="HA",VLOOKUP(I104,KEY_RSD_AF!$C$5:$G$52,2,FALSE),IF(MID(N104,2,2)="WA",VLOOKUP(I104,KEY_RSD_AF!$C$5:$G$52,3,FALSE),IF(MID(N104,2,2)="HH",VLOOKUP(I104,KEY_RSD_AF!$C$5:$G$52,4,FALSE),IF(MID(N104,2,2)="WH",VLOOKUP(I104,KEY_RSD_AF!$C$5:$G$52,5,FALSE))))))</f>
        <v>1</v>
      </c>
      <c r="S104" s="503">
        <f>T103</f>
        <v>1</v>
      </c>
      <c r="T104" s="256"/>
      <c r="U104" s="503"/>
      <c r="V104" s="252"/>
      <c r="W104" s="524"/>
      <c r="X104" s="256"/>
      <c r="Y104" s="252"/>
      <c r="Z104" s="252"/>
      <c r="AA104" s="257"/>
      <c r="AC104" s="235"/>
      <c r="AD104" s="244"/>
      <c r="AE104" s="256"/>
      <c r="AF104" s="256"/>
    </row>
    <row r="105" spans="1:32" x14ac:dyDescent="0.3">
      <c r="A105" s="235"/>
      <c r="C105" s="528" t="str">
        <f>'RSD (DEA)'!Z59</f>
        <v>HTH_05</v>
      </c>
      <c r="D105" s="512" t="str">
        <f>RSD_HeatingDemand!N105&amp;"_"&amp;LEFT(C105,LEN(C105)-2)&amp;"03"</f>
        <v>RHHSA_HTH_03</v>
      </c>
      <c r="E105" s="512" t="str">
        <f>"R"&amp;LEFT('RSD (DEA)'!AD59,2)&amp;IF(ISNUMBER(IFERROR(FIND("HTH",'RSD (DEA)'!Z59),IFERROR(FIND("HP",'RSD (DEA)'!Z59),"C"))),IF(IFERROR(FIND("HTH",'RSD (DEA)'!Z59),100)=100,"B","A"),"C")</f>
        <v>RHSA</v>
      </c>
      <c r="F105" s="515"/>
      <c r="G105" s="515"/>
      <c r="H105" s="540" t="str">
        <f t="shared" si="1"/>
        <v>RHHSA_HTH_10</v>
      </c>
      <c r="I105" s="512" t="str">
        <f>'RSD (DEA)'!AA59</f>
        <v>District heating Direct substation</v>
      </c>
      <c r="J105" s="242" t="s">
        <v>239</v>
      </c>
      <c r="K105" s="242" t="s">
        <v>240</v>
      </c>
      <c r="L105" s="513" t="str">
        <f>'RSD (DEA)'!AH59</f>
        <v>RSDHTH</v>
      </c>
      <c r="M105" s="252"/>
      <c r="N105" s="244" t="str">
        <f>LEFT('RSD (DEA)'!AJ59,2)&amp;RIGHT(E105,3)</f>
        <v>RHHSA</v>
      </c>
      <c r="O105" s="252"/>
      <c r="P105" s="252">
        <f>IF('RSD (DEA)'!P59&lt;RSD_HeatingDemand!$AH$15,RSD_HeatingDemand!$AH$15,'RSD (DEA)'!P59)</f>
        <v>2019</v>
      </c>
      <c r="Q105" s="252">
        <f>IF('RSD (DEA)'!X59&lt;RSD_HeatingDemand!$AH$15,RSD_HeatingDemand!$AH$15,'RSD (DEA)'!X59)</f>
        <v>2020</v>
      </c>
      <c r="R105" s="525">
        <f>IF(ISBLANK(I105),IF(MID(N105,2,2)="HA",VLOOKUP(I104,KEY_RSD_AF!$C$5:$G$52,2,FALSE),IF(MID(N105,2,2)="WA",VLOOKUP(I104,KEY_RSD_AF!$C$5:$G$52,3,FALSE),IF(MID(N105,2,2)="HH",VLOOKUP(I104,KEY_RSD_AF!$C$5:$G$52,4,FALSE),IF(MID(N105,2,2)="WH",VLOOKUP(I104,KEY_RSD_AF!$C$5:$G$52,5,FALSE))))),IF(MID(N105,2,2)="HA",VLOOKUP(I105,KEY_RSD_AF!$C$5:$G$52,2,FALSE),IF(MID(N105,2,2)="WA",VLOOKUP(I105,KEY_RSD_AF!$C$5:$G$52,3,FALSE),IF(MID(N105,2,2)="HH",VLOOKUP(I105,KEY_RSD_AF!$C$5:$G$52,4,FALSE),IF(MID(N105,2,2)="WH",VLOOKUP(I105,KEY_RSD_AF!$C$5:$G$52,5,FALSE))))))</f>
        <v>1</v>
      </c>
      <c r="S105" s="256">
        <f>'RSD (DEA)'!AZ59</f>
        <v>1</v>
      </c>
      <c r="T105" s="256">
        <f>'RSD (DEA)'!BA59</f>
        <v>1</v>
      </c>
      <c r="U105" s="503">
        <v>0.5</v>
      </c>
      <c r="V105" s="252">
        <f>'RSD (DEA)'!BR59/'RSD (DEA)'!S59</f>
        <v>4.9000000000000004</v>
      </c>
      <c r="W105" s="524">
        <f>'RSD (DEA)'!BS59/RSD_HeatingDemand!$AH$9</f>
        <v>0</v>
      </c>
      <c r="X105" s="256">
        <f>'RSD (DEA)'!BK59*RSD_HeatingDemand!$AH$10/'RSD (DEA)'!S59</f>
        <v>490</v>
      </c>
      <c r="Y105" s="252">
        <f>'RSD (DEA)'!BI59</f>
        <v>25</v>
      </c>
      <c r="Z105" s="252"/>
      <c r="AA105" s="257">
        <f>'RSD (DEA)'!AM59</f>
        <v>31.536000000000001</v>
      </c>
      <c r="AC105" s="235">
        <f>'RSD (DEA)'!S59</f>
        <v>10</v>
      </c>
      <c r="AD105" s="244" t="str">
        <f>LEFT('RSD (DEA)'!AK59,2)&amp;RIGHT(E105,3)</f>
        <v>RWHSA</v>
      </c>
      <c r="AE105" s="256">
        <f>'RSD (DEA)'!BA59</f>
        <v>1</v>
      </c>
      <c r="AF105" s="256"/>
    </row>
    <row r="106" spans="1:32" x14ac:dyDescent="0.3">
      <c r="A106" s="235"/>
      <c r="D106" s="512"/>
      <c r="E106" s="512"/>
      <c r="F106" s="515"/>
      <c r="G106" s="515"/>
      <c r="H106" s="540"/>
      <c r="I106" s="512"/>
      <c r="J106" s="242"/>
      <c r="K106" s="242"/>
      <c r="L106" s="513"/>
      <c r="M106" s="252"/>
      <c r="N106" s="244" t="str">
        <f>AD105</f>
        <v>RWHSA</v>
      </c>
      <c r="O106" s="244"/>
      <c r="P106" s="252"/>
      <c r="Q106" s="252"/>
      <c r="R106" s="525">
        <f>IF(ISBLANK(I106),IF(MID(N106,2,2)="HA",VLOOKUP(I105,KEY_RSD_AF!$C$5:$G$52,2,FALSE),IF(MID(N106,2,2)="WA",VLOOKUP(I105,KEY_RSD_AF!$C$5:$G$52,3,FALSE),IF(MID(N106,2,2)="HH",VLOOKUP(I105,KEY_RSD_AF!$C$5:$G$52,4,FALSE),IF(MID(N106,2,2)="WH",VLOOKUP(I105,KEY_RSD_AF!$C$5:$G$52,5,FALSE))))),IF(MID(N106,2,2)="HA",VLOOKUP(I106,KEY_RSD_AF!$C$5:$G$52,2,FALSE),IF(MID(N106,2,2)="WA",VLOOKUP(I106,KEY_RSD_AF!$C$5:$G$52,3,FALSE),IF(MID(N106,2,2)="HH",VLOOKUP(I106,KEY_RSD_AF!$C$5:$G$52,4,FALSE),IF(MID(N106,2,2)="WH",VLOOKUP(I106,KEY_RSD_AF!$C$5:$G$52,5,FALSE))))))</f>
        <v>1</v>
      </c>
      <c r="S106" s="503">
        <f>T105</f>
        <v>1</v>
      </c>
      <c r="T106" s="256"/>
      <c r="U106" s="503"/>
      <c r="V106" s="252"/>
      <c r="W106" s="524"/>
      <c r="X106" s="256"/>
      <c r="Y106" s="252"/>
      <c r="Z106" s="252"/>
      <c r="AA106" s="257"/>
      <c r="AC106" s="235"/>
      <c r="AD106" s="244"/>
      <c r="AE106" s="256"/>
      <c r="AF106" s="256"/>
    </row>
    <row r="107" spans="1:32" x14ac:dyDescent="0.3">
      <c r="A107" s="235"/>
      <c r="C107" s="528" t="str">
        <f>'RSD (DEA)'!Z60</f>
        <v>HTH_05</v>
      </c>
      <c r="D107" s="512" t="str">
        <f>RSD_HeatingDemand!N107&amp;"_"&amp;LEFT(C107,LEN(C107)-2)&amp;"03"</f>
        <v>RHHSA_HTH_03</v>
      </c>
      <c r="E107" s="512" t="str">
        <f>"R"&amp;LEFT('RSD (DEA)'!AD60,2)&amp;IF(ISNUMBER(IFERROR(FIND("HTH",'RSD (DEA)'!Z60),IFERROR(FIND("HP",'RSD (DEA)'!Z60),"C"))),IF(IFERROR(FIND("HTH",'RSD (DEA)'!Z60),100)=100,"B","A"),"C")</f>
        <v>RHSA</v>
      </c>
      <c r="F107" s="515"/>
      <c r="G107" s="515"/>
      <c r="H107" s="540" t="str">
        <f t="shared" si="1"/>
        <v>RHHSA_HTH_11</v>
      </c>
      <c r="I107" s="512" t="str">
        <f>'RSD (DEA)'!AA60</f>
        <v>District heating Direct substation</v>
      </c>
      <c r="J107" s="242" t="s">
        <v>239</v>
      </c>
      <c r="K107" s="242" t="s">
        <v>240</v>
      </c>
      <c r="L107" s="513" t="str">
        <f>'RSD (DEA)'!AH60</f>
        <v>RSDHTH</v>
      </c>
      <c r="M107" s="252"/>
      <c r="N107" s="244" t="str">
        <f>LEFT('RSD (DEA)'!AJ60,2)&amp;RIGHT(E107,3)</f>
        <v>RHHSA</v>
      </c>
      <c r="O107" s="252"/>
      <c r="P107" s="252">
        <f>IF('RSD (DEA)'!P60&lt;RSD_HeatingDemand!$AH$15,RSD_HeatingDemand!$AH$15,'RSD (DEA)'!P60)</f>
        <v>2019</v>
      </c>
      <c r="Q107" s="252">
        <f>IF('RSD (DEA)'!X60&lt;RSD_HeatingDemand!$AH$15,RSD_HeatingDemand!$AH$15,'RSD (DEA)'!X60)</f>
        <v>2030</v>
      </c>
      <c r="R107" s="525">
        <f>IF(ISBLANK(I107),IF(MID(N107,2,2)="HA",VLOOKUP(I106,KEY_RSD_AF!$C$5:$G$52,2,FALSE),IF(MID(N107,2,2)="WA",VLOOKUP(I106,KEY_RSD_AF!$C$5:$G$52,3,FALSE),IF(MID(N107,2,2)="HH",VLOOKUP(I106,KEY_RSD_AF!$C$5:$G$52,4,FALSE),IF(MID(N107,2,2)="WH",VLOOKUP(I106,KEY_RSD_AF!$C$5:$G$52,5,FALSE))))),IF(MID(N107,2,2)="HA",VLOOKUP(I107,KEY_RSD_AF!$C$5:$G$52,2,FALSE),IF(MID(N107,2,2)="WA",VLOOKUP(I107,KEY_RSD_AF!$C$5:$G$52,3,FALSE),IF(MID(N107,2,2)="HH",VLOOKUP(I107,KEY_RSD_AF!$C$5:$G$52,4,FALSE),IF(MID(N107,2,2)="WH",VLOOKUP(I107,KEY_RSD_AF!$C$5:$G$52,5,FALSE))))))</f>
        <v>1</v>
      </c>
      <c r="S107" s="256">
        <f>'RSD (DEA)'!AZ60</f>
        <v>1</v>
      </c>
      <c r="T107" s="256">
        <f>'RSD (DEA)'!BA60</f>
        <v>1</v>
      </c>
      <c r="U107" s="503">
        <v>0.5</v>
      </c>
      <c r="V107" s="252">
        <f>'RSD (DEA)'!BR60/'RSD (DEA)'!S60</f>
        <v>4.7</v>
      </c>
      <c r="W107" s="524">
        <f>'RSD (DEA)'!BS60/RSD_HeatingDemand!$AH$9</f>
        <v>0</v>
      </c>
      <c r="X107" s="256">
        <f>'RSD (DEA)'!BK60*RSD_HeatingDemand!$AH$10/'RSD (DEA)'!S60</f>
        <v>490</v>
      </c>
      <c r="Y107" s="252">
        <f>'RSD (DEA)'!BI60</f>
        <v>25</v>
      </c>
      <c r="Z107" s="252"/>
      <c r="AA107" s="257">
        <f>'RSD (DEA)'!AM60</f>
        <v>31.536000000000001</v>
      </c>
      <c r="AC107" s="235">
        <f>'RSD (DEA)'!S60</f>
        <v>10</v>
      </c>
      <c r="AD107" s="244" t="str">
        <f>LEFT('RSD (DEA)'!AK60,2)&amp;RIGHT(E107,3)</f>
        <v>RWHSA</v>
      </c>
      <c r="AE107" s="256">
        <f>'RSD (DEA)'!BA60</f>
        <v>1</v>
      </c>
      <c r="AF107" s="256"/>
    </row>
    <row r="108" spans="1:32" x14ac:dyDescent="0.3">
      <c r="A108" s="235"/>
      <c r="D108" s="512"/>
      <c r="E108" s="512"/>
      <c r="F108" s="515"/>
      <c r="G108" s="515"/>
      <c r="H108" s="540"/>
      <c r="I108" s="512"/>
      <c r="J108" s="242"/>
      <c r="K108" s="242"/>
      <c r="L108" s="513"/>
      <c r="M108" s="252"/>
      <c r="N108" s="244" t="str">
        <f>AD107</f>
        <v>RWHSA</v>
      </c>
      <c r="O108" s="244"/>
      <c r="P108" s="252"/>
      <c r="Q108" s="252"/>
      <c r="R108" s="525">
        <f>IF(ISBLANK(I108),IF(MID(N108,2,2)="HA",VLOOKUP(I107,KEY_RSD_AF!$C$5:$G$52,2,FALSE),IF(MID(N108,2,2)="WA",VLOOKUP(I107,KEY_RSD_AF!$C$5:$G$52,3,FALSE),IF(MID(N108,2,2)="HH",VLOOKUP(I107,KEY_RSD_AF!$C$5:$G$52,4,FALSE),IF(MID(N108,2,2)="WH",VLOOKUP(I107,KEY_RSD_AF!$C$5:$G$52,5,FALSE))))),IF(MID(N108,2,2)="HA",VLOOKUP(I108,KEY_RSD_AF!$C$5:$G$52,2,FALSE),IF(MID(N108,2,2)="WA",VLOOKUP(I108,KEY_RSD_AF!$C$5:$G$52,3,FALSE),IF(MID(N108,2,2)="HH",VLOOKUP(I108,KEY_RSD_AF!$C$5:$G$52,4,FALSE),IF(MID(N108,2,2)="WH",VLOOKUP(I108,KEY_RSD_AF!$C$5:$G$52,5,FALSE))))))</f>
        <v>1</v>
      </c>
      <c r="S108" s="503">
        <f>T107</f>
        <v>1</v>
      </c>
      <c r="T108" s="256"/>
      <c r="U108" s="503"/>
      <c r="V108" s="252"/>
      <c r="W108" s="524"/>
      <c r="X108" s="256"/>
      <c r="Y108" s="252"/>
      <c r="Z108" s="252"/>
      <c r="AA108" s="257"/>
      <c r="AC108" s="235"/>
      <c r="AD108" s="244"/>
      <c r="AE108" s="256"/>
      <c r="AF108" s="256"/>
    </row>
    <row r="109" spans="1:32" x14ac:dyDescent="0.3">
      <c r="A109" s="235"/>
      <c r="C109" s="528" t="str">
        <f>'RSD (DEA)'!Z61</f>
        <v>HTH_05</v>
      </c>
      <c r="D109" s="512" t="str">
        <f>RSD_HeatingDemand!N109&amp;"_"&amp;LEFT(C109,LEN(C109)-2)&amp;"03"</f>
        <v>RHHSA_HTH_03</v>
      </c>
      <c r="E109" s="512" t="str">
        <f>"R"&amp;LEFT('RSD (DEA)'!AD61,2)&amp;IF(ISNUMBER(IFERROR(FIND("HTH",'RSD (DEA)'!Z61),IFERROR(FIND("HP",'RSD (DEA)'!Z61),"C"))),IF(IFERROR(FIND("HTH",'RSD (DEA)'!Z61),100)=100,"B","A"),"C")</f>
        <v>RHSA</v>
      </c>
      <c r="F109" s="515"/>
      <c r="G109" s="515"/>
      <c r="H109" s="540" t="str">
        <f t="shared" si="1"/>
        <v>RHHSA_HTH_12</v>
      </c>
      <c r="I109" s="512" t="str">
        <f>'RSD (DEA)'!AA61</f>
        <v>District heating Direct substation</v>
      </c>
      <c r="J109" s="242" t="s">
        <v>239</v>
      </c>
      <c r="K109" s="242" t="s">
        <v>240</v>
      </c>
      <c r="L109" s="513" t="str">
        <f>'RSD (DEA)'!AH61</f>
        <v>RSDHTH</v>
      </c>
      <c r="M109" s="252"/>
      <c r="N109" s="244" t="str">
        <f>LEFT('RSD (DEA)'!AJ61,2)&amp;RIGHT(E109,3)</f>
        <v>RHHSA</v>
      </c>
      <c r="O109" s="252"/>
      <c r="P109" s="252">
        <f>IF('RSD (DEA)'!P61&lt;RSD_HeatingDemand!$AH$15,RSD_HeatingDemand!$AH$15,'RSD (DEA)'!P61)</f>
        <v>2019</v>
      </c>
      <c r="Q109" s="252">
        <f>IF('RSD (DEA)'!X61&lt;RSD_HeatingDemand!$AH$15,RSD_HeatingDemand!$AH$15,'RSD (DEA)'!X61)</f>
        <v>2050</v>
      </c>
      <c r="R109" s="525">
        <f>IF(ISBLANK(I109),IF(MID(N109,2,2)="HA",VLOOKUP(I108,KEY_RSD_AF!$C$5:$G$52,2,FALSE),IF(MID(N109,2,2)="WA",VLOOKUP(I108,KEY_RSD_AF!$C$5:$G$52,3,FALSE),IF(MID(N109,2,2)="HH",VLOOKUP(I108,KEY_RSD_AF!$C$5:$G$52,4,FALSE),IF(MID(N109,2,2)="WH",VLOOKUP(I108,KEY_RSD_AF!$C$5:$G$52,5,FALSE))))),IF(MID(N109,2,2)="HA",VLOOKUP(I109,KEY_RSD_AF!$C$5:$G$52,2,FALSE),IF(MID(N109,2,2)="WA",VLOOKUP(I109,KEY_RSD_AF!$C$5:$G$52,3,FALSE),IF(MID(N109,2,2)="HH",VLOOKUP(I109,KEY_RSD_AF!$C$5:$G$52,4,FALSE),IF(MID(N109,2,2)="WH",VLOOKUP(I109,KEY_RSD_AF!$C$5:$G$52,5,FALSE))))))</f>
        <v>1</v>
      </c>
      <c r="S109" s="256">
        <f>'RSD (DEA)'!AZ61</f>
        <v>1</v>
      </c>
      <c r="T109" s="256">
        <f>'RSD (DEA)'!BA61</f>
        <v>1</v>
      </c>
      <c r="U109" s="503">
        <v>0.5</v>
      </c>
      <c r="V109" s="252">
        <f>'RSD (DEA)'!BR61/'RSD (DEA)'!S61</f>
        <v>4.3</v>
      </c>
      <c r="W109" s="524">
        <f>'RSD (DEA)'!BS61/RSD_HeatingDemand!$AH$9</f>
        <v>0</v>
      </c>
      <c r="X109" s="256">
        <f>'RSD (DEA)'!BK61*RSD_HeatingDemand!$AH$10/'RSD (DEA)'!S61</f>
        <v>400</v>
      </c>
      <c r="Y109" s="252">
        <f>'RSD (DEA)'!BI61</f>
        <v>25</v>
      </c>
      <c r="Z109" s="252"/>
      <c r="AA109" s="257">
        <f>'RSD (DEA)'!AM61</f>
        <v>31.536000000000001</v>
      </c>
      <c r="AC109" s="235">
        <f>'RSD (DEA)'!S61</f>
        <v>10</v>
      </c>
      <c r="AD109" s="244" t="str">
        <f>LEFT('RSD (DEA)'!AK61,2)&amp;RIGHT(E109,3)</f>
        <v>RWHSA</v>
      </c>
      <c r="AE109" s="256">
        <f>'RSD (DEA)'!BA61</f>
        <v>1</v>
      </c>
      <c r="AF109" s="256"/>
    </row>
    <row r="110" spans="1:32" x14ac:dyDescent="0.3">
      <c r="A110" s="235"/>
      <c r="D110" s="512"/>
      <c r="E110" s="512"/>
      <c r="F110" s="515"/>
      <c r="G110" s="515"/>
      <c r="H110" s="540"/>
      <c r="I110" s="512"/>
      <c r="J110" s="242"/>
      <c r="K110" s="242"/>
      <c r="L110" s="513"/>
      <c r="M110" s="252"/>
      <c r="N110" s="244" t="str">
        <f>AD109</f>
        <v>RWHSA</v>
      </c>
      <c r="O110" s="244"/>
      <c r="P110" s="252"/>
      <c r="Q110" s="252"/>
      <c r="R110" s="525">
        <f>IF(ISBLANK(I110),IF(MID(N110,2,2)="HA",VLOOKUP(I109,KEY_RSD_AF!$C$5:$G$52,2,FALSE),IF(MID(N110,2,2)="WA",VLOOKUP(I109,KEY_RSD_AF!$C$5:$G$52,3,FALSE),IF(MID(N110,2,2)="HH",VLOOKUP(I109,KEY_RSD_AF!$C$5:$G$52,4,FALSE),IF(MID(N110,2,2)="WH",VLOOKUP(I109,KEY_RSD_AF!$C$5:$G$52,5,FALSE))))),IF(MID(N110,2,2)="HA",VLOOKUP(I110,KEY_RSD_AF!$C$5:$G$52,2,FALSE),IF(MID(N110,2,2)="WA",VLOOKUP(I110,KEY_RSD_AF!$C$5:$G$52,3,FALSE),IF(MID(N110,2,2)="HH",VLOOKUP(I110,KEY_RSD_AF!$C$5:$G$52,4,FALSE),IF(MID(N110,2,2)="WH",VLOOKUP(I110,KEY_RSD_AF!$C$5:$G$52,5,FALSE))))))</f>
        <v>1</v>
      </c>
      <c r="S110" s="503">
        <f>T109</f>
        <v>1</v>
      </c>
      <c r="T110" s="256"/>
      <c r="U110" s="503"/>
      <c r="V110" s="252"/>
      <c r="W110" s="524"/>
      <c r="X110" s="256"/>
      <c r="Y110" s="252"/>
      <c r="Z110" s="252"/>
      <c r="AA110" s="257"/>
      <c r="AC110" s="235"/>
      <c r="AD110" s="244"/>
      <c r="AE110" s="256"/>
      <c r="AF110" s="256"/>
    </row>
    <row r="111" spans="1:32" x14ac:dyDescent="0.3">
      <c r="A111" s="235"/>
      <c r="C111" s="528" t="str">
        <f>'RSD (DEA)'!Z62</f>
        <v>HTH_06</v>
      </c>
      <c r="D111" s="512" t="str">
        <f>RSD_HeatingDemand!N111&amp;"_"&amp;LEFT(C111,LEN(C111)-2)&amp;"03"</f>
        <v>RHAPA_HTH_03</v>
      </c>
      <c r="E111" s="512" t="str">
        <f>"R"&amp;LEFT('RSD (DEA)'!AD62,2)&amp;IF(ISNUMBER(IFERROR(FIND("HTH",'RSD (DEA)'!Z62),IFERROR(FIND("HP",'RSD (DEA)'!Z62),"C"))),IF(IFERROR(FIND("HTH",'RSD (DEA)'!Z62),100)=100,"B","A"),"C")</f>
        <v>RAPA</v>
      </c>
      <c r="F111" s="515"/>
      <c r="G111" s="515"/>
      <c r="H111" s="540" t="str">
        <f>IF(LEFT(D111,LEN(D111)-2)=LEFT(D101,LEN(D111)-2),LEFT(D111,LEN(D111)-2)&amp;IF(RIGHT(H101,2)+1&lt;=9,"0"&amp;RIGHT(H101)+1,RIGHT(H101,2)+1),D111)</f>
        <v>RHAPA_HTH_09</v>
      </c>
      <c r="I111" s="512" t="str">
        <f>'RSD (DEA)'!AA62</f>
        <v>District heating Direct substation</v>
      </c>
      <c r="J111" s="242" t="s">
        <v>239</v>
      </c>
      <c r="K111" s="242" t="s">
        <v>240</v>
      </c>
      <c r="L111" s="513" t="str">
        <f>'RSD (DEA)'!AH62</f>
        <v>RSDHTH</v>
      </c>
      <c r="M111" s="252"/>
      <c r="N111" s="244" t="str">
        <f>LEFT('RSD (DEA)'!AJ62,2)&amp;RIGHT(E111,3)</f>
        <v>RHAPA</v>
      </c>
      <c r="O111" s="252"/>
      <c r="P111" s="252">
        <f>IF('RSD (DEA)'!P62&lt;RSD_HeatingDemand!$AH$15,RSD_HeatingDemand!$AH$15,'RSD (DEA)'!P62)</f>
        <v>2019</v>
      </c>
      <c r="Q111" s="252">
        <f>IF('RSD (DEA)'!X62&lt;RSD_HeatingDemand!$AH$15,RSD_HeatingDemand!$AH$15,'RSD (DEA)'!X62)</f>
        <v>2019</v>
      </c>
      <c r="R111" s="525">
        <f>IF(ISBLANK(I111),IF(MID(N111,2,2)="HA",VLOOKUP(I110,KEY_RSD_AF!$C$5:$G$52,2,FALSE),IF(MID(N111,2,2)="WA",VLOOKUP(I110,KEY_RSD_AF!$C$5:$G$52,3,FALSE),IF(MID(N111,2,2)="HH",VLOOKUP(I110,KEY_RSD_AF!$C$5:$G$52,4,FALSE),IF(MID(N111,2,2)="WH",VLOOKUP(I110,KEY_RSD_AF!$C$5:$G$52,5,FALSE))))),IF(MID(N111,2,2)="HA",VLOOKUP(I111,KEY_RSD_AF!$C$5:$G$52,2,FALSE),IF(MID(N111,2,2)="WA",VLOOKUP(I111,KEY_RSD_AF!$C$5:$G$52,3,FALSE),IF(MID(N111,2,2)="HH",VLOOKUP(I111,KEY_RSD_AF!$C$5:$G$52,4,FALSE),IF(MID(N111,2,2)="WH",VLOOKUP(I111,KEY_RSD_AF!$C$5:$G$52,5,FALSE))))))</f>
        <v>1</v>
      </c>
      <c r="S111" s="256">
        <f>'RSD (DEA)'!AZ62</f>
        <v>1</v>
      </c>
      <c r="T111" s="256">
        <f>'RSD (DEA)'!BA62</f>
        <v>1</v>
      </c>
      <c r="U111" s="503">
        <v>0.5</v>
      </c>
      <c r="V111" s="252">
        <f>'RSD (DEA)'!BR62/'RSD (DEA)'!S62</f>
        <v>0.22399999999999998</v>
      </c>
      <c r="W111" s="524">
        <f>'RSD (DEA)'!BS62/RSD_HeatingDemand!$AH$9</f>
        <v>0</v>
      </c>
      <c r="X111" s="256">
        <f>'RSD (DEA)'!BK62*RSD_HeatingDemand!$AH$10/'RSD (DEA)'!S62</f>
        <v>45</v>
      </c>
      <c r="Y111" s="252">
        <f>'RSD (DEA)'!BI62</f>
        <v>25</v>
      </c>
      <c r="Z111" s="252"/>
      <c r="AA111" s="257">
        <f>'RSD (DEA)'!AM62</f>
        <v>31.536000000000001</v>
      </c>
      <c r="AC111" s="235">
        <f>'RSD (DEA)'!S62</f>
        <v>400</v>
      </c>
      <c r="AD111" s="244" t="str">
        <f>LEFT('RSD (DEA)'!AK62,2)&amp;RIGHT(E111,3)</f>
        <v>RWAPA</v>
      </c>
      <c r="AE111" s="256">
        <f>'RSD (DEA)'!BA62</f>
        <v>1</v>
      </c>
      <c r="AF111" s="256"/>
    </row>
    <row r="112" spans="1:32" x14ac:dyDescent="0.3">
      <c r="A112" s="235"/>
      <c r="D112" s="512"/>
      <c r="E112" s="512"/>
      <c r="F112" s="515"/>
      <c r="G112" s="515"/>
      <c r="H112" s="540"/>
      <c r="I112" s="512"/>
      <c r="J112" s="242"/>
      <c r="K112" s="242"/>
      <c r="L112" s="513"/>
      <c r="M112" s="252"/>
      <c r="N112" s="244" t="str">
        <f>AD111</f>
        <v>RWAPA</v>
      </c>
      <c r="O112" s="244"/>
      <c r="P112" s="252"/>
      <c r="Q112" s="252"/>
      <c r="R112" s="525">
        <f>IF(ISBLANK(I112),IF(MID(N112,2,2)="HA",VLOOKUP(I111,KEY_RSD_AF!$C$5:$G$52,2,FALSE),IF(MID(N112,2,2)="WA",VLOOKUP(I111,KEY_RSD_AF!$C$5:$G$52,3,FALSE),IF(MID(N112,2,2)="HH",VLOOKUP(I111,KEY_RSD_AF!$C$5:$G$52,4,FALSE),IF(MID(N112,2,2)="WH",VLOOKUP(I111,KEY_RSD_AF!$C$5:$G$52,5,FALSE))))),IF(MID(N112,2,2)="HA",VLOOKUP(I112,KEY_RSD_AF!$C$5:$G$52,2,FALSE),IF(MID(N112,2,2)="WA",VLOOKUP(I112,KEY_RSD_AF!$C$5:$G$52,3,FALSE),IF(MID(N112,2,2)="HH",VLOOKUP(I112,KEY_RSD_AF!$C$5:$G$52,4,FALSE),IF(MID(N112,2,2)="WH",VLOOKUP(I112,KEY_RSD_AF!$C$5:$G$52,5,FALSE))))))</f>
        <v>1</v>
      </c>
      <c r="S112" s="503">
        <f>T111</f>
        <v>1</v>
      </c>
      <c r="T112" s="256"/>
      <c r="U112" s="503"/>
      <c r="V112" s="252"/>
      <c r="W112" s="524"/>
      <c r="X112" s="256"/>
      <c r="Y112" s="252"/>
      <c r="Z112" s="252"/>
      <c r="AA112" s="257"/>
      <c r="AC112" s="235"/>
      <c r="AD112" s="244"/>
      <c r="AE112" s="256"/>
      <c r="AF112" s="256"/>
    </row>
    <row r="113" spans="1:32" x14ac:dyDescent="0.3">
      <c r="A113" s="235"/>
      <c r="C113" s="528" t="str">
        <f>'RSD (DEA)'!Z63</f>
        <v>HTH_06</v>
      </c>
      <c r="D113" s="512" t="str">
        <f>RSD_HeatingDemand!N113&amp;"_"&amp;LEFT(C113,LEN(C113)-2)&amp;"03"</f>
        <v>RHAPA_HTH_03</v>
      </c>
      <c r="E113" s="512" t="str">
        <f>"R"&amp;LEFT('RSD (DEA)'!AD63,2)&amp;IF(ISNUMBER(IFERROR(FIND("HTH",'RSD (DEA)'!Z63),IFERROR(FIND("HP",'RSD (DEA)'!Z63),"C"))),IF(IFERROR(FIND("HTH",'RSD (DEA)'!Z63),100)=100,"B","A"),"C")</f>
        <v>RAPA</v>
      </c>
      <c r="F113" s="515"/>
      <c r="G113" s="515"/>
      <c r="H113" s="540" t="str">
        <f t="shared" si="1"/>
        <v>RHAPA_HTH_10</v>
      </c>
      <c r="I113" s="512" t="str">
        <f>'RSD (DEA)'!AA63</f>
        <v>District heating Direct substation</v>
      </c>
      <c r="J113" s="242" t="s">
        <v>239</v>
      </c>
      <c r="K113" s="242" t="s">
        <v>240</v>
      </c>
      <c r="L113" s="513" t="str">
        <f>'RSD (DEA)'!AH63</f>
        <v>RSDHTH</v>
      </c>
      <c r="M113" s="252"/>
      <c r="N113" s="244" t="str">
        <f>LEFT('RSD (DEA)'!AJ63,2)&amp;RIGHT(E113,3)</f>
        <v>RHAPA</v>
      </c>
      <c r="O113" s="252"/>
      <c r="P113" s="252">
        <f>IF('RSD (DEA)'!P63&lt;RSD_HeatingDemand!$AH$15,RSD_HeatingDemand!$AH$15,'RSD (DEA)'!P63)</f>
        <v>2019</v>
      </c>
      <c r="Q113" s="252">
        <f>IF('RSD (DEA)'!X63&lt;RSD_HeatingDemand!$AH$15,RSD_HeatingDemand!$AH$15,'RSD (DEA)'!X63)</f>
        <v>2020</v>
      </c>
      <c r="R113" s="525">
        <f>IF(ISBLANK(I113),IF(MID(N113,2,2)="HA",VLOOKUP(I112,KEY_RSD_AF!$C$5:$G$52,2,FALSE),IF(MID(N113,2,2)="WA",VLOOKUP(I112,KEY_RSD_AF!$C$5:$G$52,3,FALSE),IF(MID(N113,2,2)="HH",VLOOKUP(I112,KEY_RSD_AF!$C$5:$G$52,4,FALSE),IF(MID(N113,2,2)="WH",VLOOKUP(I112,KEY_RSD_AF!$C$5:$G$52,5,FALSE))))),IF(MID(N113,2,2)="HA",VLOOKUP(I113,KEY_RSD_AF!$C$5:$G$52,2,FALSE),IF(MID(N113,2,2)="WA",VLOOKUP(I113,KEY_RSD_AF!$C$5:$G$52,3,FALSE),IF(MID(N113,2,2)="HH",VLOOKUP(I113,KEY_RSD_AF!$C$5:$G$52,4,FALSE),IF(MID(N113,2,2)="WH",VLOOKUP(I113,KEY_RSD_AF!$C$5:$G$52,5,FALSE))))))</f>
        <v>1</v>
      </c>
      <c r="S113" s="256">
        <f>'RSD (DEA)'!AZ63</f>
        <v>1</v>
      </c>
      <c r="T113" s="256">
        <f>'RSD (DEA)'!BA63</f>
        <v>1</v>
      </c>
      <c r="U113" s="503">
        <v>0.5</v>
      </c>
      <c r="V113" s="252">
        <f>'RSD (DEA)'!BR63/'RSD (DEA)'!S63</f>
        <v>0.2225</v>
      </c>
      <c r="W113" s="524">
        <f>'RSD (DEA)'!BS63/RSD_HeatingDemand!$AH$9</f>
        <v>0</v>
      </c>
      <c r="X113" s="256">
        <f>'RSD (DEA)'!BK63*RSD_HeatingDemand!$AH$10/'RSD (DEA)'!S63</f>
        <v>45</v>
      </c>
      <c r="Y113" s="252">
        <f>'RSD (DEA)'!BI63</f>
        <v>25</v>
      </c>
      <c r="Z113" s="252"/>
      <c r="AA113" s="257">
        <f>'RSD (DEA)'!AM63</f>
        <v>31.536000000000001</v>
      </c>
      <c r="AC113" s="235">
        <f>'RSD (DEA)'!S63</f>
        <v>400</v>
      </c>
      <c r="AD113" s="244" t="str">
        <f>LEFT('RSD (DEA)'!AK63,2)&amp;RIGHT(E113,3)</f>
        <v>RWAPA</v>
      </c>
      <c r="AE113" s="256">
        <f>'RSD (DEA)'!BA63</f>
        <v>1</v>
      </c>
      <c r="AF113" s="256"/>
    </row>
    <row r="114" spans="1:32" x14ac:dyDescent="0.3">
      <c r="A114" s="235"/>
      <c r="D114" s="512"/>
      <c r="E114" s="512"/>
      <c r="F114" s="515"/>
      <c r="G114" s="515"/>
      <c r="H114" s="540"/>
      <c r="I114" s="512"/>
      <c r="J114" s="242"/>
      <c r="K114" s="242"/>
      <c r="L114" s="513"/>
      <c r="M114" s="252"/>
      <c r="N114" s="244" t="str">
        <f>AD113</f>
        <v>RWAPA</v>
      </c>
      <c r="O114" s="244"/>
      <c r="P114" s="252"/>
      <c r="Q114" s="252"/>
      <c r="R114" s="525">
        <f>IF(ISBLANK(I114),IF(MID(N114,2,2)="HA",VLOOKUP(I113,KEY_RSD_AF!$C$5:$G$52,2,FALSE),IF(MID(N114,2,2)="WA",VLOOKUP(I113,KEY_RSD_AF!$C$5:$G$52,3,FALSE),IF(MID(N114,2,2)="HH",VLOOKUP(I113,KEY_RSD_AF!$C$5:$G$52,4,FALSE),IF(MID(N114,2,2)="WH",VLOOKUP(I113,KEY_RSD_AF!$C$5:$G$52,5,FALSE))))),IF(MID(N114,2,2)="HA",VLOOKUP(I114,KEY_RSD_AF!$C$5:$G$52,2,FALSE),IF(MID(N114,2,2)="WA",VLOOKUP(I114,KEY_RSD_AF!$C$5:$G$52,3,FALSE),IF(MID(N114,2,2)="HH",VLOOKUP(I114,KEY_RSD_AF!$C$5:$G$52,4,FALSE),IF(MID(N114,2,2)="WH",VLOOKUP(I114,KEY_RSD_AF!$C$5:$G$52,5,FALSE))))))</f>
        <v>1</v>
      </c>
      <c r="S114" s="503">
        <f>T113</f>
        <v>1</v>
      </c>
      <c r="T114" s="256"/>
      <c r="U114" s="503"/>
      <c r="V114" s="252"/>
      <c r="W114" s="524"/>
      <c r="X114" s="256"/>
      <c r="Y114" s="252"/>
      <c r="Z114" s="252"/>
      <c r="AA114" s="257"/>
      <c r="AC114" s="235"/>
      <c r="AD114" s="244"/>
      <c r="AE114" s="256"/>
      <c r="AF114" s="256"/>
    </row>
    <row r="115" spans="1:32" x14ac:dyDescent="0.3">
      <c r="A115" s="235"/>
      <c r="C115" s="528" t="str">
        <f>'RSD (DEA)'!Z64</f>
        <v>HTH_06</v>
      </c>
      <c r="D115" s="512" t="str">
        <f>RSD_HeatingDemand!N115&amp;"_"&amp;LEFT(C115,LEN(C115)-2)&amp;"03"</f>
        <v>RHAPA_HTH_03</v>
      </c>
      <c r="E115" s="512" t="str">
        <f>"R"&amp;LEFT('RSD (DEA)'!AD64,2)&amp;IF(ISNUMBER(IFERROR(FIND("HTH",'RSD (DEA)'!Z64),IFERROR(FIND("HP",'RSD (DEA)'!Z64),"C"))),IF(IFERROR(FIND("HTH",'RSD (DEA)'!Z64),100)=100,"B","A"),"C")</f>
        <v>RAPA</v>
      </c>
      <c r="F115" s="515"/>
      <c r="G115" s="515"/>
      <c r="H115" s="540" t="str">
        <f t="shared" si="1"/>
        <v>RHAPA_HTH_11</v>
      </c>
      <c r="I115" s="512" t="str">
        <f>'RSD (DEA)'!AA64</f>
        <v>District heating Direct substation</v>
      </c>
      <c r="J115" s="242" t="s">
        <v>239</v>
      </c>
      <c r="K115" s="242" t="s">
        <v>240</v>
      </c>
      <c r="L115" s="513" t="str">
        <f>'RSD (DEA)'!AH64</f>
        <v>RSDHTH</v>
      </c>
      <c r="M115" s="252"/>
      <c r="N115" s="244" t="str">
        <f>LEFT('RSD (DEA)'!AJ64,2)&amp;RIGHT(E115,3)</f>
        <v>RHAPA</v>
      </c>
      <c r="O115" s="252"/>
      <c r="P115" s="252">
        <f>IF('RSD (DEA)'!P64&lt;RSD_HeatingDemand!$AH$15,RSD_HeatingDemand!$AH$15,'RSD (DEA)'!P64)</f>
        <v>2019</v>
      </c>
      <c r="Q115" s="252">
        <f>IF('RSD (DEA)'!X64&lt;RSD_HeatingDemand!$AH$15,RSD_HeatingDemand!$AH$15,'RSD (DEA)'!X64)</f>
        <v>2030</v>
      </c>
      <c r="R115" s="525">
        <f>IF(ISBLANK(I115),IF(MID(N115,2,2)="HA",VLOOKUP(I114,KEY_RSD_AF!$C$5:$G$52,2,FALSE),IF(MID(N115,2,2)="WA",VLOOKUP(I114,KEY_RSD_AF!$C$5:$G$52,3,FALSE),IF(MID(N115,2,2)="HH",VLOOKUP(I114,KEY_RSD_AF!$C$5:$G$52,4,FALSE),IF(MID(N115,2,2)="WH",VLOOKUP(I114,KEY_RSD_AF!$C$5:$G$52,5,FALSE))))),IF(MID(N115,2,2)="HA",VLOOKUP(I115,KEY_RSD_AF!$C$5:$G$52,2,FALSE),IF(MID(N115,2,2)="WA",VLOOKUP(I115,KEY_RSD_AF!$C$5:$G$52,3,FALSE),IF(MID(N115,2,2)="HH",VLOOKUP(I115,KEY_RSD_AF!$C$5:$G$52,4,FALSE),IF(MID(N115,2,2)="WH",VLOOKUP(I115,KEY_RSD_AF!$C$5:$G$52,5,FALSE))))))</f>
        <v>1</v>
      </c>
      <c r="S115" s="256">
        <f>'RSD (DEA)'!AZ64</f>
        <v>1</v>
      </c>
      <c r="T115" s="256">
        <f>'RSD (DEA)'!BA64</f>
        <v>1</v>
      </c>
      <c r="U115" s="503">
        <v>0.5</v>
      </c>
      <c r="V115" s="252">
        <f>'RSD (DEA)'!BR64/'RSD (DEA)'!S64</f>
        <v>0.2225</v>
      </c>
      <c r="W115" s="524">
        <f>'RSD (DEA)'!BS64/RSD_HeatingDemand!$AH$9</f>
        <v>0</v>
      </c>
      <c r="X115" s="256">
        <f>'RSD (DEA)'!BK64*RSD_HeatingDemand!$AH$10/'RSD (DEA)'!S64</f>
        <v>42.5</v>
      </c>
      <c r="Y115" s="252">
        <f>'RSD (DEA)'!BI64</f>
        <v>25</v>
      </c>
      <c r="Z115" s="252"/>
      <c r="AA115" s="257">
        <f>'RSD (DEA)'!AM64</f>
        <v>31.536000000000001</v>
      </c>
      <c r="AC115" s="235">
        <f>'RSD (DEA)'!S64</f>
        <v>400</v>
      </c>
      <c r="AD115" s="244" t="str">
        <f>LEFT('RSD (DEA)'!AK64,2)&amp;RIGHT(E115,3)</f>
        <v>RWAPA</v>
      </c>
      <c r="AE115" s="256">
        <f>'RSD (DEA)'!BA64</f>
        <v>1</v>
      </c>
      <c r="AF115" s="256"/>
    </row>
    <row r="116" spans="1:32" x14ac:dyDescent="0.3">
      <c r="A116" s="235"/>
      <c r="D116" s="512"/>
      <c r="E116" s="512"/>
      <c r="F116" s="515"/>
      <c r="G116" s="515"/>
      <c r="H116" s="540"/>
      <c r="I116" s="512"/>
      <c r="J116" s="242"/>
      <c r="K116" s="242"/>
      <c r="L116" s="513"/>
      <c r="M116" s="252"/>
      <c r="N116" s="244" t="str">
        <f>AD115</f>
        <v>RWAPA</v>
      </c>
      <c r="O116" s="244"/>
      <c r="P116" s="252"/>
      <c r="Q116" s="252"/>
      <c r="R116" s="525">
        <f>IF(ISBLANK(I116),IF(MID(N116,2,2)="HA",VLOOKUP(I115,KEY_RSD_AF!$C$5:$G$52,2,FALSE),IF(MID(N116,2,2)="WA",VLOOKUP(I115,KEY_RSD_AF!$C$5:$G$52,3,FALSE),IF(MID(N116,2,2)="HH",VLOOKUP(I115,KEY_RSD_AF!$C$5:$G$52,4,FALSE),IF(MID(N116,2,2)="WH",VLOOKUP(I115,KEY_RSD_AF!$C$5:$G$52,5,FALSE))))),IF(MID(N116,2,2)="HA",VLOOKUP(I116,KEY_RSD_AF!$C$5:$G$52,2,FALSE),IF(MID(N116,2,2)="WA",VLOOKUP(I116,KEY_RSD_AF!$C$5:$G$52,3,FALSE),IF(MID(N116,2,2)="HH",VLOOKUP(I116,KEY_RSD_AF!$C$5:$G$52,4,FALSE),IF(MID(N116,2,2)="WH",VLOOKUP(I116,KEY_RSD_AF!$C$5:$G$52,5,FALSE))))))</f>
        <v>1</v>
      </c>
      <c r="S116" s="503">
        <f>T115</f>
        <v>1</v>
      </c>
      <c r="T116" s="256"/>
      <c r="U116" s="503"/>
      <c r="V116" s="252"/>
      <c r="W116" s="524"/>
      <c r="X116" s="256"/>
      <c r="Y116" s="252"/>
      <c r="Z116" s="252"/>
      <c r="AA116" s="257"/>
      <c r="AC116" s="235"/>
      <c r="AD116" s="244"/>
      <c r="AE116" s="256"/>
      <c r="AF116" s="256"/>
    </row>
    <row r="117" spans="1:32" x14ac:dyDescent="0.3">
      <c r="A117" s="235"/>
      <c r="C117" s="528" t="str">
        <f>'RSD (DEA)'!Z65</f>
        <v>HTH_06</v>
      </c>
      <c r="D117" s="512" t="str">
        <f>RSD_HeatingDemand!N117&amp;"_"&amp;LEFT(C117,LEN(C117)-2)&amp;"03"</f>
        <v>RHAPA_HTH_03</v>
      </c>
      <c r="E117" s="512" t="str">
        <f>"R"&amp;LEFT('RSD (DEA)'!AD65,2)&amp;IF(ISNUMBER(IFERROR(FIND("HTH",'RSD (DEA)'!Z65),IFERROR(FIND("HP",'RSD (DEA)'!Z65),"C"))),IF(IFERROR(FIND("HTH",'RSD (DEA)'!Z65),100)=100,"B","A"),"C")</f>
        <v>RAPA</v>
      </c>
      <c r="F117" s="515"/>
      <c r="G117" s="515"/>
      <c r="H117" s="540" t="str">
        <f t="shared" si="1"/>
        <v>RHAPA_HTH_12</v>
      </c>
      <c r="I117" s="512" t="str">
        <f>'RSD (DEA)'!AA65</f>
        <v>District heating Direct substation</v>
      </c>
      <c r="J117" s="242" t="s">
        <v>239</v>
      </c>
      <c r="K117" s="242" t="s">
        <v>240</v>
      </c>
      <c r="L117" s="513" t="str">
        <f>'RSD (DEA)'!AH65</f>
        <v>RSDHTH</v>
      </c>
      <c r="M117" s="252"/>
      <c r="N117" s="244" t="str">
        <f>LEFT('RSD (DEA)'!AJ65,2)&amp;RIGHT(E117,3)</f>
        <v>RHAPA</v>
      </c>
      <c r="O117" s="252"/>
      <c r="P117" s="252">
        <f>IF('RSD (DEA)'!P65&lt;RSD_HeatingDemand!$AH$15,RSD_HeatingDemand!$AH$15,'RSD (DEA)'!P65)</f>
        <v>2019</v>
      </c>
      <c r="Q117" s="252">
        <f>IF('RSD (DEA)'!X65&lt;RSD_HeatingDemand!$AH$15,RSD_HeatingDemand!$AH$15,'RSD (DEA)'!X65)</f>
        <v>2050</v>
      </c>
      <c r="R117" s="525">
        <f>IF(ISBLANK(I117),IF(MID(N117,2,2)="HA",VLOOKUP(I116,KEY_RSD_AF!$C$5:$G$52,2,FALSE),IF(MID(N117,2,2)="WA",VLOOKUP(I116,KEY_RSD_AF!$C$5:$G$52,3,FALSE),IF(MID(N117,2,2)="HH",VLOOKUP(I116,KEY_RSD_AF!$C$5:$G$52,4,FALSE),IF(MID(N117,2,2)="WH",VLOOKUP(I116,KEY_RSD_AF!$C$5:$G$52,5,FALSE))))),IF(MID(N117,2,2)="HA",VLOOKUP(I117,KEY_RSD_AF!$C$5:$G$52,2,FALSE),IF(MID(N117,2,2)="WA",VLOOKUP(I117,KEY_RSD_AF!$C$5:$G$52,3,FALSE),IF(MID(N117,2,2)="HH",VLOOKUP(I117,KEY_RSD_AF!$C$5:$G$52,4,FALSE),IF(MID(N117,2,2)="WH",VLOOKUP(I117,KEY_RSD_AF!$C$5:$G$52,5,FALSE))))))</f>
        <v>1</v>
      </c>
      <c r="S117" s="256">
        <f>'RSD (DEA)'!AZ65</f>
        <v>1</v>
      </c>
      <c r="T117" s="256">
        <f>'RSD (DEA)'!BA65</f>
        <v>1</v>
      </c>
      <c r="U117" s="503">
        <v>0.5</v>
      </c>
      <c r="V117" s="252">
        <f>'RSD (DEA)'!BR65/'RSD (DEA)'!S65</f>
        <v>0.20499999999999999</v>
      </c>
      <c r="W117" s="524">
        <f>'RSD (DEA)'!BS65/RSD_HeatingDemand!$AH$9</f>
        <v>0</v>
      </c>
      <c r="X117" s="256">
        <f>'RSD (DEA)'!BK65*RSD_HeatingDemand!$AH$10/'RSD (DEA)'!S65</f>
        <v>37.5</v>
      </c>
      <c r="Y117" s="252">
        <f>'RSD (DEA)'!BI65</f>
        <v>25</v>
      </c>
      <c r="Z117" s="252"/>
      <c r="AA117" s="257">
        <f>'RSD (DEA)'!AM65</f>
        <v>31.536000000000001</v>
      </c>
      <c r="AC117" s="235">
        <f>'RSD (DEA)'!S65</f>
        <v>400</v>
      </c>
      <c r="AD117" s="244" t="str">
        <f>LEFT('RSD (DEA)'!AK65,2)&amp;RIGHT(E117,3)</f>
        <v>RWAPA</v>
      </c>
      <c r="AE117" s="256">
        <f>'RSD (DEA)'!BA65</f>
        <v>1</v>
      </c>
      <c r="AF117" s="256"/>
    </row>
    <row r="118" spans="1:32" x14ac:dyDescent="0.3">
      <c r="A118" s="235"/>
      <c r="D118" s="512"/>
      <c r="E118" s="512"/>
      <c r="F118" s="515"/>
      <c r="G118" s="515"/>
      <c r="H118" s="540"/>
      <c r="I118" s="512"/>
      <c r="J118" s="242"/>
      <c r="K118" s="242"/>
      <c r="L118" s="513"/>
      <c r="M118" s="252"/>
      <c r="N118" s="244" t="str">
        <f>AD117</f>
        <v>RWAPA</v>
      </c>
      <c r="O118" s="244"/>
      <c r="P118" s="252"/>
      <c r="Q118" s="252"/>
      <c r="R118" s="525">
        <f>IF(ISBLANK(I118),IF(MID(N118,2,2)="HA",VLOOKUP(I117,KEY_RSD_AF!$C$5:$G$52,2,FALSE),IF(MID(N118,2,2)="WA",VLOOKUP(I117,KEY_RSD_AF!$C$5:$G$52,3,FALSE),IF(MID(N118,2,2)="HH",VLOOKUP(I117,KEY_RSD_AF!$C$5:$G$52,4,FALSE),IF(MID(N118,2,2)="WH",VLOOKUP(I117,KEY_RSD_AF!$C$5:$G$52,5,FALSE))))),IF(MID(N118,2,2)="HA",VLOOKUP(I118,KEY_RSD_AF!$C$5:$G$52,2,FALSE),IF(MID(N118,2,2)="WA",VLOOKUP(I118,KEY_RSD_AF!$C$5:$G$52,3,FALSE),IF(MID(N118,2,2)="HH",VLOOKUP(I118,KEY_RSD_AF!$C$5:$G$52,4,FALSE),IF(MID(N118,2,2)="WH",VLOOKUP(I118,KEY_RSD_AF!$C$5:$G$52,5,FALSE))))))</f>
        <v>1</v>
      </c>
      <c r="S118" s="503">
        <f>T117</f>
        <v>1</v>
      </c>
      <c r="T118" s="256"/>
      <c r="U118" s="503"/>
      <c r="V118" s="252"/>
      <c r="W118" s="524"/>
      <c r="X118" s="256"/>
      <c r="Y118" s="252"/>
      <c r="Z118" s="252"/>
      <c r="AA118" s="257"/>
      <c r="AC118" s="235"/>
      <c r="AD118" s="244"/>
      <c r="AE118" s="256"/>
      <c r="AF118" s="256"/>
    </row>
    <row r="119" spans="1:32" x14ac:dyDescent="0.3">
      <c r="A119" s="235"/>
      <c r="C119" s="528" t="str">
        <f>'RSD (DEA)'!Z66</f>
        <v>HTH_07</v>
      </c>
      <c r="D119" s="512" t="str">
        <f>RSD_HeatingDemand!N119&amp;"_"&amp;LEFT(C119,LEN(C119)-2)&amp;"04"</f>
        <v>RHAPA_HTH_04</v>
      </c>
      <c r="E119" s="512" t="str">
        <f>"R"&amp;LEFT('RSD (DEA)'!AD66,2)&amp;IF(ISNUMBER(IFERROR(FIND("HTH",'RSD (DEA)'!Z66),IFERROR(FIND("HP",'RSD (DEA)'!Z66),"C"))),IF(IFERROR(FIND("HTH",'RSD (DEA)'!Z66),100)=100,"B","A"),"C")</f>
        <v>RAPA</v>
      </c>
      <c r="F119" s="515"/>
      <c r="G119" s="515"/>
      <c r="H119" s="540" t="str">
        <f t="shared" si="1"/>
        <v>RHAPA_HTH_13</v>
      </c>
      <c r="I119" s="512" t="str">
        <f>'RSD (DEA)'!AA66</f>
        <v>District heating Direct substation</v>
      </c>
      <c r="J119" s="242" t="s">
        <v>239</v>
      </c>
      <c r="K119" s="242" t="s">
        <v>240</v>
      </c>
      <c r="L119" s="513" t="str">
        <f>'RSD (DEA)'!AH66</f>
        <v>RSDHTH</v>
      </c>
      <c r="M119" s="252"/>
      <c r="N119" s="244" t="str">
        <f>LEFT('RSD (DEA)'!AJ66,2)&amp;RIGHT(E119,3)</f>
        <v>RHAPA</v>
      </c>
      <c r="O119" s="252"/>
      <c r="P119" s="252">
        <f>IF('RSD (DEA)'!P66&lt;RSD_HeatingDemand!$AH$15,RSD_HeatingDemand!$AH$15,'RSD (DEA)'!P66)</f>
        <v>2019</v>
      </c>
      <c r="Q119" s="252">
        <f>IF('RSD (DEA)'!X66&lt;RSD_HeatingDemand!$AH$15,RSD_HeatingDemand!$AH$15,'RSD (DEA)'!X66)</f>
        <v>2019</v>
      </c>
      <c r="R119" s="525">
        <f>IF(ISBLANK(I119),IF(MID(N119,2,2)="HA",VLOOKUP(I118,KEY_RSD_AF!$C$5:$G$52,2,FALSE),IF(MID(N119,2,2)="WA",VLOOKUP(I118,KEY_RSD_AF!$C$5:$G$52,3,FALSE),IF(MID(N119,2,2)="HH",VLOOKUP(I118,KEY_RSD_AF!$C$5:$G$52,4,FALSE),IF(MID(N119,2,2)="WH",VLOOKUP(I118,KEY_RSD_AF!$C$5:$G$52,5,FALSE))))),IF(MID(N119,2,2)="HA",VLOOKUP(I119,KEY_RSD_AF!$C$5:$G$52,2,FALSE),IF(MID(N119,2,2)="WA",VLOOKUP(I119,KEY_RSD_AF!$C$5:$G$52,3,FALSE),IF(MID(N119,2,2)="HH",VLOOKUP(I119,KEY_RSD_AF!$C$5:$G$52,4,FALSE),IF(MID(N119,2,2)="WH",VLOOKUP(I119,KEY_RSD_AF!$C$5:$G$52,5,FALSE))))))</f>
        <v>1</v>
      </c>
      <c r="S119" s="256">
        <f>'RSD (DEA)'!AZ66</f>
        <v>1</v>
      </c>
      <c r="T119" s="256">
        <f>'RSD (DEA)'!BA66</f>
        <v>1</v>
      </c>
      <c r="U119" s="503">
        <v>0.5</v>
      </c>
      <c r="V119" s="252">
        <f>'RSD (DEA)'!BR66/'RSD (DEA)'!S66</f>
        <v>0.48499999999999999</v>
      </c>
      <c r="W119" s="524">
        <f>'RSD (DEA)'!BS66/RSD_HeatingDemand!$AH$9</f>
        <v>0</v>
      </c>
      <c r="X119" s="256">
        <f>'RSD (DEA)'!BK66*RSD_HeatingDemand!$AH$10/'RSD (DEA)'!S66</f>
        <v>87.5</v>
      </c>
      <c r="Y119" s="252">
        <f>'RSD (DEA)'!BI66</f>
        <v>25</v>
      </c>
      <c r="Z119" s="252"/>
      <c r="AA119" s="257">
        <f>'RSD (DEA)'!AM66</f>
        <v>31.536000000000001</v>
      </c>
      <c r="AC119" s="235">
        <f>'RSD (DEA)'!S66</f>
        <v>160</v>
      </c>
      <c r="AD119" s="244" t="str">
        <f>LEFT('RSD (DEA)'!AK66,2)&amp;RIGHT(E119,3)</f>
        <v>RWAPA</v>
      </c>
      <c r="AE119" s="256">
        <f>'RSD (DEA)'!BA66</f>
        <v>1</v>
      </c>
      <c r="AF119" s="256"/>
    </row>
    <row r="120" spans="1:32" x14ac:dyDescent="0.3">
      <c r="A120" s="235"/>
      <c r="D120" s="512"/>
      <c r="E120" s="512"/>
      <c r="F120" s="515"/>
      <c r="G120" s="515"/>
      <c r="H120" s="540"/>
      <c r="I120" s="512"/>
      <c r="J120" s="242"/>
      <c r="K120" s="242"/>
      <c r="L120" s="513"/>
      <c r="M120" s="252"/>
      <c r="N120" s="244" t="str">
        <f>AD119</f>
        <v>RWAPA</v>
      </c>
      <c r="O120" s="244"/>
      <c r="P120" s="252"/>
      <c r="Q120" s="252"/>
      <c r="R120" s="525">
        <f>IF(ISBLANK(I120),IF(MID(N120,2,2)="HA",VLOOKUP(I119,KEY_RSD_AF!$C$5:$G$52,2,FALSE),IF(MID(N120,2,2)="WA",VLOOKUP(I119,KEY_RSD_AF!$C$5:$G$52,3,FALSE),IF(MID(N120,2,2)="HH",VLOOKUP(I119,KEY_RSD_AF!$C$5:$G$52,4,FALSE),IF(MID(N120,2,2)="WH",VLOOKUP(I119,KEY_RSD_AF!$C$5:$G$52,5,FALSE))))),IF(MID(N120,2,2)="HA",VLOOKUP(I120,KEY_RSD_AF!$C$5:$G$52,2,FALSE),IF(MID(N120,2,2)="WA",VLOOKUP(I120,KEY_RSD_AF!$C$5:$G$52,3,FALSE),IF(MID(N120,2,2)="HH",VLOOKUP(I120,KEY_RSD_AF!$C$5:$G$52,4,FALSE),IF(MID(N120,2,2)="WH",VLOOKUP(I120,KEY_RSD_AF!$C$5:$G$52,5,FALSE))))))</f>
        <v>1</v>
      </c>
      <c r="S120" s="503">
        <f>T119</f>
        <v>1</v>
      </c>
      <c r="T120" s="256"/>
      <c r="U120" s="503"/>
      <c r="V120" s="252"/>
      <c r="W120" s="524"/>
      <c r="X120" s="256"/>
      <c r="Y120" s="252"/>
      <c r="Z120" s="252"/>
      <c r="AA120" s="257"/>
      <c r="AC120" s="235"/>
      <c r="AD120" s="244"/>
      <c r="AE120" s="256"/>
      <c r="AF120" s="256"/>
    </row>
    <row r="121" spans="1:32" x14ac:dyDescent="0.3">
      <c r="A121" s="235"/>
      <c r="C121" s="528" t="str">
        <f>'RSD (DEA)'!Z67</f>
        <v>HTH_07</v>
      </c>
      <c r="D121" s="512" t="str">
        <f>RSD_HeatingDemand!N121&amp;"_"&amp;LEFT(C121,LEN(C121)-2)&amp;"04"</f>
        <v>RHAPA_HTH_04</v>
      </c>
      <c r="E121" s="512" t="str">
        <f>"R"&amp;LEFT('RSD (DEA)'!AD67,2)&amp;IF(ISNUMBER(IFERROR(FIND("HTH",'RSD (DEA)'!Z67),IFERROR(FIND("HP",'RSD (DEA)'!Z67),"C"))),IF(IFERROR(FIND("HTH",'RSD (DEA)'!Z67),100)=100,"B","A"),"C")</f>
        <v>RAPA</v>
      </c>
      <c r="F121" s="515"/>
      <c r="G121" s="515"/>
      <c r="H121" s="540" t="str">
        <f t="shared" si="1"/>
        <v>RHAPA_HTH_14</v>
      </c>
      <c r="I121" s="512" t="str">
        <f>'RSD (DEA)'!AA67</f>
        <v>District heating Direct substation</v>
      </c>
      <c r="J121" s="242" t="s">
        <v>239</v>
      </c>
      <c r="K121" s="242" t="s">
        <v>240</v>
      </c>
      <c r="L121" s="513" t="str">
        <f>'RSD (DEA)'!AH67</f>
        <v>RSDHTH</v>
      </c>
      <c r="M121" s="252"/>
      <c r="N121" s="244" t="str">
        <f>LEFT('RSD (DEA)'!AJ67,2)&amp;RIGHT(E121,3)</f>
        <v>RHAPA</v>
      </c>
      <c r="O121" s="252"/>
      <c r="P121" s="252">
        <f>IF('RSD (DEA)'!P67&lt;RSD_HeatingDemand!$AH$15,RSD_HeatingDemand!$AH$15,'RSD (DEA)'!P67)</f>
        <v>2019</v>
      </c>
      <c r="Q121" s="252">
        <f>IF('RSD (DEA)'!X67&lt;RSD_HeatingDemand!$AH$15,RSD_HeatingDemand!$AH$15,'RSD (DEA)'!X67)</f>
        <v>2020</v>
      </c>
      <c r="R121" s="525">
        <f>IF(ISBLANK(I121),IF(MID(N121,2,2)="HA",VLOOKUP(I120,KEY_RSD_AF!$C$5:$G$52,2,FALSE),IF(MID(N121,2,2)="WA",VLOOKUP(I120,KEY_RSD_AF!$C$5:$G$52,3,FALSE),IF(MID(N121,2,2)="HH",VLOOKUP(I120,KEY_RSD_AF!$C$5:$G$52,4,FALSE),IF(MID(N121,2,2)="WH",VLOOKUP(I120,KEY_RSD_AF!$C$5:$G$52,5,FALSE))))),IF(MID(N121,2,2)="HA",VLOOKUP(I121,KEY_RSD_AF!$C$5:$G$52,2,FALSE),IF(MID(N121,2,2)="WA",VLOOKUP(I121,KEY_RSD_AF!$C$5:$G$52,3,FALSE),IF(MID(N121,2,2)="HH",VLOOKUP(I121,KEY_RSD_AF!$C$5:$G$52,4,FALSE),IF(MID(N121,2,2)="WH",VLOOKUP(I121,KEY_RSD_AF!$C$5:$G$52,5,FALSE))))))</f>
        <v>1</v>
      </c>
      <c r="S121" s="256">
        <f>'RSD (DEA)'!AZ67</f>
        <v>1</v>
      </c>
      <c r="T121" s="256">
        <f>'RSD (DEA)'!BA67</f>
        <v>1</v>
      </c>
      <c r="U121" s="503">
        <v>0.5</v>
      </c>
      <c r="V121" s="252">
        <f>'RSD (DEA)'!BR67/'RSD (DEA)'!S67</f>
        <v>0.48125000000000001</v>
      </c>
      <c r="W121" s="524">
        <f>'RSD (DEA)'!BS67/RSD_HeatingDemand!$AH$9</f>
        <v>0</v>
      </c>
      <c r="X121" s="256">
        <f>'RSD (DEA)'!BK67*RSD_HeatingDemand!$AH$10/'RSD (DEA)'!S67</f>
        <v>87.5</v>
      </c>
      <c r="Y121" s="252">
        <f>'RSD (DEA)'!BI67</f>
        <v>25</v>
      </c>
      <c r="Z121" s="252"/>
      <c r="AA121" s="257">
        <f>'RSD (DEA)'!AM67</f>
        <v>31.536000000000001</v>
      </c>
      <c r="AC121" s="235">
        <f>'RSD (DEA)'!S67</f>
        <v>160</v>
      </c>
      <c r="AD121" s="244" t="str">
        <f>LEFT('RSD (DEA)'!AK67,2)&amp;RIGHT(E121,3)</f>
        <v>RWAPA</v>
      </c>
      <c r="AE121" s="256">
        <f>'RSD (DEA)'!BA67</f>
        <v>1</v>
      </c>
      <c r="AF121" s="256"/>
    </row>
    <row r="122" spans="1:32" x14ac:dyDescent="0.3">
      <c r="A122" s="235"/>
      <c r="D122" s="512"/>
      <c r="E122" s="512"/>
      <c r="F122" s="515"/>
      <c r="G122" s="515"/>
      <c r="H122" s="540"/>
      <c r="I122" s="512"/>
      <c r="J122" s="242"/>
      <c r="K122" s="242"/>
      <c r="L122" s="513"/>
      <c r="M122" s="252"/>
      <c r="N122" s="244" t="str">
        <f>AD121</f>
        <v>RWAPA</v>
      </c>
      <c r="O122" s="244"/>
      <c r="P122" s="252"/>
      <c r="Q122" s="252"/>
      <c r="R122" s="525">
        <f>IF(ISBLANK(I122),IF(MID(N122,2,2)="HA",VLOOKUP(I121,KEY_RSD_AF!$C$5:$G$52,2,FALSE),IF(MID(N122,2,2)="WA",VLOOKUP(I121,KEY_RSD_AF!$C$5:$G$52,3,FALSE),IF(MID(N122,2,2)="HH",VLOOKUP(I121,KEY_RSD_AF!$C$5:$G$52,4,FALSE),IF(MID(N122,2,2)="WH",VLOOKUP(I121,KEY_RSD_AF!$C$5:$G$52,5,FALSE))))),IF(MID(N122,2,2)="HA",VLOOKUP(I122,KEY_RSD_AF!$C$5:$G$52,2,FALSE),IF(MID(N122,2,2)="WA",VLOOKUP(I122,KEY_RSD_AF!$C$5:$G$52,3,FALSE),IF(MID(N122,2,2)="HH",VLOOKUP(I122,KEY_RSD_AF!$C$5:$G$52,4,FALSE),IF(MID(N122,2,2)="WH",VLOOKUP(I122,KEY_RSD_AF!$C$5:$G$52,5,FALSE))))))</f>
        <v>1</v>
      </c>
      <c r="S122" s="503">
        <f>T121</f>
        <v>1</v>
      </c>
      <c r="T122" s="256"/>
      <c r="U122" s="503"/>
      <c r="V122" s="252"/>
      <c r="W122" s="524"/>
      <c r="X122" s="256"/>
      <c r="Y122" s="252"/>
      <c r="Z122" s="252"/>
      <c r="AA122" s="257"/>
      <c r="AC122" s="235"/>
      <c r="AD122" s="244"/>
      <c r="AE122" s="256"/>
      <c r="AF122" s="256"/>
    </row>
    <row r="123" spans="1:32" x14ac:dyDescent="0.3">
      <c r="A123" s="235"/>
      <c r="C123" s="528" t="str">
        <f>'RSD (DEA)'!Z68</f>
        <v>HTH_07</v>
      </c>
      <c r="D123" s="512" t="str">
        <f>RSD_HeatingDemand!N123&amp;"_"&amp;LEFT(C123,LEN(C123)-2)&amp;"04"</f>
        <v>RHAPA_HTH_04</v>
      </c>
      <c r="E123" s="512" t="str">
        <f>"R"&amp;LEFT('RSD (DEA)'!AD68,2)&amp;IF(ISNUMBER(IFERROR(FIND("HTH",'RSD (DEA)'!Z68),IFERROR(FIND("HP",'RSD (DEA)'!Z68),"C"))),IF(IFERROR(FIND("HTH",'RSD (DEA)'!Z68),100)=100,"B","A"),"C")</f>
        <v>RAPA</v>
      </c>
      <c r="F123" s="515"/>
      <c r="G123" s="515"/>
      <c r="H123" s="540" t="str">
        <f t="shared" si="1"/>
        <v>RHAPA_HTH_15</v>
      </c>
      <c r="I123" s="512" t="str">
        <f>'RSD (DEA)'!AA68</f>
        <v>District heating Direct substation</v>
      </c>
      <c r="J123" s="242" t="s">
        <v>239</v>
      </c>
      <c r="K123" s="242" t="s">
        <v>240</v>
      </c>
      <c r="L123" s="513" t="str">
        <f>'RSD (DEA)'!AH68</f>
        <v>RSDHTH</v>
      </c>
      <c r="M123" s="252"/>
      <c r="N123" s="244" t="str">
        <f>LEFT('RSD (DEA)'!AJ68,2)&amp;RIGHT(E123,3)</f>
        <v>RHAPA</v>
      </c>
      <c r="O123" s="252"/>
      <c r="P123" s="252">
        <f>IF('RSD (DEA)'!P68&lt;RSD_HeatingDemand!$AH$15,RSD_HeatingDemand!$AH$15,'RSD (DEA)'!P68)</f>
        <v>2019</v>
      </c>
      <c r="Q123" s="252">
        <f>IF('RSD (DEA)'!X68&lt;RSD_HeatingDemand!$AH$15,RSD_HeatingDemand!$AH$15,'RSD (DEA)'!X68)</f>
        <v>2030</v>
      </c>
      <c r="R123" s="525">
        <f>IF(ISBLANK(I123),IF(MID(N123,2,2)="HA",VLOOKUP(I122,KEY_RSD_AF!$C$5:$G$52,2,FALSE),IF(MID(N123,2,2)="WA",VLOOKUP(I122,KEY_RSD_AF!$C$5:$G$52,3,FALSE),IF(MID(N123,2,2)="HH",VLOOKUP(I122,KEY_RSD_AF!$C$5:$G$52,4,FALSE),IF(MID(N123,2,2)="WH",VLOOKUP(I122,KEY_RSD_AF!$C$5:$G$52,5,FALSE))))),IF(MID(N123,2,2)="HA",VLOOKUP(I123,KEY_RSD_AF!$C$5:$G$52,2,FALSE),IF(MID(N123,2,2)="WA",VLOOKUP(I123,KEY_RSD_AF!$C$5:$G$52,3,FALSE),IF(MID(N123,2,2)="HH",VLOOKUP(I123,KEY_RSD_AF!$C$5:$G$52,4,FALSE),IF(MID(N123,2,2)="WH",VLOOKUP(I123,KEY_RSD_AF!$C$5:$G$52,5,FALSE))))))</f>
        <v>1</v>
      </c>
      <c r="S123" s="256">
        <f>'RSD (DEA)'!AZ68</f>
        <v>1</v>
      </c>
      <c r="T123" s="256">
        <f>'RSD (DEA)'!BA68</f>
        <v>1</v>
      </c>
      <c r="U123" s="503">
        <v>0.5</v>
      </c>
      <c r="V123" s="252">
        <f>'RSD (DEA)'!BR68/'RSD (DEA)'!S68</f>
        <v>0.48749999999999999</v>
      </c>
      <c r="W123" s="524">
        <f>'RSD (DEA)'!BS68/RSD_HeatingDemand!$AH$9</f>
        <v>0</v>
      </c>
      <c r="X123" s="256">
        <f>'RSD (DEA)'!BK68*RSD_HeatingDemand!$AH$10/'RSD (DEA)'!S68</f>
        <v>81.25</v>
      </c>
      <c r="Y123" s="252">
        <f>'RSD (DEA)'!BI68</f>
        <v>25</v>
      </c>
      <c r="Z123" s="252"/>
      <c r="AA123" s="257">
        <f>'RSD (DEA)'!AM68</f>
        <v>31.536000000000001</v>
      </c>
      <c r="AC123" s="235">
        <f>'RSD (DEA)'!S68</f>
        <v>160</v>
      </c>
      <c r="AD123" s="244" t="str">
        <f>LEFT('RSD (DEA)'!AK68,2)&amp;RIGHT(E123,3)</f>
        <v>RWAPA</v>
      </c>
      <c r="AE123" s="256">
        <f>'RSD (DEA)'!BA68</f>
        <v>1</v>
      </c>
      <c r="AF123" s="256"/>
    </row>
    <row r="124" spans="1:32" x14ac:dyDescent="0.3">
      <c r="A124" s="235"/>
      <c r="D124" s="512"/>
      <c r="E124" s="512"/>
      <c r="F124" s="515"/>
      <c r="G124" s="515"/>
      <c r="H124" s="540"/>
      <c r="I124" s="512"/>
      <c r="J124" s="242"/>
      <c r="K124" s="242"/>
      <c r="L124" s="513"/>
      <c r="M124" s="252"/>
      <c r="N124" s="244" t="str">
        <f>AD123</f>
        <v>RWAPA</v>
      </c>
      <c r="O124" s="244"/>
      <c r="P124" s="252"/>
      <c r="Q124" s="252"/>
      <c r="R124" s="525">
        <f>IF(ISBLANK(I124),IF(MID(N124,2,2)="HA",VLOOKUP(I123,KEY_RSD_AF!$C$5:$G$52,2,FALSE),IF(MID(N124,2,2)="WA",VLOOKUP(I123,KEY_RSD_AF!$C$5:$G$52,3,FALSE),IF(MID(N124,2,2)="HH",VLOOKUP(I123,KEY_RSD_AF!$C$5:$G$52,4,FALSE),IF(MID(N124,2,2)="WH",VLOOKUP(I123,KEY_RSD_AF!$C$5:$G$52,5,FALSE))))),IF(MID(N124,2,2)="HA",VLOOKUP(I124,KEY_RSD_AF!$C$5:$G$52,2,FALSE),IF(MID(N124,2,2)="WA",VLOOKUP(I124,KEY_RSD_AF!$C$5:$G$52,3,FALSE),IF(MID(N124,2,2)="HH",VLOOKUP(I124,KEY_RSD_AF!$C$5:$G$52,4,FALSE),IF(MID(N124,2,2)="WH",VLOOKUP(I124,KEY_RSD_AF!$C$5:$G$52,5,FALSE))))))</f>
        <v>1</v>
      </c>
      <c r="S124" s="503">
        <f>T123</f>
        <v>1</v>
      </c>
      <c r="T124" s="256"/>
      <c r="U124" s="503"/>
      <c r="V124" s="252"/>
      <c r="W124" s="524"/>
      <c r="X124" s="256"/>
      <c r="Y124" s="252"/>
      <c r="Z124" s="252"/>
      <c r="AA124" s="257"/>
      <c r="AC124" s="235"/>
      <c r="AD124" s="244"/>
      <c r="AE124" s="256"/>
      <c r="AF124" s="256"/>
    </row>
    <row r="125" spans="1:32" x14ac:dyDescent="0.3">
      <c r="A125" s="235"/>
      <c r="C125" s="528" t="str">
        <f>'RSD (DEA)'!Z69</f>
        <v>HTH_07</v>
      </c>
      <c r="D125" s="512" t="str">
        <f>RSD_HeatingDemand!N125&amp;"_"&amp;LEFT(C125,LEN(C125)-2)&amp;"04"</f>
        <v>RHAPA_HTH_04</v>
      </c>
      <c r="E125" s="512" t="str">
        <f>"R"&amp;LEFT('RSD (DEA)'!AD69,2)&amp;IF(ISNUMBER(IFERROR(FIND("HTH",'RSD (DEA)'!Z69),IFERROR(FIND("HP",'RSD (DEA)'!Z69),"C"))),IF(IFERROR(FIND("HTH",'RSD (DEA)'!Z69),100)=100,"B","A"),"C")</f>
        <v>RAPA</v>
      </c>
      <c r="F125" s="515"/>
      <c r="G125" s="515"/>
      <c r="H125" s="540" t="str">
        <f t="shared" si="1"/>
        <v>RHAPA_HTH_16</v>
      </c>
      <c r="I125" s="512" t="str">
        <f>'RSD (DEA)'!AA69</f>
        <v>District heating Direct substation</v>
      </c>
      <c r="J125" s="242" t="s">
        <v>239</v>
      </c>
      <c r="K125" s="242" t="s">
        <v>240</v>
      </c>
      <c r="L125" s="513" t="str">
        <f>'RSD (DEA)'!AH69</f>
        <v>RSDHTH</v>
      </c>
      <c r="M125" s="252"/>
      <c r="N125" s="244" t="str">
        <f>LEFT('RSD (DEA)'!AJ69,2)&amp;RIGHT(E125,3)</f>
        <v>RHAPA</v>
      </c>
      <c r="O125" s="252"/>
      <c r="P125" s="252">
        <f>IF('RSD (DEA)'!P69&lt;RSD_HeatingDemand!$AH$15,RSD_HeatingDemand!$AH$15,'RSD (DEA)'!P69)</f>
        <v>2019</v>
      </c>
      <c r="Q125" s="252">
        <f>IF('RSD (DEA)'!X69&lt;RSD_HeatingDemand!$AH$15,RSD_HeatingDemand!$AH$15,'RSD (DEA)'!X69)</f>
        <v>2050</v>
      </c>
      <c r="R125" s="525">
        <f>IF(ISBLANK(I125),IF(MID(N125,2,2)="HA",VLOOKUP(I124,KEY_RSD_AF!$C$5:$G$52,2,FALSE),IF(MID(N125,2,2)="WA",VLOOKUP(I124,KEY_RSD_AF!$C$5:$G$52,3,FALSE),IF(MID(N125,2,2)="HH",VLOOKUP(I124,KEY_RSD_AF!$C$5:$G$52,4,FALSE),IF(MID(N125,2,2)="WH",VLOOKUP(I124,KEY_RSD_AF!$C$5:$G$52,5,FALSE))))),IF(MID(N125,2,2)="HA",VLOOKUP(I125,KEY_RSD_AF!$C$5:$G$52,2,FALSE),IF(MID(N125,2,2)="WA",VLOOKUP(I125,KEY_RSD_AF!$C$5:$G$52,3,FALSE),IF(MID(N125,2,2)="HH",VLOOKUP(I125,KEY_RSD_AF!$C$5:$G$52,4,FALSE),IF(MID(N125,2,2)="WH",VLOOKUP(I125,KEY_RSD_AF!$C$5:$G$52,5,FALSE))))))</f>
        <v>1</v>
      </c>
      <c r="S125" s="256">
        <f>'RSD (DEA)'!AZ69</f>
        <v>1</v>
      </c>
      <c r="T125" s="256">
        <f>'RSD (DEA)'!BA69</f>
        <v>1</v>
      </c>
      <c r="U125" s="503">
        <v>0.5</v>
      </c>
      <c r="V125" s="252">
        <f>'RSD (DEA)'!BR69/'RSD (DEA)'!S69</f>
        <v>0.45</v>
      </c>
      <c r="W125" s="524">
        <f>'RSD (DEA)'!BS69/RSD_HeatingDemand!$AH$9</f>
        <v>0</v>
      </c>
      <c r="X125" s="256">
        <f>'RSD (DEA)'!BK69*RSD_HeatingDemand!$AH$10/'RSD (DEA)'!S69</f>
        <v>75</v>
      </c>
      <c r="Y125" s="252">
        <f>'RSD (DEA)'!BI69</f>
        <v>25</v>
      </c>
      <c r="Z125" s="252"/>
      <c r="AA125" s="257">
        <f>'RSD (DEA)'!AM69</f>
        <v>31.536000000000001</v>
      </c>
      <c r="AC125" s="235">
        <f>'RSD (DEA)'!S69</f>
        <v>160</v>
      </c>
      <c r="AD125" s="244" t="str">
        <f>LEFT('RSD (DEA)'!AK69,2)&amp;RIGHT(E125,3)</f>
        <v>RWAPA</v>
      </c>
      <c r="AE125" s="256">
        <f>'RSD (DEA)'!BA69</f>
        <v>1</v>
      </c>
      <c r="AF125" s="256"/>
    </row>
    <row r="126" spans="1:32" x14ac:dyDescent="0.3">
      <c r="A126" s="235"/>
      <c r="D126" s="512"/>
      <c r="E126" s="512"/>
      <c r="F126" s="515"/>
      <c r="G126" s="515"/>
      <c r="H126" s="540"/>
      <c r="I126" s="512"/>
      <c r="J126" s="242"/>
      <c r="K126" s="242"/>
      <c r="L126" s="513"/>
      <c r="M126" s="252"/>
      <c r="N126" s="244" t="str">
        <f>AD125</f>
        <v>RWAPA</v>
      </c>
      <c r="O126" s="244"/>
      <c r="P126" s="252"/>
      <c r="Q126" s="252"/>
      <c r="R126" s="525">
        <f>IF(ISBLANK(I126),IF(MID(N126,2,2)="HA",VLOOKUP(I125,KEY_RSD_AF!$C$5:$G$52,2,FALSE),IF(MID(N126,2,2)="WA",VLOOKUP(I125,KEY_RSD_AF!$C$5:$G$52,3,FALSE),IF(MID(N126,2,2)="HH",VLOOKUP(I125,KEY_RSD_AF!$C$5:$G$52,4,FALSE),IF(MID(N126,2,2)="WH",VLOOKUP(I125,KEY_RSD_AF!$C$5:$G$52,5,FALSE))))),IF(MID(N126,2,2)="HA",VLOOKUP(I126,KEY_RSD_AF!$C$5:$G$52,2,FALSE),IF(MID(N126,2,2)="WA",VLOOKUP(I126,KEY_RSD_AF!$C$5:$G$52,3,FALSE),IF(MID(N126,2,2)="HH",VLOOKUP(I126,KEY_RSD_AF!$C$5:$G$52,4,FALSE),IF(MID(N126,2,2)="WH",VLOOKUP(I126,KEY_RSD_AF!$C$5:$G$52,5,FALSE))))))</f>
        <v>1</v>
      </c>
      <c r="S126" s="503">
        <f>T125</f>
        <v>1</v>
      </c>
      <c r="T126" s="256"/>
      <c r="U126" s="503"/>
      <c r="V126" s="252"/>
      <c r="W126" s="524"/>
      <c r="X126" s="256"/>
      <c r="Y126" s="252"/>
      <c r="Z126" s="252"/>
      <c r="AA126" s="257"/>
      <c r="AC126" s="235"/>
      <c r="AD126" s="244"/>
      <c r="AE126" s="256"/>
      <c r="AF126" s="256"/>
    </row>
    <row r="127" spans="1:32" x14ac:dyDescent="0.3">
      <c r="A127" s="235"/>
      <c r="C127" s="528" t="str">
        <f>'RSD (DEA)'!Z70</f>
        <v>B_WOF_01</v>
      </c>
      <c r="D127" s="512" t="str">
        <f>RSD_HeatingDemand!N127&amp;"_"&amp;C127</f>
        <v>RHHSC_B_WOF_01</v>
      </c>
      <c r="E127" s="512" t="str">
        <f>"R"&amp;LEFT('RSD (DEA)'!AD70,2)&amp;IF(ISNUMBER(IFERROR(FIND("HTH",'RSD (DEA)'!Z70),IFERROR(FIND("HP",'RSD (DEA)'!Z70),"C"))),IF(IFERROR(FIND("HTH",'RSD (DEA)'!Z70),100)=100,"B","A"),"C")</f>
        <v>RHSC</v>
      </c>
      <c r="F127" s="515"/>
      <c r="G127" s="515"/>
      <c r="H127" s="540" t="str">
        <f t="shared" si="1"/>
        <v>RHHSC_B_WOF_01</v>
      </c>
      <c r="I127" s="512" t="str">
        <f>'RSD (DEA)'!AA70</f>
        <v>Biomass boilers, automatic stoking</v>
      </c>
      <c r="J127" s="242" t="s">
        <v>239</v>
      </c>
      <c r="K127" s="242" t="s">
        <v>240</v>
      </c>
      <c r="L127" s="513" t="str">
        <f>'RSD (DEA)'!AH70</f>
        <v>RSDWOF</v>
      </c>
      <c r="M127" s="252"/>
      <c r="N127" s="244" t="str">
        <f>LEFT('RSD (DEA)'!AJ70,2)&amp;RIGHT(E127,3)</f>
        <v>RHHSC</v>
      </c>
      <c r="O127" s="252"/>
      <c r="P127" s="252">
        <f>IF('RSD (DEA)'!P70&lt;RSD_HeatingDemand!$AH$15,RSD_HeatingDemand!$AH$15,'RSD (DEA)'!P70)</f>
        <v>2019</v>
      </c>
      <c r="Q127" s="252">
        <f>IF('RSD (DEA)'!X70&lt;RSD_HeatingDemand!$AH$15,RSD_HeatingDemand!$AH$15,'RSD (DEA)'!X70)</f>
        <v>2019</v>
      </c>
      <c r="R127" s="525">
        <f>IF(ISBLANK(I127),IF(MID(N127,2,2)="HA",VLOOKUP(I126,KEY_RSD_AF!$C$5:$G$52,2,FALSE),IF(MID(N127,2,2)="WA",VLOOKUP(I126,KEY_RSD_AF!$C$5:$G$52,3,FALSE),IF(MID(N127,2,2)="HH",VLOOKUP(I126,KEY_RSD_AF!$C$5:$G$52,4,FALSE),IF(MID(N127,2,2)="WH",VLOOKUP(I126,KEY_RSD_AF!$C$5:$G$52,5,FALSE))))),IF(MID(N127,2,2)="HA",VLOOKUP(I127,KEY_RSD_AF!$C$5:$G$52,2,FALSE),IF(MID(N127,2,2)="WA",VLOOKUP(I127,KEY_RSD_AF!$C$5:$G$52,3,FALSE),IF(MID(N127,2,2)="HH",VLOOKUP(I127,KEY_RSD_AF!$C$5:$G$52,4,FALSE),IF(MID(N127,2,2)="WH",VLOOKUP(I127,KEY_RSD_AF!$C$5:$G$52,5,FALSE))))))</f>
        <v>1</v>
      </c>
      <c r="S127" s="256">
        <f>'RSD (DEA)'!AZ70</f>
        <v>0.8</v>
      </c>
      <c r="T127" s="256">
        <f>'RSD (DEA)'!BA70</f>
        <v>0.8</v>
      </c>
      <c r="U127" s="503">
        <v>0.5</v>
      </c>
      <c r="V127" s="252">
        <f>'RSD (DEA)'!BR70/'RSD (DEA)'!S70</f>
        <v>42.979166666666664</v>
      </c>
      <c r="W127" s="524">
        <f>'RSD (DEA)'!BS70/RSD_HeatingDemand!$AH$9</f>
        <v>0</v>
      </c>
      <c r="X127" s="256">
        <f>'RSD (DEA)'!BK70*RSD_HeatingDemand!$AH$10/'RSD (DEA)'!S70</f>
        <v>716.66666666666663</v>
      </c>
      <c r="Y127" s="252">
        <f>'RSD (DEA)'!BI70</f>
        <v>20</v>
      </c>
      <c r="Z127" s="252"/>
      <c r="AA127" s="257">
        <f>'RSD (DEA)'!AM70</f>
        <v>31.536000000000001</v>
      </c>
      <c r="AC127" s="235">
        <f>'RSD (DEA)'!S70</f>
        <v>12</v>
      </c>
      <c r="AD127" s="244" t="str">
        <f>LEFT('RSD (DEA)'!AK70,2)&amp;RIGHT(E127,3)</f>
        <v>RWHSC</v>
      </c>
      <c r="AE127" s="256">
        <f>'RSD (DEA)'!BA70</f>
        <v>0.8</v>
      </c>
      <c r="AF127" s="256"/>
    </row>
    <row r="128" spans="1:32" x14ac:dyDescent="0.3">
      <c r="A128" s="235"/>
      <c r="D128" s="512"/>
      <c r="E128" s="512"/>
      <c r="F128" s="515"/>
      <c r="G128" s="515"/>
      <c r="H128" s="540"/>
      <c r="I128" s="512"/>
      <c r="J128" s="242"/>
      <c r="K128" s="242"/>
      <c r="L128" s="513"/>
      <c r="M128" s="252"/>
      <c r="N128" s="244" t="str">
        <f>AD127</f>
        <v>RWHSC</v>
      </c>
      <c r="O128" s="244"/>
      <c r="P128" s="252"/>
      <c r="Q128" s="252"/>
      <c r="R128" s="525">
        <f>IF(ISBLANK(I128),IF(MID(N128,2,2)="HA",VLOOKUP(I127,KEY_RSD_AF!$C$5:$G$52,2,FALSE),IF(MID(N128,2,2)="WA",VLOOKUP(I127,KEY_RSD_AF!$C$5:$G$52,3,FALSE),IF(MID(N128,2,2)="HH",VLOOKUP(I127,KEY_RSD_AF!$C$5:$G$52,4,FALSE),IF(MID(N128,2,2)="WH",VLOOKUP(I127,KEY_RSD_AF!$C$5:$G$52,5,FALSE))))),IF(MID(N128,2,2)="HA",VLOOKUP(I128,KEY_RSD_AF!$C$5:$G$52,2,FALSE),IF(MID(N128,2,2)="WA",VLOOKUP(I128,KEY_RSD_AF!$C$5:$G$52,3,FALSE),IF(MID(N128,2,2)="HH",VLOOKUP(I128,KEY_RSD_AF!$C$5:$G$52,4,FALSE),IF(MID(N128,2,2)="WH",VLOOKUP(I128,KEY_RSD_AF!$C$5:$G$52,5,FALSE))))))</f>
        <v>1</v>
      </c>
      <c r="S128" s="503">
        <f>T127</f>
        <v>0.8</v>
      </c>
      <c r="T128" s="256"/>
      <c r="U128" s="503"/>
      <c r="V128" s="252"/>
      <c r="W128" s="524"/>
      <c r="X128" s="256"/>
      <c r="Y128" s="252"/>
      <c r="Z128" s="252"/>
      <c r="AA128" s="257"/>
      <c r="AC128" s="235"/>
      <c r="AD128" s="244"/>
      <c r="AE128" s="256"/>
      <c r="AF128" s="256"/>
    </row>
    <row r="129" spans="1:32" x14ac:dyDescent="0.3">
      <c r="A129" s="235"/>
      <c r="C129" s="528" t="str">
        <f>'RSD (DEA)'!Z71</f>
        <v>B_WOF_01</v>
      </c>
      <c r="D129" s="512" t="str">
        <f>RSD_HeatingDemand!N129&amp;"_"&amp;C129</f>
        <v>RHHSC_B_WOF_01</v>
      </c>
      <c r="E129" s="512" t="str">
        <f>"R"&amp;LEFT('RSD (DEA)'!AD71,2)&amp;IF(ISNUMBER(IFERROR(FIND("HTH",'RSD (DEA)'!Z71),IFERROR(FIND("HP",'RSD (DEA)'!Z71),"C"))),IF(IFERROR(FIND("HTH",'RSD (DEA)'!Z71),100)=100,"B","A"),"C")</f>
        <v>RHSC</v>
      </c>
      <c r="F129" s="515"/>
      <c r="G129" s="515"/>
      <c r="H129" s="540" t="str">
        <f t="shared" si="1"/>
        <v>RHHSC_B_WOF_02</v>
      </c>
      <c r="I129" s="512" t="str">
        <f>'RSD (DEA)'!AA71</f>
        <v>Biomass boilers, automatic stoking</v>
      </c>
      <c r="J129" s="242" t="s">
        <v>239</v>
      </c>
      <c r="K129" s="242" t="s">
        <v>240</v>
      </c>
      <c r="L129" s="513" t="str">
        <f>'RSD (DEA)'!AH71</f>
        <v>RSDWOF</v>
      </c>
      <c r="M129" s="252"/>
      <c r="N129" s="244" t="str">
        <f>LEFT('RSD (DEA)'!AJ71,2)&amp;RIGHT(E129,3)</f>
        <v>RHHSC</v>
      </c>
      <c r="O129" s="252"/>
      <c r="P129" s="252">
        <f>IF('RSD (DEA)'!P71&lt;RSD_HeatingDemand!$AH$15,RSD_HeatingDemand!$AH$15,'RSD (DEA)'!P71)</f>
        <v>2019</v>
      </c>
      <c r="Q129" s="252">
        <f>IF('RSD (DEA)'!X71&lt;RSD_HeatingDemand!$AH$15,RSD_HeatingDemand!$AH$15,'RSD (DEA)'!X71)</f>
        <v>2020</v>
      </c>
      <c r="R129" s="525">
        <f>IF(ISBLANK(I129),IF(MID(N129,2,2)="HA",VLOOKUP(I128,KEY_RSD_AF!$C$5:$G$52,2,FALSE),IF(MID(N129,2,2)="WA",VLOOKUP(I128,KEY_RSD_AF!$C$5:$G$52,3,FALSE),IF(MID(N129,2,2)="HH",VLOOKUP(I128,KEY_RSD_AF!$C$5:$G$52,4,FALSE),IF(MID(N129,2,2)="WH",VLOOKUP(I128,KEY_RSD_AF!$C$5:$G$52,5,FALSE))))),IF(MID(N129,2,2)="HA",VLOOKUP(I129,KEY_RSD_AF!$C$5:$G$52,2,FALSE),IF(MID(N129,2,2)="WA",VLOOKUP(I129,KEY_RSD_AF!$C$5:$G$52,3,FALSE),IF(MID(N129,2,2)="HH",VLOOKUP(I129,KEY_RSD_AF!$C$5:$G$52,4,FALSE),IF(MID(N129,2,2)="WH",VLOOKUP(I129,KEY_RSD_AF!$C$5:$G$52,5,FALSE))))))</f>
        <v>1</v>
      </c>
      <c r="S129" s="256">
        <f>'RSD (DEA)'!AZ71</f>
        <v>0.82</v>
      </c>
      <c r="T129" s="256">
        <f>'RSD (DEA)'!BA71</f>
        <v>0.82</v>
      </c>
      <c r="U129" s="503">
        <v>0.5</v>
      </c>
      <c r="V129" s="252">
        <f>'RSD (DEA)'!BR71/'RSD (DEA)'!S71</f>
        <v>50.4</v>
      </c>
      <c r="W129" s="524">
        <f>'RSD (DEA)'!BS71/RSD_HeatingDemand!$AH$9</f>
        <v>0</v>
      </c>
      <c r="X129" s="256">
        <f>'RSD (DEA)'!BK71*RSD_HeatingDemand!$AH$10/'RSD (DEA)'!S71</f>
        <v>800</v>
      </c>
      <c r="Y129" s="252">
        <f>'RSD (DEA)'!BI71</f>
        <v>20</v>
      </c>
      <c r="Z129" s="252"/>
      <c r="AA129" s="257">
        <f>'RSD (DEA)'!AM71</f>
        <v>31.536000000000001</v>
      </c>
      <c r="AC129" s="235">
        <f>'RSD (DEA)'!S71</f>
        <v>10</v>
      </c>
      <c r="AD129" s="244" t="str">
        <f>LEFT('RSD (DEA)'!AK71,2)&amp;RIGHT(E129,3)</f>
        <v>RWHSC</v>
      </c>
      <c r="AE129" s="256">
        <f>'RSD (DEA)'!BA71</f>
        <v>0.82</v>
      </c>
      <c r="AF129" s="256"/>
    </row>
    <row r="130" spans="1:32" x14ac:dyDescent="0.3">
      <c r="A130" s="235"/>
      <c r="D130" s="512"/>
      <c r="E130" s="512"/>
      <c r="F130" s="515"/>
      <c r="G130" s="515"/>
      <c r="H130" s="540"/>
      <c r="I130" s="512"/>
      <c r="J130" s="242"/>
      <c r="K130" s="242"/>
      <c r="L130" s="513"/>
      <c r="M130" s="252"/>
      <c r="N130" s="244" t="str">
        <f>AD129</f>
        <v>RWHSC</v>
      </c>
      <c r="O130" s="244"/>
      <c r="P130" s="252"/>
      <c r="Q130" s="252"/>
      <c r="R130" s="525">
        <f>IF(ISBLANK(I130),IF(MID(N130,2,2)="HA",VLOOKUP(I129,KEY_RSD_AF!$C$5:$G$52,2,FALSE),IF(MID(N130,2,2)="WA",VLOOKUP(I129,KEY_RSD_AF!$C$5:$G$52,3,FALSE),IF(MID(N130,2,2)="HH",VLOOKUP(I129,KEY_RSD_AF!$C$5:$G$52,4,FALSE),IF(MID(N130,2,2)="WH",VLOOKUP(I129,KEY_RSD_AF!$C$5:$G$52,5,FALSE))))),IF(MID(N130,2,2)="HA",VLOOKUP(I130,KEY_RSD_AF!$C$5:$G$52,2,FALSE),IF(MID(N130,2,2)="WA",VLOOKUP(I130,KEY_RSD_AF!$C$5:$G$52,3,FALSE),IF(MID(N130,2,2)="HH",VLOOKUP(I130,KEY_RSD_AF!$C$5:$G$52,4,FALSE),IF(MID(N130,2,2)="WH",VLOOKUP(I130,KEY_RSD_AF!$C$5:$G$52,5,FALSE))))))</f>
        <v>1</v>
      </c>
      <c r="S130" s="503">
        <f>T129</f>
        <v>0.82</v>
      </c>
      <c r="T130" s="256"/>
      <c r="U130" s="503"/>
      <c r="V130" s="252"/>
      <c r="W130" s="524"/>
      <c r="X130" s="256"/>
      <c r="Y130" s="252"/>
      <c r="Z130" s="252"/>
      <c r="AA130" s="257"/>
      <c r="AC130" s="235"/>
      <c r="AD130" s="244"/>
      <c r="AE130" s="256"/>
      <c r="AF130" s="256"/>
    </row>
    <row r="131" spans="1:32" x14ac:dyDescent="0.3">
      <c r="A131" s="235"/>
      <c r="C131" s="528" t="str">
        <f>'RSD (DEA)'!Z72</f>
        <v>B_WOF_01</v>
      </c>
      <c r="D131" s="512" t="str">
        <f>RSD_HeatingDemand!N131&amp;"_"&amp;C131</f>
        <v>RHHSC_B_WOF_01</v>
      </c>
      <c r="E131" s="512" t="str">
        <f>"R"&amp;LEFT('RSD (DEA)'!AD72,2)&amp;IF(ISNUMBER(IFERROR(FIND("HTH",'RSD (DEA)'!Z72),IFERROR(FIND("HP",'RSD (DEA)'!Z72),"C"))),IF(IFERROR(FIND("HTH",'RSD (DEA)'!Z72),100)=100,"B","A"),"C")</f>
        <v>RHSC</v>
      </c>
      <c r="F131" s="515"/>
      <c r="G131" s="515"/>
      <c r="H131" s="540" t="str">
        <f t="shared" si="1"/>
        <v>RHHSC_B_WOF_03</v>
      </c>
      <c r="I131" s="512" t="str">
        <f>'RSD (DEA)'!AA72</f>
        <v>Biomass boilers, automatic stoking</v>
      </c>
      <c r="J131" s="242" t="s">
        <v>239</v>
      </c>
      <c r="K131" s="242" t="s">
        <v>240</v>
      </c>
      <c r="L131" s="513" t="str">
        <f>'RSD (DEA)'!AH72</f>
        <v>RSDWOF</v>
      </c>
      <c r="M131" s="252"/>
      <c r="N131" s="244" t="str">
        <f>LEFT('RSD (DEA)'!AJ72,2)&amp;RIGHT(E131,3)</f>
        <v>RHHSC</v>
      </c>
      <c r="O131" s="252"/>
      <c r="P131" s="252">
        <f>IF('RSD (DEA)'!P72&lt;RSD_HeatingDemand!$AH$15,RSD_HeatingDemand!$AH$15,'RSD (DEA)'!P72)</f>
        <v>2019</v>
      </c>
      <c r="Q131" s="252">
        <f>IF('RSD (DEA)'!X72&lt;RSD_HeatingDemand!$AH$15,RSD_HeatingDemand!$AH$15,'RSD (DEA)'!X72)</f>
        <v>2030</v>
      </c>
      <c r="R131" s="525">
        <f>IF(ISBLANK(I131),IF(MID(N131,2,2)="HA",VLOOKUP(I130,KEY_RSD_AF!$C$5:$G$52,2,FALSE),IF(MID(N131,2,2)="WA",VLOOKUP(I130,KEY_RSD_AF!$C$5:$G$52,3,FALSE),IF(MID(N131,2,2)="HH",VLOOKUP(I130,KEY_RSD_AF!$C$5:$G$52,4,FALSE),IF(MID(N131,2,2)="WH",VLOOKUP(I130,KEY_RSD_AF!$C$5:$G$52,5,FALSE))))),IF(MID(N131,2,2)="HA",VLOOKUP(I131,KEY_RSD_AF!$C$5:$G$52,2,FALSE),IF(MID(N131,2,2)="WA",VLOOKUP(I131,KEY_RSD_AF!$C$5:$G$52,3,FALSE),IF(MID(N131,2,2)="HH",VLOOKUP(I131,KEY_RSD_AF!$C$5:$G$52,4,FALSE),IF(MID(N131,2,2)="WH",VLOOKUP(I131,KEY_RSD_AF!$C$5:$G$52,5,FALSE))))))</f>
        <v>1</v>
      </c>
      <c r="S131" s="256">
        <f>'RSD (DEA)'!AZ72</f>
        <v>0.86</v>
      </c>
      <c r="T131" s="256">
        <f>'RSD (DEA)'!BA72</f>
        <v>0.86</v>
      </c>
      <c r="U131" s="503">
        <v>0.5</v>
      </c>
      <c r="V131" s="252">
        <f>'RSD (DEA)'!BR72/'RSD (DEA)'!S72</f>
        <v>48.6</v>
      </c>
      <c r="W131" s="524">
        <f>'RSD (DEA)'!BS72/RSD_HeatingDemand!$AH$9</f>
        <v>0</v>
      </c>
      <c r="X131" s="256">
        <f>'RSD (DEA)'!BK72*RSD_HeatingDemand!$AH$10/'RSD (DEA)'!S72</f>
        <v>800</v>
      </c>
      <c r="Y131" s="252">
        <f>'RSD (DEA)'!BI72</f>
        <v>20</v>
      </c>
      <c r="Z131" s="252"/>
      <c r="AA131" s="257">
        <f>'RSD (DEA)'!AM72</f>
        <v>31.536000000000001</v>
      </c>
      <c r="AC131" s="235">
        <f>'RSD (DEA)'!S72</f>
        <v>10</v>
      </c>
      <c r="AD131" s="244" t="str">
        <f>LEFT('RSD (DEA)'!AK72,2)&amp;RIGHT(E131,3)</f>
        <v>RWHSC</v>
      </c>
      <c r="AE131" s="256">
        <f>'RSD (DEA)'!BA72</f>
        <v>0.86</v>
      </c>
      <c r="AF131" s="256"/>
    </row>
    <row r="132" spans="1:32" x14ac:dyDescent="0.3">
      <c r="A132" s="235"/>
      <c r="D132" s="512"/>
      <c r="E132" s="512"/>
      <c r="F132" s="515"/>
      <c r="G132" s="515"/>
      <c r="H132" s="540"/>
      <c r="I132" s="512"/>
      <c r="J132" s="242"/>
      <c r="K132" s="242"/>
      <c r="L132" s="513"/>
      <c r="M132" s="252"/>
      <c r="N132" s="244" t="str">
        <f>AD131</f>
        <v>RWHSC</v>
      </c>
      <c r="O132" s="244"/>
      <c r="P132" s="252"/>
      <c r="Q132" s="252"/>
      <c r="R132" s="525">
        <f>IF(ISBLANK(I132),IF(MID(N132,2,2)="HA",VLOOKUP(I131,KEY_RSD_AF!$C$5:$G$52,2,FALSE),IF(MID(N132,2,2)="WA",VLOOKUP(I131,KEY_RSD_AF!$C$5:$G$52,3,FALSE),IF(MID(N132,2,2)="HH",VLOOKUP(I131,KEY_RSD_AF!$C$5:$G$52,4,FALSE),IF(MID(N132,2,2)="WH",VLOOKUP(I131,KEY_RSD_AF!$C$5:$G$52,5,FALSE))))),IF(MID(N132,2,2)="HA",VLOOKUP(I132,KEY_RSD_AF!$C$5:$G$52,2,FALSE),IF(MID(N132,2,2)="WA",VLOOKUP(I132,KEY_RSD_AF!$C$5:$G$52,3,FALSE),IF(MID(N132,2,2)="HH",VLOOKUP(I132,KEY_RSD_AF!$C$5:$G$52,4,FALSE),IF(MID(N132,2,2)="WH",VLOOKUP(I132,KEY_RSD_AF!$C$5:$G$52,5,FALSE))))))</f>
        <v>1</v>
      </c>
      <c r="S132" s="503">
        <f>T131</f>
        <v>0.86</v>
      </c>
      <c r="T132" s="256"/>
      <c r="U132" s="503"/>
      <c r="V132" s="252"/>
      <c r="W132" s="524"/>
      <c r="X132" s="256"/>
      <c r="Y132" s="252"/>
      <c r="Z132" s="252"/>
      <c r="AA132" s="257"/>
      <c r="AC132" s="235"/>
      <c r="AD132" s="244"/>
      <c r="AE132" s="256"/>
      <c r="AF132" s="256"/>
    </row>
    <row r="133" spans="1:32" x14ac:dyDescent="0.3">
      <c r="A133" s="235"/>
      <c r="C133" s="528" t="str">
        <f>'RSD (DEA)'!Z73</f>
        <v>B_WOF_01</v>
      </c>
      <c r="D133" s="512" t="str">
        <f>RSD_HeatingDemand!N133&amp;"_"&amp;C133</f>
        <v>RHHSC_B_WOF_01</v>
      </c>
      <c r="E133" s="512" t="str">
        <f>"R"&amp;LEFT('RSD (DEA)'!AD73,2)&amp;IF(ISNUMBER(IFERROR(FIND("HTH",'RSD (DEA)'!Z73),IFERROR(FIND("HP",'RSD (DEA)'!Z73),"C"))),IF(IFERROR(FIND("HTH",'RSD (DEA)'!Z73),100)=100,"B","A"),"C")</f>
        <v>RHSC</v>
      </c>
      <c r="F133" s="515"/>
      <c r="G133" s="515"/>
      <c r="H133" s="540" t="str">
        <f t="shared" si="1"/>
        <v>RHHSC_B_WOF_04</v>
      </c>
      <c r="I133" s="512" t="str">
        <f>'RSD (DEA)'!AA73</f>
        <v>Biomass boilers, automatic stoking</v>
      </c>
      <c r="J133" s="242" t="s">
        <v>239</v>
      </c>
      <c r="K133" s="242" t="s">
        <v>240</v>
      </c>
      <c r="L133" s="513" t="str">
        <f>'RSD (DEA)'!AH73</f>
        <v>RSDWOF</v>
      </c>
      <c r="M133" s="252"/>
      <c r="N133" s="244" t="str">
        <f>LEFT('RSD (DEA)'!AJ73,2)&amp;RIGHT(E133,3)</f>
        <v>RHHSC</v>
      </c>
      <c r="O133" s="252"/>
      <c r="P133" s="252">
        <f>IF('RSD (DEA)'!P73&lt;RSD_HeatingDemand!$AH$15,RSD_HeatingDemand!$AH$15,'RSD (DEA)'!P73)</f>
        <v>2019</v>
      </c>
      <c r="Q133" s="252">
        <f>IF('RSD (DEA)'!X73&lt;RSD_HeatingDemand!$AH$15,RSD_HeatingDemand!$AH$15,'RSD (DEA)'!X73)</f>
        <v>2050</v>
      </c>
      <c r="R133" s="525">
        <f>IF(ISBLANK(I133),IF(MID(N133,2,2)="HA",VLOOKUP(I132,KEY_RSD_AF!$C$5:$G$52,2,FALSE),IF(MID(N133,2,2)="WA",VLOOKUP(I132,KEY_RSD_AF!$C$5:$G$52,3,FALSE),IF(MID(N133,2,2)="HH",VLOOKUP(I132,KEY_RSD_AF!$C$5:$G$52,4,FALSE),IF(MID(N133,2,2)="WH",VLOOKUP(I132,KEY_RSD_AF!$C$5:$G$52,5,FALSE))))),IF(MID(N133,2,2)="HA",VLOOKUP(I133,KEY_RSD_AF!$C$5:$G$52,2,FALSE),IF(MID(N133,2,2)="WA",VLOOKUP(I133,KEY_RSD_AF!$C$5:$G$52,3,FALSE),IF(MID(N133,2,2)="HH",VLOOKUP(I133,KEY_RSD_AF!$C$5:$G$52,4,FALSE),IF(MID(N133,2,2)="WH",VLOOKUP(I133,KEY_RSD_AF!$C$5:$G$52,5,FALSE))))))</f>
        <v>1</v>
      </c>
      <c r="S133" s="256">
        <f>'RSD (DEA)'!AZ73</f>
        <v>0.88</v>
      </c>
      <c r="T133" s="256">
        <f>'RSD (DEA)'!BA73</f>
        <v>0.88</v>
      </c>
      <c r="U133" s="503">
        <v>0.5</v>
      </c>
      <c r="V133" s="252">
        <f>'RSD (DEA)'!BR73/'RSD (DEA)'!S73</f>
        <v>44.3</v>
      </c>
      <c r="W133" s="524">
        <f>'RSD (DEA)'!BS73/RSD_HeatingDemand!$AH$9</f>
        <v>0</v>
      </c>
      <c r="X133" s="256">
        <f>'RSD (DEA)'!BK73*RSD_HeatingDemand!$AH$10/'RSD (DEA)'!S73</f>
        <v>700</v>
      </c>
      <c r="Y133" s="252">
        <f>'RSD (DEA)'!BI73</f>
        <v>20</v>
      </c>
      <c r="Z133" s="252"/>
      <c r="AA133" s="257">
        <f>'RSD (DEA)'!AM73</f>
        <v>31.536000000000001</v>
      </c>
      <c r="AC133" s="235">
        <f>'RSD (DEA)'!S73</f>
        <v>10</v>
      </c>
      <c r="AD133" s="244" t="str">
        <f>LEFT('RSD (DEA)'!AK73,2)&amp;RIGHT(E133,3)</f>
        <v>RWHSC</v>
      </c>
      <c r="AE133" s="256">
        <f>'RSD (DEA)'!BA73</f>
        <v>0.88</v>
      </c>
      <c r="AF133" s="256"/>
    </row>
    <row r="134" spans="1:32" x14ac:dyDescent="0.3">
      <c r="A134" s="235"/>
      <c r="D134" s="512"/>
      <c r="E134" s="512"/>
      <c r="F134" s="515"/>
      <c r="G134" s="515"/>
      <c r="H134" s="540"/>
      <c r="I134" s="512"/>
      <c r="J134" s="242"/>
      <c r="K134" s="242"/>
      <c r="L134" s="513"/>
      <c r="M134" s="252"/>
      <c r="N134" s="244" t="str">
        <f>AD133</f>
        <v>RWHSC</v>
      </c>
      <c r="O134" s="244"/>
      <c r="P134" s="252"/>
      <c r="Q134" s="252"/>
      <c r="R134" s="525">
        <f>IF(ISBLANK(I134),IF(MID(N134,2,2)="HA",VLOOKUP(I133,KEY_RSD_AF!$C$5:$G$52,2,FALSE),IF(MID(N134,2,2)="WA",VLOOKUP(I133,KEY_RSD_AF!$C$5:$G$52,3,FALSE),IF(MID(N134,2,2)="HH",VLOOKUP(I133,KEY_RSD_AF!$C$5:$G$52,4,FALSE),IF(MID(N134,2,2)="WH",VLOOKUP(I133,KEY_RSD_AF!$C$5:$G$52,5,FALSE))))),IF(MID(N134,2,2)="HA",VLOOKUP(I134,KEY_RSD_AF!$C$5:$G$52,2,FALSE),IF(MID(N134,2,2)="WA",VLOOKUP(I134,KEY_RSD_AF!$C$5:$G$52,3,FALSE),IF(MID(N134,2,2)="HH",VLOOKUP(I134,KEY_RSD_AF!$C$5:$G$52,4,FALSE),IF(MID(N134,2,2)="WH",VLOOKUP(I134,KEY_RSD_AF!$C$5:$G$52,5,FALSE))))))</f>
        <v>1</v>
      </c>
      <c r="S134" s="503">
        <f>T133</f>
        <v>0.88</v>
      </c>
      <c r="T134" s="256"/>
      <c r="U134" s="503"/>
      <c r="V134" s="252"/>
      <c r="W134" s="524"/>
      <c r="X134" s="256"/>
      <c r="Y134" s="252"/>
      <c r="Z134" s="252"/>
      <c r="AA134" s="257"/>
      <c r="AC134" s="235"/>
      <c r="AD134" s="244"/>
      <c r="AE134" s="256"/>
      <c r="AF134" s="256"/>
    </row>
    <row r="135" spans="1:32" x14ac:dyDescent="0.3">
      <c r="A135" s="235"/>
      <c r="C135" s="528" t="str">
        <f>'RSD (DEA)'!Z74</f>
        <v>B_WOF_02</v>
      </c>
      <c r="D135" s="512" t="str">
        <f>RSD_HeatingDemand!N135&amp;"_"&amp;C135</f>
        <v>RHHSC_B_WOF_02</v>
      </c>
      <c r="E135" s="512" t="str">
        <f>"R"&amp;LEFT('RSD (DEA)'!AD74,2)&amp;IF(ISNUMBER(IFERROR(FIND("HTH",'RSD (DEA)'!Z74),IFERROR(FIND("HP",'RSD (DEA)'!Z74),"C"))),IF(IFERROR(FIND("HTH",'RSD (DEA)'!Z74),100)=100,"B","A"),"C")</f>
        <v>RHSC</v>
      </c>
      <c r="F135" s="515"/>
      <c r="G135" s="515"/>
      <c r="H135" s="540" t="str">
        <f t="shared" si="1"/>
        <v>RHHSC_B_WOF_05</v>
      </c>
      <c r="I135" s="512" t="str">
        <f>'RSD (DEA)'!AA74</f>
        <v>Biomass boilers, automatic stoking</v>
      </c>
      <c r="J135" s="242" t="s">
        <v>239</v>
      </c>
      <c r="K135" s="242" t="s">
        <v>240</v>
      </c>
      <c r="L135" s="513" t="str">
        <f>'RSD (DEA)'!AH74</f>
        <v>RSDWOF</v>
      </c>
      <c r="M135" s="252"/>
      <c r="N135" s="244" t="str">
        <f>LEFT('RSD (DEA)'!AJ74,2)&amp;RIGHT(E135,3)</f>
        <v>RHHSC</v>
      </c>
      <c r="O135" s="252"/>
      <c r="P135" s="252">
        <f>IF('RSD (DEA)'!P74&lt;RSD_HeatingDemand!$AH$15,RSD_HeatingDemand!$AH$15,'RSD (DEA)'!P74)</f>
        <v>2019</v>
      </c>
      <c r="Q135" s="252">
        <f>IF('RSD (DEA)'!X74&lt;RSD_HeatingDemand!$AH$15,RSD_HeatingDemand!$AH$15,'RSD (DEA)'!X74)</f>
        <v>2019</v>
      </c>
      <c r="R135" s="525">
        <f>IF(ISBLANK(I135),IF(MID(N135,2,2)="HA",VLOOKUP(I134,KEY_RSD_AF!$C$5:$G$52,2,FALSE),IF(MID(N135,2,2)="WA",VLOOKUP(I134,KEY_RSD_AF!$C$5:$G$52,3,FALSE),IF(MID(N135,2,2)="HH",VLOOKUP(I134,KEY_RSD_AF!$C$5:$G$52,4,FALSE),IF(MID(N135,2,2)="WH",VLOOKUP(I134,KEY_RSD_AF!$C$5:$G$52,5,FALSE))))),IF(MID(N135,2,2)="HA",VLOOKUP(I135,KEY_RSD_AF!$C$5:$G$52,2,FALSE),IF(MID(N135,2,2)="WA",VLOOKUP(I135,KEY_RSD_AF!$C$5:$G$52,3,FALSE),IF(MID(N135,2,2)="HH",VLOOKUP(I135,KEY_RSD_AF!$C$5:$G$52,4,FALSE),IF(MID(N135,2,2)="WH",VLOOKUP(I135,KEY_RSD_AF!$C$5:$G$52,5,FALSE))))))</f>
        <v>1</v>
      </c>
      <c r="S135" s="256">
        <f>'RSD (DEA)'!AZ74</f>
        <v>0.75</v>
      </c>
      <c r="T135" s="256">
        <f>'RSD (DEA)'!BA74</f>
        <v>0.75</v>
      </c>
      <c r="U135" s="503">
        <v>0.5</v>
      </c>
      <c r="V135" s="252">
        <f>'RSD (DEA)'!BR74/'RSD (DEA)'!S74</f>
        <v>42.716666666666669</v>
      </c>
      <c r="W135" s="524">
        <f>'RSD (DEA)'!BS74/RSD_HeatingDemand!$AH$9</f>
        <v>0</v>
      </c>
      <c r="X135" s="256">
        <f>'RSD (DEA)'!BK74*RSD_HeatingDemand!$AH$10/'RSD (DEA)'!S74</f>
        <v>691.66666666666663</v>
      </c>
      <c r="Y135" s="252">
        <f>'RSD (DEA)'!BI74</f>
        <v>20</v>
      </c>
      <c r="Z135" s="252"/>
      <c r="AA135" s="257">
        <f>'RSD (DEA)'!AM74</f>
        <v>31.536000000000001</v>
      </c>
      <c r="AC135" s="235">
        <f>'RSD (DEA)'!S74</f>
        <v>12</v>
      </c>
      <c r="AD135" s="244" t="str">
        <f>LEFT('RSD (DEA)'!AK74,2)&amp;RIGHT(E135,3)</f>
        <v>RWHSC</v>
      </c>
      <c r="AE135" s="256">
        <f>'RSD (DEA)'!BA74</f>
        <v>0.75</v>
      </c>
      <c r="AF135" s="256"/>
    </row>
    <row r="136" spans="1:32" x14ac:dyDescent="0.3">
      <c r="A136" s="235"/>
      <c r="D136" s="512"/>
      <c r="E136" s="512"/>
      <c r="F136" s="515"/>
      <c r="G136" s="515"/>
      <c r="H136" s="540"/>
      <c r="I136" s="512"/>
      <c r="J136" s="242"/>
      <c r="K136" s="242"/>
      <c r="L136" s="513"/>
      <c r="M136" s="252"/>
      <c r="N136" s="244" t="str">
        <f>AD135</f>
        <v>RWHSC</v>
      </c>
      <c r="O136" s="244"/>
      <c r="P136" s="252"/>
      <c r="Q136" s="252"/>
      <c r="R136" s="525">
        <f>IF(ISBLANK(I136),IF(MID(N136,2,2)="HA",VLOOKUP(I135,KEY_RSD_AF!$C$5:$G$52,2,FALSE),IF(MID(N136,2,2)="WA",VLOOKUP(I135,KEY_RSD_AF!$C$5:$G$52,3,FALSE),IF(MID(N136,2,2)="HH",VLOOKUP(I135,KEY_RSD_AF!$C$5:$G$52,4,FALSE),IF(MID(N136,2,2)="WH",VLOOKUP(I135,KEY_RSD_AF!$C$5:$G$52,5,FALSE))))),IF(MID(N136,2,2)="HA",VLOOKUP(I136,KEY_RSD_AF!$C$5:$G$52,2,FALSE),IF(MID(N136,2,2)="WA",VLOOKUP(I136,KEY_RSD_AF!$C$5:$G$52,3,FALSE),IF(MID(N136,2,2)="HH",VLOOKUP(I136,KEY_RSD_AF!$C$5:$G$52,4,FALSE),IF(MID(N136,2,2)="WH",VLOOKUP(I136,KEY_RSD_AF!$C$5:$G$52,5,FALSE))))))</f>
        <v>1</v>
      </c>
      <c r="S136" s="503">
        <f>T135</f>
        <v>0.75</v>
      </c>
      <c r="T136" s="256"/>
      <c r="U136" s="503"/>
      <c r="V136" s="252"/>
      <c r="W136" s="524"/>
      <c r="X136" s="256"/>
      <c r="Y136" s="252"/>
      <c r="Z136" s="252"/>
      <c r="AA136" s="257"/>
      <c r="AC136" s="235"/>
      <c r="AD136" s="244"/>
      <c r="AE136" s="256"/>
      <c r="AF136" s="256"/>
    </row>
    <row r="137" spans="1:32" x14ac:dyDescent="0.3">
      <c r="A137" s="235"/>
      <c r="C137" s="528" t="str">
        <f>'RSD (DEA)'!Z75</f>
        <v>B_WOF_02</v>
      </c>
      <c r="D137" s="512" t="str">
        <f>RSD_HeatingDemand!N137&amp;"_"&amp;C137</f>
        <v>RHHSC_B_WOF_02</v>
      </c>
      <c r="E137" s="512" t="str">
        <f>"R"&amp;LEFT('RSD (DEA)'!AD75,2)&amp;IF(ISNUMBER(IFERROR(FIND("HTH",'RSD (DEA)'!Z75),IFERROR(FIND("HP",'RSD (DEA)'!Z75),"C"))),IF(IFERROR(FIND("HTH",'RSD (DEA)'!Z75),100)=100,"B","A"),"C")</f>
        <v>RHSC</v>
      </c>
      <c r="F137" s="515"/>
      <c r="G137" s="515"/>
      <c r="H137" s="540" t="str">
        <f t="shared" si="1"/>
        <v>RHHSC_B_WOF_06</v>
      </c>
      <c r="I137" s="512" t="str">
        <f>'RSD (DEA)'!AA75</f>
        <v>Biomass boilers, automatic stoking</v>
      </c>
      <c r="J137" s="242" t="s">
        <v>239</v>
      </c>
      <c r="K137" s="242" t="s">
        <v>240</v>
      </c>
      <c r="L137" s="513" t="str">
        <f>'RSD (DEA)'!AH75</f>
        <v>RSDWOF</v>
      </c>
      <c r="M137" s="252"/>
      <c r="N137" s="244" t="str">
        <f>LEFT('RSD (DEA)'!AJ75,2)&amp;RIGHT(E137,3)</f>
        <v>RHHSC</v>
      </c>
      <c r="O137" s="252"/>
      <c r="P137" s="252">
        <f>IF('RSD (DEA)'!P75&lt;RSD_HeatingDemand!$AH$15,RSD_HeatingDemand!$AH$15,'RSD (DEA)'!P75)</f>
        <v>2019</v>
      </c>
      <c r="Q137" s="252">
        <f>IF('RSD (DEA)'!X75&lt;RSD_HeatingDemand!$AH$15,RSD_HeatingDemand!$AH$15,'RSD (DEA)'!X75)</f>
        <v>2020</v>
      </c>
      <c r="R137" s="525">
        <f>IF(ISBLANK(I137),IF(MID(N137,2,2)="HA",VLOOKUP(I136,KEY_RSD_AF!$C$5:$G$52,2,FALSE),IF(MID(N137,2,2)="WA",VLOOKUP(I136,KEY_RSD_AF!$C$5:$G$52,3,FALSE),IF(MID(N137,2,2)="HH",VLOOKUP(I136,KEY_RSD_AF!$C$5:$G$52,4,FALSE),IF(MID(N137,2,2)="WH",VLOOKUP(I136,KEY_RSD_AF!$C$5:$G$52,5,FALSE))))),IF(MID(N137,2,2)="HA",VLOOKUP(I137,KEY_RSD_AF!$C$5:$G$52,2,FALSE),IF(MID(N137,2,2)="WA",VLOOKUP(I137,KEY_RSD_AF!$C$5:$G$52,3,FALSE),IF(MID(N137,2,2)="HH",VLOOKUP(I137,KEY_RSD_AF!$C$5:$G$52,4,FALSE),IF(MID(N137,2,2)="WH",VLOOKUP(I137,KEY_RSD_AF!$C$5:$G$52,5,FALSE))))))</f>
        <v>1</v>
      </c>
      <c r="S137" s="256">
        <f>'RSD (DEA)'!AZ75</f>
        <v>0.78</v>
      </c>
      <c r="T137" s="256">
        <f>'RSD (DEA)'!BA75</f>
        <v>0.78</v>
      </c>
      <c r="U137" s="503">
        <v>0.5</v>
      </c>
      <c r="V137" s="252">
        <f>'RSD (DEA)'!BR75/'RSD (DEA)'!S75</f>
        <v>50.1</v>
      </c>
      <c r="W137" s="524">
        <f>'RSD (DEA)'!BS75/RSD_HeatingDemand!$AH$9</f>
        <v>0</v>
      </c>
      <c r="X137" s="256">
        <f>'RSD (DEA)'!BK75*RSD_HeatingDemand!$AH$10/'RSD (DEA)'!S75</f>
        <v>830</v>
      </c>
      <c r="Y137" s="252">
        <f>'RSD (DEA)'!BI75</f>
        <v>20</v>
      </c>
      <c r="Z137" s="252"/>
      <c r="AA137" s="257">
        <f>'RSD (DEA)'!AM75</f>
        <v>31.536000000000001</v>
      </c>
      <c r="AC137" s="235">
        <f>'RSD (DEA)'!S75</f>
        <v>10</v>
      </c>
      <c r="AD137" s="244" t="str">
        <f>LEFT('RSD (DEA)'!AK75,2)&amp;RIGHT(E137,3)</f>
        <v>RWHSC</v>
      </c>
      <c r="AE137" s="256">
        <f>'RSD (DEA)'!BA75</f>
        <v>0.78</v>
      </c>
      <c r="AF137" s="256"/>
    </row>
    <row r="138" spans="1:32" x14ac:dyDescent="0.3">
      <c r="A138" s="235"/>
      <c r="D138" s="512"/>
      <c r="E138" s="512"/>
      <c r="F138" s="515"/>
      <c r="G138" s="515"/>
      <c r="H138" s="540"/>
      <c r="I138" s="512"/>
      <c r="J138" s="242"/>
      <c r="K138" s="242"/>
      <c r="L138" s="513"/>
      <c r="M138" s="252"/>
      <c r="N138" s="244" t="str">
        <f>AD137</f>
        <v>RWHSC</v>
      </c>
      <c r="O138" s="244"/>
      <c r="P138" s="252"/>
      <c r="Q138" s="252"/>
      <c r="R138" s="525">
        <f>IF(ISBLANK(I138),IF(MID(N138,2,2)="HA",VLOOKUP(I137,KEY_RSD_AF!$C$5:$G$52,2,FALSE),IF(MID(N138,2,2)="WA",VLOOKUP(I137,KEY_RSD_AF!$C$5:$G$52,3,FALSE),IF(MID(N138,2,2)="HH",VLOOKUP(I137,KEY_RSD_AF!$C$5:$G$52,4,FALSE),IF(MID(N138,2,2)="WH",VLOOKUP(I137,KEY_RSD_AF!$C$5:$G$52,5,FALSE))))),IF(MID(N138,2,2)="HA",VLOOKUP(I138,KEY_RSD_AF!$C$5:$G$52,2,FALSE),IF(MID(N138,2,2)="WA",VLOOKUP(I138,KEY_RSD_AF!$C$5:$G$52,3,FALSE),IF(MID(N138,2,2)="HH",VLOOKUP(I138,KEY_RSD_AF!$C$5:$G$52,4,FALSE),IF(MID(N138,2,2)="WH",VLOOKUP(I138,KEY_RSD_AF!$C$5:$G$52,5,FALSE))))))</f>
        <v>1</v>
      </c>
      <c r="S138" s="503">
        <f>T137</f>
        <v>0.78</v>
      </c>
      <c r="T138" s="256"/>
      <c r="U138" s="503"/>
      <c r="V138" s="252"/>
      <c r="W138" s="524"/>
      <c r="X138" s="256"/>
      <c r="Y138" s="252"/>
      <c r="Z138" s="252"/>
      <c r="AA138" s="257"/>
      <c r="AC138" s="235"/>
      <c r="AD138" s="244"/>
      <c r="AE138" s="256"/>
      <c r="AF138" s="256"/>
    </row>
    <row r="139" spans="1:32" x14ac:dyDescent="0.3">
      <c r="A139" s="235"/>
      <c r="C139" s="528" t="str">
        <f>'RSD (DEA)'!Z76</f>
        <v>B_WOF_02</v>
      </c>
      <c r="D139" s="512" t="str">
        <f>RSD_HeatingDemand!N139&amp;"_"&amp;C139</f>
        <v>RHHSC_B_WOF_02</v>
      </c>
      <c r="E139" s="512" t="str">
        <f>"R"&amp;LEFT('RSD (DEA)'!AD76,2)&amp;IF(ISNUMBER(IFERROR(FIND("HTH",'RSD (DEA)'!Z76),IFERROR(FIND("HP",'RSD (DEA)'!Z76),"C"))),IF(IFERROR(FIND("HTH",'RSD (DEA)'!Z76),100)=100,"B","A"),"C")</f>
        <v>RHSC</v>
      </c>
      <c r="F139" s="515"/>
      <c r="G139" s="515"/>
      <c r="H139" s="540" t="str">
        <f t="shared" ref="H139:H179" si="2">IF(LEFT(D139,LEN(D139)-2)=LEFT(D137,LEN(D139)-2),LEFT(D139,LEN(D139)-2)&amp;IF(RIGHT(H137,2)+1&lt;=9,"0"&amp;RIGHT(H137)+1,RIGHT(H137,2)+1),D139)</f>
        <v>RHHSC_B_WOF_07</v>
      </c>
      <c r="I139" s="512" t="str">
        <f>'RSD (DEA)'!AA76</f>
        <v>Biomass boilers, automatic stoking</v>
      </c>
      <c r="J139" s="242" t="s">
        <v>239</v>
      </c>
      <c r="K139" s="242" t="s">
        <v>240</v>
      </c>
      <c r="L139" s="513" t="str">
        <f>'RSD (DEA)'!AH76</f>
        <v>RSDWOF</v>
      </c>
      <c r="M139" s="252"/>
      <c r="N139" s="244" t="str">
        <f>LEFT('RSD (DEA)'!AJ76,2)&amp;RIGHT(E139,3)</f>
        <v>RHHSC</v>
      </c>
      <c r="O139" s="252"/>
      <c r="P139" s="252">
        <f>IF('RSD (DEA)'!P76&lt;RSD_HeatingDemand!$AH$15,RSD_HeatingDemand!$AH$15,'RSD (DEA)'!P76)</f>
        <v>2019</v>
      </c>
      <c r="Q139" s="252">
        <f>IF('RSD (DEA)'!X76&lt;RSD_HeatingDemand!$AH$15,RSD_HeatingDemand!$AH$15,'RSD (DEA)'!X76)</f>
        <v>2030</v>
      </c>
      <c r="R139" s="525">
        <f>IF(ISBLANK(I139),IF(MID(N139,2,2)="HA",VLOOKUP(I138,KEY_RSD_AF!$C$5:$G$52,2,FALSE),IF(MID(N139,2,2)="WA",VLOOKUP(I138,KEY_RSD_AF!$C$5:$G$52,3,FALSE),IF(MID(N139,2,2)="HH",VLOOKUP(I138,KEY_RSD_AF!$C$5:$G$52,4,FALSE),IF(MID(N139,2,2)="WH",VLOOKUP(I138,KEY_RSD_AF!$C$5:$G$52,5,FALSE))))),IF(MID(N139,2,2)="HA",VLOOKUP(I139,KEY_RSD_AF!$C$5:$G$52,2,FALSE),IF(MID(N139,2,2)="WA",VLOOKUP(I139,KEY_RSD_AF!$C$5:$G$52,3,FALSE),IF(MID(N139,2,2)="HH",VLOOKUP(I139,KEY_RSD_AF!$C$5:$G$52,4,FALSE),IF(MID(N139,2,2)="WH",VLOOKUP(I139,KEY_RSD_AF!$C$5:$G$52,5,FALSE))))))</f>
        <v>1</v>
      </c>
      <c r="S139" s="256">
        <f>'RSD (DEA)'!AZ76</f>
        <v>0.8</v>
      </c>
      <c r="T139" s="256">
        <f>'RSD (DEA)'!BA76</f>
        <v>0.8</v>
      </c>
      <c r="U139" s="503">
        <v>0.5</v>
      </c>
      <c r="V139" s="252">
        <f>'RSD (DEA)'!BR76/'RSD (DEA)'!S76</f>
        <v>60.25</v>
      </c>
      <c r="W139" s="524">
        <f>'RSD (DEA)'!BS76/RSD_HeatingDemand!$AH$9</f>
        <v>0</v>
      </c>
      <c r="X139" s="256">
        <f>'RSD (DEA)'!BK76*RSD_HeatingDemand!$AH$10/'RSD (DEA)'!S76</f>
        <v>1037.5</v>
      </c>
      <c r="Y139" s="252">
        <f>'RSD (DEA)'!BI76</f>
        <v>20</v>
      </c>
      <c r="Z139" s="252"/>
      <c r="AA139" s="257">
        <f>'RSD (DEA)'!AM76</f>
        <v>31.536000000000001</v>
      </c>
      <c r="AC139" s="235">
        <f>'RSD (DEA)'!S76</f>
        <v>8</v>
      </c>
      <c r="AD139" s="244" t="str">
        <f>LEFT('RSD (DEA)'!AK76,2)&amp;RIGHT(E139,3)</f>
        <v>RWHSC</v>
      </c>
      <c r="AE139" s="256">
        <f>'RSD (DEA)'!BA76</f>
        <v>0.8</v>
      </c>
      <c r="AF139" s="256"/>
    </row>
    <row r="140" spans="1:32" x14ac:dyDescent="0.3">
      <c r="A140" s="235"/>
      <c r="D140" s="512"/>
      <c r="E140" s="512"/>
      <c r="F140" s="515"/>
      <c r="G140" s="515"/>
      <c r="H140" s="540"/>
      <c r="I140" s="512"/>
      <c r="J140" s="242"/>
      <c r="K140" s="242"/>
      <c r="L140" s="513"/>
      <c r="M140" s="252"/>
      <c r="N140" s="244" t="str">
        <f>AD139</f>
        <v>RWHSC</v>
      </c>
      <c r="O140" s="244"/>
      <c r="P140" s="252"/>
      <c r="Q140" s="252"/>
      <c r="R140" s="525">
        <f>IF(ISBLANK(I140),IF(MID(N140,2,2)="HA",VLOOKUP(I139,KEY_RSD_AF!$C$5:$G$52,2,FALSE),IF(MID(N140,2,2)="WA",VLOOKUP(I139,KEY_RSD_AF!$C$5:$G$52,3,FALSE),IF(MID(N140,2,2)="HH",VLOOKUP(I139,KEY_RSD_AF!$C$5:$G$52,4,FALSE),IF(MID(N140,2,2)="WH",VLOOKUP(I139,KEY_RSD_AF!$C$5:$G$52,5,FALSE))))),IF(MID(N140,2,2)="HA",VLOOKUP(I140,KEY_RSD_AF!$C$5:$G$52,2,FALSE),IF(MID(N140,2,2)="WA",VLOOKUP(I140,KEY_RSD_AF!$C$5:$G$52,3,FALSE),IF(MID(N140,2,2)="HH",VLOOKUP(I140,KEY_RSD_AF!$C$5:$G$52,4,FALSE),IF(MID(N140,2,2)="WH",VLOOKUP(I140,KEY_RSD_AF!$C$5:$G$52,5,FALSE))))))</f>
        <v>1</v>
      </c>
      <c r="S140" s="503">
        <f>T139</f>
        <v>0.8</v>
      </c>
      <c r="T140" s="256"/>
      <c r="U140" s="503"/>
      <c r="V140" s="252"/>
      <c r="W140" s="524"/>
      <c r="X140" s="256"/>
      <c r="Y140" s="252"/>
      <c r="Z140" s="252"/>
      <c r="AA140" s="257"/>
      <c r="AC140" s="235"/>
      <c r="AD140" s="244"/>
      <c r="AE140" s="256"/>
      <c r="AF140" s="256"/>
    </row>
    <row r="141" spans="1:32" x14ac:dyDescent="0.3">
      <c r="A141" s="235"/>
      <c r="C141" s="528" t="str">
        <f>'RSD (DEA)'!Z77</f>
        <v>B_WOF_02</v>
      </c>
      <c r="D141" s="512" t="str">
        <f>RSD_HeatingDemand!N141&amp;"_"&amp;C141</f>
        <v>RHHSC_B_WOF_02</v>
      </c>
      <c r="E141" s="512" t="str">
        <f>"R"&amp;LEFT('RSD (DEA)'!AD77,2)&amp;IF(ISNUMBER(IFERROR(FIND("HTH",'RSD (DEA)'!Z77),IFERROR(FIND("HP",'RSD (DEA)'!Z77),"C"))),IF(IFERROR(FIND("HTH",'RSD (DEA)'!Z77),100)=100,"B","A"),"C")</f>
        <v>RHSC</v>
      </c>
      <c r="F141" s="515"/>
      <c r="G141" s="515"/>
      <c r="H141" s="540" t="str">
        <f t="shared" si="2"/>
        <v>RHHSC_B_WOF_08</v>
      </c>
      <c r="I141" s="512" t="str">
        <f>'RSD (DEA)'!AA77</f>
        <v>Biomass boilers, automatic stoking</v>
      </c>
      <c r="J141" s="242" t="s">
        <v>239</v>
      </c>
      <c r="K141" s="242" t="s">
        <v>240</v>
      </c>
      <c r="L141" s="513" t="str">
        <f>'RSD (DEA)'!AH77</f>
        <v>RSDWOF</v>
      </c>
      <c r="M141" s="252"/>
      <c r="N141" s="244" t="str">
        <f>LEFT('RSD (DEA)'!AJ77,2)&amp;RIGHT(E141,3)</f>
        <v>RHHSC</v>
      </c>
      <c r="O141" s="252"/>
      <c r="P141" s="252">
        <f>IF('RSD (DEA)'!P77&lt;RSD_HeatingDemand!$AH$15,RSD_HeatingDemand!$AH$15,'RSD (DEA)'!P77)</f>
        <v>2019</v>
      </c>
      <c r="Q141" s="252">
        <f>IF('RSD (DEA)'!X77&lt;RSD_HeatingDemand!$AH$15,RSD_HeatingDemand!$AH$15,'RSD (DEA)'!X77)</f>
        <v>2050</v>
      </c>
      <c r="R141" s="525">
        <f>IF(ISBLANK(I141),IF(MID(N141,2,2)="HA",VLOOKUP(I140,KEY_RSD_AF!$C$5:$G$52,2,FALSE),IF(MID(N141,2,2)="WA",VLOOKUP(I140,KEY_RSD_AF!$C$5:$G$52,3,FALSE),IF(MID(N141,2,2)="HH",VLOOKUP(I140,KEY_RSD_AF!$C$5:$G$52,4,FALSE),IF(MID(N141,2,2)="WH",VLOOKUP(I140,KEY_RSD_AF!$C$5:$G$52,5,FALSE))))),IF(MID(N141,2,2)="HA",VLOOKUP(I141,KEY_RSD_AF!$C$5:$G$52,2,FALSE),IF(MID(N141,2,2)="WA",VLOOKUP(I141,KEY_RSD_AF!$C$5:$G$52,3,FALSE),IF(MID(N141,2,2)="HH",VLOOKUP(I141,KEY_RSD_AF!$C$5:$G$52,4,FALSE),IF(MID(N141,2,2)="WH",VLOOKUP(I141,KEY_RSD_AF!$C$5:$G$52,5,FALSE))))))</f>
        <v>1</v>
      </c>
      <c r="S141" s="256">
        <f>'RSD (DEA)'!AZ77</f>
        <v>0.85</v>
      </c>
      <c r="T141" s="256">
        <f>'RSD (DEA)'!BA77</f>
        <v>0.85</v>
      </c>
      <c r="U141" s="503">
        <v>0.5</v>
      </c>
      <c r="V141" s="252">
        <f>'RSD (DEA)'!BR77/'RSD (DEA)'!S77</f>
        <v>54.75</v>
      </c>
      <c r="W141" s="524">
        <f>'RSD (DEA)'!BS77/RSD_HeatingDemand!$AH$9</f>
        <v>0</v>
      </c>
      <c r="X141" s="256">
        <f>'RSD (DEA)'!BK77*RSD_HeatingDemand!$AH$10/'RSD (DEA)'!S77</f>
        <v>875</v>
      </c>
      <c r="Y141" s="252">
        <f>'RSD (DEA)'!BI77</f>
        <v>20</v>
      </c>
      <c r="Z141" s="252"/>
      <c r="AA141" s="257">
        <f>'RSD (DEA)'!AM77</f>
        <v>31.536000000000001</v>
      </c>
      <c r="AC141" s="235">
        <f>'RSD (DEA)'!S77</f>
        <v>8</v>
      </c>
      <c r="AD141" s="244" t="str">
        <f>LEFT('RSD (DEA)'!AK77,2)&amp;RIGHT(E141,3)</f>
        <v>RWHSC</v>
      </c>
      <c r="AE141" s="256">
        <f>'RSD (DEA)'!BA77</f>
        <v>0.85</v>
      </c>
      <c r="AF141" s="256"/>
    </row>
    <row r="142" spans="1:32" x14ac:dyDescent="0.3">
      <c r="A142" s="235"/>
      <c r="D142" s="512"/>
      <c r="E142" s="512"/>
      <c r="F142" s="515"/>
      <c r="G142" s="515"/>
      <c r="H142" s="540"/>
      <c r="I142" s="512"/>
      <c r="J142" s="242"/>
      <c r="K142" s="242"/>
      <c r="L142" s="513"/>
      <c r="M142" s="252"/>
      <c r="N142" s="244" t="str">
        <f>AD141</f>
        <v>RWHSC</v>
      </c>
      <c r="O142" s="244"/>
      <c r="P142" s="252"/>
      <c r="Q142" s="252"/>
      <c r="R142" s="525">
        <f>IF(ISBLANK(I142),IF(MID(N142,2,2)="HA",VLOOKUP(I141,KEY_RSD_AF!$C$5:$G$52,2,FALSE),IF(MID(N142,2,2)="WA",VLOOKUP(I141,KEY_RSD_AF!$C$5:$G$52,3,FALSE),IF(MID(N142,2,2)="HH",VLOOKUP(I141,KEY_RSD_AF!$C$5:$G$52,4,FALSE),IF(MID(N142,2,2)="WH",VLOOKUP(I141,KEY_RSD_AF!$C$5:$G$52,5,FALSE))))),IF(MID(N142,2,2)="HA",VLOOKUP(I142,KEY_RSD_AF!$C$5:$G$52,2,FALSE),IF(MID(N142,2,2)="WA",VLOOKUP(I142,KEY_RSD_AF!$C$5:$G$52,3,FALSE),IF(MID(N142,2,2)="HH",VLOOKUP(I142,KEY_RSD_AF!$C$5:$G$52,4,FALSE),IF(MID(N142,2,2)="WH",VLOOKUP(I142,KEY_RSD_AF!$C$5:$G$52,5,FALSE))))))</f>
        <v>1</v>
      </c>
      <c r="S142" s="503">
        <f>T141</f>
        <v>0.85</v>
      </c>
      <c r="T142" s="256"/>
      <c r="U142" s="503"/>
      <c r="V142" s="252"/>
      <c r="W142" s="524"/>
      <c r="X142" s="256"/>
      <c r="Y142" s="252"/>
      <c r="Z142" s="252"/>
      <c r="AA142" s="257"/>
      <c r="AC142" s="235"/>
      <c r="AD142" s="244"/>
      <c r="AE142" s="256"/>
      <c r="AF142" s="256"/>
    </row>
    <row r="143" spans="1:32" x14ac:dyDescent="0.3">
      <c r="A143" s="235"/>
      <c r="C143" s="528" t="str">
        <f>'RSD (DEA)'!Z78</f>
        <v>B_WOF_03</v>
      </c>
      <c r="D143" s="512" t="str">
        <f>RSD_HeatingDemand!N143&amp;"_"&amp;LEFT(C143,LEN(C143)-2)&amp;"01"</f>
        <v>RHAPC_B_WOF_01</v>
      </c>
      <c r="E143" s="512" t="str">
        <f>"R"&amp;LEFT('RSD (DEA)'!AD78,2)&amp;IF(ISNUMBER(IFERROR(FIND("HTH",'RSD (DEA)'!Z78),IFERROR(FIND("HP",'RSD (DEA)'!Z78),"C"))),IF(IFERROR(FIND("HTH",'RSD (DEA)'!Z78),100)=100,"B","A"),"C")</f>
        <v>RAPC</v>
      </c>
      <c r="F143" s="515"/>
      <c r="G143" s="515"/>
      <c r="H143" s="540" t="str">
        <f t="shared" si="2"/>
        <v>RHAPC_B_WOF_01</v>
      </c>
      <c r="I143" s="512" t="str">
        <f>'RSD (DEA)'!AA78</f>
        <v>Biomass boilers, automatic stoking</v>
      </c>
      <c r="J143" s="242" t="s">
        <v>239</v>
      </c>
      <c r="K143" s="242" t="s">
        <v>240</v>
      </c>
      <c r="L143" s="513" t="str">
        <f>'RSD (DEA)'!AH78</f>
        <v>RSDWOF</v>
      </c>
      <c r="M143" s="252"/>
      <c r="N143" s="244" t="str">
        <f>LEFT('RSD (DEA)'!AJ78,2)&amp;RIGHT(E143,3)</f>
        <v>RHAPC</v>
      </c>
      <c r="O143" s="252"/>
      <c r="P143" s="252">
        <f>IF('RSD (DEA)'!P78&lt;RSD_HeatingDemand!$AH$15,RSD_HeatingDemand!$AH$15,'RSD (DEA)'!P78)</f>
        <v>2019</v>
      </c>
      <c r="Q143" s="252">
        <f>IF('RSD (DEA)'!X78&lt;RSD_HeatingDemand!$AH$15,RSD_HeatingDemand!$AH$15,'RSD (DEA)'!X78)</f>
        <v>2019</v>
      </c>
      <c r="R143" s="525">
        <f>IF(ISBLANK(I143),IF(MID(N143,2,2)="HA",VLOOKUP(I142,KEY_RSD_AF!$C$5:$G$52,2,FALSE),IF(MID(N143,2,2)="WA",VLOOKUP(I142,KEY_RSD_AF!$C$5:$G$52,3,FALSE),IF(MID(N143,2,2)="HH",VLOOKUP(I142,KEY_RSD_AF!$C$5:$G$52,4,FALSE),IF(MID(N143,2,2)="WH",VLOOKUP(I142,KEY_RSD_AF!$C$5:$G$52,5,FALSE))))),IF(MID(N143,2,2)="HA",VLOOKUP(I143,KEY_RSD_AF!$C$5:$G$52,2,FALSE),IF(MID(N143,2,2)="WA",VLOOKUP(I143,KEY_RSD_AF!$C$5:$G$52,3,FALSE),IF(MID(N143,2,2)="HH",VLOOKUP(I143,KEY_RSD_AF!$C$5:$G$52,4,FALSE),IF(MID(N143,2,2)="WH",VLOOKUP(I143,KEY_RSD_AF!$C$5:$G$52,5,FALSE))))))</f>
        <v>1</v>
      </c>
      <c r="S143" s="256">
        <f>'RSD (DEA)'!AZ78</f>
        <v>0.8</v>
      </c>
      <c r="T143" s="256">
        <f>'RSD (DEA)'!BA78</f>
        <v>0.8</v>
      </c>
      <c r="U143" s="503">
        <v>0.5</v>
      </c>
      <c r="V143" s="252">
        <f>'RSD (DEA)'!BR78/'RSD (DEA)'!S78</f>
        <v>4.3937499999999998</v>
      </c>
      <c r="W143" s="524">
        <f>'RSD (DEA)'!BS78/RSD_HeatingDemand!$AH$9</f>
        <v>0</v>
      </c>
      <c r="X143" s="256">
        <f>'RSD (DEA)'!BK78*RSD_HeatingDemand!$AH$10/'RSD (DEA)'!S78</f>
        <v>262.5</v>
      </c>
      <c r="Y143" s="252">
        <f>'RSD (DEA)'!BI78</f>
        <v>20</v>
      </c>
      <c r="Z143" s="252"/>
      <c r="AA143" s="257">
        <f>'RSD (DEA)'!AM78</f>
        <v>31.536000000000001</v>
      </c>
      <c r="AC143" s="235">
        <f>'RSD (DEA)'!S78</f>
        <v>400</v>
      </c>
      <c r="AD143" s="244" t="str">
        <f>LEFT('RSD (DEA)'!AK78,2)&amp;RIGHT(E143,3)</f>
        <v>RWAPC</v>
      </c>
      <c r="AE143" s="256">
        <f>'RSD (DEA)'!BA78</f>
        <v>0.8</v>
      </c>
      <c r="AF143" s="256"/>
    </row>
    <row r="144" spans="1:32" x14ac:dyDescent="0.3">
      <c r="A144" s="235"/>
      <c r="D144" s="512"/>
      <c r="E144" s="512"/>
      <c r="F144" s="515"/>
      <c r="G144" s="515"/>
      <c r="H144" s="540"/>
      <c r="I144" s="512"/>
      <c r="J144" s="242"/>
      <c r="K144" s="242"/>
      <c r="L144" s="513"/>
      <c r="M144" s="252"/>
      <c r="N144" s="244" t="str">
        <f>AD143</f>
        <v>RWAPC</v>
      </c>
      <c r="O144" s="244"/>
      <c r="P144" s="252"/>
      <c r="Q144" s="252"/>
      <c r="R144" s="525">
        <f>IF(ISBLANK(I144),IF(MID(N144,2,2)="HA",VLOOKUP(I143,KEY_RSD_AF!$C$5:$G$52,2,FALSE),IF(MID(N144,2,2)="WA",VLOOKUP(I143,KEY_RSD_AF!$C$5:$G$52,3,FALSE),IF(MID(N144,2,2)="HH",VLOOKUP(I143,KEY_RSD_AF!$C$5:$G$52,4,FALSE),IF(MID(N144,2,2)="WH",VLOOKUP(I143,KEY_RSD_AF!$C$5:$G$52,5,FALSE))))),IF(MID(N144,2,2)="HA",VLOOKUP(I144,KEY_RSD_AF!$C$5:$G$52,2,FALSE),IF(MID(N144,2,2)="WA",VLOOKUP(I144,KEY_RSD_AF!$C$5:$G$52,3,FALSE),IF(MID(N144,2,2)="HH",VLOOKUP(I144,KEY_RSD_AF!$C$5:$G$52,4,FALSE),IF(MID(N144,2,2)="WH",VLOOKUP(I144,KEY_RSD_AF!$C$5:$G$52,5,FALSE))))))</f>
        <v>1</v>
      </c>
      <c r="S144" s="503">
        <f>T143</f>
        <v>0.8</v>
      </c>
      <c r="T144" s="256"/>
      <c r="U144" s="503"/>
      <c r="V144" s="252"/>
      <c r="W144" s="524"/>
      <c r="X144" s="256"/>
      <c r="Y144" s="252"/>
      <c r="Z144" s="252"/>
      <c r="AA144" s="257"/>
      <c r="AC144" s="235"/>
      <c r="AD144" s="244"/>
      <c r="AE144" s="256"/>
      <c r="AF144" s="256"/>
    </row>
    <row r="145" spans="1:32" x14ac:dyDescent="0.3">
      <c r="A145" s="235"/>
      <c r="C145" s="528" t="str">
        <f>'RSD (DEA)'!Z79</f>
        <v>B_WOF_03</v>
      </c>
      <c r="D145" s="512" t="str">
        <f>RSD_HeatingDemand!N145&amp;"_"&amp;LEFT(C145,LEN(C145)-2)&amp;"01"</f>
        <v>RHAPC_B_WOF_01</v>
      </c>
      <c r="E145" s="512" t="str">
        <f>"R"&amp;LEFT('RSD (DEA)'!AD79,2)&amp;IF(ISNUMBER(IFERROR(FIND("HTH",'RSD (DEA)'!Z79),IFERROR(FIND("HP",'RSD (DEA)'!Z79),"C"))),IF(IFERROR(FIND("HTH",'RSD (DEA)'!Z79),100)=100,"B","A"),"C")</f>
        <v>RAPC</v>
      </c>
      <c r="F145" s="515"/>
      <c r="G145" s="515"/>
      <c r="H145" s="540" t="str">
        <f t="shared" si="2"/>
        <v>RHAPC_B_WOF_02</v>
      </c>
      <c r="I145" s="512" t="str">
        <f>'RSD (DEA)'!AA79</f>
        <v>Biomass boilers, automatic stoking</v>
      </c>
      <c r="J145" s="242" t="s">
        <v>239</v>
      </c>
      <c r="K145" s="242" t="s">
        <v>240</v>
      </c>
      <c r="L145" s="513" t="str">
        <f>'RSD (DEA)'!AH79</f>
        <v>RSDWOF</v>
      </c>
      <c r="M145" s="252"/>
      <c r="N145" s="244" t="str">
        <f>LEFT('RSD (DEA)'!AJ79,2)&amp;RIGHT(E145,3)</f>
        <v>RHAPC</v>
      </c>
      <c r="O145" s="252"/>
      <c r="P145" s="252">
        <f>IF('RSD (DEA)'!P79&lt;RSD_HeatingDemand!$AH$15,RSD_HeatingDemand!$AH$15,'RSD (DEA)'!P79)</f>
        <v>2019</v>
      </c>
      <c r="Q145" s="252">
        <f>IF('RSD (DEA)'!X79&lt;RSD_HeatingDemand!$AH$15,RSD_HeatingDemand!$AH$15,'RSD (DEA)'!X79)</f>
        <v>2020</v>
      </c>
      <c r="R145" s="525">
        <f>IF(ISBLANK(I145),IF(MID(N145,2,2)="HA",VLOOKUP(I144,KEY_RSD_AF!$C$5:$G$52,2,FALSE),IF(MID(N145,2,2)="WA",VLOOKUP(I144,KEY_RSD_AF!$C$5:$G$52,3,FALSE),IF(MID(N145,2,2)="HH",VLOOKUP(I144,KEY_RSD_AF!$C$5:$G$52,4,FALSE),IF(MID(N145,2,2)="WH",VLOOKUP(I144,KEY_RSD_AF!$C$5:$G$52,5,FALSE))))),IF(MID(N145,2,2)="HA",VLOOKUP(I145,KEY_RSD_AF!$C$5:$G$52,2,FALSE),IF(MID(N145,2,2)="WA",VLOOKUP(I145,KEY_RSD_AF!$C$5:$G$52,3,FALSE),IF(MID(N145,2,2)="HH",VLOOKUP(I145,KEY_RSD_AF!$C$5:$G$52,4,FALSE),IF(MID(N145,2,2)="WH",VLOOKUP(I145,KEY_RSD_AF!$C$5:$G$52,5,FALSE))))))</f>
        <v>1</v>
      </c>
      <c r="S145" s="256">
        <f>'RSD (DEA)'!AZ79</f>
        <v>0.85</v>
      </c>
      <c r="T145" s="256">
        <f>'RSD (DEA)'!BA79</f>
        <v>0.85</v>
      </c>
      <c r="U145" s="503">
        <v>0.5</v>
      </c>
      <c r="V145" s="252">
        <f>'RSD (DEA)'!BR79/'RSD (DEA)'!S79</f>
        <v>4.3150000000000004</v>
      </c>
      <c r="W145" s="524">
        <f>'RSD (DEA)'!BS79/RSD_HeatingDemand!$AH$9</f>
        <v>0</v>
      </c>
      <c r="X145" s="256">
        <f>'RSD (DEA)'!BK79*RSD_HeatingDemand!$AH$10/'RSD (DEA)'!S79</f>
        <v>255</v>
      </c>
      <c r="Y145" s="252">
        <f>'RSD (DEA)'!BI79</f>
        <v>20</v>
      </c>
      <c r="Z145" s="252"/>
      <c r="AA145" s="257">
        <f>'RSD (DEA)'!AM79</f>
        <v>31.536000000000001</v>
      </c>
      <c r="AC145" s="235">
        <f>'RSD (DEA)'!S79</f>
        <v>400</v>
      </c>
      <c r="AD145" s="244" t="str">
        <f>LEFT('RSD (DEA)'!AK79,2)&amp;RIGHT(E145,3)</f>
        <v>RWAPC</v>
      </c>
      <c r="AE145" s="256">
        <f>'RSD (DEA)'!BA79</f>
        <v>0.85</v>
      </c>
      <c r="AF145" s="256"/>
    </row>
    <row r="146" spans="1:32" x14ac:dyDescent="0.3">
      <c r="A146" s="235"/>
      <c r="D146" s="512"/>
      <c r="E146" s="512"/>
      <c r="F146" s="515"/>
      <c r="G146" s="515"/>
      <c r="H146" s="540"/>
      <c r="I146" s="512"/>
      <c r="J146" s="242"/>
      <c r="K146" s="242"/>
      <c r="L146" s="513"/>
      <c r="M146" s="252"/>
      <c r="N146" s="244" t="str">
        <f>AD145</f>
        <v>RWAPC</v>
      </c>
      <c r="O146" s="244"/>
      <c r="P146" s="252"/>
      <c r="Q146" s="252"/>
      <c r="R146" s="525">
        <f>IF(ISBLANK(I146),IF(MID(N146,2,2)="HA",VLOOKUP(I145,KEY_RSD_AF!$C$5:$G$52,2,FALSE),IF(MID(N146,2,2)="WA",VLOOKUP(I145,KEY_RSD_AF!$C$5:$G$52,3,FALSE),IF(MID(N146,2,2)="HH",VLOOKUP(I145,KEY_RSD_AF!$C$5:$G$52,4,FALSE),IF(MID(N146,2,2)="WH",VLOOKUP(I145,KEY_RSD_AF!$C$5:$G$52,5,FALSE))))),IF(MID(N146,2,2)="HA",VLOOKUP(I146,KEY_RSD_AF!$C$5:$G$52,2,FALSE),IF(MID(N146,2,2)="WA",VLOOKUP(I146,KEY_RSD_AF!$C$5:$G$52,3,FALSE),IF(MID(N146,2,2)="HH",VLOOKUP(I146,KEY_RSD_AF!$C$5:$G$52,4,FALSE),IF(MID(N146,2,2)="WH",VLOOKUP(I146,KEY_RSD_AF!$C$5:$G$52,5,FALSE))))))</f>
        <v>1</v>
      </c>
      <c r="S146" s="503">
        <f>T145</f>
        <v>0.85</v>
      </c>
      <c r="T146" s="256"/>
      <c r="U146" s="503"/>
      <c r="V146" s="252"/>
      <c r="W146" s="524"/>
      <c r="X146" s="256"/>
      <c r="Y146" s="252"/>
      <c r="Z146" s="252"/>
      <c r="AA146" s="257"/>
      <c r="AC146" s="235"/>
      <c r="AD146" s="244"/>
      <c r="AE146" s="256"/>
      <c r="AF146" s="256"/>
    </row>
    <row r="147" spans="1:32" x14ac:dyDescent="0.3">
      <c r="A147" s="235"/>
      <c r="C147" s="528" t="str">
        <f>'RSD (DEA)'!Z80</f>
        <v>B_WOF_03</v>
      </c>
      <c r="D147" s="512" t="str">
        <f>RSD_HeatingDemand!N147&amp;"_"&amp;LEFT(C147,LEN(C147)-2)&amp;"01"</f>
        <v>RHAPC_B_WOF_01</v>
      </c>
      <c r="E147" s="512" t="str">
        <f>"R"&amp;LEFT('RSD (DEA)'!AD80,2)&amp;IF(ISNUMBER(IFERROR(FIND("HTH",'RSD (DEA)'!Z80),IFERROR(FIND("HP",'RSD (DEA)'!Z80),"C"))),IF(IFERROR(FIND("HTH",'RSD (DEA)'!Z80),100)=100,"B","A"),"C")</f>
        <v>RAPC</v>
      </c>
      <c r="F147" s="515"/>
      <c r="G147" s="515"/>
      <c r="H147" s="540" t="str">
        <f t="shared" si="2"/>
        <v>RHAPC_B_WOF_03</v>
      </c>
      <c r="I147" s="512" t="str">
        <f>'RSD (DEA)'!AA80</f>
        <v>Biomass boilers, automatic stoking</v>
      </c>
      <c r="J147" s="242" t="s">
        <v>239</v>
      </c>
      <c r="K147" s="242" t="s">
        <v>240</v>
      </c>
      <c r="L147" s="513" t="str">
        <f>'RSD (DEA)'!AH80</f>
        <v>RSDWOF</v>
      </c>
      <c r="M147" s="252"/>
      <c r="N147" s="244" t="str">
        <f>LEFT('RSD (DEA)'!AJ80,2)&amp;RIGHT(E147,3)</f>
        <v>RHAPC</v>
      </c>
      <c r="O147" s="252"/>
      <c r="P147" s="252">
        <f>IF('RSD (DEA)'!P80&lt;RSD_HeatingDemand!$AH$15,RSD_HeatingDemand!$AH$15,'RSD (DEA)'!P80)</f>
        <v>2019</v>
      </c>
      <c r="Q147" s="252">
        <f>IF('RSD (DEA)'!X80&lt;RSD_HeatingDemand!$AH$15,RSD_HeatingDemand!$AH$15,'RSD (DEA)'!X80)</f>
        <v>2030</v>
      </c>
      <c r="R147" s="525">
        <f>IF(ISBLANK(I147),IF(MID(N147,2,2)="HA",VLOOKUP(I146,KEY_RSD_AF!$C$5:$G$52,2,FALSE),IF(MID(N147,2,2)="WA",VLOOKUP(I146,KEY_RSD_AF!$C$5:$G$52,3,FALSE),IF(MID(N147,2,2)="HH",VLOOKUP(I146,KEY_RSD_AF!$C$5:$G$52,4,FALSE),IF(MID(N147,2,2)="WH",VLOOKUP(I146,KEY_RSD_AF!$C$5:$G$52,5,FALSE))))),IF(MID(N147,2,2)="HA",VLOOKUP(I147,KEY_RSD_AF!$C$5:$G$52,2,FALSE),IF(MID(N147,2,2)="WA",VLOOKUP(I147,KEY_RSD_AF!$C$5:$G$52,3,FALSE),IF(MID(N147,2,2)="HH",VLOOKUP(I147,KEY_RSD_AF!$C$5:$G$52,4,FALSE),IF(MID(N147,2,2)="WH",VLOOKUP(I147,KEY_RSD_AF!$C$5:$G$52,5,FALSE))))))</f>
        <v>1</v>
      </c>
      <c r="S147" s="256">
        <f>'RSD (DEA)'!AZ80</f>
        <v>0.9</v>
      </c>
      <c r="T147" s="256">
        <f>'RSD (DEA)'!BA80</f>
        <v>0.9</v>
      </c>
      <c r="U147" s="503">
        <v>0.5</v>
      </c>
      <c r="V147" s="252">
        <f>'RSD (DEA)'!BR80/'RSD (DEA)'!S80</f>
        <v>4.2649999999999997</v>
      </c>
      <c r="W147" s="524">
        <f>'RSD (DEA)'!BS80/RSD_HeatingDemand!$AH$9</f>
        <v>0</v>
      </c>
      <c r="X147" s="256">
        <f>'RSD (DEA)'!BK80*RSD_HeatingDemand!$AH$10/'RSD (DEA)'!S80</f>
        <v>242.5</v>
      </c>
      <c r="Y147" s="252">
        <f>'RSD (DEA)'!BI80</f>
        <v>20</v>
      </c>
      <c r="Z147" s="252"/>
      <c r="AA147" s="257">
        <f>'RSD (DEA)'!AM80</f>
        <v>31.536000000000001</v>
      </c>
      <c r="AC147" s="235">
        <f>'RSD (DEA)'!S80</f>
        <v>400</v>
      </c>
      <c r="AD147" s="244" t="str">
        <f>LEFT('RSD (DEA)'!AK80,2)&amp;RIGHT(E147,3)</f>
        <v>RWAPC</v>
      </c>
      <c r="AE147" s="256">
        <f>'RSD (DEA)'!BA80</f>
        <v>0.9</v>
      </c>
      <c r="AF147" s="256"/>
    </row>
    <row r="148" spans="1:32" x14ac:dyDescent="0.3">
      <c r="A148" s="235"/>
      <c r="D148" s="512"/>
      <c r="E148" s="512"/>
      <c r="F148" s="515"/>
      <c r="G148" s="515"/>
      <c r="H148" s="540"/>
      <c r="I148" s="512"/>
      <c r="J148" s="242"/>
      <c r="K148" s="242"/>
      <c r="L148" s="513"/>
      <c r="M148" s="252"/>
      <c r="N148" s="244" t="str">
        <f>AD147</f>
        <v>RWAPC</v>
      </c>
      <c r="O148" s="244"/>
      <c r="P148" s="252"/>
      <c r="Q148" s="252"/>
      <c r="R148" s="525">
        <f>IF(ISBLANK(I148),IF(MID(N148,2,2)="HA",VLOOKUP(I147,KEY_RSD_AF!$C$5:$G$52,2,FALSE),IF(MID(N148,2,2)="WA",VLOOKUP(I147,KEY_RSD_AF!$C$5:$G$52,3,FALSE),IF(MID(N148,2,2)="HH",VLOOKUP(I147,KEY_RSD_AF!$C$5:$G$52,4,FALSE),IF(MID(N148,2,2)="WH",VLOOKUP(I147,KEY_RSD_AF!$C$5:$G$52,5,FALSE))))),IF(MID(N148,2,2)="HA",VLOOKUP(I148,KEY_RSD_AF!$C$5:$G$52,2,FALSE),IF(MID(N148,2,2)="WA",VLOOKUP(I148,KEY_RSD_AF!$C$5:$G$52,3,FALSE),IF(MID(N148,2,2)="HH",VLOOKUP(I148,KEY_RSD_AF!$C$5:$G$52,4,FALSE),IF(MID(N148,2,2)="WH",VLOOKUP(I148,KEY_RSD_AF!$C$5:$G$52,5,FALSE))))))</f>
        <v>1</v>
      </c>
      <c r="S148" s="503">
        <f>T147</f>
        <v>0.9</v>
      </c>
      <c r="T148" s="256"/>
      <c r="U148" s="503"/>
      <c r="V148" s="252"/>
      <c r="W148" s="524"/>
      <c r="X148" s="256"/>
      <c r="Y148" s="252"/>
      <c r="Z148" s="252"/>
      <c r="AA148" s="257"/>
      <c r="AC148" s="235"/>
      <c r="AD148" s="244"/>
      <c r="AE148" s="256"/>
      <c r="AF148" s="256"/>
    </row>
    <row r="149" spans="1:32" x14ac:dyDescent="0.3">
      <c r="A149" s="235"/>
      <c r="C149" s="528" t="str">
        <f>'RSD (DEA)'!Z81</f>
        <v>B_WOF_03</v>
      </c>
      <c r="D149" s="512" t="str">
        <f>RSD_HeatingDemand!N149&amp;"_"&amp;LEFT(C149,LEN(C149)-2)&amp;"01"</f>
        <v>RHAPC_B_WOF_01</v>
      </c>
      <c r="E149" s="512" t="str">
        <f>"R"&amp;LEFT('RSD (DEA)'!AD81,2)&amp;IF(ISNUMBER(IFERROR(FIND("HTH",'RSD (DEA)'!Z81),IFERROR(FIND("HP",'RSD (DEA)'!Z81),"C"))),IF(IFERROR(FIND("HTH",'RSD (DEA)'!Z81),100)=100,"B","A"),"C")</f>
        <v>RAPC</v>
      </c>
      <c r="F149" s="515"/>
      <c r="G149" s="515"/>
      <c r="H149" s="540" t="str">
        <f t="shared" si="2"/>
        <v>RHAPC_B_WOF_04</v>
      </c>
      <c r="I149" s="512" t="str">
        <f>'RSD (DEA)'!AA81</f>
        <v>Biomass boilers, automatic stoking</v>
      </c>
      <c r="J149" s="242" t="s">
        <v>239</v>
      </c>
      <c r="K149" s="242" t="s">
        <v>240</v>
      </c>
      <c r="L149" s="513" t="str">
        <f>'RSD (DEA)'!AH81</f>
        <v>RSDWOF</v>
      </c>
      <c r="M149" s="252"/>
      <c r="N149" s="244" t="str">
        <f>LEFT('RSD (DEA)'!AJ81,2)&amp;RIGHT(E149,3)</f>
        <v>RHAPC</v>
      </c>
      <c r="O149" s="252"/>
      <c r="P149" s="252">
        <f>IF('RSD (DEA)'!P81&lt;RSD_HeatingDemand!$AH$15,RSD_HeatingDemand!$AH$15,'RSD (DEA)'!P81)</f>
        <v>2019</v>
      </c>
      <c r="Q149" s="252">
        <f>IF('RSD (DEA)'!X81&lt;RSD_HeatingDemand!$AH$15,RSD_HeatingDemand!$AH$15,'RSD (DEA)'!X81)</f>
        <v>2050</v>
      </c>
      <c r="R149" s="525">
        <f>IF(ISBLANK(I149),IF(MID(N149,2,2)="HA",VLOOKUP(I148,KEY_RSD_AF!$C$5:$G$52,2,FALSE),IF(MID(N149,2,2)="WA",VLOOKUP(I148,KEY_RSD_AF!$C$5:$G$52,3,FALSE),IF(MID(N149,2,2)="HH",VLOOKUP(I148,KEY_RSD_AF!$C$5:$G$52,4,FALSE),IF(MID(N149,2,2)="WH",VLOOKUP(I148,KEY_RSD_AF!$C$5:$G$52,5,FALSE))))),IF(MID(N149,2,2)="HA",VLOOKUP(I149,KEY_RSD_AF!$C$5:$G$52,2,FALSE),IF(MID(N149,2,2)="WA",VLOOKUP(I149,KEY_RSD_AF!$C$5:$G$52,3,FALSE),IF(MID(N149,2,2)="HH",VLOOKUP(I149,KEY_RSD_AF!$C$5:$G$52,4,FALSE),IF(MID(N149,2,2)="WH",VLOOKUP(I149,KEY_RSD_AF!$C$5:$G$52,5,FALSE))))))</f>
        <v>1</v>
      </c>
      <c r="S149" s="256">
        <f>'RSD (DEA)'!AZ81</f>
        <v>0.9</v>
      </c>
      <c r="T149" s="256">
        <f>'RSD (DEA)'!BA81</f>
        <v>0.9</v>
      </c>
      <c r="U149" s="503">
        <v>0.5</v>
      </c>
      <c r="V149" s="252">
        <f>'RSD (DEA)'!BR81/'RSD (DEA)'!S81</f>
        <v>3.9424999999999999</v>
      </c>
      <c r="W149" s="524">
        <f>'RSD (DEA)'!BS81/RSD_HeatingDemand!$AH$9</f>
        <v>0</v>
      </c>
      <c r="X149" s="256">
        <f>'RSD (DEA)'!BK81*RSD_HeatingDemand!$AH$10/'RSD (DEA)'!S81</f>
        <v>220</v>
      </c>
      <c r="Y149" s="252">
        <f>'RSD (DEA)'!BI81</f>
        <v>20</v>
      </c>
      <c r="Z149" s="252"/>
      <c r="AA149" s="257">
        <f>'RSD (DEA)'!AM81</f>
        <v>31.536000000000001</v>
      </c>
      <c r="AC149" s="235">
        <f>'RSD (DEA)'!S81</f>
        <v>400</v>
      </c>
      <c r="AD149" s="244" t="str">
        <f>LEFT('RSD (DEA)'!AK81,2)&amp;RIGHT(E149,3)</f>
        <v>RWAPC</v>
      </c>
      <c r="AE149" s="256">
        <f>'RSD (DEA)'!BA81</f>
        <v>0.9</v>
      </c>
      <c r="AF149" s="256"/>
    </row>
    <row r="150" spans="1:32" x14ac:dyDescent="0.3">
      <c r="A150" s="235"/>
      <c r="D150" s="512"/>
      <c r="E150" s="512"/>
      <c r="F150" s="515"/>
      <c r="G150" s="515"/>
      <c r="H150" s="540"/>
      <c r="I150" s="512"/>
      <c r="J150" s="242"/>
      <c r="K150" s="242"/>
      <c r="L150" s="513"/>
      <c r="M150" s="252"/>
      <c r="N150" s="244" t="str">
        <f>AD149</f>
        <v>RWAPC</v>
      </c>
      <c r="O150" s="244"/>
      <c r="P150" s="252"/>
      <c r="Q150" s="252"/>
      <c r="R150" s="525">
        <f>IF(ISBLANK(I150),IF(MID(N150,2,2)="HA",VLOOKUP(I149,KEY_RSD_AF!$C$5:$G$52,2,FALSE),IF(MID(N150,2,2)="WA",VLOOKUP(I149,KEY_RSD_AF!$C$5:$G$52,3,FALSE),IF(MID(N150,2,2)="HH",VLOOKUP(I149,KEY_RSD_AF!$C$5:$G$52,4,FALSE),IF(MID(N150,2,2)="WH",VLOOKUP(I149,KEY_RSD_AF!$C$5:$G$52,5,FALSE))))),IF(MID(N150,2,2)="HA",VLOOKUP(I150,KEY_RSD_AF!$C$5:$G$52,2,FALSE),IF(MID(N150,2,2)="WA",VLOOKUP(I150,KEY_RSD_AF!$C$5:$G$52,3,FALSE),IF(MID(N150,2,2)="HH",VLOOKUP(I150,KEY_RSD_AF!$C$5:$G$52,4,FALSE),IF(MID(N150,2,2)="WH",VLOOKUP(I150,KEY_RSD_AF!$C$5:$G$52,5,FALSE))))))</f>
        <v>1</v>
      </c>
      <c r="S150" s="503">
        <f>T149</f>
        <v>0.9</v>
      </c>
      <c r="T150" s="256"/>
      <c r="U150" s="503"/>
      <c r="V150" s="252"/>
      <c r="W150" s="524"/>
      <c r="X150" s="256"/>
      <c r="Y150" s="252"/>
      <c r="Z150" s="252"/>
      <c r="AA150" s="257"/>
      <c r="AC150" s="235"/>
      <c r="AD150" s="244"/>
      <c r="AE150" s="256"/>
      <c r="AF150" s="256"/>
    </row>
    <row r="151" spans="1:32" x14ac:dyDescent="0.3">
      <c r="A151" s="235"/>
      <c r="C151" s="528" t="str">
        <f>'RSD (DEA)'!Z82</f>
        <v>B_WOF_04</v>
      </c>
      <c r="D151" s="512" t="str">
        <f>RSD_HeatingDemand!N151&amp;"_"&amp;LEFT(C151,LEN(C151)-2)&amp;"02"</f>
        <v>RHAPC_B_WOF_02</v>
      </c>
      <c r="E151" s="512" t="str">
        <f>"R"&amp;LEFT('RSD (DEA)'!AD82,2)&amp;IF(ISNUMBER(IFERROR(FIND("HTH",'RSD (DEA)'!Z82),IFERROR(FIND("HP",'RSD (DEA)'!Z82),"C"))),IF(IFERROR(FIND("HTH",'RSD (DEA)'!Z82),100)=100,"B","A"),"C")</f>
        <v>RAPC</v>
      </c>
      <c r="F151" s="515"/>
      <c r="G151" s="515"/>
      <c r="H151" s="540" t="str">
        <f t="shared" si="2"/>
        <v>RHAPC_B_WOF_05</v>
      </c>
      <c r="I151" s="512" t="str">
        <f>'RSD (DEA)'!AA82</f>
        <v>Biomass boilers, automatic stoking</v>
      </c>
      <c r="J151" s="242" t="s">
        <v>239</v>
      </c>
      <c r="K151" s="242" t="s">
        <v>240</v>
      </c>
      <c r="L151" s="513" t="str">
        <f>'RSD (DEA)'!AH82</f>
        <v>RSDWOF</v>
      </c>
      <c r="M151" s="252"/>
      <c r="N151" s="244" t="str">
        <f>LEFT('RSD (DEA)'!AJ82,2)&amp;RIGHT(E151,3)</f>
        <v>RHAPC</v>
      </c>
      <c r="O151" s="252"/>
      <c r="P151" s="252">
        <f>IF('RSD (DEA)'!P82&lt;RSD_HeatingDemand!$AH$15,RSD_HeatingDemand!$AH$15,'RSD (DEA)'!P82)</f>
        <v>2019</v>
      </c>
      <c r="Q151" s="252">
        <f>IF('RSD (DEA)'!X82&lt;RSD_HeatingDemand!$AH$15,RSD_HeatingDemand!$AH$15,'RSD (DEA)'!X82)</f>
        <v>2019</v>
      </c>
      <c r="R151" s="525">
        <f>IF(ISBLANK(I151),IF(MID(N151,2,2)="HA",VLOOKUP(I150,KEY_RSD_AF!$C$5:$G$52,2,FALSE),IF(MID(N151,2,2)="WA",VLOOKUP(I150,KEY_RSD_AF!$C$5:$G$52,3,FALSE),IF(MID(N151,2,2)="HH",VLOOKUP(I150,KEY_RSD_AF!$C$5:$G$52,4,FALSE),IF(MID(N151,2,2)="WH",VLOOKUP(I150,KEY_RSD_AF!$C$5:$G$52,5,FALSE))))),IF(MID(N151,2,2)="HA",VLOOKUP(I151,KEY_RSD_AF!$C$5:$G$52,2,FALSE),IF(MID(N151,2,2)="WA",VLOOKUP(I151,KEY_RSD_AF!$C$5:$G$52,3,FALSE),IF(MID(N151,2,2)="HH",VLOOKUP(I151,KEY_RSD_AF!$C$5:$G$52,4,FALSE),IF(MID(N151,2,2)="WH",VLOOKUP(I151,KEY_RSD_AF!$C$5:$G$52,5,FALSE))))))</f>
        <v>1</v>
      </c>
      <c r="S151" s="256">
        <f>'RSD (DEA)'!AZ82</f>
        <v>0.8</v>
      </c>
      <c r="T151" s="256">
        <f>'RSD (DEA)'!BA82</f>
        <v>0.8</v>
      </c>
      <c r="U151" s="503">
        <v>0.5</v>
      </c>
      <c r="V151" s="252">
        <f>'RSD (DEA)'!BR82/'RSD (DEA)'!S82</f>
        <v>7.2156250000000002</v>
      </c>
      <c r="W151" s="524">
        <f>'RSD (DEA)'!BS82/RSD_HeatingDemand!$AH$9</f>
        <v>0</v>
      </c>
      <c r="X151" s="256">
        <f>'RSD (DEA)'!BK82*RSD_HeatingDemand!$AH$10/'RSD (DEA)'!S82</f>
        <v>393.75</v>
      </c>
      <c r="Y151" s="252">
        <f>'RSD (DEA)'!BI82</f>
        <v>20</v>
      </c>
      <c r="Z151" s="252"/>
      <c r="AA151" s="257">
        <f>'RSD (DEA)'!AM82</f>
        <v>31.536000000000001</v>
      </c>
      <c r="AC151" s="235">
        <f>'RSD (DEA)'!S82</f>
        <v>160</v>
      </c>
      <c r="AD151" s="244" t="str">
        <f>LEFT('RSD (DEA)'!AK82,2)&amp;RIGHT(E151,3)</f>
        <v>RWAPC</v>
      </c>
      <c r="AE151" s="256">
        <f>'RSD (DEA)'!BA82</f>
        <v>0.8</v>
      </c>
      <c r="AF151" s="256"/>
    </row>
    <row r="152" spans="1:32" x14ac:dyDescent="0.3">
      <c r="A152" s="235"/>
      <c r="D152" s="512"/>
      <c r="E152" s="512"/>
      <c r="F152" s="515"/>
      <c r="G152" s="515"/>
      <c r="H152" s="540"/>
      <c r="I152" s="512"/>
      <c r="J152" s="242"/>
      <c r="K152" s="242"/>
      <c r="L152" s="513"/>
      <c r="M152" s="252"/>
      <c r="N152" s="244" t="str">
        <f>AD151</f>
        <v>RWAPC</v>
      </c>
      <c r="O152" s="244"/>
      <c r="P152" s="252"/>
      <c r="Q152" s="252"/>
      <c r="R152" s="525">
        <f>IF(ISBLANK(I152),IF(MID(N152,2,2)="HA",VLOOKUP(I151,KEY_RSD_AF!$C$5:$G$52,2,FALSE),IF(MID(N152,2,2)="WA",VLOOKUP(I151,KEY_RSD_AF!$C$5:$G$52,3,FALSE),IF(MID(N152,2,2)="HH",VLOOKUP(I151,KEY_RSD_AF!$C$5:$G$52,4,FALSE),IF(MID(N152,2,2)="WH",VLOOKUP(I151,KEY_RSD_AF!$C$5:$G$52,5,FALSE))))),IF(MID(N152,2,2)="HA",VLOOKUP(I152,KEY_RSD_AF!$C$5:$G$52,2,FALSE),IF(MID(N152,2,2)="WA",VLOOKUP(I152,KEY_RSD_AF!$C$5:$G$52,3,FALSE),IF(MID(N152,2,2)="HH",VLOOKUP(I152,KEY_RSD_AF!$C$5:$G$52,4,FALSE),IF(MID(N152,2,2)="WH",VLOOKUP(I152,KEY_RSD_AF!$C$5:$G$52,5,FALSE))))))</f>
        <v>1</v>
      </c>
      <c r="S152" s="503">
        <f>T151</f>
        <v>0.8</v>
      </c>
      <c r="T152" s="256"/>
      <c r="U152" s="503"/>
      <c r="V152" s="252"/>
      <c r="W152" s="524"/>
      <c r="X152" s="256"/>
      <c r="Y152" s="252"/>
      <c r="Z152" s="252"/>
      <c r="AA152" s="257"/>
      <c r="AC152" s="235"/>
      <c r="AD152" s="244"/>
      <c r="AE152" s="256"/>
      <c r="AF152" s="256"/>
    </row>
    <row r="153" spans="1:32" x14ac:dyDescent="0.3">
      <c r="A153" s="235"/>
      <c r="C153" s="528" t="str">
        <f>'RSD (DEA)'!Z83</f>
        <v>B_WOF_04</v>
      </c>
      <c r="D153" s="512" t="str">
        <f>RSD_HeatingDemand!N153&amp;"_"&amp;LEFT(C153,LEN(C153)-2)&amp;"02"</f>
        <v>RHAPC_B_WOF_02</v>
      </c>
      <c r="E153" s="512" t="str">
        <f>"R"&amp;LEFT('RSD (DEA)'!AD83,2)&amp;IF(ISNUMBER(IFERROR(FIND("HTH",'RSD (DEA)'!Z83),IFERROR(FIND("HP",'RSD (DEA)'!Z83),"C"))),IF(IFERROR(FIND("HTH",'RSD (DEA)'!Z83),100)=100,"B","A"),"C")</f>
        <v>RAPC</v>
      </c>
      <c r="F153" s="515"/>
      <c r="G153" s="515"/>
      <c r="H153" s="540" t="str">
        <f t="shared" si="2"/>
        <v>RHAPC_B_WOF_06</v>
      </c>
      <c r="I153" s="512" t="str">
        <f>'RSD (DEA)'!AA83</f>
        <v>Biomass boilers, automatic stoking</v>
      </c>
      <c r="J153" s="242" t="s">
        <v>239</v>
      </c>
      <c r="K153" s="242" t="s">
        <v>240</v>
      </c>
      <c r="L153" s="513" t="str">
        <f>'RSD (DEA)'!AH83</f>
        <v>RSDWOF</v>
      </c>
      <c r="M153" s="252"/>
      <c r="N153" s="244" t="str">
        <f>LEFT('RSD (DEA)'!AJ83,2)&amp;RIGHT(E153,3)</f>
        <v>RHAPC</v>
      </c>
      <c r="O153" s="252"/>
      <c r="P153" s="252">
        <f>IF('RSD (DEA)'!P83&lt;RSD_HeatingDemand!$AH$15,RSD_HeatingDemand!$AH$15,'RSD (DEA)'!P83)</f>
        <v>2019</v>
      </c>
      <c r="Q153" s="252">
        <f>IF('RSD (DEA)'!X83&lt;RSD_HeatingDemand!$AH$15,RSD_HeatingDemand!$AH$15,'RSD (DEA)'!X83)</f>
        <v>2020</v>
      </c>
      <c r="R153" s="525">
        <f>IF(ISBLANK(I153),IF(MID(N153,2,2)="HA",VLOOKUP(I152,KEY_RSD_AF!$C$5:$G$52,2,FALSE),IF(MID(N153,2,2)="WA",VLOOKUP(I152,KEY_RSD_AF!$C$5:$G$52,3,FALSE),IF(MID(N153,2,2)="HH",VLOOKUP(I152,KEY_RSD_AF!$C$5:$G$52,4,FALSE),IF(MID(N153,2,2)="WH",VLOOKUP(I152,KEY_RSD_AF!$C$5:$G$52,5,FALSE))))),IF(MID(N153,2,2)="HA",VLOOKUP(I153,KEY_RSD_AF!$C$5:$G$52,2,FALSE),IF(MID(N153,2,2)="WA",VLOOKUP(I153,KEY_RSD_AF!$C$5:$G$52,3,FALSE),IF(MID(N153,2,2)="HH",VLOOKUP(I153,KEY_RSD_AF!$C$5:$G$52,4,FALSE),IF(MID(N153,2,2)="WH",VLOOKUP(I153,KEY_RSD_AF!$C$5:$G$52,5,FALSE))))))</f>
        <v>1</v>
      </c>
      <c r="S153" s="256">
        <f>'RSD (DEA)'!AZ83</f>
        <v>0.85</v>
      </c>
      <c r="T153" s="256">
        <f>'RSD (DEA)'!BA83</f>
        <v>0.85</v>
      </c>
      <c r="U153" s="503">
        <v>0.5</v>
      </c>
      <c r="V153" s="252">
        <f>'RSD (DEA)'!BR83/'RSD (DEA)'!S83</f>
        <v>7.0625</v>
      </c>
      <c r="W153" s="524">
        <f>'RSD (DEA)'!BS83/RSD_HeatingDemand!$AH$9</f>
        <v>0</v>
      </c>
      <c r="X153" s="256">
        <f>'RSD (DEA)'!BK83*RSD_HeatingDemand!$AH$10/'RSD (DEA)'!S83</f>
        <v>381.25</v>
      </c>
      <c r="Y153" s="252">
        <f>'RSD (DEA)'!BI83</f>
        <v>20</v>
      </c>
      <c r="Z153" s="252"/>
      <c r="AA153" s="257">
        <f>'RSD (DEA)'!AM83</f>
        <v>31.536000000000001</v>
      </c>
      <c r="AC153" s="235">
        <f>'RSD (DEA)'!S83</f>
        <v>160</v>
      </c>
      <c r="AD153" s="244" t="str">
        <f>LEFT('RSD (DEA)'!AK83,2)&amp;RIGHT(E153,3)</f>
        <v>RWAPC</v>
      </c>
      <c r="AE153" s="256">
        <f>'RSD (DEA)'!BA83</f>
        <v>0.85</v>
      </c>
      <c r="AF153" s="256"/>
    </row>
    <row r="154" spans="1:32" x14ac:dyDescent="0.3">
      <c r="A154" s="235"/>
      <c r="D154" s="512"/>
      <c r="E154" s="512"/>
      <c r="F154" s="515"/>
      <c r="G154" s="515"/>
      <c r="H154" s="540"/>
      <c r="I154" s="512"/>
      <c r="J154" s="242"/>
      <c r="K154" s="242"/>
      <c r="L154" s="513"/>
      <c r="M154" s="252"/>
      <c r="N154" s="244" t="str">
        <f>AD153</f>
        <v>RWAPC</v>
      </c>
      <c r="O154" s="244"/>
      <c r="P154" s="252"/>
      <c r="Q154" s="252"/>
      <c r="R154" s="525">
        <f>IF(ISBLANK(I154),IF(MID(N154,2,2)="HA",VLOOKUP(I153,KEY_RSD_AF!$C$5:$G$52,2,FALSE),IF(MID(N154,2,2)="WA",VLOOKUP(I153,KEY_RSD_AF!$C$5:$G$52,3,FALSE),IF(MID(N154,2,2)="HH",VLOOKUP(I153,KEY_RSD_AF!$C$5:$G$52,4,FALSE),IF(MID(N154,2,2)="WH",VLOOKUP(I153,KEY_RSD_AF!$C$5:$G$52,5,FALSE))))),IF(MID(N154,2,2)="HA",VLOOKUP(I154,KEY_RSD_AF!$C$5:$G$52,2,FALSE),IF(MID(N154,2,2)="WA",VLOOKUP(I154,KEY_RSD_AF!$C$5:$G$52,3,FALSE),IF(MID(N154,2,2)="HH",VLOOKUP(I154,KEY_RSD_AF!$C$5:$G$52,4,FALSE),IF(MID(N154,2,2)="WH",VLOOKUP(I154,KEY_RSD_AF!$C$5:$G$52,5,FALSE))))))</f>
        <v>1</v>
      </c>
      <c r="S154" s="503">
        <f>T153</f>
        <v>0.85</v>
      </c>
      <c r="T154" s="256"/>
      <c r="U154" s="503"/>
      <c r="V154" s="252"/>
      <c r="W154" s="524"/>
      <c r="X154" s="256"/>
      <c r="Y154" s="252"/>
      <c r="Z154" s="252"/>
      <c r="AA154" s="257"/>
      <c r="AC154" s="235"/>
      <c r="AD154" s="244"/>
      <c r="AE154" s="256"/>
      <c r="AF154" s="256"/>
    </row>
    <row r="155" spans="1:32" x14ac:dyDescent="0.3">
      <c r="A155" s="235"/>
      <c r="C155" s="528" t="str">
        <f>'RSD (DEA)'!Z84</f>
        <v>B_WOF_04</v>
      </c>
      <c r="D155" s="512" t="str">
        <f>RSD_HeatingDemand!N155&amp;"_"&amp;LEFT(C155,LEN(C155)-2)&amp;"02"</f>
        <v>RHAPC_B_WOF_02</v>
      </c>
      <c r="E155" s="512" t="str">
        <f>"R"&amp;LEFT('RSD (DEA)'!AD84,2)&amp;IF(ISNUMBER(IFERROR(FIND("HTH",'RSD (DEA)'!Z84),IFERROR(FIND("HP",'RSD (DEA)'!Z84),"C"))),IF(IFERROR(FIND("HTH",'RSD (DEA)'!Z84),100)=100,"B","A"),"C")</f>
        <v>RAPC</v>
      </c>
      <c r="F155" s="515"/>
      <c r="G155" s="515"/>
      <c r="H155" s="540" t="str">
        <f t="shared" si="2"/>
        <v>RHAPC_B_WOF_07</v>
      </c>
      <c r="I155" s="512" t="str">
        <f>'RSD (DEA)'!AA84</f>
        <v>Biomass boilers, automatic stoking</v>
      </c>
      <c r="J155" s="242" t="s">
        <v>239</v>
      </c>
      <c r="K155" s="242" t="s">
        <v>240</v>
      </c>
      <c r="L155" s="513" t="str">
        <f>'RSD (DEA)'!AH84</f>
        <v>RSDWOF</v>
      </c>
      <c r="M155" s="252"/>
      <c r="N155" s="244" t="str">
        <f>LEFT('RSD (DEA)'!AJ84,2)&amp;RIGHT(E155,3)</f>
        <v>RHAPC</v>
      </c>
      <c r="O155" s="252"/>
      <c r="P155" s="252">
        <f>IF('RSD (DEA)'!P84&lt;RSD_HeatingDemand!$AH$15,RSD_HeatingDemand!$AH$15,'RSD (DEA)'!P84)</f>
        <v>2019</v>
      </c>
      <c r="Q155" s="252">
        <f>IF('RSD (DEA)'!X84&lt;RSD_HeatingDemand!$AH$15,RSD_HeatingDemand!$AH$15,'RSD (DEA)'!X84)</f>
        <v>2030</v>
      </c>
      <c r="R155" s="525">
        <f>IF(ISBLANK(I155),IF(MID(N155,2,2)="HA",VLOOKUP(I154,KEY_RSD_AF!$C$5:$G$52,2,FALSE),IF(MID(N155,2,2)="WA",VLOOKUP(I154,KEY_RSD_AF!$C$5:$G$52,3,FALSE),IF(MID(N155,2,2)="HH",VLOOKUP(I154,KEY_RSD_AF!$C$5:$G$52,4,FALSE),IF(MID(N155,2,2)="WH",VLOOKUP(I154,KEY_RSD_AF!$C$5:$G$52,5,FALSE))))),IF(MID(N155,2,2)="HA",VLOOKUP(I155,KEY_RSD_AF!$C$5:$G$52,2,FALSE),IF(MID(N155,2,2)="WA",VLOOKUP(I155,KEY_RSD_AF!$C$5:$G$52,3,FALSE),IF(MID(N155,2,2)="HH",VLOOKUP(I155,KEY_RSD_AF!$C$5:$G$52,4,FALSE),IF(MID(N155,2,2)="WH",VLOOKUP(I155,KEY_RSD_AF!$C$5:$G$52,5,FALSE))))))</f>
        <v>1</v>
      </c>
      <c r="S155" s="256">
        <f>'RSD (DEA)'!AZ84</f>
        <v>0.9</v>
      </c>
      <c r="T155" s="256">
        <f>'RSD (DEA)'!BA84</f>
        <v>0.9</v>
      </c>
      <c r="U155" s="503">
        <v>0.5</v>
      </c>
      <c r="V155" s="252">
        <f>'RSD (DEA)'!BR84/'RSD (DEA)'!S84</f>
        <v>6.9812500000000002</v>
      </c>
      <c r="W155" s="524">
        <f>'RSD (DEA)'!BS84/RSD_HeatingDemand!$AH$9</f>
        <v>0</v>
      </c>
      <c r="X155" s="256">
        <f>'RSD (DEA)'!BK84*RSD_HeatingDemand!$AH$10/'RSD (DEA)'!S84</f>
        <v>362.5</v>
      </c>
      <c r="Y155" s="252">
        <f>'RSD (DEA)'!BI84</f>
        <v>20</v>
      </c>
      <c r="Z155" s="252"/>
      <c r="AA155" s="257">
        <f>'RSD (DEA)'!AM84</f>
        <v>31.536000000000001</v>
      </c>
      <c r="AC155" s="235">
        <f>'RSD (DEA)'!S84</f>
        <v>160</v>
      </c>
      <c r="AD155" s="244" t="str">
        <f>LEFT('RSD (DEA)'!AK84,2)&amp;RIGHT(E155,3)</f>
        <v>RWAPC</v>
      </c>
      <c r="AE155" s="256">
        <f>'RSD (DEA)'!BA84</f>
        <v>0.9</v>
      </c>
      <c r="AF155" s="256"/>
    </row>
    <row r="156" spans="1:32" x14ac:dyDescent="0.3">
      <c r="A156" s="235"/>
      <c r="D156" s="512"/>
      <c r="E156" s="512"/>
      <c r="F156" s="515"/>
      <c r="G156" s="515"/>
      <c r="H156" s="540"/>
      <c r="I156" s="512"/>
      <c r="J156" s="242"/>
      <c r="K156" s="242"/>
      <c r="L156" s="513"/>
      <c r="M156" s="252"/>
      <c r="N156" s="244" t="str">
        <f>AD155</f>
        <v>RWAPC</v>
      </c>
      <c r="O156" s="244"/>
      <c r="P156" s="252"/>
      <c r="Q156" s="252"/>
      <c r="R156" s="525">
        <f>IF(ISBLANK(I156),IF(MID(N156,2,2)="HA",VLOOKUP(I155,KEY_RSD_AF!$C$5:$G$52,2,FALSE),IF(MID(N156,2,2)="WA",VLOOKUP(I155,KEY_RSD_AF!$C$5:$G$52,3,FALSE),IF(MID(N156,2,2)="HH",VLOOKUP(I155,KEY_RSD_AF!$C$5:$G$52,4,FALSE),IF(MID(N156,2,2)="WH",VLOOKUP(I155,KEY_RSD_AF!$C$5:$G$52,5,FALSE))))),IF(MID(N156,2,2)="HA",VLOOKUP(I156,KEY_RSD_AF!$C$5:$G$52,2,FALSE),IF(MID(N156,2,2)="WA",VLOOKUP(I156,KEY_RSD_AF!$C$5:$G$52,3,FALSE),IF(MID(N156,2,2)="HH",VLOOKUP(I156,KEY_RSD_AF!$C$5:$G$52,4,FALSE),IF(MID(N156,2,2)="WH",VLOOKUP(I156,KEY_RSD_AF!$C$5:$G$52,5,FALSE))))))</f>
        <v>1</v>
      </c>
      <c r="S156" s="503">
        <f>T155</f>
        <v>0.9</v>
      </c>
      <c r="T156" s="256"/>
      <c r="U156" s="503"/>
      <c r="V156" s="252"/>
      <c r="W156" s="524"/>
      <c r="X156" s="256"/>
      <c r="Y156" s="252"/>
      <c r="Z156" s="252"/>
      <c r="AA156" s="257"/>
      <c r="AC156" s="235"/>
      <c r="AD156" s="244"/>
      <c r="AE156" s="256"/>
      <c r="AF156" s="256"/>
    </row>
    <row r="157" spans="1:32" x14ac:dyDescent="0.3">
      <c r="A157" s="235"/>
      <c r="C157" s="528" t="str">
        <f>'RSD (DEA)'!Z85</f>
        <v>B_WOF_04</v>
      </c>
      <c r="D157" s="512" t="str">
        <f>RSD_HeatingDemand!N157&amp;"_"&amp;LEFT(C157,LEN(C157)-2)&amp;"02"</f>
        <v>RHAPC_B_WOF_02</v>
      </c>
      <c r="E157" s="512" t="str">
        <f>"R"&amp;LEFT('RSD (DEA)'!AD85,2)&amp;IF(ISNUMBER(IFERROR(FIND("HTH",'RSD (DEA)'!Z85),IFERROR(FIND("HP",'RSD (DEA)'!Z85),"C"))),IF(IFERROR(FIND("HTH",'RSD (DEA)'!Z85),100)=100,"B","A"),"C")</f>
        <v>RAPC</v>
      </c>
      <c r="F157" s="515"/>
      <c r="G157" s="515"/>
      <c r="H157" s="540" t="str">
        <f t="shared" si="2"/>
        <v>RHAPC_B_WOF_08</v>
      </c>
      <c r="I157" s="512" t="str">
        <f>'RSD (DEA)'!AA85</f>
        <v>Biomass boilers, automatic stoking</v>
      </c>
      <c r="J157" s="242" t="s">
        <v>239</v>
      </c>
      <c r="K157" s="242" t="s">
        <v>240</v>
      </c>
      <c r="L157" s="513" t="str">
        <f>'RSD (DEA)'!AH85</f>
        <v>RSDWOF</v>
      </c>
      <c r="M157" s="252"/>
      <c r="N157" s="244" t="str">
        <f>LEFT('RSD (DEA)'!AJ85,2)&amp;RIGHT(E157,3)</f>
        <v>RHAPC</v>
      </c>
      <c r="O157" s="252"/>
      <c r="P157" s="252">
        <f>IF('RSD (DEA)'!P85&lt;RSD_HeatingDemand!$AH$15,RSD_HeatingDemand!$AH$15,'RSD (DEA)'!P85)</f>
        <v>2019</v>
      </c>
      <c r="Q157" s="252">
        <f>IF('RSD (DEA)'!X85&lt;RSD_HeatingDemand!$AH$15,RSD_HeatingDemand!$AH$15,'RSD (DEA)'!X85)</f>
        <v>2050</v>
      </c>
      <c r="R157" s="525">
        <f>IF(ISBLANK(I157),IF(MID(N157,2,2)="HA",VLOOKUP(I156,KEY_RSD_AF!$C$5:$G$52,2,FALSE),IF(MID(N157,2,2)="WA",VLOOKUP(I156,KEY_RSD_AF!$C$5:$G$52,3,FALSE),IF(MID(N157,2,2)="HH",VLOOKUP(I156,KEY_RSD_AF!$C$5:$G$52,4,FALSE),IF(MID(N157,2,2)="WH",VLOOKUP(I156,KEY_RSD_AF!$C$5:$G$52,5,FALSE))))),IF(MID(N157,2,2)="HA",VLOOKUP(I157,KEY_RSD_AF!$C$5:$G$52,2,FALSE),IF(MID(N157,2,2)="WA",VLOOKUP(I157,KEY_RSD_AF!$C$5:$G$52,3,FALSE),IF(MID(N157,2,2)="HH",VLOOKUP(I157,KEY_RSD_AF!$C$5:$G$52,4,FALSE),IF(MID(N157,2,2)="WH",VLOOKUP(I157,KEY_RSD_AF!$C$5:$G$52,5,FALSE))))))</f>
        <v>1</v>
      </c>
      <c r="S157" s="256">
        <f>'RSD (DEA)'!AZ85</f>
        <v>0.9</v>
      </c>
      <c r="T157" s="256">
        <f>'RSD (DEA)'!BA85</f>
        <v>0.9</v>
      </c>
      <c r="U157" s="503">
        <v>0.5</v>
      </c>
      <c r="V157" s="252">
        <f>'RSD (DEA)'!BR85/'RSD (DEA)'!S85</f>
        <v>6.4749999999999996</v>
      </c>
      <c r="W157" s="524">
        <f>'RSD (DEA)'!BS85/RSD_HeatingDemand!$AH$9</f>
        <v>0</v>
      </c>
      <c r="X157" s="256">
        <f>'RSD (DEA)'!BK85*RSD_HeatingDemand!$AH$10/'RSD (DEA)'!S85</f>
        <v>331.25</v>
      </c>
      <c r="Y157" s="252">
        <f>'RSD (DEA)'!BI85</f>
        <v>20</v>
      </c>
      <c r="Z157" s="252"/>
      <c r="AA157" s="257">
        <f>'RSD (DEA)'!AM85</f>
        <v>31.536000000000001</v>
      </c>
      <c r="AC157" s="235">
        <f>'RSD (DEA)'!S85</f>
        <v>160</v>
      </c>
      <c r="AD157" s="244" t="str">
        <f>LEFT('RSD (DEA)'!AK85,2)&amp;RIGHT(E157,3)</f>
        <v>RWAPC</v>
      </c>
      <c r="AE157" s="256">
        <f>'RSD (DEA)'!BA85</f>
        <v>0.9</v>
      </c>
      <c r="AF157" s="256"/>
    </row>
    <row r="158" spans="1:32" x14ac:dyDescent="0.3">
      <c r="A158" s="235"/>
      <c r="D158" s="512"/>
      <c r="E158" s="512"/>
      <c r="F158" s="515"/>
      <c r="G158" s="515"/>
      <c r="H158" s="540"/>
      <c r="I158" s="512"/>
      <c r="J158" s="242"/>
      <c r="K158" s="242"/>
      <c r="L158" s="513"/>
      <c r="M158" s="252"/>
      <c r="N158" s="244" t="str">
        <f>AD157</f>
        <v>RWAPC</v>
      </c>
      <c r="O158" s="244"/>
      <c r="P158" s="252"/>
      <c r="Q158" s="252"/>
      <c r="R158" s="525">
        <f>IF(ISBLANK(I158),IF(MID(N158,2,2)="HA",VLOOKUP(I157,KEY_RSD_AF!$C$5:$G$52,2,FALSE),IF(MID(N158,2,2)="WA",VLOOKUP(I157,KEY_RSD_AF!$C$5:$G$52,3,FALSE),IF(MID(N158,2,2)="HH",VLOOKUP(I157,KEY_RSD_AF!$C$5:$G$52,4,FALSE),IF(MID(N158,2,2)="WH",VLOOKUP(I157,KEY_RSD_AF!$C$5:$G$52,5,FALSE))))),IF(MID(N158,2,2)="HA",VLOOKUP(I158,KEY_RSD_AF!$C$5:$G$52,2,FALSE),IF(MID(N158,2,2)="WA",VLOOKUP(I158,KEY_RSD_AF!$C$5:$G$52,3,FALSE),IF(MID(N158,2,2)="HH",VLOOKUP(I158,KEY_RSD_AF!$C$5:$G$52,4,FALSE),IF(MID(N158,2,2)="WH",VLOOKUP(I158,KEY_RSD_AF!$C$5:$G$52,5,FALSE))))))</f>
        <v>1</v>
      </c>
      <c r="S158" s="503">
        <f>T157</f>
        <v>0.9</v>
      </c>
      <c r="T158" s="256"/>
      <c r="U158" s="503"/>
      <c r="V158" s="252"/>
      <c r="W158" s="524"/>
      <c r="X158" s="256"/>
      <c r="Y158" s="252"/>
      <c r="Z158" s="252"/>
      <c r="AA158" s="257"/>
      <c r="AC158" s="235"/>
      <c r="AD158" s="244"/>
      <c r="AE158" s="256"/>
      <c r="AF158" s="256"/>
    </row>
    <row r="159" spans="1:32" x14ac:dyDescent="0.3">
      <c r="A159" s="235"/>
      <c r="C159" s="528" t="str">
        <f>'RSD (DEA)'!Z86</f>
        <v>B_WOF_05</v>
      </c>
      <c r="D159" s="512" t="str">
        <f>RSD_HeatingDemand!N159&amp;"_"&amp;LEFT(C159,LEN(C159)-2)&amp;"03"</f>
        <v>RHHSC_B_WOF_03</v>
      </c>
      <c r="E159" s="512" t="str">
        <f>"R"&amp;LEFT('RSD (DEA)'!AD86,2)&amp;IF(ISNUMBER(IFERROR(FIND("HTH",'RSD (DEA)'!Z86),IFERROR(FIND("HP",'RSD (DEA)'!Z86),"C"))),IF(IFERROR(FIND("HTH",'RSD (DEA)'!Z86),100)=100,"B","A"),"C")</f>
        <v>RHSC</v>
      </c>
      <c r="F159" s="515"/>
      <c r="G159" s="515"/>
      <c r="H159" s="540" t="str">
        <f>IF(LEFT(D159,LEN(D159)-2)=LEFT(D141,LEN(D159)-2),LEFT(D159,LEN(D159)-2)&amp;IF(RIGHT(H141,2)+1&lt;=9,"0"&amp;RIGHT(H141)+1,RIGHT(H141,2)+1),D159)</f>
        <v>RHHSC_B_WOF_09</v>
      </c>
      <c r="I159" s="512" t="str">
        <f>'RSD (DEA)'!AA86</f>
        <v>Biomass boiler, manual stoking</v>
      </c>
      <c r="J159" s="242" t="s">
        <v>239</v>
      </c>
      <c r="K159" s="242" t="s">
        <v>240</v>
      </c>
      <c r="L159" s="513" t="str">
        <f>'RSD (DEA)'!AH86</f>
        <v>RSDWOF</v>
      </c>
      <c r="M159" s="252"/>
      <c r="N159" s="244" t="str">
        <f>LEFT('RSD (DEA)'!AJ86,2)&amp;RIGHT(E159,3)</f>
        <v>RHHSC</v>
      </c>
      <c r="O159" s="252"/>
      <c r="P159" s="252">
        <f>IF('RSD (DEA)'!P86&lt;RSD_HeatingDemand!$AH$15,RSD_HeatingDemand!$AH$15,'RSD (DEA)'!P86)</f>
        <v>2019</v>
      </c>
      <c r="Q159" s="252">
        <f>IF('RSD (DEA)'!X86&lt;RSD_HeatingDemand!$AH$15,RSD_HeatingDemand!$AH$15,'RSD (DEA)'!X86)</f>
        <v>2019</v>
      </c>
      <c r="R159" s="525">
        <f>IF(ISBLANK(I159),IF(MID(N159,2,2)="HA",VLOOKUP(I158,KEY_RSD_AF!$C$5:$G$52,2,FALSE),IF(MID(N159,2,2)="WA",VLOOKUP(I158,KEY_RSD_AF!$C$5:$G$52,3,FALSE),IF(MID(N159,2,2)="HH",VLOOKUP(I158,KEY_RSD_AF!$C$5:$G$52,4,FALSE),IF(MID(N159,2,2)="WH",VLOOKUP(I158,KEY_RSD_AF!$C$5:$G$52,5,FALSE))))),IF(MID(N159,2,2)="HA",VLOOKUP(I159,KEY_RSD_AF!$C$5:$G$52,2,FALSE),IF(MID(N159,2,2)="WA",VLOOKUP(I159,KEY_RSD_AF!$C$5:$G$52,3,FALSE),IF(MID(N159,2,2)="HH",VLOOKUP(I159,KEY_RSD_AF!$C$5:$G$52,4,FALSE),IF(MID(N159,2,2)="WH",VLOOKUP(I159,KEY_RSD_AF!$C$5:$G$52,5,FALSE))))))</f>
        <v>1</v>
      </c>
      <c r="S159" s="256">
        <f>'RSD (DEA)'!AZ86</f>
        <v>0.8</v>
      </c>
      <c r="T159" s="256">
        <f>'RSD (DEA)'!BA86</f>
        <v>0.8</v>
      </c>
      <c r="U159" s="503">
        <v>0.5</v>
      </c>
      <c r="V159" s="252">
        <f>'RSD (DEA)'!BR86/'RSD (DEA)'!S86</f>
        <v>13.307142857142857</v>
      </c>
      <c r="W159" s="524">
        <f>'RSD (DEA)'!BS86/RSD_HeatingDemand!$AH$9</f>
        <v>0</v>
      </c>
      <c r="X159" s="256">
        <f>'RSD (DEA)'!BK86*RSD_HeatingDemand!$AH$10/'RSD (DEA)'!S86</f>
        <v>288.57142857142856</v>
      </c>
      <c r="Y159" s="252">
        <f>'RSD (DEA)'!BI86</f>
        <v>20</v>
      </c>
      <c r="Z159" s="252"/>
      <c r="AA159" s="257">
        <f>'RSD (DEA)'!AM86</f>
        <v>31.536000000000001</v>
      </c>
      <c r="AC159" s="235">
        <f>'RSD (DEA)'!S86</f>
        <v>35</v>
      </c>
      <c r="AD159" s="244" t="str">
        <f>LEFT('RSD (DEA)'!AK86,2)&amp;RIGHT(E159,3)</f>
        <v>RWHSC</v>
      </c>
      <c r="AE159" s="256">
        <f>'RSD (DEA)'!BA86</f>
        <v>0.8</v>
      </c>
      <c r="AF159" s="256"/>
    </row>
    <row r="160" spans="1:32" x14ac:dyDescent="0.3">
      <c r="A160" s="235"/>
      <c r="D160" s="512"/>
      <c r="E160" s="512"/>
      <c r="F160" s="515"/>
      <c r="G160" s="515"/>
      <c r="H160" s="540"/>
      <c r="I160" s="512"/>
      <c r="J160" s="242"/>
      <c r="K160" s="242"/>
      <c r="L160" s="513"/>
      <c r="M160" s="252"/>
      <c r="N160" s="244" t="str">
        <f>AD159</f>
        <v>RWHSC</v>
      </c>
      <c r="O160" s="244"/>
      <c r="P160" s="252"/>
      <c r="Q160" s="252"/>
      <c r="R160" s="525">
        <f>IF(ISBLANK(I160),IF(MID(N160,2,2)="HA",VLOOKUP(I159,KEY_RSD_AF!$C$5:$G$52,2,FALSE),IF(MID(N160,2,2)="WA",VLOOKUP(I159,KEY_RSD_AF!$C$5:$G$52,3,FALSE),IF(MID(N160,2,2)="HH",VLOOKUP(I159,KEY_RSD_AF!$C$5:$G$52,4,FALSE),IF(MID(N160,2,2)="WH",VLOOKUP(I159,KEY_RSD_AF!$C$5:$G$52,5,FALSE))))),IF(MID(N160,2,2)="HA",VLOOKUP(I160,KEY_RSD_AF!$C$5:$G$52,2,FALSE),IF(MID(N160,2,2)="WA",VLOOKUP(I160,KEY_RSD_AF!$C$5:$G$52,3,FALSE),IF(MID(N160,2,2)="HH",VLOOKUP(I160,KEY_RSD_AF!$C$5:$G$52,4,FALSE),IF(MID(N160,2,2)="WH",VLOOKUP(I160,KEY_RSD_AF!$C$5:$G$52,5,FALSE))))))</f>
        <v>1</v>
      </c>
      <c r="S160" s="503">
        <f>T159</f>
        <v>0.8</v>
      </c>
      <c r="T160" s="256"/>
      <c r="U160" s="503"/>
      <c r="V160" s="252"/>
      <c r="W160" s="524"/>
      <c r="X160" s="256"/>
      <c r="Y160" s="252"/>
      <c r="Z160" s="252"/>
      <c r="AA160" s="257"/>
      <c r="AC160" s="235"/>
      <c r="AD160" s="244"/>
      <c r="AE160" s="256"/>
      <c r="AF160" s="256"/>
    </row>
    <row r="161" spans="1:32" x14ac:dyDescent="0.3">
      <c r="A161" s="235"/>
      <c r="C161" s="528" t="str">
        <f>'RSD (DEA)'!Z87</f>
        <v>B_WOF_05</v>
      </c>
      <c r="D161" s="512" t="str">
        <f>RSD_HeatingDemand!N161&amp;"_"&amp;LEFT(C161,LEN(C161)-2)&amp;"03"</f>
        <v>RHHSC_B_WOF_03</v>
      </c>
      <c r="E161" s="512" t="str">
        <f>"R"&amp;LEFT('RSD (DEA)'!AD87,2)&amp;IF(ISNUMBER(IFERROR(FIND("HTH",'RSD (DEA)'!Z87),IFERROR(FIND("HP",'RSD (DEA)'!Z87),"C"))),IF(IFERROR(FIND("HTH",'RSD (DEA)'!Z87),100)=100,"B","A"),"C")</f>
        <v>RHSC</v>
      </c>
      <c r="F161" s="515"/>
      <c r="G161" s="515"/>
      <c r="H161" s="540" t="str">
        <f t="shared" si="2"/>
        <v>RHHSC_B_WOF_10</v>
      </c>
      <c r="I161" s="512" t="str">
        <f>'RSD (DEA)'!AA87</f>
        <v>Biomass boiler, manual stoking</v>
      </c>
      <c r="J161" s="242" t="s">
        <v>239</v>
      </c>
      <c r="K161" s="242" t="s">
        <v>240</v>
      </c>
      <c r="L161" s="513" t="str">
        <f>'RSD (DEA)'!AH87</f>
        <v>RSDWOF</v>
      </c>
      <c r="M161" s="252"/>
      <c r="N161" s="244" t="str">
        <f>LEFT('RSD (DEA)'!AJ87,2)&amp;RIGHT(E161,3)</f>
        <v>RHHSC</v>
      </c>
      <c r="O161" s="252"/>
      <c r="P161" s="252">
        <f>IF('RSD (DEA)'!P87&lt;RSD_HeatingDemand!$AH$15,RSD_HeatingDemand!$AH$15,'RSD (DEA)'!P87)</f>
        <v>2019</v>
      </c>
      <c r="Q161" s="252">
        <f>IF('RSD (DEA)'!X87&lt;RSD_HeatingDemand!$AH$15,RSD_HeatingDemand!$AH$15,'RSD (DEA)'!X87)</f>
        <v>2020</v>
      </c>
      <c r="R161" s="525">
        <f>IF(ISBLANK(I161),IF(MID(N161,2,2)="HA",VLOOKUP(I160,KEY_RSD_AF!$C$5:$G$52,2,FALSE),IF(MID(N161,2,2)="WA",VLOOKUP(I160,KEY_RSD_AF!$C$5:$G$52,3,FALSE),IF(MID(N161,2,2)="HH",VLOOKUP(I160,KEY_RSD_AF!$C$5:$G$52,4,FALSE),IF(MID(N161,2,2)="WH",VLOOKUP(I160,KEY_RSD_AF!$C$5:$G$52,5,FALSE))))),IF(MID(N161,2,2)="HA",VLOOKUP(I161,KEY_RSD_AF!$C$5:$G$52,2,FALSE),IF(MID(N161,2,2)="WA",VLOOKUP(I161,KEY_RSD_AF!$C$5:$G$52,3,FALSE),IF(MID(N161,2,2)="HH",VLOOKUP(I161,KEY_RSD_AF!$C$5:$G$52,4,FALSE),IF(MID(N161,2,2)="WH",VLOOKUP(I161,KEY_RSD_AF!$C$5:$G$52,5,FALSE))))))</f>
        <v>1</v>
      </c>
      <c r="S161" s="256">
        <f>'RSD (DEA)'!AZ87</f>
        <v>0.82</v>
      </c>
      <c r="T161" s="256">
        <f>'RSD (DEA)'!BA87</f>
        <v>0.82</v>
      </c>
      <c r="U161" s="503">
        <v>0.5</v>
      </c>
      <c r="V161" s="252">
        <f>'RSD (DEA)'!BR87/'RSD (DEA)'!S87</f>
        <v>15.166666666666666</v>
      </c>
      <c r="W161" s="524">
        <f>'RSD (DEA)'!BS87/RSD_HeatingDemand!$AH$9</f>
        <v>0</v>
      </c>
      <c r="X161" s="256">
        <f>'RSD (DEA)'!BK87*RSD_HeatingDemand!$AH$10/'RSD (DEA)'!S87</f>
        <v>336.66666666666669</v>
      </c>
      <c r="Y161" s="252">
        <f>'RSD (DEA)'!BI87</f>
        <v>20</v>
      </c>
      <c r="Z161" s="252"/>
      <c r="AA161" s="257">
        <f>'RSD (DEA)'!AM87</f>
        <v>31.536000000000001</v>
      </c>
      <c r="AC161" s="235">
        <f>'RSD (DEA)'!S87</f>
        <v>30</v>
      </c>
      <c r="AD161" s="244" t="str">
        <f>LEFT('RSD (DEA)'!AK87,2)&amp;RIGHT(E161,3)</f>
        <v>RWHSC</v>
      </c>
      <c r="AE161" s="256">
        <f>'RSD (DEA)'!BA87</f>
        <v>0.82</v>
      </c>
      <c r="AF161" s="256"/>
    </row>
    <row r="162" spans="1:32" x14ac:dyDescent="0.3">
      <c r="A162" s="235"/>
      <c r="D162" s="512"/>
      <c r="E162" s="512"/>
      <c r="F162" s="515"/>
      <c r="G162" s="515"/>
      <c r="H162" s="540"/>
      <c r="I162" s="512"/>
      <c r="J162" s="242"/>
      <c r="K162" s="242"/>
      <c r="L162" s="513"/>
      <c r="M162" s="252"/>
      <c r="N162" s="244" t="str">
        <f>AD161</f>
        <v>RWHSC</v>
      </c>
      <c r="O162" s="244"/>
      <c r="P162" s="252"/>
      <c r="Q162" s="252"/>
      <c r="R162" s="525">
        <f>IF(ISBLANK(I162),IF(MID(N162,2,2)="HA",VLOOKUP(I161,KEY_RSD_AF!$C$5:$G$52,2,FALSE),IF(MID(N162,2,2)="WA",VLOOKUP(I161,KEY_RSD_AF!$C$5:$G$52,3,FALSE),IF(MID(N162,2,2)="HH",VLOOKUP(I161,KEY_RSD_AF!$C$5:$G$52,4,FALSE),IF(MID(N162,2,2)="WH",VLOOKUP(I161,KEY_RSD_AF!$C$5:$G$52,5,FALSE))))),IF(MID(N162,2,2)="HA",VLOOKUP(I162,KEY_RSD_AF!$C$5:$G$52,2,FALSE),IF(MID(N162,2,2)="WA",VLOOKUP(I162,KEY_RSD_AF!$C$5:$G$52,3,FALSE),IF(MID(N162,2,2)="HH",VLOOKUP(I162,KEY_RSD_AF!$C$5:$G$52,4,FALSE),IF(MID(N162,2,2)="WH",VLOOKUP(I162,KEY_RSD_AF!$C$5:$G$52,5,FALSE))))))</f>
        <v>1</v>
      </c>
      <c r="S162" s="503">
        <f>T161</f>
        <v>0.82</v>
      </c>
      <c r="T162" s="256"/>
      <c r="U162" s="503"/>
      <c r="V162" s="252"/>
      <c r="W162" s="524"/>
      <c r="X162" s="256"/>
      <c r="Y162" s="252"/>
      <c r="Z162" s="252"/>
      <c r="AA162" s="257"/>
      <c r="AC162" s="235"/>
      <c r="AD162" s="244"/>
      <c r="AE162" s="256"/>
      <c r="AF162" s="256"/>
    </row>
    <row r="163" spans="1:32" x14ac:dyDescent="0.3">
      <c r="A163" s="235"/>
      <c r="C163" s="528" t="str">
        <f>'RSD (DEA)'!Z88</f>
        <v>B_WOF_05</v>
      </c>
      <c r="D163" s="512" t="str">
        <f>RSD_HeatingDemand!N163&amp;"_"&amp;LEFT(C163,LEN(C163)-2)&amp;"03"</f>
        <v>RHHSC_B_WOF_03</v>
      </c>
      <c r="E163" s="512" t="str">
        <f>"R"&amp;LEFT('RSD (DEA)'!AD88,2)&amp;IF(ISNUMBER(IFERROR(FIND("HTH",'RSD (DEA)'!Z88),IFERROR(FIND("HP",'RSD (DEA)'!Z88),"C"))),IF(IFERROR(FIND("HTH",'RSD (DEA)'!Z88),100)=100,"B","A"),"C")</f>
        <v>RHSC</v>
      </c>
      <c r="F163" s="515"/>
      <c r="G163" s="515"/>
      <c r="H163" s="540" t="str">
        <f t="shared" si="2"/>
        <v>RHHSC_B_WOF_11</v>
      </c>
      <c r="I163" s="512" t="str">
        <f>'RSD (DEA)'!AA88</f>
        <v>Biomass boiler, manual stoking</v>
      </c>
      <c r="J163" s="242" t="s">
        <v>239</v>
      </c>
      <c r="K163" s="242" t="s">
        <v>240</v>
      </c>
      <c r="L163" s="513" t="str">
        <f>'RSD (DEA)'!AH88</f>
        <v>RSDWOF</v>
      </c>
      <c r="M163" s="252"/>
      <c r="N163" s="244" t="str">
        <f>LEFT('RSD (DEA)'!AJ88,2)&amp;RIGHT(E163,3)</f>
        <v>RHHSC</v>
      </c>
      <c r="O163" s="252"/>
      <c r="P163" s="252">
        <f>IF('RSD (DEA)'!P88&lt;RSD_HeatingDemand!$AH$15,RSD_HeatingDemand!$AH$15,'RSD (DEA)'!P88)</f>
        <v>2019</v>
      </c>
      <c r="Q163" s="252">
        <f>IF('RSD (DEA)'!X88&lt;RSD_HeatingDemand!$AH$15,RSD_HeatingDemand!$AH$15,'RSD (DEA)'!X88)</f>
        <v>2030</v>
      </c>
      <c r="R163" s="525">
        <f>IF(ISBLANK(I163),IF(MID(N163,2,2)="HA",VLOOKUP(I162,KEY_RSD_AF!$C$5:$G$52,2,FALSE),IF(MID(N163,2,2)="WA",VLOOKUP(I162,KEY_RSD_AF!$C$5:$G$52,3,FALSE),IF(MID(N163,2,2)="HH",VLOOKUP(I162,KEY_RSD_AF!$C$5:$G$52,4,FALSE),IF(MID(N163,2,2)="WH",VLOOKUP(I162,KEY_RSD_AF!$C$5:$G$52,5,FALSE))))),IF(MID(N163,2,2)="HA",VLOOKUP(I163,KEY_RSD_AF!$C$5:$G$52,2,FALSE),IF(MID(N163,2,2)="WA",VLOOKUP(I163,KEY_RSD_AF!$C$5:$G$52,3,FALSE),IF(MID(N163,2,2)="HH",VLOOKUP(I163,KEY_RSD_AF!$C$5:$G$52,4,FALSE),IF(MID(N163,2,2)="WH",VLOOKUP(I163,KEY_RSD_AF!$C$5:$G$52,5,FALSE))))))</f>
        <v>1</v>
      </c>
      <c r="S163" s="256">
        <f>'RSD (DEA)'!AZ88</f>
        <v>0.86</v>
      </c>
      <c r="T163" s="256">
        <f>'RSD (DEA)'!BA88</f>
        <v>0.86</v>
      </c>
      <c r="U163" s="503">
        <v>0.5</v>
      </c>
      <c r="V163" s="252">
        <f>'RSD (DEA)'!BR88/'RSD (DEA)'!S88</f>
        <v>17.600000000000001</v>
      </c>
      <c r="W163" s="524">
        <f>'RSD (DEA)'!BS88/RSD_HeatingDemand!$AH$9</f>
        <v>0</v>
      </c>
      <c r="X163" s="256">
        <f>'RSD (DEA)'!BK88*RSD_HeatingDemand!$AH$10/'RSD (DEA)'!S88</f>
        <v>360</v>
      </c>
      <c r="Y163" s="252">
        <f>'RSD (DEA)'!BI88</f>
        <v>20</v>
      </c>
      <c r="Z163" s="252"/>
      <c r="AA163" s="257">
        <f>'RSD (DEA)'!AM88</f>
        <v>31.536000000000001</v>
      </c>
      <c r="AC163" s="235">
        <f>'RSD (DEA)'!S88</f>
        <v>25</v>
      </c>
      <c r="AD163" s="244" t="str">
        <f>LEFT('RSD (DEA)'!AK88,2)&amp;RIGHT(E163,3)</f>
        <v>RWHSC</v>
      </c>
      <c r="AE163" s="256">
        <f>'RSD (DEA)'!BA88</f>
        <v>0.86</v>
      </c>
      <c r="AF163" s="256"/>
    </row>
    <row r="164" spans="1:32" x14ac:dyDescent="0.3">
      <c r="A164" s="235"/>
      <c r="D164" s="512"/>
      <c r="E164" s="512"/>
      <c r="F164" s="515"/>
      <c r="G164" s="515"/>
      <c r="H164" s="540"/>
      <c r="I164" s="512"/>
      <c r="J164" s="242"/>
      <c r="K164" s="242"/>
      <c r="L164" s="513"/>
      <c r="M164" s="252"/>
      <c r="N164" s="244" t="str">
        <f>AD163</f>
        <v>RWHSC</v>
      </c>
      <c r="O164" s="244"/>
      <c r="P164" s="252"/>
      <c r="Q164" s="252"/>
      <c r="R164" s="525">
        <f>IF(ISBLANK(I164),IF(MID(N164,2,2)="HA",VLOOKUP(I163,KEY_RSD_AF!$C$5:$G$52,2,FALSE),IF(MID(N164,2,2)="WA",VLOOKUP(I163,KEY_RSD_AF!$C$5:$G$52,3,FALSE),IF(MID(N164,2,2)="HH",VLOOKUP(I163,KEY_RSD_AF!$C$5:$G$52,4,FALSE),IF(MID(N164,2,2)="WH",VLOOKUP(I163,KEY_RSD_AF!$C$5:$G$52,5,FALSE))))),IF(MID(N164,2,2)="HA",VLOOKUP(I164,KEY_RSD_AF!$C$5:$G$52,2,FALSE),IF(MID(N164,2,2)="WA",VLOOKUP(I164,KEY_RSD_AF!$C$5:$G$52,3,FALSE),IF(MID(N164,2,2)="HH",VLOOKUP(I164,KEY_RSD_AF!$C$5:$G$52,4,FALSE),IF(MID(N164,2,2)="WH",VLOOKUP(I164,KEY_RSD_AF!$C$5:$G$52,5,FALSE))))))</f>
        <v>1</v>
      </c>
      <c r="S164" s="503">
        <f>T163</f>
        <v>0.86</v>
      </c>
      <c r="T164" s="256"/>
      <c r="U164" s="503"/>
      <c r="V164" s="252"/>
      <c r="W164" s="524"/>
      <c r="X164" s="256"/>
      <c r="Y164" s="252"/>
      <c r="Z164" s="252"/>
      <c r="AA164" s="257"/>
      <c r="AC164" s="235"/>
      <c r="AD164" s="244"/>
      <c r="AE164" s="256"/>
      <c r="AF164" s="256"/>
    </row>
    <row r="165" spans="1:32" x14ac:dyDescent="0.3">
      <c r="A165" s="235"/>
      <c r="C165" s="528" t="str">
        <f>'RSD (DEA)'!Z89</f>
        <v>B_WOF_05</v>
      </c>
      <c r="D165" s="512" t="str">
        <f>RSD_HeatingDemand!N165&amp;"_"&amp;LEFT(C165,LEN(C165)-2)&amp;"03"</f>
        <v>RHHSC_B_WOF_03</v>
      </c>
      <c r="E165" s="512" t="str">
        <f>"R"&amp;LEFT('RSD (DEA)'!AD89,2)&amp;IF(ISNUMBER(IFERROR(FIND("HTH",'RSD (DEA)'!Z89),IFERROR(FIND("HP",'RSD (DEA)'!Z89),"C"))),IF(IFERROR(FIND("HTH",'RSD (DEA)'!Z89),100)=100,"B","A"),"C")</f>
        <v>RHSC</v>
      </c>
      <c r="F165" s="515"/>
      <c r="G165" s="515"/>
      <c r="H165" s="540" t="str">
        <f t="shared" si="2"/>
        <v>RHHSC_B_WOF_12</v>
      </c>
      <c r="I165" s="512" t="str">
        <f>'RSD (DEA)'!AA89</f>
        <v>Biomass boiler, manual stoking</v>
      </c>
      <c r="J165" s="242" t="s">
        <v>239</v>
      </c>
      <c r="K165" s="242" t="s">
        <v>240</v>
      </c>
      <c r="L165" s="513" t="str">
        <f>'RSD (DEA)'!AH89</f>
        <v>RSDWOF</v>
      </c>
      <c r="M165" s="252"/>
      <c r="N165" s="244" t="str">
        <f>LEFT('RSD (DEA)'!AJ89,2)&amp;RIGHT(E165,3)</f>
        <v>RHHSC</v>
      </c>
      <c r="O165" s="252"/>
      <c r="P165" s="252">
        <f>IF('RSD (DEA)'!P89&lt;RSD_HeatingDemand!$AH$15,RSD_HeatingDemand!$AH$15,'RSD (DEA)'!P89)</f>
        <v>2019</v>
      </c>
      <c r="Q165" s="252">
        <f>IF('RSD (DEA)'!X89&lt;RSD_HeatingDemand!$AH$15,RSD_HeatingDemand!$AH$15,'RSD (DEA)'!X89)</f>
        <v>2050</v>
      </c>
      <c r="R165" s="525">
        <f>IF(ISBLANK(I165),IF(MID(N165,2,2)="HA",VLOOKUP(I164,KEY_RSD_AF!$C$5:$G$52,2,FALSE),IF(MID(N165,2,2)="WA",VLOOKUP(I164,KEY_RSD_AF!$C$5:$G$52,3,FALSE),IF(MID(N165,2,2)="HH",VLOOKUP(I164,KEY_RSD_AF!$C$5:$G$52,4,FALSE),IF(MID(N165,2,2)="WH",VLOOKUP(I164,KEY_RSD_AF!$C$5:$G$52,5,FALSE))))),IF(MID(N165,2,2)="HA",VLOOKUP(I165,KEY_RSD_AF!$C$5:$G$52,2,FALSE),IF(MID(N165,2,2)="WA",VLOOKUP(I165,KEY_RSD_AF!$C$5:$G$52,3,FALSE),IF(MID(N165,2,2)="HH",VLOOKUP(I165,KEY_RSD_AF!$C$5:$G$52,4,FALSE),IF(MID(N165,2,2)="WH",VLOOKUP(I165,KEY_RSD_AF!$C$5:$G$52,5,FALSE))))))</f>
        <v>1</v>
      </c>
      <c r="S165" s="256">
        <f>'RSD (DEA)'!AZ89</f>
        <v>0.88</v>
      </c>
      <c r="T165" s="256">
        <f>'RSD (DEA)'!BA89</f>
        <v>0.88</v>
      </c>
      <c r="U165" s="503">
        <v>0.5</v>
      </c>
      <c r="V165" s="252">
        <f>'RSD (DEA)'!BR89/'RSD (DEA)'!S89</f>
        <v>16.04</v>
      </c>
      <c r="W165" s="524">
        <f>'RSD (DEA)'!BS89/RSD_HeatingDemand!$AH$9</f>
        <v>0</v>
      </c>
      <c r="X165" s="256">
        <f>'RSD (DEA)'!BK89*RSD_HeatingDemand!$AH$10/'RSD (DEA)'!S89</f>
        <v>320</v>
      </c>
      <c r="Y165" s="252">
        <f>'RSD (DEA)'!BI89</f>
        <v>20</v>
      </c>
      <c r="Z165" s="252"/>
      <c r="AA165" s="257">
        <f>'RSD (DEA)'!AM89</f>
        <v>31.536000000000001</v>
      </c>
      <c r="AC165" s="235">
        <f>'RSD (DEA)'!S89</f>
        <v>25</v>
      </c>
      <c r="AD165" s="244" t="str">
        <f>LEFT('RSD (DEA)'!AK89,2)&amp;RIGHT(E165,3)</f>
        <v>RWHSC</v>
      </c>
      <c r="AE165" s="256">
        <f>'RSD (DEA)'!BA89</f>
        <v>0.88</v>
      </c>
      <c r="AF165" s="256"/>
    </row>
    <row r="166" spans="1:32" x14ac:dyDescent="0.3">
      <c r="A166" s="235"/>
      <c r="D166" s="512"/>
      <c r="E166" s="512"/>
      <c r="F166" s="515"/>
      <c r="G166" s="515"/>
      <c r="H166" s="540"/>
      <c r="I166" s="512"/>
      <c r="J166" s="242"/>
      <c r="K166" s="242"/>
      <c r="L166" s="513"/>
      <c r="M166" s="252"/>
      <c r="N166" s="244" t="str">
        <f>AD165</f>
        <v>RWHSC</v>
      </c>
      <c r="O166" s="244"/>
      <c r="P166" s="252"/>
      <c r="Q166" s="252"/>
      <c r="R166" s="525">
        <f>IF(ISBLANK(I166),IF(MID(N166,2,2)="HA",VLOOKUP(I165,KEY_RSD_AF!$C$5:$G$52,2,FALSE),IF(MID(N166,2,2)="WA",VLOOKUP(I165,KEY_RSD_AF!$C$5:$G$52,3,FALSE),IF(MID(N166,2,2)="HH",VLOOKUP(I165,KEY_RSD_AF!$C$5:$G$52,4,FALSE),IF(MID(N166,2,2)="WH",VLOOKUP(I165,KEY_RSD_AF!$C$5:$G$52,5,FALSE))))),IF(MID(N166,2,2)="HA",VLOOKUP(I166,KEY_RSD_AF!$C$5:$G$52,2,FALSE),IF(MID(N166,2,2)="WA",VLOOKUP(I166,KEY_RSD_AF!$C$5:$G$52,3,FALSE),IF(MID(N166,2,2)="HH",VLOOKUP(I166,KEY_RSD_AF!$C$5:$G$52,4,FALSE),IF(MID(N166,2,2)="WH",VLOOKUP(I166,KEY_RSD_AF!$C$5:$G$52,5,FALSE))))))</f>
        <v>1</v>
      </c>
      <c r="S166" s="503">
        <f>T165</f>
        <v>0.88</v>
      </c>
      <c r="T166" s="256"/>
      <c r="U166" s="503"/>
      <c r="V166" s="252"/>
      <c r="W166" s="524"/>
      <c r="X166" s="256"/>
      <c r="Y166" s="252"/>
      <c r="Z166" s="252"/>
      <c r="AA166" s="257"/>
      <c r="AC166" s="235"/>
      <c r="AD166" s="244"/>
      <c r="AE166" s="256"/>
      <c r="AF166" s="256"/>
    </row>
    <row r="167" spans="1:32" x14ac:dyDescent="0.3">
      <c r="A167" s="235"/>
      <c r="C167" s="528" t="str">
        <f>'RSD (DEA)'!Z90</f>
        <v>S_WOF_01</v>
      </c>
      <c r="D167" s="512" t="str">
        <f>RSD_HeatingDemand!N167&amp;"_"&amp;C167</f>
        <v>RHHSC_S_WOF_01</v>
      </c>
      <c r="E167" s="512" t="str">
        <f>"R"&amp;LEFT('RSD (DEA)'!AD90,2)&amp;IF(ISNUMBER(IFERROR(FIND("HTH",'RSD (DEA)'!Z90),IFERROR(FIND("HP",'RSD (DEA)'!Z90),"C"))),IF(IFERROR(FIND("HTH",'RSD (DEA)'!Z90),100)=100,"B","A"),"C")</f>
        <v>RHSC</v>
      </c>
      <c r="F167" s="515"/>
      <c r="G167" s="515"/>
      <c r="H167" s="540" t="str">
        <f t="shared" si="2"/>
        <v>RHHSC_S_WOF_01</v>
      </c>
      <c r="I167" s="512" t="str">
        <f>'RSD (DEA)'!AA90</f>
        <v>Wood stove</v>
      </c>
      <c r="J167" s="242" t="s">
        <v>239</v>
      </c>
      <c r="K167" s="242" t="s">
        <v>240</v>
      </c>
      <c r="L167" s="513" t="str">
        <f>'RSD (DEA)'!AH90</f>
        <v>RSDWOF</v>
      </c>
      <c r="M167" s="252"/>
      <c r="N167" s="244" t="str">
        <f>LEFT('RSD (DEA)'!AJ90,2)&amp;RIGHT(E167,3)</f>
        <v>RHHSC</v>
      </c>
      <c r="O167" s="252"/>
      <c r="P167" s="252">
        <f>IF('RSD (DEA)'!P90&lt;RSD_HeatingDemand!$AH$15,RSD_HeatingDemand!$AH$15,'RSD (DEA)'!P90)</f>
        <v>2019</v>
      </c>
      <c r="Q167" s="252">
        <f>IF('RSD (DEA)'!X90&lt;RSD_HeatingDemand!$AH$15,RSD_HeatingDemand!$AH$15,'RSD (DEA)'!X90)</f>
        <v>2019</v>
      </c>
      <c r="R167" s="525">
        <f>IF(ISBLANK(I167),IF(MID(N167,2,2)="HA",VLOOKUP(I166,KEY_RSD_AF!$C$5:$G$52,2,FALSE),IF(MID(N167,2,2)="WA",VLOOKUP(I166,KEY_RSD_AF!$C$5:$G$52,3,FALSE),IF(MID(N167,2,2)="HH",VLOOKUP(I166,KEY_RSD_AF!$C$5:$G$52,4,FALSE),IF(MID(N167,2,2)="WH",VLOOKUP(I166,KEY_RSD_AF!$C$5:$G$52,5,FALSE))))),IF(MID(N167,2,2)="HA",VLOOKUP(I167,KEY_RSD_AF!$C$5:$G$52,2,FALSE),IF(MID(N167,2,2)="WA",VLOOKUP(I167,KEY_RSD_AF!$C$5:$G$52,3,FALSE),IF(MID(N167,2,2)="HH",VLOOKUP(I167,KEY_RSD_AF!$C$5:$G$52,4,FALSE),IF(MID(N167,2,2)="WH",VLOOKUP(I167,KEY_RSD_AF!$C$5:$G$52,5,FALSE))))))</f>
        <v>1</v>
      </c>
      <c r="S167" s="256">
        <f>'RSD (DEA)'!AZ90</f>
        <v>0.65</v>
      </c>
      <c r="T167" s="256">
        <f>'RSD (DEA)'!BA90</f>
        <v>0.65</v>
      </c>
      <c r="U167" s="503">
        <v>0.5</v>
      </c>
      <c r="V167" s="252">
        <f>'RSD (DEA)'!BR90/'RSD (DEA)'!S90</f>
        <v>25</v>
      </c>
      <c r="W167" s="524">
        <f>'RSD (DEA)'!BS90/RSD_HeatingDemand!$AH$9</f>
        <v>0</v>
      </c>
      <c r="X167" s="256">
        <f>'RSD (DEA)'!BK90*RSD_HeatingDemand!$AH$10/'RSD (DEA)'!S90</f>
        <v>683.33333333333337</v>
      </c>
      <c r="Y167" s="252">
        <f>'RSD (DEA)'!BI90</f>
        <v>20</v>
      </c>
      <c r="Z167" s="252"/>
      <c r="AA167" s="257">
        <f>'RSD (DEA)'!AM90</f>
        <v>31.536000000000001</v>
      </c>
      <c r="AC167" s="235">
        <f>'RSD (DEA)'!S90</f>
        <v>6</v>
      </c>
      <c r="AD167" s="244"/>
      <c r="AE167" s="256">
        <f>'RSD (DEA)'!BA90</f>
        <v>0.65</v>
      </c>
      <c r="AF167" s="256"/>
    </row>
    <row r="168" spans="1:32" x14ac:dyDescent="0.3">
      <c r="A168" s="235"/>
      <c r="C168" s="528" t="str">
        <f>'RSD (DEA)'!Z91</f>
        <v>S_WOF_01</v>
      </c>
      <c r="D168" s="512" t="str">
        <f>RSD_HeatingDemand!N168&amp;"_"&amp;C168</f>
        <v>RHHSC_S_WOF_01</v>
      </c>
      <c r="E168" s="512" t="str">
        <f>"R"&amp;LEFT('RSD (DEA)'!AD91,2)&amp;IF(ISNUMBER(IFERROR(FIND("HTH",'RSD (DEA)'!Z91),IFERROR(FIND("HP",'RSD (DEA)'!Z91),"C"))),IF(IFERROR(FIND("HTH",'RSD (DEA)'!Z91),100)=100,"B","A"),"C")</f>
        <v>RHSC</v>
      </c>
      <c r="F168" s="515"/>
      <c r="G168" s="515"/>
      <c r="H168" s="540" t="str">
        <f>IF(LEFT(D168,LEN(D168)-2)=LEFT(D167,LEN(D168)-2),LEFT(D168,LEN(D168)-2)&amp;IF(RIGHT(H167,2)+1&lt;=9,"0"&amp;RIGHT(H167)+1,RIGHT(H167,2)+1),D168)</f>
        <v>RHHSC_S_WOF_02</v>
      </c>
      <c r="I168" s="512" t="str">
        <f>'RSD (DEA)'!AA91</f>
        <v>Wood stove</v>
      </c>
      <c r="J168" s="242" t="s">
        <v>239</v>
      </c>
      <c r="K168" s="242" t="s">
        <v>240</v>
      </c>
      <c r="L168" s="513" t="str">
        <f>'RSD (DEA)'!AH91</f>
        <v>RSDWOF</v>
      </c>
      <c r="M168" s="252"/>
      <c r="N168" s="244" t="str">
        <f>LEFT('RSD (DEA)'!AJ91,2)&amp;RIGHT(E168,3)</f>
        <v>RHHSC</v>
      </c>
      <c r="O168" s="252"/>
      <c r="P168" s="252">
        <f>IF('RSD (DEA)'!P91&lt;RSD_HeatingDemand!$AH$15,RSD_HeatingDemand!$AH$15,'RSD (DEA)'!P91)</f>
        <v>2019</v>
      </c>
      <c r="Q168" s="252">
        <f>IF('RSD (DEA)'!X91&lt;RSD_HeatingDemand!$AH$15,RSD_HeatingDemand!$AH$15,'RSD (DEA)'!X91)</f>
        <v>2020</v>
      </c>
      <c r="R168" s="525">
        <f>IF(ISBLANK(I168),IF(MID(N168,2,2)="HA",VLOOKUP(I167,KEY_RSD_AF!$C$5:$G$52,2,FALSE),IF(MID(N168,2,2)="WA",VLOOKUP(I167,KEY_RSD_AF!$C$5:$G$52,3,FALSE),IF(MID(N168,2,2)="HH",VLOOKUP(I167,KEY_RSD_AF!$C$5:$G$52,4,FALSE),IF(MID(N168,2,2)="WH",VLOOKUP(I167,KEY_RSD_AF!$C$5:$G$52,5,FALSE))))),IF(MID(N168,2,2)="HA",VLOOKUP(I168,KEY_RSD_AF!$C$5:$G$52,2,FALSE),IF(MID(N168,2,2)="WA",VLOOKUP(I168,KEY_RSD_AF!$C$5:$G$52,3,FALSE),IF(MID(N168,2,2)="HH",VLOOKUP(I168,KEY_RSD_AF!$C$5:$G$52,4,FALSE),IF(MID(N168,2,2)="WH",VLOOKUP(I168,KEY_RSD_AF!$C$5:$G$52,5,FALSE))))))</f>
        <v>1</v>
      </c>
      <c r="S168" s="256">
        <f>'RSD (DEA)'!AZ91</f>
        <v>0.7</v>
      </c>
      <c r="T168" s="256">
        <f>'RSD (DEA)'!BA91</f>
        <v>0.7</v>
      </c>
      <c r="U168" s="503">
        <v>0.5</v>
      </c>
      <c r="V168" s="252">
        <f>'RSD (DEA)'!BR91/'RSD (DEA)'!S91</f>
        <v>29</v>
      </c>
      <c r="W168" s="524">
        <f>'RSD (DEA)'!BS91/RSD_HeatingDemand!$AH$9</f>
        <v>0</v>
      </c>
      <c r="X168" s="256">
        <f>'RSD (DEA)'!BK91*RSD_HeatingDemand!$AH$10/'RSD (DEA)'!S91</f>
        <v>820</v>
      </c>
      <c r="Y168" s="252">
        <f>'RSD (DEA)'!BI91</f>
        <v>20</v>
      </c>
      <c r="Z168" s="252"/>
      <c r="AA168" s="257">
        <f>'RSD (DEA)'!AM91</f>
        <v>31.536000000000001</v>
      </c>
      <c r="AC168" s="235">
        <f>'RSD (DEA)'!S91</f>
        <v>5</v>
      </c>
      <c r="AD168" s="244"/>
      <c r="AE168" s="256">
        <f>'RSD (DEA)'!BA91</f>
        <v>0.7</v>
      </c>
      <c r="AF168" s="256"/>
    </row>
    <row r="169" spans="1:32" x14ac:dyDescent="0.3">
      <c r="A169" s="235"/>
      <c r="C169" s="528" t="str">
        <f>'RSD (DEA)'!Z92</f>
        <v>S_WOF_01</v>
      </c>
      <c r="D169" s="512" t="str">
        <f>RSD_HeatingDemand!N169&amp;"_"&amp;C169</f>
        <v>RHHSC_S_WOF_01</v>
      </c>
      <c r="E169" s="512" t="str">
        <f>"R"&amp;LEFT('RSD (DEA)'!AD92,2)&amp;IF(ISNUMBER(IFERROR(FIND("HTH",'RSD (DEA)'!Z92),IFERROR(FIND("HP",'RSD (DEA)'!Z92),"C"))),IF(IFERROR(FIND("HTH",'RSD (DEA)'!Z92),100)=100,"B","A"),"C")</f>
        <v>RHSC</v>
      </c>
      <c r="F169" s="515"/>
      <c r="G169" s="515"/>
      <c r="H169" s="540" t="str">
        <f>IF(LEFT(D169,LEN(D169)-2)=LEFT(D168,LEN(D169)-2),LEFT(D169,LEN(D169)-2)&amp;IF(RIGHT(H168,2)+1&lt;=9,"0"&amp;RIGHT(H168)+1,RIGHT(H168,2)+1),D169)</f>
        <v>RHHSC_S_WOF_03</v>
      </c>
      <c r="I169" s="512" t="str">
        <f>'RSD (DEA)'!AA92</f>
        <v>Wood stove</v>
      </c>
      <c r="J169" s="242" t="s">
        <v>239</v>
      </c>
      <c r="K169" s="242" t="s">
        <v>240</v>
      </c>
      <c r="L169" s="513" t="str">
        <f>'RSD (DEA)'!AH92</f>
        <v>RSDWOF</v>
      </c>
      <c r="M169" s="252"/>
      <c r="N169" s="244" t="str">
        <f>LEFT('RSD (DEA)'!AJ92,2)&amp;RIGHT(E169,3)</f>
        <v>RHHSC</v>
      </c>
      <c r="O169" s="252"/>
      <c r="P169" s="252">
        <f>IF('RSD (DEA)'!P92&lt;RSD_HeatingDemand!$AH$15,RSD_HeatingDemand!$AH$15,'RSD (DEA)'!P92)</f>
        <v>2019</v>
      </c>
      <c r="Q169" s="252">
        <f>IF('RSD (DEA)'!X92&lt;RSD_HeatingDemand!$AH$15,RSD_HeatingDemand!$AH$15,'RSD (DEA)'!X92)</f>
        <v>2030</v>
      </c>
      <c r="R169" s="525">
        <f>IF(ISBLANK(I169),IF(MID(N169,2,2)="HA",VLOOKUP(I168,KEY_RSD_AF!$C$5:$G$52,2,FALSE),IF(MID(N169,2,2)="WA",VLOOKUP(I168,KEY_RSD_AF!$C$5:$G$52,3,FALSE),IF(MID(N169,2,2)="HH",VLOOKUP(I168,KEY_RSD_AF!$C$5:$G$52,4,FALSE),IF(MID(N169,2,2)="WH",VLOOKUP(I168,KEY_RSD_AF!$C$5:$G$52,5,FALSE))))),IF(MID(N169,2,2)="HA",VLOOKUP(I169,KEY_RSD_AF!$C$5:$G$52,2,FALSE),IF(MID(N169,2,2)="WA",VLOOKUP(I169,KEY_RSD_AF!$C$5:$G$52,3,FALSE),IF(MID(N169,2,2)="HH",VLOOKUP(I169,KEY_RSD_AF!$C$5:$G$52,4,FALSE),IF(MID(N169,2,2)="WH",VLOOKUP(I169,KEY_RSD_AF!$C$5:$G$52,5,FALSE))))))</f>
        <v>1</v>
      </c>
      <c r="S169" s="256">
        <f>'RSD (DEA)'!AZ92</f>
        <v>0.75</v>
      </c>
      <c r="T169" s="256">
        <f>'RSD (DEA)'!BA92</f>
        <v>0.75</v>
      </c>
      <c r="U169" s="503">
        <v>0.5</v>
      </c>
      <c r="V169" s="252">
        <f>'RSD (DEA)'!BR92/'RSD (DEA)'!S92</f>
        <v>50</v>
      </c>
      <c r="W169" s="524">
        <f>'RSD (DEA)'!BS92/RSD_HeatingDemand!$AH$9</f>
        <v>0</v>
      </c>
      <c r="X169" s="256">
        <f>'RSD (DEA)'!BK92*RSD_HeatingDemand!$AH$10/'RSD (DEA)'!S92</f>
        <v>1250</v>
      </c>
      <c r="Y169" s="252">
        <f>'RSD (DEA)'!BI92</f>
        <v>20</v>
      </c>
      <c r="Z169" s="252"/>
      <c r="AA169" s="257">
        <f>'RSD (DEA)'!AM92</f>
        <v>31.536000000000001</v>
      </c>
      <c r="AC169" s="235">
        <f>'RSD (DEA)'!S92</f>
        <v>4</v>
      </c>
      <c r="AD169" s="244"/>
      <c r="AE169" s="256">
        <f>'RSD (DEA)'!BA92</f>
        <v>0.75</v>
      </c>
      <c r="AF169" s="256"/>
    </row>
    <row r="170" spans="1:32" x14ac:dyDescent="0.3">
      <c r="A170" s="235"/>
      <c r="C170" s="528" t="str">
        <f>'RSD (DEA)'!Z93</f>
        <v>S_WOF_01</v>
      </c>
      <c r="D170" s="512" t="str">
        <f>RSD_HeatingDemand!N170&amp;"_"&amp;C170</f>
        <v>RHHSC_S_WOF_01</v>
      </c>
      <c r="E170" s="512" t="str">
        <f>"R"&amp;LEFT('RSD (DEA)'!AD93,2)&amp;IF(ISNUMBER(IFERROR(FIND("HTH",'RSD (DEA)'!Z93),IFERROR(FIND("HP",'RSD (DEA)'!Z93),"C"))),IF(IFERROR(FIND("HTH",'RSD (DEA)'!Z93),100)=100,"B","A"),"C")</f>
        <v>RHSC</v>
      </c>
      <c r="F170" s="515"/>
      <c r="G170" s="515"/>
      <c r="H170" s="540" t="str">
        <f>IF(LEFT(D170,LEN(D170)-2)=LEFT(D169,LEN(D170)-2),LEFT(D170,LEN(D170)-2)&amp;IF(RIGHT(H169,2)+1&lt;=9,"0"&amp;RIGHT(H169)+1,RIGHT(H169,2)+1),D170)</f>
        <v>RHHSC_S_WOF_04</v>
      </c>
      <c r="I170" s="512" t="str">
        <f>'RSD (DEA)'!AA93</f>
        <v>Wood stove</v>
      </c>
      <c r="J170" s="242" t="s">
        <v>239</v>
      </c>
      <c r="K170" s="242" t="s">
        <v>240</v>
      </c>
      <c r="L170" s="513" t="str">
        <f>'RSD (DEA)'!AH93</f>
        <v>RSDWOF</v>
      </c>
      <c r="M170" s="252"/>
      <c r="N170" s="244" t="str">
        <f>LEFT('RSD (DEA)'!AJ93,2)&amp;RIGHT(E170,3)</f>
        <v>RHHSC</v>
      </c>
      <c r="O170" s="252"/>
      <c r="P170" s="252">
        <f>IF('RSD (DEA)'!P93&lt;RSD_HeatingDemand!$AH$15,RSD_HeatingDemand!$AH$15,'RSD (DEA)'!P93)</f>
        <v>2019</v>
      </c>
      <c r="Q170" s="252">
        <f>IF('RSD (DEA)'!X93&lt;RSD_HeatingDemand!$AH$15,RSD_HeatingDemand!$AH$15,'RSD (DEA)'!X93)</f>
        <v>2050</v>
      </c>
      <c r="R170" s="525">
        <f>IF(ISBLANK(I170),IF(MID(N170,2,2)="HA",VLOOKUP(I169,KEY_RSD_AF!$C$5:$G$52,2,FALSE),IF(MID(N170,2,2)="WA",VLOOKUP(I169,KEY_RSD_AF!$C$5:$G$52,3,FALSE),IF(MID(N170,2,2)="HH",VLOOKUP(I169,KEY_RSD_AF!$C$5:$G$52,4,FALSE),IF(MID(N170,2,2)="WH",VLOOKUP(I169,KEY_RSD_AF!$C$5:$G$52,5,FALSE))))),IF(MID(N170,2,2)="HA",VLOOKUP(I170,KEY_RSD_AF!$C$5:$G$52,2,FALSE),IF(MID(N170,2,2)="WA",VLOOKUP(I170,KEY_RSD_AF!$C$5:$G$52,3,FALSE),IF(MID(N170,2,2)="HH",VLOOKUP(I170,KEY_RSD_AF!$C$5:$G$52,4,FALSE),IF(MID(N170,2,2)="WH",VLOOKUP(I170,KEY_RSD_AF!$C$5:$G$52,5,FALSE))))))</f>
        <v>1</v>
      </c>
      <c r="S170" s="256">
        <f>'RSD (DEA)'!AZ93</f>
        <v>0.75</v>
      </c>
      <c r="T170" s="256">
        <f>'RSD (DEA)'!BA93</f>
        <v>0.75</v>
      </c>
      <c r="U170" s="503">
        <v>0.5</v>
      </c>
      <c r="V170" s="252">
        <f>'RSD (DEA)'!BR93/'RSD (DEA)'!S93</f>
        <v>47.5</v>
      </c>
      <c r="W170" s="524">
        <f>'RSD (DEA)'!BS93/RSD_HeatingDemand!$AH$9</f>
        <v>0</v>
      </c>
      <c r="X170" s="256">
        <f>'RSD (DEA)'!BK93*RSD_HeatingDemand!$AH$10/'RSD (DEA)'!S93</f>
        <v>1000</v>
      </c>
      <c r="Y170" s="252">
        <f>'RSD (DEA)'!BI93</f>
        <v>20</v>
      </c>
      <c r="Z170" s="252"/>
      <c r="AA170" s="257">
        <f>'RSD (DEA)'!AM93</f>
        <v>31.536000000000001</v>
      </c>
      <c r="AC170" s="235">
        <f>'RSD (DEA)'!S93</f>
        <v>4</v>
      </c>
      <c r="AD170" s="244"/>
      <c r="AE170" s="256">
        <f>'RSD (DEA)'!BA93</f>
        <v>0.75</v>
      </c>
      <c r="AF170" s="256"/>
    </row>
    <row r="171" spans="1:32" x14ac:dyDescent="0.3">
      <c r="A171" s="235"/>
      <c r="C171" s="528" t="str">
        <f>'RSD (DEA)'!Z94</f>
        <v>S_WOF_02</v>
      </c>
      <c r="D171" s="512" t="str">
        <f>RSD_HeatingDemand!N171&amp;"_"&amp;C171</f>
        <v>RHHSC_S_WOF_02</v>
      </c>
      <c r="E171" s="512" t="str">
        <f>"R"&amp;LEFT('RSD (DEA)'!AD94,2)&amp;IF(ISNUMBER(IFERROR(FIND("HTH",'RSD (DEA)'!Z94),IFERROR(FIND("HP",'RSD (DEA)'!Z94),"C"))),IF(IFERROR(FIND("HTH",'RSD (DEA)'!Z94),100)=100,"B","A"),"C")</f>
        <v>RHSC</v>
      </c>
      <c r="F171" s="515"/>
      <c r="G171" s="515"/>
      <c r="H171" s="540" t="str">
        <f>IF(LEFT(D171,LEN(D171)-2)=LEFT(D170,LEN(D171)-2),LEFT(D171,LEN(D171)-2)&amp;IF(RIGHT(H170,2)+1&lt;=9,"0"&amp;RIGHT(H170)+1,RIGHT(H170,2)+1),D171)</f>
        <v>RHHSC_S_WOF_05</v>
      </c>
      <c r="I171" s="512" t="str">
        <f>'RSD (DEA)'!AA94</f>
        <v>Wood stove</v>
      </c>
      <c r="J171" s="242" t="s">
        <v>239</v>
      </c>
      <c r="K171" s="242" t="s">
        <v>240</v>
      </c>
      <c r="L171" s="513" t="str">
        <f>'RSD (DEA)'!AH94</f>
        <v>RSDWOF</v>
      </c>
      <c r="M171" s="252"/>
      <c r="N171" s="244" t="str">
        <f>LEFT('RSD (DEA)'!AJ94,2)&amp;RIGHT(E171,3)</f>
        <v>RHHSC</v>
      </c>
      <c r="O171" s="252"/>
      <c r="P171" s="252">
        <f>IF('RSD (DEA)'!P94&lt;RSD_HeatingDemand!$AH$15,RSD_HeatingDemand!$AH$15,'RSD (DEA)'!P94)</f>
        <v>2019</v>
      </c>
      <c r="Q171" s="252">
        <f>IF('RSD (DEA)'!X94&lt;RSD_HeatingDemand!$AH$15,RSD_HeatingDemand!$AH$15,'RSD (DEA)'!X94)</f>
        <v>2019</v>
      </c>
      <c r="R171" s="525">
        <f>IF(ISBLANK(I171),IF(MID(N171,2,2)="HA",VLOOKUP(I170,KEY_RSD_AF!$C$5:$G$52,2,FALSE),IF(MID(N171,2,2)="WA",VLOOKUP(I170,KEY_RSD_AF!$C$5:$G$52,3,FALSE),IF(MID(N171,2,2)="HH",VLOOKUP(I170,KEY_RSD_AF!$C$5:$G$52,4,FALSE),IF(MID(N171,2,2)="WH",VLOOKUP(I170,KEY_RSD_AF!$C$5:$G$52,5,FALSE))))),IF(MID(N171,2,2)="HA",VLOOKUP(I171,KEY_RSD_AF!$C$5:$G$52,2,FALSE),IF(MID(N171,2,2)="WA",VLOOKUP(I171,KEY_RSD_AF!$C$5:$G$52,3,FALSE),IF(MID(N171,2,2)="HH",VLOOKUP(I171,KEY_RSD_AF!$C$5:$G$52,4,FALSE),IF(MID(N171,2,2)="WH",VLOOKUP(I171,KEY_RSD_AF!$C$5:$G$52,5,FALSE))))))</f>
        <v>1</v>
      </c>
      <c r="S171" s="256">
        <f>'RSD (DEA)'!AZ94</f>
        <v>0.65</v>
      </c>
      <c r="T171" s="256">
        <f>'RSD (DEA)'!BA94</f>
        <v>0.65</v>
      </c>
      <c r="U171" s="503">
        <v>0.5</v>
      </c>
      <c r="V171" s="252">
        <f>'RSD (DEA)'!BR94/'RSD (DEA)'!S94</f>
        <v>13.963333333333333</v>
      </c>
      <c r="W171" s="524">
        <f>'RSD (DEA)'!BS94/RSD_HeatingDemand!$AH$9</f>
        <v>0</v>
      </c>
      <c r="X171" s="256">
        <f>'RSD (DEA)'!BK94*RSD_HeatingDemand!$AH$10/'RSD (DEA)'!S94</f>
        <v>373.33333333333331</v>
      </c>
      <c r="Y171" s="252">
        <f>'RSD (DEA)'!BI94</f>
        <v>20</v>
      </c>
      <c r="Z171" s="252"/>
      <c r="AA171" s="257">
        <f>'RSD (DEA)'!AM94</f>
        <v>31.536000000000001</v>
      </c>
      <c r="AC171" s="235">
        <f>'RSD (DEA)'!S94</f>
        <v>15</v>
      </c>
      <c r="AD171" s="244" t="str">
        <f>LEFT('RSD (DEA)'!AK94,2)&amp;RIGHT(E171,3)</f>
        <v>RWHSC</v>
      </c>
      <c r="AE171" s="256">
        <f>'RSD (DEA)'!BA94</f>
        <v>0.65</v>
      </c>
      <c r="AF171" s="256"/>
    </row>
    <row r="172" spans="1:32" x14ac:dyDescent="0.3">
      <c r="A172" s="235"/>
      <c r="D172" s="512"/>
      <c r="E172" s="512"/>
      <c r="F172" s="515"/>
      <c r="G172" s="515"/>
      <c r="H172" s="540"/>
      <c r="I172" s="512"/>
      <c r="J172" s="242"/>
      <c r="K172" s="242"/>
      <c r="L172" s="513"/>
      <c r="M172" s="252"/>
      <c r="N172" s="244" t="str">
        <f>AD171</f>
        <v>RWHSC</v>
      </c>
      <c r="O172" s="244"/>
      <c r="P172" s="252"/>
      <c r="Q172" s="252"/>
      <c r="R172" s="525">
        <f>IF(ISBLANK(I172),IF(MID(N172,2,2)="HA",VLOOKUP(I171,KEY_RSD_AF!$C$5:$G$52,2,FALSE),IF(MID(N172,2,2)="WA",VLOOKUP(I171,KEY_RSD_AF!$C$5:$G$52,3,FALSE),IF(MID(N172,2,2)="HH",VLOOKUP(I171,KEY_RSD_AF!$C$5:$G$52,4,FALSE),IF(MID(N172,2,2)="WH",VLOOKUP(I171,KEY_RSD_AF!$C$5:$G$52,5,FALSE))))),IF(MID(N172,2,2)="HA",VLOOKUP(I172,KEY_RSD_AF!$C$5:$G$52,2,FALSE),IF(MID(N172,2,2)="WA",VLOOKUP(I172,KEY_RSD_AF!$C$5:$G$52,3,FALSE),IF(MID(N172,2,2)="HH",VLOOKUP(I172,KEY_RSD_AF!$C$5:$G$52,4,FALSE),IF(MID(N172,2,2)="WH",VLOOKUP(I172,KEY_RSD_AF!$C$5:$G$52,5,FALSE))))))</f>
        <v>1</v>
      </c>
      <c r="S172" s="503">
        <f>T171</f>
        <v>0.65</v>
      </c>
      <c r="T172" s="256"/>
      <c r="U172" s="503"/>
      <c r="V172" s="252"/>
      <c r="W172" s="524"/>
      <c r="X172" s="256"/>
      <c r="Y172" s="252"/>
      <c r="Z172" s="252"/>
      <c r="AA172" s="257"/>
      <c r="AC172" s="235"/>
      <c r="AD172" s="244"/>
      <c r="AE172" s="256"/>
      <c r="AF172" s="256"/>
    </row>
    <row r="173" spans="1:32" x14ac:dyDescent="0.3">
      <c r="A173" s="235"/>
      <c r="C173" s="528" t="str">
        <f>'RSD (DEA)'!Z95</f>
        <v>S_WOF_02</v>
      </c>
      <c r="D173" s="512" t="str">
        <f>RSD_HeatingDemand!N173&amp;"_"&amp;C173</f>
        <v>RHHSC_S_WOF_02</v>
      </c>
      <c r="E173" s="512" t="str">
        <f>"R"&amp;LEFT('RSD (DEA)'!AD95,2)&amp;IF(ISNUMBER(IFERROR(FIND("HTH",'RSD (DEA)'!Z95),IFERROR(FIND("HP",'RSD (DEA)'!Z95),"C"))),IF(IFERROR(FIND("HTH",'RSD (DEA)'!Z95),100)=100,"B","A"),"C")</f>
        <v>RHSC</v>
      </c>
      <c r="F173" s="515"/>
      <c r="G173" s="515"/>
      <c r="H173" s="540" t="str">
        <f t="shared" si="2"/>
        <v>RHHSC_S_WOF_06</v>
      </c>
      <c r="I173" s="512" t="str">
        <f>'RSD (DEA)'!AA95</f>
        <v>Wood stove</v>
      </c>
      <c r="J173" s="242" t="s">
        <v>239</v>
      </c>
      <c r="K173" s="242" t="s">
        <v>240</v>
      </c>
      <c r="L173" s="513" t="str">
        <f>'RSD (DEA)'!AH95</f>
        <v>RSDWOF</v>
      </c>
      <c r="M173" s="252"/>
      <c r="N173" s="244" t="str">
        <f>LEFT('RSD (DEA)'!AJ95,2)&amp;RIGHT(E173,3)</f>
        <v>RHHSC</v>
      </c>
      <c r="O173" s="252"/>
      <c r="P173" s="252">
        <f>IF('RSD (DEA)'!P95&lt;RSD_HeatingDemand!$AH$15,RSD_HeatingDemand!$AH$15,'RSD (DEA)'!P95)</f>
        <v>2019</v>
      </c>
      <c r="Q173" s="252">
        <f>IF('RSD (DEA)'!X95&lt;RSD_HeatingDemand!$AH$15,RSD_HeatingDemand!$AH$15,'RSD (DEA)'!X95)</f>
        <v>2020</v>
      </c>
      <c r="R173" s="525">
        <f>IF(ISBLANK(I173),IF(MID(N173,2,2)="HA",VLOOKUP(I172,KEY_RSD_AF!$C$5:$G$52,2,FALSE),IF(MID(N173,2,2)="WA",VLOOKUP(I172,KEY_RSD_AF!$C$5:$G$52,3,FALSE),IF(MID(N173,2,2)="HH",VLOOKUP(I172,KEY_RSD_AF!$C$5:$G$52,4,FALSE),IF(MID(N173,2,2)="WH",VLOOKUP(I172,KEY_RSD_AF!$C$5:$G$52,5,FALSE))))),IF(MID(N173,2,2)="HA",VLOOKUP(I173,KEY_RSD_AF!$C$5:$G$52,2,FALSE),IF(MID(N173,2,2)="WA",VLOOKUP(I173,KEY_RSD_AF!$C$5:$G$52,3,FALSE),IF(MID(N173,2,2)="HH",VLOOKUP(I173,KEY_RSD_AF!$C$5:$G$52,4,FALSE),IF(MID(N173,2,2)="WH",VLOOKUP(I173,KEY_RSD_AF!$C$5:$G$52,5,FALSE))))))</f>
        <v>1</v>
      </c>
      <c r="S173" s="256">
        <f>'RSD (DEA)'!AZ95</f>
        <v>0.7</v>
      </c>
      <c r="T173" s="256">
        <f>'RSD (DEA)'!BA95</f>
        <v>0.7</v>
      </c>
      <c r="U173" s="503">
        <v>0.5</v>
      </c>
      <c r="V173" s="252">
        <f>'RSD (DEA)'!BR95/'RSD (DEA)'!S95</f>
        <v>17.083333333333332</v>
      </c>
      <c r="W173" s="524">
        <f>'RSD (DEA)'!BS95/RSD_HeatingDemand!$AH$9</f>
        <v>0</v>
      </c>
      <c r="X173" s="256">
        <f>'RSD (DEA)'!BK95*RSD_HeatingDemand!$AH$10/'RSD (DEA)'!S95</f>
        <v>466.66666666666669</v>
      </c>
      <c r="Y173" s="252">
        <f>'RSD (DEA)'!BI95</f>
        <v>20</v>
      </c>
      <c r="Z173" s="252"/>
      <c r="AA173" s="257">
        <f>'RSD (DEA)'!AM95</f>
        <v>31.536000000000001</v>
      </c>
      <c r="AC173" s="235">
        <f>'RSD (DEA)'!S95</f>
        <v>12</v>
      </c>
      <c r="AD173" s="244" t="str">
        <f>LEFT('RSD (DEA)'!AK95,2)&amp;RIGHT(E173,3)</f>
        <v>RWHSC</v>
      </c>
      <c r="AE173" s="256">
        <f>'RSD (DEA)'!BA95</f>
        <v>0.7</v>
      </c>
      <c r="AF173" s="256"/>
    </row>
    <row r="174" spans="1:32" x14ac:dyDescent="0.3">
      <c r="A174" s="235"/>
      <c r="D174" s="512"/>
      <c r="E174" s="512"/>
      <c r="F174" s="515"/>
      <c r="G174" s="515"/>
      <c r="H174" s="540"/>
      <c r="I174" s="512"/>
      <c r="J174" s="242"/>
      <c r="K174" s="242"/>
      <c r="L174" s="513"/>
      <c r="M174" s="252"/>
      <c r="N174" s="244" t="str">
        <f>AD173</f>
        <v>RWHSC</v>
      </c>
      <c r="O174" s="244"/>
      <c r="P174" s="252"/>
      <c r="Q174" s="252"/>
      <c r="R174" s="525">
        <f>IF(ISBLANK(I174),IF(MID(N174,2,2)="HA",VLOOKUP(I173,KEY_RSD_AF!$C$5:$G$52,2,FALSE),IF(MID(N174,2,2)="WA",VLOOKUP(I173,KEY_RSD_AF!$C$5:$G$52,3,FALSE),IF(MID(N174,2,2)="HH",VLOOKUP(I173,KEY_RSD_AF!$C$5:$G$52,4,FALSE),IF(MID(N174,2,2)="WH",VLOOKUP(I173,KEY_RSD_AF!$C$5:$G$52,5,FALSE))))),IF(MID(N174,2,2)="HA",VLOOKUP(I174,KEY_RSD_AF!$C$5:$G$52,2,FALSE),IF(MID(N174,2,2)="WA",VLOOKUP(I174,KEY_RSD_AF!$C$5:$G$52,3,FALSE),IF(MID(N174,2,2)="HH",VLOOKUP(I174,KEY_RSD_AF!$C$5:$G$52,4,FALSE),IF(MID(N174,2,2)="WH",VLOOKUP(I174,KEY_RSD_AF!$C$5:$G$52,5,FALSE))))))</f>
        <v>1</v>
      </c>
      <c r="S174" s="503">
        <f>T173</f>
        <v>0.7</v>
      </c>
      <c r="T174" s="256"/>
      <c r="U174" s="503"/>
      <c r="V174" s="252"/>
      <c r="W174" s="524"/>
      <c r="X174" s="256"/>
      <c r="Y174" s="252"/>
      <c r="Z174" s="252"/>
      <c r="AA174" s="257"/>
      <c r="AC174" s="235"/>
      <c r="AD174" s="244"/>
      <c r="AE174" s="256"/>
      <c r="AF174" s="256"/>
    </row>
    <row r="175" spans="1:32" x14ac:dyDescent="0.3">
      <c r="A175" s="235"/>
      <c r="C175" s="528" t="str">
        <f>'RSD (DEA)'!Z96</f>
        <v>S_WOF_02</v>
      </c>
      <c r="D175" s="512" t="str">
        <f>RSD_HeatingDemand!N175&amp;"_"&amp;C175</f>
        <v>RHHSC_S_WOF_02</v>
      </c>
      <c r="E175" s="512" t="str">
        <f>"R"&amp;LEFT('RSD (DEA)'!AD96,2)&amp;IF(ISNUMBER(IFERROR(FIND("HTH",'RSD (DEA)'!Z96),IFERROR(FIND("HP",'RSD (DEA)'!Z96),"C"))),IF(IFERROR(FIND("HTH",'RSD (DEA)'!Z96),100)=100,"B","A"),"C")</f>
        <v>RHSC</v>
      </c>
      <c r="F175" s="515"/>
      <c r="G175" s="515"/>
      <c r="H175" s="540" t="str">
        <f t="shared" si="2"/>
        <v>RHHSC_S_WOF_07</v>
      </c>
      <c r="I175" s="512" t="str">
        <f>'RSD (DEA)'!AA96</f>
        <v>Wood stove</v>
      </c>
      <c r="J175" s="242" t="s">
        <v>239</v>
      </c>
      <c r="K175" s="242" t="s">
        <v>240</v>
      </c>
      <c r="L175" s="513" t="str">
        <f>'RSD (DEA)'!AH96</f>
        <v>RSDWOF</v>
      </c>
      <c r="M175" s="252"/>
      <c r="N175" s="244" t="str">
        <f>LEFT('RSD (DEA)'!AJ96,2)&amp;RIGHT(E175,3)</f>
        <v>RHHSC</v>
      </c>
      <c r="O175" s="252"/>
      <c r="P175" s="252">
        <f>IF('RSD (DEA)'!P96&lt;RSD_HeatingDemand!$AH$15,RSD_HeatingDemand!$AH$15,'RSD (DEA)'!P96)</f>
        <v>2019</v>
      </c>
      <c r="Q175" s="252">
        <f>IF('RSD (DEA)'!X96&lt;RSD_HeatingDemand!$AH$15,RSD_HeatingDemand!$AH$15,'RSD (DEA)'!X96)</f>
        <v>2030</v>
      </c>
      <c r="R175" s="525">
        <f>IF(ISBLANK(I175),IF(MID(N175,2,2)="HA",VLOOKUP(I174,KEY_RSD_AF!$C$5:$G$52,2,FALSE),IF(MID(N175,2,2)="WA",VLOOKUP(I174,KEY_RSD_AF!$C$5:$G$52,3,FALSE),IF(MID(N175,2,2)="HH",VLOOKUP(I174,KEY_RSD_AF!$C$5:$G$52,4,FALSE),IF(MID(N175,2,2)="WH",VLOOKUP(I174,KEY_RSD_AF!$C$5:$G$52,5,FALSE))))),IF(MID(N175,2,2)="HA",VLOOKUP(I175,KEY_RSD_AF!$C$5:$G$52,2,FALSE),IF(MID(N175,2,2)="WA",VLOOKUP(I175,KEY_RSD_AF!$C$5:$G$52,3,FALSE),IF(MID(N175,2,2)="HH",VLOOKUP(I175,KEY_RSD_AF!$C$5:$G$52,4,FALSE),IF(MID(N175,2,2)="WH",VLOOKUP(I175,KEY_RSD_AF!$C$5:$G$52,5,FALSE))))))</f>
        <v>1</v>
      </c>
      <c r="S175" s="256">
        <f>'RSD (DEA)'!AZ96</f>
        <v>0.75</v>
      </c>
      <c r="T175" s="256">
        <f>'RSD (DEA)'!BA96</f>
        <v>0.75</v>
      </c>
      <c r="U175" s="503">
        <v>0.5</v>
      </c>
      <c r="V175" s="252">
        <f>'RSD (DEA)'!BR96/'RSD (DEA)'!S96</f>
        <v>26.3</v>
      </c>
      <c r="W175" s="524">
        <f>'RSD (DEA)'!BS96/RSD_HeatingDemand!$AH$9</f>
        <v>0</v>
      </c>
      <c r="X175" s="256">
        <f>'RSD (DEA)'!BK96*RSD_HeatingDemand!$AH$10/'RSD (DEA)'!S96</f>
        <v>560</v>
      </c>
      <c r="Y175" s="252">
        <f>'RSD (DEA)'!BI96</f>
        <v>20</v>
      </c>
      <c r="Z175" s="252"/>
      <c r="AA175" s="257">
        <f>'RSD (DEA)'!AM96</f>
        <v>31.536000000000001</v>
      </c>
      <c r="AC175" s="235">
        <f>'RSD (DEA)'!S96</f>
        <v>10</v>
      </c>
      <c r="AD175" s="244" t="str">
        <f>LEFT('RSD (DEA)'!AK96,2)&amp;RIGHT(E175,3)</f>
        <v>RWHSC</v>
      </c>
      <c r="AE175" s="256">
        <f>'RSD (DEA)'!BA96</f>
        <v>0.75</v>
      </c>
      <c r="AF175" s="256"/>
    </row>
    <row r="176" spans="1:32" x14ac:dyDescent="0.3">
      <c r="A176" s="235"/>
      <c r="D176" s="512"/>
      <c r="E176" s="512"/>
      <c r="F176" s="515"/>
      <c r="G176" s="515"/>
      <c r="H176" s="540"/>
      <c r="I176" s="512"/>
      <c r="J176" s="242"/>
      <c r="K176" s="242"/>
      <c r="L176" s="513"/>
      <c r="M176" s="252"/>
      <c r="N176" s="244" t="str">
        <f>AD175</f>
        <v>RWHSC</v>
      </c>
      <c r="O176" s="244"/>
      <c r="P176" s="252"/>
      <c r="Q176" s="252"/>
      <c r="R176" s="525">
        <f>IF(ISBLANK(I176),IF(MID(N176,2,2)="HA",VLOOKUP(I175,KEY_RSD_AF!$C$5:$G$52,2,FALSE),IF(MID(N176,2,2)="WA",VLOOKUP(I175,KEY_RSD_AF!$C$5:$G$52,3,FALSE),IF(MID(N176,2,2)="HH",VLOOKUP(I175,KEY_RSD_AF!$C$5:$G$52,4,FALSE),IF(MID(N176,2,2)="WH",VLOOKUP(I175,KEY_RSD_AF!$C$5:$G$52,5,FALSE))))),IF(MID(N176,2,2)="HA",VLOOKUP(I176,KEY_RSD_AF!$C$5:$G$52,2,FALSE),IF(MID(N176,2,2)="WA",VLOOKUP(I176,KEY_RSD_AF!$C$5:$G$52,3,FALSE),IF(MID(N176,2,2)="HH",VLOOKUP(I176,KEY_RSD_AF!$C$5:$G$52,4,FALSE),IF(MID(N176,2,2)="WH",VLOOKUP(I176,KEY_RSD_AF!$C$5:$G$52,5,FALSE))))))</f>
        <v>1</v>
      </c>
      <c r="S176" s="503">
        <f>T175</f>
        <v>0.75</v>
      </c>
      <c r="T176" s="256"/>
      <c r="U176" s="503"/>
      <c r="V176" s="252"/>
      <c r="W176" s="524"/>
      <c r="X176" s="256"/>
      <c r="Y176" s="252"/>
      <c r="Z176" s="252"/>
      <c r="AA176" s="257"/>
      <c r="AC176" s="235"/>
      <c r="AD176" s="244"/>
      <c r="AE176" s="256"/>
      <c r="AF176" s="256"/>
    </row>
    <row r="177" spans="1:32" x14ac:dyDescent="0.3">
      <c r="A177" s="235"/>
      <c r="C177" s="528" t="str">
        <f>'RSD (DEA)'!Z97</f>
        <v>S_WOF_02</v>
      </c>
      <c r="D177" s="512" t="str">
        <f>RSD_HeatingDemand!N177&amp;"_"&amp;C177</f>
        <v>RHHSC_S_WOF_02</v>
      </c>
      <c r="E177" s="512" t="str">
        <f>"R"&amp;LEFT('RSD (DEA)'!AD97,2)&amp;IF(ISNUMBER(IFERROR(FIND("HTH",'RSD (DEA)'!Z97),IFERROR(FIND("HP",'RSD (DEA)'!Z97),"C"))),IF(IFERROR(FIND("HTH",'RSD (DEA)'!Z97),100)=100,"B","A"),"C")</f>
        <v>RHSC</v>
      </c>
      <c r="F177" s="515"/>
      <c r="G177" s="515"/>
      <c r="H177" s="540" t="str">
        <f t="shared" si="2"/>
        <v>RHHSC_S_WOF_08</v>
      </c>
      <c r="I177" s="512" t="str">
        <f>'RSD (DEA)'!AA97</f>
        <v>Wood stove</v>
      </c>
      <c r="J177" s="242" t="s">
        <v>239</v>
      </c>
      <c r="K177" s="242" t="s">
        <v>240</v>
      </c>
      <c r="L177" s="513" t="str">
        <f>'RSD (DEA)'!AH97</f>
        <v>RSDWOF</v>
      </c>
      <c r="M177" s="252"/>
      <c r="N177" s="244" t="str">
        <f>LEFT('RSD (DEA)'!AJ97,2)&amp;RIGHT(E177,3)</f>
        <v>RHHSC</v>
      </c>
      <c r="O177" s="252"/>
      <c r="P177" s="252">
        <f>IF('RSD (DEA)'!P97&lt;RSD_HeatingDemand!$AH$15,RSD_HeatingDemand!$AH$15,'RSD (DEA)'!P97)</f>
        <v>2019</v>
      </c>
      <c r="Q177" s="252">
        <f>IF('RSD (DEA)'!X97&lt;RSD_HeatingDemand!$AH$15,RSD_HeatingDemand!$AH$15,'RSD (DEA)'!X97)</f>
        <v>2050</v>
      </c>
      <c r="R177" s="525">
        <f>IF(ISBLANK(I177),IF(MID(N177,2,2)="HA",VLOOKUP(I176,KEY_RSD_AF!$C$5:$G$52,2,FALSE),IF(MID(N177,2,2)="WA",VLOOKUP(I176,KEY_RSD_AF!$C$5:$G$52,3,FALSE),IF(MID(N177,2,2)="HH",VLOOKUP(I176,KEY_RSD_AF!$C$5:$G$52,4,FALSE),IF(MID(N177,2,2)="WH",VLOOKUP(I176,KEY_RSD_AF!$C$5:$G$52,5,FALSE))))),IF(MID(N177,2,2)="HA",VLOOKUP(I177,KEY_RSD_AF!$C$5:$G$52,2,FALSE),IF(MID(N177,2,2)="WA",VLOOKUP(I177,KEY_RSD_AF!$C$5:$G$52,3,FALSE),IF(MID(N177,2,2)="HH",VLOOKUP(I177,KEY_RSD_AF!$C$5:$G$52,4,FALSE),IF(MID(N177,2,2)="WH",VLOOKUP(I177,KEY_RSD_AF!$C$5:$G$52,5,FALSE))))))</f>
        <v>1</v>
      </c>
      <c r="S177" s="256">
        <f>'RSD (DEA)'!AZ97</f>
        <v>0.75</v>
      </c>
      <c r="T177" s="256">
        <f>'RSD (DEA)'!BA97</f>
        <v>0.75</v>
      </c>
      <c r="U177" s="503">
        <v>0.5</v>
      </c>
      <c r="V177" s="252">
        <f>'RSD (DEA)'!BR97/'RSD (DEA)'!S97</f>
        <v>25.3</v>
      </c>
      <c r="W177" s="524">
        <f>'RSD (DEA)'!BS97/RSD_HeatingDemand!$AH$9</f>
        <v>0</v>
      </c>
      <c r="X177" s="256">
        <f>'RSD (DEA)'!BK97*RSD_HeatingDemand!$AH$10/'RSD (DEA)'!S97</f>
        <v>560</v>
      </c>
      <c r="Y177" s="252">
        <f>'RSD (DEA)'!BI97</f>
        <v>20</v>
      </c>
      <c r="Z177" s="252"/>
      <c r="AA177" s="257">
        <f>'RSD (DEA)'!AM97</f>
        <v>31.536000000000001</v>
      </c>
      <c r="AC177" s="235">
        <f>'RSD (DEA)'!S97</f>
        <v>10</v>
      </c>
      <c r="AD177" s="244" t="str">
        <f>LEFT('RSD (DEA)'!AK97,2)&amp;RIGHT(E177,3)</f>
        <v>RWHSC</v>
      </c>
      <c r="AE177" s="256">
        <f>'RSD (DEA)'!BA97</f>
        <v>0.75</v>
      </c>
      <c r="AF177" s="256"/>
    </row>
    <row r="178" spans="1:32" x14ac:dyDescent="0.3">
      <c r="A178" s="235"/>
      <c r="D178" s="512"/>
      <c r="E178" s="512"/>
      <c r="F178" s="515"/>
      <c r="G178" s="515"/>
      <c r="H178" s="540"/>
      <c r="I178" s="512"/>
      <c r="J178" s="242"/>
      <c r="K178" s="242"/>
      <c r="L178" s="513"/>
      <c r="M178" s="252"/>
      <c r="N178" s="244" t="str">
        <f>AD177</f>
        <v>RWHSC</v>
      </c>
      <c r="O178" s="244"/>
      <c r="P178" s="252"/>
      <c r="Q178" s="252"/>
      <c r="R178" s="525">
        <f>IF(ISBLANK(I178),IF(MID(N178,2,2)="HA",VLOOKUP(I177,KEY_RSD_AF!$C$5:$G$52,2,FALSE),IF(MID(N178,2,2)="WA",VLOOKUP(I177,KEY_RSD_AF!$C$5:$G$52,3,FALSE),IF(MID(N178,2,2)="HH",VLOOKUP(I177,KEY_RSD_AF!$C$5:$G$52,4,FALSE),IF(MID(N178,2,2)="WH",VLOOKUP(I177,KEY_RSD_AF!$C$5:$G$52,5,FALSE))))),IF(MID(N178,2,2)="HA",VLOOKUP(I178,KEY_RSD_AF!$C$5:$G$52,2,FALSE),IF(MID(N178,2,2)="WA",VLOOKUP(I178,KEY_RSD_AF!$C$5:$G$52,3,FALSE),IF(MID(N178,2,2)="HH",VLOOKUP(I178,KEY_RSD_AF!$C$5:$G$52,4,FALSE),IF(MID(N178,2,2)="WH",VLOOKUP(I178,KEY_RSD_AF!$C$5:$G$52,5,FALSE))))))</f>
        <v>1</v>
      </c>
      <c r="S178" s="503">
        <f>T177</f>
        <v>0.75</v>
      </c>
      <c r="T178" s="256"/>
      <c r="U178" s="503"/>
      <c r="V178" s="252"/>
      <c r="W178" s="524"/>
      <c r="X178" s="256"/>
      <c r="Y178" s="252"/>
      <c r="Z178" s="252"/>
      <c r="AA178" s="257"/>
      <c r="AC178" s="235"/>
      <c r="AD178" s="244"/>
      <c r="AE178" s="256"/>
      <c r="AF178" s="256"/>
    </row>
    <row r="179" spans="1:32" x14ac:dyDescent="0.3">
      <c r="A179" s="318"/>
      <c r="C179" s="528" t="str">
        <f>'RSD (DEA)'!Z98</f>
        <v>HP_ELC_01</v>
      </c>
      <c r="D179" s="513" t="str">
        <f>RSD_HeatingDemand!N179&amp;"_"&amp;C179</f>
        <v>RHHSB_HP_ELC_01</v>
      </c>
      <c r="E179" s="515" t="str">
        <f>"R"&amp;LEFT('RSD (DEA)'!AD98,2)&amp;IF(ISNUMBER(IFERROR(FIND("HTH",'RSD (DEA)'!Z98),IFERROR(FIND("HP",'RSD (DEA)'!Z98),"C"))),IF(IFERROR(FIND("HTH",'RSD (DEA)'!Z98),100)=100,"B","A"),"C")</f>
        <v>RHSB</v>
      </c>
      <c r="F179" s="515"/>
      <c r="G179" s="515"/>
      <c r="H179" s="540" t="str">
        <f t="shared" si="2"/>
        <v>RHHSB_HP_ELC_01</v>
      </c>
      <c r="I179" s="515" t="str">
        <f>'RSD (DEA)'!AA98</f>
        <v>Electric heat pumps, Air-to-air</v>
      </c>
      <c r="J179" s="501" t="s">
        <v>239</v>
      </c>
      <c r="K179" s="501" t="s">
        <v>240</v>
      </c>
      <c r="L179" s="515" t="str">
        <f>'RSD (DEA)'!AH98</f>
        <v>RSDELC</v>
      </c>
      <c r="M179" s="502" t="str">
        <f>'RSD (DEA)'!AI98</f>
        <v>RSDAHT</v>
      </c>
      <c r="N179" s="318" t="str">
        <f>LEFT('RSD (DEA)'!AJ98,2)&amp;RIGHT(E179,3)</f>
        <v>RHHSB</v>
      </c>
      <c r="O179" s="318"/>
      <c r="P179" s="502">
        <f>IF('RSD (DEA)'!P98&lt;RSD_HeatingDemand!$AH$15,RSD_HeatingDemand!$AH$15,'RSD (DEA)'!P98)</f>
        <v>2019</v>
      </c>
      <c r="Q179" s="502">
        <f>IF('RSD (DEA)'!X98&lt;RSD_HeatingDemand!$AH$15,RSD_HeatingDemand!$AH$15,'RSD (DEA)'!X98)</f>
        <v>2019</v>
      </c>
      <c r="R179" s="525">
        <f>IF(ISBLANK(I179),IF(MID(N179,2,2)="HA",VLOOKUP(I178,KEY_RSD_AF!$C$5:$G$52,2,FALSE),IF(MID(N179,2,2)="WA",VLOOKUP(I178,KEY_RSD_AF!$C$5:$G$52,3,FALSE),IF(MID(N179,2,2)="HH",VLOOKUP(I178,KEY_RSD_AF!$C$5:$G$52,4,FALSE),IF(MID(N179,2,2)="WH",VLOOKUP(I178,KEY_RSD_AF!$C$5:$G$52,5,FALSE))))),IF(MID(N179,2,2)="HA",VLOOKUP(I179,KEY_RSD_AF!$C$5:$G$52,2,FALSE),IF(MID(N179,2,2)="WA",VLOOKUP(I179,KEY_RSD_AF!$C$5:$G$52,3,FALSE),IF(MID(N179,2,2)="HH",VLOOKUP(I179,KEY_RSD_AF!$C$5:$G$52,4,FALSE),IF(MID(N179,2,2)="WH",VLOOKUP(I179,KEY_RSD_AF!$C$5:$G$52,5,FALSE))))))</f>
        <v>1</v>
      </c>
      <c r="S179" s="503">
        <f>'RSD (DEA)'!AZ98</f>
        <v>5</v>
      </c>
      <c r="T179" s="503">
        <f>'RSD (DEA)'!BA98</f>
        <v>5</v>
      </c>
      <c r="U179" s="503">
        <v>0.5</v>
      </c>
      <c r="V179" s="502">
        <f>'RSD (DEA)'!BR98/'RSD (DEA)'!S98</f>
        <v>42.5</v>
      </c>
      <c r="W179" s="525">
        <f>'RSD (DEA)'!BS98/RSD_HeatingDemand!$AH$9</f>
        <v>0</v>
      </c>
      <c r="X179" s="503">
        <f>'RSD (DEA)'!BK98*RSD_HeatingDemand!$AH$10/'RSD (DEA)'!S98</f>
        <v>450</v>
      </c>
      <c r="Y179" s="502">
        <f>'RSD (DEA)'!BI98</f>
        <v>12</v>
      </c>
      <c r="Z179" s="502"/>
      <c r="AA179" s="504">
        <f>'RSD (DEA)'!AM98</f>
        <v>31.536000000000001</v>
      </c>
      <c r="AB179" s="239"/>
      <c r="AC179" s="318">
        <f>'RSD (DEA)'!S98</f>
        <v>4</v>
      </c>
      <c r="AD179" s="318"/>
      <c r="AE179" s="503">
        <f>'RSD (DEA)'!BA98</f>
        <v>5</v>
      </c>
      <c r="AF179" s="503"/>
    </row>
    <row r="180" spans="1:32" x14ac:dyDescent="0.3">
      <c r="A180" s="244"/>
      <c r="D180" s="512"/>
      <c r="E180" s="513"/>
      <c r="F180" s="515"/>
      <c r="G180" s="515"/>
      <c r="H180" s="540"/>
      <c r="I180" s="513"/>
      <c r="J180" s="255"/>
      <c r="K180" s="255"/>
      <c r="L180" s="513"/>
      <c r="M180" s="252" t="str">
        <f>M179</f>
        <v>RSDAHT</v>
      </c>
      <c r="N180" s="244"/>
      <c r="O180" s="244" t="str">
        <f>$AH$12</f>
        <v>ACT</v>
      </c>
      <c r="P180" s="252"/>
      <c r="Q180" s="252"/>
      <c r="R180" s="525"/>
      <c r="S180" s="256"/>
      <c r="T180" s="256"/>
      <c r="U180" s="256"/>
      <c r="V180" s="252"/>
      <c r="W180" s="524"/>
      <c r="X180" s="256"/>
      <c r="Y180" s="252"/>
      <c r="Z180" s="252">
        <f t="shared" ref="Z180:Z185" si="3">IF(ISBLANK(O180),"",IF(O180="ACT",1,-1))</f>
        <v>1</v>
      </c>
      <c r="AA180" s="257"/>
      <c r="AB180" s="239"/>
      <c r="AC180" s="244"/>
      <c r="AD180" s="244"/>
      <c r="AE180" s="256"/>
      <c r="AF180" s="256"/>
    </row>
    <row r="181" spans="1:32" x14ac:dyDescent="0.3">
      <c r="A181" s="244"/>
      <c r="D181" s="512"/>
      <c r="E181" s="513"/>
      <c r="F181" s="515"/>
      <c r="G181" s="515"/>
      <c r="H181" s="540"/>
      <c r="I181" s="513"/>
      <c r="J181" s="255"/>
      <c r="K181" s="255"/>
      <c r="L181" s="513"/>
      <c r="M181" s="252" t="str">
        <f>M180</f>
        <v>RSDAHT</v>
      </c>
      <c r="N181" s="244"/>
      <c r="O181" s="244" t="str">
        <f>L179</f>
        <v>RSDELC</v>
      </c>
      <c r="P181" s="252"/>
      <c r="Q181" s="252"/>
      <c r="R181" s="525"/>
      <c r="S181" s="256"/>
      <c r="T181" s="256"/>
      <c r="U181" s="256"/>
      <c r="V181" s="252"/>
      <c r="W181" s="524"/>
      <c r="X181" s="256"/>
      <c r="Y181" s="252"/>
      <c r="Z181" s="252">
        <f t="shared" si="3"/>
        <v>-1</v>
      </c>
      <c r="AA181" s="257"/>
      <c r="AB181" s="239"/>
      <c r="AC181" s="244"/>
      <c r="AD181" s="244"/>
      <c r="AE181" s="256"/>
      <c r="AF181" s="256"/>
    </row>
    <row r="182" spans="1:32" x14ac:dyDescent="0.3">
      <c r="A182" s="235"/>
      <c r="C182" s="528" t="str">
        <f>'RSD (DEA)'!Z99</f>
        <v>HP_ELC_01</v>
      </c>
      <c r="D182" s="512" t="str">
        <f>RSD_HeatingDemand!N182&amp;"_"&amp;C182</f>
        <v>RHHSB_HP_ELC_01</v>
      </c>
      <c r="E182" s="512" t="str">
        <f>"R"&amp;LEFT('RSD (DEA)'!AD99,2)&amp;IF(ISNUMBER(IFERROR(FIND("HTH",'RSD (DEA)'!Z99),IFERROR(FIND("HP",'RSD (DEA)'!Z99),"C"))),IF(IFERROR(FIND("HTH",'RSD (DEA)'!Z99),100)=100,"B","A"),"C")</f>
        <v>RHSB</v>
      </c>
      <c r="F182" s="515"/>
      <c r="G182" s="515"/>
      <c r="H182" s="540" t="str">
        <f>IF(LEFT(D182,LEN(D182)-2)=LEFT(D179,LEN(D182)-2),LEFT(D182,LEN(D182)-2)&amp;IF(RIGHT(H179,2)+1&lt;=9,"0"&amp;RIGHT(H179)+1,RIGHT(H179,2)+1),D182)</f>
        <v>RHHSB_HP_ELC_02</v>
      </c>
      <c r="I182" s="512" t="str">
        <f>'RSD (DEA)'!AA99</f>
        <v>Electric heat pumps, Air-to-air</v>
      </c>
      <c r="J182" s="242" t="s">
        <v>239</v>
      </c>
      <c r="K182" s="242" t="s">
        <v>240</v>
      </c>
      <c r="L182" s="512" t="str">
        <f>'RSD (DEA)'!AH99</f>
        <v>RSDELC</v>
      </c>
      <c r="M182" s="182" t="str">
        <f>'RSD (DEA)'!AI99</f>
        <v>RSDAHT</v>
      </c>
      <c r="N182" s="235" t="str">
        <f>LEFT('RSD (DEA)'!AJ99,2)&amp;RIGHT(E182,3)</f>
        <v>RHHSB</v>
      </c>
      <c r="O182" s="244"/>
      <c r="P182" s="182">
        <f>IF('RSD (DEA)'!P99&lt;RSD_HeatingDemand!$AH$15,RSD_HeatingDemand!$AH$15,'RSD (DEA)'!P99)</f>
        <v>2019</v>
      </c>
      <c r="Q182" s="182">
        <f>IF('RSD (DEA)'!X99&lt;RSD_HeatingDemand!$AH$15,RSD_HeatingDemand!$AH$15,'RSD (DEA)'!X99)</f>
        <v>2020</v>
      </c>
      <c r="R182" s="525">
        <f>IF(ISBLANK(I182),IF(MID(N182,2,2)="HA",VLOOKUP(I181,KEY_RSD_AF!$C$5:$G$52,2,FALSE),IF(MID(N182,2,2)="WA",VLOOKUP(I181,KEY_RSD_AF!$C$5:$G$52,3,FALSE),IF(MID(N182,2,2)="HH",VLOOKUP(I181,KEY_RSD_AF!$C$5:$G$52,4,FALSE),IF(MID(N182,2,2)="WH",VLOOKUP(I181,KEY_RSD_AF!$C$5:$G$52,5,FALSE))))),IF(MID(N182,2,2)="HA",VLOOKUP(I182,KEY_RSD_AF!$C$5:$G$52,2,FALSE),IF(MID(N182,2,2)="WA",VLOOKUP(I182,KEY_RSD_AF!$C$5:$G$52,3,FALSE),IF(MID(N182,2,2)="HH",VLOOKUP(I182,KEY_RSD_AF!$C$5:$G$52,4,FALSE),IF(MID(N182,2,2)="WH",VLOOKUP(I182,KEY_RSD_AF!$C$5:$G$52,5,FALSE))))))</f>
        <v>1</v>
      </c>
      <c r="S182" s="183">
        <f>'RSD (DEA)'!AZ99</f>
        <v>5.0999999999999996</v>
      </c>
      <c r="T182" s="183">
        <f>'RSD (DEA)'!BA99</f>
        <v>5.0999999999999996</v>
      </c>
      <c r="U182" s="183">
        <v>0.5</v>
      </c>
      <c r="V182" s="182">
        <f>'RSD (DEA)'!BR99/'RSD (DEA)'!S99</f>
        <v>40.5</v>
      </c>
      <c r="W182" s="184">
        <f>'RSD (DEA)'!BS99/RSD_HeatingDemand!$AH$9</f>
        <v>0</v>
      </c>
      <c r="X182" s="183">
        <f>'RSD (DEA)'!BK99*RSD_HeatingDemand!$AH$10/'RSD (DEA)'!S99</f>
        <v>450</v>
      </c>
      <c r="Y182" s="182">
        <f>'RSD (DEA)'!BI99</f>
        <v>12</v>
      </c>
      <c r="Z182" s="252" t="str">
        <f t="shared" si="3"/>
        <v/>
      </c>
      <c r="AA182" s="236">
        <f>'RSD (DEA)'!AM99</f>
        <v>31.536000000000001</v>
      </c>
      <c r="AB182" s="239"/>
      <c r="AC182" s="235">
        <f>'RSD (DEA)'!S99</f>
        <v>4</v>
      </c>
      <c r="AD182" s="235"/>
      <c r="AE182" s="183">
        <f>'RSD (DEA)'!BA99</f>
        <v>5.0999999999999996</v>
      </c>
      <c r="AF182" s="183"/>
    </row>
    <row r="183" spans="1:32" x14ac:dyDescent="0.3">
      <c r="A183" s="244"/>
      <c r="D183" s="512"/>
      <c r="E183" s="513"/>
      <c r="F183" s="515"/>
      <c r="G183" s="515"/>
      <c r="H183" s="540"/>
      <c r="I183" s="513"/>
      <c r="J183" s="255"/>
      <c r="K183" s="255"/>
      <c r="L183" s="513"/>
      <c r="M183" s="252" t="str">
        <f>M182</f>
        <v>RSDAHT</v>
      </c>
      <c r="N183" s="244"/>
      <c r="O183" s="244" t="str">
        <f>$AH$12</f>
        <v>ACT</v>
      </c>
      <c r="P183" s="252"/>
      <c r="Q183" s="252"/>
      <c r="R183" s="525"/>
      <c r="S183" s="256"/>
      <c r="T183" s="256"/>
      <c r="U183" s="183"/>
      <c r="V183" s="252"/>
      <c r="W183" s="524"/>
      <c r="X183" s="256"/>
      <c r="Y183" s="252"/>
      <c r="Z183" s="252">
        <f t="shared" si="3"/>
        <v>1</v>
      </c>
      <c r="AA183" s="257"/>
      <c r="AB183" s="239"/>
      <c r="AC183" s="244"/>
      <c r="AD183" s="244"/>
      <c r="AE183" s="256"/>
      <c r="AF183" s="256"/>
    </row>
    <row r="184" spans="1:32" x14ac:dyDescent="0.3">
      <c r="A184" s="244"/>
      <c r="D184" s="512"/>
      <c r="E184" s="513"/>
      <c r="F184" s="515"/>
      <c r="G184" s="515"/>
      <c r="H184" s="540"/>
      <c r="I184" s="513"/>
      <c r="J184" s="255"/>
      <c r="K184" s="255"/>
      <c r="L184" s="513"/>
      <c r="M184" s="252" t="str">
        <f>M183</f>
        <v>RSDAHT</v>
      </c>
      <c r="N184" s="244"/>
      <c r="O184" s="244" t="str">
        <f>L182</f>
        <v>RSDELC</v>
      </c>
      <c r="P184" s="252"/>
      <c r="Q184" s="252"/>
      <c r="R184" s="525"/>
      <c r="S184" s="256"/>
      <c r="T184" s="256"/>
      <c r="U184" s="183"/>
      <c r="V184" s="252"/>
      <c r="W184" s="524"/>
      <c r="X184" s="256"/>
      <c r="Y184" s="252"/>
      <c r="Z184" s="252">
        <f t="shared" si="3"/>
        <v>-1</v>
      </c>
      <c r="AA184" s="257"/>
      <c r="AB184" s="239"/>
      <c r="AC184" s="244"/>
      <c r="AD184" s="244"/>
      <c r="AE184" s="256"/>
      <c r="AF184" s="256"/>
    </row>
    <row r="185" spans="1:32" x14ac:dyDescent="0.3">
      <c r="A185" s="235"/>
      <c r="C185" s="528" t="str">
        <f>'RSD (DEA)'!Z100</f>
        <v>HP_ELC_01</v>
      </c>
      <c r="D185" s="512" t="str">
        <f>RSD_HeatingDemand!N185&amp;"_"&amp;C185</f>
        <v>RHHSB_HP_ELC_01</v>
      </c>
      <c r="E185" s="512" t="str">
        <f>"R"&amp;LEFT('RSD (DEA)'!AD100,2)&amp;IF(ISNUMBER(IFERROR(FIND("HTH",'RSD (DEA)'!Z100),IFERROR(FIND("HP",'RSD (DEA)'!Z100),"C"))),IF(IFERROR(FIND("HTH",'RSD (DEA)'!Z100),100)=100,"B","A"),"C")</f>
        <v>RHSB</v>
      </c>
      <c r="F185" s="515"/>
      <c r="G185" s="515"/>
      <c r="H185" s="540" t="str">
        <f t="shared" ref="H185" si="4">IF(LEFT(D185,LEN(D185)-2)=LEFT(D182,LEN(D185)-2),LEFT(D185,LEN(D185)-2)&amp;IF(RIGHT(H182,2)+1&lt;=9,"0"&amp;RIGHT(H182)+1,RIGHT(H182,2)+1),D185)</f>
        <v>RHHSB_HP_ELC_03</v>
      </c>
      <c r="I185" s="512" t="str">
        <f>'RSD (DEA)'!AA100</f>
        <v>Electric heat pumps, Air-to-air</v>
      </c>
      <c r="J185" s="242" t="s">
        <v>239</v>
      </c>
      <c r="K185" s="242" t="s">
        <v>240</v>
      </c>
      <c r="L185" s="512" t="str">
        <f>'RSD (DEA)'!AH100</f>
        <v>RSDELC</v>
      </c>
      <c r="M185" s="182" t="str">
        <f>'RSD (DEA)'!AI100</f>
        <v>RSDAHT</v>
      </c>
      <c r="N185" s="235" t="str">
        <f>LEFT('RSD (DEA)'!AJ100,2)&amp;RIGHT(E185,3)</f>
        <v>RHHSB</v>
      </c>
      <c r="O185" s="244"/>
      <c r="P185" s="182">
        <f>IF('RSD (DEA)'!P100&lt;RSD_HeatingDemand!$AH$15,RSD_HeatingDemand!$AH$15,'RSD (DEA)'!P100)</f>
        <v>2019</v>
      </c>
      <c r="Q185" s="182">
        <f>IF('RSD (DEA)'!X100&lt;RSD_HeatingDemand!$AH$15,RSD_HeatingDemand!$AH$15,'RSD (DEA)'!X100)</f>
        <v>2030</v>
      </c>
      <c r="R185" s="525">
        <f>IF(ISBLANK(I185),IF(MID(N185,2,2)="HA",VLOOKUP(I184,KEY_RSD_AF!$C$5:$G$52,2,FALSE),IF(MID(N185,2,2)="WA",VLOOKUP(I184,KEY_RSD_AF!$C$5:$G$52,3,FALSE),IF(MID(N185,2,2)="HH",VLOOKUP(I184,KEY_RSD_AF!$C$5:$G$52,4,FALSE),IF(MID(N185,2,2)="WH",VLOOKUP(I184,KEY_RSD_AF!$C$5:$G$52,5,FALSE))))),IF(MID(N185,2,2)="HA",VLOOKUP(I185,KEY_RSD_AF!$C$5:$G$52,2,FALSE),IF(MID(N185,2,2)="WA",VLOOKUP(I185,KEY_RSD_AF!$C$5:$G$52,3,FALSE),IF(MID(N185,2,2)="HH",VLOOKUP(I185,KEY_RSD_AF!$C$5:$G$52,4,FALSE),IF(MID(N185,2,2)="WH",VLOOKUP(I185,KEY_RSD_AF!$C$5:$G$52,5,FALSE))))))</f>
        <v>1</v>
      </c>
      <c r="S185" s="183">
        <f>'RSD (DEA)'!AZ100</f>
        <v>4.0999999999999996</v>
      </c>
      <c r="T185" s="183">
        <f>'RSD (DEA)'!BA100</f>
        <v>4.0999999999999996</v>
      </c>
      <c r="U185" s="183">
        <v>0.5</v>
      </c>
      <c r="V185" s="182">
        <f>'RSD (DEA)'!BR100/'RSD (DEA)'!S100</f>
        <v>24.333333333333332</v>
      </c>
      <c r="W185" s="184">
        <f>'RSD (DEA)'!BS100/RSD_HeatingDemand!$AH$9</f>
        <v>0</v>
      </c>
      <c r="X185" s="183">
        <f>'RSD (DEA)'!BK100*RSD_HeatingDemand!$AH$10/'RSD (DEA)'!S100</f>
        <v>300</v>
      </c>
      <c r="Y185" s="182">
        <f>'RSD (DEA)'!BI100</f>
        <v>12</v>
      </c>
      <c r="Z185" s="252" t="str">
        <f t="shared" si="3"/>
        <v/>
      </c>
      <c r="AA185" s="236">
        <f>'RSD (DEA)'!AM100</f>
        <v>31.536000000000001</v>
      </c>
      <c r="AB185" s="239"/>
      <c r="AC185" s="235">
        <f>'RSD (DEA)'!S100</f>
        <v>6</v>
      </c>
      <c r="AD185" s="235" t="str">
        <f>LEFT('RSD (DEA)'!AK100,2)&amp;RIGHT(E185,3)</f>
        <v>RWHSB</v>
      </c>
      <c r="AE185" s="183">
        <f>'RSD (DEA)'!BA100</f>
        <v>4.0999999999999996</v>
      </c>
      <c r="AF185" s="183"/>
    </row>
    <row r="186" spans="1:32" x14ac:dyDescent="0.3">
      <c r="A186" s="235"/>
      <c r="D186" s="512"/>
      <c r="E186" s="512"/>
      <c r="F186" s="515"/>
      <c r="G186" s="515"/>
      <c r="H186" s="540"/>
      <c r="I186" s="512"/>
      <c r="J186" s="242"/>
      <c r="K186" s="242"/>
      <c r="L186" s="512"/>
      <c r="M186" s="182"/>
      <c r="N186" s="318" t="str">
        <f>AD185</f>
        <v>RWHSB</v>
      </c>
      <c r="O186" s="244"/>
      <c r="P186" s="182"/>
      <c r="Q186" s="182"/>
      <c r="R186" s="525">
        <f>IF(ISBLANK(I186),IF(MID(N186,2,2)="HA",VLOOKUP(I185,KEY_RSD_AF!$C$5:$G$52,2,FALSE),IF(MID(N186,2,2)="WA",VLOOKUP(I185,KEY_RSD_AF!$C$5:$G$52,3,FALSE),IF(MID(N186,2,2)="HH",VLOOKUP(I185,KEY_RSD_AF!$C$5:$G$52,4,FALSE),IF(MID(N186,2,2)="WH",VLOOKUP(I185,KEY_RSD_AF!$C$5:$G$52,5,FALSE))))),IF(MID(N186,2,2)="HA",VLOOKUP(I186,KEY_RSD_AF!$C$5:$G$52,2,FALSE),IF(MID(N186,2,2)="WA",VLOOKUP(I186,KEY_RSD_AF!$C$5:$G$52,3,FALSE),IF(MID(N186,2,2)="HH",VLOOKUP(I186,KEY_RSD_AF!$C$5:$G$52,4,FALSE),IF(MID(N186,2,2)="WH",VLOOKUP(I186,KEY_RSD_AF!$C$5:$G$52,5,FALSE))))))</f>
        <v>1</v>
      </c>
      <c r="S186" s="503">
        <f>T185</f>
        <v>4.0999999999999996</v>
      </c>
      <c r="T186" s="183"/>
      <c r="U186" s="183"/>
      <c r="V186" s="182"/>
      <c r="W186" s="184"/>
      <c r="X186" s="183"/>
      <c r="Y186" s="182"/>
      <c r="Z186" s="252"/>
      <c r="AA186" s="236"/>
      <c r="AB186" s="239"/>
      <c r="AC186" s="235"/>
      <c r="AD186" s="235"/>
      <c r="AE186" s="183"/>
      <c r="AF186" s="183"/>
    </row>
    <row r="187" spans="1:32" x14ac:dyDescent="0.3">
      <c r="A187" s="244"/>
      <c r="D187" s="512"/>
      <c r="E187" s="513"/>
      <c r="F187" s="515"/>
      <c r="G187" s="515"/>
      <c r="H187" s="540"/>
      <c r="I187" s="513"/>
      <c r="J187" s="255"/>
      <c r="K187" s="255"/>
      <c r="L187" s="513"/>
      <c r="M187" s="252" t="str">
        <f>M185</f>
        <v>RSDAHT</v>
      </c>
      <c r="N187" s="244"/>
      <c r="O187" s="244" t="str">
        <f>$AH$12</f>
        <v>ACT</v>
      </c>
      <c r="P187" s="252"/>
      <c r="Q187" s="252"/>
      <c r="R187" s="525"/>
      <c r="S187" s="256"/>
      <c r="T187" s="256"/>
      <c r="U187" s="183"/>
      <c r="V187" s="252"/>
      <c r="W187" s="524"/>
      <c r="X187" s="256"/>
      <c r="Y187" s="252"/>
      <c r="Z187" s="252">
        <f>IF(ISBLANK(O187),"",IF(O187="ACT",1,-1))</f>
        <v>1</v>
      </c>
      <c r="AA187" s="257"/>
      <c r="AB187" s="239"/>
      <c r="AC187" s="244"/>
      <c r="AD187" s="244"/>
      <c r="AE187" s="256"/>
      <c r="AF187" s="256"/>
    </row>
    <row r="188" spans="1:32" x14ac:dyDescent="0.3">
      <c r="A188" s="244"/>
      <c r="D188" s="512"/>
      <c r="E188" s="513"/>
      <c r="F188" s="515"/>
      <c r="G188" s="515"/>
      <c r="H188" s="540"/>
      <c r="I188" s="513"/>
      <c r="J188" s="255"/>
      <c r="K188" s="255"/>
      <c r="L188" s="513"/>
      <c r="M188" s="252" t="str">
        <f>M187</f>
        <v>RSDAHT</v>
      </c>
      <c r="N188" s="244"/>
      <c r="O188" s="244" t="str">
        <f>L185</f>
        <v>RSDELC</v>
      </c>
      <c r="P188" s="252"/>
      <c r="Q188" s="252"/>
      <c r="R188" s="525"/>
      <c r="S188" s="256"/>
      <c r="T188" s="256"/>
      <c r="U188" s="183"/>
      <c r="V188" s="252"/>
      <c r="W188" s="524"/>
      <c r="X188" s="256"/>
      <c r="Y188" s="252"/>
      <c r="Z188" s="252">
        <f>IF(ISBLANK(O188),"",IF(O188="ACT",1,-1))</f>
        <v>-1</v>
      </c>
      <c r="AA188" s="257"/>
      <c r="AB188" s="239"/>
      <c r="AC188" s="244"/>
      <c r="AD188" s="244"/>
      <c r="AE188" s="256"/>
      <c r="AF188" s="256"/>
    </row>
    <row r="189" spans="1:32" x14ac:dyDescent="0.3">
      <c r="A189" s="235"/>
      <c r="C189" s="528" t="str">
        <f>'RSD (DEA)'!Z101</f>
        <v>HP_ELC_01</v>
      </c>
      <c r="D189" s="512" t="str">
        <f>RSD_HeatingDemand!N189&amp;"_"&amp;C189</f>
        <v>RHHSB_HP_ELC_01</v>
      </c>
      <c r="E189" s="512" t="str">
        <f>"R"&amp;LEFT('RSD (DEA)'!AD101,2)&amp;IF(ISNUMBER(IFERROR(FIND("HTH",'RSD (DEA)'!Z101),IFERROR(FIND("HP",'RSD (DEA)'!Z101),"C"))),IF(IFERROR(FIND("HTH",'RSD (DEA)'!Z101),100)=100,"B","A"),"C")</f>
        <v>RHSB</v>
      </c>
      <c r="F189" s="515"/>
      <c r="G189" s="515"/>
      <c r="H189" s="540" t="str">
        <f>IF(LEFT(D189,LEN(D189)-2)=LEFT(D185,LEN(D189)-2),LEFT(D189,LEN(D189)-2)&amp;IF(RIGHT(H185,2)+1&lt;=9,"0"&amp;RIGHT(H185)+1,RIGHT(H185,2)+1),D189)</f>
        <v>RHHSB_HP_ELC_04</v>
      </c>
      <c r="I189" s="512" t="str">
        <f>'RSD (DEA)'!AA101</f>
        <v>Electric heat pumps, Air-to-air</v>
      </c>
      <c r="J189" s="242" t="s">
        <v>239</v>
      </c>
      <c r="K189" s="242" t="s">
        <v>240</v>
      </c>
      <c r="L189" s="512" t="str">
        <f>'RSD (DEA)'!AH101</f>
        <v>RSDELC</v>
      </c>
      <c r="M189" s="182" t="str">
        <f>'RSD (DEA)'!AI101</f>
        <v>RSDAHT</v>
      </c>
      <c r="N189" s="235" t="str">
        <f>LEFT('RSD (DEA)'!AJ101,2)&amp;RIGHT(E189,3)</f>
        <v>RHHSB</v>
      </c>
      <c r="O189" s="244"/>
      <c r="P189" s="182">
        <f>IF('RSD (DEA)'!P101&lt;RSD_HeatingDemand!$AH$15,RSD_HeatingDemand!$AH$15,'RSD (DEA)'!P101)</f>
        <v>2019</v>
      </c>
      <c r="Q189" s="182">
        <f>IF('RSD (DEA)'!X101&lt;RSD_HeatingDemand!$AH$15,RSD_HeatingDemand!$AH$15,'RSD (DEA)'!X101)</f>
        <v>2050</v>
      </c>
      <c r="R189" s="525">
        <f>IF(ISBLANK(I189),IF(MID(N189,2,2)="HA",VLOOKUP(I188,KEY_RSD_AF!$C$5:$G$52,2,FALSE),IF(MID(N189,2,2)="WA",VLOOKUP(I188,KEY_RSD_AF!$C$5:$G$52,3,FALSE),IF(MID(N189,2,2)="HH",VLOOKUP(I188,KEY_RSD_AF!$C$5:$G$52,4,FALSE),IF(MID(N189,2,2)="WH",VLOOKUP(I188,KEY_RSD_AF!$C$5:$G$52,5,FALSE))))),IF(MID(N189,2,2)="HA",VLOOKUP(I189,KEY_RSD_AF!$C$5:$G$52,2,FALSE),IF(MID(N189,2,2)="WA",VLOOKUP(I189,KEY_RSD_AF!$C$5:$G$52,3,FALSE),IF(MID(N189,2,2)="HH",VLOOKUP(I189,KEY_RSD_AF!$C$5:$G$52,4,FALSE),IF(MID(N189,2,2)="WH",VLOOKUP(I189,KEY_RSD_AF!$C$5:$G$52,5,FALSE))))))</f>
        <v>1</v>
      </c>
      <c r="S189" s="183">
        <f>'RSD (DEA)'!AZ101</f>
        <v>4.2</v>
      </c>
      <c r="T189" s="183">
        <f>'RSD (DEA)'!BA101</f>
        <v>4.2</v>
      </c>
      <c r="U189" s="183">
        <v>0.5</v>
      </c>
      <c r="V189" s="182">
        <f>'RSD (DEA)'!BR101/'RSD (DEA)'!S101</f>
        <v>22</v>
      </c>
      <c r="W189" s="184">
        <f>'RSD (DEA)'!BS101/RSD_HeatingDemand!$AH$9</f>
        <v>0</v>
      </c>
      <c r="X189" s="183">
        <f>'RSD (DEA)'!BK101*RSD_HeatingDemand!$AH$10/'RSD (DEA)'!S101</f>
        <v>300</v>
      </c>
      <c r="Y189" s="182">
        <f>'RSD (DEA)'!BI101</f>
        <v>12</v>
      </c>
      <c r="Z189" s="252" t="str">
        <f>IF(ISBLANK(O189),"",IF(O189="ACT",1,-1))</f>
        <v/>
      </c>
      <c r="AA189" s="236">
        <f>'RSD (DEA)'!AM101</f>
        <v>31.536000000000001</v>
      </c>
      <c r="AB189" s="239"/>
      <c r="AC189" s="235">
        <f>'RSD (DEA)'!S101</f>
        <v>6</v>
      </c>
      <c r="AD189" s="235" t="str">
        <f>LEFT('RSD (DEA)'!AK101,2)&amp;RIGHT(E189,3)</f>
        <v>RWHSB</v>
      </c>
      <c r="AE189" s="183">
        <f>'RSD (DEA)'!BA101</f>
        <v>4.2</v>
      </c>
      <c r="AF189" s="183"/>
    </row>
    <row r="190" spans="1:32" x14ac:dyDescent="0.3">
      <c r="A190" s="235"/>
      <c r="D190" s="512"/>
      <c r="E190" s="512"/>
      <c r="F190" s="515"/>
      <c r="G190" s="515"/>
      <c r="H190" s="540"/>
      <c r="I190" s="512"/>
      <c r="J190" s="242"/>
      <c r="K190" s="242"/>
      <c r="L190" s="512"/>
      <c r="M190" s="182"/>
      <c r="N190" s="318" t="str">
        <f>AD189</f>
        <v>RWHSB</v>
      </c>
      <c r="O190" s="244"/>
      <c r="P190" s="182"/>
      <c r="Q190" s="182"/>
      <c r="R190" s="525">
        <f>IF(ISBLANK(I190),IF(MID(N190,2,2)="HA",VLOOKUP(I189,KEY_RSD_AF!$C$5:$G$52,2,FALSE),IF(MID(N190,2,2)="WA",VLOOKUP(I189,KEY_RSD_AF!$C$5:$G$52,3,FALSE),IF(MID(N190,2,2)="HH",VLOOKUP(I189,KEY_RSD_AF!$C$5:$G$52,4,FALSE),IF(MID(N190,2,2)="WH",VLOOKUP(I189,KEY_RSD_AF!$C$5:$G$52,5,FALSE))))),IF(MID(N190,2,2)="HA",VLOOKUP(I190,KEY_RSD_AF!$C$5:$G$52,2,FALSE),IF(MID(N190,2,2)="WA",VLOOKUP(I190,KEY_RSD_AF!$C$5:$G$52,3,FALSE),IF(MID(N190,2,2)="HH",VLOOKUP(I190,KEY_RSD_AF!$C$5:$G$52,4,FALSE),IF(MID(N190,2,2)="WH",VLOOKUP(I190,KEY_RSD_AF!$C$5:$G$52,5,FALSE))))))</f>
        <v>1</v>
      </c>
      <c r="S190" s="503">
        <f>T189</f>
        <v>4.2</v>
      </c>
      <c r="T190" s="183"/>
      <c r="U190" s="183"/>
      <c r="V190" s="182"/>
      <c r="W190" s="184"/>
      <c r="X190" s="183"/>
      <c r="Y190" s="182"/>
      <c r="Z190" s="252"/>
      <c r="AA190" s="236"/>
      <c r="AB190" s="239"/>
      <c r="AC190" s="235"/>
      <c r="AD190" s="235"/>
      <c r="AE190" s="183"/>
      <c r="AF190" s="183"/>
    </row>
    <row r="191" spans="1:32" x14ac:dyDescent="0.3">
      <c r="A191" s="244"/>
      <c r="D191" s="512"/>
      <c r="E191" s="513"/>
      <c r="F191" s="515"/>
      <c r="G191" s="515"/>
      <c r="H191" s="540"/>
      <c r="I191" s="513"/>
      <c r="J191" s="255"/>
      <c r="K191" s="255"/>
      <c r="L191" s="513"/>
      <c r="M191" s="252" t="str">
        <f>M189</f>
        <v>RSDAHT</v>
      </c>
      <c r="N191" s="244"/>
      <c r="O191" s="244" t="str">
        <f>$AH$12</f>
        <v>ACT</v>
      </c>
      <c r="P191" s="252"/>
      <c r="Q191" s="252"/>
      <c r="R191" s="525"/>
      <c r="S191" s="256"/>
      <c r="T191" s="256"/>
      <c r="U191" s="183"/>
      <c r="V191" s="252"/>
      <c r="W191" s="524"/>
      <c r="X191" s="256"/>
      <c r="Y191" s="252"/>
      <c r="Z191" s="252">
        <f t="shared" ref="Z191:Z199" si="5">IF(ISBLANK(O191),"",IF(O191="ACT",1,-1))</f>
        <v>1</v>
      </c>
      <c r="AA191" s="257"/>
      <c r="AB191" s="239"/>
      <c r="AC191" s="244"/>
      <c r="AD191" s="244"/>
      <c r="AE191" s="256"/>
      <c r="AF191" s="256"/>
    </row>
    <row r="192" spans="1:32" x14ac:dyDescent="0.3">
      <c r="A192" s="244"/>
      <c r="D192" s="512"/>
      <c r="E192" s="513"/>
      <c r="F192" s="515"/>
      <c r="G192" s="515"/>
      <c r="H192" s="540"/>
      <c r="I192" s="513"/>
      <c r="J192" s="255"/>
      <c r="K192" s="255"/>
      <c r="L192" s="513"/>
      <c r="M192" s="252" t="str">
        <f>M191</f>
        <v>RSDAHT</v>
      </c>
      <c r="N192" s="244"/>
      <c r="O192" s="244" t="str">
        <f>L189</f>
        <v>RSDELC</v>
      </c>
      <c r="P192" s="252"/>
      <c r="Q192" s="252"/>
      <c r="R192" s="525"/>
      <c r="S192" s="256"/>
      <c r="T192" s="256"/>
      <c r="U192" s="183"/>
      <c r="V192" s="252"/>
      <c r="W192" s="524"/>
      <c r="X192" s="256"/>
      <c r="Y192" s="252"/>
      <c r="Z192" s="252">
        <f t="shared" si="5"/>
        <v>-1</v>
      </c>
      <c r="AA192" s="257"/>
      <c r="AB192" s="239"/>
      <c r="AC192" s="244"/>
      <c r="AD192" s="244"/>
      <c r="AE192" s="256"/>
      <c r="AF192" s="256"/>
    </row>
    <row r="193" spans="1:32" x14ac:dyDescent="0.3">
      <c r="A193" s="235"/>
      <c r="C193" s="528" t="str">
        <f>'RSD (DEA)'!Z102</f>
        <v>HP_ELC_02</v>
      </c>
      <c r="D193" s="512" t="str">
        <f>RSD_HeatingDemand!N193&amp;"_"&amp;C193</f>
        <v>RHHSB_HP_ELC_02</v>
      </c>
      <c r="E193" s="512" t="str">
        <f>"R"&amp;LEFT('RSD (DEA)'!AD102,2)&amp;IF(ISNUMBER(IFERROR(FIND("HTH",'RSD (DEA)'!Z102),IFERROR(FIND("HP",'RSD (DEA)'!Z102),"C"))),IF(IFERROR(FIND("HTH",'RSD (DEA)'!Z102),100)=100,"B","A"),"C")</f>
        <v>RHSB</v>
      </c>
      <c r="F193" s="515"/>
      <c r="G193" s="515"/>
      <c r="H193" s="540" t="str">
        <f>IF(LEFT(D193,LEN(D193)-2)=LEFT(D189,LEN(D193)-2),LEFT(D193,LEN(D193)-2)&amp;IF(RIGHT(H189,2)+1&lt;=9,"0"&amp;RIGHT(H189)+1,RIGHT(H189,2)+1),D193)</f>
        <v>RHHSB_HP_ELC_05</v>
      </c>
      <c r="I193" s="512" t="str">
        <f>'RSD (DEA)'!AA102</f>
        <v>Electric heat pumps, Air-to-air</v>
      </c>
      <c r="J193" s="242" t="s">
        <v>239</v>
      </c>
      <c r="K193" s="242" t="s">
        <v>240</v>
      </c>
      <c r="L193" s="512" t="str">
        <f>'RSD (DEA)'!AH102</f>
        <v>RSDELC</v>
      </c>
      <c r="M193" s="182" t="str">
        <f>'RSD (DEA)'!AI102</f>
        <v>RSDAHT</v>
      </c>
      <c r="N193" s="235" t="str">
        <f>LEFT('RSD (DEA)'!AJ102,2)&amp;RIGHT(E193,3)</f>
        <v>RHHSB</v>
      </c>
      <c r="O193" s="244"/>
      <c r="P193" s="182">
        <f>IF('RSD (DEA)'!P102&lt;RSD_HeatingDemand!$AH$15,RSD_HeatingDemand!$AH$15,'RSD (DEA)'!P102)</f>
        <v>2019</v>
      </c>
      <c r="Q193" s="182">
        <f>IF('RSD (DEA)'!X102&lt;RSD_HeatingDemand!$AH$15,RSD_HeatingDemand!$AH$15,'RSD (DEA)'!X102)</f>
        <v>2019</v>
      </c>
      <c r="R193" s="525">
        <f>IF(ISBLANK(I193),IF(MID(N193,2,2)="HA",VLOOKUP(I192,KEY_RSD_AF!$C$5:$G$52,2,FALSE),IF(MID(N193,2,2)="WA",VLOOKUP(I192,KEY_RSD_AF!$C$5:$G$52,3,FALSE),IF(MID(N193,2,2)="HH",VLOOKUP(I192,KEY_RSD_AF!$C$5:$G$52,4,FALSE),IF(MID(N193,2,2)="WH",VLOOKUP(I192,KEY_RSD_AF!$C$5:$G$52,5,FALSE))))),IF(MID(N193,2,2)="HA",VLOOKUP(I193,KEY_RSD_AF!$C$5:$G$52,2,FALSE),IF(MID(N193,2,2)="WA",VLOOKUP(I193,KEY_RSD_AF!$C$5:$G$52,3,FALSE),IF(MID(N193,2,2)="HH",VLOOKUP(I193,KEY_RSD_AF!$C$5:$G$52,4,FALSE),IF(MID(N193,2,2)="WH",VLOOKUP(I193,KEY_RSD_AF!$C$5:$G$52,5,FALSE))))))</f>
        <v>1</v>
      </c>
      <c r="S193" s="183">
        <f>'RSD (DEA)'!AZ102</f>
        <v>4.8</v>
      </c>
      <c r="T193" s="183">
        <f>'RSD (DEA)'!BA102</f>
        <v>4.8</v>
      </c>
      <c r="U193" s="183">
        <v>0.5</v>
      </c>
      <c r="V193" s="182">
        <f>'RSD (DEA)'!BR102/'RSD (DEA)'!S102</f>
        <v>68</v>
      </c>
      <c r="W193" s="184">
        <f>'RSD (DEA)'!BS102/RSD_HeatingDemand!$AH$9</f>
        <v>0</v>
      </c>
      <c r="X193" s="183">
        <f>'RSD (DEA)'!BK102*RSD_HeatingDemand!$AH$10/'RSD (DEA)'!S102</f>
        <v>480</v>
      </c>
      <c r="Y193" s="182">
        <f>'RSD (DEA)'!BI102</f>
        <v>12</v>
      </c>
      <c r="Z193" s="252" t="str">
        <f t="shared" si="5"/>
        <v/>
      </c>
      <c r="AA193" s="236">
        <f>'RSD (DEA)'!AM102</f>
        <v>31.536000000000001</v>
      </c>
      <c r="AB193" s="239"/>
      <c r="AC193" s="235">
        <f>'RSD (DEA)'!S102</f>
        <v>2.5</v>
      </c>
      <c r="AD193" s="235"/>
      <c r="AE193" s="183">
        <f>'RSD (DEA)'!BA102</f>
        <v>4.8</v>
      </c>
      <c r="AF193" s="183"/>
    </row>
    <row r="194" spans="1:32" x14ac:dyDescent="0.3">
      <c r="A194" s="244"/>
      <c r="D194" s="512"/>
      <c r="E194" s="513"/>
      <c r="F194" s="515"/>
      <c r="G194" s="515"/>
      <c r="H194" s="540"/>
      <c r="I194" s="513"/>
      <c r="J194" s="255"/>
      <c r="K194" s="255"/>
      <c r="L194" s="513"/>
      <c r="M194" s="252" t="str">
        <f>M193</f>
        <v>RSDAHT</v>
      </c>
      <c r="N194" s="244"/>
      <c r="O194" s="244" t="str">
        <f>$AH$12</f>
        <v>ACT</v>
      </c>
      <c r="P194" s="252"/>
      <c r="Q194" s="252"/>
      <c r="R194" s="525"/>
      <c r="S194" s="256"/>
      <c r="T194" s="256"/>
      <c r="U194" s="183"/>
      <c r="V194" s="252"/>
      <c r="W194" s="524"/>
      <c r="X194" s="256"/>
      <c r="Y194" s="252"/>
      <c r="Z194" s="252">
        <f t="shared" si="5"/>
        <v>1</v>
      </c>
      <c r="AA194" s="257"/>
      <c r="AB194" s="239"/>
      <c r="AC194" s="244"/>
      <c r="AD194" s="244"/>
      <c r="AE194" s="256"/>
      <c r="AF194" s="256"/>
    </row>
    <row r="195" spans="1:32" x14ac:dyDescent="0.3">
      <c r="A195" s="244"/>
      <c r="D195" s="512"/>
      <c r="E195" s="513"/>
      <c r="F195" s="515"/>
      <c r="G195" s="515"/>
      <c r="H195" s="540"/>
      <c r="I195" s="513"/>
      <c r="J195" s="255"/>
      <c r="K195" s="255"/>
      <c r="L195" s="513"/>
      <c r="M195" s="252" t="str">
        <f>M194</f>
        <v>RSDAHT</v>
      </c>
      <c r="N195" s="244"/>
      <c r="O195" s="244" t="str">
        <f>L193</f>
        <v>RSDELC</v>
      </c>
      <c r="P195" s="252"/>
      <c r="Q195" s="252"/>
      <c r="R195" s="525"/>
      <c r="S195" s="256"/>
      <c r="T195" s="256"/>
      <c r="U195" s="183"/>
      <c r="V195" s="252"/>
      <c r="W195" s="524"/>
      <c r="X195" s="256"/>
      <c r="Y195" s="252"/>
      <c r="Z195" s="252">
        <f t="shared" si="5"/>
        <v>-1</v>
      </c>
      <c r="AA195" s="257"/>
      <c r="AB195" s="239"/>
      <c r="AC195" s="244"/>
      <c r="AD195" s="244"/>
      <c r="AE195" s="256"/>
      <c r="AF195" s="256"/>
    </row>
    <row r="196" spans="1:32" x14ac:dyDescent="0.3">
      <c r="A196" s="235"/>
      <c r="C196" s="528" t="str">
        <f>'RSD (DEA)'!Z103</f>
        <v>HP_ELC_02</v>
      </c>
      <c r="D196" s="512" t="str">
        <f>RSD_HeatingDemand!N196&amp;"_"&amp;C196</f>
        <v>RHHSB_HP_ELC_02</v>
      </c>
      <c r="E196" s="512" t="str">
        <f>"R"&amp;LEFT('RSD (DEA)'!AD103,2)&amp;IF(ISNUMBER(IFERROR(FIND("HTH",'RSD (DEA)'!Z103),IFERROR(FIND("HP",'RSD (DEA)'!Z103),"C"))),IF(IFERROR(FIND("HTH",'RSD (DEA)'!Z103),100)=100,"B","A"),"C")</f>
        <v>RHSB</v>
      </c>
      <c r="F196" s="515"/>
      <c r="G196" s="515"/>
      <c r="H196" s="540" t="str">
        <f>IF(LEFT(D196,LEN(D196)-2)=LEFT(D193,LEN(D196)-2),LEFT(D196,LEN(D196)-2)&amp;IF(RIGHT(H193,2)+1&lt;=9,"0"&amp;RIGHT(H193)+1,RIGHT(H193,2)+1),D196)</f>
        <v>RHHSB_HP_ELC_06</v>
      </c>
      <c r="I196" s="512" t="str">
        <f>'RSD (DEA)'!AA103</f>
        <v>Electric heat pumps, Air-to-air</v>
      </c>
      <c r="J196" s="242" t="s">
        <v>239</v>
      </c>
      <c r="K196" s="242" t="s">
        <v>240</v>
      </c>
      <c r="L196" s="512" t="str">
        <f>'RSD (DEA)'!AH103</f>
        <v>RSDELC</v>
      </c>
      <c r="M196" s="182" t="str">
        <f>'RSD (DEA)'!AI103</f>
        <v>RSDAHT</v>
      </c>
      <c r="N196" s="235" t="str">
        <f>LEFT('RSD (DEA)'!AJ103,2)&amp;RIGHT(E196,3)</f>
        <v>RHHSB</v>
      </c>
      <c r="O196" s="244"/>
      <c r="P196" s="182">
        <f>IF('RSD (DEA)'!P103&lt;RSD_HeatingDemand!$AH$15,RSD_HeatingDemand!$AH$15,'RSD (DEA)'!P103)</f>
        <v>2019</v>
      </c>
      <c r="Q196" s="182">
        <f>IF('RSD (DEA)'!X103&lt;RSD_HeatingDemand!$AH$15,RSD_HeatingDemand!$AH$15,'RSD (DEA)'!X103)</f>
        <v>2020</v>
      </c>
      <c r="R196" s="525">
        <f>IF(ISBLANK(I196),IF(MID(N196,2,2)="HA",VLOOKUP(I195,KEY_RSD_AF!$C$5:$G$52,2,FALSE),IF(MID(N196,2,2)="WA",VLOOKUP(I195,KEY_RSD_AF!$C$5:$G$52,3,FALSE),IF(MID(N196,2,2)="HH",VLOOKUP(I195,KEY_RSD_AF!$C$5:$G$52,4,FALSE),IF(MID(N196,2,2)="WH",VLOOKUP(I195,KEY_RSD_AF!$C$5:$G$52,5,FALSE))))),IF(MID(N196,2,2)="HA",VLOOKUP(I196,KEY_RSD_AF!$C$5:$G$52,2,FALSE),IF(MID(N196,2,2)="WA",VLOOKUP(I196,KEY_RSD_AF!$C$5:$G$52,3,FALSE),IF(MID(N196,2,2)="HH",VLOOKUP(I196,KEY_RSD_AF!$C$5:$G$52,4,FALSE),IF(MID(N196,2,2)="WH",VLOOKUP(I196,KEY_RSD_AF!$C$5:$G$52,5,FALSE))))))</f>
        <v>1</v>
      </c>
      <c r="S196" s="183">
        <f>'RSD (DEA)'!AZ103</f>
        <v>4.9000000000000004</v>
      </c>
      <c r="T196" s="183">
        <f>'RSD (DEA)'!BA103</f>
        <v>4.9000000000000004</v>
      </c>
      <c r="U196" s="183">
        <v>0.5</v>
      </c>
      <c r="V196" s="182">
        <f>'RSD (DEA)'!BR103/'RSD (DEA)'!S103</f>
        <v>64.8</v>
      </c>
      <c r="W196" s="184">
        <f>'RSD (DEA)'!BS103/RSD_HeatingDemand!$AH$9</f>
        <v>0</v>
      </c>
      <c r="X196" s="183">
        <f>'RSD (DEA)'!BK103*RSD_HeatingDemand!$AH$10/'RSD (DEA)'!S103</f>
        <v>480</v>
      </c>
      <c r="Y196" s="182">
        <f>'RSD (DEA)'!BI103</f>
        <v>12</v>
      </c>
      <c r="Z196" s="252" t="str">
        <f t="shared" si="5"/>
        <v/>
      </c>
      <c r="AA196" s="236">
        <f>'RSD (DEA)'!AM103</f>
        <v>31.536000000000001</v>
      </c>
      <c r="AB196" s="239"/>
      <c r="AC196" s="235">
        <f>'RSD (DEA)'!S103</f>
        <v>2.5</v>
      </c>
      <c r="AD196" s="235"/>
      <c r="AE196" s="183">
        <f>'RSD (DEA)'!BA103</f>
        <v>4.9000000000000004</v>
      </c>
      <c r="AF196" s="183"/>
    </row>
    <row r="197" spans="1:32" x14ac:dyDescent="0.3">
      <c r="A197" s="244"/>
      <c r="D197" s="512"/>
      <c r="E197" s="513"/>
      <c r="F197" s="515"/>
      <c r="G197" s="515"/>
      <c r="H197" s="540"/>
      <c r="I197" s="513"/>
      <c r="J197" s="255"/>
      <c r="K197" s="255"/>
      <c r="L197" s="513"/>
      <c r="M197" s="252" t="str">
        <f>M196</f>
        <v>RSDAHT</v>
      </c>
      <c r="N197" s="244"/>
      <c r="O197" s="244" t="str">
        <f>$AH$12</f>
        <v>ACT</v>
      </c>
      <c r="P197" s="252"/>
      <c r="Q197" s="252"/>
      <c r="R197" s="525"/>
      <c r="S197" s="256"/>
      <c r="T197" s="256"/>
      <c r="U197" s="183"/>
      <c r="V197" s="252"/>
      <c r="W197" s="524"/>
      <c r="X197" s="256"/>
      <c r="Y197" s="252"/>
      <c r="Z197" s="252">
        <f t="shared" si="5"/>
        <v>1</v>
      </c>
      <c r="AA197" s="257"/>
      <c r="AB197" s="239"/>
      <c r="AC197" s="244"/>
      <c r="AD197" s="244"/>
      <c r="AE197" s="256"/>
      <c r="AF197" s="256"/>
    </row>
    <row r="198" spans="1:32" x14ac:dyDescent="0.3">
      <c r="A198" s="244"/>
      <c r="D198" s="512"/>
      <c r="E198" s="513"/>
      <c r="F198" s="515"/>
      <c r="G198" s="515"/>
      <c r="H198" s="540"/>
      <c r="I198" s="513"/>
      <c r="J198" s="255"/>
      <c r="K198" s="255"/>
      <c r="L198" s="513"/>
      <c r="M198" s="252" t="str">
        <f>M197</f>
        <v>RSDAHT</v>
      </c>
      <c r="N198" s="244"/>
      <c r="O198" s="244" t="str">
        <f>L196</f>
        <v>RSDELC</v>
      </c>
      <c r="P198" s="252"/>
      <c r="Q198" s="252"/>
      <c r="R198" s="525"/>
      <c r="S198" s="256"/>
      <c r="T198" s="256"/>
      <c r="U198" s="183"/>
      <c r="V198" s="252"/>
      <c r="W198" s="524"/>
      <c r="X198" s="256"/>
      <c r="Y198" s="252"/>
      <c r="Z198" s="252">
        <f t="shared" si="5"/>
        <v>-1</v>
      </c>
      <c r="AA198" s="257"/>
      <c r="AB198" s="239"/>
      <c r="AC198" s="244"/>
      <c r="AD198" s="244"/>
      <c r="AE198" s="256"/>
      <c r="AF198" s="256"/>
    </row>
    <row r="199" spans="1:32" x14ac:dyDescent="0.3">
      <c r="A199" s="235"/>
      <c r="C199" s="528" t="str">
        <f>'RSD (DEA)'!Z104</f>
        <v>HP_ELC_02</v>
      </c>
      <c r="D199" s="512" t="str">
        <f>RSD_HeatingDemand!N199&amp;"_"&amp;C199</f>
        <v>RHHSB_HP_ELC_02</v>
      </c>
      <c r="E199" s="512" t="str">
        <f>"R"&amp;LEFT('RSD (DEA)'!AD104,2)&amp;IF(ISNUMBER(IFERROR(FIND("HTH",'RSD (DEA)'!Z104),IFERROR(FIND("HP",'RSD (DEA)'!Z104),"C"))),IF(IFERROR(FIND("HTH",'RSD (DEA)'!Z104),100)=100,"B","A"),"C")</f>
        <v>RHSB</v>
      </c>
      <c r="F199" s="515"/>
      <c r="G199" s="515"/>
      <c r="H199" s="540" t="str">
        <f>IF(LEFT(D199,LEN(D199)-2)=LEFT(D196,LEN(D199)-2),LEFT(D199,LEN(D199)-2)&amp;IF(RIGHT(H196,2)+1&lt;=9,"0"&amp;RIGHT(H196)+1,RIGHT(H196,2)+1),D199)</f>
        <v>RHHSB_HP_ELC_07</v>
      </c>
      <c r="I199" s="512" t="str">
        <f>'RSD (DEA)'!AA104</f>
        <v>Electric heat pumps, Air-to-air</v>
      </c>
      <c r="J199" s="242" t="s">
        <v>239</v>
      </c>
      <c r="K199" s="242" t="s">
        <v>240</v>
      </c>
      <c r="L199" s="512" t="str">
        <f>'RSD (DEA)'!AH104</f>
        <v>RSDELC</v>
      </c>
      <c r="M199" s="182" t="str">
        <f>'RSD (DEA)'!AI104</f>
        <v>RSDAHT</v>
      </c>
      <c r="N199" s="235" t="str">
        <f>LEFT('RSD (DEA)'!AJ104,2)&amp;RIGHT(E199,3)</f>
        <v>RHHSB</v>
      </c>
      <c r="O199" s="244"/>
      <c r="P199" s="182">
        <f>IF('RSD (DEA)'!P104&lt;RSD_HeatingDemand!$AH$15,RSD_HeatingDemand!$AH$15,'RSD (DEA)'!P104)</f>
        <v>2019</v>
      </c>
      <c r="Q199" s="182">
        <f>IF('RSD (DEA)'!X104&lt;RSD_HeatingDemand!$AH$15,RSD_HeatingDemand!$AH$15,'RSD (DEA)'!X104)</f>
        <v>2030</v>
      </c>
      <c r="R199" s="525">
        <f>IF(ISBLANK(I199),IF(MID(N199,2,2)="HA",VLOOKUP(I198,KEY_RSD_AF!$C$5:$G$52,2,FALSE),IF(MID(N199,2,2)="WA",VLOOKUP(I198,KEY_RSD_AF!$C$5:$G$52,3,FALSE),IF(MID(N199,2,2)="HH",VLOOKUP(I198,KEY_RSD_AF!$C$5:$G$52,4,FALSE),IF(MID(N199,2,2)="WH",VLOOKUP(I198,KEY_RSD_AF!$C$5:$G$52,5,FALSE))))),IF(MID(N199,2,2)="HA",VLOOKUP(I199,KEY_RSD_AF!$C$5:$G$52,2,FALSE),IF(MID(N199,2,2)="WA",VLOOKUP(I199,KEY_RSD_AF!$C$5:$G$52,3,FALSE),IF(MID(N199,2,2)="HH",VLOOKUP(I199,KEY_RSD_AF!$C$5:$G$52,4,FALSE),IF(MID(N199,2,2)="WH",VLOOKUP(I199,KEY_RSD_AF!$C$5:$G$52,5,FALSE))))))</f>
        <v>1</v>
      </c>
      <c r="S199" s="183">
        <f>'RSD (DEA)'!AZ104</f>
        <v>3.4</v>
      </c>
      <c r="T199" s="183">
        <f>'RSD (DEA)'!BA104</f>
        <v>3.4</v>
      </c>
      <c r="U199" s="183">
        <v>0.5</v>
      </c>
      <c r="V199" s="182">
        <f>'RSD (DEA)'!BR104/'RSD (DEA)'!S104</f>
        <v>41.714285714285715</v>
      </c>
      <c r="W199" s="184">
        <f>'RSD (DEA)'!BS104/RSD_HeatingDemand!$AH$9</f>
        <v>0</v>
      </c>
      <c r="X199" s="183">
        <f>'RSD (DEA)'!BK104*RSD_HeatingDemand!$AH$10/'RSD (DEA)'!S104</f>
        <v>571.42857142857144</v>
      </c>
      <c r="Y199" s="182">
        <f>'RSD (DEA)'!BI104</f>
        <v>12</v>
      </c>
      <c r="Z199" s="252" t="str">
        <f t="shared" si="5"/>
        <v/>
      </c>
      <c r="AA199" s="236">
        <f>'RSD (DEA)'!AM104</f>
        <v>31.536000000000001</v>
      </c>
      <c r="AB199" s="239"/>
      <c r="AC199" s="235">
        <f>'RSD (DEA)'!S104</f>
        <v>3.5</v>
      </c>
      <c r="AD199" s="235" t="str">
        <f>LEFT('RSD (DEA)'!AK104,2)&amp;RIGHT(E199,3)</f>
        <v>RWHSB</v>
      </c>
      <c r="AE199" s="183">
        <f>'RSD (DEA)'!BA104</f>
        <v>3.4</v>
      </c>
      <c r="AF199" s="183"/>
    </row>
    <row r="200" spans="1:32" x14ac:dyDescent="0.3">
      <c r="A200" s="235"/>
      <c r="D200" s="512"/>
      <c r="E200" s="512"/>
      <c r="F200" s="515"/>
      <c r="G200" s="515"/>
      <c r="H200" s="540"/>
      <c r="I200" s="512"/>
      <c r="J200" s="242"/>
      <c r="K200" s="242"/>
      <c r="L200" s="512"/>
      <c r="M200" s="182"/>
      <c r="N200" s="318" t="str">
        <f>AD199</f>
        <v>RWHSB</v>
      </c>
      <c r="O200" s="244"/>
      <c r="P200" s="182"/>
      <c r="Q200" s="182"/>
      <c r="R200" s="525">
        <f>IF(ISBLANK(I200),IF(MID(N200,2,2)="HA",VLOOKUP(I199,KEY_RSD_AF!$C$5:$G$52,2,FALSE),IF(MID(N200,2,2)="WA",VLOOKUP(I199,KEY_RSD_AF!$C$5:$G$52,3,FALSE),IF(MID(N200,2,2)="HH",VLOOKUP(I199,KEY_RSD_AF!$C$5:$G$52,4,FALSE),IF(MID(N200,2,2)="WH",VLOOKUP(I199,KEY_RSD_AF!$C$5:$G$52,5,FALSE))))),IF(MID(N200,2,2)="HA",VLOOKUP(I200,KEY_RSD_AF!$C$5:$G$52,2,FALSE),IF(MID(N200,2,2)="WA",VLOOKUP(I200,KEY_RSD_AF!$C$5:$G$52,3,FALSE),IF(MID(N200,2,2)="HH",VLOOKUP(I200,KEY_RSD_AF!$C$5:$G$52,4,FALSE),IF(MID(N200,2,2)="WH",VLOOKUP(I200,KEY_RSD_AF!$C$5:$G$52,5,FALSE))))))</f>
        <v>1</v>
      </c>
      <c r="S200" s="503">
        <f>T199</f>
        <v>3.4</v>
      </c>
      <c r="T200" s="183"/>
      <c r="U200" s="183"/>
      <c r="V200" s="182"/>
      <c r="W200" s="184"/>
      <c r="X200" s="183"/>
      <c r="Y200" s="182"/>
      <c r="Z200" s="252"/>
      <c r="AA200" s="236"/>
      <c r="AB200" s="239"/>
      <c r="AC200" s="235"/>
      <c r="AD200" s="235"/>
      <c r="AE200" s="183"/>
      <c r="AF200" s="183"/>
    </row>
    <row r="201" spans="1:32" x14ac:dyDescent="0.3">
      <c r="A201" s="244"/>
      <c r="D201" s="512"/>
      <c r="E201" s="513"/>
      <c r="F201" s="515"/>
      <c r="G201" s="515"/>
      <c r="H201" s="540"/>
      <c r="I201" s="513"/>
      <c r="J201" s="255"/>
      <c r="K201" s="255"/>
      <c r="L201" s="513"/>
      <c r="M201" s="252" t="str">
        <f>M199</f>
        <v>RSDAHT</v>
      </c>
      <c r="N201" s="244"/>
      <c r="O201" s="244" t="str">
        <f>$AH$12</f>
        <v>ACT</v>
      </c>
      <c r="P201" s="252"/>
      <c r="Q201" s="252"/>
      <c r="R201" s="525"/>
      <c r="S201" s="256"/>
      <c r="T201" s="256"/>
      <c r="U201" s="183"/>
      <c r="V201" s="252"/>
      <c r="W201" s="524"/>
      <c r="X201" s="256"/>
      <c r="Y201" s="252"/>
      <c r="Z201" s="252">
        <f>IF(ISBLANK(O201),"",IF(O201="ACT",1,-1))</f>
        <v>1</v>
      </c>
      <c r="AA201" s="257"/>
      <c r="AB201" s="239"/>
      <c r="AC201" s="244"/>
      <c r="AD201" s="244"/>
      <c r="AE201" s="256"/>
      <c r="AF201" s="256"/>
    </row>
    <row r="202" spans="1:32" x14ac:dyDescent="0.3">
      <c r="A202" s="244"/>
      <c r="D202" s="512"/>
      <c r="E202" s="513"/>
      <c r="F202" s="515"/>
      <c r="G202" s="515"/>
      <c r="H202" s="540"/>
      <c r="I202" s="513"/>
      <c r="J202" s="255"/>
      <c r="K202" s="255"/>
      <c r="L202" s="513"/>
      <c r="M202" s="252" t="str">
        <f>M201</f>
        <v>RSDAHT</v>
      </c>
      <c r="N202" s="244"/>
      <c r="O202" s="244" t="str">
        <f>L199</f>
        <v>RSDELC</v>
      </c>
      <c r="P202" s="252"/>
      <c r="Q202" s="252"/>
      <c r="R202" s="525"/>
      <c r="S202" s="256"/>
      <c r="T202" s="256"/>
      <c r="U202" s="183"/>
      <c r="V202" s="252"/>
      <c r="W202" s="524"/>
      <c r="X202" s="256"/>
      <c r="Y202" s="252"/>
      <c r="Z202" s="252">
        <f>IF(ISBLANK(O202),"",IF(O202="ACT",1,-1))</f>
        <v>-1</v>
      </c>
      <c r="AA202" s="257"/>
      <c r="AB202" s="239"/>
      <c r="AC202" s="244"/>
      <c r="AD202" s="244"/>
      <c r="AE202" s="256"/>
      <c r="AF202" s="256"/>
    </row>
    <row r="203" spans="1:32" x14ac:dyDescent="0.3">
      <c r="A203" s="235"/>
      <c r="C203" s="528" t="str">
        <f>'RSD (DEA)'!Z105</f>
        <v>HP_ELC_02</v>
      </c>
      <c r="D203" s="512" t="str">
        <f>RSD_HeatingDemand!N203&amp;"_"&amp;C203</f>
        <v>RHHSB_HP_ELC_02</v>
      </c>
      <c r="E203" s="512" t="str">
        <f>"R"&amp;LEFT('RSD (DEA)'!AD105,2)&amp;IF(ISNUMBER(IFERROR(FIND("HTH",'RSD (DEA)'!Z105),IFERROR(FIND("HP",'RSD (DEA)'!Z105),"C"))),IF(IFERROR(FIND("HTH",'RSD (DEA)'!Z105),100)=100,"B","A"),"C")</f>
        <v>RHSB</v>
      </c>
      <c r="F203" s="515"/>
      <c r="G203" s="515"/>
      <c r="H203" s="540" t="str">
        <f>IF(LEFT(D203,LEN(D203)-2)=LEFT(D199,LEN(D203)-2),LEFT(D203,LEN(D203)-2)&amp;IF(RIGHT(H199,2)+1&lt;=9,"0"&amp;RIGHT(H199)+1,RIGHT(H199,2)+1),D203)</f>
        <v>RHHSB_HP_ELC_08</v>
      </c>
      <c r="I203" s="512" t="str">
        <f>'RSD (DEA)'!AA105</f>
        <v>Electric heat pumps, Air-to-air</v>
      </c>
      <c r="J203" s="242" t="s">
        <v>239</v>
      </c>
      <c r="K203" s="242" t="s">
        <v>240</v>
      </c>
      <c r="L203" s="512" t="str">
        <f>'RSD (DEA)'!AH105</f>
        <v>RSDELC</v>
      </c>
      <c r="M203" s="182" t="str">
        <f>'RSD (DEA)'!AI105</f>
        <v>RSDAHT</v>
      </c>
      <c r="N203" s="235" t="str">
        <f>LEFT('RSD (DEA)'!AJ105,2)&amp;RIGHT(E203,3)</f>
        <v>RHHSB</v>
      </c>
      <c r="O203" s="244"/>
      <c r="P203" s="182">
        <f>IF('RSD (DEA)'!P105&lt;RSD_HeatingDemand!$AH$15,RSD_HeatingDemand!$AH$15,'RSD (DEA)'!P105)</f>
        <v>2019</v>
      </c>
      <c r="Q203" s="182">
        <f>IF('RSD (DEA)'!X105&lt;RSD_HeatingDemand!$AH$15,RSD_HeatingDemand!$AH$15,'RSD (DEA)'!X105)</f>
        <v>2050</v>
      </c>
      <c r="R203" s="525">
        <f>IF(ISBLANK(I203),IF(MID(N203,2,2)="HA",VLOOKUP(I202,KEY_RSD_AF!$C$5:$G$52,2,FALSE),IF(MID(N203,2,2)="WA",VLOOKUP(I202,KEY_RSD_AF!$C$5:$G$52,3,FALSE),IF(MID(N203,2,2)="HH",VLOOKUP(I202,KEY_RSD_AF!$C$5:$G$52,4,FALSE),IF(MID(N203,2,2)="WH",VLOOKUP(I202,KEY_RSD_AF!$C$5:$G$52,5,FALSE))))),IF(MID(N203,2,2)="HA",VLOOKUP(I203,KEY_RSD_AF!$C$5:$G$52,2,FALSE),IF(MID(N203,2,2)="WA",VLOOKUP(I203,KEY_RSD_AF!$C$5:$G$52,3,FALSE),IF(MID(N203,2,2)="HH",VLOOKUP(I203,KEY_RSD_AF!$C$5:$G$52,4,FALSE),IF(MID(N203,2,2)="WH",VLOOKUP(I203,KEY_RSD_AF!$C$5:$G$52,5,FALSE))))))</f>
        <v>1</v>
      </c>
      <c r="S203" s="183">
        <f>'RSD (DEA)'!AZ105</f>
        <v>3.6</v>
      </c>
      <c r="T203" s="183">
        <f>'RSD (DEA)'!BA105</f>
        <v>3.6</v>
      </c>
      <c r="U203" s="183">
        <v>0.5</v>
      </c>
      <c r="V203" s="182">
        <f>'RSD (DEA)'!BR105/'RSD (DEA)'!S105</f>
        <v>37.714285714285715</v>
      </c>
      <c r="W203" s="184">
        <f>'RSD (DEA)'!BS105/RSD_HeatingDemand!$AH$9</f>
        <v>0</v>
      </c>
      <c r="X203" s="183">
        <f>'RSD (DEA)'!BK105*RSD_HeatingDemand!$AH$10/'RSD (DEA)'!S105</f>
        <v>571.42857142857144</v>
      </c>
      <c r="Y203" s="182">
        <f>'RSD (DEA)'!BI105</f>
        <v>12</v>
      </c>
      <c r="Z203" s="252" t="str">
        <f>IF(ISBLANK(O203),"",IF(O203="ACT",1,-1))</f>
        <v/>
      </c>
      <c r="AA203" s="236">
        <f>'RSD (DEA)'!AM105</f>
        <v>31.536000000000001</v>
      </c>
      <c r="AB203" s="239"/>
      <c r="AC203" s="235">
        <f>'RSD (DEA)'!S105</f>
        <v>3.5</v>
      </c>
      <c r="AD203" s="235" t="str">
        <f>LEFT('RSD (DEA)'!AK105,2)&amp;RIGHT(E203,3)</f>
        <v>RWHSB</v>
      </c>
      <c r="AE203" s="183">
        <f>'RSD (DEA)'!BA105</f>
        <v>3.6</v>
      </c>
      <c r="AF203" s="183"/>
    </row>
    <row r="204" spans="1:32" x14ac:dyDescent="0.3">
      <c r="A204" s="235"/>
      <c r="D204" s="512"/>
      <c r="E204" s="512"/>
      <c r="F204" s="515"/>
      <c r="G204" s="515"/>
      <c r="H204" s="540"/>
      <c r="I204" s="512"/>
      <c r="J204" s="242"/>
      <c r="K204" s="242"/>
      <c r="L204" s="512"/>
      <c r="M204" s="182"/>
      <c r="N204" s="318" t="str">
        <f>AD203</f>
        <v>RWHSB</v>
      </c>
      <c r="O204" s="244"/>
      <c r="P204" s="182"/>
      <c r="Q204" s="182"/>
      <c r="R204" s="525">
        <f>IF(ISBLANK(I204),IF(MID(N204,2,2)="HA",VLOOKUP(I203,KEY_RSD_AF!$C$5:$G$52,2,FALSE),IF(MID(N204,2,2)="WA",VLOOKUP(I203,KEY_RSD_AF!$C$5:$G$52,3,FALSE),IF(MID(N204,2,2)="HH",VLOOKUP(I203,KEY_RSD_AF!$C$5:$G$52,4,FALSE),IF(MID(N204,2,2)="WH",VLOOKUP(I203,KEY_RSD_AF!$C$5:$G$52,5,FALSE))))),IF(MID(N204,2,2)="HA",VLOOKUP(I204,KEY_RSD_AF!$C$5:$G$52,2,FALSE),IF(MID(N204,2,2)="WA",VLOOKUP(I204,KEY_RSD_AF!$C$5:$G$52,3,FALSE),IF(MID(N204,2,2)="HH",VLOOKUP(I204,KEY_RSD_AF!$C$5:$G$52,4,FALSE),IF(MID(N204,2,2)="WH",VLOOKUP(I204,KEY_RSD_AF!$C$5:$G$52,5,FALSE))))))</f>
        <v>1</v>
      </c>
      <c r="S204" s="503">
        <f>T203</f>
        <v>3.6</v>
      </c>
      <c r="T204" s="183"/>
      <c r="U204" s="183"/>
      <c r="V204" s="182"/>
      <c r="W204" s="184"/>
      <c r="X204" s="183"/>
      <c r="Y204" s="182"/>
      <c r="Z204" s="252"/>
      <c r="AA204" s="236"/>
      <c r="AB204" s="239"/>
      <c r="AC204" s="235"/>
      <c r="AD204" s="235"/>
      <c r="AE204" s="183"/>
      <c r="AF204" s="183"/>
    </row>
    <row r="205" spans="1:32" x14ac:dyDescent="0.3">
      <c r="A205" s="244"/>
      <c r="D205" s="512"/>
      <c r="E205" s="513"/>
      <c r="F205" s="515"/>
      <c r="G205" s="515"/>
      <c r="H205" s="540"/>
      <c r="I205" s="513"/>
      <c r="J205" s="255"/>
      <c r="K205" s="255"/>
      <c r="L205" s="513"/>
      <c r="M205" s="252" t="str">
        <f>M203</f>
        <v>RSDAHT</v>
      </c>
      <c r="N205" s="244"/>
      <c r="O205" s="244" t="str">
        <f>$AH$12</f>
        <v>ACT</v>
      </c>
      <c r="P205" s="252"/>
      <c r="Q205" s="252"/>
      <c r="R205" s="525"/>
      <c r="S205" s="256"/>
      <c r="T205" s="256"/>
      <c r="U205" s="183"/>
      <c r="V205" s="252"/>
      <c r="W205" s="524"/>
      <c r="X205" s="256"/>
      <c r="Y205" s="252"/>
      <c r="Z205" s="252">
        <f>IF(ISBLANK(O205),"",IF(O205="ACT",1,-1))</f>
        <v>1</v>
      </c>
      <c r="AA205" s="257"/>
      <c r="AB205" s="239"/>
      <c r="AC205" s="244"/>
      <c r="AD205" s="244"/>
      <c r="AE205" s="256"/>
      <c r="AF205" s="256"/>
    </row>
    <row r="206" spans="1:32" x14ac:dyDescent="0.3">
      <c r="A206" s="244"/>
      <c r="D206" s="512"/>
      <c r="E206" s="513"/>
      <c r="F206" s="515"/>
      <c r="G206" s="515"/>
      <c r="H206" s="540"/>
      <c r="I206" s="513"/>
      <c r="J206" s="255"/>
      <c r="K206" s="255"/>
      <c r="L206" s="513"/>
      <c r="M206" s="252" t="str">
        <f>M205</f>
        <v>RSDAHT</v>
      </c>
      <c r="N206" s="244"/>
      <c r="O206" s="244" t="str">
        <f>L203</f>
        <v>RSDELC</v>
      </c>
      <c r="P206" s="252"/>
      <c r="Q206" s="252"/>
      <c r="R206" s="525"/>
      <c r="S206" s="256"/>
      <c r="T206" s="256"/>
      <c r="U206" s="183"/>
      <c r="V206" s="252"/>
      <c r="W206" s="524"/>
      <c r="X206" s="256"/>
      <c r="Y206" s="252"/>
      <c r="Z206" s="252">
        <f>IF(ISBLANK(O206),"",IF(O206="ACT",1,-1))</f>
        <v>-1</v>
      </c>
      <c r="AA206" s="257"/>
      <c r="AB206" s="239"/>
      <c r="AC206" s="244"/>
      <c r="AD206" s="244"/>
      <c r="AE206" s="256"/>
      <c r="AF206" s="256"/>
    </row>
    <row r="207" spans="1:32" x14ac:dyDescent="0.3">
      <c r="A207" s="235"/>
      <c r="C207" s="528" t="str">
        <f>'RSD (DEA)'!Z106</f>
        <v>HP_ELC_03</v>
      </c>
      <c r="D207" s="512" t="str">
        <f>RSD_HeatingDemand!N207&amp;"_"&amp;C207</f>
        <v>RHHSB_HP_ELC_03</v>
      </c>
      <c r="E207" s="512" t="str">
        <f>"R"&amp;LEFT('RSD (DEA)'!AD106,2)&amp;IF(ISNUMBER(IFERROR(FIND("HTH",'RSD (DEA)'!Z106),IFERROR(FIND("HP",'RSD (DEA)'!Z106),"C"))),IF(IFERROR(FIND("HTH",'RSD (DEA)'!Z106),100)=100,"B","A"),"C")</f>
        <v>RHSB</v>
      </c>
      <c r="F207" s="515"/>
      <c r="G207" s="515"/>
      <c r="H207" s="540" t="str">
        <f>IF(LEFT(D207,LEN(D207)-2)=LEFT(D203,LEN(D207)-2),LEFT(D207,LEN(D207)-2)&amp;IF(RIGHT(H203,2)+1&lt;=9,"0"&amp;RIGHT(H203)+1,RIGHT(H203,2)+1),D207)</f>
        <v>RHHSB_HP_ELC_09</v>
      </c>
      <c r="I207" s="512" t="str">
        <f>'RSD (DEA)'!AA106</f>
        <v>Electric heat pumps, Air-to-water</v>
      </c>
      <c r="J207" s="242" t="s">
        <v>239</v>
      </c>
      <c r="K207" s="242" t="s">
        <v>240</v>
      </c>
      <c r="L207" s="512" t="str">
        <f>'RSD (DEA)'!AH106</f>
        <v>RSDELC</v>
      </c>
      <c r="M207" s="182" t="str">
        <f>'RSD (DEA)'!AI106</f>
        <v>RSDAHT</v>
      </c>
      <c r="N207" s="235" t="str">
        <f>LEFT('RSD (DEA)'!AJ106,2)&amp;RIGHT(E207,3)</f>
        <v>RHHSB</v>
      </c>
      <c r="O207" s="244"/>
      <c r="P207" s="182">
        <f>IF('RSD (DEA)'!P106&lt;RSD_HeatingDemand!$AH$15,RSD_HeatingDemand!$AH$15,'RSD (DEA)'!P106)</f>
        <v>2019</v>
      </c>
      <c r="Q207" s="182">
        <f>IF('RSD (DEA)'!X106&lt;RSD_HeatingDemand!$AH$15,RSD_HeatingDemand!$AH$15,'RSD (DEA)'!X106)</f>
        <v>2019</v>
      </c>
      <c r="R207" s="525">
        <f>IF(ISBLANK(I207),IF(MID(N207,2,2)="HA",VLOOKUP(I206,KEY_RSD_AF!$C$5:$G$52,2,FALSE),IF(MID(N207,2,2)="WA",VLOOKUP(I206,KEY_RSD_AF!$C$5:$G$52,3,FALSE),IF(MID(N207,2,2)="HH",VLOOKUP(I206,KEY_RSD_AF!$C$5:$G$52,4,FALSE),IF(MID(N207,2,2)="WH",VLOOKUP(I206,KEY_RSD_AF!$C$5:$G$52,5,FALSE))))),IF(MID(N207,2,2)="HA",VLOOKUP(I207,KEY_RSD_AF!$C$5:$G$52,2,FALSE),IF(MID(N207,2,2)="WA",VLOOKUP(I207,KEY_RSD_AF!$C$5:$G$52,3,FALSE),IF(MID(N207,2,2)="HH",VLOOKUP(I207,KEY_RSD_AF!$C$5:$G$52,4,FALSE),IF(MID(N207,2,2)="WH",VLOOKUP(I207,KEY_RSD_AF!$C$5:$G$52,5,FALSE))))))</f>
        <v>1</v>
      </c>
      <c r="S207" s="183">
        <f>'RSD (DEA)'!AZ106</f>
        <v>3.9</v>
      </c>
      <c r="T207" s="183">
        <f>'RSD (DEA)'!BA106</f>
        <v>4</v>
      </c>
      <c r="U207" s="183">
        <v>0.5</v>
      </c>
      <c r="V207" s="182">
        <f>'RSD (DEA)'!BR106/'RSD (DEA)'!S106</f>
        <v>29.1</v>
      </c>
      <c r="W207" s="184">
        <f>'RSD (DEA)'!BS106/RSD_HeatingDemand!$AH$9</f>
        <v>0</v>
      </c>
      <c r="X207" s="183">
        <f>'RSD (DEA)'!BK106*RSD_HeatingDemand!$AH$10/'RSD (DEA)'!S106</f>
        <v>1000</v>
      </c>
      <c r="Y207" s="182">
        <f>'RSD (DEA)'!BI106</f>
        <v>18</v>
      </c>
      <c r="Z207" s="252" t="str">
        <f>IF(ISBLANK(O207),"",IF(O207="ACT",1,-1))</f>
        <v/>
      </c>
      <c r="AA207" s="236">
        <f>'RSD (DEA)'!AM106</f>
        <v>31.536000000000001</v>
      </c>
      <c r="AB207" s="239"/>
      <c r="AC207" s="235">
        <f>'RSD (DEA)'!S106</f>
        <v>10</v>
      </c>
      <c r="AD207" s="235" t="str">
        <f>LEFT('RSD (DEA)'!AK106,2)&amp;RIGHT(E207,3)</f>
        <v>RWHSB</v>
      </c>
      <c r="AE207" s="183">
        <f>'RSD (DEA)'!BA106</f>
        <v>4</v>
      </c>
      <c r="AF207" s="183"/>
    </row>
    <row r="208" spans="1:32" x14ac:dyDescent="0.3">
      <c r="A208" s="235"/>
      <c r="D208" s="512"/>
      <c r="E208" s="512"/>
      <c r="F208" s="515"/>
      <c r="G208" s="515"/>
      <c r="H208" s="540"/>
      <c r="I208" s="512"/>
      <c r="J208" s="242"/>
      <c r="K208" s="242"/>
      <c r="L208" s="512"/>
      <c r="M208" s="182"/>
      <c r="N208" s="318" t="str">
        <f>AD207</f>
        <v>RWHSB</v>
      </c>
      <c r="O208" s="244"/>
      <c r="P208" s="182"/>
      <c r="Q208" s="182"/>
      <c r="R208" s="525">
        <f>IF(ISBLANK(I208),IF(MID(N208,2,2)="HA",VLOOKUP(I207,KEY_RSD_AF!$C$5:$G$52,2,FALSE),IF(MID(N208,2,2)="WA",VLOOKUP(I207,KEY_RSD_AF!$C$5:$G$52,3,FALSE),IF(MID(N208,2,2)="HH",VLOOKUP(I207,KEY_RSD_AF!$C$5:$G$52,4,FALSE),IF(MID(N208,2,2)="WH",VLOOKUP(I207,KEY_RSD_AF!$C$5:$G$52,5,FALSE))))),IF(MID(N208,2,2)="HA",VLOOKUP(I208,KEY_RSD_AF!$C$5:$G$52,2,FALSE),IF(MID(N208,2,2)="WA",VLOOKUP(I208,KEY_RSD_AF!$C$5:$G$52,3,FALSE),IF(MID(N208,2,2)="HH",VLOOKUP(I208,KEY_RSD_AF!$C$5:$G$52,4,FALSE),IF(MID(N208,2,2)="WH",VLOOKUP(I208,KEY_RSD_AF!$C$5:$G$52,5,FALSE))))))</f>
        <v>1</v>
      </c>
      <c r="S208" s="503">
        <f>T207</f>
        <v>4</v>
      </c>
      <c r="T208" s="183"/>
      <c r="U208" s="183"/>
      <c r="V208" s="182"/>
      <c r="W208" s="184"/>
      <c r="X208" s="183"/>
      <c r="Y208" s="182"/>
      <c r="Z208" s="252"/>
      <c r="AA208" s="236"/>
      <c r="AB208" s="239"/>
      <c r="AC208" s="235"/>
      <c r="AD208" s="235"/>
      <c r="AE208" s="183"/>
      <c r="AF208" s="183"/>
    </row>
    <row r="209" spans="1:32" x14ac:dyDescent="0.3">
      <c r="A209" s="244"/>
      <c r="D209" s="512"/>
      <c r="E209" s="513"/>
      <c r="F209" s="515"/>
      <c r="G209" s="515"/>
      <c r="H209" s="540"/>
      <c r="I209" s="513"/>
      <c r="J209" s="255"/>
      <c r="K209" s="255"/>
      <c r="L209" s="513"/>
      <c r="M209" s="252" t="str">
        <f>M207</f>
        <v>RSDAHT</v>
      </c>
      <c r="N209" s="244"/>
      <c r="O209" s="244" t="str">
        <f>$AH$12</f>
        <v>ACT</v>
      </c>
      <c r="P209" s="252"/>
      <c r="Q209" s="252"/>
      <c r="R209" s="525"/>
      <c r="S209" s="256"/>
      <c r="T209" s="256"/>
      <c r="U209" s="183"/>
      <c r="V209" s="252"/>
      <c r="W209" s="524"/>
      <c r="X209" s="256"/>
      <c r="Y209" s="252"/>
      <c r="Z209" s="252">
        <f>IF(ISBLANK(O209),"",IF(O209="ACT",1,-1))</f>
        <v>1</v>
      </c>
      <c r="AA209" s="257"/>
      <c r="AB209" s="239"/>
      <c r="AC209" s="244"/>
      <c r="AD209" s="244"/>
      <c r="AE209" s="256"/>
      <c r="AF209" s="256"/>
    </row>
    <row r="210" spans="1:32" x14ac:dyDescent="0.3">
      <c r="A210" s="244"/>
      <c r="D210" s="512"/>
      <c r="E210" s="513"/>
      <c r="F210" s="515"/>
      <c r="G210" s="515"/>
      <c r="H210" s="540"/>
      <c r="I210" s="513"/>
      <c r="J210" s="255"/>
      <c r="K210" s="255"/>
      <c r="L210" s="513"/>
      <c r="M210" s="252" t="str">
        <f>M209</f>
        <v>RSDAHT</v>
      </c>
      <c r="N210" s="244"/>
      <c r="O210" s="244" t="str">
        <f>L207</f>
        <v>RSDELC</v>
      </c>
      <c r="P210" s="252"/>
      <c r="Q210" s="252"/>
      <c r="R210" s="525"/>
      <c r="S210" s="256"/>
      <c r="T210" s="256"/>
      <c r="U210" s="183"/>
      <c r="V210" s="252"/>
      <c r="W210" s="524"/>
      <c r="X210" s="256"/>
      <c r="Y210" s="252"/>
      <c r="Z210" s="252">
        <f>IF(ISBLANK(O210),"",IF(O210="ACT",1,-1))</f>
        <v>-1</v>
      </c>
      <c r="AA210" s="257"/>
      <c r="AB210" s="239"/>
      <c r="AC210" s="244"/>
      <c r="AD210" s="244"/>
      <c r="AE210" s="256"/>
      <c r="AF210" s="256"/>
    </row>
    <row r="211" spans="1:32" x14ac:dyDescent="0.3">
      <c r="A211" s="235"/>
      <c r="C211" s="528" t="str">
        <f>'RSD (DEA)'!Z107</f>
        <v>HP_ELC_03</v>
      </c>
      <c r="D211" s="512" t="str">
        <f>RSD_HeatingDemand!N211&amp;"_"&amp;C211</f>
        <v>RHHSB_HP_ELC_03</v>
      </c>
      <c r="E211" s="512" t="str">
        <f>"R"&amp;LEFT('RSD (DEA)'!AD107,2)&amp;IF(ISNUMBER(IFERROR(FIND("HTH",'RSD (DEA)'!Z107),IFERROR(FIND("HP",'RSD (DEA)'!Z107),"C"))),IF(IFERROR(FIND("HTH",'RSD (DEA)'!Z107),100)=100,"B","A"),"C")</f>
        <v>RHSB</v>
      </c>
      <c r="F211" s="515"/>
      <c r="G211" s="515"/>
      <c r="H211" s="540" t="str">
        <f>IF(LEFT(D211,LEN(D211)-2)=LEFT(D207,LEN(D211)-2),LEFT(D211,LEN(D211)-2)&amp;IF(RIGHT(H207,2)+1&lt;=9,"0"&amp;RIGHT(H207)+1,RIGHT(H207,2)+1),D211)</f>
        <v>RHHSB_HP_ELC_10</v>
      </c>
      <c r="I211" s="512" t="str">
        <f>'RSD (DEA)'!AA107</f>
        <v>Electric heat pumps, Air-to-water</v>
      </c>
      <c r="J211" s="242" t="s">
        <v>239</v>
      </c>
      <c r="K211" s="242" t="s">
        <v>240</v>
      </c>
      <c r="L211" s="512" t="str">
        <f>'RSD (DEA)'!AH107</f>
        <v>RSDELC</v>
      </c>
      <c r="M211" s="182" t="str">
        <f>'RSD (DEA)'!AI107</f>
        <v>RSDAHT</v>
      </c>
      <c r="N211" s="235" t="str">
        <f>LEFT('RSD (DEA)'!AJ107,2)&amp;RIGHT(E211,3)</f>
        <v>RHHSB</v>
      </c>
      <c r="O211" s="244"/>
      <c r="P211" s="182">
        <f>IF('RSD (DEA)'!P107&lt;RSD_HeatingDemand!$AH$15,RSD_HeatingDemand!$AH$15,'RSD (DEA)'!P107)</f>
        <v>2019</v>
      </c>
      <c r="Q211" s="182">
        <f>IF('RSD (DEA)'!X107&lt;RSD_HeatingDemand!$AH$15,RSD_HeatingDemand!$AH$15,'RSD (DEA)'!X107)</f>
        <v>2020</v>
      </c>
      <c r="R211" s="525">
        <f>IF(ISBLANK(I211),IF(MID(N211,2,2)="HA",VLOOKUP(I210,KEY_RSD_AF!$C$5:$G$52,2,FALSE),IF(MID(N211,2,2)="WA",VLOOKUP(I210,KEY_RSD_AF!$C$5:$G$52,3,FALSE),IF(MID(N211,2,2)="HH",VLOOKUP(I210,KEY_RSD_AF!$C$5:$G$52,4,FALSE),IF(MID(N211,2,2)="WH",VLOOKUP(I210,KEY_RSD_AF!$C$5:$G$52,5,FALSE))))),IF(MID(N211,2,2)="HA",VLOOKUP(I211,KEY_RSD_AF!$C$5:$G$52,2,FALSE),IF(MID(N211,2,2)="WA",VLOOKUP(I211,KEY_RSD_AF!$C$5:$G$52,3,FALSE),IF(MID(N211,2,2)="HH",VLOOKUP(I211,KEY_RSD_AF!$C$5:$G$52,4,FALSE),IF(MID(N211,2,2)="WH",VLOOKUP(I211,KEY_RSD_AF!$C$5:$G$52,5,FALSE))))))</f>
        <v>1</v>
      </c>
      <c r="S211" s="183">
        <f>'RSD (DEA)'!AZ107</f>
        <v>4</v>
      </c>
      <c r="T211" s="183">
        <f>'RSD (DEA)'!BA107</f>
        <v>4.0999999999999996</v>
      </c>
      <c r="U211" s="183">
        <v>0.5</v>
      </c>
      <c r="V211" s="182">
        <f>'RSD (DEA)'!BR107/'RSD (DEA)'!S107</f>
        <v>27.8</v>
      </c>
      <c r="W211" s="184">
        <f>'RSD (DEA)'!BS107/RSD_HeatingDemand!$AH$9</f>
        <v>0</v>
      </c>
      <c r="X211" s="183">
        <f>'RSD (DEA)'!BK107*RSD_HeatingDemand!$AH$10/'RSD (DEA)'!S107</f>
        <v>900</v>
      </c>
      <c r="Y211" s="182">
        <f>'RSD (DEA)'!BI107</f>
        <v>18</v>
      </c>
      <c r="Z211" s="252" t="str">
        <f>IF(ISBLANK(O211),"",IF(O211="ACT",1,-1))</f>
        <v/>
      </c>
      <c r="AA211" s="236">
        <f>'RSD (DEA)'!AM107</f>
        <v>31.536000000000001</v>
      </c>
      <c r="AB211" s="239"/>
      <c r="AC211" s="235">
        <f>'RSD (DEA)'!S107</f>
        <v>10</v>
      </c>
      <c r="AD211" s="235" t="str">
        <f>LEFT('RSD (DEA)'!AK107,2)&amp;RIGHT(E211,3)</f>
        <v>RWHSB</v>
      </c>
      <c r="AE211" s="183">
        <f>'RSD (DEA)'!BA107</f>
        <v>4.0999999999999996</v>
      </c>
      <c r="AF211" s="183"/>
    </row>
    <row r="212" spans="1:32" x14ac:dyDescent="0.3">
      <c r="A212" s="235"/>
      <c r="D212" s="512"/>
      <c r="E212" s="512"/>
      <c r="F212" s="515"/>
      <c r="G212" s="515"/>
      <c r="H212" s="540"/>
      <c r="I212" s="512"/>
      <c r="J212" s="242"/>
      <c r="K212" s="242"/>
      <c r="L212" s="512"/>
      <c r="M212" s="182"/>
      <c r="N212" s="318" t="str">
        <f>AD211</f>
        <v>RWHSB</v>
      </c>
      <c r="O212" s="244"/>
      <c r="P212" s="182"/>
      <c r="Q212" s="182"/>
      <c r="R212" s="525">
        <f>IF(ISBLANK(I212),IF(MID(N212,2,2)="HA",VLOOKUP(I211,KEY_RSD_AF!$C$5:$G$52,2,FALSE),IF(MID(N212,2,2)="WA",VLOOKUP(I211,KEY_RSD_AF!$C$5:$G$52,3,FALSE),IF(MID(N212,2,2)="HH",VLOOKUP(I211,KEY_RSD_AF!$C$5:$G$52,4,FALSE),IF(MID(N212,2,2)="WH",VLOOKUP(I211,KEY_RSD_AF!$C$5:$G$52,5,FALSE))))),IF(MID(N212,2,2)="HA",VLOOKUP(I212,KEY_RSD_AF!$C$5:$G$52,2,FALSE),IF(MID(N212,2,2)="WA",VLOOKUP(I212,KEY_RSD_AF!$C$5:$G$52,3,FALSE),IF(MID(N212,2,2)="HH",VLOOKUP(I212,KEY_RSD_AF!$C$5:$G$52,4,FALSE),IF(MID(N212,2,2)="WH",VLOOKUP(I212,KEY_RSD_AF!$C$5:$G$52,5,FALSE))))))</f>
        <v>1</v>
      </c>
      <c r="S212" s="503">
        <f>T211</f>
        <v>4.0999999999999996</v>
      </c>
      <c r="T212" s="183"/>
      <c r="U212" s="183"/>
      <c r="V212" s="182"/>
      <c r="W212" s="184"/>
      <c r="X212" s="183"/>
      <c r="Y212" s="182"/>
      <c r="Z212" s="252"/>
      <c r="AA212" s="236"/>
      <c r="AB212" s="239"/>
      <c r="AC212" s="235"/>
      <c r="AD212" s="235"/>
      <c r="AE212" s="183"/>
      <c r="AF212" s="183"/>
    </row>
    <row r="213" spans="1:32" x14ac:dyDescent="0.3">
      <c r="A213" s="244"/>
      <c r="D213" s="512"/>
      <c r="E213" s="513"/>
      <c r="F213" s="515"/>
      <c r="G213" s="515"/>
      <c r="H213" s="540"/>
      <c r="I213" s="513"/>
      <c r="J213" s="255"/>
      <c r="K213" s="255"/>
      <c r="L213" s="513"/>
      <c r="M213" s="252" t="str">
        <f>M211</f>
        <v>RSDAHT</v>
      </c>
      <c r="N213" s="244"/>
      <c r="O213" s="244" t="str">
        <f>$AH$12</f>
        <v>ACT</v>
      </c>
      <c r="P213" s="252"/>
      <c r="Q213" s="252"/>
      <c r="R213" s="525"/>
      <c r="S213" s="256"/>
      <c r="T213" s="256"/>
      <c r="U213" s="183"/>
      <c r="V213" s="252"/>
      <c r="W213" s="524"/>
      <c r="X213" s="256"/>
      <c r="Y213" s="252"/>
      <c r="Z213" s="252">
        <f>IF(ISBLANK(O213),"",IF(O213="ACT",1,-1))</f>
        <v>1</v>
      </c>
      <c r="AA213" s="257"/>
      <c r="AB213" s="239"/>
      <c r="AC213" s="244"/>
      <c r="AD213" s="244"/>
      <c r="AE213" s="256"/>
      <c r="AF213" s="256"/>
    </row>
    <row r="214" spans="1:32" x14ac:dyDescent="0.3">
      <c r="A214" s="244"/>
      <c r="D214" s="512"/>
      <c r="E214" s="513"/>
      <c r="F214" s="515"/>
      <c r="G214" s="515"/>
      <c r="H214" s="540"/>
      <c r="I214" s="513"/>
      <c r="J214" s="255"/>
      <c r="K214" s="255"/>
      <c r="L214" s="513"/>
      <c r="M214" s="252" t="str">
        <f>M213</f>
        <v>RSDAHT</v>
      </c>
      <c r="N214" s="244"/>
      <c r="O214" s="244" t="str">
        <f>L211</f>
        <v>RSDELC</v>
      </c>
      <c r="P214" s="252"/>
      <c r="Q214" s="252"/>
      <c r="R214" s="525"/>
      <c r="S214" s="256"/>
      <c r="T214" s="256"/>
      <c r="U214" s="183"/>
      <c r="V214" s="252"/>
      <c r="W214" s="524"/>
      <c r="X214" s="256"/>
      <c r="Y214" s="252"/>
      <c r="Z214" s="252">
        <f>IF(ISBLANK(O214),"",IF(O214="ACT",1,-1))</f>
        <v>-1</v>
      </c>
      <c r="AA214" s="257"/>
      <c r="AB214" s="239"/>
      <c r="AC214" s="244"/>
      <c r="AD214" s="244"/>
      <c r="AE214" s="256"/>
      <c r="AF214" s="256"/>
    </row>
    <row r="215" spans="1:32" x14ac:dyDescent="0.3">
      <c r="A215" s="235"/>
      <c r="C215" s="528" t="str">
        <f>'RSD (DEA)'!Z108</f>
        <v>HP_ELC_03</v>
      </c>
      <c r="D215" s="512" t="str">
        <f>RSD_HeatingDemand!N215&amp;"_"&amp;C215</f>
        <v>RHHSB_HP_ELC_03</v>
      </c>
      <c r="E215" s="512" t="str">
        <f>"R"&amp;LEFT('RSD (DEA)'!AD108,2)&amp;IF(ISNUMBER(IFERROR(FIND("HTH",'RSD (DEA)'!Z108),IFERROR(FIND("HP",'RSD (DEA)'!Z108),"C"))),IF(IFERROR(FIND("HTH",'RSD (DEA)'!Z108),100)=100,"B","A"),"C")</f>
        <v>RHSB</v>
      </c>
      <c r="F215" s="515"/>
      <c r="G215" s="515"/>
      <c r="H215" s="540" t="str">
        <f>IF(LEFT(D215,LEN(D215)-2)=LEFT(D211,LEN(D215)-2),LEFT(D215,LEN(D215)-2)&amp;IF(RIGHT(H211,2)+1&lt;=9,"0"&amp;RIGHT(H211)+1,RIGHT(H211,2)+1),D215)</f>
        <v>RHHSB_HP_ELC_11</v>
      </c>
      <c r="I215" s="512" t="str">
        <f>'RSD (DEA)'!AA108</f>
        <v>Electric heat pumps, Air-to-water</v>
      </c>
      <c r="J215" s="242" t="s">
        <v>239</v>
      </c>
      <c r="K215" s="242" t="s">
        <v>240</v>
      </c>
      <c r="L215" s="512" t="str">
        <f>'RSD (DEA)'!AH108</f>
        <v>RSDELC</v>
      </c>
      <c r="M215" s="182" t="str">
        <f>'RSD (DEA)'!AI108</f>
        <v>RSDAHT</v>
      </c>
      <c r="N215" s="235" t="str">
        <f>LEFT('RSD (DEA)'!AJ108,2)&amp;RIGHT(E215,3)</f>
        <v>RHHSB</v>
      </c>
      <c r="O215" s="244"/>
      <c r="P215" s="182">
        <f>IF('RSD (DEA)'!P108&lt;RSD_HeatingDemand!$AH$15,RSD_HeatingDemand!$AH$15,'RSD (DEA)'!P108)</f>
        <v>2019</v>
      </c>
      <c r="Q215" s="182">
        <f>IF('RSD (DEA)'!X108&lt;RSD_HeatingDemand!$AH$15,RSD_HeatingDemand!$AH$15,'RSD (DEA)'!X108)</f>
        <v>2030</v>
      </c>
      <c r="R215" s="525">
        <f>IF(ISBLANK(I215),IF(MID(N215,2,2)="HA",VLOOKUP(I214,KEY_RSD_AF!$C$5:$G$52,2,FALSE),IF(MID(N215,2,2)="WA",VLOOKUP(I214,KEY_RSD_AF!$C$5:$G$52,3,FALSE),IF(MID(N215,2,2)="HH",VLOOKUP(I214,KEY_RSD_AF!$C$5:$G$52,4,FALSE),IF(MID(N215,2,2)="WH",VLOOKUP(I214,KEY_RSD_AF!$C$5:$G$52,5,FALSE))))),IF(MID(N215,2,2)="HA",VLOOKUP(I215,KEY_RSD_AF!$C$5:$G$52,2,FALSE),IF(MID(N215,2,2)="WA",VLOOKUP(I215,KEY_RSD_AF!$C$5:$G$52,3,FALSE),IF(MID(N215,2,2)="HH",VLOOKUP(I215,KEY_RSD_AF!$C$5:$G$52,4,FALSE),IF(MID(N215,2,2)="WH",VLOOKUP(I215,KEY_RSD_AF!$C$5:$G$52,5,FALSE))))))</f>
        <v>1</v>
      </c>
      <c r="S215" s="183">
        <f>'RSD (DEA)'!AZ108</f>
        <v>4.2</v>
      </c>
      <c r="T215" s="183">
        <f>'RSD (DEA)'!BA108</f>
        <v>4.3</v>
      </c>
      <c r="U215" s="183">
        <v>0.5</v>
      </c>
      <c r="V215" s="182">
        <f>'RSD (DEA)'!BR108/'RSD (DEA)'!S108</f>
        <v>25.5</v>
      </c>
      <c r="W215" s="184">
        <f>'RSD (DEA)'!BS108/RSD_HeatingDemand!$AH$9</f>
        <v>0</v>
      </c>
      <c r="X215" s="183">
        <f>'RSD (DEA)'!BK108*RSD_HeatingDemand!$AH$10/'RSD (DEA)'!S108</f>
        <v>900</v>
      </c>
      <c r="Y215" s="182">
        <f>'RSD (DEA)'!BI108</f>
        <v>18</v>
      </c>
      <c r="Z215" s="252" t="str">
        <f>IF(ISBLANK(O215),"",IF(O215="ACT",1,-1))</f>
        <v/>
      </c>
      <c r="AA215" s="236">
        <f>'RSD (DEA)'!AM108</f>
        <v>31.536000000000001</v>
      </c>
      <c r="AB215" s="239"/>
      <c r="AC215" s="235">
        <f>'RSD (DEA)'!S108</f>
        <v>10</v>
      </c>
      <c r="AD215" s="235" t="str">
        <f>LEFT('RSD (DEA)'!AK108,2)&amp;RIGHT(E215,3)</f>
        <v>RWHSB</v>
      </c>
      <c r="AE215" s="183">
        <f>'RSD (DEA)'!BA108</f>
        <v>4.3</v>
      </c>
      <c r="AF215" s="183"/>
    </row>
    <row r="216" spans="1:32" x14ac:dyDescent="0.3">
      <c r="A216" s="235"/>
      <c r="D216" s="512"/>
      <c r="E216" s="512"/>
      <c r="F216" s="515"/>
      <c r="G216" s="515"/>
      <c r="H216" s="540"/>
      <c r="I216" s="512"/>
      <c r="J216" s="242"/>
      <c r="K216" s="242"/>
      <c r="L216" s="512"/>
      <c r="M216" s="182"/>
      <c r="N216" s="318" t="str">
        <f>AD215</f>
        <v>RWHSB</v>
      </c>
      <c r="O216" s="244"/>
      <c r="P216" s="182"/>
      <c r="Q216" s="182"/>
      <c r="R216" s="525">
        <f>IF(ISBLANK(I216),IF(MID(N216,2,2)="HA",VLOOKUP(I215,KEY_RSD_AF!$C$5:$G$52,2,FALSE),IF(MID(N216,2,2)="WA",VLOOKUP(I215,KEY_RSD_AF!$C$5:$G$52,3,FALSE),IF(MID(N216,2,2)="HH",VLOOKUP(I215,KEY_RSD_AF!$C$5:$G$52,4,FALSE),IF(MID(N216,2,2)="WH",VLOOKUP(I215,KEY_RSD_AF!$C$5:$G$52,5,FALSE))))),IF(MID(N216,2,2)="HA",VLOOKUP(I216,KEY_RSD_AF!$C$5:$G$52,2,FALSE),IF(MID(N216,2,2)="WA",VLOOKUP(I216,KEY_RSD_AF!$C$5:$G$52,3,FALSE),IF(MID(N216,2,2)="HH",VLOOKUP(I216,KEY_RSD_AF!$C$5:$G$52,4,FALSE),IF(MID(N216,2,2)="WH",VLOOKUP(I216,KEY_RSD_AF!$C$5:$G$52,5,FALSE))))))</f>
        <v>1</v>
      </c>
      <c r="S216" s="503">
        <f>T215</f>
        <v>4.3</v>
      </c>
      <c r="T216" s="183"/>
      <c r="U216" s="183"/>
      <c r="V216" s="182"/>
      <c r="W216" s="184"/>
      <c r="X216" s="183"/>
      <c r="Y216" s="182"/>
      <c r="Z216" s="252"/>
      <c r="AA216" s="236"/>
      <c r="AB216" s="239"/>
      <c r="AC216" s="235"/>
      <c r="AD216" s="235"/>
      <c r="AE216" s="183"/>
      <c r="AF216" s="183"/>
    </row>
    <row r="217" spans="1:32" x14ac:dyDescent="0.3">
      <c r="A217" s="244"/>
      <c r="D217" s="512"/>
      <c r="E217" s="513"/>
      <c r="F217" s="515"/>
      <c r="G217" s="515"/>
      <c r="H217" s="540"/>
      <c r="I217" s="513"/>
      <c r="J217" s="255"/>
      <c r="K217" s="255"/>
      <c r="L217" s="513"/>
      <c r="M217" s="252" t="str">
        <f>M215</f>
        <v>RSDAHT</v>
      </c>
      <c r="N217" s="244"/>
      <c r="O217" s="244" t="str">
        <f>$AH$12</f>
        <v>ACT</v>
      </c>
      <c r="P217" s="252"/>
      <c r="Q217" s="252"/>
      <c r="R217" s="525"/>
      <c r="S217" s="256"/>
      <c r="T217" s="256"/>
      <c r="U217" s="183"/>
      <c r="V217" s="252"/>
      <c r="W217" s="524"/>
      <c r="X217" s="256"/>
      <c r="Y217" s="252"/>
      <c r="Z217" s="252">
        <f>IF(ISBLANK(O217),"",IF(O217="ACT",1,-1))</f>
        <v>1</v>
      </c>
      <c r="AA217" s="257"/>
      <c r="AB217" s="239"/>
      <c r="AC217" s="244"/>
      <c r="AD217" s="244"/>
      <c r="AE217" s="256"/>
      <c r="AF217" s="256"/>
    </row>
    <row r="218" spans="1:32" x14ac:dyDescent="0.3">
      <c r="A218" s="244"/>
      <c r="D218" s="512"/>
      <c r="E218" s="513"/>
      <c r="F218" s="515"/>
      <c r="G218" s="515"/>
      <c r="H218" s="540"/>
      <c r="I218" s="513"/>
      <c r="J218" s="255"/>
      <c r="K218" s="255"/>
      <c r="L218" s="513"/>
      <c r="M218" s="252" t="str">
        <f>M217</f>
        <v>RSDAHT</v>
      </c>
      <c r="N218" s="244"/>
      <c r="O218" s="244" t="str">
        <f>L215</f>
        <v>RSDELC</v>
      </c>
      <c r="P218" s="252"/>
      <c r="Q218" s="252"/>
      <c r="R218" s="525"/>
      <c r="S218" s="256"/>
      <c r="T218" s="256"/>
      <c r="U218" s="183"/>
      <c r="V218" s="252"/>
      <c r="W218" s="524"/>
      <c r="X218" s="256"/>
      <c r="Y218" s="252"/>
      <c r="Z218" s="252">
        <f>IF(ISBLANK(O218),"",IF(O218="ACT",1,-1))</f>
        <v>-1</v>
      </c>
      <c r="AA218" s="257"/>
      <c r="AB218" s="239"/>
      <c r="AC218" s="244"/>
      <c r="AD218" s="244"/>
      <c r="AE218" s="256"/>
      <c r="AF218" s="256"/>
    </row>
    <row r="219" spans="1:32" x14ac:dyDescent="0.3">
      <c r="A219" s="235"/>
      <c r="C219" s="528" t="str">
        <f>'RSD (DEA)'!Z109</f>
        <v>HP_ELC_03</v>
      </c>
      <c r="D219" s="512" t="str">
        <f>RSD_HeatingDemand!N219&amp;"_"&amp;C219</f>
        <v>RHHSB_HP_ELC_03</v>
      </c>
      <c r="E219" s="512" t="str">
        <f>"R"&amp;LEFT('RSD (DEA)'!AD109,2)&amp;IF(ISNUMBER(IFERROR(FIND("HTH",'RSD (DEA)'!Z109),IFERROR(FIND("HP",'RSD (DEA)'!Z109),"C"))),IF(IFERROR(FIND("HTH",'RSD (DEA)'!Z109),100)=100,"B","A"),"C")</f>
        <v>RHSB</v>
      </c>
      <c r="F219" s="515"/>
      <c r="G219" s="515"/>
      <c r="H219" s="540" t="str">
        <f>IF(LEFT(D219,LEN(D219)-2)=LEFT(D215,LEN(D219)-2),LEFT(D219,LEN(D219)-2)&amp;IF(RIGHT(H215,2)+1&lt;=9,"0"&amp;RIGHT(H215)+1,RIGHT(H215,2)+1),D219)</f>
        <v>RHHSB_HP_ELC_12</v>
      </c>
      <c r="I219" s="512" t="str">
        <f>'RSD (DEA)'!AA109</f>
        <v>Electric heat pumps, Air-to-water</v>
      </c>
      <c r="J219" s="242" t="s">
        <v>239</v>
      </c>
      <c r="K219" s="242" t="s">
        <v>240</v>
      </c>
      <c r="L219" s="512" t="str">
        <f>'RSD (DEA)'!AH109</f>
        <v>RSDELC</v>
      </c>
      <c r="M219" s="182" t="str">
        <f>'RSD (DEA)'!AI109</f>
        <v>RSDAHT</v>
      </c>
      <c r="N219" s="235" t="str">
        <f>LEFT('RSD (DEA)'!AJ109,2)&amp;RIGHT(E219,3)</f>
        <v>RHHSB</v>
      </c>
      <c r="O219" s="244"/>
      <c r="P219" s="182">
        <f>IF('RSD (DEA)'!P109&lt;RSD_HeatingDemand!$AH$15,RSD_HeatingDemand!$AH$15,'RSD (DEA)'!P109)</f>
        <v>2019</v>
      </c>
      <c r="Q219" s="182">
        <f>IF('RSD (DEA)'!X109&lt;RSD_HeatingDemand!$AH$15,RSD_HeatingDemand!$AH$15,'RSD (DEA)'!X109)</f>
        <v>2050</v>
      </c>
      <c r="R219" s="525">
        <f>IF(ISBLANK(I219),IF(MID(N219,2,2)="HA",VLOOKUP(I218,KEY_RSD_AF!$C$5:$G$52,2,FALSE),IF(MID(N219,2,2)="WA",VLOOKUP(I218,KEY_RSD_AF!$C$5:$G$52,3,FALSE),IF(MID(N219,2,2)="HH",VLOOKUP(I218,KEY_RSD_AF!$C$5:$G$52,4,FALSE),IF(MID(N219,2,2)="WH",VLOOKUP(I218,KEY_RSD_AF!$C$5:$G$52,5,FALSE))))),IF(MID(N219,2,2)="HA",VLOOKUP(I219,KEY_RSD_AF!$C$5:$G$52,2,FALSE),IF(MID(N219,2,2)="WA",VLOOKUP(I219,KEY_RSD_AF!$C$5:$G$52,3,FALSE),IF(MID(N219,2,2)="HH",VLOOKUP(I219,KEY_RSD_AF!$C$5:$G$52,4,FALSE),IF(MID(N219,2,2)="WH",VLOOKUP(I219,KEY_RSD_AF!$C$5:$G$52,5,FALSE))))))</f>
        <v>1</v>
      </c>
      <c r="S219" s="183">
        <f>'RSD (DEA)'!AZ109</f>
        <v>4.4000000000000004</v>
      </c>
      <c r="T219" s="183">
        <f>'RSD (DEA)'!BA109</f>
        <v>4.5</v>
      </c>
      <c r="U219" s="183">
        <v>0.5</v>
      </c>
      <c r="V219" s="182">
        <f>'RSD (DEA)'!BR109/'RSD (DEA)'!S109</f>
        <v>23.9</v>
      </c>
      <c r="W219" s="184">
        <f>'RSD (DEA)'!BS109/RSD_HeatingDemand!$AH$9</f>
        <v>0</v>
      </c>
      <c r="X219" s="183">
        <f>'RSD (DEA)'!BK109*RSD_HeatingDemand!$AH$10/'RSD (DEA)'!S109</f>
        <v>800</v>
      </c>
      <c r="Y219" s="182">
        <f>'RSD (DEA)'!BI109</f>
        <v>18</v>
      </c>
      <c r="Z219" s="252" t="str">
        <f>IF(ISBLANK(O219),"",IF(O219="ACT",1,-1))</f>
        <v/>
      </c>
      <c r="AA219" s="236">
        <f>'RSD (DEA)'!AM109</f>
        <v>31.536000000000001</v>
      </c>
      <c r="AB219" s="239"/>
      <c r="AC219" s="235">
        <f>'RSD (DEA)'!S109</f>
        <v>10</v>
      </c>
      <c r="AD219" s="235" t="str">
        <f>LEFT('RSD (DEA)'!AK109,2)&amp;RIGHT(E219,3)</f>
        <v>RWHSB</v>
      </c>
      <c r="AE219" s="183">
        <f>'RSD (DEA)'!BA109</f>
        <v>4.5</v>
      </c>
      <c r="AF219" s="183"/>
    </row>
    <row r="220" spans="1:32" x14ac:dyDescent="0.3">
      <c r="A220" s="235"/>
      <c r="D220" s="512"/>
      <c r="E220" s="512"/>
      <c r="F220" s="515"/>
      <c r="G220" s="515"/>
      <c r="H220" s="540"/>
      <c r="I220" s="512"/>
      <c r="J220" s="242"/>
      <c r="K220" s="242"/>
      <c r="L220" s="512"/>
      <c r="M220" s="182"/>
      <c r="N220" s="318" t="str">
        <f>AD219</f>
        <v>RWHSB</v>
      </c>
      <c r="O220" s="244"/>
      <c r="P220" s="182"/>
      <c r="Q220" s="182"/>
      <c r="R220" s="525">
        <f>IF(ISBLANK(I220),IF(MID(N220,2,2)="HA",VLOOKUP(I219,KEY_RSD_AF!$C$5:$G$52,2,FALSE),IF(MID(N220,2,2)="WA",VLOOKUP(I219,KEY_RSD_AF!$C$5:$G$52,3,FALSE),IF(MID(N220,2,2)="HH",VLOOKUP(I219,KEY_RSD_AF!$C$5:$G$52,4,FALSE),IF(MID(N220,2,2)="WH",VLOOKUP(I219,KEY_RSD_AF!$C$5:$G$52,5,FALSE))))),IF(MID(N220,2,2)="HA",VLOOKUP(I220,KEY_RSD_AF!$C$5:$G$52,2,FALSE),IF(MID(N220,2,2)="WA",VLOOKUP(I220,KEY_RSD_AF!$C$5:$G$52,3,FALSE),IF(MID(N220,2,2)="HH",VLOOKUP(I220,KEY_RSD_AF!$C$5:$G$52,4,FALSE),IF(MID(N220,2,2)="WH",VLOOKUP(I220,KEY_RSD_AF!$C$5:$G$52,5,FALSE))))))</f>
        <v>1</v>
      </c>
      <c r="S220" s="503">
        <f>T219</f>
        <v>4.5</v>
      </c>
      <c r="T220" s="183"/>
      <c r="U220" s="183"/>
      <c r="V220" s="182"/>
      <c r="W220" s="184"/>
      <c r="X220" s="183"/>
      <c r="Y220" s="182"/>
      <c r="Z220" s="252"/>
      <c r="AA220" s="236"/>
      <c r="AB220" s="239"/>
      <c r="AC220" s="235"/>
      <c r="AD220" s="235"/>
      <c r="AE220" s="183"/>
      <c r="AF220" s="183"/>
    </row>
    <row r="221" spans="1:32" x14ac:dyDescent="0.3">
      <c r="A221" s="244"/>
      <c r="D221" s="512"/>
      <c r="E221" s="513"/>
      <c r="F221" s="515"/>
      <c r="G221" s="515"/>
      <c r="H221" s="540"/>
      <c r="I221" s="513"/>
      <c r="J221" s="255"/>
      <c r="K221" s="255"/>
      <c r="L221" s="513"/>
      <c r="M221" s="252" t="str">
        <f>M219</f>
        <v>RSDAHT</v>
      </c>
      <c r="N221" s="244"/>
      <c r="O221" s="244" t="str">
        <f>$AH$12</f>
        <v>ACT</v>
      </c>
      <c r="P221" s="252"/>
      <c r="Q221" s="252"/>
      <c r="R221" s="525"/>
      <c r="S221" s="256"/>
      <c r="T221" s="256"/>
      <c r="U221" s="183"/>
      <c r="V221" s="252"/>
      <c r="W221" s="524"/>
      <c r="X221" s="256"/>
      <c r="Y221" s="252"/>
      <c r="Z221" s="252">
        <f>IF(ISBLANK(O221),"",IF(O221="ACT",1,-1))</f>
        <v>1</v>
      </c>
      <c r="AA221" s="257"/>
      <c r="AB221" s="239"/>
      <c r="AC221" s="244"/>
      <c r="AD221" s="244"/>
      <c r="AE221" s="256"/>
      <c r="AF221" s="256"/>
    </row>
    <row r="222" spans="1:32" x14ac:dyDescent="0.3">
      <c r="A222" s="244"/>
      <c r="D222" s="512"/>
      <c r="E222" s="513"/>
      <c r="F222" s="515"/>
      <c r="G222" s="515"/>
      <c r="H222" s="540"/>
      <c r="I222" s="513"/>
      <c r="J222" s="255"/>
      <c r="K222" s="255"/>
      <c r="L222" s="513"/>
      <c r="M222" s="252" t="str">
        <f>M221</f>
        <v>RSDAHT</v>
      </c>
      <c r="N222" s="244"/>
      <c r="O222" s="244" t="str">
        <f>L219</f>
        <v>RSDELC</v>
      </c>
      <c r="P222" s="252"/>
      <c r="Q222" s="252"/>
      <c r="R222" s="525"/>
      <c r="S222" s="256"/>
      <c r="T222" s="256"/>
      <c r="U222" s="183"/>
      <c r="V222" s="252"/>
      <c r="W222" s="524"/>
      <c r="X222" s="256"/>
      <c r="Y222" s="252"/>
      <c r="Z222" s="252">
        <f>IF(ISBLANK(O222),"",IF(O222="ACT",1,-1))</f>
        <v>-1</v>
      </c>
      <c r="AA222" s="257"/>
      <c r="AB222" s="239"/>
      <c r="AC222" s="244"/>
      <c r="AD222" s="244"/>
      <c r="AE222" s="256"/>
      <c r="AF222" s="256"/>
    </row>
    <row r="223" spans="1:32" x14ac:dyDescent="0.3">
      <c r="A223" s="235"/>
      <c r="C223" s="528" t="str">
        <f>'RSD (DEA)'!Z110</f>
        <v>HP_ELC_04</v>
      </c>
      <c r="D223" s="512" t="str">
        <f>RSD_HeatingDemand!N223&amp;"_"&amp;C223</f>
        <v>RHHSB_HP_ELC_04</v>
      </c>
      <c r="E223" s="512" t="str">
        <f>"R"&amp;LEFT('RSD (DEA)'!AD110,2)&amp;IF(ISNUMBER(IFERROR(FIND("HTH",'RSD (DEA)'!Z110),IFERROR(FIND("HP",'RSD (DEA)'!Z110),"C"))),IF(IFERROR(FIND("HTH",'RSD (DEA)'!Z110),100)=100,"B","A"),"C")</f>
        <v>RHSB</v>
      </c>
      <c r="F223" s="515"/>
      <c r="G223" s="515"/>
      <c r="H223" s="540" t="str">
        <f t="shared" ref="H223:H283" si="6">IF(LEFT(D223,LEN(D223)-2)=LEFT(D219,LEN(D223)-2),LEFT(D223,LEN(D223)-2)&amp;IF(RIGHT(H219,2)+1&lt;=9,"0"&amp;RIGHT(H219)+1,RIGHT(H219,2)+1),D223)</f>
        <v>RHHSB_HP_ELC_13</v>
      </c>
      <c r="I223" s="512" t="str">
        <f>'RSD (DEA)'!AA110</f>
        <v>Electric heat pumps, Air-to-water</v>
      </c>
      <c r="J223" s="242" t="s">
        <v>239</v>
      </c>
      <c r="K223" s="242" t="s">
        <v>240</v>
      </c>
      <c r="L223" s="512" t="str">
        <f>'RSD (DEA)'!AH110</f>
        <v>RSDELC</v>
      </c>
      <c r="M223" s="182" t="str">
        <f>'RSD (DEA)'!AI110</f>
        <v>RSDAHT</v>
      </c>
      <c r="N223" s="235" t="str">
        <f>LEFT('RSD (DEA)'!AJ110,2)&amp;RIGHT(E223,3)</f>
        <v>RHHSB</v>
      </c>
      <c r="O223" s="244"/>
      <c r="P223" s="182">
        <f>IF('RSD (DEA)'!P110&lt;RSD_HeatingDemand!$AH$15,RSD_HeatingDemand!$AH$15,'RSD (DEA)'!P110)</f>
        <v>2019</v>
      </c>
      <c r="Q223" s="182">
        <f>IF('RSD (DEA)'!X110&lt;RSD_HeatingDemand!$AH$15,RSD_HeatingDemand!$AH$15,'RSD (DEA)'!X110)</f>
        <v>2019</v>
      </c>
      <c r="R223" s="525">
        <f>IF(ISBLANK(I223),IF(MID(N223,2,2)="HA",VLOOKUP(I222,KEY_RSD_AF!$C$5:$G$52,2,FALSE),IF(MID(N223,2,2)="WA",VLOOKUP(I222,KEY_RSD_AF!$C$5:$G$52,3,FALSE),IF(MID(N223,2,2)="HH",VLOOKUP(I222,KEY_RSD_AF!$C$5:$G$52,4,FALSE),IF(MID(N223,2,2)="WH",VLOOKUP(I222,KEY_RSD_AF!$C$5:$G$52,5,FALSE))))),IF(MID(N223,2,2)="HA",VLOOKUP(I223,KEY_RSD_AF!$C$5:$G$52,2,FALSE),IF(MID(N223,2,2)="WA",VLOOKUP(I223,KEY_RSD_AF!$C$5:$G$52,3,FALSE),IF(MID(N223,2,2)="HH",VLOOKUP(I223,KEY_RSD_AF!$C$5:$G$52,4,FALSE),IF(MID(N223,2,2)="WH",VLOOKUP(I223,KEY_RSD_AF!$C$5:$G$52,5,FALSE))))))</f>
        <v>1</v>
      </c>
      <c r="S223" s="183">
        <f>'RSD (DEA)'!AZ110</f>
        <v>3.25</v>
      </c>
      <c r="T223" s="183">
        <f>'RSD (DEA)'!BA110</f>
        <v>3.45</v>
      </c>
      <c r="U223" s="183">
        <v>0.5</v>
      </c>
      <c r="V223" s="182">
        <f>'RSD (DEA)'!BR110/'RSD (DEA)'!S110</f>
        <v>72.75</v>
      </c>
      <c r="W223" s="184">
        <f>'RSD (DEA)'!BS110/RSD_HeatingDemand!$AH$9</f>
        <v>0</v>
      </c>
      <c r="X223" s="183">
        <f>'RSD (DEA)'!BK110*RSD_HeatingDemand!$AH$10/'RSD (DEA)'!S110</f>
        <v>1750</v>
      </c>
      <c r="Y223" s="182">
        <f>'RSD (DEA)'!BI110</f>
        <v>18</v>
      </c>
      <c r="Z223" s="252" t="str">
        <f>IF(ISBLANK(O223),"",IF(O223="ACT",1,-1))</f>
        <v/>
      </c>
      <c r="AA223" s="236">
        <f>'RSD (DEA)'!AM110</f>
        <v>31.536000000000001</v>
      </c>
      <c r="AB223" s="239"/>
      <c r="AC223" s="235">
        <f>'RSD (DEA)'!S110</f>
        <v>4</v>
      </c>
      <c r="AD223" s="235" t="str">
        <f>LEFT('RSD (DEA)'!AK110,2)&amp;RIGHT(E223,3)</f>
        <v>RWHSB</v>
      </c>
      <c r="AE223" s="183">
        <f>'RSD (DEA)'!BA110</f>
        <v>3.45</v>
      </c>
      <c r="AF223" s="183"/>
    </row>
    <row r="224" spans="1:32" x14ac:dyDescent="0.3">
      <c r="A224" s="235"/>
      <c r="D224" s="512"/>
      <c r="E224" s="512"/>
      <c r="F224" s="515"/>
      <c r="G224" s="515"/>
      <c r="H224" s="540"/>
      <c r="I224" s="512"/>
      <c r="J224" s="242"/>
      <c r="K224" s="242"/>
      <c r="L224" s="512"/>
      <c r="M224" s="182"/>
      <c r="N224" s="318" t="str">
        <f>AD223</f>
        <v>RWHSB</v>
      </c>
      <c r="O224" s="244"/>
      <c r="P224" s="182"/>
      <c r="Q224" s="182"/>
      <c r="R224" s="525">
        <f>IF(ISBLANK(I224),IF(MID(N224,2,2)="HA",VLOOKUP(I223,KEY_RSD_AF!$C$5:$G$52,2,FALSE),IF(MID(N224,2,2)="WA",VLOOKUP(I223,KEY_RSD_AF!$C$5:$G$52,3,FALSE),IF(MID(N224,2,2)="HH",VLOOKUP(I223,KEY_RSD_AF!$C$5:$G$52,4,FALSE),IF(MID(N224,2,2)="WH",VLOOKUP(I223,KEY_RSD_AF!$C$5:$G$52,5,FALSE))))),IF(MID(N224,2,2)="HA",VLOOKUP(I224,KEY_RSD_AF!$C$5:$G$52,2,FALSE),IF(MID(N224,2,2)="WA",VLOOKUP(I224,KEY_RSD_AF!$C$5:$G$52,3,FALSE),IF(MID(N224,2,2)="HH",VLOOKUP(I224,KEY_RSD_AF!$C$5:$G$52,4,FALSE),IF(MID(N224,2,2)="WH",VLOOKUP(I224,KEY_RSD_AF!$C$5:$G$52,5,FALSE))))))</f>
        <v>1</v>
      </c>
      <c r="S224" s="503">
        <f>T223</f>
        <v>3.45</v>
      </c>
      <c r="T224" s="183"/>
      <c r="U224" s="183"/>
      <c r="V224" s="182"/>
      <c r="W224" s="184"/>
      <c r="X224" s="183"/>
      <c r="Y224" s="182"/>
      <c r="Z224" s="252"/>
      <c r="AA224" s="236"/>
      <c r="AB224" s="239"/>
      <c r="AC224" s="235"/>
      <c r="AD224" s="235"/>
      <c r="AE224" s="183"/>
      <c r="AF224" s="183"/>
    </row>
    <row r="225" spans="1:32" x14ac:dyDescent="0.3">
      <c r="A225" s="244"/>
      <c r="D225" s="512"/>
      <c r="E225" s="513"/>
      <c r="F225" s="515"/>
      <c r="G225" s="515"/>
      <c r="H225" s="540"/>
      <c r="I225" s="513"/>
      <c r="J225" s="255"/>
      <c r="K225" s="255"/>
      <c r="L225" s="513"/>
      <c r="M225" s="252" t="str">
        <f>M223</f>
        <v>RSDAHT</v>
      </c>
      <c r="N225" s="244"/>
      <c r="O225" s="244" t="str">
        <f>$AH$12</f>
        <v>ACT</v>
      </c>
      <c r="P225" s="252"/>
      <c r="Q225" s="252"/>
      <c r="R225" s="525"/>
      <c r="S225" s="256"/>
      <c r="T225" s="256"/>
      <c r="U225" s="183"/>
      <c r="V225" s="252"/>
      <c r="W225" s="524"/>
      <c r="X225" s="256"/>
      <c r="Y225" s="252"/>
      <c r="Z225" s="252">
        <f>IF(ISBLANK(O225),"",IF(O225="ACT",1,-1))</f>
        <v>1</v>
      </c>
      <c r="AA225" s="257"/>
      <c r="AB225" s="239"/>
      <c r="AC225" s="244"/>
      <c r="AD225" s="244"/>
      <c r="AE225" s="256"/>
      <c r="AF225" s="256"/>
    </row>
    <row r="226" spans="1:32" x14ac:dyDescent="0.3">
      <c r="A226" s="244"/>
      <c r="D226" s="512"/>
      <c r="E226" s="513"/>
      <c r="F226" s="515"/>
      <c r="G226" s="515"/>
      <c r="H226" s="540"/>
      <c r="I226" s="513"/>
      <c r="J226" s="255"/>
      <c r="K226" s="255"/>
      <c r="L226" s="513"/>
      <c r="M226" s="252" t="str">
        <f>M225</f>
        <v>RSDAHT</v>
      </c>
      <c r="N226" s="244"/>
      <c r="O226" s="244" t="str">
        <f>L223</f>
        <v>RSDELC</v>
      </c>
      <c r="P226" s="252"/>
      <c r="Q226" s="252"/>
      <c r="R226" s="525"/>
      <c r="S226" s="256"/>
      <c r="T226" s="256"/>
      <c r="U226" s="183"/>
      <c r="V226" s="252"/>
      <c r="W226" s="524"/>
      <c r="X226" s="256"/>
      <c r="Y226" s="252"/>
      <c r="Z226" s="252">
        <f>IF(ISBLANK(O226),"",IF(O226="ACT",1,-1))</f>
        <v>-1</v>
      </c>
      <c r="AA226" s="257"/>
      <c r="AB226" s="239"/>
      <c r="AC226" s="244"/>
      <c r="AD226" s="244"/>
      <c r="AE226" s="256"/>
      <c r="AF226" s="256"/>
    </row>
    <row r="227" spans="1:32" x14ac:dyDescent="0.3">
      <c r="A227" s="235"/>
      <c r="C227" s="528" t="str">
        <f>'RSD (DEA)'!Z111</f>
        <v>HP_ELC_04</v>
      </c>
      <c r="D227" s="512" t="str">
        <f>RSD_HeatingDemand!N227&amp;"_"&amp;C227</f>
        <v>RHHSB_HP_ELC_04</v>
      </c>
      <c r="E227" s="512" t="str">
        <f>"R"&amp;LEFT('RSD (DEA)'!AD111,2)&amp;IF(ISNUMBER(IFERROR(FIND("HTH",'RSD (DEA)'!Z111),IFERROR(FIND("HP",'RSD (DEA)'!Z111),"C"))),IF(IFERROR(FIND("HTH",'RSD (DEA)'!Z111),100)=100,"B","A"),"C")</f>
        <v>RHSB</v>
      </c>
      <c r="F227" s="515"/>
      <c r="G227" s="515"/>
      <c r="H227" s="540" t="str">
        <f t="shared" si="6"/>
        <v>RHHSB_HP_ELC_14</v>
      </c>
      <c r="I227" s="512" t="str">
        <f>'RSD (DEA)'!AA111</f>
        <v>Electric heat pumps, Air-to-water</v>
      </c>
      <c r="J227" s="242" t="s">
        <v>239</v>
      </c>
      <c r="K227" s="242" t="s">
        <v>240</v>
      </c>
      <c r="L227" s="512" t="str">
        <f>'RSD (DEA)'!AH111</f>
        <v>RSDELC</v>
      </c>
      <c r="M227" s="182" t="str">
        <f>'RSD (DEA)'!AI111</f>
        <v>RSDAHT</v>
      </c>
      <c r="N227" s="235" t="str">
        <f>LEFT('RSD (DEA)'!AJ111,2)&amp;RIGHT(E227,3)</f>
        <v>RHHSB</v>
      </c>
      <c r="O227" s="244"/>
      <c r="P227" s="182">
        <f>IF('RSD (DEA)'!P111&lt;RSD_HeatingDemand!$AH$15,RSD_HeatingDemand!$AH$15,'RSD (DEA)'!P111)</f>
        <v>2019</v>
      </c>
      <c r="Q227" s="182">
        <f>IF('RSD (DEA)'!X111&lt;RSD_HeatingDemand!$AH$15,RSD_HeatingDemand!$AH$15,'RSD (DEA)'!X111)</f>
        <v>2020</v>
      </c>
      <c r="R227" s="525">
        <f>IF(ISBLANK(I227),IF(MID(N227,2,2)="HA",VLOOKUP(I226,KEY_RSD_AF!$C$5:$G$52,2,FALSE),IF(MID(N227,2,2)="WA",VLOOKUP(I226,KEY_RSD_AF!$C$5:$G$52,3,FALSE),IF(MID(N227,2,2)="HH",VLOOKUP(I226,KEY_RSD_AF!$C$5:$G$52,4,FALSE),IF(MID(N227,2,2)="WH",VLOOKUP(I226,KEY_RSD_AF!$C$5:$G$52,5,FALSE))))),IF(MID(N227,2,2)="HA",VLOOKUP(I227,KEY_RSD_AF!$C$5:$G$52,2,FALSE),IF(MID(N227,2,2)="WA",VLOOKUP(I227,KEY_RSD_AF!$C$5:$G$52,3,FALSE),IF(MID(N227,2,2)="HH",VLOOKUP(I227,KEY_RSD_AF!$C$5:$G$52,4,FALSE),IF(MID(N227,2,2)="WH",VLOOKUP(I227,KEY_RSD_AF!$C$5:$G$52,5,FALSE))))))</f>
        <v>1</v>
      </c>
      <c r="S227" s="183">
        <f>'RSD (DEA)'!AZ111</f>
        <v>3.35</v>
      </c>
      <c r="T227" s="183">
        <f>'RSD (DEA)'!BA111</f>
        <v>3.55</v>
      </c>
      <c r="U227" s="183">
        <v>0.5</v>
      </c>
      <c r="V227" s="182">
        <f>'RSD (DEA)'!BR111/'RSD (DEA)'!S111</f>
        <v>69.5</v>
      </c>
      <c r="W227" s="184">
        <f>'RSD (DEA)'!BS111/RSD_HeatingDemand!$AH$9</f>
        <v>0</v>
      </c>
      <c r="X227" s="183">
        <f>'RSD (DEA)'!BK111*RSD_HeatingDemand!$AH$10/'RSD (DEA)'!S111</f>
        <v>1750</v>
      </c>
      <c r="Y227" s="182">
        <f>'RSD (DEA)'!BI111</f>
        <v>18</v>
      </c>
      <c r="Z227" s="252" t="str">
        <f>IF(ISBLANK(O227),"",IF(O227="ACT",1,-1))</f>
        <v/>
      </c>
      <c r="AA227" s="236">
        <f>'RSD (DEA)'!AM111</f>
        <v>31.536000000000001</v>
      </c>
      <c r="AB227" s="239"/>
      <c r="AC227" s="235">
        <f>'RSD (DEA)'!S111</f>
        <v>4</v>
      </c>
      <c r="AD227" s="235" t="str">
        <f>LEFT('RSD (DEA)'!AK111,2)&amp;RIGHT(E227,3)</f>
        <v>RWHSB</v>
      </c>
      <c r="AE227" s="183">
        <f>'RSD (DEA)'!BA111</f>
        <v>3.55</v>
      </c>
      <c r="AF227" s="183"/>
    </row>
    <row r="228" spans="1:32" x14ac:dyDescent="0.3">
      <c r="A228" s="235"/>
      <c r="D228" s="512"/>
      <c r="E228" s="512"/>
      <c r="F228" s="515"/>
      <c r="G228" s="515"/>
      <c r="H228" s="540"/>
      <c r="I228" s="512"/>
      <c r="J228" s="242"/>
      <c r="K228" s="242"/>
      <c r="L228" s="512"/>
      <c r="M228" s="182"/>
      <c r="N228" s="318" t="str">
        <f>AD227</f>
        <v>RWHSB</v>
      </c>
      <c r="O228" s="244"/>
      <c r="P228" s="182"/>
      <c r="Q228" s="182"/>
      <c r="R228" s="525">
        <f>IF(ISBLANK(I228),IF(MID(N228,2,2)="HA",VLOOKUP(I227,KEY_RSD_AF!$C$5:$G$52,2,FALSE),IF(MID(N228,2,2)="WA",VLOOKUP(I227,KEY_RSD_AF!$C$5:$G$52,3,FALSE),IF(MID(N228,2,2)="HH",VLOOKUP(I227,KEY_RSD_AF!$C$5:$G$52,4,FALSE),IF(MID(N228,2,2)="WH",VLOOKUP(I227,KEY_RSD_AF!$C$5:$G$52,5,FALSE))))),IF(MID(N228,2,2)="HA",VLOOKUP(I228,KEY_RSD_AF!$C$5:$G$52,2,FALSE),IF(MID(N228,2,2)="WA",VLOOKUP(I228,KEY_RSD_AF!$C$5:$G$52,3,FALSE),IF(MID(N228,2,2)="HH",VLOOKUP(I228,KEY_RSD_AF!$C$5:$G$52,4,FALSE),IF(MID(N228,2,2)="WH",VLOOKUP(I228,KEY_RSD_AF!$C$5:$G$52,5,FALSE))))))</f>
        <v>1</v>
      </c>
      <c r="S228" s="503">
        <f>T227</f>
        <v>3.55</v>
      </c>
      <c r="T228" s="183"/>
      <c r="U228" s="183"/>
      <c r="V228" s="182"/>
      <c r="W228" s="184"/>
      <c r="X228" s="183"/>
      <c r="Y228" s="182"/>
      <c r="Z228" s="252"/>
      <c r="AA228" s="236"/>
      <c r="AB228" s="239"/>
      <c r="AC228" s="235"/>
      <c r="AD228" s="235"/>
      <c r="AE228" s="183"/>
      <c r="AF228" s="183"/>
    </row>
    <row r="229" spans="1:32" x14ac:dyDescent="0.3">
      <c r="A229" s="244"/>
      <c r="D229" s="512"/>
      <c r="E229" s="513"/>
      <c r="F229" s="515"/>
      <c r="G229" s="515"/>
      <c r="H229" s="540"/>
      <c r="I229" s="513"/>
      <c r="J229" s="255"/>
      <c r="K229" s="255"/>
      <c r="L229" s="513"/>
      <c r="M229" s="252" t="str">
        <f>M227</f>
        <v>RSDAHT</v>
      </c>
      <c r="N229" s="244"/>
      <c r="O229" s="244" t="str">
        <f>$AH$12</f>
        <v>ACT</v>
      </c>
      <c r="P229" s="252"/>
      <c r="Q229" s="252"/>
      <c r="R229" s="525"/>
      <c r="S229" s="256"/>
      <c r="T229" s="256"/>
      <c r="U229" s="183"/>
      <c r="V229" s="252"/>
      <c r="W229" s="524"/>
      <c r="X229" s="256"/>
      <c r="Y229" s="252"/>
      <c r="Z229" s="252">
        <f>IF(ISBLANK(O229),"",IF(O229="ACT",1,-1))</f>
        <v>1</v>
      </c>
      <c r="AA229" s="257"/>
      <c r="AB229" s="239"/>
      <c r="AC229" s="244"/>
      <c r="AD229" s="244"/>
      <c r="AE229" s="256"/>
      <c r="AF229" s="256"/>
    </row>
    <row r="230" spans="1:32" x14ac:dyDescent="0.3">
      <c r="A230" s="244"/>
      <c r="D230" s="512"/>
      <c r="E230" s="513"/>
      <c r="F230" s="515"/>
      <c r="G230" s="515"/>
      <c r="H230" s="540"/>
      <c r="I230" s="513"/>
      <c r="J230" s="255"/>
      <c r="K230" s="255"/>
      <c r="L230" s="513"/>
      <c r="M230" s="252" t="str">
        <f>M229</f>
        <v>RSDAHT</v>
      </c>
      <c r="N230" s="244"/>
      <c r="O230" s="244" t="str">
        <f>L227</f>
        <v>RSDELC</v>
      </c>
      <c r="P230" s="252"/>
      <c r="Q230" s="252"/>
      <c r="R230" s="525"/>
      <c r="S230" s="256"/>
      <c r="T230" s="256"/>
      <c r="U230" s="183"/>
      <c r="V230" s="252"/>
      <c r="W230" s="524"/>
      <c r="X230" s="256"/>
      <c r="Y230" s="252"/>
      <c r="Z230" s="252">
        <f>IF(ISBLANK(O230),"",IF(O230="ACT",1,-1))</f>
        <v>-1</v>
      </c>
      <c r="AA230" s="257"/>
      <c r="AB230" s="239"/>
      <c r="AC230" s="244"/>
      <c r="AD230" s="244"/>
      <c r="AE230" s="256"/>
      <c r="AF230" s="256"/>
    </row>
    <row r="231" spans="1:32" x14ac:dyDescent="0.3">
      <c r="A231" s="235"/>
      <c r="C231" s="528" t="str">
        <f>'RSD (DEA)'!Z112</f>
        <v>HP_ELC_04</v>
      </c>
      <c r="D231" s="512" t="str">
        <f>RSD_HeatingDemand!N231&amp;"_"&amp;C231</f>
        <v>RHHSB_HP_ELC_04</v>
      </c>
      <c r="E231" s="512" t="str">
        <f>"R"&amp;LEFT('RSD (DEA)'!AD112,2)&amp;IF(ISNUMBER(IFERROR(FIND("HTH",'RSD (DEA)'!Z112),IFERROR(FIND("HP",'RSD (DEA)'!Z112),"C"))),IF(IFERROR(FIND("HTH",'RSD (DEA)'!Z112),100)=100,"B","A"),"C")</f>
        <v>RHSB</v>
      </c>
      <c r="F231" s="515"/>
      <c r="G231" s="515"/>
      <c r="H231" s="540" t="str">
        <f t="shared" si="6"/>
        <v>RHHSB_HP_ELC_15</v>
      </c>
      <c r="I231" s="512" t="str">
        <f>'RSD (DEA)'!AA112</f>
        <v>Electric heat pumps, Air-to-water</v>
      </c>
      <c r="J231" s="242" t="s">
        <v>239</v>
      </c>
      <c r="K231" s="242" t="s">
        <v>240</v>
      </c>
      <c r="L231" s="512" t="str">
        <f>'RSD (DEA)'!AH112</f>
        <v>RSDELC</v>
      </c>
      <c r="M231" s="182" t="str">
        <f>'RSD (DEA)'!AI112</f>
        <v>RSDAHT</v>
      </c>
      <c r="N231" s="235" t="str">
        <f>LEFT('RSD (DEA)'!AJ112,2)&amp;RIGHT(E231,3)</f>
        <v>RHHSB</v>
      </c>
      <c r="O231" s="244"/>
      <c r="P231" s="182">
        <f>IF('RSD (DEA)'!P112&lt;RSD_HeatingDemand!$AH$15,RSD_HeatingDemand!$AH$15,'RSD (DEA)'!P112)</f>
        <v>2019</v>
      </c>
      <c r="Q231" s="182">
        <f>IF('RSD (DEA)'!X112&lt;RSD_HeatingDemand!$AH$15,RSD_HeatingDemand!$AH$15,'RSD (DEA)'!X112)</f>
        <v>2030</v>
      </c>
      <c r="R231" s="525">
        <f>IF(ISBLANK(I231),IF(MID(N231,2,2)="HA",VLOOKUP(I230,KEY_RSD_AF!$C$5:$G$52,2,FALSE),IF(MID(N231,2,2)="WA",VLOOKUP(I230,KEY_RSD_AF!$C$5:$G$52,3,FALSE),IF(MID(N231,2,2)="HH",VLOOKUP(I230,KEY_RSD_AF!$C$5:$G$52,4,FALSE),IF(MID(N231,2,2)="WH",VLOOKUP(I230,KEY_RSD_AF!$C$5:$G$52,5,FALSE))))),IF(MID(N231,2,2)="HA",VLOOKUP(I231,KEY_RSD_AF!$C$5:$G$52,2,FALSE),IF(MID(N231,2,2)="WA",VLOOKUP(I231,KEY_RSD_AF!$C$5:$G$52,3,FALSE),IF(MID(N231,2,2)="HH",VLOOKUP(I231,KEY_RSD_AF!$C$5:$G$52,4,FALSE),IF(MID(N231,2,2)="WH",VLOOKUP(I231,KEY_RSD_AF!$C$5:$G$52,5,FALSE))))))</f>
        <v>1</v>
      </c>
      <c r="S231" s="183">
        <f>'RSD (DEA)'!AZ112</f>
        <v>3.45</v>
      </c>
      <c r="T231" s="183">
        <f>'RSD (DEA)'!BA112</f>
        <v>3.65</v>
      </c>
      <c r="U231" s="183">
        <v>0.5</v>
      </c>
      <c r="V231" s="182">
        <f>'RSD (DEA)'!BR112/'RSD (DEA)'!S112</f>
        <v>63.75</v>
      </c>
      <c r="W231" s="184">
        <f>'RSD (DEA)'!BS112/RSD_HeatingDemand!$AH$9</f>
        <v>0</v>
      </c>
      <c r="X231" s="183">
        <f>'RSD (DEA)'!BK112*RSD_HeatingDemand!$AH$10/'RSD (DEA)'!S112</f>
        <v>1500</v>
      </c>
      <c r="Y231" s="182">
        <f>'RSD (DEA)'!BI112</f>
        <v>18</v>
      </c>
      <c r="Z231" s="252" t="str">
        <f>IF(ISBLANK(O231),"",IF(O231="ACT",1,-1))</f>
        <v/>
      </c>
      <c r="AA231" s="236">
        <f>'RSD (DEA)'!AM112</f>
        <v>31.536000000000001</v>
      </c>
      <c r="AB231" s="239"/>
      <c r="AC231" s="235">
        <f>'RSD (DEA)'!S112</f>
        <v>4</v>
      </c>
      <c r="AD231" s="235" t="str">
        <f>LEFT('RSD (DEA)'!AK112,2)&amp;RIGHT(E231,3)</f>
        <v>RWHSB</v>
      </c>
      <c r="AE231" s="183">
        <f>'RSD (DEA)'!BA112</f>
        <v>3.65</v>
      </c>
      <c r="AF231" s="183"/>
    </row>
    <row r="232" spans="1:32" x14ac:dyDescent="0.3">
      <c r="A232" s="235"/>
      <c r="D232" s="512"/>
      <c r="E232" s="512"/>
      <c r="F232" s="515"/>
      <c r="G232" s="515"/>
      <c r="H232" s="540"/>
      <c r="I232" s="512"/>
      <c r="J232" s="242"/>
      <c r="K232" s="242"/>
      <c r="L232" s="512"/>
      <c r="M232" s="182"/>
      <c r="N232" s="318" t="str">
        <f>AD231</f>
        <v>RWHSB</v>
      </c>
      <c r="O232" s="244"/>
      <c r="P232" s="182"/>
      <c r="Q232" s="182"/>
      <c r="R232" s="525">
        <f>IF(ISBLANK(I232),IF(MID(N232,2,2)="HA",VLOOKUP(I231,KEY_RSD_AF!$C$5:$G$52,2,FALSE),IF(MID(N232,2,2)="WA",VLOOKUP(I231,KEY_RSD_AF!$C$5:$G$52,3,FALSE),IF(MID(N232,2,2)="HH",VLOOKUP(I231,KEY_RSD_AF!$C$5:$G$52,4,FALSE),IF(MID(N232,2,2)="WH",VLOOKUP(I231,KEY_RSD_AF!$C$5:$G$52,5,FALSE))))),IF(MID(N232,2,2)="HA",VLOOKUP(I232,KEY_RSD_AF!$C$5:$G$52,2,FALSE),IF(MID(N232,2,2)="WA",VLOOKUP(I232,KEY_RSD_AF!$C$5:$G$52,3,FALSE),IF(MID(N232,2,2)="HH",VLOOKUP(I232,KEY_RSD_AF!$C$5:$G$52,4,FALSE),IF(MID(N232,2,2)="WH",VLOOKUP(I232,KEY_RSD_AF!$C$5:$G$52,5,FALSE))))))</f>
        <v>1</v>
      </c>
      <c r="S232" s="503">
        <f>T231</f>
        <v>3.65</v>
      </c>
      <c r="T232" s="183"/>
      <c r="U232" s="183"/>
      <c r="V232" s="182"/>
      <c r="W232" s="184"/>
      <c r="X232" s="183"/>
      <c r="Y232" s="182"/>
      <c r="Z232" s="252"/>
      <c r="AA232" s="236"/>
      <c r="AB232" s="239"/>
      <c r="AC232" s="235"/>
      <c r="AD232" s="235"/>
      <c r="AE232" s="183"/>
      <c r="AF232" s="183"/>
    </row>
    <row r="233" spans="1:32" x14ac:dyDescent="0.3">
      <c r="A233" s="244"/>
      <c r="D233" s="512"/>
      <c r="E233" s="513"/>
      <c r="F233" s="515"/>
      <c r="G233" s="515"/>
      <c r="H233" s="540"/>
      <c r="I233" s="513"/>
      <c r="J233" s="255"/>
      <c r="K233" s="255"/>
      <c r="L233" s="513"/>
      <c r="M233" s="252" t="str">
        <f>M231</f>
        <v>RSDAHT</v>
      </c>
      <c r="N233" s="244"/>
      <c r="O233" s="244" t="str">
        <f>$AH$12</f>
        <v>ACT</v>
      </c>
      <c r="P233" s="252"/>
      <c r="Q233" s="252"/>
      <c r="R233" s="525"/>
      <c r="S233" s="256"/>
      <c r="T233" s="256"/>
      <c r="U233" s="183"/>
      <c r="V233" s="252"/>
      <c r="W233" s="524"/>
      <c r="X233" s="256"/>
      <c r="Y233" s="252"/>
      <c r="Z233" s="252">
        <f>IF(ISBLANK(O233),"",IF(O233="ACT",1,-1))</f>
        <v>1</v>
      </c>
      <c r="AA233" s="257"/>
      <c r="AB233" s="239"/>
      <c r="AC233" s="244"/>
      <c r="AD233" s="244"/>
      <c r="AE233" s="256"/>
      <c r="AF233" s="256"/>
    </row>
    <row r="234" spans="1:32" x14ac:dyDescent="0.3">
      <c r="A234" s="244"/>
      <c r="D234" s="512"/>
      <c r="E234" s="513"/>
      <c r="F234" s="515"/>
      <c r="G234" s="515"/>
      <c r="H234" s="540"/>
      <c r="I234" s="513"/>
      <c r="J234" s="255"/>
      <c r="K234" s="255"/>
      <c r="L234" s="513"/>
      <c r="M234" s="252" t="str">
        <f>M233</f>
        <v>RSDAHT</v>
      </c>
      <c r="N234" s="244"/>
      <c r="O234" s="244" t="str">
        <f>L231</f>
        <v>RSDELC</v>
      </c>
      <c r="P234" s="252"/>
      <c r="Q234" s="252"/>
      <c r="R234" s="525"/>
      <c r="S234" s="256"/>
      <c r="T234" s="256"/>
      <c r="U234" s="183"/>
      <c r="V234" s="252"/>
      <c r="W234" s="524"/>
      <c r="X234" s="256"/>
      <c r="Y234" s="252"/>
      <c r="Z234" s="252">
        <f>IF(ISBLANK(O234),"",IF(O234="ACT",1,-1))</f>
        <v>-1</v>
      </c>
      <c r="AA234" s="257"/>
      <c r="AB234" s="239"/>
      <c r="AC234" s="244"/>
      <c r="AD234" s="244"/>
      <c r="AE234" s="256"/>
      <c r="AF234" s="256"/>
    </row>
    <row r="235" spans="1:32" x14ac:dyDescent="0.3">
      <c r="A235" s="235"/>
      <c r="C235" s="528" t="str">
        <f>'RSD (DEA)'!Z113</f>
        <v>HP_ELC_04</v>
      </c>
      <c r="D235" s="512" t="str">
        <f>RSD_HeatingDemand!N235&amp;"_"&amp;C235</f>
        <v>RHHSB_HP_ELC_04</v>
      </c>
      <c r="E235" s="512" t="str">
        <f>"R"&amp;LEFT('RSD (DEA)'!AD113,2)&amp;IF(ISNUMBER(IFERROR(FIND("HTH",'RSD (DEA)'!Z113),IFERROR(FIND("HP",'RSD (DEA)'!Z113),"C"))),IF(IFERROR(FIND("HTH",'RSD (DEA)'!Z113),100)=100,"B","A"),"C")</f>
        <v>RHSB</v>
      </c>
      <c r="F235" s="515"/>
      <c r="G235" s="515"/>
      <c r="H235" s="540" t="str">
        <f t="shared" si="6"/>
        <v>RHHSB_HP_ELC_16</v>
      </c>
      <c r="I235" s="512" t="str">
        <f>'RSD (DEA)'!AA113</f>
        <v>Electric heat pumps, Air-to-water</v>
      </c>
      <c r="J235" s="242" t="s">
        <v>239</v>
      </c>
      <c r="K235" s="242" t="s">
        <v>240</v>
      </c>
      <c r="L235" s="512" t="str">
        <f>'RSD (DEA)'!AH113</f>
        <v>RSDELC</v>
      </c>
      <c r="M235" s="182" t="str">
        <f>'RSD (DEA)'!AI113</f>
        <v>RSDAHT</v>
      </c>
      <c r="N235" s="235" t="str">
        <f>LEFT('RSD (DEA)'!AJ113,2)&amp;RIGHT(E235,3)</f>
        <v>RHHSB</v>
      </c>
      <c r="O235" s="244"/>
      <c r="P235" s="182">
        <f>IF('RSD (DEA)'!P113&lt;RSD_HeatingDemand!$AH$15,RSD_HeatingDemand!$AH$15,'RSD (DEA)'!P113)</f>
        <v>2019</v>
      </c>
      <c r="Q235" s="182">
        <f>IF('RSD (DEA)'!X113&lt;RSD_HeatingDemand!$AH$15,RSD_HeatingDemand!$AH$15,'RSD (DEA)'!X113)</f>
        <v>2050</v>
      </c>
      <c r="R235" s="525">
        <f>IF(ISBLANK(I235),IF(MID(N235,2,2)="HA",VLOOKUP(I234,KEY_RSD_AF!$C$5:$G$52,2,FALSE),IF(MID(N235,2,2)="WA",VLOOKUP(I234,KEY_RSD_AF!$C$5:$G$52,3,FALSE),IF(MID(N235,2,2)="HH",VLOOKUP(I234,KEY_RSD_AF!$C$5:$G$52,4,FALSE),IF(MID(N235,2,2)="WH",VLOOKUP(I234,KEY_RSD_AF!$C$5:$G$52,5,FALSE))))),IF(MID(N235,2,2)="HA",VLOOKUP(I235,KEY_RSD_AF!$C$5:$G$52,2,FALSE),IF(MID(N235,2,2)="WA",VLOOKUP(I235,KEY_RSD_AF!$C$5:$G$52,3,FALSE),IF(MID(N235,2,2)="HH",VLOOKUP(I235,KEY_RSD_AF!$C$5:$G$52,4,FALSE),IF(MID(N235,2,2)="WH",VLOOKUP(I235,KEY_RSD_AF!$C$5:$G$52,5,FALSE))))))</f>
        <v>1</v>
      </c>
      <c r="S235" s="183">
        <f>'RSD (DEA)'!AZ113</f>
        <v>3.65</v>
      </c>
      <c r="T235" s="183">
        <f>'RSD (DEA)'!BA113</f>
        <v>3.8</v>
      </c>
      <c r="U235" s="183">
        <v>0.5</v>
      </c>
      <c r="V235" s="182">
        <f>'RSD (DEA)'!BR113/'RSD (DEA)'!S113</f>
        <v>59.75</v>
      </c>
      <c r="W235" s="184">
        <f>'RSD (DEA)'!BS113/RSD_HeatingDemand!$AH$9</f>
        <v>0</v>
      </c>
      <c r="X235" s="183">
        <f>'RSD (DEA)'!BK113*RSD_HeatingDemand!$AH$10/'RSD (DEA)'!S113</f>
        <v>1250</v>
      </c>
      <c r="Y235" s="182">
        <f>'RSD (DEA)'!BI113</f>
        <v>18</v>
      </c>
      <c r="Z235" s="252" t="str">
        <f>IF(ISBLANK(O235),"",IF(O235="ACT",1,-1))</f>
        <v/>
      </c>
      <c r="AA235" s="236">
        <f>'RSD (DEA)'!AM113</f>
        <v>31.536000000000001</v>
      </c>
      <c r="AB235" s="239"/>
      <c r="AC235" s="235">
        <f>'RSD (DEA)'!S113</f>
        <v>4</v>
      </c>
      <c r="AD235" s="235" t="str">
        <f>LEFT('RSD (DEA)'!AK113,2)&amp;RIGHT(E235,3)</f>
        <v>RWHSB</v>
      </c>
      <c r="AE235" s="183">
        <f>'RSD (DEA)'!BA113</f>
        <v>3.8</v>
      </c>
      <c r="AF235" s="183"/>
    </row>
    <row r="236" spans="1:32" x14ac:dyDescent="0.3">
      <c r="A236" s="235"/>
      <c r="D236" s="512"/>
      <c r="E236" s="512"/>
      <c r="F236" s="515"/>
      <c r="G236" s="515"/>
      <c r="H236" s="540"/>
      <c r="I236" s="512"/>
      <c r="J236" s="242"/>
      <c r="K236" s="242"/>
      <c r="L236" s="512"/>
      <c r="M236" s="182"/>
      <c r="N236" s="318" t="str">
        <f>AD235</f>
        <v>RWHSB</v>
      </c>
      <c r="O236" s="244"/>
      <c r="P236" s="182"/>
      <c r="Q236" s="182"/>
      <c r="R236" s="525">
        <f>IF(ISBLANK(I236),IF(MID(N236,2,2)="HA",VLOOKUP(I235,KEY_RSD_AF!$C$5:$G$52,2,FALSE),IF(MID(N236,2,2)="WA",VLOOKUP(I235,KEY_RSD_AF!$C$5:$G$52,3,FALSE),IF(MID(N236,2,2)="HH",VLOOKUP(I235,KEY_RSD_AF!$C$5:$G$52,4,FALSE),IF(MID(N236,2,2)="WH",VLOOKUP(I235,KEY_RSD_AF!$C$5:$G$52,5,FALSE))))),IF(MID(N236,2,2)="HA",VLOOKUP(I236,KEY_RSD_AF!$C$5:$G$52,2,FALSE),IF(MID(N236,2,2)="WA",VLOOKUP(I236,KEY_RSD_AF!$C$5:$G$52,3,FALSE),IF(MID(N236,2,2)="HH",VLOOKUP(I236,KEY_RSD_AF!$C$5:$G$52,4,FALSE),IF(MID(N236,2,2)="WH",VLOOKUP(I236,KEY_RSD_AF!$C$5:$G$52,5,FALSE))))))</f>
        <v>1</v>
      </c>
      <c r="S236" s="503">
        <f>T235</f>
        <v>3.8</v>
      </c>
      <c r="T236" s="183"/>
      <c r="U236" s="183"/>
      <c r="V236" s="182"/>
      <c r="W236" s="184"/>
      <c r="X236" s="183"/>
      <c r="Y236" s="182"/>
      <c r="Z236" s="252"/>
      <c r="AA236" s="236"/>
      <c r="AB236" s="239"/>
      <c r="AC236" s="235"/>
      <c r="AD236" s="235"/>
      <c r="AE236" s="183"/>
      <c r="AF236" s="183"/>
    </row>
    <row r="237" spans="1:32" x14ac:dyDescent="0.3">
      <c r="A237" s="244"/>
      <c r="D237" s="512"/>
      <c r="E237" s="513"/>
      <c r="F237" s="515"/>
      <c r="G237" s="515"/>
      <c r="H237" s="540"/>
      <c r="I237" s="513"/>
      <c r="J237" s="255"/>
      <c r="K237" s="255"/>
      <c r="L237" s="513"/>
      <c r="M237" s="252" t="str">
        <f>M235</f>
        <v>RSDAHT</v>
      </c>
      <c r="N237" s="244"/>
      <c r="O237" s="244" t="str">
        <f>$AH$12</f>
        <v>ACT</v>
      </c>
      <c r="P237" s="252"/>
      <c r="Q237" s="252"/>
      <c r="R237" s="525"/>
      <c r="S237" s="256"/>
      <c r="T237" s="256"/>
      <c r="U237" s="183"/>
      <c r="V237" s="252"/>
      <c r="W237" s="524"/>
      <c r="X237" s="256"/>
      <c r="Y237" s="252"/>
      <c r="Z237" s="252">
        <f>IF(ISBLANK(O237),"",IF(O237="ACT",1,-1))</f>
        <v>1</v>
      </c>
      <c r="AA237" s="257"/>
      <c r="AB237" s="239"/>
      <c r="AC237" s="244"/>
      <c r="AD237" s="244"/>
      <c r="AE237" s="256"/>
      <c r="AF237" s="256"/>
    </row>
    <row r="238" spans="1:32" x14ac:dyDescent="0.3">
      <c r="A238" s="244"/>
      <c r="D238" s="512"/>
      <c r="E238" s="513"/>
      <c r="F238" s="515"/>
      <c r="G238" s="515"/>
      <c r="H238" s="540"/>
      <c r="I238" s="513"/>
      <c r="J238" s="255"/>
      <c r="K238" s="255"/>
      <c r="L238" s="513"/>
      <c r="M238" s="252" t="str">
        <f>M237</f>
        <v>RSDAHT</v>
      </c>
      <c r="N238" s="244"/>
      <c r="O238" s="244" t="str">
        <f>L235</f>
        <v>RSDELC</v>
      </c>
      <c r="P238" s="252"/>
      <c r="Q238" s="252"/>
      <c r="R238" s="525"/>
      <c r="S238" s="256"/>
      <c r="T238" s="256"/>
      <c r="U238" s="183"/>
      <c r="V238" s="252"/>
      <c r="W238" s="524"/>
      <c r="X238" s="256"/>
      <c r="Y238" s="252"/>
      <c r="Z238" s="252">
        <f>IF(ISBLANK(O238),"",IF(O238="ACT",1,-1))</f>
        <v>-1</v>
      </c>
      <c r="AA238" s="257"/>
      <c r="AB238" s="239"/>
      <c r="AC238" s="244"/>
      <c r="AD238" s="244"/>
      <c r="AE238" s="256"/>
      <c r="AF238" s="256"/>
    </row>
    <row r="239" spans="1:32" x14ac:dyDescent="0.3">
      <c r="A239" s="235"/>
      <c r="C239" s="528" t="str">
        <f>'RSD (DEA)'!Z114</f>
        <v>HP_ELC_05</v>
      </c>
      <c r="D239" s="512" t="str">
        <f>RSD_HeatingDemand!N239&amp;"_"&amp;LEFT(C239,LEN(C239)-2)&amp;"01"</f>
        <v>RHAPB_HP_ELC_01</v>
      </c>
      <c r="E239" s="512" t="str">
        <f>"R"&amp;LEFT('RSD (DEA)'!AD114,2)&amp;IF(ISNUMBER(IFERROR(FIND("HTH",'RSD (DEA)'!Z114),IFERROR(FIND("HP",'RSD (DEA)'!Z114),"C"))),IF(IFERROR(FIND("HTH",'RSD (DEA)'!Z114),100)=100,"B","A"),"C")</f>
        <v>RAPB</v>
      </c>
      <c r="F239" s="515"/>
      <c r="G239" s="515"/>
      <c r="H239" s="540" t="str">
        <f t="shared" si="6"/>
        <v>RHAPB_HP_ELC_01</v>
      </c>
      <c r="I239" s="512" t="str">
        <f>'RSD (DEA)'!AA114</f>
        <v>Electric heat pumps, Air-to-water</v>
      </c>
      <c r="J239" s="242" t="s">
        <v>239</v>
      </c>
      <c r="K239" s="242" t="s">
        <v>240</v>
      </c>
      <c r="L239" s="512" t="str">
        <f>'RSD (DEA)'!AH114</f>
        <v>RSDELC</v>
      </c>
      <c r="M239" s="182" t="str">
        <f>'RSD (DEA)'!AI114</f>
        <v>RSDAHT</v>
      </c>
      <c r="N239" s="235" t="str">
        <f>LEFT('RSD (DEA)'!AJ114,2)&amp;RIGHT(E239,3)</f>
        <v>RHAPB</v>
      </c>
      <c r="O239" s="244"/>
      <c r="P239" s="182">
        <f>IF('RSD (DEA)'!P114&lt;RSD_HeatingDemand!$AH$15,RSD_HeatingDemand!$AH$15,'RSD (DEA)'!P114)</f>
        <v>2019</v>
      </c>
      <c r="Q239" s="182">
        <f>IF('RSD (DEA)'!X114&lt;RSD_HeatingDemand!$AH$15,RSD_HeatingDemand!$AH$15,'RSD (DEA)'!X114)</f>
        <v>2019</v>
      </c>
      <c r="R239" s="525">
        <f>IF(ISBLANK(I239),IF(MID(N239,2,2)="HA",VLOOKUP(I238,KEY_RSD_AF!$C$5:$G$52,2,FALSE),IF(MID(N239,2,2)="WA",VLOOKUP(I238,KEY_RSD_AF!$C$5:$G$52,3,FALSE),IF(MID(N239,2,2)="HH",VLOOKUP(I238,KEY_RSD_AF!$C$5:$G$52,4,FALSE),IF(MID(N239,2,2)="WH",VLOOKUP(I238,KEY_RSD_AF!$C$5:$G$52,5,FALSE))))),IF(MID(N239,2,2)="HA",VLOOKUP(I239,KEY_RSD_AF!$C$5:$G$52,2,FALSE),IF(MID(N239,2,2)="WA",VLOOKUP(I239,KEY_RSD_AF!$C$5:$G$52,3,FALSE),IF(MID(N239,2,2)="HH",VLOOKUP(I239,KEY_RSD_AF!$C$5:$G$52,4,FALSE),IF(MID(N239,2,2)="WH",VLOOKUP(I239,KEY_RSD_AF!$C$5:$G$52,5,FALSE))))))</f>
        <v>1</v>
      </c>
      <c r="S239" s="183">
        <f>'RSD (DEA)'!AZ114</f>
        <v>4.0999999999999996</v>
      </c>
      <c r="T239" s="183">
        <f>'RSD (DEA)'!BA114</f>
        <v>4.3</v>
      </c>
      <c r="U239" s="183">
        <v>0.5</v>
      </c>
      <c r="V239" s="182">
        <f>'RSD (DEA)'!BR114/'RSD (DEA)'!S114</f>
        <v>4.0999999999999996</v>
      </c>
      <c r="W239" s="184">
        <f>'RSD (DEA)'!BS114/RSD_HeatingDemand!$AH$9</f>
        <v>0.12291666666666666</v>
      </c>
      <c r="X239" s="183">
        <f>'RSD (DEA)'!BK114*RSD_HeatingDemand!$AH$10/'RSD (DEA)'!S114</f>
        <v>375</v>
      </c>
      <c r="Y239" s="182">
        <f>'RSD (DEA)'!BI114</f>
        <v>20</v>
      </c>
      <c r="Z239" s="252" t="str">
        <f>IF(ISBLANK(O239),"",IF(O239="ACT",1,-1))</f>
        <v/>
      </c>
      <c r="AA239" s="236">
        <f>'RSD (DEA)'!AM114</f>
        <v>31.536000000000001</v>
      </c>
      <c r="AB239" s="239"/>
      <c r="AC239" s="235">
        <f>'RSD (DEA)'!S114</f>
        <v>400</v>
      </c>
      <c r="AD239" s="235" t="str">
        <f>LEFT('RSD (DEA)'!AK114,2)&amp;RIGHT(E239,3)</f>
        <v>RWAPB</v>
      </c>
      <c r="AE239" s="183">
        <f>'RSD (DEA)'!BA114</f>
        <v>4.3</v>
      </c>
      <c r="AF239" s="183"/>
    </row>
    <row r="240" spans="1:32" x14ac:dyDescent="0.3">
      <c r="A240" s="235"/>
      <c r="D240" s="512"/>
      <c r="E240" s="512"/>
      <c r="F240" s="515"/>
      <c r="G240" s="515"/>
      <c r="H240" s="540"/>
      <c r="I240" s="512"/>
      <c r="J240" s="242"/>
      <c r="K240" s="242"/>
      <c r="L240" s="512"/>
      <c r="M240" s="182"/>
      <c r="N240" s="318" t="str">
        <f>AD239</f>
        <v>RWAPB</v>
      </c>
      <c r="O240" s="244"/>
      <c r="P240" s="182"/>
      <c r="Q240" s="182"/>
      <c r="R240" s="525">
        <f>IF(ISBLANK(I240),IF(MID(N240,2,2)="HA",VLOOKUP(I239,KEY_RSD_AF!$C$5:$G$52,2,FALSE),IF(MID(N240,2,2)="WA",VLOOKUP(I239,KEY_RSD_AF!$C$5:$G$52,3,FALSE),IF(MID(N240,2,2)="HH",VLOOKUP(I239,KEY_RSD_AF!$C$5:$G$52,4,FALSE),IF(MID(N240,2,2)="WH",VLOOKUP(I239,KEY_RSD_AF!$C$5:$G$52,5,FALSE))))),IF(MID(N240,2,2)="HA",VLOOKUP(I240,KEY_RSD_AF!$C$5:$G$52,2,FALSE),IF(MID(N240,2,2)="WA",VLOOKUP(I240,KEY_RSD_AF!$C$5:$G$52,3,FALSE),IF(MID(N240,2,2)="HH",VLOOKUP(I240,KEY_RSD_AF!$C$5:$G$52,4,FALSE),IF(MID(N240,2,2)="WH",VLOOKUP(I240,KEY_RSD_AF!$C$5:$G$52,5,FALSE))))))</f>
        <v>1</v>
      </c>
      <c r="S240" s="503">
        <f>T239</f>
        <v>4.3</v>
      </c>
      <c r="T240" s="183"/>
      <c r="U240" s="183"/>
      <c r="V240" s="182"/>
      <c r="W240" s="184"/>
      <c r="X240" s="183"/>
      <c r="Y240" s="182"/>
      <c r="Z240" s="252"/>
      <c r="AA240" s="236"/>
      <c r="AB240" s="239"/>
      <c r="AC240" s="235"/>
      <c r="AD240" s="235"/>
      <c r="AE240" s="183"/>
      <c r="AF240" s="183"/>
    </row>
    <row r="241" spans="1:32" x14ac:dyDescent="0.3">
      <c r="A241" s="244"/>
      <c r="D241" s="512"/>
      <c r="E241" s="513"/>
      <c r="F241" s="515"/>
      <c r="G241" s="515"/>
      <c r="H241" s="540"/>
      <c r="I241" s="513"/>
      <c r="J241" s="255"/>
      <c r="K241" s="255"/>
      <c r="L241" s="513"/>
      <c r="M241" s="252" t="str">
        <f>M239</f>
        <v>RSDAHT</v>
      </c>
      <c r="N241" s="244"/>
      <c r="O241" s="244" t="str">
        <f>$AH$12</f>
        <v>ACT</v>
      </c>
      <c r="P241" s="252"/>
      <c r="Q241" s="252"/>
      <c r="R241" s="525"/>
      <c r="S241" s="256"/>
      <c r="T241" s="256"/>
      <c r="U241" s="183"/>
      <c r="V241" s="252"/>
      <c r="W241" s="524"/>
      <c r="X241" s="256"/>
      <c r="Y241" s="252"/>
      <c r="Z241" s="252">
        <f>IF(ISBLANK(O241),"",IF(O241="ACT",1,-1))</f>
        <v>1</v>
      </c>
      <c r="AA241" s="257"/>
      <c r="AB241" s="239"/>
      <c r="AC241" s="244"/>
      <c r="AD241" s="244"/>
      <c r="AE241" s="256"/>
      <c r="AF241" s="256"/>
    </row>
    <row r="242" spans="1:32" x14ac:dyDescent="0.3">
      <c r="A242" s="244"/>
      <c r="D242" s="512"/>
      <c r="E242" s="513"/>
      <c r="F242" s="515"/>
      <c r="G242" s="515"/>
      <c r="H242" s="540"/>
      <c r="I242" s="513"/>
      <c r="J242" s="255"/>
      <c r="K242" s="255"/>
      <c r="L242" s="513"/>
      <c r="M242" s="252" t="str">
        <f>M241</f>
        <v>RSDAHT</v>
      </c>
      <c r="N242" s="244"/>
      <c r="O242" s="244" t="str">
        <f>L239</f>
        <v>RSDELC</v>
      </c>
      <c r="P242" s="252"/>
      <c r="Q242" s="252"/>
      <c r="R242" s="525"/>
      <c r="S242" s="256"/>
      <c r="T242" s="256"/>
      <c r="U242" s="183"/>
      <c r="V242" s="252"/>
      <c r="W242" s="524"/>
      <c r="X242" s="256"/>
      <c r="Y242" s="252"/>
      <c r="Z242" s="252">
        <f>IF(ISBLANK(O242),"",IF(O242="ACT",1,-1))</f>
        <v>-1</v>
      </c>
      <c r="AA242" s="257"/>
      <c r="AB242" s="239"/>
      <c r="AC242" s="244"/>
      <c r="AD242" s="244"/>
      <c r="AE242" s="256"/>
      <c r="AF242" s="256"/>
    </row>
    <row r="243" spans="1:32" x14ac:dyDescent="0.3">
      <c r="A243" s="235"/>
      <c r="C243" s="528" t="str">
        <f>'RSD (DEA)'!Z115</f>
        <v>HP_ELC_05</v>
      </c>
      <c r="D243" s="512" t="str">
        <f>RSD_HeatingDemand!N243&amp;"_"&amp;LEFT(C243,LEN(C243)-2)&amp;"01"</f>
        <v>RHAPB_HP_ELC_01</v>
      </c>
      <c r="E243" s="512" t="str">
        <f>"R"&amp;LEFT('RSD (DEA)'!AD115,2)&amp;IF(ISNUMBER(IFERROR(FIND("HTH",'RSD (DEA)'!Z115),IFERROR(FIND("HP",'RSD (DEA)'!Z115),"C"))),IF(IFERROR(FIND("HTH",'RSD (DEA)'!Z115),100)=100,"B","A"),"C")</f>
        <v>RAPB</v>
      </c>
      <c r="F243" s="515"/>
      <c r="G243" s="515"/>
      <c r="H243" s="540" t="str">
        <f t="shared" si="6"/>
        <v>RHAPB_HP_ELC_02</v>
      </c>
      <c r="I243" s="512" t="str">
        <f>'RSD (DEA)'!AA115</f>
        <v>Electric heat pumps, Air-to-water</v>
      </c>
      <c r="J243" s="242" t="s">
        <v>239</v>
      </c>
      <c r="K243" s="242" t="s">
        <v>240</v>
      </c>
      <c r="L243" s="512" t="str">
        <f>'RSD (DEA)'!AH115</f>
        <v>RSDELC</v>
      </c>
      <c r="M243" s="182" t="str">
        <f>'RSD (DEA)'!AI115</f>
        <v>RSDAHT</v>
      </c>
      <c r="N243" s="235" t="str">
        <f>LEFT('RSD (DEA)'!AJ115,2)&amp;RIGHT(E243,3)</f>
        <v>RHAPB</v>
      </c>
      <c r="O243" s="244"/>
      <c r="P243" s="182">
        <f>IF('RSD (DEA)'!P115&lt;RSD_HeatingDemand!$AH$15,RSD_HeatingDemand!$AH$15,'RSD (DEA)'!P115)</f>
        <v>2019</v>
      </c>
      <c r="Q243" s="182">
        <f>IF('RSD (DEA)'!X115&lt;RSD_HeatingDemand!$AH$15,RSD_HeatingDemand!$AH$15,'RSD (DEA)'!X115)</f>
        <v>2020</v>
      </c>
      <c r="R243" s="525">
        <f>IF(ISBLANK(I243),IF(MID(N243,2,2)="HA",VLOOKUP(I242,KEY_RSD_AF!$C$5:$G$52,2,FALSE),IF(MID(N243,2,2)="WA",VLOOKUP(I242,KEY_RSD_AF!$C$5:$G$52,3,FALSE),IF(MID(N243,2,2)="HH",VLOOKUP(I242,KEY_RSD_AF!$C$5:$G$52,4,FALSE),IF(MID(N243,2,2)="WH",VLOOKUP(I242,KEY_RSD_AF!$C$5:$G$52,5,FALSE))))),IF(MID(N243,2,2)="HA",VLOOKUP(I243,KEY_RSD_AF!$C$5:$G$52,2,FALSE),IF(MID(N243,2,2)="WA",VLOOKUP(I243,KEY_RSD_AF!$C$5:$G$52,3,FALSE),IF(MID(N243,2,2)="HH",VLOOKUP(I243,KEY_RSD_AF!$C$5:$G$52,4,FALSE),IF(MID(N243,2,2)="WH",VLOOKUP(I243,KEY_RSD_AF!$C$5:$G$52,5,FALSE))))))</f>
        <v>1</v>
      </c>
      <c r="S243" s="183">
        <f>'RSD (DEA)'!AZ115</f>
        <v>4.2</v>
      </c>
      <c r="T243" s="183">
        <f>'RSD (DEA)'!BA115</f>
        <v>4.4000000000000004</v>
      </c>
      <c r="U243" s="183">
        <v>0.5</v>
      </c>
      <c r="V243" s="182">
        <f>'RSD (DEA)'!BR115/'RSD (DEA)'!S115</f>
        <v>4.125</v>
      </c>
      <c r="W243" s="184">
        <f>'RSD (DEA)'!BS115/RSD_HeatingDemand!$AH$9</f>
        <v>0.12291666666666666</v>
      </c>
      <c r="X243" s="183">
        <f>'RSD (DEA)'!BK115*RSD_HeatingDemand!$AH$10/'RSD (DEA)'!S115</f>
        <v>352.5</v>
      </c>
      <c r="Y243" s="182">
        <f>'RSD (DEA)'!BI115</f>
        <v>20</v>
      </c>
      <c r="Z243" s="252" t="str">
        <f>IF(ISBLANK(O243),"",IF(O243="ACT",1,-1))</f>
        <v/>
      </c>
      <c r="AA243" s="236">
        <f>'RSD (DEA)'!AM115</f>
        <v>31.536000000000001</v>
      </c>
      <c r="AB243" s="239"/>
      <c r="AC243" s="235">
        <f>'RSD (DEA)'!S115</f>
        <v>400</v>
      </c>
      <c r="AD243" s="235" t="str">
        <f>LEFT('RSD (DEA)'!AK115,2)&amp;RIGHT(E243,3)</f>
        <v>RWAPB</v>
      </c>
      <c r="AE243" s="183">
        <f>'RSD (DEA)'!BA115</f>
        <v>4.4000000000000004</v>
      </c>
      <c r="AF243" s="183"/>
    </row>
    <row r="244" spans="1:32" x14ac:dyDescent="0.3">
      <c r="A244" s="235"/>
      <c r="D244" s="512"/>
      <c r="E244" s="512"/>
      <c r="F244" s="515"/>
      <c r="G244" s="515"/>
      <c r="H244" s="540"/>
      <c r="I244" s="512"/>
      <c r="J244" s="242"/>
      <c r="K244" s="242"/>
      <c r="L244" s="512"/>
      <c r="M244" s="182"/>
      <c r="N244" s="318" t="str">
        <f>AD243</f>
        <v>RWAPB</v>
      </c>
      <c r="O244" s="244"/>
      <c r="P244" s="182"/>
      <c r="Q244" s="182"/>
      <c r="R244" s="525">
        <f>IF(ISBLANK(I244),IF(MID(N244,2,2)="HA",VLOOKUP(I243,KEY_RSD_AF!$C$5:$G$52,2,FALSE),IF(MID(N244,2,2)="WA",VLOOKUP(I243,KEY_RSD_AF!$C$5:$G$52,3,FALSE),IF(MID(N244,2,2)="HH",VLOOKUP(I243,KEY_RSD_AF!$C$5:$G$52,4,FALSE),IF(MID(N244,2,2)="WH",VLOOKUP(I243,KEY_RSD_AF!$C$5:$G$52,5,FALSE))))),IF(MID(N244,2,2)="HA",VLOOKUP(I244,KEY_RSD_AF!$C$5:$G$52,2,FALSE),IF(MID(N244,2,2)="WA",VLOOKUP(I244,KEY_RSD_AF!$C$5:$G$52,3,FALSE),IF(MID(N244,2,2)="HH",VLOOKUP(I244,KEY_RSD_AF!$C$5:$G$52,4,FALSE),IF(MID(N244,2,2)="WH",VLOOKUP(I244,KEY_RSD_AF!$C$5:$G$52,5,FALSE))))))</f>
        <v>1</v>
      </c>
      <c r="S244" s="503">
        <f>T243</f>
        <v>4.4000000000000004</v>
      </c>
      <c r="T244" s="183"/>
      <c r="U244" s="183"/>
      <c r="V244" s="182"/>
      <c r="W244" s="184"/>
      <c r="X244" s="183"/>
      <c r="Y244" s="182"/>
      <c r="Z244" s="252"/>
      <c r="AA244" s="236"/>
      <c r="AB244" s="239"/>
      <c r="AC244" s="235"/>
      <c r="AD244" s="235"/>
      <c r="AE244" s="183"/>
      <c r="AF244" s="183"/>
    </row>
    <row r="245" spans="1:32" x14ac:dyDescent="0.3">
      <c r="A245" s="244"/>
      <c r="D245" s="512"/>
      <c r="E245" s="513"/>
      <c r="F245" s="515"/>
      <c r="G245" s="515"/>
      <c r="H245" s="540"/>
      <c r="I245" s="513"/>
      <c r="J245" s="255"/>
      <c r="K245" s="255"/>
      <c r="L245" s="513"/>
      <c r="M245" s="252" t="str">
        <f>M243</f>
        <v>RSDAHT</v>
      </c>
      <c r="N245" s="244"/>
      <c r="O245" s="244" t="str">
        <f>$AH$12</f>
        <v>ACT</v>
      </c>
      <c r="P245" s="252"/>
      <c r="Q245" s="252"/>
      <c r="R245" s="525"/>
      <c r="S245" s="256"/>
      <c r="T245" s="256"/>
      <c r="U245" s="183"/>
      <c r="V245" s="252"/>
      <c r="W245" s="524"/>
      <c r="X245" s="256"/>
      <c r="Y245" s="252"/>
      <c r="Z245" s="252">
        <f>IF(ISBLANK(O245),"",IF(O245="ACT",1,-1))</f>
        <v>1</v>
      </c>
      <c r="AA245" s="257"/>
      <c r="AB245" s="239"/>
      <c r="AC245" s="244"/>
      <c r="AD245" s="244"/>
      <c r="AE245" s="256"/>
      <c r="AF245" s="256"/>
    </row>
    <row r="246" spans="1:32" x14ac:dyDescent="0.3">
      <c r="A246" s="244"/>
      <c r="D246" s="512"/>
      <c r="E246" s="513"/>
      <c r="F246" s="515"/>
      <c r="G246" s="515"/>
      <c r="H246" s="540"/>
      <c r="I246" s="513"/>
      <c r="J246" s="255"/>
      <c r="K246" s="255"/>
      <c r="L246" s="513"/>
      <c r="M246" s="252" t="str">
        <f>M245</f>
        <v>RSDAHT</v>
      </c>
      <c r="N246" s="244"/>
      <c r="O246" s="244" t="str">
        <f>L243</f>
        <v>RSDELC</v>
      </c>
      <c r="P246" s="252"/>
      <c r="Q246" s="252"/>
      <c r="R246" s="525"/>
      <c r="S246" s="256"/>
      <c r="T246" s="256"/>
      <c r="U246" s="183"/>
      <c r="V246" s="252"/>
      <c r="W246" s="524"/>
      <c r="X246" s="256"/>
      <c r="Y246" s="252"/>
      <c r="Z246" s="252">
        <f>IF(ISBLANK(O246),"",IF(O246="ACT",1,-1))</f>
        <v>-1</v>
      </c>
      <c r="AA246" s="257"/>
      <c r="AB246" s="239"/>
      <c r="AC246" s="244"/>
      <c r="AD246" s="244"/>
      <c r="AE246" s="256"/>
      <c r="AF246" s="256"/>
    </row>
    <row r="247" spans="1:32" x14ac:dyDescent="0.3">
      <c r="A247" s="235"/>
      <c r="C247" s="528" t="str">
        <f>'RSD (DEA)'!Z116</f>
        <v>HP_ELC_05</v>
      </c>
      <c r="D247" s="512" t="str">
        <f>RSD_HeatingDemand!N247&amp;"_"&amp;LEFT(C247,LEN(C247)-2)&amp;"01"</f>
        <v>RHAPB_HP_ELC_01</v>
      </c>
      <c r="E247" s="512" t="str">
        <f>"R"&amp;LEFT('RSD (DEA)'!AD116,2)&amp;IF(ISNUMBER(IFERROR(FIND("HTH",'RSD (DEA)'!Z116),IFERROR(FIND("HP",'RSD (DEA)'!Z116),"C"))),IF(IFERROR(FIND("HTH",'RSD (DEA)'!Z116),100)=100,"B","A"),"C")</f>
        <v>RAPB</v>
      </c>
      <c r="F247" s="515"/>
      <c r="G247" s="515"/>
      <c r="H247" s="540" t="str">
        <f t="shared" si="6"/>
        <v>RHAPB_HP_ELC_03</v>
      </c>
      <c r="I247" s="512" t="str">
        <f>'RSD (DEA)'!AA116</f>
        <v>Electric heat pumps, Air-to-water</v>
      </c>
      <c r="J247" s="242" t="s">
        <v>239</v>
      </c>
      <c r="K247" s="242" t="s">
        <v>240</v>
      </c>
      <c r="L247" s="512" t="str">
        <f>'RSD (DEA)'!AH116</f>
        <v>RSDELC</v>
      </c>
      <c r="M247" s="182" t="str">
        <f>'RSD (DEA)'!AI116</f>
        <v>RSDAHT</v>
      </c>
      <c r="N247" s="235" t="str">
        <f>LEFT('RSD (DEA)'!AJ116,2)&amp;RIGHT(E247,3)</f>
        <v>RHAPB</v>
      </c>
      <c r="O247" s="244"/>
      <c r="P247" s="182">
        <f>IF('RSD (DEA)'!P116&lt;RSD_HeatingDemand!$AH$15,RSD_HeatingDemand!$AH$15,'RSD (DEA)'!P116)</f>
        <v>2019</v>
      </c>
      <c r="Q247" s="182">
        <f>IF('RSD (DEA)'!X116&lt;RSD_HeatingDemand!$AH$15,RSD_HeatingDemand!$AH$15,'RSD (DEA)'!X116)</f>
        <v>2030</v>
      </c>
      <c r="R247" s="525">
        <f>IF(ISBLANK(I247),IF(MID(N247,2,2)="HA",VLOOKUP(I246,KEY_RSD_AF!$C$5:$G$52,2,FALSE),IF(MID(N247,2,2)="WA",VLOOKUP(I246,KEY_RSD_AF!$C$5:$G$52,3,FALSE),IF(MID(N247,2,2)="HH",VLOOKUP(I246,KEY_RSD_AF!$C$5:$G$52,4,FALSE),IF(MID(N247,2,2)="WH",VLOOKUP(I246,KEY_RSD_AF!$C$5:$G$52,5,FALSE))))),IF(MID(N247,2,2)="HA",VLOOKUP(I247,KEY_RSD_AF!$C$5:$G$52,2,FALSE),IF(MID(N247,2,2)="WA",VLOOKUP(I247,KEY_RSD_AF!$C$5:$G$52,3,FALSE),IF(MID(N247,2,2)="HH",VLOOKUP(I247,KEY_RSD_AF!$C$5:$G$52,4,FALSE),IF(MID(N247,2,2)="WH",VLOOKUP(I247,KEY_RSD_AF!$C$5:$G$52,5,FALSE))))))</f>
        <v>1</v>
      </c>
      <c r="S247" s="183">
        <f>'RSD (DEA)'!AZ116</f>
        <v>4.3</v>
      </c>
      <c r="T247" s="183">
        <f>'RSD (DEA)'!BA116</f>
        <v>4.5</v>
      </c>
      <c r="U247" s="183">
        <v>0.5</v>
      </c>
      <c r="V247" s="182">
        <f>'RSD (DEA)'!BR116/'RSD (DEA)'!S116</f>
        <v>4.665</v>
      </c>
      <c r="W247" s="184">
        <f>'RSD (DEA)'!BS116/RSD_HeatingDemand!$AH$9</f>
        <v>0.12291666666666666</v>
      </c>
      <c r="X247" s="183">
        <f>'RSD (DEA)'!BK116*RSD_HeatingDemand!$AH$10/'RSD (DEA)'!S116</f>
        <v>317.5</v>
      </c>
      <c r="Y247" s="182">
        <f>'RSD (DEA)'!BI116</f>
        <v>20</v>
      </c>
      <c r="Z247" s="252" t="str">
        <f>IF(ISBLANK(O247),"",IF(O247="ACT",1,-1))</f>
        <v/>
      </c>
      <c r="AA247" s="236">
        <f>'RSD (DEA)'!AM116</f>
        <v>31.536000000000001</v>
      </c>
      <c r="AB247" s="239"/>
      <c r="AC247" s="235">
        <f>'RSD (DEA)'!S116</f>
        <v>400</v>
      </c>
      <c r="AD247" s="235" t="str">
        <f>LEFT('RSD (DEA)'!AK116,2)&amp;RIGHT(E247,3)</f>
        <v>RWAPB</v>
      </c>
      <c r="AE247" s="183">
        <f>'RSD (DEA)'!BA116</f>
        <v>4.5</v>
      </c>
      <c r="AF247" s="183"/>
    </row>
    <row r="248" spans="1:32" x14ac:dyDescent="0.3">
      <c r="A248" s="235"/>
      <c r="D248" s="512"/>
      <c r="E248" s="512"/>
      <c r="F248" s="515"/>
      <c r="G248" s="515"/>
      <c r="H248" s="540"/>
      <c r="I248" s="512"/>
      <c r="J248" s="242"/>
      <c r="K248" s="242"/>
      <c r="L248" s="512"/>
      <c r="M248" s="182"/>
      <c r="N248" s="318" t="str">
        <f>AD247</f>
        <v>RWAPB</v>
      </c>
      <c r="O248" s="244"/>
      <c r="P248" s="182"/>
      <c r="Q248" s="182"/>
      <c r="R248" s="525">
        <f>IF(ISBLANK(I248),IF(MID(N248,2,2)="HA",VLOOKUP(I247,KEY_RSD_AF!$C$5:$G$52,2,FALSE),IF(MID(N248,2,2)="WA",VLOOKUP(I247,KEY_RSD_AF!$C$5:$G$52,3,FALSE),IF(MID(N248,2,2)="HH",VLOOKUP(I247,KEY_RSD_AF!$C$5:$G$52,4,FALSE),IF(MID(N248,2,2)="WH",VLOOKUP(I247,KEY_RSD_AF!$C$5:$G$52,5,FALSE))))),IF(MID(N248,2,2)="HA",VLOOKUP(I248,KEY_RSD_AF!$C$5:$G$52,2,FALSE),IF(MID(N248,2,2)="WA",VLOOKUP(I248,KEY_RSD_AF!$C$5:$G$52,3,FALSE),IF(MID(N248,2,2)="HH",VLOOKUP(I248,KEY_RSD_AF!$C$5:$G$52,4,FALSE),IF(MID(N248,2,2)="WH",VLOOKUP(I248,KEY_RSD_AF!$C$5:$G$52,5,FALSE))))))</f>
        <v>1</v>
      </c>
      <c r="S248" s="503">
        <f>T247</f>
        <v>4.5</v>
      </c>
      <c r="T248" s="183"/>
      <c r="U248" s="183"/>
      <c r="V248" s="182"/>
      <c r="W248" s="184"/>
      <c r="X248" s="183"/>
      <c r="Y248" s="182"/>
      <c r="Z248" s="252"/>
      <c r="AA248" s="236"/>
      <c r="AB248" s="239"/>
      <c r="AC248" s="235"/>
      <c r="AD248" s="235"/>
      <c r="AE248" s="183"/>
      <c r="AF248" s="183"/>
    </row>
    <row r="249" spans="1:32" x14ac:dyDescent="0.3">
      <c r="A249" s="244"/>
      <c r="D249" s="512"/>
      <c r="E249" s="513"/>
      <c r="F249" s="515"/>
      <c r="G249" s="515"/>
      <c r="H249" s="540"/>
      <c r="I249" s="513"/>
      <c r="J249" s="255"/>
      <c r="K249" s="255"/>
      <c r="L249" s="513"/>
      <c r="M249" s="252" t="str">
        <f>M247</f>
        <v>RSDAHT</v>
      </c>
      <c r="N249" s="244"/>
      <c r="O249" s="244" t="str">
        <f>$AH$12</f>
        <v>ACT</v>
      </c>
      <c r="P249" s="252"/>
      <c r="Q249" s="252"/>
      <c r="R249" s="525"/>
      <c r="S249" s="256"/>
      <c r="T249" s="256"/>
      <c r="U249" s="183"/>
      <c r="V249" s="252"/>
      <c r="W249" s="524"/>
      <c r="X249" s="256"/>
      <c r="Y249" s="252"/>
      <c r="Z249" s="252">
        <f>IF(ISBLANK(O249),"",IF(O249="ACT",1,-1))</f>
        <v>1</v>
      </c>
      <c r="AA249" s="257"/>
      <c r="AB249" s="239"/>
      <c r="AC249" s="244"/>
      <c r="AD249" s="244"/>
      <c r="AE249" s="256"/>
      <c r="AF249" s="256"/>
    </row>
    <row r="250" spans="1:32" x14ac:dyDescent="0.3">
      <c r="A250" s="244"/>
      <c r="D250" s="512"/>
      <c r="E250" s="513"/>
      <c r="F250" s="515"/>
      <c r="G250" s="515"/>
      <c r="H250" s="540"/>
      <c r="I250" s="513"/>
      <c r="J250" s="255"/>
      <c r="K250" s="255"/>
      <c r="L250" s="513"/>
      <c r="M250" s="252" t="str">
        <f>M249</f>
        <v>RSDAHT</v>
      </c>
      <c r="N250" s="244"/>
      <c r="O250" s="244" t="str">
        <f>L247</f>
        <v>RSDELC</v>
      </c>
      <c r="P250" s="252"/>
      <c r="Q250" s="252"/>
      <c r="R250" s="525"/>
      <c r="S250" s="256"/>
      <c r="T250" s="256"/>
      <c r="U250" s="183"/>
      <c r="V250" s="252"/>
      <c r="W250" s="524"/>
      <c r="X250" s="256"/>
      <c r="Y250" s="252"/>
      <c r="Z250" s="252">
        <f>IF(ISBLANK(O250),"",IF(O250="ACT",1,-1))</f>
        <v>-1</v>
      </c>
      <c r="AA250" s="257"/>
      <c r="AB250" s="239"/>
      <c r="AC250" s="244"/>
      <c r="AD250" s="244"/>
      <c r="AE250" s="256"/>
      <c r="AF250" s="256"/>
    </row>
    <row r="251" spans="1:32" x14ac:dyDescent="0.3">
      <c r="A251" s="235"/>
      <c r="C251" s="528" t="str">
        <f>'RSD (DEA)'!Z117</f>
        <v>HP_ELC_05</v>
      </c>
      <c r="D251" s="512" t="str">
        <f>RSD_HeatingDemand!N251&amp;"_"&amp;LEFT(C251,LEN(C251)-2)&amp;"01"</f>
        <v>RHAPB_HP_ELC_01</v>
      </c>
      <c r="E251" s="512" t="str">
        <f>"R"&amp;LEFT('RSD (DEA)'!AD117,2)&amp;IF(ISNUMBER(IFERROR(FIND("HTH",'RSD (DEA)'!Z117),IFERROR(FIND("HP",'RSD (DEA)'!Z117),"C"))),IF(IFERROR(FIND("HTH",'RSD (DEA)'!Z117),100)=100,"B","A"),"C")</f>
        <v>RAPB</v>
      </c>
      <c r="F251" s="515"/>
      <c r="G251" s="515"/>
      <c r="H251" s="540" t="str">
        <f t="shared" si="6"/>
        <v>RHAPB_HP_ELC_04</v>
      </c>
      <c r="I251" s="512" t="str">
        <f>'RSD (DEA)'!AA117</f>
        <v>Electric heat pumps, Air-to-water</v>
      </c>
      <c r="J251" s="242" t="s">
        <v>239</v>
      </c>
      <c r="K251" s="242" t="s">
        <v>240</v>
      </c>
      <c r="L251" s="512" t="str">
        <f>'RSD (DEA)'!AH117</f>
        <v>RSDELC</v>
      </c>
      <c r="M251" s="182" t="str">
        <f>'RSD (DEA)'!AI117</f>
        <v>RSDAHT</v>
      </c>
      <c r="N251" s="235" t="str">
        <f>LEFT('RSD (DEA)'!AJ117,2)&amp;RIGHT(E251,3)</f>
        <v>RHAPB</v>
      </c>
      <c r="O251" s="244"/>
      <c r="P251" s="182">
        <f>IF('RSD (DEA)'!P117&lt;RSD_HeatingDemand!$AH$15,RSD_HeatingDemand!$AH$15,'RSD (DEA)'!P117)</f>
        <v>2019</v>
      </c>
      <c r="Q251" s="182">
        <f>IF('RSD (DEA)'!X117&lt;RSD_HeatingDemand!$AH$15,RSD_HeatingDemand!$AH$15,'RSD (DEA)'!X117)</f>
        <v>2050</v>
      </c>
      <c r="R251" s="525">
        <f>IF(ISBLANK(I251),IF(MID(N251,2,2)="HA",VLOOKUP(I250,KEY_RSD_AF!$C$5:$G$52,2,FALSE),IF(MID(N251,2,2)="WA",VLOOKUP(I250,KEY_RSD_AF!$C$5:$G$52,3,FALSE),IF(MID(N251,2,2)="HH",VLOOKUP(I250,KEY_RSD_AF!$C$5:$G$52,4,FALSE),IF(MID(N251,2,2)="WH",VLOOKUP(I250,KEY_RSD_AF!$C$5:$G$52,5,FALSE))))),IF(MID(N251,2,2)="HA",VLOOKUP(I251,KEY_RSD_AF!$C$5:$G$52,2,FALSE),IF(MID(N251,2,2)="WA",VLOOKUP(I251,KEY_RSD_AF!$C$5:$G$52,3,FALSE),IF(MID(N251,2,2)="HH",VLOOKUP(I251,KEY_RSD_AF!$C$5:$G$52,4,FALSE),IF(MID(N251,2,2)="WH",VLOOKUP(I251,KEY_RSD_AF!$C$5:$G$52,5,FALSE))))))</f>
        <v>1</v>
      </c>
      <c r="S251" s="183">
        <f>'RSD (DEA)'!AZ117</f>
        <v>4.5999999999999996</v>
      </c>
      <c r="T251" s="183">
        <f>'RSD (DEA)'!BA117</f>
        <v>4.8</v>
      </c>
      <c r="U251" s="183">
        <v>0.5</v>
      </c>
      <c r="V251" s="182">
        <f>'RSD (DEA)'!BR117/'RSD (DEA)'!S117</f>
        <v>6.0274999999999999</v>
      </c>
      <c r="W251" s="184">
        <f>'RSD (DEA)'!BS117/RSD_HeatingDemand!$AH$9</f>
        <v>0.12291666666666666</v>
      </c>
      <c r="X251" s="183">
        <f>'RSD (DEA)'!BK117*RSD_HeatingDemand!$AH$10/'RSD (DEA)'!S117</f>
        <v>285</v>
      </c>
      <c r="Y251" s="182">
        <f>'RSD (DEA)'!BI117</f>
        <v>20</v>
      </c>
      <c r="Z251" s="252" t="str">
        <f>IF(ISBLANK(O251),"",IF(O251="ACT",1,-1))</f>
        <v/>
      </c>
      <c r="AA251" s="236">
        <f>'RSD (DEA)'!AM117</f>
        <v>31.536000000000001</v>
      </c>
      <c r="AB251" s="239"/>
      <c r="AC251" s="235">
        <f>'RSD (DEA)'!S117</f>
        <v>400</v>
      </c>
      <c r="AD251" s="235" t="str">
        <f>LEFT('RSD (DEA)'!AK117,2)&amp;RIGHT(E251,3)</f>
        <v>RWAPB</v>
      </c>
      <c r="AE251" s="183">
        <f>'RSD (DEA)'!BA117</f>
        <v>4.8</v>
      </c>
      <c r="AF251" s="183"/>
    </row>
    <row r="252" spans="1:32" x14ac:dyDescent="0.3">
      <c r="A252" s="235"/>
      <c r="D252" s="512"/>
      <c r="E252" s="512"/>
      <c r="F252" s="515"/>
      <c r="G252" s="515"/>
      <c r="H252" s="540"/>
      <c r="I252" s="512"/>
      <c r="J252" s="242"/>
      <c r="K252" s="242"/>
      <c r="L252" s="512"/>
      <c r="M252" s="182"/>
      <c r="N252" s="318" t="str">
        <f>AD251</f>
        <v>RWAPB</v>
      </c>
      <c r="O252" s="244"/>
      <c r="P252" s="182"/>
      <c r="Q252" s="182"/>
      <c r="R252" s="525">
        <f>IF(ISBLANK(I252),IF(MID(N252,2,2)="HA",VLOOKUP(I251,KEY_RSD_AF!$C$5:$G$52,2,FALSE),IF(MID(N252,2,2)="WA",VLOOKUP(I251,KEY_RSD_AF!$C$5:$G$52,3,FALSE),IF(MID(N252,2,2)="HH",VLOOKUP(I251,KEY_RSD_AF!$C$5:$G$52,4,FALSE),IF(MID(N252,2,2)="WH",VLOOKUP(I251,KEY_RSD_AF!$C$5:$G$52,5,FALSE))))),IF(MID(N252,2,2)="HA",VLOOKUP(I252,KEY_RSD_AF!$C$5:$G$52,2,FALSE),IF(MID(N252,2,2)="WA",VLOOKUP(I252,KEY_RSD_AF!$C$5:$G$52,3,FALSE),IF(MID(N252,2,2)="HH",VLOOKUP(I252,KEY_RSD_AF!$C$5:$G$52,4,FALSE),IF(MID(N252,2,2)="WH",VLOOKUP(I252,KEY_RSD_AF!$C$5:$G$52,5,FALSE))))))</f>
        <v>1</v>
      </c>
      <c r="S252" s="503">
        <f>T251</f>
        <v>4.8</v>
      </c>
      <c r="T252" s="183"/>
      <c r="U252" s="183"/>
      <c r="V252" s="182"/>
      <c r="W252" s="184"/>
      <c r="X252" s="183"/>
      <c r="Y252" s="182"/>
      <c r="Z252" s="252"/>
      <c r="AA252" s="236"/>
      <c r="AB252" s="239"/>
      <c r="AC252" s="235"/>
      <c r="AD252" s="235"/>
      <c r="AE252" s="183"/>
      <c r="AF252" s="183"/>
    </row>
    <row r="253" spans="1:32" x14ac:dyDescent="0.3">
      <c r="A253" s="244"/>
      <c r="D253" s="512"/>
      <c r="E253" s="513"/>
      <c r="F253" s="515"/>
      <c r="G253" s="515"/>
      <c r="H253" s="540"/>
      <c r="I253" s="513"/>
      <c r="J253" s="255"/>
      <c r="K253" s="255"/>
      <c r="L253" s="513"/>
      <c r="M253" s="252" t="str">
        <f>M251</f>
        <v>RSDAHT</v>
      </c>
      <c r="N253" s="244"/>
      <c r="O253" s="244" t="str">
        <f>$AH$12</f>
        <v>ACT</v>
      </c>
      <c r="P253" s="252"/>
      <c r="Q253" s="252"/>
      <c r="R253" s="525"/>
      <c r="S253" s="256"/>
      <c r="T253" s="256"/>
      <c r="U253" s="183"/>
      <c r="V253" s="252"/>
      <c r="W253" s="524"/>
      <c r="X253" s="256"/>
      <c r="Y253" s="252"/>
      <c r="Z253" s="252">
        <f>IF(ISBLANK(O253),"",IF(O253="ACT",1,-1))</f>
        <v>1</v>
      </c>
      <c r="AA253" s="257"/>
      <c r="AB253" s="239"/>
      <c r="AC253" s="244"/>
      <c r="AD253" s="244"/>
      <c r="AE253" s="256"/>
      <c r="AF253" s="256"/>
    </row>
    <row r="254" spans="1:32" x14ac:dyDescent="0.3">
      <c r="A254" s="244"/>
      <c r="D254" s="512"/>
      <c r="E254" s="513"/>
      <c r="F254" s="515"/>
      <c r="G254" s="515"/>
      <c r="H254" s="540"/>
      <c r="I254" s="513"/>
      <c r="J254" s="255"/>
      <c r="K254" s="255"/>
      <c r="L254" s="513"/>
      <c r="M254" s="252" t="str">
        <f>M253</f>
        <v>RSDAHT</v>
      </c>
      <c r="N254" s="244"/>
      <c r="O254" s="244" t="str">
        <f>L251</f>
        <v>RSDELC</v>
      </c>
      <c r="P254" s="252"/>
      <c r="Q254" s="252"/>
      <c r="R254" s="525"/>
      <c r="S254" s="256"/>
      <c r="T254" s="256"/>
      <c r="U254" s="183"/>
      <c r="V254" s="252"/>
      <c r="W254" s="524"/>
      <c r="X254" s="256"/>
      <c r="Y254" s="252"/>
      <c r="Z254" s="252">
        <f>IF(ISBLANK(O254),"",IF(O254="ACT",1,-1))</f>
        <v>-1</v>
      </c>
      <c r="AA254" s="257"/>
      <c r="AB254" s="239"/>
      <c r="AC254" s="244"/>
      <c r="AD254" s="244"/>
      <c r="AE254" s="256"/>
      <c r="AF254" s="256"/>
    </row>
    <row r="255" spans="1:32" x14ac:dyDescent="0.3">
      <c r="A255" s="235"/>
      <c r="C255" s="528" t="str">
        <f>'RSD (DEA)'!Z118</f>
        <v>HP_ELC_06</v>
      </c>
      <c r="D255" s="512" t="str">
        <f>RSD_HeatingDemand!N255&amp;"_"&amp;LEFT(C255,LEN(C255)-2)&amp;"02"</f>
        <v>RHAPB_HP_ELC_02</v>
      </c>
      <c r="E255" s="512" t="str">
        <f>"R"&amp;LEFT('RSD (DEA)'!AD118,2)&amp;IF(ISNUMBER(IFERROR(FIND("HTH",'RSD (DEA)'!Z118),IFERROR(FIND("HP",'RSD (DEA)'!Z118),"C"))),IF(IFERROR(FIND("HTH",'RSD (DEA)'!Z118),100)=100,"B","A"),"C")</f>
        <v>RAPB</v>
      </c>
      <c r="F255" s="515"/>
      <c r="G255" s="515"/>
      <c r="H255" s="540" t="str">
        <f t="shared" si="6"/>
        <v>RHAPB_HP_ELC_05</v>
      </c>
      <c r="I255" s="512" t="str">
        <f>'RSD (DEA)'!AA118</f>
        <v>Electric heat pumps, Air-to-water</v>
      </c>
      <c r="J255" s="242" t="s">
        <v>239</v>
      </c>
      <c r="K255" s="242" t="s">
        <v>240</v>
      </c>
      <c r="L255" s="512" t="str">
        <f>'RSD (DEA)'!AH118</f>
        <v>RSDELC</v>
      </c>
      <c r="M255" s="182" t="str">
        <f>'RSD (DEA)'!AI118</f>
        <v>RSDAHT</v>
      </c>
      <c r="N255" s="235" t="str">
        <f>LEFT('RSD (DEA)'!AJ118,2)&amp;RIGHT(E255,3)</f>
        <v>RHAPB</v>
      </c>
      <c r="O255" s="244"/>
      <c r="P255" s="182">
        <f>IF('RSD (DEA)'!P118&lt;RSD_HeatingDemand!$AH$15,RSD_HeatingDemand!$AH$15,'RSD (DEA)'!P118)</f>
        <v>2019</v>
      </c>
      <c r="Q255" s="182">
        <f>IF('RSD (DEA)'!X118&lt;RSD_HeatingDemand!$AH$15,RSD_HeatingDemand!$AH$15,'RSD (DEA)'!X118)</f>
        <v>2019</v>
      </c>
      <c r="R255" s="525">
        <f>IF(ISBLANK(I255),IF(MID(N255,2,2)="HA",VLOOKUP(I254,KEY_RSD_AF!$C$5:$G$52,2,FALSE),IF(MID(N255,2,2)="WA",VLOOKUP(I254,KEY_RSD_AF!$C$5:$G$52,3,FALSE),IF(MID(N255,2,2)="HH",VLOOKUP(I254,KEY_RSD_AF!$C$5:$G$52,4,FALSE),IF(MID(N255,2,2)="WH",VLOOKUP(I254,KEY_RSD_AF!$C$5:$G$52,5,FALSE))))),IF(MID(N255,2,2)="HA",VLOOKUP(I255,KEY_RSD_AF!$C$5:$G$52,2,FALSE),IF(MID(N255,2,2)="WA",VLOOKUP(I255,KEY_RSD_AF!$C$5:$G$52,3,FALSE),IF(MID(N255,2,2)="HH",VLOOKUP(I255,KEY_RSD_AF!$C$5:$G$52,4,FALSE),IF(MID(N255,2,2)="WH",VLOOKUP(I255,KEY_RSD_AF!$C$5:$G$52,5,FALSE))))))</f>
        <v>1</v>
      </c>
      <c r="S255" s="183">
        <f>'RSD (DEA)'!AZ118</f>
        <v>3.9</v>
      </c>
      <c r="T255" s="183">
        <f>'RSD (DEA)'!BA118</f>
        <v>4.4000000000000004</v>
      </c>
      <c r="U255" s="183">
        <v>0.5</v>
      </c>
      <c r="V255" s="182">
        <f>'RSD (DEA)'!BR118/'RSD (DEA)'!S118</f>
        <v>10.25</v>
      </c>
      <c r="W255" s="184">
        <f>'RSD (DEA)'!BS118/RSD_HeatingDemand!$AH$9</f>
        <v>0.12291666666666666</v>
      </c>
      <c r="X255" s="183">
        <f>'RSD (DEA)'!BK118*RSD_HeatingDemand!$AH$10/'RSD (DEA)'!S118</f>
        <v>468.75</v>
      </c>
      <c r="Y255" s="182">
        <f>'RSD (DEA)'!BI118</f>
        <v>20</v>
      </c>
      <c r="Z255" s="252" t="str">
        <f>IF(ISBLANK(O255),"",IF(O255="ACT",1,-1))</f>
        <v/>
      </c>
      <c r="AA255" s="236">
        <f>'RSD (DEA)'!AM118</f>
        <v>31.536000000000001</v>
      </c>
      <c r="AB255" s="239"/>
      <c r="AC255" s="235">
        <f>'RSD (DEA)'!S118</f>
        <v>160</v>
      </c>
      <c r="AD255" s="235" t="str">
        <f>LEFT('RSD (DEA)'!AK118,2)&amp;RIGHT(E255,3)</f>
        <v>RWAPB</v>
      </c>
      <c r="AE255" s="183">
        <f>'RSD (DEA)'!BA118</f>
        <v>4.4000000000000004</v>
      </c>
      <c r="AF255" s="183"/>
    </row>
    <row r="256" spans="1:32" x14ac:dyDescent="0.3">
      <c r="A256" s="235"/>
      <c r="D256" s="512"/>
      <c r="E256" s="512"/>
      <c r="F256" s="515"/>
      <c r="G256" s="515"/>
      <c r="H256" s="540"/>
      <c r="I256" s="512"/>
      <c r="J256" s="242"/>
      <c r="K256" s="242"/>
      <c r="L256" s="512"/>
      <c r="M256" s="182"/>
      <c r="N256" s="318" t="str">
        <f>AD255</f>
        <v>RWAPB</v>
      </c>
      <c r="O256" s="244"/>
      <c r="P256" s="182"/>
      <c r="Q256" s="182"/>
      <c r="R256" s="525">
        <f>IF(ISBLANK(I256),IF(MID(N256,2,2)="HA",VLOOKUP(I255,KEY_RSD_AF!$C$5:$G$52,2,FALSE),IF(MID(N256,2,2)="WA",VLOOKUP(I255,KEY_RSD_AF!$C$5:$G$52,3,FALSE),IF(MID(N256,2,2)="HH",VLOOKUP(I255,KEY_RSD_AF!$C$5:$G$52,4,FALSE),IF(MID(N256,2,2)="WH",VLOOKUP(I255,KEY_RSD_AF!$C$5:$G$52,5,FALSE))))),IF(MID(N256,2,2)="HA",VLOOKUP(I256,KEY_RSD_AF!$C$5:$G$52,2,FALSE),IF(MID(N256,2,2)="WA",VLOOKUP(I256,KEY_RSD_AF!$C$5:$G$52,3,FALSE),IF(MID(N256,2,2)="HH",VLOOKUP(I256,KEY_RSD_AF!$C$5:$G$52,4,FALSE),IF(MID(N256,2,2)="WH",VLOOKUP(I256,KEY_RSD_AF!$C$5:$G$52,5,FALSE))))))</f>
        <v>1</v>
      </c>
      <c r="S256" s="503">
        <f>T255</f>
        <v>4.4000000000000004</v>
      </c>
      <c r="T256" s="183"/>
      <c r="U256" s="183"/>
      <c r="V256" s="182"/>
      <c r="W256" s="184"/>
      <c r="X256" s="183"/>
      <c r="Y256" s="182"/>
      <c r="Z256" s="252"/>
      <c r="AA256" s="236"/>
      <c r="AB256" s="239"/>
      <c r="AC256" s="235"/>
      <c r="AD256" s="235"/>
      <c r="AE256" s="183"/>
      <c r="AF256" s="183"/>
    </row>
    <row r="257" spans="1:32" x14ac:dyDescent="0.3">
      <c r="A257" s="244"/>
      <c r="D257" s="512"/>
      <c r="E257" s="513"/>
      <c r="F257" s="515"/>
      <c r="G257" s="515"/>
      <c r="H257" s="540"/>
      <c r="I257" s="513"/>
      <c r="J257" s="255"/>
      <c r="K257" s="255"/>
      <c r="L257" s="513"/>
      <c r="M257" s="252" t="str">
        <f>M255</f>
        <v>RSDAHT</v>
      </c>
      <c r="N257" s="244"/>
      <c r="O257" s="244" t="str">
        <f>$AH$12</f>
        <v>ACT</v>
      </c>
      <c r="P257" s="252"/>
      <c r="Q257" s="252"/>
      <c r="R257" s="525"/>
      <c r="S257" s="256"/>
      <c r="T257" s="256"/>
      <c r="U257" s="183"/>
      <c r="V257" s="252"/>
      <c r="W257" s="524"/>
      <c r="X257" s="256"/>
      <c r="Y257" s="252"/>
      <c r="Z257" s="252">
        <f>IF(ISBLANK(O257),"",IF(O257="ACT",1,-1))</f>
        <v>1</v>
      </c>
      <c r="AA257" s="257"/>
      <c r="AB257" s="239"/>
      <c r="AC257" s="244"/>
      <c r="AD257" s="244"/>
      <c r="AE257" s="256"/>
      <c r="AF257" s="256"/>
    </row>
    <row r="258" spans="1:32" x14ac:dyDescent="0.3">
      <c r="A258" s="244"/>
      <c r="D258" s="512"/>
      <c r="E258" s="513"/>
      <c r="F258" s="515"/>
      <c r="G258" s="515"/>
      <c r="H258" s="540"/>
      <c r="I258" s="513"/>
      <c r="J258" s="255"/>
      <c r="K258" s="255"/>
      <c r="L258" s="513"/>
      <c r="M258" s="252" t="str">
        <f>M257</f>
        <v>RSDAHT</v>
      </c>
      <c r="N258" s="244"/>
      <c r="O258" s="244" t="str">
        <f>L255</f>
        <v>RSDELC</v>
      </c>
      <c r="P258" s="252"/>
      <c r="Q258" s="252"/>
      <c r="R258" s="525"/>
      <c r="S258" s="256"/>
      <c r="T258" s="256"/>
      <c r="U258" s="183"/>
      <c r="V258" s="252"/>
      <c r="W258" s="524"/>
      <c r="X258" s="256"/>
      <c r="Y258" s="252"/>
      <c r="Z258" s="252">
        <f>IF(ISBLANK(O258),"",IF(O258="ACT",1,-1))</f>
        <v>-1</v>
      </c>
      <c r="AA258" s="257"/>
      <c r="AB258" s="239"/>
      <c r="AC258" s="244"/>
      <c r="AD258" s="244"/>
      <c r="AE258" s="256"/>
      <c r="AF258" s="256"/>
    </row>
    <row r="259" spans="1:32" x14ac:dyDescent="0.3">
      <c r="A259" s="235"/>
      <c r="C259" s="528" t="str">
        <f>'RSD (DEA)'!Z119</f>
        <v>HP_ELC_06</v>
      </c>
      <c r="D259" s="512" t="str">
        <f>RSD_HeatingDemand!N259&amp;"_"&amp;LEFT(C259,LEN(C259)-2)&amp;"02"</f>
        <v>RHAPB_HP_ELC_02</v>
      </c>
      <c r="E259" s="512" t="str">
        <f>"R"&amp;LEFT('RSD (DEA)'!AD119,2)&amp;IF(ISNUMBER(IFERROR(FIND("HTH",'RSD (DEA)'!Z119),IFERROR(FIND("HP",'RSD (DEA)'!Z119),"C"))),IF(IFERROR(FIND("HTH",'RSD (DEA)'!Z119),100)=100,"B","A"),"C")</f>
        <v>RAPB</v>
      </c>
      <c r="F259" s="515"/>
      <c r="G259" s="515"/>
      <c r="H259" s="540" t="str">
        <f t="shared" si="6"/>
        <v>RHAPB_HP_ELC_06</v>
      </c>
      <c r="I259" s="512" t="str">
        <f>'RSD (DEA)'!AA119</f>
        <v>Electric heat pumps, Air-to-water</v>
      </c>
      <c r="J259" s="242" t="s">
        <v>239</v>
      </c>
      <c r="K259" s="242" t="s">
        <v>240</v>
      </c>
      <c r="L259" s="512" t="str">
        <f>'RSD (DEA)'!AH119</f>
        <v>RSDELC</v>
      </c>
      <c r="M259" s="182" t="str">
        <f>'RSD (DEA)'!AI119</f>
        <v>RSDAHT</v>
      </c>
      <c r="N259" s="235" t="str">
        <f>LEFT('RSD (DEA)'!AJ119,2)&amp;RIGHT(E259,3)</f>
        <v>RHAPB</v>
      </c>
      <c r="O259" s="244"/>
      <c r="P259" s="182">
        <f>IF('RSD (DEA)'!P119&lt;RSD_HeatingDemand!$AH$15,RSD_HeatingDemand!$AH$15,'RSD (DEA)'!P119)</f>
        <v>2019</v>
      </c>
      <c r="Q259" s="182">
        <f>IF('RSD (DEA)'!X119&lt;RSD_HeatingDemand!$AH$15,RSD_HeatingDemand!$AH$15,'RSD (DEA)'!X119)</f>
        <v>2020</v>
      </c>
      <c r="R259" s="525">
        <f>IF(ISBLANK(I259),IF(MID(N259,2,2)="HA",VLOOKUP(I258,KEY_RSD_AF!$C$5:$G$52,2,FALSE),IF(MID(N259,2,2)="WA",VLOOKUP(I258,KEY_RSD_AF!$C$5:$G$52,3,FALSE),IF(MID(N259,2,2)="HH",VLOOKUP(I258,KEY_RSD_AF!$C$5:$G$52,4,FALSE),IF(MID(N259,2,2)="WH",VLOOKUP(I258,KEY_RSD_AF!$C$5:$G$52,5,FALSE))))),IF(MID(N259,2,2)="HA",VLOOKUP(I259,KEY_RSD_AF!$C$5:$G$52,2,FALSE),IF(MID(N259,2,2)="WA",VLOOKUP(I259,KEY_RSD_AF!$C$5:$G$52,3,FALSE),IF(MID(N259,2,2)="HH",VLOOKUP(I259,KEY_RSD_AF!$C$5:$G$52,4,FALSE),IF(MID(N259,2,2)="WH",VLOOKUP(I259,KEY_RSD_AF!$C$5:$G$52,5,FALSE))))))</f>
        <v>1</v>
      </c>
      <c r="S259" s="183">
        <f>'RSD (DEA)'!AZ119</f>
        <v>4</v>
      </c>
      <c r="T259" s="183">
        <f>'RSD (DEA)'!BA119</f>
        <v>4.5</v>
      </c>
      <c r="U259" s="183">
        <v>0.5</v>
      </c>
      <c r="V259" s="182">
        <f>'RSD (DEA)'!BR119/'RSD (DEA)'!S119</f>
        <v>10.3125</v>
      </c>
      <c r="W259" s="184">
        <f>'RSD (DEA)'!BS119/RSD_HeatingDemand!$AH$9</f>
        <v>0.12291666666666666</v>
      </c>
      <c r="X259" s="183">
        <f>'RSD (DEA)'!BK119*RSD_HeatingDemand!$AH$10/'RSD (DEA)'!S119</f>
        <v>443.75</v>
      </c>
      <c r="Y259" s="182">
        <f>'RSD (DEA)'!BI119</f>
        <v>20</v>
      </c>
      <c r="Z259" s="252" t="str">
        <f>IF(ISBLANK(O259),"",IF(O259="ACT",1,-1))</f>
        <v/>
      </c>
      <c r="AA259" s="236">
        <f>'RSD (DEA)'!AM119</f>
        <v>31.536000000000001</v>
      </c>
      <c r="AB259" s="239"/>
      <c r="AC259" s="235">
        <f>'RSD (DEA)'!S119</f>
        <v>160</v>
      </c>
      <c r="AD259" s="235" t="str">
        <f>LEFT('RSD (DEA)'!AK119,2)&amp;RIGHT(E259,3)</f>
        <v>RWAPB</v>
      </c>
      <c r="AE259" s="183">
        <f>'RSD (DEA)'!BA119</f>
        <v>4.5</v>
      </c>
      <c r="AF259" s="183"/>
    </row>
    <row r="260" spans="1:32" x14ac:dyDescent="0.3">
      <c r="A260" s="235"/>
      <c r="D260" s="512"/>
      <c r="E260" s="512"/>
      <c r="F260" s="515"/>
      <c r="G260" s="515"/>
      <c r="H260" s="540"/>
      <c r="I260" s="512"/>
      <c r="J260" s="242"/>
      <c r="K260" s="242"/>
      <c r="L260" s="512"/>
      <c r="M260" s="182"/>
      <c r="N260" s="318" t="str">
        <f>AD259</f>
        <v>RWAPB</v>
      </c>
      <c r="O260" s="244"/>
      <c r="P260" s="182"/>
      <c r="Q260" s="182"/>
      <c r="R260" s="525">
        <f>IF(ISBLANK(I260),IF(MID(N260,2,2)="HA",VLOOKUP(I259,KEY_RSD_AF!$C$5:$G$52,2,FALSE),IF(MID(N260,2,2)="WA",VLOOKUP(I259,KEY_RSD_AF!$C$5:$G$52,3,FALSE),IF(MID(N260,2,2)="HH",VLOOKUP(I259,KEY_RSD_AF!$C$5:$G$52,4,FALSE),IF(MID(N260,2,2)="WH",VLOOKUP(I259,KEY_RSD_AF!$C$5:$G$52,5,FALSE))))),IF(MID(N260,2,2)="HA",VLOOKUP(I260,KEY_RSD_AF!$C$5:$G$52,2,FALSE),IF(MID(N260,2,2)="WA",VLOOKUP(I260,KEY_RSD_AF!$C$5:$G$52,3,FALSE),IF(MID(N260,2,2)="HH",VLOOKUP(I260,KEY_RSD_AF!$C$5:$G$52,4,FALSE),IF(MID(N260,2,2)="WH",VLOOKUP(I260,KEY_RSD_AF!$C$5:$G$52,5,FALSE))))))</f>
        <v>1</v>
      </c>
      <c r="S260" s="503">
        <f>T259</f>
        <v>4.5</v>
      </c>
      <c r="T260" s="183"/>
      <c r="U260" s="183"/>
      <c r="V260" s="182"/>
      <c r="W260" s="184"/>
      <c r="X260" s="183"/>
      <c r="Y260" s="182"/>
      <c r="Z260" s="252"/>
      <c r="AA260" s="236"/>
      <c r="AB260" s="239"/>
      <c r="AC260" s="235"/>
      <c r="AD260" s="235"/>
      <c r="AE260" s="183"/>
      <c r="AF260" s="183"/>
    </row>
    <row r="261" spans="1:32" x14ac:dyDescent="0.3">
      <c r="A261" s="244"/>
      <c r="D261" s="512"/>
      <c r="E261" s="513"/>
      <c r="F261" s="515"/>
      <c r="G261" s="515"/>
      <c r="H261" s="540"/>
      <c r="I261" s="513"/>
      <c r="J261" s="255"/>
      <c r="K261" s="255"/>
      <c r="L261" s="513"/>
      <c r="M261" s="252" t="str">
        <f>M259</f>
        <v>RSDAHT</v>
      </c>
      <c r="N261" s="244"/>
      <c r="O261" s="244" t="str">
        <f>$AH$12</f>
        <v>ACT</v>
      </c>
      <c r="P261" s="252"/>
      <c r="Q261" s="252"/>
      <c r="R261" s="525"/>
      <c r="S261" s="256"/>
      <c r="T261" s="256"/>
      <c r="U261" s="183"/>
      <c r="V261" s="252"/>
      <c r="W261" s="524"/>
      <c r="X261" s="256"/>
      <c r="Y261" s="252"/>
      <c r="Z261" s="252">
        <f>IF(ISBLANK(O261),"",IF(O261="ACT",1,-1))</f>
        <v>1</v>
      </c>
      <c r="AA261" s="257"/>
      <c r="AB261" s="239"/>
      <c r="AC261" s="244"/>
      <c r="AD261" s="244"/>
      <c r="AE261" s="256"/>
      <c r="AF261" s="256"/>
    </row>
    <row r="262" spans="1:32" x14ac:dyDescent="0.3">
      <c r="A262" s="244"/>
      <c r="D262" s="512"/>
      <c r="E262" s="513"/>
      <c r="F262" s="515"/>
      <c r="G262" s="515"/>
      <c r="H262" s="540"/>
      <c r="I262" s="513"/>
      <c r="J262" s="255"/>
      <c r="K262" s="255"/>
      <c r="L262" s="513"/>
      <c r="M262" s="252" t="str">
        <f>M261</f>
        <v>RSDAHT</v>
      </c>
      <c r="N262" s="244"/>
      <c r="O262" s="244" t="str">
        <f>L259</f>
        <v>RSDELC</v>
      </c>
      <c r="P262" s="252"/>
      <c r="Q262" s="252"/>
      <c r="R262" s="525"/>
      <c r="S262" s="256"/>
      <c r="T262" s="256"/>
      <c r="U262" s="183"/>
      <c r="V262" s="252"/>
      <c r="W262" s="524"/>
      <c r="X262" s="256"/>
      <c r="Y262" s="252"/>
      <c r="Z262" s="252">
        <f>IF(ISBLANK(O262),"",IF(O262="ACT",1,-1))</f>
        <v>-1</v>
      </c>
      <c r="AA262" s="257"/>
      <c r="AB262" s="239"/>
      <c r="AC262" s="244"/>
      <c r="AD262" s="244"/>
      <c r="AE262" s="256"/>
      <c r="AF262" s="256"/>
    </row>
    <row r="263" spans="1:32" x14ac:dyDescent="0.3">
      <c r="A263" s="235"/>
      <c r="C263" s="528" t="str">
        <f>'RSD (DEA)'!Z120</f>
        <v>HP_ELC_06</v>
      </c>
      <c r="D263" s="512" t="str">
        <f>RSD_HeatingDemand!N263&amp;"_"&amp;LEFT(C263,LEN(C263)-2)&amp;"02"</f>
        <v>RHAPB_HP_ELC_02</v>
      </c>
      <c r="E263" s="512" t="str">
        <f>"R"&amp;LEFT('RSD (DEA)'!AD120,2)&amp;IF(ISNUMBER(IFERROR(FIND("HTH",'RSD (DEA)'!Z120),IFERROR(FIND("HP",'RSD (DEA)'!Z120),"C"))),IF(IFERROR(FIND("HTH",'RSD (DEA)'!Z120),100)=100,"B","A"),"C")</f>
        <v>RAPB</v>
      </c>
      <c r="F263" s="515"/>
      <c r="G263" s="515"/>
      <c r="H263" s="540" t="str">
        <f t="shared" si="6"/>
        <v>RHAPB_HP_ELC_07</v>
      </c>
      <c r="I263" s="512" t="str">
        <f>'RSD (DEA)'!AA120</f>
        <v>Electric heat pumps, Air-to-water</v>
      </c>
      <c r="J263" s="242" t="s">
        <v>239</v>
      </c>
      <c r="K263" s="242" t="s">
        <v>240</v>
      </c>
      <c r="L263" s="512" t="str">
        <f>'RSD (DEA)'!AH120</f>
        <v>RSDELC</v>
      </c>
      <c r="M263" s="182" t="str">
        <f>'RSD (DEA)'!AI120</f>
        <v>RSDAHT</v>
      </c>
      <c r="N263" s="235" t="str">
        <f>LEFT('RSD (DEA)'!AJ120,2)&amp;RIGHT(E263,3)</f>
        <v>RHAPB</v>
      </c>
      <c r="O263" s="244"/>
      <c r="P263" s="182">
        <f>IF('RSD (DEA)'!P120&lt;RSD_HeatingDemand!$AH$15,RSD_HeatingDemand!$AH$15,'RSD (DEA)'!P120)</f>
        <v>2019</v>
      </c>
      <c r="Q263" s="182">
        <f>IF('RSD (DEA)'!X120&lt;RSD_HeatingDemand!$AH$15,RSD_HeatingDemand!$AH$15,'RSD (DEA)'!X120)</f>
        <v>2030</v>
      </c>
      <c r="R263" s="525">
        <f>IF(ISBLANK(I263),IF(MID(N263,2,2)="HA",VLOOKUP(I262,KEY_RSD_AF!$C$5:$G$52,2,FALSE),IF(MID(N263,2,2)="WA",VLOOKUP(I262,KEY_RSD_AF!$C$5:$G$52,3,FALSE),IF(MID(N263,2,2)="HH",VLOOKUP(I262,KEY_RSD_AF!$C$5:$G$52,4,FALSE),IF(MID(N263,2,2)="WH",VLOOKUP(I262,KEY_RSD_AF!$C$5:$G$52,5,FALSE))))),IF(MID(N263,2,2)="HA",VLOOKUP(I263,KEY_RSD_AF!$C$5:$G$52,2,FALSE),IF(MID(N263,2,2)="WA",VLOOKUP(I263,KEY_RSD_AF!$C$5:$G$52,3,FALSE),IF(MID(N263,2,2)="HH",VLOOKUP(I263,KEY_RSD_AF!$C$5:$G$52,4,FALSE),IF(MID(N263,2,2)="WH",VLOOKUP(I263,KEY_RSD_AF!$C$5:$G$52,5,FALSE))))))</f>
        <v>1</v>
      </c>
      <c r="S263" s="183">
        <f>'RSD (DEA)'!AZ120</f>
        <v>4.05</v>
      </c>
      <c r="T263" s="183">
        <f>'RSD (DEA)'!BA120</f>
        <v>4.5999999999999996</v>
      </c>
      <c r="U263" s="183">
        <v>0.5</v>
      </c>
      <c r="V263" s="182">
        <f>'RSD (DEA)'!BR120/'RSD (DEA)'!S120</f>
        <v>11.6625</v>
      </c>
      <c r="W263" s="184">
        <f>'RSD (DEA)'!BS120/RSD_HeatingDemand!$AH$9</f>
        <v>0.12291666666666666</v>
      </c>
      <c r="X263" s="183">
        <f>'RSD (DEA)'!BK120*RSD_HeatingDemand!$AH$10/'RSD (DEA)'!S120</f>
        <v>393.75</v>
      </c>
      <c r="Y263" s="182">
        <f>'RSD (DEA)'!BI120</f>
        <v>20</v>
      </c>
      <c r="Z263" s="252" t="str">
        <f>IF(ISBLANK(O263),"",IF(O263="ACT",1,-1))</f>
        <v/>
      </c>
      <c r="AA263" s="236">
        <f>'RSD (DEA)'!AM120</f>
        <v>31.536000000000001</v>
      </c>
      <c r="AB263" s="239"/>
      <c r="AC263" s="235">
        <f>'RSD (DEA)'!S120</f>
        <v>160</v>
      </c>
      <c r="AD263" s="235" t="str">
        <f>LEFT('RSD (DEA)'!AK120,2)&amp;RIGHT(E263,3)</f>
        <v>RWAPB</v>
      </c>
      <c r="AE263" s="183">
        <f>'RSD (DEA)'!BA120</f>
        <v>4.5999999999999996</v>
      </c>
      <c r="AF263" s="183"/>
    </row>
    <row r="264" spans="1:32" x14ac:dyDescent="0.3">
      <c r="A264" s="235"/>
      <c r="D264" s="512"/>
      <c r="E264" s="512"/>
      <c r="F264" s="515"/>
      <c r="G264" s="515"/>
      <c r="H264" s="540"/>
      <c r="I264" s="512"/>
      <c r="J264" s="242"/>
      <c r="K264" s="242"/>
      <c r="L264" s="512"/>
      <c r="M264" s="182"/>
      <c r="N264" s="318" t="str">
        <f>AD263</f>
        <v>RWAPB</v>
      </c>
      <c r="O264" s="244"/>
      <c r="P264" s="182"/>
      <c r="Q264" s="182"/>
      <c r="R264" s="525">
        <f>IF(ISBLANK(I264),IF(MID(N264,2,2)="HA",VLOOKUP(I263,KEY_RSD_AF!$C$5:$G$52,2,FALSE),IF(MID(N264,2,2)="WA",VLOOKUP(I263,KEY_RSD_AF!$C$5:$G$52,3,FALSE),IF(MID(N264,2,2)="HH",VLOOKUP(I263,KEY_RSD_AF!$C$5:$G$52,4,FALSE),IF(MID(N264,2,2)="WH",VLOOKUP(I263,KEY_RSD_AF!$C$5:$G$52,5,FALSE))))),IF(MID(N264,2,2)="HA",VLOOKUP(I264,KEY_RSD_AF!$C$5:$G$52,2,FALSE),IF(MID(N264,2,2)="WA",VLOOKUP(I264,KEY_RSD_AF!$C$5:$G$52,3,FALSE),IF(MID(N264,2,2)="HH",VLOOKUP(I264,KEY_RSD_AF!$C$5:$G$52,4,FALSE),IF(MID(N264,2,2)="WH",VLOOKUP(I264,KEY_RSD_AF!$C$5:$G$52,5,FALSE))))))</f>
        <v>1</v>
      </c>
      <c r="S264" s="503">
        <f>T263</f>
        <v>4.5999999999999996</v>
      </c>
      <c r="T264" s="183"/>
      <c r="U264" s="183"/>
      <c r="V264" s="182"/>
      <c r="W264" s="184"/>
      <c r="X264" s="183"/>
      <c r="Y264" s="182"/>
      <c r="Z264" s="252"/>
      <c r="AA264" s="236"/>
      <c r="AB264" s="239"/>
      <c r="AC264" s="235"/>
      <c r="AD264" s="235"/>
      <c r="AE264" s="183"/>
      <c r="AF264" s="183"/>
    </row>
    <row r="265" spans="1:32" x14ac:dyDescent="0.3">
      <c r="A265" s="244"/>
      <c r="D265" s="512"/>
      <c r="E265" s="513"/>
      <c r="F265" s="515"/>
      <c r="G265" s="515"/>
      <c r="H265" s="540"/>
      <c r="I265" s="513"/>
      <c r="J265" s="255"/>
      <c r="K265" s="255"/>
      <c r="L265" s="513"/>
      <c r="M265" s="252" t="str">
        <f>M263</f>
        <v>RSDAHT</v>
      </c>
      <c r="N265" s="244"/>
      <c r="O265" s="244" t="str">
        <f>$AH$12</f>
        <v>ACT</v>
      </c>
      <c r="P265" s="252"/>
      <c r="Q265" s="252"/>
      <c r="R265" s="525"/>
      <c r="S265" s="256"/>
      <c r="T265" s="256"/>
      <c r="U265" s="183"/>
      <c r="V265" s="252"/>
      <c r="W265" s="524"/>
      <c r="X265" s="256"/>
      <c r="Y265" s="252"/>
      <c r="Z265" s="252">
        <f>IF(ISBLANK(O265),"",IF(O265="ACT",1,-1))</f>
        <v>1</v>
      </c>
      <c r="AA265" s="257"/>
      <c r="AB265" s="239"/>
      <c r="AC265" s="244"/>
      <c r="AD265" s="244"/>
      <c r="AE265" s="256"/>
      <c r="AF265" s="256"/>
    </row>
    <row r="266" spans="1:32" x14ac:dyDescent="0.3">
      <c r="A266" s="244"/>
      <c r="D266" s="512"/>
      <c r="E266" s="513"/>
      <c r="F266" s="515"/>
      <c r="G266" s="515"/>
      <c r="H266" s="540"/>
      <c r="I266" s="513"/>
      <c r="J266" s="255"/>
      <c r="K266" s="255"/>
      <c r="L266" s="513"/>
      <c r="M266" s="252" t="str">
        <f>M265</f>
        <v>RSDAHT</v>
      </c>
      <c r="N266" s="244"/>
      <c r="O266" s="244" t="str">
        <f>L263</f>
        <v>RSDELC</v>
      </c>
      <c r="P266" s="252"/>
      <c r="Q266" s="252"/>
      <c r="R266" s="525"/>
      <c r="S266" s="256"/>
      <c r="T266" s="256"/>
      <c r="U266" s="183"/>
      <c r="V266" s="252"/>
      <c r="W266" s="524"/>
      <c r="X266" s="256"/>
      <c r="Y266" s="252"/>
      <c r="Z266" s="252">
        <f>IF(ISBLANK(O266),"",IF(O266="ACT",1,-1))</f>
        <v>-1</v>
      </c>
      <c r="AA266" s="257"/>
      <c r="AB266" s="239"/>
      <c r="AC266" s="244"/>
      <c r="AD266" s="244"/>
      <c r="AE266" s="256"/>
      <c r="AF266" s="256"/>
    </row>
    <row r="267" spans="1:32" x14ac:dyDescent="0.3">
      <c r="A267" s="235"/>
      <c r="C267" s="528" t="str">
        <f>'RSD (DEA)'!Z121</f>
        <v>HP_ELC_06</v>
      </c>
      <c r="D267" s="512" t="str">
        <f>RSD_HeatingDemand!N267&amp;"_"&amp;LEFT(C267,LEN(C267)-2)&amp;"02"</f>
        <v>RHAPB_HP_ELC_02</v>
      </c>
      <c r="E267" s="512" t="str">
        <f>"R"&amp;LEFT('RSD (DEA)'!AD121,2)&amp;IF(ISNUMBER(IFERROR(FIND("HTH",'RSD (DEA)'!Z121),IFERROR(FIND("HP",'RSD (DEA)'!Z121),"C"))),IF(IFERROR(FIND("HTH",'RSD (DEA)'!Z121),100)=100,"B","A"),"C")</f>
        <v>RAPB</v>
      </c>
      <c r="F267" s="515"/>
      <c r="G267" s="515"/>
      <c r="H267" s="540" t="str">
        <f t="shared" si="6"/>
        <v>RHAPB_HP_ELC_08</v>
      </c>
      <c r="I267" s="512" t="str">
        <f>'RSD (DEA)'!AA121</f>
        <v>Electric heat pumps, Air-to-water</v>
      </c>
      <c r="J267" s="242" t="s">
        <v>239</v>
      </c>
      <c r="K267" s="242" t="s">
        <v>240</v>
      </c>
      <c r="L267" s="512" t="str">
        <f>'RSD (DEA)'!AH121</f>
        <v>RSDELC</v>
      </c>
      <c r="M267" s="182" t="str">
        <f>'RSD (DEA)'!AI121</f>
        <v>RSDAHT</v>
      </c>
      <c r="N267" s="235" t="str">
        <f>LEFT('RSD (DEA)'!AJ121,2)&amp;RIGHT(E267,3)</f>
        <v>RHAPB</v>
      </c>
      <c r="O267" s="244"/>
      <c r="P267" s="182">
        <f>IF('RSD (DEA)'!P121&lt;RSD_HeatingDemand!$AH$15,RSD_HeatingDemand!$AH$15,'RSD (DEA)'!P121)</f>
        <v>2019</v>
      </c>
      <c r="Q267" s="182">
        <f>IF('RSD (DEA)'!X121&lt;RSD_HeatingDemand!$AH$15,RSD_HeatingDemand!$AH$15,'RSD (DEA)'!X121)</f>
        <v>2050</v>
      </c>
      <c r="R267" s="525">
        <f>IF(ISBLANK(I267),IF(MID(N267,2,2)="HA",VLOOKUP(I266,KEY_RSD_AF!$C$5:$G$52,2,FALSE),IF(MID(N267,2,2)="WA",VLOOKUP(I266,KEY_RSD_AF!$C$5:$G$52,3,FALSE),IF(MID(N267,2,2)="HH",VLOOKUP(I266,KEY_RSD_AF!$C$5:$G$52,4,FALSE),IF(MID(N267,2,2)="WH",VLOOKUP(I266,KEY_RSD_AF!$C$5:$G$52,5,FALSE))))),IF(MID(N267,2,2)="HA",VLOOKUP(I267,KEY_RSD_AF!$C$5:$G$52,2,FALSE),IF(MID(N267,2,2)="WA",VLOOKUP(I267,KEY_RSD_AF!$C$5:$G$52,3,FALSE),IF(MID(N267,2,2)="HH",VLOOKUP(I267,KEY_RSD_AF!$C$5:$G$52,4,FALSE),IF(MID(N267,2,2)="WH",VLOOKUP(I267,KEY_RSD_AF!$C$5:$G$52,5,FALSE))))))</f>
        <v>1</v>
      </c>
      <c r="S267" s="183">
        <f>'RSD (DEA)'!AZ121</f>
        <v>4.0999999999999996</v>
      </c>
      <c r="T267" s="183">
        <f>'RSD (DEA)'!BA121</f>
        <v>4.8</v>
      </c>
      <c r="U267" s="183">
        <v>0.5</v>
      </c>
      <c r="V267" s="182">
        <f>'RSD (DEA)'!BR121/'RSD (DEA)'!S121</f>
        <v>15.06875</v>
      </c>
      <c r="W267" s="184">
        <f>'RSD (DEA)'!BS121/RSD_HeatingDemand!$AH$9</f>
        <v>0.12291666666666666</v>
      </c>
      <c r="X267" s="183">
        <f>'RSD (DEA)'!BK121*RSD_HeatingDemand!$AH$10/'RSD (DEA)'!S121</f>
        <v>356.25</v>
      </c>
      <c r="Y267" s="182">
        <f>'RSD (DEA)'!BI121</f>
        <v>20</v>
      </c>
      <c r="Z267" s="252" t="str">
        <f>IF(ISBLANK(O267),"",IF(O267="ACT",1,-1))</f>
        <v/>
      </c>
      <c r="AA267" s="236">
        <f>'RSD (DEA)'!AM121</f>
        <v>31.536000000000001</v>
      </c>
      <c r="AB267" s="239"/>
      <c r="AC267" s="235">
        <f>'RSD (DEA)'!S121</f>
        <v>160</v>
      </c>
      <c r="AD267" s="235" t="str">
        <f>LEFT('RSD (DEA)'!AK121,2)&amp;RIGHT(E267,3)</f>
        <v>RWAPB</v>
      </c>
      <c r="AE267" s="183">
        <f>'RSD (DEA)'!BA121</f>
        <v>4.8</v>
      </c>
      <c r="AF267" s="183"/>
    </row>
    <row r="268" spans="1:32" x14ac:dyDescent="0.3">
      <c r="A268" s="235"/>
      <c r="D268" s="512"/>
      <c r="E268" s="512"/>
      <c r="F268" s="515"/>
      <c r="G268" s="515"/>
      <c r="H268" s="540"/>
      <c r="I268" s="512"/>
      <c r="J268" s="242"/>
      <c r="K268" s="242"/>
      <c r="L268" s="512"/>
      <c r="M268" s="182"/>
      <c r="N268" s="318" t="str">
        <f>AD267</f>
        <v>RWAPB</v>
      </c>
      <c r="O268" s="244"/>
      <c r="P268" s="182"/>
      <c r="Q268" s="182"/>
      <c r="R268" s="525">
        <f>IF(ISBLANK(I268),IF(MID(N268,2,2)="HA",VLOOKUP(I267,KEY_RSD_AF!$C$5:$G$52,2,FALSE),IF(MID(N268,2,2)="WA",VLOOKUP(I267,KEY_RSD_AF!$C$5:$G$52,3,FALSE),IF(MID(N268,2,2)="HH",VLOOKUP(I267,KEY_RSD_AF!$C$5:$G$52,4,FALSE),IF(MID(N268,2,2)="WH",VLOOKUP(I267,KEY_RSD_AF!$C$5:$G$52,5,FALSE))))),IF(MID(N268,2,2)="HA",VLOOKUP(I268,KEY_RSD_AF!$C$5:$G$52,2,FALSE),IF(MID(N268,2,2)="WA",VLOOKUP(I268,KEY_RSD_AF!$C$5:$G$52,3,FALSE),IF(MID(N268,2,2)="HH",VLOOKUP(I268,KEY_RSD_AF!$C$5:$G$52,4,FALSE),IF(MID(N268,2,2)="WH",VLOOKUP(I268,KEY_RSD_AF!$C$5:$G$52,5,FALSE))))))</f>
        <v>1</v>
      </c>
      <c r="S268" s="503">
        <f>T267</f>
        <v>4.8</v>
      </c>
      <c r="T268" s="183"/>
      <c r="U268" s="183"/>
      <c r="V268" s="182"/>
      <c r="W268" s="184"/>
      <c r="X268" s="183"/>
      <c r="Y268" s="182"/>
      <c r="Z268" s="252"/>
      <c r="AA268" s="236"/>
      <c r="AB268" s="239"/>
      <c r="AC268" s="235"/>
      <c r="AD268" s="235"/>
      <c r="AE268" s="183"/>
      <c r="AF268" s="183"/>
    </row>
    <row r="269" spans="1:32" x14ac:dyDescent="0.3">
      <c r="A269" s="244"/>
      <c r="D269" s="512"/>
      <c r="E269" s="513"/>
      <c r="F269" s="515"/>
      <c r="G269" s="515"/>
      <c r="H269" s="540"/>
      <c r="I269" s="513"/>
      <c r="J269" s="255"/>
      <c r="K269" s="255"/>
      <c r="L269" s="513"/>
      <c r="M269" s="252" t="str">
        <f>M267</f>
        <v>RSDAHT</v>
      </c>
      <c r="N269" s="244"/>
      <c r="O269" s="244" t="str">
        <f>$AH$12</f>
        <v>ACT</v>
      </c>
      <c r="P269" s="252"/>
      <c r="Q269" s="252"/>
      <c r="R269" s="525"/>
      <c r="S269" s="256"/>
      <c r="T269" s="256"/>
      <c r="U269" s="183"/>
      <c r="V269" s="252"/>
      <c r="W269" s="524"/>
      <c r="X269" s="256"/>
      <c r="Y269" s="252"/>
      <c r="Z269" s="252">
        <f>IF(ISBLANK(O269),"",IF(O269="ACT",1,-1))</f>
        <v>1</v>
      </c>
      <c r="AA269" s="257"/>
      <c r="AB269" s="239"/>
      <c r="AC269" s="244"/>
      <c r="AD269" s="244"/>
      <c r="AE269" s="256"/>
      <c r="AF269" s="256"/>
    </row>
    <row r="270" spans="1:32" x14ac:dyDescent="0.3">
      <c r="A270" s="244"/>
      <c r="D270" s="512"/>
      <c r="E270" s="513"/>
      <c r="F270" s="515"/>
      <c r="G270" s="515"/>
      <c r="H270" s="540"/>
      <c r="I270" s="513"/>
      <c r="J270" s="255"/>
      <c r="K270" s="255"/>
      <c r="L270" s="513"/>
      <c r="M270" s="252" t="str">
        <f>M269</f>
        <v>RSDAHT</v>
      </c>
      <c r="N270" s="244"/>
      <c r="O270" s="244" t="str">
        <f>L267</f>
        <v>RSDELC</v>
      </c>
      <c r="P270" s="252"/>
      <c r="Q270" s="252"/>
      <c r="R270" s="525"/>
      <c r="S270" s="256"/>
      <c r="T270" s="256"/>
      <c r="U270" s="183"/>
      <c r="V270" s="252"/>
      <c r="W270" s="524"/>
      <c r="X270" s="256"/>
      <c r="Y270" s="252"/>
      <c r="Z270" s="252">
        <f>IF(ISBLANK(O270),"",IF(O270="ACT",1,-1))</f>
        <v>-1</v>
      </c>
      <c r="AA270" s="257"/>
      <c r="AB270" s="239"/>
      <c r="AC270" s="244"/>
      <c r="AD270" s="244"/>
      <c r="AE270" s="256"/>
      <c r="AF270" s="256"/>
    </row>
    <row r="271" spans="1:32" x14ac:dyDescent="0.3">
      <c r="A271" s="235"/>
      <c r="C271" s="528" t="str">
        <f>'RSD (DEA)'!Z122</f>
        <v>HP_ELC_07</v>
      </c>
      <c r="D271" s="512" t="str">
        <f>RSD_HeatingDemand!N271&amp;"_"&amp;LEFT(C271,LEN(C271)-2)&amp;"05"</f>
        <v>RHHSB_HP_ELC_05</v>
      </c>
      <c r="E271" s="512" t="str">
        <f>"R"&amp;LEFT('RSD (DEA)'!AD122,2)&amp;IF(ISNUMBER(IFERROR(FIND("HTH",'RSD (DEA)'!Z122),IFERROR(FIND("HP",'RSD (DEA)'!Z122),"C"))),IF(IFERROR(FIND("HTH",'RSD (DEA)'!Z122),100)=100,"B","A"),"C")</f>
        <v>RHSB</v>
      </c>
      <c r="F271" s="515"/>
      <c r="G271" s="515"/>
      <c r="H271" s="540" t="str">
        <f>IF(LEFT(D271,LEN(D271)-2)=LEFT(D235,LEN(D271)-2),LEFT(D271,LEN(D271)-2)&amp;IF(RIGHT(H235,2)+1&lt;=9,"0"&amp;RIGHT(H235)+1,RIGHT(H235,2)+1),D271)</f>
        <v>RHHSB_HP_ELC_17</v>
      </c>
      <c r="I271" s="512" t="str">
        <f>'RSD (DEA)'!AA122</f>
        <v>Electric heat pumps, Brine-to-water (ground source)</v>
      </c>
      <c r="J271" s="242" t="s">
        <v>239</v>
      </c>
      <c r="K271" s="242" t="s">
        <v>240</v>
      </c>
      <c r="L271" s="512" t="str">
        <f>'RSD (DEA)'!AH122</f>
        <v>RSDELC</v>
      </c>
      <c r="M271" s="182" t="str">
        <f>'RSD (DEA)'!AI122</f>
        <v>RSDGEO</v>
      </c>
      <c r="N271" s="235" t="str">
        <f>LEFT('RSD (DEA)'!AJ122,2)&amp;RIGHT(E271,3)</f>
        <v>RHHSB</v>
      </c>
      <c r="O271" s="244"/>
      <c r="P271" s="182">
        <f>IF('RSD (DEA)'!P122&lt;RSD_HeatingDemand!$AH$15,RSD_HeatingDemand!$AH$15,'RSD (DEA)'!P122)</f>
        <v>2019</v>
      </c>
      <c r="Q271" s="182">
        <f>IF('RSD (DEA)'!X122&lt;RSD_HeatingDemand!$AH$15,RSD_HeatingDemand!$AH$15,'RSD (DEA)'!X122)</f>
        <v>2019</v>
      </c>
      <c r="R271" s="525">
        <f>IF(ISBLANK(I271),IF(MID(N271,2,2)="HA",VLOOKUP(I270,KEY_RSD_AF!$C$5:$G$52,2,FALSE),IF(MID(N271,2,2)="WA",VLOOKUP(I270,KEY_RSD_AF!$C$5:$G$52,3,FALSE),IF(MID(N271,2,2)="HH",VLOOKUP(I270,KEY_RSD_AF!$C$5:$G$52,4,FALSE),IF(MID(N271,2,2)="WH",VLOOKUP(I270,KEY_RSD_AF!$C$5:$G$52,5,FALSE))))),IF(MID(N271,2,2)="HA",VLOOKUP(I271,KEY_RSD_AF!$C$5:$G$52,2,FALSE),IF(MID(N271,2,2)="WA",VLOOKUP(I271,KEY_RSD_AF!$C$5:$G$52,3,FALSE),IF(MID(N271,2,2)="HH",VLOOKUP(I271,KEY_RSD_AF!$C$5:$G$52,4,FALSE),IF(MID(N271,2,2)="WH",VLOOKUP(I271,KEY_RSD_AF!$C$5:$G$52,5,FALSE))))))</f>
        <v>1</v>
      </c>
      <c r="S271" s="183">
        <f>'RSD (DEA)'!AZ122</f>
        <v>4.3</v>
      </c>
      <c r="T271" s="183">
        <f>'RSD (DEA)'!BA122</f>
        <v>4.4000000000000004</v>
      </c>
      <c r="U271" s="183">
        <v>0.5</v>
      </c>
      <c r="V271" s="182">
        <f>'RSD (DEA)'!BR122/'RSD (DEA)'!S122</f>
        <v>29.1</v>
      </c>
      <c r="W271" s="184">
        <f>'RSD (DEA)'!BS122/RSD_HeatingDemand!$AH$9</f>
        <v>0</v>
      </c>
      <c r="X271" s="183">
        <f>'RSD (DEA)'!BK122*RSD_HeatingDemand!$AH$10/'RSD (DEA)'!S122</f>
        <v>1600</v>
      </c>
      <c r="Y271" s="182">
        <f>'RSD (DEA)'!BI122</f>
        <v>20</v>
      </c>
      <c r="Z271" s="252" t="str">
        <f>IF(ISBLANK(O271),"",IF(O271="ACT",1,-1))</f>
        <v/>
      </c>
      <c r="AA271" s="236">
        <f>'RSD (DEA)'!AM122</f>
        <v>31.536000000000001</v>
      </c>
      <c r="AB271" s="239"/>
      <c r="AC271" s="235">
        <f>'RSD (DEA)'!S122</f>
        <v>10</v>
      </c>
      <c r="AD271" s="235" t="str">
        <f>LEFT('RSD (DEA)'!AK122,2)&amp;RIGHT(E271,3)</f>
        <v>RWHSB</v>
      </c>
      <c r="AE271" s="183">
        <f>'RSD (DEA)'!BA122</f>
        <v>4.4000000000000004</v>
      </c>
      <c r="AF271" s="183"/>
    </row>
    <row r="272" spans="1:32" x14ac:dyDescent="0.3">
      <c r="A272" s="235"/>
      <c r="D272" s="512"/>
      <c r="E272" s="512"/>
      <c r="F272" s="515"/>
      <c r="G272" s="515"/>
      <c r="H272" s="540"/>
      <c r="I272" s="512"/>
      <c r="J272" s="242"/>
      <c r="K272" s="242"/>
      <c r="L272" s="512"/>
      <c r="M272" s="182"/>
      <c r="N272" s="318" t="str">
        <f>AD271</f>
        <v>RWHSB</v>
      </c>
      <c r="O272" s="244"/>
      <c r="P272" s="182"/>
      <c r="Q272" s="182"/>
      <c r="R272" s="525">
        <f>IF(ISBLANK(I272),IF(MID(N272,2,2)="HA",VLOOKUP(I271,KEY_RSD_AF!$C$5:$G$52,2,FALSE),IF(MID(N272,2,2)="WA",VLOOKUP(I271,KEY_RSD_AF!$C$5:$G$52,3,FALSE),IF(MID(N272,2,2)="HH",VLOOKUP(I271,KEY_RSD_AF!$C$5:$G$52,4,FALSE),IF(MID(N272,2,2)="WH",VLOOKUP(I271,KEY_RSD_AF!$C$5:$G$52,5,FALSE))))),IF(MID(N272,2,2)="HA",VLOOKUP(I272,KEY_RSD_AF!$C$5:$G$52,2,FALSE),IF(MID(N272,2,2)="WA",VLOOKUP(I272,KEY_RSD_AF!$C$5:$G$52,3,FALSE),IF(MID(N272,2,2)="HH",VLOOKUP(I272,KEY_RSD_AF!$C$5:$G$52,4,FALSE),IF(MID(N272,2,2)="WH",VLOOKUP(I272,KEY_RSD_AF!$C$5:$G$52,5,FALSE))))))</f>
        <v>1</v>
      </c>
      <c r="S272" s="503">
        <f>T271</f>
        <v>4.4000000000000004</v>
      </c>
      <c r="T272" s="183"/>
      <c r="U272" s="183"/>
      <c r="V272" s="182"/>
      <c r="W272" s="184"/>
      <c r="X272" s="183"/>
      <c r="Y272" s="182"/>
      <c r="Z272" s="252"/>
      <c r="AA272" s="236"/>
      <c r="AB272" s="239"/>
      <c r="AC272" s="235"/>
      <c r="AD272" s="235"/>
      <c r="AE272" s="183"/>
      <c r="AF272" s="183"/>
    </row>
    <row r="273" spans="1:32" x14ac:dyDescent="0.3">
      <c r="A273" s="244"/>
      <c r="D273" s="512"/>
      <c r="E273" s="513"/>
      <c r="F273" s="515"/>
      <c r="G273" s="515"/>
      <c r="H273" s="540"/>
      <c r="I273" s="513"/>
      <c r="J273" s="255"/>
      <c r="K273" s="255"/>
      <c r="L273" s="513"/>
      <c r="M273" s="252" t="str">
        <f>M271</f>
        <v>RSDGEO</v>
      </c>
      <c r="N273" s="244"/>
      <c r="O273" s="244" t="str">
        <f>$AH$12</f>
        <v>ACT</v>
      </c>
      <c r="P273" s="252"/>
      <c r="Q273" s="252"/>
      <c r="R273" s="525"/>
      <c r="S273" s="256"/>
      <c r="T273" s="256"/>
      <c r="U273" s="183"/>
      <c r="V273" s="252"/>
      <c r="W273" s="524"/>
      <c r="X273" s="256"/>
      <c r="Y273" s="252"/>
      <c r="Z273" s="252">
        <f>IF(ISBLANK(O273),"",IF(O273="ACT",1,-1))</f>
        <v>1</v>
      </c>
      <c r="AA273" s="257"/>
      <c r="AB273" s="239"/>
      <c r="AC273" s="244"/>
      <c r="AD273" s="244"/>
      <c r="AE273" s="256"/>
      <c r="AF273" s="256"/>
    </row>
    <row r="274" spans="1:32" x14ac:dyDescent="0.3">
      <c r="A274" s="244"/>
      <c r="D274" s="512"/>
      <c r="E274" s="513"/>
      <c r="F274" s="515"/>
      <c r="G274" s="515"/>
      <c r="H274" s="540"/>
      <c r="I274" s="513"/>
      <c r="J274" s="255"/>
      <c r="K274" s="255"/>
      <c r="L274" s="513"/>
      <c r="M274" s="252" t="str">
        <f>M273</f>
        <v>RSDGEO</v>
      </c>
      <c r="N274" s="244"/>
      <c r="O274" s="244" t="str">
        <f>L271</f>
        <v>RSDELC</v>
      </c>
      <c r="P274" s="252"/>
      <c r="Q274" s="252"/>
      <c r="R274" s="525"/>
      <c r="S274" s="256"/>
      <c r="T274" s="256"/>
      <c r="U274" s="183"/>
      <c r="V274" s="252"/>
      <c r="W274" s="524"/>
      <c r="X274" s="256"/>
      <c r="Y274" s="252"/>
      <c r="Z274" s="252">
        <f>IF(ISBLANK(O274),"",IF(O274="ACT",1,-1))</f>
        <v>-1</v>
      </c>
      <c r="AA274" s="257"/>
      <c r="AB274" s="239"/>
      <c r="AC274" s="244"/>
      <c r="AD274" s="244"/>
      <c r="AE274" s="256"/>
      <c r="AF274" s="256"/>
    </row>
    <row r="275" spans="1:32" x14ac:dyDescent="0.3">
      <c r="A275" s="235"/>
      <c r="C275" s="528" t="str">
        <f>'RSD (DEA)'!Z123</f>
        <v>HP_ELC_07</v>
      </c>
      <c r="D275" s="512" t="str">
        <f>RSD_HeatingDemand!N275&amp;"_"&amp;LEFT(C275,LEN(C275)-2)&amp;"05"</f>
        <v>RHHSB_HP_ELC_05</v>
      </c>
      <c r="E275" s="512" t="str">
        <f>"R"&amp;LEFT('RSD (DEA)'!AD123,2)&amp;IF(ISNUMBER(IFERROR(FIND("HTH",'RSD (DEA)'!Z123),IFERROR(FIND("HP",'RSD (DEA)'!Z123),"C"))),IF(IFERROR(FIND("HTH",'RSD (DEA)'!Z123),100)=100,"B","A"),"C")</f>
        <v>RHSB</v>
      </c>
      <c r="F275" s="515"/>
      <c r="G275" s="515"/>
      <c r="H275" s="540" t="str">
        <f t="shared" si="6"/>
        <v>RHHSB_HP_ELC_18</v>
      </c>
      <c r="I275" s="512" t="str">
        <f>'RSD (DEA)'!AA123</f>
        <v>Electric heat pumps, Brine-to-water (ground source)</v>
      </c>
      <c r="J275" s="242" t="s">
        <v>239</v>
      </c>
      <c r="K275" s="242" t="s">
        <v>240</v>
      </c>
      <c r="L275" s="512" t="str">
        <f>'RSD (DEA)'!AH123</f>
        <v>RSDELC</v>
      </c>
      <c r="M275" s="182" t="str">
        <f>'RSD (DEA)'!AI123</f>
        <v>RSDGEO</v>
      </c>
      <c r="N275" s="235" t="str">
        <f>LEFT('RSD (DEA)'!AJ123,2)&amp;RIGHT(E275,3)</f>
        <v>RHHSB</v>
      </c>
      <c r="O275" s="244"/>
      <c r="P275" s="182">
        <f>IF('RSD (DEA)'!P123&lt;RSD_HeatingDemand!$AH$15,RSD_HeatingDemand!$AH$15,'RSD (DEA)'!P123)</f>
        <v>2019</v>
      </c>
      <c r="Q275" s="182">
        <f>IF('RSD (DEA)'!X123&lt;RSD_HeatingDemand!$AH$15,RSD_HeatingDemand!$AH$15,'RSD (DEA)'!X123)</f>
        <v>2020</v>
      </c>
      <c r="R275" s="525">
        <f>IF(ISBLANK(I275),IF(MID(N275,2,2)="HA",VLOOKUP(I274,KEY_RSD_AF!$C$5:$G$52,2,FALSE),IF(MID(N275,2,2)="WA",VLOOKUP(I274,KEY_RSD_AF!$C$5:$G$52,3,FALSE),IF(MID(N275,2,2)="HH",VLOOKUP(I274,KEY_RSD_AF!$C$5:$G$52,4,FALSE),IF(MID(N275,2,2)="WH",VLOOKUP(I274,KEY_RSD_AF!$C$5:$G$52,5,FALSE))))),IF(MID(N275,2,2)="HA",VLOOKUP(I275,KEY_RSD_AF!$C$5:$G$52,2,FALSE),IF(MID(N275,2,2)="WA",VLOOKUP(I275,KEY_RSD_AF!$C$5:$G$52,3,FALSE),IF(MID(N275,2,2)="HH",VLOOKUP(I275,KEY_RSD_AF!$C$5:$G$52,4,FALSE),IF(MID(N275,2,2)="WH",VLOOKUP(I275,KEY_RSD_AF!$C$5:$G$52,5,FALSE))))))</f>
        <v>1</v>
      </c>
      <c r="S275" s="183">
        <f>'RSD (DEA)'!AZ123</f>
        <v>4.4000000000000004</v>
      </c>
      <c r="T275" s="183">
        <f>'RSD (DEA)'!BA123</f>
        <v>4.5</v>
      </c>
      <c r="U275" s="183">
        <v>0.5</v>
      </c>
      <c r="V275" s="182">
        <f>'RSD (DEA)'!BR123/'RSD (DEA)'!S123</f>
        <v>27.8</v>
      </c>
      <c r="W275" s="184">
        <f>'RSD (DEA)'!BS123/RSD_HeatingDemand!$AH$9</f>
        <v>0</v>
      </c>
      <c r="X275" s="183">
        <f>'RSD (DEA)'!BK123*RSD_HeatingDemand!$AH$10/'RSD (DEA)'!S123</f>
        <v>1500</v>
      </c>
      <c r="Y275" s="182">
        <f>'RSD (DEA)'!BI123</f>
        <v>20</v>
      </c>
      <c r="Z275" s="252" t="str">
        <f>IF(ISBLANK(O275),"",IF(O275="ACT",1,-1))</f>
        <v/>
      </c>
      <c r="AA275" s="236">
        <f>'RSD (DEA)'!AM123</f>
        <v>31.536000000000001</v>
      </c>
      <c r="AB275" s="239"/>
      <c r="AC275" s="235">
        <f>'RSD (DEA)'!S123</f>
        <v>10</v>
      </c>
      <c r="AD275" s="235" t="str">
        <f>LEFT('RSD (DEA)'!AK123,2)&amp;RIGHT(E275,3)</f>
        <v>RWHSB</v>
      </c>
      <c r="AE275" s="183">
        <f>'RSD (DEA)'!BA123</f>
        <v>4.5</v>
      </c>
      <c r="AF275" s="183"/>
    </row>
    <row r="276" spans="1:32" x14ac:dyDescent="0.3">
      <c r="A276" s="235"/>
      <c r="D276" s="512"/>
      <c r="E276" s="512"/>
      <c r="F276" s="515"/>
      <c r="G276" s="515"/>
      <c r="H276" s="540"/>
      <c r="I276" s="512"/>
      <c r="J276" s="242"/>
      <c r="K276" s="242"/>
      <c r="L276" s="512"/>
      <c r="M276" s="182"/>
      <c r="N276" s="318" t="str">
        <f>AD275</f>
        <v>RWHSB</v>
      </c>
      <c r="O276" s="244"/>
      <c r="P276" s="182"/>
      <c r="Q276" s="182"/>
      <c r="R276" s="525">
        <f>IF(ISBLANK(I276),IF(MID(N276,2,2)="HA",VLOOKUP(I275,KEY_RSD_AF!$C$5:$G$52,2,FALSE),IF(MID(N276,2,2)="WA",VLOOKUP(I275,KEY_RSD_AF!$C$5:$G$52,3,FALSE),IF(MID(N276,2,2)="HH",VLOOKUP(I275,KEY_RSD_AF!$C$5:$G$52,4,FALSE),IF(MID(N276,2,2)="WH",VLOOKUP(I275,KEY_RSD_AF!$C$5:$G$52,5,FALSE))))),IF(MID(N276,2,2)="HA",VLOOKUP(I276,KEY_RSD_AF!$C$5:$G$52,2,FALSE),IF(MID(N276,2,2)="WA",VLOOKUP(I276,KEY_RSD_AF!$C$5:$G$52,3,FALSE),IF(MID(N276,2,2)="HH",VLOOKUP(I276,KEY_RSD_AF!$C$5:$G$52,4,FALSE),IF(MID(N276,2,2)="WH",VLOOKUP(I276,KEY_RSD_AF!$C$5:$G$52,5,FALSE))))))</f>
        <v>1</v>
      </c>
      <c r="S276" s="503">
        <f>T275</f>
        <v>4.5</v>
      </c>
      <c r="T276" s="183"/>
      <c r="U276" s="183"/>
      <c r="V276" s="182"/>
      <c r="W276" s="184"/>
      <c r="X276" s="183"/>
      <c r="Y276" s="182"/>
      <c r="Z276" s="252"/>
      <c r="AA276" s="236"/>
      <c r="AB276" s="239"/>
      <c r="AC276" s="235"/>
      <c r="AD276" s="235"/>
      <c r="AE276" s="183"/>
      <c r="AF276" s="183"/>
    </row>
    <row r="277" spans="1:32" x14ac:dyDescent="0.3">
      <c r="A277" s="244"/>
      <c r="D277" s="512"/>
      <c r="E277" s="513"/>
      <c r="F277" s="515"/>
      <c r="G277" s="515"/>
      <c r="H277" s="540"/>
      <c r="I277" s="513"/>
      <c r="J277" s="255"/>
      <c r="K277" s="255"/>
      <c r="L277" s="513"/>
      <c r="M277" s="252" t="str">
        <f>M275</f>
        <v>RSDGEO</v>
      </c>
      <c r="N277" s="244"/>
      <c r="O277" s="244" t="str">
        <f>$AH$12</f>
        <v>ACT</v>
      </c>
      <c r="P277" s="252"/>
      <c r="Q277" s="252"/>
      <c r="R277" s="525"/>
      <c r="S277" s="256"/>
      <c r="T277" s="256"/>
      <c r="U277" s="183"/>
      <c r="V277" s="252"/>
      <c r="W277" s="524"/>
      <c r="X277" s="256"/>
      <c r="Y277" s="252"/>
      <c r="Z277" s="252">
        <f>IF(ISBLANK(O277),"",IF(O277="ACT",1,-1))</f>
        <v>1</v>
      </c>
      <c r="AA277" s="257"/>
      <c r="AB277" s="239"/>
      <c r="AC277" s="244"/>
      <c r="AD277" s="244"/>
      <c r="AE277" s="256"/>
      <c r="AF277" s="256"/>
    </row>
    <row r="278" spans="1:32" x14ac:dyDescent="0.3">
      <c r="A278" s="244"/>
      <c r="D278" s="512"/>
      <c r="E278" s="513"/>
      <c r="F278" s="515"/>
      <c r="G278" s="515"/>
      <c r="H278" s="540"/>
      <c r="I278" s="513"/>
      <c r="J278" s="255"/>
      <c r="K278" s="255"/>
      <c r="L278" s="513"/>
      <c r="M278" s="252" t="str">
        <f>M277</f>
        <v>RSDGEO</v>
      </c>
      <c r="N278" s="244"/>
      <c r="O278" s="244" t="str">
        <f>L275</f>
        <v>RSDELC</v>
      </c>
      <c r="P278" s="252"/>
      <c r="Q278" s="252"/>
      <c r="R278" s="525"/>
      <c r="S278" s="256"/>
      <c r="T278" s="256"/>
      <c r="U278" s="183"/>
      <c r="V278" s="252"/>
      <c r="W278" s="524"/>
      <c r="X278" s="256"/>
      <c r="Y278" s="252"/>
      <c r="Z278" s="252">
        <f>IF(ISBLANK(O278),"",IF(O278="ACT",1,-1))</f>
        <v>-1</v>
      </c>
      <c r="AA278" s="257"/>
      <c r="AB278" s="239"/>
      <c r="AC278" s="244"/>
      <c r="AD278" s="244"/>
      <c r="AE278" s="256"/>
      <c r="AF278" s="256"/>
    </row>
    <row r="279" spans="1:32" x14ac:dyDescent="0.3">
      <c r="A279" s="235"/>
      <c r="C279" s="528" t="str">
        <f>'RSD (DEA)'!Z124</f>
        <v>HP_ELC_07</v>
      </c>
      <c r="D279" s="512" t="str">
        <f>RSD_HeatingDemand!N279&amp;"_"&amp;LEFT(C279,LEN(C279)-2)&amp;"05"</f>
        <v>RHHSB_HP_ELC_05</v>
      </c>
      <c r="E279" s="512" t="str">
        <f>"R"&amp;LEFT('RSD (DEA)'!AD124,2)&amp;IF(ISNUMBER(IFERROR(FIND("HTH",'RSD (DEA)'!Z124),IFERROR(FIND("HP",'RSD (DEA)'!Z124),"C"))),IF(IFERROR(FIND("HTH",'RSD (DEA)'!Z124),100)=100,"B","A"),"C")</f>
        <v>RHSB</v>
      </c>
      <c r="F279" s="515"/>
      <c r="G279" s="515"/>
      <c r="H279" s="540" t="str">
        <f t="shared" si="6"/>
        <v>RHHSB_HP_ELC_19</v>
      </c>
      <c r="I279" s="512" t="str">
        <f>'RSD (DEA)'!AA124</f>
        <v>Electric heat pumps, Brine-to-water (ground source)</v>
      </c>
      <c r="J279" s="242" t="s">
        <v>239</v>
      </c>
      <c r="K279" s="242" t="s">
        <v>240</v>
      </c>
      <c r="L279" s="512" t="str">
        <f>'RSD (DEA)'!AH124</f>
        <v>RSDELC</v>
      </c>
      <c r="M279" s="182" t="str">
        <f>'RSD (DEA)'!AI124</f>
        <v>RSDGEO</v>
      </c>
      <c r="N279" s="235" t="str">
        <f>LEFT('RSD (DEA)'!AJ124,2)&amp;RIGHT(E279,3)</f>
        <v>RHHSB</v>
      </c>
      <c r="O279" s="244"/>
      <c r="P279" s="182">
        <f>IF('RSD (DEA)'!P124&lt;RSD_HeatingDemand!$AH$15,RSD_HeatingDemand!$AH$15,'RSD (DEA)'!P124)</f>
        <v>2019</v>
      </c>
      <c r="Q279" s="182">
        <f>IF('RSD (DEA)'!X124&lt;RSD_HeatingDemand!$AH$15,RSD_HeatingDemand!$AH$15,'RSD (DEA)'!X124)</f>
        <v>2030</v>
      </c>
      <c r="R279" s="525">
        <f>IF(ISBLANK(I279),IF(MID(N279,2,2)="HA",VLOOKUP(I278,KEY_RSD_AF!$C$5:$G$52,2,FALSE),IF(MID(N279,2,2)="WA",VLOOKUP(I278,KEY_RSD_AF!$C$5:$G$52,3,FALSE),IF(MID(N279,2,2)="HH",VLOOKUP(I278,KEY_RSD_AF!$C$5:$G$52,4,FALSE),IF(MID(N279,2,2)="WH",VLOOKUP(I278,KEY_RSD_AF!$C$5:$G$52,5,FALSE))))),IF(MID(N279,2,2)="HA",VLOOKUP(I279,KEY_RSD_AF!$C$5:$G$52,2,FALSE),IF(MID(N279,2,2)="WA",VLOOKUP(I279,KEY_RSD_AF!$C$5:$G$52,3,FALSE),IF(MID(N279,2,2)="HH",VLOOKUP(I279,KEY_RSD_AF!$C$5:$G$52,4,FALSE),IF(MID(N279,2,2)="WH",VLOOKUP(I279,KEY_RSD_AF!$C$5:$G$52,5,FALSE))))))</f>
        <v>1</v>
      </c>
      <c r="S279" s="183">
        <f>'RSD (DEA)'!AZ124</f>
        <v>4.5</v>
      </c>
      <c r="T279" s="183">
        <f>'RSD (DEA)'!BA124</f>
        <v>4.5999999999999996</v>
      </c>
      <c r="U279" s="183">
        <v>0.5</v>
      </c>
      <c r="V279" s="182">
        <f>'RSD (DEA)'!BR124/'RSD (DEA)'!S124</f>
        <v>25.5</v>
      </c>
      <c r="W279" s="184">
        <f>'RSD (DEA)'!BS124/RSD_HeatingDemand!$AH$9</f>
        <v>0</v>
      </c>
      <c r="X279" s="183">
        <f>'RSD (DEA)'!BK124*RSD_HeatingDemand!$AH$10/'RSD (DEA)'!S124</f>
        <v>1400</v>
      </c>
      <c r="Y279" s="182">
        <f>'RSD (DEA)'!BI124</f>
        <v>20</v>
      </c>
      <c r="Z279" s="252" t="str">
        <f>IF(ISBLANK(O279),"",IF(O279="ACT",1,-1))</f>
        <v/>
      </c>
      <c r="AA279" s="236">
        <f>'RSD (DEA)'!AM124</f>
        <v>31.536000000000001</v>
      </c>
      <c r="AB279" s="239"/>
      <c r="AC279" s="235">
        <f>'RSD (DEA)'!S124</f>
        <v>10</v>
      </c>
      <c r="AD279" s="235" t="str">
        <f>LEFT('RSD (DEA)'!AK124,2)&amp;RIGHT(E279,3)</f>
        <v>RWHSB</v>
      </c>
      <c r="AE279" s="183">
        <f>'RSD (DEA)'!BA124</f>
        <v>4.5999999999999996</v>
      </c>
      <c r="AF279" s="183"/>
    </row>
    <row r="280" spans="1:32" x14ac:dyDescent="0.3">
      <c r="A280" s="235"/>
      <c r="D280" s="512"/>
      <c r="E280" s="512"/>
      <c r="F280" s="515"/>
      <c r="G280" s="515"/>
      <c r="H280" s="540"/>
      <c r="I280" s="512"/>
      <c r="J280" s="242"/>
      <c r="K280" s="242"/>
      <c r="L280" s="512"/>
      <c r="M280" s="182"/>
      <c r="N280" s="318" t="str">
        <f>AD279</f>
        <v>RWHSB</v>
      </c>
      <c r="O280" s="244"/>
      <c r="P280" s="182"/>
      <c r="Q280" s="182"/>
      <c r="R280" s="525">
        <f>IF(ISBLANK(I280),IF(MID(N280,2,2)="HA",VLOOKUP(I279,KEY_RSD_AF!$C$5:$G$52,2,FALSE),IF(MID(N280,2,2)="WA",VLOOKUP(I279,KEY_RSD_AF!$C$5:$G$52,3,FALSE),IF(MID(N280,2,2)="HH",VLOOKUP(I279,KEY_RSD_AF!$C$5:$G$52,4,FALSE),IF(MID(N280,2,2)="WH",VLOOKUP(I279,KEY_RSD_AF!$C$5:$G$52,5,FALSE))))),IF(MID(N280,2,2)="HA",VLOOKUP(I280,KEY_RSD_AF!$C$5:$G$52,2,FALSE),IF(MID(N280,2,2)="WA",VLOOKUP(I280,KEY_RSD_AF!$C$5:$G$52,3,FALSE),IF(MID(N280,2,2)="HH",VLOOKUP(I280,KEY_RSD_AF!$C$5:$G$52,4,FALSE),IF(MID(N280,2,2)="WH",VLOOKUP(I280,KEY_RSD_AF!$C$5:$G$52,5,FALSE))))))</f>
        <v>1</v>
      </c>
      <c r="S280" s="503">
        <f>T279</f>
        <v>4.5999999999999996</v>
      </c>
      <c r="T280" s="183"/>
      <c r="U280" s="183"/>
      <c r="V280" s="182"/>
      <c r="W280" s="184"/>
      <c r="X280" s="183"/>
      <c r="Y280" s="182"/>
      <c r="Z280" s="252"/>
      <c r="AA280" s="236"/>
      <c r="AB280" s="239"/>
      <c r="AC280" s="235"/>
      <c r="AD280" s="235"/>
      <c r="AE280" s="183"/>
      <c r="AF280" s="183"/>
    </row>
    <row r="281" spans="1:32" x14ac:dyDescent="0.3">
      <c r="A281" s="244"/>
      <c r="D281" s="512"/>
      <c r="E281" s="513"/>
      <c r="F281" s="515"/>
      <c r="G281" s="515"/>
      <c r="H281" s="540"/>
      <c r="I281" s="513"/>
      <c r="J281" s="255"/>
      <c r="K281" s="255"/>
      <c r="L281" s="513"/>
      <c r="M281" s="252" t="str">
        <f>M279</f>
        <v>RSDGEO</v>
      </c>
      <c r="N281" s="244"/>
      <c r="O281" s="244" t="str">
        <f>$AH$12</f>
        <v>ACT</v>
      </c>
      <c r="P281" s="252"/>
      <c r="Q281" s="252"/>
      <c r="R281" s="525"/>
      <c r="S281" s="256"/>
      <c r="T281" s="256"/>
      <c r="U281" s="183"/>
      <c r="V281" s="252"/>
      <c r="W281" s="524"/>
      <c r="X281" s="256"/>
      <c r="Y281" s="252"/>
      <c r="Z281" s="252">
        <f>IF(ISBLANK(O281),"",IF(O281="ACT",1,-1))</f>
        <v>1</v>
      </c>
      <c r="AA281" s="257"/>
      <c r="AB281" s="239"/>
      <c r="AC281" s="244"/>
      <c r="AD281" s="244"/>
      <c r="AE281" s="256"/>
      <c r="AF281" s="256"/>
    </row>
    <row r="282" spans="1:32" x14ac:dyDescent="0.3">
      <c r="A282" s="244"/>
      <c r="D282" s="512"/>
      <c r="E282" s="513"/>
      <c r="F282" s="515"/>
      <c r="G282" s="515"/>
      <c r="H282" s="540"/>
      <c r="I282" s="513"/>
      <c r="J282" s="255"/>
      <c r="K282" s="255"/>
      <c r="L282" s="513"/>
      <c r="M282" s="252" t="str">
        <f>M281</f>
        <v>RSDGEO</v>
      </c>
      <c r="N282" s="244"/>
      <c r="O282" s="244" t="str">
        <f>L279</f>
        <v>RSDELC</v>
      </c>
      <c r="P282" s="252"/>
      <c r="Q282" s="252"/>
      <c r="R282" s="525"/>
      <c r="S282" s="256"/>
      <c r="T282" s="256"/>
      <c r="U282" s="183"/>
      <c r="V282" s="252"/>
      <c r="W282" s="524"/>
      <c r="X282" s="256"/>
      <c r="Y282" s="252"/>
      <c r="Z282" s="252">
        <f>IF(ISBLANK(O282),"",IF(O282="ACT",1,-1))</f>
        <v>-1</v>
      </c>
      <c r="AA282" s="257"/>
      <c r="AB282" s="239"/>
      <c r="AC282" s="244"/>
      <c r="AD282" s="244"/>
      <c r="AE282" s="256"/>
      <c r="AF282" s="256"/>
    </row>
    <row r="283" spans="1:32" x14ac:dyDescent="0.3">
      <c r="A283" s="235"/>
      <c r="C283" s="528" t="str">
        <f>'RSD (DEA)'!Z125</f>
        <v>HP_ELC_07</v>
      </c>
      <c r="D283" s="512" t="str">
        <f>RSD_HeatingDemand!N283&amp;"_"&amp;LEFT(C283,LEN(C283)-2)&amp;"05"</f>
        <v>RHHSB_HP_ELC_05</v>
      </c>
      <c r="E283" s="512" t="str">
        <f>"R"&amp;LEFT('RSD (DEA)'!AD125,2)&amp;IF(ISNUMBER(IFERROR(FIND("HTH",'RSD (DEA)'!Z125),IFERROR(FIND("HP",'RSD (DEA)'!Z125),"C"))),IF(IFERROR(FIND("HTH",'RSD (DEA)'!Z125),100)=100,"B","A"),"C")</f>
        <v>RHSB</v>
      </c>
      <c r="F283" s="515"/>
      <c r="G283" s="515"/>
      <c r="H283" s="540" t="str">
        <f t="shared" si="6"/>
        <v>RHHSB_HP_ELC_20</v>
      </c>
      <c r="I283" s="512" t="str">
        <f>'RSD (DEA)'!AA125</f>
        <v>Electric heat pumps, Brine-to-water (ground source)</v>
      </c>
      <c r="J283" s="242" t="s">
        <v>239</v>
      </c>
      <c r="K283" s="242" t="s">
        <v>240</v>
      </c>
      <c r="L283" s="512" t="str">
        <f>'RSD (DEA)'!AH125</f>
        <v>RSDELC</v>
      </c>
      <c r="M283" s="182" t="str">
        <f>'RSD (DEA)'!AI125</f>
        <v>RSDGEO</v>
      </c>
      <c r="N283" s="235" t="str">
        <f>LEFT('RSD (DEA)'!AJ125,2)&amp;RIGHT(E283,3)</f>
        <v>RHHSB</v>
      </c>
      <c r="O283" s="244"/>
      <c r="P283" s="182">
        <f>IF('RSD (DEA)'!P125&lt;RSD_HeatingDemand!$AH$15,RSD_HeatingDemand!$AH$15,'RSD (DEA)'!P125)</f>
        <v>2019</v>
      </c>
      <c r="Q283" s="182">
        <f>IF('RSD (DEA)'!X125&lt;RSD_HeatingDemand!$AH$15,RSD_HeatingDemand!$AH$15,'RSD (DEA)'!X125)</f>
        <v>2050</v>
      </c>
      <c r="R283" s="525">
        <f>IF(ISBLANK(I283),IF(MID(N283,2,2)="HA",VLOOKUP(I282,KEY_RSD_AF!$C$5:$G$52,2,FALSE),IF(MID(N283,2,2)="WA",VLOOKUP(I282,KEY_RSD_AF!$C$5:$G$52,3,FALSE),IF(MID(N283,2,2)="HH",VLOOKUP(I282,KEY_RSD_AF!$C$5:$G$52,4,FALSE),IF(MID(N283,2,2)="WH",VLOOKUP(I282,KEY_RSD_AF!$C$5:$G$52,5,FALSE))))),IF(MID(N283,2,2)="HA",VLOOKUP(I283,KEY_RSD_AF!$C$5:$G$52,2,FALSE),IF(MID(N283,2,2)="WA",VLOOKUP(I283,KEY_RSD_AF!$C$5:$G$52,3,FALSE),IF(MID(N283,2,2)="HH",VLOOKUP(I283,KEY_RSD_AF!$C$5:$G$52,4,FALSE),IF(MID(N283,2,2)="WH",VLOOKUP(I283,KEY_RSD_AF!$C$5:$G$52,5,FALSE))))))</f>
        <v>1</v>
      </c>
      <c r="S283" s="183">
        <f>'RSD (DEA)'!AZ125</f>
        <v>4.75</v>
      </c>
      <c r="T283" s="183">
        <f>'RSD (DEA)'!BA125</f>
        <v>4.8499999999999996</v>
      </c>
      <c r="U283" s="183">
        <v>0.5</v>
      </c>
      <c r="V283" s="182">
        <f>'RSD (DEA)'!BR125/'RSD (DEA)'!S125</f>
        <v>23.9</v>
      </c>
      <c r="W283" s="184">
        <f>'RSD (DEA)'!BS125/RSD_HeatingDemand!$AH$9</f>
        <v>0</v>
      </c>
      <c r="X283" s="183">
        <f>'RSD (DEA)'!BK125*RSD_HeatingDemand!$AH$10/'RSD (DEA)'!S125</f>
        <v>1200</v>
      </c>
      <c r="Y283" s="182">
        <f>'RSD (DEA)'!BI125</f>
        <v>20</v>
      </c>
      <c r="Z283" s="252" t="str">
        <f>IF(ISBLANK(O283),"",IF(O283="ACT",1,-1))</f>
        <v/>
      </c>
      <c r="AA283" s="236">
        <f>'RSD (DEA)'!AM125</f>
        <v>31.536000000000001</v>
      </c>
      <c r="AB283" s="239"/>
      <c r="AC283" s="235">
        <f>'RSD (DEA)'!S125</f>
        <v>10</v>
      </c>
      <c r="AD283" s="235" t="str">
        <f>LEFT('RSD (DEA)'!AK125,2)&amp;RIGHT(E283,3)</f>
        <v>RWHSB</v>
      </c>
      <c r="AE283" s="183">
        <f>'RSD (DEA)'!BA125</f>
        <v>4.8499999999999996</v>
      </c>
      <c r="AF283" s="183"/>
    </row>
    <row r="284" spans="1:32" x14ac:dyDescent="0.3">
      <c r="A284" s="235"/>
      <c r="D284" s="512"/>
      <c r="E284" s="512"/>
      <c r="F284" s="515"/>
      <c r="G284" s="515"/>
      <c r="H284" s="540"/>
      <c r="I284" s="512"/>
      <c r="J284" s="242"/>
      <c r="K284" s="242"/>
      <c r="L284" s="512"/>
      <c r="M284" s="182"/>
      <c r="N284" s="318" t="str">
        <f>AD283</f>
        <v>RWHSB</v>
      </c>
      <c r="O284" s="244"/>
      <c r="P284" s="182"/>
      <c r="Q284" s="182"/>
      <c r="R284" s="525">
        <f>IF(ISBLANK(I284),IF(MID(N284,2,2)="HA",VLOOKUP(I283,KEY_RSD_AF!$C$5:$G$52,2,FALSE),IF(MID(N284,2,2)="WA",VLOOKUP(I283,KEY_RSD_AF!$C$5:$G$52,3,FALSE),IF(MID(N284,2,2)="HH",VLOOKUP(I283,KEY_RSD_AF!$C$5:$G$52,4,FALSE),IF(MID(N284,2,2)="WH",VLOOKUP(I283,KEY_RSD_AF!$C$5:$G$52,5,FALSE))))),IF(MID(N284,2,2)="HA",VLOOKUP(I284,KEY_RSD_AF!$C$5:$G$52,2,FALSE),IF(MID(N284,2,2)="WA",VLOOKUP(I284,KEY_RSD_AF!$C$5:$G$52,3,FALSE),IF(MID(N284,2,2)="HH",VLOOKUP(I284,KEY_RSD_AF!$C$5:$G$52,4,FALSE),IF(MID(N284,2,2)="WH",VLOOKUP(I284,KEY_RSD_AF!$C$5:$G$52,5,FALSE))))))</f>
        <v>1</v>
      </c>
      <c r="S284" s="503">
        <f>T283</f>
        <v>4.8499999999999996</v>
      </c>
      <c r="T284" s="183"/>
      <c r="U284" s="183"/>
      <c r="V284" s="182"/>
      <c r="W284" s="184"/>
      <c r="X284" s="183"/>
      <c r="Y284" s="182"/>
      <c r="Z284" s="252"/>
      <c r="AA284" s="236"/>
      <c r="AB284" s="239"/>
      <c r="AC284" s="235"/>
      <c r="AD284" s="235"/>
      <c r="AE284" s="183"/>
      <c r="AF284" s="183"/>
    </row>
    <row r="285" spans="1:32" x14ac:dyDescent="0.3">
      <c r="A285" s="244"/>
      <c r="D285" s="512"/>
      <c r="E285" s="513"/>
      <c r="F285" s="515"/>
      <c r="G285" s="515"/>
      <c r="H285" s="540"/>
      <c r="I285" s="513"/>
      <c r="J285" s="255"/>
      <c r="K285" s="255"/>
      <c r="L285" s="513"/>
      <c r="M285" s="252" t="str">
        <f>M283</f>
        <v>RSDGEO</v>
      </c>
      <c r="N285" s="244"/>
      <c r="O285" s="244" t="str">
        <f>$AH$12</f>
        <v>ACT</v>
      </c>
      <c r="P285" s="252"/>
      <c r="Q285" s="252"/>
      <c r="R285" s="525"/>
      <c r="S285" s="256"/>
      <c r="T285" s="256"/>
      <c r="U285" s="183"/>
      <c r="V285" s="252"/>
      <c r="W285" s="524"/>
      <c r="X285" s="256"/>
      <c r="Y285" s="252"/>
      <c r="Z285" s="252">
        <f>IF(ISBLANK(O285),"",IF(O285="ACT",1,-1))</f>
        <v>1</v>
      </c>
      <c r="AA285" s="257"/>
      <c r="AB285" s="239"/>
      <c r="AC285" s="244"/>
      <c r="AD285" s="244"/>
      <c r="AE285" s="256"/>
      <c r="AF285" s="256"/>
    </row>
    <row r="286" spans="1:32" x14ac:dyDescent="0.3">
      <c r="A286" s="244"/>
      <c r="D286" s="512"/>
      <c r="E286" s="513"/>
      <c r="F286" s="515"/>
      <c r="G286" s="515"/>
      <c r="H286" s="540"/>
      <c r="I286" s="513"/>
      <c r="J286" s="255"/>
      <c r="K286" s="255"/>
      <c r="L286" s="513"/>
      <c r="M286" s="252" t="str">
        <f>M285</f>
        <v>RSDGEO</v>
      </c>
      <c r="N286" s="244"/>
      <c r="O286" s="244" t="str">
        <f>L283</f>
        <v>RSDELC</v>
      </c>
      <c r="P286" s="252"/>
      <c r="Q286" s="252"/>
      <c r="R286" s="525"/>
      <c r="S286" s="256"/>
      <c r="T286" s="256"/>
      <c r="U286" s="183"/>
      <c r="V286" s="252"/>
      <c r="W286" s="524"/>
      <c r="X286" s="256"/>
      <c r="Y286" s="252"/>
      <c r="Z286" s="252">
        <f>IF(ISBLANK(O286),"",IF(O286="ACT",1,-1))</f>
        <v>-1</v>
      </c>
      <c r="AA286" s="257"/>
      <c r="AB286" s="239"/>
      <c r="AC286" s="244"/>
      <c r="AD286" s="244"/>
      <c r="AE286" s="256"/>
      <c r="AF286" s="256"/>
    </row>
    <row r="287" spans="1:32" x14ac:dyDescent="0.3">
      <c r="A287" s="235"/>
      <c r="C287" s="528" t="str">
        <f>'RSD (DEA)'!Z126</f>
        <v>HP_ELC_08</v>
      </c>
      <c r="D287" s="512" t="str">
        <f>RSD_HeatingDemand!N287&amp;"_"&amp;LEFT(C287,LEN(C287)-2)&amp;"06"</f>
        <v>RHHSB_HP_ELC_06</v>
      </c>
      <c r="E287" s="512" t="str">
        <f>"R"&amp;LEFT('RSD (DEA)'!AD126,2)&amp;IF(ISNUMBER(IFERROR(FIND("HTH",'RSD (DEA)'!Z126),IFERROR(FIND("HP",'RSD (DEA)'!Z126),"C"))),IF(IFERROR(FIND("HTH",'RSD (DEA)'!Z126),100)=100,"B","A"),"C")</f>
        <v>RHSB</v>
      </c>
      <c r="F287" s="515"/>
      <c r="G287" s="515"/>
      <c r="H287" s="540" t="str">
        <f t="shared" ref="H287:H347" si="7">IF(LEFT(D287,LEN(D287)-2)=LEFT(D283,LEN(D287)-2),LEFT(D287,LEN(D287)-2)&amp;IF(RIGHT(H283,2)+1&lt;=9,"0"&amp;RIGHT(H283)+1,RIGHT(H283,2)+1),D287)</f>
        <v>RHHSB_HP_ELC_21</v>
      </c>
      <c r="I287" s="512" t="str">
        <f>'RSD (DEA)'!AA126</f>
        <v>Electric heat pumps, Brine-to-water (ground source)</v>
      </c>
      <c r="J287" s="242" t="s">
        <v>239</v>
      </c>
      <c r="K287" s="242" t="s">
        <v>240</v>
      </c>
      <c r="L287" s="512" t="str">
        <f>'RSD (DEA)'!AH126</f>
        <v>RSDELC</v>
      </c>
      <c r="M287" s="182" t="str">
        <f>'RSD (DEA)'!AI126</f>
        <v>RSDGEO</v>
      </c>
      <c r="N287" s="235" t="str">
        <f>LEFT('RSD (DEA)'!AJ126,2)&amp;RIGHT(E287,3)</f>
        <v>RHHSB</v>
      </c>
      <c r="O287" s="244"/>
      <c r="P287" s="182">
        <f>IF('RSD (DEA)'!P126&lt;RSD_HeatingDemand!$AH$15,RSD_HeatingDemand!$AH$15,'RSD (DEA)'!P126)</f>
        <v>2019</v>
      </c>
      <c r="Q287" s="182">
        <f>IF('RSD (DEA)'!X126&lt;RSD_HeatingDemand!$AH$15,RSD_HeatingDemand!$AH$15,'RSD (DEA)'!X126)</f>
        <v>2019</v>
      </c>
      <c r="R287" s="525">
        <f>IF(ISBLANK(I287),IF(MID(N287,2,2)="HA",VLOOKUP(I286,KEY_RSD_AF!$C$5:$G$52,2,FALSE),IF(MID(N287,2,2)="WA",VLOOKUP(I286,KEY_RSD_AF!$C$5:$G$52,3,FALSE),IF(MID(N287,2,2)="HH",VLOOKUP(I286,KEY_RSD_AF!$C$5:$G$52,4,FALSE),IF(MID(N287,2,2)="WH",VLOOKUP(I286,KEY_RSD_AF!$C$5:$G$52,5,FALSE))))),IF(MID(N287,2,2)="HA",VLOOKUP(I287,KEY_RSD_AF!$C$5:$G$52,2,FALSE),IF(MID(N287,2,2)="WA",VLOOKUP(I287,KEY_RSD_AF!$C$5:$G$52,3,FALSE),IF(MID(N287,2,2)="HH",VLOOKUP(I287,KEY_RSD_AF!$C$5:$G$52,4,FALSE),IF(MID(N287,2,2)="WH",VLOOKUP(I287,KEY_RSD_AF!$C$5:$G$52,5,FALSE))))))</f>
        <v>1</v>
      </c>
      <c r="S287" s="183">
        <f>'RSD (DEA)'!AZ126</f>
        <v>3.35</v>
      </c>
      <c r="T287" s="183">
        <f>'RSD (DEA)'!BA126</f>
        <v>3.55</v>
      </c>
      <c r="U287" s="183">
        <v>0.5</v>
      </c>
      <c r="V287" s="182">
        <f>'RSD (DEA)'!BR126/'RSD (DEA)'!S126</f>
        <v>72.75</v>
      </c>
      <c r="W287" s="184">
        <f>'RSD (DEA)'!BS126/RSD_HeatingDemand!$AH$9</f>
        <v>0</v>
      </c>
      <c r="X287" s="183">
        <f>'RSD (DEA)'!BK126*RSD_HeatingDemand!$AH$10/'RSD (DEA)'!S126</f>
        <v>3000</v>
      </c>
      <c r="Y287" s="182">
        <f>'RSD (DEA)'!BI126</f>
        <v>20</v>
      </c>
      <c r="Z287" s="252" t="str">
        <f>IF(ISBLANK(O287),"",IF(O287="ACT",1,-1))</f>
        <v/>
      </c>
      <c r="AA287" s="236">
        <f>'RSD (DEA)'!AM126</f>
        <v>31.536000000000001</v>
      </c>
      <c r="AB287" s="239"/>
      <c r="AC287" s="235">
        <f>'RSD (DEA)'!S126</f>
        <v>4</v>
      </c>
      <c r="AD287" s="235" t="str">
        <f>LEFT('RSD (DEA)'!AK126,2)&amp;RIGHT(E287,3)</f>
        <v>RWHSB</v>
      </c>
      <c r="AE287" s="183">
        <f>'RSD (DEA)'!BA126</f>
        <v>3.55</v>
      </c>
      <c r="AF287" s="183"/>
    </row>
    <row r="288" spans="1:32" x14ac:dyDescent="0.3">
      <c r="A288" s="235"/>
      <c r="D288" s="512"/>
      <c r="E288" s="512"/>
      <c r="F288" s="515"/>
      <c r="G288" s="515"/>
      <c r="H288" s="540"/>
      <c r="I288" s="512"/>
      <c r="J288" s="242"/>
      <c r="K288" s="242"/>
      <c r="L288" s="512"/>
      <c r="M288" s="182"/>
      <c r="N288" s="318" t="str">
        <f>AD287</f>
        <v>RWHSB</v>
      </c>
      <c r="O288" s="244"/>
      <c r="P288" s="182"/>
      <c r="Q288" s="182"/>
      <c r="R288" s="525">
        <f>IF(ISBLANK(I288),IF(MID(N288,2,2)="HA",VLOOKUP(I287,KEY_RSD_AF!$C$5:$G$52,2,FALSE),IF(MID(N288,2,2)="WA",VLOOKUP(I287,KEY_RSD_AF!$C$5:$G$52,3,FALSE),IF(MID(N288,2,2)="HH",VLOOKUP(I287,KEY_RSD_AF!$C$5:$G$52,4,FALSE),IF(MID(N288,2,2)="WH",VLOOKUP(I287,KEY_RSD_AF!$C$5:$G$52,5,FALSE))))),IF(MID(N288,2,2)="HA",VLOOKUP(I288,KEY_RSD_AF!$C$5:$G$52,2,FALSE),IF(MID(N288,2,2)="WA",VLOOKUP(I288,KEY_RSD_AF!$C$5:$G$52,3,FALSE),IF(MID(N288,2,2)="HH",VLOOKUP(I288,KEY_RSD_AF!$C$5:$G$52,4,FALSE),IF(MID(N288,2,2)="WH",VLOOKUP(I288,KEY_RSD_AF!$C$5:$G$52,5,FALSE))))))</f>
        <v>1</v>
      </c>
      <c r="S288" s="503">
        <f>T287</f>
        <v>3.55</v>
      </c>
      <c r="T288" s="183"/>
      <c r="U288" s="183"/>
      <c r="V288" s="182"/>
      <c r="W288" s="184"/>
      <c r="X288" s="183"/>
      <c r="Y288" s="182"/>
      <c r="Z288" s="252"/>
      <c r="AA288" s="236"/>
      <c r="AB288" s="239"/>
      <c r="AC288" s="235"/>
      <c r="AD288" s="235"/>
      <c r="AE288" s="183"/>
      <c r="AF288" s="183"/>
    </row>
    <row r="289" spans="1:32" x14ac:dyDescent="0.3">
      <c r="A289" s="244"/>
      <c r="D289" s="512"/>
      <c r="E289" s="513"/>
      <c r="F289" s="515"/>
      <c r="G289" s="515"/>
      <c r="H289" s="540"/>
      <c r="I289" s="513"/>
      <c r="J289" s="255"/>
      <c r="K289" s="255"/>
      <c r="L289" s="513"/>
      <c r="M289" s="252" t="str">
        <f>M287</f>
        <v>RSDGEO</v>
      </c>
      <c r="N289" s="244"/>
      <c r="O289" s="244" t="str">
        <f>$AH$12</f>
        <v>ACT</v>
      </c>
      <c r="P289" s="252"/>
      <c r="Q289" s="252"/>
      <c r="R289" s="525"/>
      <c r="S289" s="256"/>
      <c r="T289" s="256"/>
      <c r="U289" s="183"/>
      <c r="V289" s="252"/>
      <c r="W289" s="524"/>
      <c r="X289" s="256"/>
      <c r="Y289" s="252"/>
      <c r="Z289" s="252">
        <f>IF(ISBLANK(O289),"",IF(O289="ACT",1,-1))</f>
        <v>1</v>
      </c>
      <c r="AA289" s="257"/>
      <c r="AB289" s="239"/>
      <c r="AC289" s="244"/>
      <c r="AD289" s="244"/>
      <c r="AE289" s="256"/>
      <c r="AF289" s="256"/>
    </row>
    <row r="290" spans="1:32" x14ac:dyDescent="0.3">
      <c r="A290" s="244"/>
      <c r="D290" s="512"/>
      <c r="E290" s="513"/>
      <c r="F290" s="515"/>
      <c r="G290" s="515"/>
      <c r="H290" s="540"/>
      <c r="I290" s="513"/>
      <c r="J290" s="255"/>
      <c r="K290" s="255"/>
      <c r="L290" s="513"/>
      <c r="M290" s="252" t="str">
        <f>M289</f>
        <v>RSDGEO</v>
      </c>
      <c r="N290" s="244"/>
      <c r="O290" s="244" t="str">
        <f>L287</f>
        <v>RSDELC</v>
      </c>
      <c r="P290" s="252"/>
      <c r="Q290" s="252"/>
      <c r="R290" s="525"/>
      <c r="S290" s="256"/>
      <c r="T290" s="256"/>
      <c r="U290" s="183"/>
      <c r="V290" s="252"/>
      <c r="W290" s="524"/>
      <c r="X290" s="256"/>
      <c r="Y290" s="252"/>
      <c r="Z290" s="252">
        <f>IF(ISBLANK(O290),"",IF(O290="ACT",1,-1))</f>
        <v>-1</v>
      </c>
      <c r="AA290" s="257"/>
      <c r="AC290" s="244"/>
      <c r="AD290" s="244"/>
      <c r="AE290" s="256"/>
      <c r="AF290" s="256"/>
    </row>
    <row r="291" spans="1:32" x14ac:dyDescent="0.3">
      <c r="A291" s="235"/>
      <c r="C291" s="528" t="str">
        <f>'RSD (DEA)'!Z127</f>
        <v>HP_ELC_08</v>
      </c>
      <c r="D291" s="512" t="str">
        <f>RSD_HeatingDemand!N291&amp;"_"&amp;LEFT(C291,LEN(C291)-2)&amp;"06"</f>
        <v>RHHSB_HP_ELC_06</v>
      </c>
      <c r="E291" s="512" t="str">
        <f>"R"&amp;LEFT('RSD (DEA)'!AD127,2)&amp;IF(ISNUMBER(IFERROR(FIND("HTH",'RSD (DEA)'!Z127),IFERROR(FIND("HP",'RSD (DEA)'!Z127),"C"))),IF(IFERROR(FIND("HTH",'RSD (DEA)'!Z127),100)=100,"B","A"),"C")</f>
        <v>RHSB</v>
      </c>
      <c r="F291" s="515"/>
      <c r="G291" s="515"/>
      <c r="H291" s="540" t="str">
        <f t="shared" si="7"/>
        <v>RHHSB_HP_ELC_22</v>
      </c>
      <c r="I291" s="512" t="str">
        <f>'RSD (DEA)'!AA127</f>
        <v>Electric heat pumps, Brine-to-water (ground source)</v>
      </c>
      <c r="J291" s="242" t="s">
        <v>239</v>
      </c>
      <c r="K291" s="242" t="s">
        <v>240</v>
      </c>
      <c r="L291" s="512" t="str">
        <f>'RSD (DEA)'!AH127</f>
        <v>RSDELC</v>
      </c>
      <c r="M291" s="182" t="str">
        <f>'RSD (DEA)'!AI127</f>
        <v>RSDGEO</v>
      </c>
      <c r="N291" s="235" t="str">
        <f>LEFT('RSD (DEA)'!AJ127,2)&amp;RIGHT(E291,3)</f>
        <v>RHHSB</v>
      </c>
      <c r="O291" s="244"/>
      <c r="P291" s="182">
        <f>IF('RSD (DEA)'!P127&lt;RSD_HeatingDemand!$AH$15,RSD_HeatingDemand!$AH$15,'RSD (DEA)'!P127)</f>
        <v>2019</v>
      </c>
      <c r="Q291" s="182">
        <f>IF('RSD (DEA)'!X127&lt;RSD_HeatingDemand!$AH$15,RSD_HeatingDemand!$AH$15,'RSD (DEA)'!X127)</f>
        <v>2020</v>
      </c>
      <c r="R291" s="525">
        <f>IF(ISBLANK(I291),IF(MID(N291,2,2)="HA",VLOOKUP(I290,KEY_RSD_AF!$C$5:$G$52,2,FALSE),IF(MID(N291,2,2)="WA",VLOOKUP(I290,KEY_RSD_AF!$C$5:$G$52,3,FALSE),IF(MID(N291,2,2)="HH",VLOOKUP(I290,KEY_RSD_AF!$C$5:$G$52,4,FALSE),IF(MID(N291,2,2)="WH",VLOOKUP(I290,KEY_RSD_AF!$C$5:$G$52,5,FALSE))))),IF(MID(N291,2,2)="HA",VLOOKUP(I291,KEY_RSD_AF!$C$5:$G$52,2,FALSE),IF(MID(N291,2,2)="WA",VLOOKUP(I291,KEY_RSD_AF!$C$5:$G$52,3,FALSE),IF(MID(N291,2,2)="HH",VLOOKUP(I291,KEY_RSD_AF!$C$5:$G$52,4,FALSE),IF(MID(N291,2,2)="WH",VLOOKUP(I291,KEY_RSD_AF!$C$5:$G$52,5,FALSE))))))</f>
        <v>1</v>
      </c>
      <c r="S291" s="183">
        <f>'RSD (DEA)'!AZ127</f>
        <v>3.45</v>
      </c>
      <c r="T291" s="183">
        <f>'RSD (DEA)'!BA127</f>
        <v>3.65</v>
      </c>
      <c r="U291" s="183">
        <v>0.5</v>
      </c>
      <c r="V291" s="182">
        <f>'RSD (DEA)'!BR127/'RSD (DEA)'!S127</f>
        <v>69.5</v>
      </c>
      <c r="W291" s="184">
        <f>'RSD (DEA)'!BS127/RSD_HeatingDemand!$AH$9</f>
        <v>0</v>
      </c>
      <c r="X291" s="183">
        <f>'RSD (DEA)'!BK127*RSD_HeatingDemand!$AH$10/'RSD (DEA)'!S127</f>
        <v>2750</v>
      </c>
      <c r="Y291" s="182">
        <f>'RSD (DEA)'!BI127</f>
        <v>20</v>
      </c>
      <c r="Z291" s="252" t="str">
        <f>IF(ISBLANK(O291),"",IF(O291="ACT",1,-1))</f>
        <v/>
      </c>
      <c r="AA291" s="236">
        <f>'RSD (DEA)'!AM127</f>
        <v>31.536000000000001</v>
      </c>
      <c r="AC291" s="235">
        <f>'RSD (DEA)'!S127</f>
        <v>4</v>
      </c>
      <c r="AD291" s="235" t="str">
        <f>LEFT('RSD (DEA)'!AK127,2)&amp;RIGHT(E291,3)</f>
        <v>RWHSB</v>
      </c>
      <c r="AE291" s="183">
        <f>'RSD (DEA)'!BA127</f>
        <v>3.65</v>
      </c>
      <c r="AF291" s="183"/>
    </row>
    <row r="292" spans="1:32" x14ac:dyDescent="0.3">
      <c r="A292" s="235"/>
      <c r="D292" s="512"/>
      <c r="E292" s="512"/>
      <c r="F292" s="515"/>
      <c r="G292" s="515"/>
      <c r="H292" s="540"/>
      <c r="I292" s="512"/>
      <c r="J292" s="242"/>
      <c r="K292" s="242"/>
      <c r="L292" s="512"/>
      <c r="M292" s="182"/>
      <c r="N292" s="318" t="str">
        <f>AD291</f>
        <v>RWHSB</v>
      </c>
      <c r="O292" s="244"/>
      <c r="P292" s="182"/>
      <c r="Q292" s="182"/>
      <c r="R292" s="525">
        <f>IF(ISBLANK(I292),IF(MID(N292,2,2)="HA",VLOOKUP(I291,KEY_RSD_AF!$C$5:$G$52,2,FALSE),IF(MID(N292,2,2)="WA",VLOOKUP(I291,KEY_RSD_AF!$C$5:$G$52,3,FALSE),IF(MID(N292,2,2)="HH",VLOOKUP(I291,KEY_RSD_AF!$C$5:$G$52,4,FALSE),IF(MID(N292,2,2)="WH",VLOOKUP(I291,KEY_RSD_AF!$C$5:$G$52,5,FALSE))))),IF(MID(N292,2,2)="HA",VLOOKUP(I292,KEY_RSD_AF!$C$5:$G$52,2,FALSE),IF(MID(N292,2,2)="WA",VLOOKUP(I292,KEY_RSD_AF!$C$5:$G$52,3,FALSE),IF(MID(N292,2,2)="HH",VLOOKUP(I292,KEY_RSD_AF!$C$5:$G$52,4,FALSE),IF(MID(N292,2,2)="WH",VLOOKUP(I292,KEY_RSD_AF!$C$5:$G$52,5,FALSE))))))</f>
        <v>1</v>
      </c>
      <c r="S292" s="503">
        <f>T291</f>
        <v>3.65</v>
      </c>
      <c r="T292" s="183"/>
      <c r="U292" s="183"/>
      <c r="V292" s="182"/>
      <c r="W292" s="184"/>
      <c r="X292" s="183"/>
      <c r="Y292" s="182"/>
      <c r="Z292" s="252"/>
      <c r="AA292" s="236"/>
      <c r="AC292" s="235"/>
      <c r="AD292" s="235"/>
      <c r="AE292" s="183"/>
      <c r="AF292" s="183"/>
    </row>
    <row r="293" spans="1:32" x14ac:dyDescent="0.3">
      <c r="A293" s="244"/>
      <c r="D293" s="512"/>
      <c r="E293" s="513"/>
      <c r="F293" s="515"/>
      <c r="G293" s="515"/>
      <c r="H293" s="540"/>
      <c r="I293" s="513"/>
      <c r="J293" s="255"/>
      <c r="K293" s="255"/>
      <c r="L293" s="513"/>
      <c r="M293" s="252" t="str">
        <f>M291</f>
        <v>RSDGEO</v>
      </c>
      <c r="N293" s="244"/>
      <c r="O293" s="244" t="str">
        <f>$AH$12</f>
        <v>ACT</v>
      </c>
      <c r="P293" s="252"/>
      <c r="Q293" s="252"/>
      <c r="R293" s="525"/>
      <c r="S293" s="256"/>
      <c r="T293" s="256"/>
      <c r="U293" s="183"/>
      <c r="V293" s="252"/>
      <c r="W293" s="524"/>
      <c r="X293" s="256"/>
      <c r="Y293" s="252"/>
      <c r="Z293" s="252">
        <f>IF(ISBLANK(O293),"",IF(O293="ACT",1,-1))</f>
        <v>1</v>
      </c>
      <c r="AA293" s="257"/>
      <c r="AC293" s="244"/>
      <c r="AD293" s="244"/>
      <c r="AE293" s="256"/>
      <c r="AF293" s="256"/>
    </row>
    <row r="294" spans="1:32" x14ac:dyDescent="0.3">
      <c r="A294" s="244"/>
      <c r="D294" s="512"/>
      <c r="E294" s="513"/>
      <c r="F294" s="515"/>
      <c r="G294" s="515"/>
      <c r="H294" s="540"/>
      <c r="I294" s="513"/>
      <c r="J294" s="255"/>
      <c r="K294" s="255"/>
      <c r="L294" s="513"/>
      <c r="M294" s="252" t="str">
        <f>M293</f>
        <v>RSDGEO</v>
      </c>
      <c r="N294" s="244"/>
      <c r="O294" s="244" t="str">
        <f>L291</f>
        <v>RSDELC</v>
      </c>
      <c r="P294" s="252"/>
      <c r="Q294" s="252"/>
      <c r="R294" s="525"/>
      <c r="S294" s="256"/>
      <c r="T294" s="256"/>
      <c r="U294" s="183"/>
      <c r="V294" s="252"/>
      <c r="W294" s="524"/>
      <c r="X294" s="256"/>
      <c r="Y294" s="252"/>
      <c r="Z294" s="252">
        <f>IF(ISBLANK(O294),"",IF(O294="ACT",1,-1))</f>
        <v>-1</v>
      </c>
      <c r="AA294" s="257"/>
      <c r="AC294" s="244"/>
      <c r="AD294" s="244"/>
      <c r="AE294" s="256"/>
      <c r="AF294" s="256"/>
    </row>
    <row r="295" spans="1:32" x14ac:dyDescent="0.3">
      <c r="A295" s="235"/>
      <c r="C295" s="528" t="str">
        <f>'RSD (DEA)'!Z128</f>
        <v>HP_ELC_08</v>
      </c>
      <c r="D295" s="512" t="str">
        <f>RSD_HeatingDemand!N295&amp;"_"&amp;LEFT(C295,LEN(C295)-2)&amp;"06"</f>
        <v>RHHSB_HP_ELC_06</v>
      </c>
      <c r="E295" s="512" t="str">
        <f>"R"&amp;LEFT('RSD (DEA)'!AD128,2)&amp;IF(ISNUMBER(IFERROR(FIND("HTH",'RSD (DEA)'!Z128),IFERROR(FIND("HP",'RSD (DEA)'!Z128),"C"))),IF(IFERROR(FIND("HTH",'RSD (DEA)'!Z128),100)=100,"B","A"),"C")</f>
        <v>RHSB</v>
      </c>
      <c r="F295" s="515"/>
      <c r="G295" s="515"/>
      <c r="H295" s="540" t="str">
        <f t="shared" si="7"/>
        <v>RHHSB_HP_ELC_23</v>
      </c>
      <c r="I295" s="512" t="str">
        <f>'RSD (DEA)'!AA128</f>
        <v>Electric heat pumps, Brine-to-water (ground source)</v>
      </c>
      <c r="J295" s="242" t="s">
        <v>239</v>
      </c>
      <c r="K295" s="242" t="s">
        <v>240</v>
      </c>
      <c r="L295" s="512" t="str">
        <f>'RSD (DEA)'!AH128</f>
        <v>RSDELC</v>
      </c>
      <c r="M295" s="182" t="str">
        <f>'RSD (DEA)'!AI128</f>
        <v>RSDGEO</v>
      </c>
      <c r="N295" s="235" t="str">
        <f>LEFT('RSD (DEA)'!AJ128,2)&amp;RIGHT(E295,3)</f>
        <v>RHHSB</v>
      </c>
      <c r="O295" s="244"/>
      <c r="P295" s="182">
        <f>IF('RSD (DEA)'!P128&lt;RSD_HeatingDemand!$AH$15,RSD_HeatingDemand!$AH$15,'RSD (DEA)'!P128)</f>
        <v>2019</v>
      </c>
      <c r="Q295" s="182">
        <f>IF('RSD (DEA)'!X128&lt;RSD_HeatingDemand!$AH$15,RSD_HeatingDemand!$AH$15,'RSD (DEA)'!X128)</f>
        <v>2030</v>
      </c>
      <c r="R295" s="525">
        <f>IF(ISBLANK(I295),IF(MID(N295,2,2)="HA",VLOOKUP(I294,KEY_RSD_AF!$C$5:$G$52,2,FALSE),IF(MID(N295,2,2)="WA",VLOOKUP(I294,KEY_RSD_AF!$C$5:$G$52,3,FALSE),IF(MID(N295,2,2)="HH",VLOOKUP(I294,KEY_RSD_AF!$C$5:$G$52,4,FALSE),IF(MID(N295,2,2)="WH",VLOOKUP(I294,KEY_RSD_AF!$C$5:$G$52,5,FALSE))))),IF(MID(N295,2,2)="HA",VLOOKUP(I295,KEY_RSD_AF!$C$5:$G$52,2,FALSE),IF(MID(N295,2,2)="WA",VLOOKUP(I295,KEY_RSD_AF!$C$5:$G$52,3,FALSE),IF(MID(N295,2,2)="HH",VLOOKUP(I295,KEY_RSD_AF!$C$5:$G$52,4,FALSE),IF(MID(N295,2,2)="WH",VLOOKUP(I295,KEY_RSD_AF!$C$5:$G$52,5,FALSE))))))</f>
        <v>1</v>
      </c>
      <c r="S295" s="183">
        <f>'RSD (DEA)'!AZ128</f>
        <v>3.6</v>
      </c>
      <c r="T295" s="183">
        <f>'RSD (DEA)'!BA128</f>
        <v>3.75</v>
      </c>
      <c r="U295" s="183">
        <v>0.5</v>
      </c>
      <c r="V295" s="182">
        <f>'RSD (DEA)'!BR128/'RSD (DEA)'!S128</f>
        <v>63.75</v>
      </c>
      <c r="W295" s="184">
        <f>'RSD (DEA)'!BS128/RSD_HeatingDemand!$AH$9</f>
        <v>0</v>
      </c>
      <c r="X295" s="183">
        <f>'RSD (DEA)'!BK128*RSD_HeatingDemand!$AH$10/'RSD (DEA)'!S128</f>
        <v>2500</v>
      </c>
      <c r="Y295" s="182">
        <f>'RSD (DEA)'!BI128</f>
        <v>20</v>
      </c>
      <c r="Z295" s="252" t="str">
        <f>IF(ISBLANK(O295),"",IF(O295="ACT",1,-1))</f>
        <v/>
      </c>
      <c r="AA295" s="236">
        <f>'RSD (DEA)'!AM128</f>
        <v>31.536000000000001</v>
      </c>
      <c r="AC295" s="235">
        <f>'RSD (DEA)'!S128</f>
        <v>4</v>
      </c>
      <c r="AD295" s="235" t="str">
        <f>LEFT('RSD (DEA)'!AK128,2)&amp;RIGHT(E295,3)</f>
        <v>RWHSB</v>
      </c>
      <c r="AE295" s="183">
        <f>'RSD (DEA)'!BA128</f>
        <v>3.75</v>
      </c>
      <c r="AF295" s="183"/>
    </row>
    <row r="296" spans="1:32" x14ac:dyDescent="0.3">
      <c r="A296" s="235"/>
      <c r="D296" s="512"/>
      <c r="E296" s="512"/>
      <c r="F296" s="515"/>
      <c r="G296" s="515"/>
      <c r="H296" s="540"/>
      <c r="I296" s="512"/>
      <c r="J296" s="242"/>
      <c r="K296" s="242"/>
      <c r="L296" s="512"/>
      <c r="M296" s="182"/>
      <c r="N296" s="318" t="str">
        <f>AD295</f>
        <v>RWHSB</v>
      </c>
      <c r="O296" s="244"/>
      <c r="P296" s="182"/>
      <c r="Q296" s="182"/>
      <c r="R296" s="525">
        <f>IF(ISBLANK(I296),IF(MID(N296,2,2)="HA",VLOOKUP(I295,KEY_RSD_AF!$C$5:$G$52,2,FALSE),IF(MID(N296,2,2)="WA",VLOOKUP(I295,KEY_RSD_AF!$C$5:$G$52,3,FALSE),IF(MID(N296,2,2)="HH",VLOOKUP(I295,KEY_RSD_AF!$C$5:$G$52,4,FALSE),IF(MID(N296,2,2)="WH",VLOOKUP(I295,KEY_RSD_AF!$C$5:$G$52,5,FALSE))))),IF(MID(N296,2,2)="HA",VLOOKUP(I296,KEY_RSD_AF!$C$5:$G$52,2,FALSE),IF(MID(N296,2,2)="WA",VLOOKUP(I296,KEY_RSD_AF!$C$5:$G$52,3,FALSE),IF(MID(N296,2,2)="HH",VLOOKUP(I296,KEY_RSD_AF!$C$5:$G$52,4,FALSE),IF(MID(N296,2,2)="WH",VLOOKUP(I296,KEY_RSD_AF!$C$5:$G$52,5,FALSE))))))</f>
        <v>1</v>
      </c>
      <c r="S296" s="503">
        <f>T295</f>
        <v>3.75</v>
      </c>
      <c r="T296" s="183"/>
      <c r="U296" s="183"/>
      <c r="V296" s="182"/>
      <c r="W296" s="184"/>
      <c r="X296" s="183"/>
      <c r="Y296" s="182"/>
      <c r="Z296" s="252"/>
      <c r="AA296" s="236"/>
      <c r="AC296" s="235"/>
      <c r="AD296" s="235"/>
      <c r="AE296" s="183"/>
      <c r="AF296" s="183"/>
    </row>
    <row r="297" spans="1:32" x14ac:dyDescent="0.3">
      <c r="A297" s="244"/>
      <c r="D297" s="512"/>
      <c r="E297" s="513"/>
      <c r="F297" s="515"/>
      <c r="G297" s="515"/>
      <c r="H297" s="540"/>
      <c r="I297" s="513"/>
      <c r="J297" s="255"/>
      <c r="K297" s="255"/>
      <c r="L297" s="513"/>
      <c r="M297" s="252" t="str">
        <f>M295</f>
        <v>RSDGEO</v>
      </c>
      <c r="N297" s="244"/>
      <c r="O297" s="244" t="str">
        <f>$AH$12</f>
        <v>ACT</v>
      </c>
      <c r="P297" s="252"/>
      <c r="Q297" s="252"/>
      <c r="R297" s="525"/>
      <c r="S297" s="256"/>
      <c r="T297" s="256"/>
      <c r="U297" s="183"/>
      <c r="V297" s="252"/>
      <c r="W297" s="524"/>
      <c r="X297" s="256"/>
      <c r="Y297" s="252"/>
      <c r="Z297" s="252">
        <f>IF(ISBLANK(O297),"",IF(O297="ACT",1,-1))</f>
        <v>1</v>
      </c>
      <c r="AA297" s="257"/>
      <c r="AC297" s="244"/>
      <c r="AD297" s="244"/>
      <c r="AE297" s="256"/>
      <c r="AF297" s="256"/>
    </row>
    <row r="298" spans="1:32" x14ac:dyDescent="0.3">
      <c r="A298" s="244"/>
      <c r="D298" s="512"/>
      <c r="E298" s="513"/>
      <c r="F298" s="515"/>
      <c r="G298" s="515"/>
      <c r="H298" s="540"/>
      <c r="I298" s="513"/>
      <c r="J298" s="255"/>
      <c r="K298" s="255"/>
      <c r="L298" s="513"/>
      <c r="M298" s="252" t="str">
        <f>M297</f>
        <v>RSDGEO</v>
      </c>
      <c r="N298" s="244"/>
      <c r="O298" s="244" t="str">
        <f>L295</f>
        <v>RSDELC</v>
      </c>
      <c r="P298" s="252"/>
      <c r="Q298" s="252"/>
      <c r="R298" s="525"/>
      <c r="S298" s="256"/>
      <c r="T298" s="256"/>
      <c r="U298" s="183"/>
      <c r="V298" s="252"/>
      <c r="W298" s="524"/>
      <c r="X298" s="256"/>
      <c r="Y298" s="252"/>
      <c r="Z298" s="252">
        <f>IF(ISBLANK(O298),"",IF(O298="ACT",1,-1))</f>
        <v>-1</v>
      </c>
      <c r="AA298" s="257"/>
      <c r="AC298" s="244"/>
      <c r="AD298" s="244"/>
      <c r="AE298" s="256"/>
      <c r="AF298" s="256"/>
    </row>
    <row r="299" spans="1:32" x14ac:dyDescent="0.3">
      <c r="A299" s="235"/>
      <c r="C299" s="528" t="str">
        <f>'RSD (DEA)'!Z129</f>
        <v>HP_ELC_08</v>
      </c>
      <c r="D299" s="512" t="str">
        <f>RSD_HeatingDemand!N299&amp;"_"&amp;LEFT(C299,LEN(C299)-2)&amp;"06"</f>
        <v>RHHSB_HP_ELC_06</v>
      </c>
      <c r="E299" s="512" t="str">
        <f>"R"&amp;LEFT('RSD (DEA)'!AD129,2)&amp;IF(ISNUMBER(IFERROR(FIND("HTH",'RSD (DEA)'!Z129),IFERROR(FIND("HP",'RSD (DEA)'!Z129),"C"))),IF(IFERROR(FIND("HTH",'RSD (DEA)'!Z129),100)=100,"B","A"),"C")</f>
        <v>RHSB</v>
      </c>
      <c r="F299" s="515"/>
      <c r="G299" s="515"/>
      <c r="H299" s="540" t="str">
        <f t="shared" si="7"/>
        <v>RHHSB_HP_ELC_24</v>
      </c>
      <c r="I299" s="512" t="str">
        <f>'RSD (DEA)'!AA129</f>
        <v>Electric heat pumps, Brine-to-water (ground source)</v>
      </c>
      <c r="J299" s="242" t="s">
        <v>239</v>
      </c>
      <c r="K299" s="242" t="s">
        <v>240</v>
      </c>
      <c r="L299" s="512" t="str">
        <f>'RSD (DEA)'!AH129</f>
        <v>RSDELC</v>
      </c>
      <c r="M299" s="182" t="str">
        <f>'RSD (DEA)'!AI129</f>
        <v>RSDGEO</v>
      </c>
      <c r="N299" s="235" t="str">
        <f>LEFT('RSD (DEA)'!AJ129,2)&amp;RIGHT(E299,3)</f>
        <v>RHHSB</v>
      </c>
      <c r="O299" s="244"/>
      <c r="P299" s="182">
        <f>IF('RSD (DEA)'!P129&lt;RSD_HeatingDemand!$AH$15,RSD_HeatingDemand!$AH$15,'RSD (DEA)'!P129)</f>
        <v>2019</v>
      </c>
      <c r="Q299" s="182">
        <f>IF('RSD (DEA)'!X129&lt;RSD_HeatingDemand!$AH$15,RSD_HeatingDemand!$AH$15,'RSD (DEA)'!X129)</f>
        <v>2050</v>
      </c>
      <c r="R299" s="525">
        <f>IF(ISBLANK(I299),IF(MID(N299,2,2)="HA",VLOOKUP(I298,KEY_RSD_AF!$C$5:$G$52,2,FALSE),IF(MID(N299,2,2)="WA",VLOOKUP(I298,KEY_RSD_AF!$C$5:$G$52,3,FALSE),IF(MID(N299,2,2)="HH",VLOOKUP(I298,KEY_RSD_AF!$C$5:$G$52,4,FALSE),IF(MID(N299,2,2)="WH",VLOOKUP(I298,KEY_RSD_AF!$C$5:$G$52,5,FALSE))))),IF(MID(N299,2,2)="HA",VLOOKUP(I299,KEY_RSD_AF!$C$5:$G$52,2,FALSE),IF(MID(N299,2,2)="WA",VLOOKUP(I299,KEY_RSD_AF!$C$5:$G$52,3,FALSE),IF(MID(N299,2,2)="HH",VLOOKUP(I299,KEY_RSD_AF!$C$5:$G$52,4,FALSE),IF(MID(N299,2,2)="WH",VLOOKUP(I299,KEY_RSD_AF!$C$5:$G$52,5,FALSE))))))</f>
        <v>1</v>
      </c>
      <c r="S299" s="183">
        <f>'RSD (DEA)'!AZ129</f>
        <v>3.75</v>
      </c>
      <c r="T299" s="183">
        <f>'RSD (DEA)'!BA129</f>
        <v>3.9</v>
      </c>
      <c r="U299" s="183">
        <v>0.5</v>
      </c>
      <c r="V299" s="182">
        <f>'RSD (DEA)'!BR129/'RSD (DEA)'!S129</f>
        <v>59.75</v>
      </c>
      <c r="W299" s="184">
        <f>'RSD (DEA)'!BS129/RSD_HeatingDemand!$AH$9</f>
        <v>0</v>
      </c>
      <c r="X299" s="183">
        <f>'RSD (DEA)'!BK129*RSD_HeatingDemand!$AH$10/'RSD (DEA)'!S129</f>
        <v>2250</v>
      </c>
      <c r="Y299" s="182">
        <f>'RSD (DEA)'!BI129</f>
        <v>20</v>
      </c>
      <c r="Z299" s="252" t="str">
        <f>IF(ISBLANK(O299),"",IF(O299="ACT",1,-1))</f>
        <v/>
      </c>
      <c r="AA299" s="236">
        <f>'RSD (DEA)'!AM129</f>
        <v>31.536000000000001</v>
      </c>
      <c r="AC299" s="235">
        <f>'RSD (DEA)'!S129</f>
        <v>4</v>
      </c>
      <c r="AD299" s="235" t="str">
        <f>LEFT('RSD (DEA)'!AK129,2)&amp;RIGHT(E299,3)</f>
        <v>RWHSB</v>
      </c>
      <c r="AE299" s="183">
        <f>'RSD (DEA)'!BA129</f>
        <v>3.9</v>
      </c>
      <c r="AF299" s="183"/>
    </row>
    <row r="300" spans="1:32" x14ac:dyDescent="0.3">
      <c r="A300" s="235"/>
      <c r="D300" s="512"/>
      <c r="E300" s="512"/>
      <c r="F300" s="515"/>
      <c r="G300" s="515"/>
      <c r="H300" s="540"/>
      <c r="I300" s="512"/>
      <c r="J300" s="242"/>
      <c r="K300" s="242"/>
      <c r="L300" s="512"/>
      <c r="M300" s="182"/>
      <c r="N300" s="318" t="str">
        <f>AD299</f>
        <v>RWHSB</v>
      </c>
      <c r="O300" s="244"/>
      <c r="P300" s="182"/>
      <c r="Q300" s="182"/>
      <c r="R300" s="525">
        <f>IF(ISBLANK(I300),IF(MID(N300,2,2)="HA",VLOOKUP(I299,KEY_RSD_AF!$C$5:$G$52,2,FALSE),IF(MID(N300,2,2)="WA",VLOOKUP(I299,KEY_RSD_AF!$C$5:$G$52,3,FALSE),IF(MID(N300,2,2)="HH",VLOOKUP(I299,KEY_RSD_AF!$C$5:$G$52,4,FALSE),IF(MID(N300,2,2)="WH",VLOOKUP(I299,KEY_RSD_AF!$C$5:$G$52,5,FALSE))))),IF(MID(N300,2,2)="HA",VLOOKUP(I300,KEY_RSD_AF!$C$5:$G$52,2,FALSE),IF(MID(N300,2,2)="WA",VLOOKUP(I300,KEY_RSD_AF!$C$5:$G$52,3,FALSE),IF(MID(N300,2,2)="HH",VLOOKUP(I300,KEY_RSD_AF!$C$5:$G$52,4,FALSE),IF(MID(N300,2,2)="WH",VLOOKUP(I300,KEY_RSD_AF!$C$5:$G$52,5,FALSE))))))</f>
        <v>1</v>
      </c>
      <c r="S300" s="503">
        <f>T299</f>
        <v>3.9</v>
      </c>
      <c r="T300" s="183"/>
      <c r="U300" s="183"/>
      <c r="V300" s="182"/>
      <c r="W300" s="184"/>
      <c r="X300" s="183"/>
      <c r="Y300" s="182"/>
      <c r="Z300" s="252"/>
      <c r="AA300" s="236"/>
      <c r="AC300" s="235"/>
      <c r="AD300" s="235"/>
      <c r="AE300" s="183"/>
      <c r="AF300" s="183"/>
    </row>
    <row r="301" spans="1:32" x14ac:dyDescent="0.3">
      <c r="A301" s="244"/>
      <c r="D301" s="512"/>
      <c r="E301" s="513"/>
      <c r="F301" s="515"/>
      <c r="G301" s="515"/>
      <c r="H301" s="540"/>
      <c r="I301" s="513"/>
      <c r="J301" s="255"/>
      <c r="K301" s="255"/>
      <c r="L301" s="513"/>
      <c r="M301" s="252" t="str">
        <f>M299</f>
        <v>RSDGEO</v>
      </c>
      <c r="N301" s="244"/>
      <c r="O301" s="244" t="str">
        <f>$AH$12</f>
        <v>ACT</v>
      </c>
      <c r="P301" s="252"/>
      <c r="Q301" s="252"/>
      <c r="R301" s="525"/>
      <c r="S301" s="256"/>
      <c r="T301" s="256"/>
      <c r="U301" s="183"/>
      <c r="V301" s="252"/>
      <c r="W301" s="524"/>
      <c r="X301" s="256"/>
      <c r="Y301" s="252"/>
      <c r="Z301" s="252">
        <f>IF(ISBLANK(O301),"",IF(O301="ACT",1,-1))</f>
        <v>1</v>
      </c>
      <c r="AA301" s="257"/>
      <c r="AC301" s="244"/>
      <c r="AD301" s="244"/>
      <c r="AE301" s="256"/>
      <c r="AF301" s="256"/>
    </row>
    <row r="302" spans="1:32" x14ac:dyDescent="0.3">
      <c r="A302" s="244"/>
      <c r="D302" s="512"/>
      <c r="E302" s="513"/>
      <c r="F302" s="515"/>
      <c r="G302" s="515"/>
      <c r="H302" s="540"/>
      <c r="I302" s="513"/>
      <c r="J302" s="255"/>
      <c r="K302" s="255"/>
      <c r="L302" s="513"/>
      <c r="M302" s="252" t="str">
        <f>M301</f>
        <v>RSDGEO</v>
      </c>
      <c r="N302" s="244"/>
      <c r="O302" s="244" t="str">
        <f>L299</f>
        <v>RSDELC</v>
      </c>
      <c r="P302" s="252"/>
      <c r="Q302" s="252"/>
      <c r="R302" s="525"/>
      <c r="S302" s="256"/>
      <c r="T302" s="256"/>
      <c r="U302" s="183"/>
      <c r="V302" s="252"/>
      <c r="W302" s="524"/>
      <c r="X302" s="256"/>
      <c r="Y302" s="252"/>
      <c r="Z302" s="252">
        <f>IF(ISBLANK(O302),"",IF(O302="ACT",1,-1))</f>
        <v>-1</v>
      </c>
      <c r="AA302" s="257"/>
      <c r="AC302" s="244"/>
      <c r="AD302" s="244"/>
      <c r="AE302" s="256"/>
      <c r="AF302" s="256"/>
    </row>
    <row r="303" spans="1:32" x14ac:dyDescent="0.3">
      <c r="A303" s="235"/>
      <c r="C303" s="528" t="str">
        <f>'RSD (DEA)'!Z130</f>
        <v>HP_ELC_09</v>
      </c>
      <c r="D303" s="512" t="str">
        <f>RSD_HeatingDemand!N303&amp;"_"&amp;LEFT(C303,LEN(C303)-2)&amp;"03"</f>
        <v>RHAPB_HP_ELC_03</v>
      </c>
      <c r="E303" s="512" t="str">
        <f>"R"&amp;LEFT('RSD (DEA)'!AD130,2)&amp;IF(ISNUMBER(IFERROR(FIND("HTH",'RSD (DEA)'!Z130),IFERROR(FIND("HP",'RSD (DEA)'!Z130),"C"))),IF(IFERROR(FIND("HTH",'RSD (DEA)'!Z130),100)=100,"B","A"),"C")</f>
        <v>RAPB</v>
      </c>
      <c r="F303" s="515"/>
      <c r="G303" s="515"/>
      <c r="H303" s="540" t="str">
        <f>IF(LEFT(D303,LEN(D303)-2)=LEFT(D267,LEN(D303)-2),LEFT(D303,LEN(D303)-2)&amp;IF(RIGHT(H267,2)+1&lt;=9,"0"&amp;RIGHT(H267)+1,RIGHT(H267,2)+1),D303)</f>
        <v>RHAPB_HP_ELC_09</v>
      </c>
      <c r="I303" s="512" t="str">
        <f>'RSD (DEA)'!AA130</f>
        <v>Electric heat pumps, Brine-to-water (ground source)</v>
      </c>
      <c r="J303" s="242" t="s">
        <v>239</v>
      </c>
      <c r="K303" s="242" t="s">
        <v>240</v>
      </c>
      <c r="L303" s="512" t="str">
        <f>'RSD (DEA)'!AH130</f>
        <v>RSDELC</v>
      </c>
      <c r="M303" s="182" t="str">
        <f>'RSD (DEA)'!AI130</f>
        <v>RSDGEO</v>
      </c>
      <c r="N303" s="235" t="str">
        <f>LEFT('RSD (DEA)'!AJ130,2)&amp;RIGHT(E303,3)</f>
        <v>RHAPB</v>
      </c>
      <c r="O303" s="244"/>
      <c r="P303" s="182">
        <f>IF('RSD (DEA)'!P130&lt;RSD_HeatingDemand!$AH$15,RSD_HeatingDemand!$AH$15,'RSD (DEA)'!P130)</f>
        <v>2019</v>
      </c>
      <c r="Q303" s="182">
        <f>IF('RSD (DEA)'!X130&lt;RSD_HeatingDemand!$AH$15,RSD_HeatingDemand!$AH$15,'RSD (DEA)'!X130)</f>
        <v>2019</v>
      </c>
      <c r="R303" s="525">
        <f>IF(ISBLANK(I303),IF(MID(N303,2,2)="HA",VLOOKUP(I302,KEY_RSD_AF!$C$5:$G$52,2,FALSE),IF(MID(N303,2,2)="WA",VLOOKUP(I302,KEY_RSD_AF!$C$5:$G$52,3,FALSE),IF(MID(N303,2,2)="HH",VLOOKUP(I302,KEY_RSD_AF!$C$5:$G$52,4,FALSE),IF(MID(N303,2,2)="WH",VLOOKUP(I302,KEY_RSD_AF!$C$5:$G$52,5,FALSE))))),IF(MID(N303,2,2)="HA",VLOOKUP(I303,KEY_RSD_AF!$C$5:$G$52,2,FALSE),IF(MID(N303,2,2)="WA",VLOOKUP(I303,KEY_RSD_AF!$C$5:$G$52,3,FALSE),IF(MID(N303,2,2)="HH",VLOOKUP(I303,KEY_RSD_AF!$C$5:$G$52,4,FALSE),IF(MID(N303,2,2)="WH",VLOOKUP(I303,KEY_RSD_AF!$C$5:$G$52,5,FALSE))))))</f>
        <v>1</v>
      </c>
      <c r="S303" s="183">
        <f>'RSD (DEA)'!AZ130</f>
        <v>4.5</v>
      </c>
      <c r="T303" s="183">
        <f>'RSD (DEA)'!BA130</f>
        <v>4.7</v>
      </c>
      <c r="U303" s="183">
        <v>0.5</v>
      </c>
      <c r="V303" s="182">
        <f>'RSD (DEA)'!BR130/'RSD (DEA)'!S130</f>
        <v>4.0999999999999996</v>
      </c>
      <c r="W303" s="184">
        <f>'RSD (DEA)'!BS130/RSD_HeatingDemand!$AH$9</f>
        <v>0.12291666666666666</v>
      </c>
      <c r="X303" s="183">
        <f>'RSD (DEA)'!BK130*RSD_HeatingDemand!$AH$10/'RSD (DEA)'!S130</f>
        <v>662.5</v>
      </c>
      <c r="Y303" s="182">
        <f>'RSD (DEA)'!BI130</f>
        <v>20</v>
      </c>
      <c r="Z303" s="252" t="str">
        <f>IF(ISBLANK(O303),"",IF(O303="ACT",1,-1))</f>
        <v/>
      </c>
      <c r="AA303" s="236">
        <f>'RSD (DEA)'!AM130</f>
        <v>31.536000000000001</v>
      </c>
      <c r="AC303" s="235">
        <f>'RSD (DEA)'!S130</f>
        <v>400</v>
      </c>
      <c r="AD303" s="235" t="str">
        <f>LEFT('RSD (DEA)'!AK130,2)&amp;RIGHT(E303,3)</f>
        <v>RWAPB</v>
      </c>
      <c r="AE303" s="183">
        <f>'RSD (DEA)'!BA130</f>
        <v>4.7</v>
      </c>
      <c r="AF303" s="183"/>
    </row>
    <row r="304" spans="1:32" x14ac:dyDescent="0.3">
      <c r="A304" s="235"/>
      <c r="D304" s="512"/>
      <c r="E304" s="512"/>
      <c r="F304" s="515"/>
      <c r="G304" s="515"/>
      <c r="H304" s="540"/>
      <c r="I304" s="512"/>
      <c r="J304" s="242"/>
      <c r="K304" s="242"/>
      <c r="L304" s="512"/>
      <c r="M304" s="182"/>
      <c r="N304" s="318" t="str">
        <f>AD303</f>
        <v>RWAPB</v>
      </c>
      <c r="O304" s="244"/>
      <c r="P304" s="182"/>
      <c r="Q304" s="182"/>
      <c r="R304" s="525">
        <f>IF(ISBLANK(I304),IF(MID(N304,2,2)="HA",VLOOKUP(I303,KEY_RSD_AF!$C$5:$G$52,2,FALSE),IF(MID(N304,2,2)="WA",VLOOKUP(I303,KEY_RSD_AF!$C$5:$G$52,3,FALSE),IF(MID(N304,2,2)="HH",VLOOKUP(I303,KEY_RSD_AF!$C$5:$G$52,4,FALSE),IF(MID(N304,2,2)="WH",VLOOKUP(I303,KEY_RSD_AF!$C$5:$G$52,5,FALSE))))),IF(MID(N304,2,2)="HA",VLOOKUP(I304,KEY_RSD_AF!$C$5:$G$52,2,FALSE),IF(MID(N304,2,2)="WA",VLOOKUP(I304,KEY_RSD_AF!$C$5:$G$52,3,FALSE),IF(MID(N304,2,2)="HH",VLOOKUP(I304,KEY_RSD_AF!$C$5:$G$52,4,FALSE),IF(MID(N304,2,2)="WH",VLOOKUP(I304,KEY_RSD_AF!$C$5:$G$52,5,FALSE))))))</f>
        <v>1</v>
      </c>
      <c r="S304" s="503">
        <f>T303</f>
        <v>4.7</v>
      </c>
      <c r="T304" s="183"/>
      <c r="U304" s="183"/>
      <c r="V304" s="182"/>
      <c r="W304" s="184"/>
      <c r="X304" s="183"/>
      <c r="Y304" s="182"/>
      <c r="Z304" s="252"/>
      <c r="AA304" s="236"/>
      <c r="AC304" s="235"/>
      <c r="AD304" s="235"/>
      <c r="AE304" s="183"/>
      <c r="AF304" s="183"/>
    </row>
    <row r="305" spans="1:52" x14ac:dyDescent="0.3">
      <c r="A305" s="244"/>
      <c r="D305" s="512"/>
      <c r="E305" s="513"/>
      <c r="F305" s="515"/>
      <c r="G305" s="515"/>
      <c r="H305" s="540"/>
      <c r="I305" s="513"/>
      <c r="J305" s="255"/>
      <c r="K305" s="255"/>
      <c r="L305" s="513"/>
      <c r="M305" s="252" t="str">
        <f>M303</f>
        <v>RSDGEO</v>
      </c>
      <c r="N305" s="244"/>
      <c r="O305" s="244" t="str">
        <f>$AH$12</f>
        <v>ACT</v>
      </c>
      <c r="P305" s="252"/>
      <c r="Q305" s="252"/>
      <c r="R305" s="525"/>
      <c r="S305" s="256"/>
      <c r="T305" s="256"/>
      <c r="U305" s="183"/>
      <c r="V305" s="252"/>
      <c r="W305" s="524"/>
      <c r="X305" s="256"/>
      <c r="Y305" s="252"/>
      <c r="Z305" s="252">
        <f>IF(ISBLANK(O305),"",IF(O305="ACT",1,-1))</f>
        <v>1</v>
      </c>
      <c r="AA305" s="257"/>
      <c r="AC305" s="244"/>
      <c r="AD305" s="244"/>
      <c r="AE305" s="256"/>
      <c r="AF305" s="256"/>
    </row>
    <row r="306" spans="1:52" x14ac:dyDescent="0.3">
      <c r="A306" s="244"/>
      <c r="D306" s="512"/>
      <c r="E306" s="513"/>
      <c r="F306" s="515"/>
      <c r="G306" s="515"/>
      <c r="H306" s="540"/>
      <c r="I306" s="513"/>
      <c r="J306" s="255"/>
      <c r="K306" s="255"/>
      <c r="L306" s="513"/>
      <c r="M306" s="252" t="str">
        <f>M305</f>
        <v>RSDGEO</v>
      </c>
      <c r="N306" s="244"/>
      <c r="O306" s="244" t="str">
        <f>L303</f>
        <v>RSDELC</v>
      </c>
      <c r="P306" s="252"/>
      <c r="Q306" s="252"/>
      <c r="R306" s="525"/>
      <c r="S306" s="256"/>
      <c r="T306" s="256"/>
      <c r="U306" s="183"/>
      <c r="V306" s="252"/>
      <c r="W306" s="524"/>
      <c r="X306" s="256"/>
      <c r="Y306" s="252"/>
      <c r="Z306" s="252">
        <f>IF(ISBLANK(O306),"",IF(O306="ACT",1,-1))</f>
        <v>-1</v>
      </c>
      <c r="AA306" s="257"/>
      <c r="AC306" s="244"/>
      <c r="AD306" s="244"/>
      <c r="AE306" s="256"/>
      <c r="AF306" s="256"/>
    </row>
    <row r="307" spans="1:52" x14ac:dyDescent="0.3">
      <c r="A307" s="235"/>
      <c r="C307" s="528" t="str">
        <f>'RSD (DEA)'!Z131</f>
        <v>HP_ELC_09</v>
      </c>
      <c r="D307" s="512" t="str">
        <f>RSD_HeatingDemand!N307&amp;"_"&amp;LEFT(C307,LEN(C307)-2)&amp;"03"</f>
        <v>RHAPB_HP_ELC_03</v>
      </c>
      <c r="E307" s="512" t="str">
        <f>"R"&amp;LEFT('RSD (DEA)'!AD131,2)&amp;IF(ISNUMBER(IFERROR(FIND("HTH",'RSD (DEA)'!Z131),IFERROR(FIND("HP",'RSD (DEA)'!Z131),"C"))),IF(IFERROR(FIND("HTH",'RSD (DEA)'!Z131),100)=100,"B","A"),"C")</f>
        <v>RAPB</v>
      </c>
      <c r="F307" s="515"/>
      <c r="G307" s="515"/>
      <c r="H307" s="540" t="str">
        <f t="shared" si="7"/>
        <v>RHAPB_HP_ELC_10</v>
      </c>
      <c r="I307" s="512" t="str">
        <f>'RSD (DEA)'!AA131</f>
        <v>Electric heat pumps, Brine-to-water (ground source)</v>
      </c>
      <c r="J307" s="242" t="s">
        <v>239</v>
      </c>
      <c r="K307" s="242" t="s">
        <v>240</v>
      </c>
      <c r="L307" s="512" t="str">
        <f>'RSD (DEA)'!AH131</f>
        <v>RSDELC</v>
      </c>
      <c r="M307" s="182" t="str">
        <f>'RSD (DEA)'!AI131</f>
        <v>RSDGEO</v>
      </c>
      <c r="N307" s="235" t="str">
        <f>LEFT('RSD (DEA)'!AJ131,2)&amp;RIGHT(E307,3)</f>
        <v>RHAPB</v>
      </c>
      <c r="O307" s="244"/>
      <c r="P307" s="182">
        <f>IF('RSD (DEA)'!P131&lt;RSD_HeatingDemand!$AH$15,RSD_HeatingDemand!$AH$15,'RSD (DEA)'!P131)</f>
        <v>2019</v>
      </c>
      <c r="Q307" s="182">
        <f>IF('RSD (DEA)'!X131&lt;RSD_HeatingDemand!$AH$15,RSD_HeatingDemand!$AH$15,'RSD (DEA)'!X131)</f>
        <v>2020</v>
      </c>
      <c r="R307" s="525">
        <f>IF(ISBLANK(I307),IF(MID(N307,2,2)="HA",VLOOKUP(I306,KEY_RSD_AF!$C$5:$G$52,2,FALSE),IF(MID(N307,2,2)="WA",VLOOKUP(I306,KEY_RSD_AF!$C$5:$G$52,3,FALSE),IF(MID(N307,2,2)="HH",VLOOKUP(I306,KEY_RSD_AF!$C$5:$G$52,4,FALSE),IF(MID(N307,2,2)="WH",VLOOKUP(I306,KEY_RSD_AF!$C$5:$G$52,5,FALSE))))),IF(MID(N307,2,2)="HA",VLOOKUP(I307,KEY_RSD_AF!$C$5:$G$52,2,FALSE),IF(MID(N307,2,2)="WA",VLOOKUP(I307,KEY_RSD_AF!$C$5:$G$52,3,FALSE),IF(MID(N307,2,2)="HH",VLOOKUP(I307,KEY_RSD_AF!$C$5:$G$52,4,FALSE),IF(MID(N307,2,2)="WH",VLOOKUP(I307,KEY_RSD_AF!$C$5:$G$52,5,FALSE))))))</f>
        <v>1</v>
      </c>
      <c r="S307" s="183">
        <f>'RSD (DEA)'!AZ131</f>
        <v>4.5999999999999996</v>
      </c>
      <c r="T307" s="183">
        <f>'RSD (DEA)'!BA131</f>
        <v>4.8</v>
      </c>
      <c r="U307" s="183">
        <v>0.5</v>
      </c>
      <c r="V307" s="182">
        <f>'RSD (DEA)'!BR131/'RSD (DEA)'!S131</f>
        <v>4.125</v>
      </c>
      <c r="W307" s="184">
        <f>'RSD (DEA)'!BS131/RSD_HeatingDemand!$AH$9</f>
        <v>0.12291666666666666</v>
      </c>
      <c r="X307" s="183">
        <f>'RSD (DEA)'!BK131*RSD_HeatingDemand!$AH$10/'RSD (DEA)'!S131</f>
        <v>622.5</v>
      </c>
      <c r="Y307" s="182">
        <f>'RSD (DEA)'!BI131</f>
        <v>20</v>
      </c>
      <c r="Z307" s="252" t="str">
        <f>IF(ISBLANK(O307),"",IF(O307="ACT",1,-1))</f>
        <v/>
      </c>
      <c r="AA307" s="236">
        <f>'RSD (DEA)'!AM131</f>
        <v>31.536000000000001</v>
      </c>
      <c r="AC307" s="235">
        <f>'RSD (DEA)'!S131</f>
        <v>400</v>
      </c>
      <c r="AD307" s="235" t="str">
        <f>LEFT('RSD (DEA)'!AK131,2)&amp;RIGHT(E307,3)</f>
        <v>RWAPB</v>
      </c>
      <c r="AE307" s="183">
        <f>'RSD (DEA)'!BA131</f>
        <v>4.8</v>
      </c>
      <c r="AF307" s="183"/>
    </row>
    <row r="308" spans="1:52" x14ac:dyDescent="0.3">
      <c r="A308" s="235"/>
      <c r="D308" s="512"/>
      <c r="E308" s="512"/>
      <c r="F308" s="515"/>
      <c r="G308" s="515"/>
      <c r="H308" s="540"/>
      <c r="I308" s="512"/>
      <c r="J308" s="242"/>
      <c r="K308" s="242"/>
      <c r="L308" s="512"/>
      <c r="M308" s="182"/>
      <c r="N308" s="318" t="str">
        <f>AD307</f>
        <v>RWAPB</v>
      </c>
      <c r="O308" s="244"/>
      <c r="P308" s="182"/>
      <c r="Q308" s="182"/>
      <c r="R308" s="525">
        <f>IF(ISBLANK(I308),IF(MID(N308,2,2)="HA",VLOOKUP(I307,KEY_RSD_AF!$C$5:$G$52,2,FALSE),IF(MID(N308,2,2)="WA",VLOOKUP(I307,KEY_RSD_AF!$C$5:$G$52,3,FALSE),IF(MID(N308,2,2)="HH",VLOOKUP(I307,KEY_RSD_AF!$C$5:$G$52,4,FALSE),IF(MID(N308,2,2)="WH",VLOOKUP(I307,KEY_RSD_AF!$C$5:$G$52,5,FALSE))))),IF(MID(N308,2,2)="HA",VLOOKUP(I308,KEY_RSD_AF!$C$5:$G$52,2,FALSE),IF(MID(N308,2,2)="WA",VLOOKUP(I308,KEY_RSD_AF!$C$5:$G$52,3,FALSE),IF(MID(N308,2,2)="HH",VLOOKUP(I308,KEY_RSD_AF!$C$5:$G$52,4,FALSE),IF(MID(N308,2,2)="WH",VLOOKUP(I308,KEY_RSD_AF!$C$5:$G$52,5,FALSE))))))</f>
        <v>1</v>
      </c>
      <c r="S308" s="503">
        <f>T307</f>
        <v>4.8</v>
      </c>
      <c r="T308" s="183"/>
      <c r="U308" s="183"/>
      <c r="V308" s="182"/>
      <c r="W308" s="184"/>
      <c r="X308" s="183"/>
      <c r="Y308" s="182"/>
      <c r="Z308" s="252"/>
      <c r="AA308" s="236"/>
      <c r="AC308" s="235"/>
      <c r="AD308" s="235"/>
      <c r="AE308" s="183"/>
      <c r="AF308" s="183"/>
    </row>
    <row r="309" spans="1:52" x14ac:dyDescent="0.3">
      <c r="A309" s="244"/>
      <c r="D309" s="512"/>
      <c r="E309" s="513"/>
      <c r="F309" s="515"/>
      <c r="G309" s="515"/>
      <c r="H309" s="540"/>
      <c r="I309" s="513"/>
      <c r="J309" s="255"/>
      <c r="K309" s="255"/>
      <c r="L309" s="513"/>
      <c r="M309" s="252" t="str">
        <f>M307</f>
        <v>RSDGEO</v>
      </c>
      <c r="N309" s="244"/>
      <c r="O309" s="244" t="str">
        <f>$AH$12</f>
        <v>ACT</v>
      </c>
      <c r="P309" s="252"/>
      <c r="Q309" s="252"/>
      <c r="R309" s="525"/>
      <c r="S309" s="256"/>
      <c r="T309" s="256"/>
      <c r="U309" s="183"/>
      <c r="V309" s="252"/>
      <c r="W309" s="524"/>
      <c r="X309" s="256"/>
      <c r="Y309" s="252"/>
      <c r="Z309" s="252">
        <f>IF(ISBLANK(O309),"",IF(O309="ACT",1,-1))</f>
        <v>1</v>
      </c>
      <c r="AA309" s="257"/>
      <c r="AC309" s="244"/>
      <c r="AD309" s="244"/>
      <c r="AE309" s="256"/>
      <c r="AF309" s="256"/>
    </row>
    <row r="310" spans="1:52" x14ac:dyDescent="0.3">
      <c r="A310" s="244"/>
      <c r="D310" s="512"/>
      <c r="E310" s="513"/>
      <c r="F310" s="515"/>
      <c r="G310" s="515"/>
      <c r="H310" s="540"/>
      <c r="I310" s="513"/>
      <c r="J310" s="255"/>
      <c r="K310" s="255"/>
      <c r="L310" s="513"/>
      <c r="M310" s="252" t="str">
        <f>M309</f>
        <v>RSDGEO</v>
      </c>
      <c r="N310" s="244"/>
      <c r="O310" s="244" t="str">
        <f>L307</f>
        <v>RSDELC</v>
      </c>
      <c r="P310" s="252"/>
      <c r="Q310" s="252"/>
      <c r="R310" s="525"/>
      <c r="S310" s="256"/>
      <c r="T310" s="256"/>
      <c r="U310" s="183"/>
      <c r="V310" s="252"/>
      <c r="W310" s="524"/>
      <c r="X310" s="256"/>
      <c r="Y310" s="252"/>
      <c r="Z310" s="252">
        <f>IF(ISBLANK(O310),"",IF(O310="ACT",1,-1))</f>
        <v>-1</v>
      </c>
      <c r="AA310" s="257"/>
      <c r="AC310" s="244"/>
      <c r="AD310" s="244"/>
      <c r="AE310" s="256"/>
      <c r="AF310" s="256"/>
    </row>
    <row r="311" spans="1:52" x14ac:dyDescent="0.3">
      <c r="A311" s="235"/>
      <c r="C311" s="528" t="str">
        <f>'RSD (DEA)'!Z132</f>
        <v>HP_ELC_09</v>
      </c>
      <c r="D311" s="512" t="str">
        <f>RSD_HeatingDemand!N311&amp;"_"&amp;LEFT(C311,LEN(C311)-2)&amp;"03"</f>
        <v>RHAPB_HP_ELC_03</v>
      </c>
      <c r="E311" s="512" t="str">
        <f>"R"&amp;LEFT('RSD (DEA)'!AD132,2)&amp;IF(ISNUMBER(IFERROR(FIND("HTH",'RSD (DEA)'!Z132),IFERROR(FIND("HP",'RSD (DEA)'!Z132),"C"))),IF(IFERROR(FIND("HTH",'RSD (DEA)'!Z132),100)=100,"B","A"),"C")</f>
        <v>RAPB</v>
      </c>
      <c r="F311" s="515"/>
      <c r="G311" s="515"/>
      <c r="H311" s="540" t="str">
        <f t="shared" si="7"/>
        <v>RHAPB_HP_ELC_11</v>
      </c>
      <c r="I311" s="512" t="str">
        <f>'RSD (DEA)'!AA132</f>
        <v>Electric heat pumps, Brine-to-water (ground source)</v>
      </c>
      <c r="J311" s="242" t="s">
        <v>239</v>
      </c>
      <c r="K311" s="242" t="s">
        <v>240</v>
      </c>
      <c r="L311" s="512" t="str">
        <f>'RSD (DEA)'!AH132</f>
        <v>RSDELC</v>
      </c>
      <c r="M311" s="182" t="str">
        <f>'RSD (DEA)'!AI132</f>
        <v>RSDGEO</v>
      </c>
      <c r="N311" s="235" t="str">
        <f>LEFT('RSD (DEA)'!AJ132,2)&amp;RIGHT(E311,3)</f>
        <v>RHAPB</v>
      </c>
      <c r="O311" s="244"/>
      <c r="P311" s="182">
        <f>IF('RSD (DEA)'!P132&lt;RSD_HeatingDemand!$AH$15,RSD_HeatingDemand!$AH$15,'RSD (DEA)'!P132)</f>
        <v>2019</v>
      </c>
      <c r="Q311" s="182">
        <f>IF('RSD (DEA)'!X132&lt;RSD_HeatingDemand!$AH$15,RSD_HeatingDemand!$AH$15,'RSD (DEA)'!X132)</f>
        <v>2030</v>
      </c>
      <c r="R311" s="525">
        <f>IF(ISBLANK(I311),IF(MID(N311,2,2)="HA",VLOOKUP(I310,KEY_RSD_AF!$C$5:$G$52,2,FALSE),IF(MID(N311,2,2)="WA",VLOOKUP(I310,KEY_RSD_AF!$C$5:$G$52,3,FALSE),IF(MID(N311,2,2)="HH",VLOOKUP(I310,KEY_RSD_AF!$C$5:$G$52,4,FALSE),IF(MID(N311,2,2)="WH",VLOOKUP(I310,KEY_RSD_AF!$C$5:$G$52,5,FALSE))))),IF(MID(N311,2,2)="HA",VLOOKUP(I311,KEY_RSD_AF!$C$5:$G$52,2,FALSE),IF(MID(N311,2,2)="WA",VLOOKUP(I311,KEY_RSD_AF!$C$5:$G$52,3,FALSE),IF(MID(N311,2,2)="HH",VLOOKUP(I311,KEY_RSD_AF!$C$5:$G$52,4,FALSE),IF(MID(N311,2,2)="WH",VLOOKUP(I311,KEY_RSD_AF!$C$5:$G$52,5,FALSE))))))</f>
        <v>1</v>
      </c>
      <c r="S311" s="183">
        <f>'RSD (DEA)'!AZ132</f>
        <v>4.7</v>
      </c>
      <c r="T311" s="183">
        <f>'RSD (DEA)'!BA132</f>
        <v>4.9000000000000004</v>
      </c>
      <c r="U311" s="183">
        <v>0.5</v>
      </c>
      <c r="V311" s="182">
        <f>'RSD (DEA)'!BR132/'RSD (DEA)'!S132</f>
        <v>4.665</v>
      </c>
      <c r="W311" s="184">
        <f>'RSD (DEA)'!BS132/RSD_HeatingDemand!$AH$9</f>
        <v>0.12291666666666666</v>
      </c>
      <c r="X311" s="183">
        <f>'RSD (DEA)'!BK132*RSD_HeatingDemand!$AH$10/'RSD (DEA)'!S132</f>
        <v>560</v>
      </c>
      <c r="Y311" s="182">
        <f>'RSD (DEA)'!BI132</f>
        <v>20</v>
      </c>
      <c r="Z311" s="252" t="str">
        <f>IF(ISBLANK(O311),"",IF(O311="ACT",1,-1))</f>
        <v/>
      </c>
      <c r="AA311" s="236">
        <f>'RSD (DEA)'!AM132</f>
        <v>31.536000000000001</v>
      </c>
      <c r="AC311" s="235">
        <f>'RSD (DEA)'!S132</f>
        <v>400</v>
      </c>
      <c r="AD311" s="235" t="str">
        <f>LEFT('RSD (DEA)'!AK132,2)&amp;RIGHT(E311,3)</f>
        <v>RWAPB</v>
      </c>
      <c r="AE311" s="183">
        <f>'RSD (DEA)'!BA132</f>
        <v>4.9000000000000004</v>
      </c>
      <c r="AF311" s="183"/>
    </row>
    <row r="312" spans="1:52" x14ac:dyDescent="0.3">
      <c r="A312" s="235"/>
      <c r="D312" s="512"/>
      <c r="E312" s="512"/>
      <c r="F312" s="515"/>
      <c r="G312" s="515"/>
      <c r="H312" s="540"/>
      <c r="I312" s="512"/>
      <c r="J312" s="242"/>
      <c r="K312" s="242"/>
      <c r="L312" s="512"/>
      <c r="M312" s="182"/>
      <c r="N312" s="318" t="str">
        <f>AD311</f>
        <v>RWAPB</v>
      </c>
      <c r="O312" s="244"/>
      <c r="P312" s="182"/>
      <c r="Q312" s="182"/>
      <c r="R312" s="525">
        <f>IF(ISBLANK(I312),IF(MID(N312,2,2)="HA",VLOOKUP(I311,KEY_RSD_AF!$C$5:$G$52,2,FALSE),IF(MID(N312,2,2)="WA",VLOOKUP(I311,KEY_RSD_AF!$C$5:$G$52,3,FALSE),IF(MID(N312,2,2)="HH",VLOOKUP(I311,KEY_RSD_AF!$C$5:$G$52,4,FALSE),IF(MID(N312,2,2)="WH",VLOOKUP(I311,KEY_RSD_AF!$C$5:$G$52,5,FALSE))))),IF(MID(N312,2,2)="HA",VLOOKUP(I312,KEY_RSD_AF!$C$5:$G$52,2,FALSE),IF(MID(N312,2,2)="WA",VLOOKUP(I312,KEY_RSD_AF!$C$5:$G$52,3,FALSE),IF(MID(N312,2,2)="HH",VLOOKUP(I312,KEY_RSD_AF!$C$5:$G$52,4,FALSE),IF(MID(N312,2,2)="WH",VLOOKUP(I312,KEY_RSD_AF!$C$5:$G$52,5,FALSE))))))</f>
        <v>1</v>
      </c>
      <c r="S312" s="503">
        <f>T311</f>
        <v>4.9000000000000004</v>
      </c>
      <c r="T312" s="183"/>
      <c r="U312" s="183"/>
      <c r="V312" s="182"/>
      <c r="W312" s="184"/>
      <c r="X312" s="183"/>
      <c r="Y312" s="182"/>
      <c r="Z312" s="252"/>
      <c r="AA312" s="236"/>
      <c r="AC312" s="235"/>
      <c r="AD312" s="235"/>
      <c r="AE312" s="183"/>
      <c r="AF312" s="183"/>
    </row>
    <row r="313" spans="1:52" x14ac:dyDescent="0.3">
      <c r="A313" s="244"/>
      <c r="D313" s="512"/>
      <c r="E313" s="513"/>
      <c r="F313" s="515"/>
      <c r="G313" s="515"/>
      <c r="H313" s="540"/>
      <c r="I313" s="513"/>
      <c r="J313" s="255"/>
      <c r="K313" s="255"/>
      <c r="L313" s="513"/>
      <c r="M313" s="252" t="str">
        <f>M311</f>
        <v>RSDGEO</v>
      </c>
      <c r="N313" s="244"/>
      <c r="O313" s="244" t="str">
        <f>$AH$12</f>
        <v>ACT</v>
      </c>
      <c r="P313" s="252"/>
      <c r="Q313" s="252"/>
      <c r="R313" s="525"/>
      <c r="S313" s="256"/>
      <c r="T313" s="256"/>
      <c r="U313" s="183"/>
      <c r="V313" s="252"/>
      <c r="W313" s="524"/>
      <c r="X313" s="256"/>
      <c r="Y313" s="252"/>
      <c r="Z313" s="252">
        <f>IF(ISBLANK(O313),"",IF(O313="ACT",1,-1))</f>
        <v>1</v>
      </c>
      <c r="AA313" s="257"/>
      <c r="AC313" s="244"/>
      <c r="AD313" s="244"/>
      <c r="AE313" s="256"/>
      <c r="AF313" s="256"/>
    </row>
    <row r="314" spans="1:52" x14ac:dyDescent="0.3">
      <c r="A314" s="244"/>
      <c r="D314" s="512"/>
      <c r="E314" s="513"/>
      <c r="F314" s="515"/>
      <c r="G314" s="515"/>
      <c r="H314" s="540"/>
      <c r="I314" s="513"/>
      <c r="J314" s="255"/>
      <c r="K314" s="255"/>
      <c r="L314" s="513"/>
      <c r="M314" s="252" t="str">
        <f>M313</f>
        <v>RSDGEO</v>
      </c>
      <c r="N314" s="244"/>
      <c r="O314" s="244" t="str">
        <f>L311</f>
        <v>RSDELC</v>
      </c>
      <c r="P314" s="252"/>
      <c r="Q314" s="252"/>
      <c r="R314" s="525"/>
      <c r="S314" s="256"/>
      <c r="T314" s="256"/>
      <c r="U314" s="183"/>
      <c r="V314" s="252"/>
      <c r="W314" s="524"/>
      <c r="X314" s="256"/>
      <c r="Y314" s="252"/>
      <c r="Z314" s="252">
        <f>IF(ISBLANK(O314),"",IF(O314="ACT",1,-1))</f>
        <v>-1</v>
      </c>
      <c r="AA314" s="257"/>
      <c r="AC314" s="244"/>
      <c r="AD314" s="244"/>
      <c r="AE314" s="256"/>
      <c r="AF314" s="256"/>
    </row>
    <row r="315" spans="1:52" x14ac:dyDescent="0.3">
      <c r="A315" s="235"/>
      <c r="C315" s="528" t="str">
        <f>'RSD (DEA)'!Z133</f>
        <v>HP_ELC_09</v>
      </c>
      <c r="D315" s="512" t="str">
        <f>RSD_HeatingDemand!N315&amp;"_"&amp;LEFT(C315,LEN(C315)-2)&amp;"03"</f>
        <v>RHAPB_HP_ELC_03</v>
      </c>
      <c r="E315" s="512" t="str">
        <f>"R"&amp;LEFT('RSD (DEA)'!AD133,2)&amp;IF(ISNUMBER(IFERROR(FIND("HTH",'RSD (DEA)'!Z133),IFERROR(FIND("HP",'RSD (DEA)'!Z133),"C"))),IF(IFERROR(FIND("HTH",'RSD (DEA)'!Z133),100)=100,"B","A"),"C")</f>
        <v>RAPB</v>
      </c>
      <c r="F315" s="515"/>
      <c r="G315" s="515"/>
      <c r="H315" s="540" t="str">
        <f t="shared" si="7"/>
        <v>RHAPB_HP_ELC_12</v>
      </c>
      <c r="I315" s="512" t="str">
        <f>'RSD (DEA)'!AA133</f>
        <v>Electric heat pumps, Brine-to-water (ground source)</v>
      </c>
      <c r="J315" s="242" t="s">
        <v>239</v>
      </c>
      <c r="K315" s="242" t="s">
        <v>240</v>
      </c>
      <c r="L315" s="512" t="str">
        <f>'RSD (DEA)'!AH133</f>
        <v>RSDELC</v>
      </c>
      <c r="M315" s="182" t="str">
        <f>'RSD (DEA)'!AI133</f>
        <v>RSDGEO</v>
      </c>
      <c r="N315" s="235" t="str">
        <f>LEFT('RSD (DEA)'!AJ133,2)&amp;RIGHT(E315,3)</f>
        <v>RHAPB</v>
      </c>
      <c r="O315" s="244"/>
      <c r="P315" s="182">
        <f>IF('RSD (DEA)'!P133&lt;RSD_HeatingDemand!$AH$15,RSD_HeatingDemand!$AH$15,'RSD (DEA)'!P133)</f>
        <v>2019</v>
      </c>
      <c r="Q315" s="182">
        <f>IF('RSD (DEA)'!X133&lt;RSD_HeatingDemand!$AH$15,RSD_HeatingDemand!$AH$15,'RSD (DEA)'!X133)</f>
        <v>2050</v>
      </c>
      <c r="R315" s="525">
        <f>IF(ISBLANK(I315),IF(MID(N315,2,2)="HA",VLOOKUP(I314,KEY_RSD_AF!$C$5:$G$52,2,FALSE),IF(MID(N315,2,2)="WA",VLOOKUP(I314,KEY_RSD_AF!$C$5:$G$52,3,FALSE),IF(MID(N315,2,2)="HH",VLOOKUP(I314,KEY_RSD_AF!$C$5:$G$52,4,FALSE),IF(MID(N315,2,2)="WH",VLOOKUP(I314,KEY_RSD_AF!$C$5:$G$52,5,FALSE))))),IF(MID(N315,2,2)="HA",VLOOKUP(I315,KEY_RSD_AF!$C$5:$G$52,2,FALSE),IF(MID(N315,2,2)="WA",VLOOKUP(I315,KEY_RSD_AF!$C$5:$G$52,3,FALSE),IF(MID(N315,2,2)="HH",VLOOKUP(I315,KEY_RSD_AF!$C$5:$G$52,4,FALSE),IF(MID(N315,2,2)="WH",VLOOKUP(I315,KEY_RSD_AF!$C$5:$G$52,5,FALSE))))))</f>
        <v>1</v>
      </c>
      <c r="S315" s="183">
        <f>'RSD (DEA)'!AZ133</f>
        <v>4.9000000000000004</v>
      </c>
      <c r="T315" s="183">
        <f>'RSD (DEA)'!BA133</f>
        <v>5.0999999999999996</v>
      </c>
      <c r="U315" s="183">
        <v>0.5</v>
      </c>
      <c r="V315" s="182">
        <f>'RSD (DEA)'!BR133/'RSD (DEA)'!S133</f>
        <v>6.0274999999999999</v>
      </c>
      <c r="W315" s="184">
        <f>'RSD (DEA)'!BS133/RSD_HeatingDemand!$AH$9</f>
        <v>0.12291666666666666</v>
      </c>
      <c r="X315" s="183">
        <f>'RSD (DEA)'!BK133*RSD_HeatingDemand!$AH$10/'RSD (DEA)'!S133</f>
        <v>505</v>
      </c>
      <c r="Y315" s="182">
        <f>'RSD (DEA)'!BI133</f>
        <v>20</v>
      </c>
      <c r="Z315" s="252" t="str">
        <f>IF(ISBLANK(O315),"",IF(O315="ACT",1,-1))</f>
        <v/>
      </c>
      <c r="AA315" s="236">
        <f>'RSD (DEA)'!AM133</f>
        <v>31.536000000000001</v>
      </c>
      <c r="AC315" s="235">
        <f>'RSD (DEA)'!S133</f>
        <v>400</v>
      </c>
      <c r="AD315" s="235" t="str">
        <f>LEFT('RSD (DEA)'!AK133,2)&amp;RIGHT(E315,3)</f>
        <v>RWAPB</v>
      </c>
      <c r="AE315" s="183">
        <f>'RSD (DEA)'!BA133</f>
        <v>5.0999999999999996</v>
      </c>
      <c r="AF315" s="183"/>
    </row>
    <row r="316" spans="1:52" x14ac:dyDescent="0.3">
      <c r="A316" s="235"/>
      <c r="D316" s="512"/>
      <c r="E316" s="512"/>
      <c r="F316" s="515"/>
      <c r="G316" s="515"/>
      <c r="H316" s="540"/>
      <c r="I316" s="512"/>
      <c r="J316" s="242"/>
      <c r="K316" s="242"/>
      <c r="L316" s="512"/>
      <c r="M316" s="182"/>
      <c r="N316" s="318" t="str">
        <f>AD315</f>
        <v>RWAPB</v>
      </c>
      <c r="O316" s="244"/>
      <c r="P316" s="182"/>
      <c r="Q316" s="182"/>
      <c r="R316" s="525">
        <f>IF(ISBLANK(I316),IF(MID(N316,2,2)="HA",VLOOKUP(I315,KEY_RSD_AF!$C$5:$G$52,2,FALSE),IF(MID(N316,2,2)="WA",VLOOKUP(I315,KEY_RSD_AF!$C$5:$G$52,3,FALSE),IF(MID(N316,2,2)="HH",VLOOKUP(I315,KEY_RSD_AF!$C$5:$G$52,4,FALSE),IF(MID(N316,2,2)="WH",VLOOKUP(I315,KEY_RSD_AF!$C$5:$G$52,5,FALSE))))),IF(MID(N316,2,2)="HA",VLOOKUP(I316,KEY_RSD_AF!$C$5:$G$52,2,FALSE),IF(MID(N316,2,2)="WA",VLOOKUP(I316,KEY_RSD_AF!$C$5:$G$52,3,FALSE),IF(MID(N316,2,2)="HH",VLOOKUP(I316,KEY_RSD_AF!$C$5:$G$52,4,FALSE),IF(MID(N316,2,2)="WH",VLOOKUP(I316,KEY_RSD_AF!$C$5:$G$52,5,FALSE))))))</f>
        <v>1</v>
      </c>
      <c r="S316" s="503">
        <f>T315</f>
        <v>5.0999999999999996</v>
      </c>
      <c r="T316" s="183"/>
      <c r="U316" s="183"/>
      <c r="V316" s="182"/>
      <c r="W316" s="184"/>
      <c r="X316" s="183"/>
      <c r="Y316" s="182"/>
      <c r="Z316" s="252"/>
      <c r="AA316" s="236"/>
      <c r="AC316" s="235"/>
      <c r="AD316" s="235"/>
      <c r="AE316" s="183"/>
      <c r="AF316" s="183"/>
    </row>
    <row r="317" spans="1:52" x14ac:dyDescent="0.3">
      <c r="A317" s="244"/>
      <c r="D317" s="512"/>
      <c r="E317" s="513"/>
      <c r="F317" s="515"/>
      <c r="G317" s="515"/>
      <c r="H317" s="540"/>
      <c r="I317" s="513"/>
      <c r="J317" s="255"/>
      <c r="K317" s="255"/>
      <c r="L317" s="513"/>
      <c r="M317" s="252" t="str">
        <f>M315</f>
        <v>RSDGEO</v>
      </c>
      <c r="N317" s="244"/>
      <c r="O317" s="244" t="str">
        <f>$AH$12</f>
        <v>ACT</v>
      </c>
      <c r="P317" s="252"/>
      <c r="Q317" s="252"/>
      <c r="R317" s="525"/>
      <c r="S317" s="256"/>
      <c r="T317" s="256"/>
      <c r="U317" s="183"/>
      <c r="V317" s="252"/>
      <c r="W317" s="524"/>
      <c r="X317" s="256"/>
      <c r="Y317" s="252"/>
      <c r="Z317" s="252">
        <f>IF(ISBLANK(O317),"",IF(O317="ACT",1,-1))</f>
        <v>1</v>
      </c>
      <c r="AA317" s="257"/>
      <c r="AC317" s="244"/>
      <c r="AD317" s="244"/>
      <c r="AE317" s="256"/>
      <c r="AF317" s="256"/>
    </row>
    <row r="318" spans="1:52" s="507" customFormat="1" x14ac:dyDescent="0.3">
      <c r="A318" s="244"/>
      <c r="B318" s="248"/>
      <c r="C318" s="528"/>
      <c r="D318" s="512"/>
      <c r="E318" s="513"/>
      <c r="F318" s="515"/>
      <c r="G318" s="515"/>
      <c r="H318" s="540"/>
      <c r="I318" s="513"/>
      <c r="J318" s="255"/>
      <c r="K318" s="255"/>
      <c r="L318" s="513"/>
      <c r="M318" s="252" t="str">
        <f>M317</f>
        <v>RSDGEO</v>
      </c>
      <c r="N318" s="244"/>
      <c r="O318" s="244" t="str">
        <f>L315</f>
        <v>RSDELC</v>
      </c>
      <c r="P318" s="252"/>
      <c r="Q318" s="252"/>
      <c r="R318" s="525"/>
      <c r="S318" s="256"/>
      <c r="T318" s="256"/>
      <c r="U318" s="183"/>
      <c r="V318" s="252"/>
      <c r="W318" s="524"/>
      <c r="X318" s="256"/>
      <c r="Y318" s="252"/>
      <c r="Z318" s="252">
        <f>IF(ISBLANK(O318),"",IF(O318="ACT",1,-1))</f>
        <v>-1</v>
      </c>
      <c r="AA318" s="257"/>
      <c r="AB318" s="246"/>
      <c r="AC318" s="244"/>
      <c r="AD318" s="244"/>
      <c r="AE318" s="256"/>
      <c r="AF318" s="256"/>
      <c r="AG318" s="239"/>
      <c r="AH318" s="239"/>
      <c r="AI318" s="239"/>
      <c r="AJ318" s="248"/>
      <c r="AK318" s="239"/>
      <c r="AL318" s="239"/>
      <c r="AM318" s="239"/>
      <c r="AN318" s="239"/>
      <c r="AO318" s="239"/>
      <c r="AP318" s="239"/>
      <c r="AQ318" s="239"/>
      <c r="AR318" s="239"/>
      <c r="AS318" s="239"/>
      <c r="AT318" s="239"/>
      <c r="AU318" s="239"/>
      <c r="AV318" s="239"/>
      <c r="AW318" s="239"/>
      <c r="AX318" s="239"/>
      <c r="AY318" s="239"/>
      <c r="AZ318" s="239"/>
    </row>
    <row r="319" spans="1:52" x14ac:dyDescent="0.3">
      <c r="A319" s="235"/>
      <c r="C319" s="528" t="str">
        <f>'RSD (DEA)'!Z134</f>
        <v>HP_ELC_10</v>
      </c>
      <c r="D319" s="512" t="str">
        <f>RSD_HeatingDemand!N319&amp;"_"&amp;LEFT(C319,LEN(C319)-2)&amp;"04"</f>
        <v>RHAPB_HP_ELC_04</v>
      </c>
      <c r="E319" s="512" t="str">
        <f>"R"&amp;LEFT('RSD (DEA)'!AD134,2)&amp;IF(ISNUMBER(IFERROR(FIND("HTH",'RSD (DEA)'!Z134),IFERROR(FIND("HP",'RSD (DEA)'!Z134),"C"))),IF(IFERROR(FIND("HTH",'RSD (DEA)'!Z134),100)=100,"B","A"),"C")</f>
        <v>RAPB</v>
      </c>
      <c r="F319" s="515"/>
      <c r="G319" s="515"/>
      <c r="H319" s="540" t="str">
        <f t="shared" si="7"/>
        <v>RHAPB_HP_ELC_13</v>
      </c>
      <c r="I319" s="512" t="str">
        <f>'RSD (DEA)'!AA134</f>
        <v>Electric heat pumps, Brine-to-water (ground source)</v>
      </c>
      <c r="J319" s="242" t="s">
        <v>239</v>
      </c>
      <c r="K319" s="242" t="s">
        <v>240</v>
      </c>
      <c r="L319" s="512" t="str">
        <f>'RSD (DEA)'!AH134</f>
        <v>RSDELC</v>
      </c>
      <c r="M319" s="182" t="str">
        <f>'RSD (DEA)'!AI134</f>
        <v>RSDGEO</v>
      </c>
      <c r="N319" s="235" t="str">
        <f>LEFT('RSD (DEA)'!AJ134,2)&amp;RIGHT(E319,3)</f>
        <v>RHAPB</v>
      </c>
      <c r="O319" s="244"/>
      <c r="P319" s="182">
        <f>IF('RSD (DEA)'!P134&lt;RSD_HeatingDemand!$AH$15,RSD_HeatingDemand!$AH$15,'RSD (DEA)'!P134)</f>
        <v>2019</v>
      </c>
      <c r="Q319" s="182">
        <f>IF('RSD (DEA)'!X134&lt;RSD_HeatingDemand!$AH$15,RSD_HeatingDemand!$AH$15,'RSD (DEA)'!X134)</f>
        <v>2019</v>
      </c>
      <c r="R319" s="525">
        <f>IF(ISBLANK(I319),IF(MID(N319,2,2)="HA",VLOOKUP(I318,KEY_RSD_AF!$C$5:$G$52,2,FALSE),IF(MID(N319,2,2)="WA",VLOOKUP(I318,KEY_RSD_AF!$C$5:$G$52,3,FALSE),IF(MID(N319,2,2)="HH",VLOOKUP(I318,KEY_RSD_AF!$C$5:$G$52,4,FALSE),IF(MID(N319,2,2)="WH",VLOOKUP(I318,KEY_RSD_AF!$C$5:$G$52,5,FALSE))))),IF(MID(N319,2,2)="HA",VLOOKUP(I319,KEY_RSD_AF!$C$5:$G$52,2,FALSE),IF(MID(N319,2,2)="WA",VLOOKUP(I319,KEY_RSD_AF!$C$5:$G$52,3,FALSE),IF(MID(N319,2,2)="HH",VLOOKUP(I319,KEY_RSD_AF!$C$5:$G$52,4,FALSE),IF(MID(N319,2,2)="WH",VLOOKUP(I319,KEY_RSD_AF!$C$5:$G$52,5,FALSE))))))</f>
        <v>1</v>
      </c>
      <c r="S319" s="183">
        <f>'RSD (DEA)'!AZ134</f>
        <v>4.3</v>
      </c>
      <c r="T319" s="183">
        <f>'RSD (DEA)'!BA134</f>
        <v>5</v>
      </c>
      <c r="U319" s="183">
        <v>0.5</v>
      </c>
      <c r="V319" s="182">
        <f>'RSD (DEA)'!BR134/'RSD (DEA)'!S134</f>
        <v>10.25</v>
      </c>
      <c r="W319" s="184">
        <f>'RSD (DEA)'!BS134/RSD_HeatingDemand!$AH$9</f>
        <v>0.12291666666666666</v>
      </c>
      <c r="X319" s="183">
        <f>'RSD (DEA)'!BK134*RSD_HeatingDemand!$AH$10/'RSD (DEA)'!S134</f>
        <v>593.75</v>
      </c>
      <c r="Y319" s="182">
        <f>'RSD (DEA)'!BI134</f>
        <v>20</v>
      </c>
      <c r="Z319" s="252" t="str">
        <f>IF(ISBLANK(O319),"",IF(O319="ACT",1,-1))</f>
        <v/>
      </c>
      <c r="AA319" s="236">
        <f>'RSD (DEA)'!AM134</f>
        <v>31.536000000000001</v>
      </c>
      <c r="AC319" s="235">
        <f>'RSD (DEA)'!S134</f>
        <v>160</v>
      </c>
      <c r="AD319" s="235" t="str">
        <f>LEFT('RSD (DEA)'!AK134,2)&amp;RIGHT(E319,3)</f>
        <v>RWAPB</v>
      </c>
      <c r="AE319" s="183">
        <f>'RSD (DEA)'!BA134</f>
        <v>5</v>
      </c>
      <c r="AF319" s="183"/>
    </row>
    <row r="320" spans="1:52" x14ac:dyDescent="0.3">
      <c r="A320" s="235"/>
      <c r="D320" s="512"/>
      <c r="E320" s="512"/>
      <c r="F320" s="515"/>
      <c r="G320" s="515"/>
      <c r="H320" s="540"/>
      <c r="I320" s="512"/>
      <c r="J320" s="242"/>
      <c r="K320" s="242"/>
      <c r="L320" s="512"/>
      <c r="M320" s="182"/>
      <c r="N320" s="318" t="str">
        <f>AD319</f>
        <v>RWAPB</v>
      </c>
      <c r="O320" s="244"/>
      <c r="P320" s="182"/>
      <c r="Q320" s="182"/>
      <c r="R320" s="525">
        <f>IF(ISBLANK(I320),IF(MID(N320,2,2)="HA",VLOOKUP(I319,KEY_RSD_AF!$C$5:$G$52,2,FALSE),IF(MID(N320,2,2)="WA",VLOOKUP(I319,KEY_RSD_AF!$C$5:$G$52,3,FALSE),IF(MID(N320,2,2)="HH",VLOOKUP(I319,KEY_RSD_AF!$C$5:$G$52,4,FALSE),IF(MID(N320,2,2)="WH",VLOOKUP(I319,KEY_RSD_AF!$C$5:$G$52,5,FALSE))))),IF(MID(N320,2,2)="HA",VLOOKUP(I320,KEY_RSD_AF!$C$5:$G$52,2,FALSE),IF(MID(N320,2,2)="WA",VLOOKUP(I320,KEY_RSD_AF!$C$5:$G$52,3,FALSE),IF(MID(N320,2,2)="HH",VLOOKUP(I320,KEY_RSD_AF!$C$5:$G$52,4,FALSE),IF(MID(N320,2,2)="WH",VLOOKUP(I320,KEY_RSD_AF!$C$5:$G$52,5,FALSE))))))</f>
        <v>1</v>
      </c>
      <c r="S320" s="503">
        <f>T319</f>
        <v>5</v>
      </c>
      <c r="T320" s="183"/>
      <c r="U320" s="183"/>
      <c r="V320" s="182"/>
      <c r="W320" s="184"/>
      <c r="X320" s="183"/>
      <c r="Y320" s="182"/>
      <c r="Z320" s="252"/>
      <c r="AA320" s="236"/>
      <c r="AC320" s="235"/>
      <c r="AD320" s="235"/>
      <c r="AE320" s="183"/>
      <c r="AF320" s="183"/>
    </row>
    <row r="321" spans="1:32" x14ac:dyDescent="0.3">
      <c r="A321" s="244"/>
      <c r="D321" s="512"/>
      <c r="E321" s="513"/>
      <c r="F321" s="515"/>
      <c r="G321" s="515"/>
      <c r="H321" s="540"/>
      <c r="I321" s="513"/>
      <c r="J321" s="255"/>
      <c r="K321" s="255"/>
      <c r="L321" s="513"/>
      <c r="M321" s="252" t="str">
        <f>M319</f>
        <v>RSDGEO</v>
      </c>
      <c r="N321" s="244"/>
      <c r="O321" s="244" t="str">
        <f>$AH$12</f>
        <v>ACT</v>
      </c>
      <c r="P321" s="252"/>
      <c r="Q321" s="252"/>
      <c r="R321" s="525"/>
      <c r="S321" s="256"/>
      <c r="T321" s="256"/>
      <c r="U321" s="183"/>
      <c r="V321" s="252"/>
      <c r="W321" s="524"/>
      <c r="X321" s="256"/>
      <c r="Y321" s="252"/>
      <c r="Z321" s="252">
        <f>IF(ISBLANK(O321),"",IF(O321="ACT",1,-1))</f>
        <v>1</v>
      </c>
      <c r="AA321" s="257"/>
      <c r="AC321" s="244"/>
      <c r="AD321" s="244"/>
      <c r="AE321" s="256"/>
      <c r="AF321" s="256"/>
    </row>
    <row r="322" spans="1:32" x14ac:dyDescent="0.3">
      <c r="A322" s="244"/>
      <c r="D322" s="512"/>
      <c r="E322" s="513"/>
      <c r="F322" s="515"/>
      <c r="G322" s="515"/>
      <c r="H322" s="540"/>
      <c r="I322" s="513"/>
      <c r="J322" s="255"/>
      <c r="K322" s="255"/>
      <c r="L322" s="513"/>
      <c r="M322" s="252" t="str">
        <f>M321</f>
        <v>RSDGEO</v>
      </c>
      <c r="N322" s="244"/>
      <c r="O322" s="244" t="str">
        <f>L319</f>
        <v>RSDELC</v>
      </c>
      <c r="P322" s="252"/>
      <c r="Q322" s="252"/>
      <c r="R322" s="525"/>
      <c r="S322" s="256"/>
      <c r="T322" s="256"/>
      <c r="U322" s="183"/>
      <c r="V322" s="252"/>
      <c r="W322" s="524"/>
      <c r="X322" s="256"/>
      <c r="Y322" s="252"/>
      <c r="Z322" s="252">
        <f>IF(ISBLANK(O322),"",IF(O322="ACT",1,-1))</f>
        <v>-1</v>
      </c>
      <c r="AA322" s="257"/>
      <c r="AC322" s="244"/>
      <c r="AD322" s="244"/>
      <c r="AE322" s="256"/>
      <c r="AF322" s="256"/>
    </row>
    <row r="323" spans="1:32" x14ac:dyDescent="0.3">
      <c r="A323" s="235"/>
      <c r="C323" s="528" t="str">
        <f>'RSD (DEA)'!Z135</f>
        <v>HP_ELC_10</v>
      </c>
      <c r="D323" s="512" t="str">
        <f>RSD_HeatingDemand!N323&amp;"_"&amp;LEFT(C323,LEN(C323)-2)&amp;"04"</f>
        <v>RHAPB_HP_ELC_04</v>
      </c>
      <c r="E323" s="512" t="str">
        <f>"R"&amp;LEFT('RSD (DEA)'!AD135,2)&amp;IF(ISNUMBER(IFERROR(FIND("HTH",'RSD (DEA)'!Z135),IFERROR(FIND("HP",'RSD (DEA)'!Z135),"C"))),IF(IFERROR(FIND("HTH",'RSD (DEA)'!Z135),100)=100,"B","A"),"C")</f>
        <v>RAPB</v>
      </c>
      <c r="F323" s="515"/>
      <c r="G323" s="515"/>
      <c r="H323" s="540" t="str">
        <f t="shared" si="7"/>
        <v>RHAPB_HP_ELC_14</v>
      </c>
      <c r="I323" s="512" t="str">
        <f>'RSD (DEA)'!AA135</f>
        <v>Electric heat pumps, Brine-to-water (ground source)</v>
      </c>
      <c r="J323" s="242" t="s">
        <v>239</v>
      </c>
      <c r="K323" s="242" t="s">
        <v>240</v>
      </c>
      <c r="L323" s="512" t="str">
        <f>'RSD (DEA)'!AH135</f>
        <v>RSDELC</v>
      </c>
      <c r="M323" s="182" t="str">
        <f>'RSD (DEA)'!AI135</f>
        <v>RSDGEO</v>
      </c>
      <c r="N323" s="235" t="str">
        <f>LEFT('RSD (DEA)'!AJ135,2)&amp;RIGHT(E323,3)</f>
        <v>RHAPB</v>
      </c>
      <c r="O323" s="244"/>
      <c r="P323" s="182">
        <f>IF('RSD (DEA)'!P135&lt;RSD_HeatingDemand!$AH$15,RSD_HeatingDemand!$AH$15,'RSD (DEA)'!P135)</f>
        <v>2019</v>
      </c>
      <c r="Q323" s="182">
        <f>IF('RSD (DEA)'!X135&lt;RSD_HeatingDemand!$AH$15,RSD_HeatingDemand!$AH$15,'RSD (DEA)'!X135)</f>
        <v>2020</v>
      </c>
      <c r="R323" s="525">
        <f>IF(ISBLANK(I323),IF(MID(N323,2,2)="HA",VLOOKUP(I322,KEY_RSD_AF!$C$5:$G$52,2,FALSE),IF(MID(N323,2,2)="WA",VLOOKUP(I322,KEY_RSD_AF!$C$5:$G$52,3,FALSE),IF(MID(N323,2,2)="HH",VLOOKUP(I322,KEY_RSD_AF!$C$5:$G$52,4,FALSE),IF(MID(N323,2,2)="WH",VLOOKUP(I322,KEY_RSD_AF!$C$5:$G$52,5,FALSE))))),IF(MID(N323,2,2)="HA",VLOOKUP(I323,KEY_RSD_AF!$C$5:$G$52,2,FALSE),IF(MID(N323,2,2)="WA",VLOOKUP(I323,KEY_RSD_AF!$C$5:$G$52,3,FALSE),IF(MID(N323,2,2)="HH",VLOOKUP(I323,KEY_RSD_AF!$C$5:$G$52,4,FALSE),IF(MID(N323,2,2)="WH",VLOOKUP(I323,KEY_RSD_AF!$C$5:$G$52,5,FALSE))))))</f>
        <v>1</v>
      </c>
      <c r="S323" s="183">
        <f>'RSD (DEA)'!AZ135</f>
        <v>4.4000000000000004</v>
      </c>
      <c r="T323" s="183">
        <f>'RSD (DEA)'!BA135</f>
        <v>5.0999999999999996</v>
      </c>
      <c r="U323" s="183">
        <v>0.5</v>
      </c>
      <c r="V323" s="182">
        <f>'RSD (DEA)'!BR135/'RSD (DEA)'!S135</f>
        <v>10.3125</v>
      </c>
      <c r="W323" s="184">
        <f>'RSD (DEA)'!BS135/RSD_HeatingDemand!$AH$9</f>
        <v>0.12291666666666666</v>
      </c>
      <c r="X323" s="183">
        <f>'RSD (DEA)'!BK135*RSD_HeatingDemand!$AH$10/'RSD (DEA)'!S135</f>
        <v>556.25</v>
      </c>
      <c r="Y323" s="182">
        <f>'RSD (DEA)'!BI135</f>
        <v>20</v>
      </c>
      <c r="Z323" s="252" t="str">
        <f>IF(ISBLANK(O323),"",IF(O323="ACT",1,-1))</f>
        <v/>
      </c>
      <c r="AA323" s="236">
        <f>'RSD (DEA)'!AM135</f>
        <v>31.536000000000001</v>
      </c>
      <c r="AC323" s="235">
        <f>'RSD (DEA)'!S135</f>
        <v>160</v>
      </c>
      <c r="AD323" s="235" t="str">
        <f>LEFT('RSD (DEA)'!AK135,2)&amp;RIGHT(E323,3)</f>
        <v>RWAPB</v>
      </c>
      <c r="AE323" s="183">
        <f>'RSD (DEA)'!BA135</f>
        <v>5.0999999999999996</v>
      </c>
      <c r="AF323" s="183"/>
    </row>
    <row r="324" spans="1:32" x14ac:dyDescent="0.3">
      <c r="A324" s="235"/>
      <c r="D324" s="512"/>
      <c r="E324" s="512"/>
      <c r="F324" s="515"/>
      <c r="G324" s="515"/>
      <c r="H324" s="540"/>
      <c r="I324" s="512"/>
      <c r="J324" s="242"/>
      <c r="K324" s="242"/>
      <c r="L324" s="512"/>
      <c r="M324" s="182"/>
      <c r="N324" s="318" t="str">
        <f>AD323</f>
        <v>RWAPB</v>
      </c>
      <c r="O324" s="244"/>
      <c r="P324" s="182"/>
      <c r="Q324" s="182"/>
      <c r="R324" s="525">
        <f>IF(ISBLANK(I324),IF(MID(N324,2,2)="HA",VLOOKUP(I323,KEY_RSD_AF!$C$5:$G$52,2,FALSE),IF(MID(N324,2,2)="WA",VLOOKUP(I323,KEY_RSD_AF!$C$5:$G$52,3,FALSE),IF(MID(N324,2,2)="HH",VLOOKUP(I323,KEY_RSD_AF!$C$5:$G$52,4,FALSE),IF(MID(N324,2,2)="WH",VLOOKUP(I323,KEY_RSD_AF!$C$5:$G$52,5,FALSE))))),IF(MID(N324,2,2)="HA",VLOOKUP(I324,KEY_RSD_AF!$C$5:$G$52,2,FALSE),IF(MID(N324,2,2)="WA",VLOOKUP(I324,KEY_RSD_AF!$C$5:$G$52,3,FALSE),IF(MID(N324,2,2)="HH",VLOOKUP(I324,KEY_RSD_AF!$C$5:$G$52,4,FALSE),IF(MID(N324,2,2)="WH",VLOOKUP(I324,KEY_RSD_AF!$C$5:$G$52,5,FALSE))))))</f>
        <v>1</v>
      </c>
      <c r="S324" s="503">
        <f>T323</f>
        <v>5.0999999999999996</v>
      </c>
      <c r="T324" s="183"/>
      <c r="U324" s="183"/>
      <c r="V324" s="182"/>
      <c r="W324" s="184"/>
      <c r="X324" s="183"/>
      <c r="Y324" s="182"/>
      <c r="Z324" s="252"/>
      <c r="AA324" s="236"/>
      <c r="AC324" s="235"/>
      <c r="AD324" s="235"/>
      <c r="AE324" s="183"/>
      <c r="AF324" s="183"/>
    </row>
    <row r="325" spans="1:32" x14ac:dyDescent="0.3">
      <c r="A325" s="244"/>
      <c r="D325" s="512"/>
      <c r="E325" s="513"/>
      <c r="F325" s="515"/>
      <c r="G325" s="515"/>
      <c r="H325" s="540"/>
      <c r="I325" s="513"/>
      <c r="J325" s="255"/>
      <c r="K325" s="255"/>
      <c r="L325" s="513"/>
      <c r="M325" s="252" t="str">
        <f>M323</f>
        <v>RSDGEO</v>
      </c>
      <c r="N325" s="244"/>
      <c r="O325" s="244" t="str">
        <f>$AH$12</f>
        <v>ACT</v>
      </c>
      <c r="P325" s="252"/>
      <c r="Q325" s="252"/>
      <c r="R325" s="525"/>
      <c r="S325" s="256"/>
      <c r="T325" s="256"/>
      <c r="U325" s="183"/>
      <c r="V325" s="252"/>
      <c r="W325" s="524"/>
      <c r="X325" s="256"/>
      <c r="Y325" s="252"/>
      <c r="Z325" s="252">
        <f>IF(ISBLANK(O325),"",IF(O325="ACT",1,-1))</f>
        <v>1</v>
      </c>
      <c r="AA325" s="257"/>
      <c r="AC325" s="244"/>
      <c r="AD325" s="244"/>
      <c r="AE325" s="256"/>
      <c r="AF325" s="256"/>
    </row>
    <row r="326" spans="1:32" x14ac:dyDescent="0.3">
      <c r="A326" s="244"/>
      <c r="D326" s="512"/>
      <c r="E326" s="513"/>
      <c r="F326" s="515"/>
      <c r="G326" s="515"/>
      <c r="H326" s="540"/>
      <c r="I326" s="513"/>
      <c r="J326" s="255"/>
      <c r="K326" s="255"/>
      <c r="L326" s="513"/>
      <c r="M326" s="252" t="str">
        <f>M325</f>
        <v>RSDGEO</v>
      </c>
      <c r="N326" s="244"/>
      <c r="O326" s="244" t="str">
        <f>L323</f>
        <v>RSDELC</v>
      </c>
      <c r="P326" s="252"/>
      <c r="Q326" s="252"/>
      <c r="R326" s="525"/>
      <c r="S326" s="256"/>
      <c r="T326" s="256"/>
      <c r="U326" s="183"/>
      <c r="V326" s="252"/>
      <c r="W326" s="524"/>
      <c r="X326" s="256"/>
      <c r="Y326" s="252"/>
      <c r="Z326" s="252">
        <f>IF(ISBLANK(O326),"",IF(O326="ACT",1,-1))</f>
        <v>-1</v>
      </c>
      <c r="AA326" s="257"/>
      <c r="AC326" s="244"/>
      <c r="AD326" s="244"/>
      <c r="AE326" s="256"/>
      <c r="AF326" s="256"/>
    </row>
    <row r="327" spans="1:32" x14ac:dyDescent="0.3">
      <c r="A327" s="235"/>
      <c r="C327" s="528" t="str">
        <f>'RSD (DEA)'!Z136</f>
        <v>HP_ELC_10</v>
      </c>
      <c r="D327" s="512" t="str">
        <f>RSD_HeatingDemand!N327&amp;"_"&amp;LEFT(C327,LEN(C327)-2)&amp;"04"</f>
        <v>RHAPB_HP_ELC_04</v>
      </c>
      <c r="E327" s="512" t="str">
        <f>"R"&amp;LEFT('RSD (DEA)'!AD136,2)&amp;IF(ISNUMBER(IFERROR(FIND("HTH",'RSD (DEA)'!Z136),IFERROR(FIND("HP",'RSD (DEA)'!Z136),"C"))),IF(IFERROR(FIND("HTH",'RSD (DEA)'!Z136),100)=100,"B","A"),"C")</f>
        <v>RAPB</v>
      </c>
      <c r="F327" s="515"/>
      <c r="G327" s="515"/>
      <c r="H327" s="540" t="str">
        <f t="shared" si="7"/>
        <v>RHAPB_HP_ELC_15</v>
      </c>
      <c r="I327" s="512" t="str">
        <f>'RSD (DEA)'!AA136</f>
        <v>Electric heat pumps, Brine-to-water (ground source)</v>
      </c>
      <c r="J327" s="242" t="s">
        <v>239</v>
      </c>
      <c r="K327" s="242" t="s">
        <v>240</v>
      </c>
      <c r="L327" s="512" t="str">
        <f>'RSD (DEA)'!AH136</f>
        <v>RSDELC</v>
      </c>
      <c r="M327" s="182" t="str">
        <f>'RSD (DEA)'!AI136</f>
        <v>RSDGEO</v>
      </c>
      <c r="N327" s="235" t="str">
        <f>LEFT('RSD (DEA)'!AJ136,2)&amp;RIGHT(E327,3)</f>
        <v>RHAPB</v>
      </c>
      <c r="O327" s="244"/>
      <c r="P327" s="182">
        <f>IF('RSD (DEA)'!P136&lt;RSD_HeatingDemand!$AH$15,RSD_HeatingDemand!$AH$15,'RSD (DEA)'!P136)</f>
        <v>2019</v>
      </c>
      <c r="Q327" s="182">
        <f>IF('RSD (DEA)'!X136&lt;RSD_HeatingDemand!$AH$15,RSD_HeatingDemand!$AH$15,'RSD (DEA)'!X136)</f>
        <v>2030</v>
      </c>
      <c r="R327" s="525">
        <f>IF(ISBLANK(I327),IF(MID(N327,2,2)="HA",VLOOKUP(I326,KEY_RSD_AF!$C$5:$G$52,2,FALSE),IF(MID(N327,2,2)="WA",VLOOKUP(I326,KEY_RSD_AF!$C$5:$G$52,3,FALSE),IF(MID(N327,2,2)="HH",VLOOKUP(I326,KEY_RSD_AF!$C$5:$G$52,4,FALSE),IF(MID(N327,2,2)="WH",VLOOKUP(I326,KEY_RSD_AF!$C$5:$G$52,5,FALSE))))),IF(MID(N327,2,2)="HA",VLOOKUP(I327,KEY_RSD_AF!$C$5:$G$52,2,FALSE),IF(MID(N327,2,2)="WA",VLOOKUP(I327,KEY_RSD_AF!$C$5:$G$52,3,FALSE),IF(MID(N327,2,2)="HH",VLOOKUP(I327,KEY_RSD_AF!$C$5:$G$52,4,FALSE),IF(MID(N327,2,2)="WH",VLOOKUP(I327,KEY_RSD_AF!$C$5:$G$52,5,FALSE))))))</f>
        <v>1</v>
      </c>
      <c r="S327" s="183">
        <f>'RSD (DEA)'!AZ136</f>
        <v>4.5</v>
      </c>
      <c r="T327" s="183">
        <f>'RSD (DEA)'!BA136</f>
        <v>5.2</v>
      </c>
      <c r="U327" s="183">
        <v>0.5</v>
      </c>
      <c r="V327" s="182">
        <f>'RSD (DEA)'!BR136/'RSD (DEA)'!S136</f>
        <v>11.6625</v>
      </c>
      <c r="W327" s="184">
        <f>'RSD (DEA)'!BS136/RSD_HeatingDemand!$AH$9</f>
        <v>0.12291666666666666</v>
      </c>
      <c r="X327" s="183">
        <f>'RSD (DEA)'!BK136*RSD_HeatingDemand!$AH$10/'RSD (DEA)'!S136</f>
        <v>500</v>
      </c>
      <c r="Y327" s="182">
        <f>'RSD (DEA)'!BI136</f>
        <v>20</v>
      </c>
      <c r="Z327" s="252" t="str">
        <f>IF(ISBLANK(O327),"",IF(O327="ACT",1,-1))</f>
        <v/>
      </c>
      <c r="AA327" s="236">
        <f>'RSD (DEA)'!AM136</f>
        <v>31.536000000000001</v>
      </c>
      <c r="AC327" s="235">
        <f>'RSD (DEA)'!S136</f>
        <v>160</v>
      </c>
      <c r="AD327" s="235" t="str">
        <f>LEFT('RSD (DEA)'!AK136,2)&amp;RIGHT(E327,3)</f>
        <v>RWAPB</v>
      </c>
      <c r="AE327" s="183">
        <f>'RSD (DEA)'!BA136</f>
        <v>5.2</v>
      </c>
      <c r="AF327" s="183"/>
    </row>
    <row r="328" spans="1:32" x14ac:dyDescent="0.3">
      <c r="A328" s="235"/>
      <c r="D328" s="512"/>
      <c r="E328" s="512"/>
      <c r="F328" s="515"/>
      <c r="G328" s="515"/>
      <c r="H328" s="540"/>
      <c r="I328" s="512"/>
      <c r="J328" s="242"/>
      <c r="K328" s="242"/>
      <c r="L328" s="512"/>
      <c r="M328" s="182"/>
      <c r="N328" s="318" t="str">
        <f>AD327</f>
        <v>RWAPB</v>
      </c>
      <c r="O328" s="244"/>
      <c r="P328" s="182"/>
      <c r="Q328" s="182"/>
      <c r="R328" s="525">
        <f>IF(ISBLANK(I328),IF(MID(N328,2,2)="HA",VLOOKUP(I327,KEY_RSD_AF!$C$5:$G$52,2,FALSE),IF(MID(N328,2,2)="WA",VLOOKUP(I327,KEY_RSD_AF!$C$5:$G$52,3,FALSE),IF(MID(N328,2,2)="HH",VLOOKUP(I327,KEY_RSD_AF!$C$5:$G$52,4,FALSE),IF(MID(N328,2,2)="WH",VLOOKUP(I327,KEY_RSD_AF!$C$5:$G$52,5,FALSE))))),IF(MID(N328,2,2)="HA",VLOOKUP(I328,KEY_RSD_AF!$C$5:$G$52,2,FALSE),IF(MID(N328,2,2)="WA",VLOOKUP(I328,KEY_RSD_AF!$C$5:$G$52,3,FALSE),IF(MID(N328,2,2)="HH",VLOOKUP(I328,KEY_RSD_AF!$C$5:$G$52,4,FALSE),IF(MID(N328,2,2)="WH",VLOOKUP(I328,KEY_RSD_AF!$C$5:$G$52,5,FALSE))))))</f>
        <v>1</v>
      </c>
      <c r="S328" s="503">
        <f>T327</f>
        <v>5.2</v>
      </c>
      <c r="T328" s="183"/>
      <c r="U328" s="183"/>
      <c r="V328" s="182"/>
      <c r="W328" s="184"/>
      <c r="X328" s="183"/>
      <c r="Y328" s="182"/>
      <c r="Z328" s="252"/>
      <c r="AA328" s="236"/>
      <c r="AC328" s="235"/>
      <c r="AD328" s="235"/>
      <c r="AE328" s="183"/>
      <c r="AF328" s="183"/>
    </row>
    <row r="329" spans="1:32" x14ac:dyDescent="0.3">
      <c r="A329" s="244"/>
      <c r="D329" s="512"/>
      <c r="E329" s="513"/>
      <c r="F329" s="515"/>
      <c r="G329" s="515"/>
      <c r="H329" s="540"/>
      <c r="I329" s="513"/>
      <c r="J329" s="255"/>
      <c r="K329" s="255"/>
      <c r="L329" s="513"/>
      <c r="M329" s="252" t="str">
        <f>M327</f>
        <v>RSDGEO</v>
      </c>
      <c r="N329" s="244"/>
      <c r="O329" s="244" t="str">
        <f>$AH$12</f>
        <v>ACT</v>
      </c>
      <c r="P329" s="252"/>
      <c r="Q329" s="252"/>
      <c r="R329" s="525"/>
      <c r="S329" s="256"/>
      <c r="T329" s="256"/>
      <c r="U329" s="183"/>
      <c r="V329" s="252"/>
      <c r="W329" s="524"/>
      <c r="X329" s="256"/>
      <c r="Y329" s="252"/>
      <c r="Z329" s="252">
        <f>IF(ISBLANK(O329),"",IF(O329="ACT",1,-1))</f>
        <v>1</v>
      </c>
      <c r="AA329" s="257"/>
      <c r="AC329" s="244"/>
      <c r="AD329" s="244"/>
      <c r="AE329" s="256"/>
      <c r="AF329" s="256"/>
    </row>
    <row r="330" spans="1:32" x14ac:dyDescent="0.3">
      <c r="A330" s="244"/>
      <c r="D330" s="512"/>
      <c r="E330" s="513"/>
      <c r="F330" s="515"/>
      <c r="G330" s="515"/>
      <c r="H330" s="540"/>
      <c r="I330" s="513"/>
      <c r="J330" s="255"/>
      <c r="K330" s="255"/>
      <c r="L330" s="513"/>
      <c r="M330" s="252" t="str">
        <f>M329</f>
        <v>RSDGEO</v>
      </c>
      <c r="N330" s="244"/>
      <c r="O330" s="244" t="str">
        <f>L327</f>
        <v>RSDELC</v>
      </c>
      <c r="P330" s="252"/>
      <c r="Q330" s="252"/>
      <c r="R330" s="525"/>
      <c r="S330" s="256"/>
      <c r="T330" s="256"/>
      <c r="U330" s="183"/>
      <c r="V330" s="252"/>
      <c r="W330" s="524"/>
      <c r="X330" s="256"/>
      <c r="Y330" s="252"/>
      <c r="Z330" s="252">
        <f>IF(ISBLANK(O330),"",IF(O330="ACT",1,-1))</f>
        <v>-1</v>
      </c>
      <c r="AA330" s="257"/>
      <c r="AC330" s="244"/>
      <c r="AD330" s="244"/>
      <c r="AE330" s="256"/>
      <c r="AF330" s="256"/>
    </row>
    <row r="331" spans="1:32" x14ac:dyDescent="0.3">
      <c r="A331" s="235"/>
      <c r="C331" s="528" t="str">
        <f>'RSD (DEA)'!Z137</f>
        <v>HP_ELC_10</v>
      </c>
      <c r="D331" s="512" t="str">
        <f>RSD_HeatingDemand!N331&amp;"_"&amp;LEFT(C331,LEN(C331)-2)&amp;"04"</f>
        <v>RHAPB_HP_ELC_04</v>
      </c>
      <c r="E331" s="512" t="str">
        <f>"R"&amp;LEFT('RSD (DEA)'!AD137,2)&amp;IF(ISNUMBER(IFERROR(FIND("HTH",'RSD (DEA)'!Z137),IFERROR(FIND("HP",'RSD (DEA)'!Z137),"C"))),IF(IFERROR(FIND("HTH",'RSD (DEA)'!Z137),100)=100,"B","A"),"C")</f>
        <v>RAPB</v>
      </c>
      <c r="F331" s="515"/>
      <c r="G331" s="515"/>
      <c r="H331" s="540" t="str">
        <f t="shared" si="7"/>
        <v>RHAPB_HP_ELC_16</v>
      </c>
      <c r="I331" s="512" t="str">
        <f>'RSD (DEA)'!AA137</f>
        <v>Electric heat pumps, Brine-to-water (ground source)</v>
      </c>
      <c r="J331" s="242" t="s">
        <v>239</v>
      </c>
      <c r="K331" s="242" t="s">
        <v>240</v>
      </c>
      <c r="L331" s="512" t="str">
        <f>'RSD (DEA)'!AH137</f>
        <v>RSDELC</v>
      </c>
      <c r="M331" s="182" t="str">
        <f>'RSD (DEA)'!AI137</f>
        <v>RSDGEO</v>
      </c>
      <c r="N331" s="235" t="str">
        <f>LEFT('RSD (DEA)'!AJ137,2)&amp;RIGHT(E331,3)</f>
        <v>RHAPB</v>
      </c>
      <c r="O331" s="244"/>
      <c r="P331" s="182">
        <f>IF('RSD (DEA)'!P137&lt;RSD_HeatingDemand!$AH$15,RSD_HeatingDemand!$AH$15,'RSD (DEA)'!P137)</f>
        <v>2019</v>
      </c>
      <c r="Q331" s="182">
        <f>IF('RSD (DEA)'!X137&lt;RSD_HeatingDemand!$AH$15,RSD_HeatingDemand!$AH$15,'RSD (DEA)'!X137)</f>
        <v>2050</v>
      </c>
      <c r="R331" s="525">
        <f>IF(ISBLANK(I331),IF(MID(N331,2,2)="HA",VLOOKUP(I330,KEY_RSD_AF!$C$5:$G$52,2,FALSE),IF(MID(N331,2,2)="WA",VLOOKUP(I330,KEY_RSD_AF!$C$5:$G$52,3,FALSE),IF(MID(N331,2,2)="HH",VLOOKUP(I330,KEY_RSD_AF!$C$5:$G$52,4,FALSE),IF(MID(N331,2,2)="WH",VLOOKUP(I330,KEY_RSD_AF!$C$5:$G$52,5,FALSE))))),IF(MID(N331,2,2)="HA",VLOOKUP(I331,KEY_RSD_AF!$C$5:$G$52,2,FALSE),IF(MID(N331,2,2)="WA",VLOOKUP(I331,KEY_RSD_AF!$C$5:$G$52,3,FALSE),IF(MID(N331,2,2)="HH",VLOOKUP(I331,KEY_RSD_AF!$C$5:$G$52,4,FALSE),IF(MID(N331,2,2)="WH",VLOOKUP(I331,KEY_RSD_AF!$C$5:$G$52,5,FALSE))))))</f>
        <v>1</v>
      </c>
      <c r="S331" s="183">
        <f>'RSD (DEA)'!AZ137</f>
        <v>4.5999999999999996</v>
      </c>
      <c r="T331" s="183">
        <f>'RSD (DEA)'!BA137</f>
        <v>5.4</v>
      </c>
      <c r="U331" s="183">
        <v>0.5</v>
      </c>
      <c r="V331" s="182">
        <f>'RSD (DEA)'!BR137/'RSD (DEA)'!S137</f>
        <v>15.06875</v>
      </c>
      <c r="W331" s="184">
        <f>'RSD (DEA)'!BS137/RSD_HeatingDemand!$AH$9</f>
        <v>0.12291666666666666</v>
      </c>
      <c r="X331" s="183">
        <f>'RSD (DEA)'!BK137*RSD_HeatingDemand!$AH$10/'RSD (DEA)'!S137</f>
        <v>450</v>
      </c>
      <c r="Y331" s="182">
        <f>'RSD (DEA)'!BI137</f>
        <v>20</v>
      </c>
      <c r="Z331" s="252" t="str">
        <f>IF(ISBLANK(O331),"",IF(O331="ACT",1,-1))</f>
        <v/>
      </c>
      <c r="AA331" s="236">
        <f>'RSD (DEA)'!AM137</f>
        <v>31.536000000000001</v>
      </c>
      <c r="AC331" s="235">
        <f>'RSD (DEA)'!S137</f>
        <v>160</v>
      </c>
      <c r="AD331" s="235" t="str">
        <f>LEFT('RSD (DEA)'!AK137,2)&amp;RIGHT(E331,3)</f>
        <v>RWAPB</v>
      </c>
      <c r="AE331" s="183">
        <f>'RSD (DEA)'!BA137</f>
        <v>5.4</v>
      </c>
      <c r="AF331" s="183"/>
    </row>
    <row r="332" spans="1:32" x14ac:dyDescent="0.3">
      <c r="A332" s="235"/>
      <c r="D332" s="512"/>
      <c r="E332" s="512"/>
      <c r="F332" s="515"/>
      <c r="G332" s="515"/>
      <c r="H332" s="540"/>
      <c r="I332" s="512"/>
      <c r="J332" s="242"/>
      <c r="K332" s="242"/>
      <c r="L332" s="512"/>
      <c r="M332" s="182"/>
      <c r="N332" s="318" t="str">
        <f>AD331</f>
        <v>RWAPB</v>
      </c>
      <c r="O332" s="244"/>
      <c r="P332" s="182"/>
      <c r="Q332" s="182"/>
      <c r="R332" s="525">
        <f>IF(ISBLANK(I332),IF(MID(N332,2,2)="HA",VLOOKUP(I331,KEY_RSD_AF!$C$5:$G$52,2,FALSE),IF(MID(N332,2,2)="WA",VLOOKUP(I331,KEY_RSD_AF!$C$5:$G$52,3,FALSE),IF(MID(N332,2,2)="HH",VLOOKUP(I331,KEY_RSD_AF!$C$5:$G$52,4,FALSE),IF(MID(N332,2,2)="WH",VLOOKUP(I331,KEY_RSD_AF!$C$5:$G$52,5,FALSE))))),IF(MID(N332,2,2)="HA",VLOOKUP(I332,KEY_RSD_AF!$C$5:$G$52,2,FALSE),IF(MID(N332,2,2)="WA",VLOOKUP(I332,KEY_RSD_AF!$C$5:$G$52,3,FALSE),IF(MID(N332,2,2)="HH",VLOOKUP(I332,KEY_RSD_AF!$C$5:$G$52,4,FALSE),IF(MID(N332,2,2)="WH",VLOOKUP(I332,KEY_RSD_AF!$C$5:$G$52,5,FALSE))))))</f>
        <v>1</v>
      </c>
      <c r="S332" s="503">
        <f>T331</f>
        <v>5.4</v>
      </c>
      <c r="T332" s="183"/>
      <c r="U332" s="183"/>
      <c r="V332" s="182"/>
      <c r="W332" s="184"/>
      <c r="X332" s="183"/>
      <c r="Y332" s="182"/>
      <c r="Z332" s="252"/>
      <c r="AA332" s="236"/>
      <c r="AC332" s="235"/>
      <c r="AD332" s="235"/>
      <c r="AE332" s="183"/>
      <c r="AF332" s="183"/>
    </row>
    <row r="333" spans="1:32" x14ac:dyDescent="0.3">
      <c r="A333" s="244"/>
      <c r="D333" s="512"/>
      <c r="E333" s="513"/>
      <c r="F333" s="515"/>
      <c r="G333" s="515"/>
      <c r="H333" s="540"/>
      <c r="I333" s="513"/>
      <c r="J333" s="255"/>
      <c r="K333" s="255"/>
      <c r="L333" s="513"/>
      <c r="M333" s="252" t="str">
        <f>M331</f>
        <v>RSDGEO</v>
      </c>
      <c r="N333" s="244"/>
      <c r="O333" s="244" t="str">
        <f>$AH$12</f>
        <v>ACT</v>
      </c>
      <c r="P333" s="252"/>
      <c r="Q333" s="252"/>
      <c r="R333" s="525"/>
      <c r="S333" s="256"/>
      <c r="T333" s="256"/>
      <c r="U333" s="183"/>
      <c r="V333" s="252"/>
      <c r="W333" s="524"/>
      <c r="X333" s="256"/>
      <c r="Y333" s="252"/>
      <c r="Z333" s="252">
        <f>IF(ISBLANK(O333),"",IF(O333="ACT",1,-1))</f>
        <v>1</v>
      </c>
      <c r="AA333" s="257"/>
      <c r="AC333" s="244"/>
      <c r="AD333" s="244"/>
      <c r="AE333" s="256"/>
      <c r="AF333" s="256"/>
    </row>
    <row r="334" spans="1:32" x14ac:dyDescent="0.3">
      <c r="A334" s="244"/>
      <c r="D334" s="512"/>
      <c r="E334" s="513"/>
      <c r="F334" s="515"/>
      <c r="G334" s="515"/>
      <c r="H334" s="540"/>
      <c r="I334" s="513"/>
      <c r="J334" s="255"/>
      <c r="K334" s="255"/>
      <c r="L334" s="513"/>
      <c r="M334" s="252" t="str">
        <f>M333</f>
        <v>RSDGEO</v>
      </c>
      <c r="N334" s="244"/>
      <c r="O334" s="244" t="str">
        <f>L331</f>
        <v>RSDELC</v>
      </c>
      <c r="P334" s="252"/>
      <c r="Q334" s="252"/>
      <c r="R334" s="525"/>
      <c r="S334" s="256"/>
      <c r="T334" s="256"/>
      <c r="U334" s="183"/>
      <c r="V334" s="252"/>
      <c r="W334" s="524"/>
      <c r="X334" s="256"/>
      <c r="Y334" s="252"/>
      <c r="Z334" s="252">
        <f>IF(ISBLANK(O334),"",IF(O334="ACT",1,-1))</f>
        <v>-1</v>
      </c>
      <c r="AA334" s="257"/>
      <c r="AC334" s="244"/>
      <c r="AD334" s="244"/>
      <c r="AE334" s="256"/>
      <c r="AF334" s="256"/>
    </row>
    <row r="335" spans="1:32" x14ac:dyDescent="0.3">
      <c r="A335" s="235"/>
      <c r="C335" s="528" t="str">
        <f>'RSD (DEA)'!Z138</f>
        <v>HP_ELC_03</v>
      </c>
      <c r="D335" s="512" t="str">
        <f>RSD_HeatingDemand!N335&amp;"_"&amp;LEFT(C335,LEN(C335)-2)&amp;"07"</f>
        <v>RHHSB_HP_ELC_07</v>
      </c>
      <c r="E335" s="512" t="str">
        <f>"R"&amp;LEFT('RSD (DEA)'!AD138,2)&amp;IF(ISNUMBER(IFERROR(FIND("HTH",'RSD (DEA)'!Z138),IFERROR(FIND("HP",'RSD (DEA)'!Z138),"C"))),IF(IFERROR(FIND("HTH",'RSD (DEA)'!Z138),100)=100,"B","A"),"C")</f>
        <v>RHSB</v>
      </c>
      <c r="F335" s="515"/>
      <c r="G335" s="515"/>
      <c r="H335" s="540" t="str">
        <f>IF(LEFT(D335,LEN(D335)-2)=LEFT(D299,LEN(D335)-2),LEFT(D335,LEN(D335)-2)&amp;IF(RIGHT(H299,2)+1&lt;=9,"0"&amp;RIGHT(H299)+1,RIGHT(H299,2)+1),D335)</f>
        <v>RHHSB_HP_ELC_25</v>
      </c>
      <c r="I335" s="512" t="str">
        <f>'RSD (DEA)'!AA138</f>
        <v>Electric heat pumps, Air-to-water</v>
      </c>
      <c r="J335" s="242" t="s">
        <v>239</v>
      </c>
      <c r="K335" s="242" t="s">
        <v>240</v>
      </c>
      <c r="L335" s="512" t="str">
        <f>'RSD (DEA)'!AH138</f>
        <v>RSDELC</v>
      </c>
      <c r="M335" s="182" t="str">
        <f>'RSD (DEA)'!AI138</f>
        <v>RSDAHT</v>
      </c>
      <c r="N335" s="235" t="str">
        <f>LEFT('RSD (DEA)'!AJ138,2)&amp;RIGHT(E335,3)</f>
        <v>RHHSB</v>
      </c>
      <c r="O335" s="244"/>
      <c r="P335" s="182">
        <f>IF('RSD (DEA)'!P138&lt;RSD_HeatingDemand!$AH$15,RSD_HeatingDemand!$AH$15,'RSD (DEA)'!P138)</f>
        <v>2019</v>
      </c>
      <c r="Q335" s="182">
        <f>IF('RSD (DEA)'!X138&lt;RSD_HeatingDemand!$AH$15,RSD_HeatingDemand!$AH$15,'RSD (DEA)'!X138)</f>
        <v>2019</v>
      </c>
      <c r="R335" s="525">
        <f>IF(ISBLANK(I335),IF(MID(N335,2,2)="HA",VLOOKUP(I334,KEY_RSD_AF!$C$5:$G$52,2,FALSE),IF(MID(N335,2,2)="WA",VLOOKUP(I334,KEY_RSD_AF!$C$5:$G$52,3,FALSE),IF(MID(N335,2,2)="HH",VLOOKUP(I334,KEY_RSD_AF!$C$5:$G$52,4,FALSE),IF(MID(N335,2,2)="WH",VLOOKUP(I334,KEY_RSD_AF!$C$5:$G$52,5,FALSE))))),IF(MID(N335,2,2)="HA",VLOOKUP(I335,KEY_RSD_AF!$C$5:$G$52,2,FALSE),IF(MID(N335,2,2)="WA",VLOOKUP(I335,KEY_RSD_AF!$C$5:$G$52,3,FALSE),IF(MID(N335,2,2)="HH",VLOOKUP(I335,KEY_RSD_AF!$C$5:$G$52,4,FALSE),IF(MID(N335,2,2)="WH",VLOOKUP(I335,KEY_RSD_AF!$C$5:$G$52,5,FALSE))))))</f>
        <v>1</v>
      </c>
      <c r="S335" s="183">
        <f>'RSD (DEA)'!AZ138</f>
        <v>3.25</v>
      </c>
      <c r="T335" s="183">
        <f>'RSD (DEA)'!BA138</f>
        <v>3.3</v>
      </c>
      <c r="U335" s="183">
        <v>0.5</v>
      </c>
      <c r="V335" s="182">
        <f>'RSD (DEA)'!BR138/'RSD (DEA)'!S138</f>
        <v>29.1</v>
      </c>
      <c r="W335" s="184">
        <f>'RSD (DEA)'!BS138/RSD_HeatingDemand!$AH$9</f>
        <v>0</v>
      </c>
      <c r="X335" s="183">
        <f>'RSD (DEA)'!BK138*RSD_HeatingDemand!$AH$10/'RSD (DEA)'!S138</f>
        <v>1000</v>
      </c>
      <c r="Y335" s="182">
        <f>'RSD (DEA)'!BI138</f>
        <v>18</v>
      </c>
      <c r="Z335" s="252" t="str">
        <f>IF(ISBLANK(O335),"",IF(O335="ACT",1,-1))</f>
        <v/>
      </c>
      <c r="AA335" s="236">
        <f>'RSD (DEA)'!AM138</f>
        <v>31.536000000000001</v>
      </c>
      <c r="AC335" s="235">
        <f>'RSD (DEA)'!S138</f>
        <v>10</v>
      </c>
      <c r="AD335" s="235" t="str">
        <f>LEFT('RSD (DEA)'!AK138,2)&amp;RIGHT(E335,3)</f>
        <v>RWHSB</v>
      </c>
      <c r="AE335" s="183">
        <f>'RSD (DEA)'!BA138</f>
        <v>3.3</v>
      </c>
      <c r="AF335" s="183"/>
    </row>
    <row r="336" spans="1:32" x14ac:dyDescent="0.3">
      <c r="A336" s="235"/>
      <c r="D336" s="512"/>
      <c r="E336" s="512"/>
      <c r="F336" s="515"/>
      <c r="G336" s="515"/>
      <c r="H336" s="540"/>
      <c r="I336" s="512"/>
      <c r="J336" s="242"/>
      <c r="K336" s="242"/>
      <c r="L336" s="512"/>
      <c r="M336" s="182"/>
      <c r="N336" s="318" t="str">
        <f>AD335</f>
        <v>RWHSB</v>
      </c>
      <c r="O336" s="244"/>
      <c r="P336" s="182"/>
      <c r="Q336" s="182"/>
      <c r="R336" s="525">
        <f>IF(ISBLANK(I336),IF(MID(N336,2,2)="HA",VLOOKUP(I335,KEY_RSD_AF!$C$5:$G$52,2,FALSE),IF(MID(N336,2,2)="WA",VLOOKUP(I335,KEY_RSD_AF!$C$5:$G$52,3,FALSE),IF(MID(N336,2,2)="HH",VLOOKUP(I335,KEY_RSD_AF!$C$5:$G$52,4,FALSE),IF(MID(N336,2,2)="WH",VLOOKUP(I335,KEY_RSD_AF!$C$5:$G$52,5,FALSE))))),IF(MID(N336,2,2)="HA",VLOOKUP(I336,KEY_RSD_AF!$C$5:$G$52,2,FALSE),IF(MID(N336,2,2)="WA",VLOOKUP(I336,KEY_RSD_AF!$C$5:$G$52,3,FALSE),IF(MID(N336,2,2)="HH",VLOOKUP(I336,KEY_RSD_AF!$C$5:$G$52,4,FALSE),IF(MID(N336,2,2)="WH",VLOOKUP(I336,KEY_RSD_AF!$C$5:$G$52,5,FALSE))))))</f>
        <v>1</v>
      </c>
      <c r="S336" s="503">
        <f>T335</f>
        <v>3.3</v>
      </c>
      <c r="T336" s="183"/>
      <c r="U336" s="183"/>
      <c r="V336" s="182"/>
      <c r="W336" s="184"/>
      <c r="X336" s="183"/>
      <c r="Y336" s="182"/>
      <c r="Z336" s="252"/>
      <c r="AA336" s="236"/>
      <c r="AC336" s="235"/>
      <c r="AD336" s="235"/>
      <c r="AE336" s="183"/>
      <c r="AF336" s="183"/>
    </row>
    <row r="337" spans="1:32" x14ac:dyDescent="0.3">
      <c r="A337" s="244"/>
      <c r="D337" s="512"/>
      <c r="E337" s="513"/>
      <c r="F337" s="515"/>
      <c r="G337" s="515"/>
      <c r="H337" s="540"/>
      <c r="I337" s="513"/>
      <c r="J337" s="255"/>
      <c r="K337" s="255"/>
      <c r="L337" s="513"/>
      <c r="M337" s="252" t="str">
        <f>M335</f>
        <v>RSDAHT</v>
      </c>
      <c r="N337" s="244"/>
      <c r="O337" s="244" t="str">
        <f>$AH$12</f>
        <v>ACT</v>
      </c>
      <c r="P337" s="252"/>
      <c r="Q337" s="252"/>
      <c r="R337" s="525"/>
      <c r="S337" s="256"/>
      <c r="T337" s="256"/>
      <c r="U337" s="183"/>
      <c r="V337" s="252"/>
      <c r="W337" s="524"/>
      <c r="X337" s="256"/>
      <c r="Y337" s="252"/>
      <c r="Z337" s="252">
        <f>IF(ISBLANK(O337),"",IF(O337="ACT",1,-1))</f>
        <v>1</v>
      </c>
      <c r="AA337" s="257"/>
      <c r="AC337" s="244"/>
      <c r="AD337" s="244"/>
      <c r="AE337" s="256"/>
      <c r="AF337" s="256"/>
    </row>
    <row r="338" spans="1:32" x14ac:dyDescent="0.3">
      <c r="A338" s="244"/>
      <c r="D338" s="512"/>
      <c r="E338" s="513"/>
      <c r="F338" s="515"/>
      <c r="G338" s="515"/>
      <c r="H338" s="540"/>
      <c r="I338" s="513"/>
      <c r="J338" s="255"/>
      <c r="K338" s="255"/>
      <c r="L338" s="513"/>
      <c r="M338" s="252" t="str">
        <f>M337</f>
        <v>RSDAHT</v>
      </c>
      <c r="N338" s="244"/>
      <c r="O338" s="244" t="str">
        <f>L335</f>
        <v>RSDELC</v>
      </c>
      <c r="P338" s="252"/>
      <c r="Q338" s="252"/>
      <c r="R338" s="525"/>
      <c r="S338" s="256"/>
      <c r="T338" s="256"/>
      <c r="U338" s="183"/>
      <c r="V338" s="252"/>
      <c r="W338" s="524"/>
      <c r="X338" s="256"/>
      <c r="Y338" s="252"/>
      <c r="Z338" s="252">
        <f>IF(ISBLANK(O338),"",IF(O338="ACT",1,-1))</f>
        <v>-1</v>
      </c>
      <c r="AA338" s="257"/>
      <c r="AC338" s="244"/>
      <c r="AD338" s="244"/>
      <c r="AE338" s="256"/>
      <c r="AF338" s="256"/>
    </row>
    <row r="339" spans="1:32" x14ac:dyDescent="0.3">
      <c r="A339" s="235"/>
      <c r="C339" s="528" t="str">
        <f>'RSD (DEA)'!Z139</f>
        <v>HP_ELC_03</v>
      </c>
      <c r="D339" s="512" t="str">
        <f>RSD_HeatingDemand!N339&amp;"_"&amp;LEFT(C339,LEN(C339)-2)&amp;"07"</f>
        <v>RHHSB_HP_ELC_07</v>
      </c>
      <c r="E339" s="512" t="str">
        <f>"R"&amp;LEFT('RSD (DEA)'!AD139,2)&amp;IF(ISNUMBER(IFERROR(FIND("HTH",'RSD (DEA)'!Z139),IFERROR(FIND("HP",'RSD (DEA)'!Z139),"C"))),IF(IFERROR(FIND("HTH",'RSD (DEA)'!Z139),100)=100,"B","A"),"C")</f>
        <v>RHSB</v>
      </c>
      <c r="F339" s="515"/>
      <c r="G339" s="515"/>
      <c r="H339" s="540" t="str">
        <f t="shared" si="7"/>
        <v>RHHSB_HP_ELC_26</v>
      </c>
      <c r="I339" s="512" t="str">
        <f>'RSD (DEA)'!AA139</f>
        <v>Electric heat pumps, Air-to-water</v>
      </c>
      <c r="J339" s="242" t="s">
        <v>239</v>
      </c>
      <c r="K339" s="242" t="s">
        <v>240</v>
      </c>
      <c r="L339" s="512" t="str">
        <f>'RSD (DEA)'!AH139</f>
        <v>RSDELC</v>
      </c>
      <c r="M339" s="182" t="str">
        <f>'RSD (DEA)'!AI139</f>
        <v>RSDAHT</v>
      </c>
      <c r="N339" s="235" t="str">
        <f>LEFT('RSD (DEA)'!AJ139,2)&amp;RIGHT(E339,3)</f>
        <v>RHHSB</v>
      </c>
      <c r="O339" s="244"/>
      <c r="P339" s="182">
        <f>IF('RSD (DEA)'!P139&lt;RSD_HeatingDemand!$AH$15,RSD_HeatingDemand!$AH$15,'RSD (DEA)'!P139)</f>
        <v>2019</v>
      </c>
      <c r="Q339" s="182">
        <f>IF('RSD (DEA)'!X139&lt;RSD_HeatingDemand!$AH$15,RSD_HeatingDemand!$AH$15,'RSD (DEA)'!X139)</f>
        <v>2020</v>
      </c>
      <c r="R339" s="525">
        <f>IF(ISBLANK(I339),IF(MID(N339,2,2)="HA",VLOOKUP(I338,KEY_RSD_AF!$C$5:$G$52,2,FALSE),IF(MID(N339,2,2)="WA",VLOOKUP(I338,KEY_RSD_AF!$C$5:$G$52,3,FALSE),IF(MID(N339,2,2)="HH",VLOOKUP(I338,KEY_RSD_AF!$C$5:$G$52,4,FALSE),IF(MID(N339,2,2)="WH",VLOOKUP(I338,KEY_RSD_AF!$C$5:$G$52,5,FALSE))))),IF(MID(N339,2,2)="HA",VLOOKUP(I339,KEY_RSD_AF!$C$5:$G$52,2,FALSE),IF(MID(N339,2,2)="WA",VLOOKUP(I339,KEY_RSD_AF!$C$5:$G$52,3,FALSE),IF(MID(N339,2,2)="HH",VLOOKUP(I339,KEY_RSD_AF!$C$5:$G$52,4,FALSE),IF(MID(N339,2,2)="WH",VLOOKUP(I339,KEY_RSD_AF!$C$5:$G$52,5,FALSE))))))</f>
        <v>1</v>
      </c>
      <c r="S339" s="183">
        <f>'RSD (DEA)'!AZ139</f>
        <v>3.35</v>
      </c>
      <c r="T339" s="183">
        <f>'RSD (DEA)'!BA139</f>
        <v>3.4</v>
      </c>
      <c r="U339" s="183">
        <v>0.5</v>
      </c>
      <c r="V339" s="182">
        <f>'RSD (DEA)'!BR139/'RSD (DEA)'!S139</f>
        <v>27.8</v>
      </c>
      <c r="W339" s="184">
        <f>'RSD (DEA)'!BS139/RSD_HeatingDemand!$AH$9</f>
        <v>0</v>
      </c>
      <c r="X339" s="183">
        <f>'RSD (DEA)'!BK139*RSD_HeatingDemand!$AH$10/'RSD (DEA)'!S139</f>
        <v>900</v>
      </c>
      <c r="Y339" s="182">
        <f>'RSD (DEA)'!BI139</f>
        <v>18</v>
      </c>
      <c r="Z339" s="252" t="str">
        <f>IF(ISBLANK(O339),"",IF(O339="ACT",1,-1))</f>
        <v/>
      </c>
      <c r="AA339" s="236">
        <f>'RSD (DEA)'!AM139</f>
        <v>31.536000000000001</v>
      </c>
      <c r="AC339" s="235">
        <f>'RSD (DEA)'!S139</f>
        <v>10</v>
      </c>
      <c r="AD339" s="235" t="str">
        <f>LEFT('RSD (DEA)'!AK139,2)&amp;RIGHT(E339,3)</f>
        <v>RWHSB</v>
      </c>
      <c r="AE339" s="183">
        <f>'RSD (DEA)'!BA139</f>
        <v>3.4</v>
      </c>
      <c r="AF339" s="183"/>
    </row>
    <row r="340" spans="1:32" x14ac:dyDescent="0.3">
      <c r="A340" s="235"/>
      <c r="D340" s="512"/>
      <c r="E340" s="512"/>
      <c r="F340" s="515"/>
      <c r="G340" s="515"/>
      <c r="H340" s="540"/>
      <c r="I340" s="512"/>
      <c r="J340" s="242"/>
      <c r="K340" s="242"/>
      <c r="L340" s="512"/>
      <c r="M340" s="182"/>
      <c r="N340" s="318" t="str">
        <f>AD339</f>
        <v>RWHSB</v>
      </c>
      <c r="O340" s="244"/>
      <c r="P340" s="182"/>
      <c r="Q340" s="182"/>
      <c r="R340" s="525">
        <f>IF(ISBLANK(I340),IF(MID(N340,2,2)="HA",VLOOKUP(I339,KEY_RSD_AF!$C$5:$G$52,2,FALSE),IF(MID(N340,2,2)="WA",VLOOKUP(I339,KEY_RSD_AF!$C$5:$G$52,3,FALSE),IF(MID(N340,2,2)="HH",VLOOKUP(I339,KEY_RSD_AF!$C$5:$G$52,4,FALSE),IF(MID(N340,2,2)="WH",VLOOKUP(I339,KEY_RSD_AF!$C$5:$G$52,5,FALSE))))),IF(MID(N340,2,2)="HA",VLOOKUP(I340,KEY_RSD_AF!$C$5:$G$52,2,FALSE),IF(MID(N340,2,2)="WA",VLOOKUP(I340,KEY_RSD_AF!$C$5:$G$52,3,FALSE),IF(MID(N340,2,2)="HH",VLOOKUP(I340,KEY_RSD_AF!$C$5:$G$52,4,FALSE),IF(MID(N340,2,2)="WH",VLOOKUP(I340,KEY_RSD_AF!$C$5:$G$52,5,FALSE))))))</f>
        <v>1</v>
      </c>
      <c r="S340" s="503">
        <f>T339</f>
        <v>3.4</v>
      </c>
      <c r="T340" s="183"/>
      <c r="U340" s="183"/>
      <c r="V340" s="182"/>
      <c r="W340" s="184"/>
      <c r="X340" s="183"/>
      <c r="Y340" s="182"/>
      <c r="Z340" s="252"/>
      <c r="AA340" s="236"/>
      <c r="AC340" s="235"/>
      <c r="AD340" s="235"/>
      <c r="AE340" s="183"/>
      <c r="AF340" s="183"/>
    </row>
    <row r="341" spans="1:32" x14ac:dyDescent="0.3">
      <c r="A341" s="244"/>
      <c r="D341" s="512"/>
      <c r="E341" s="513"/>
      <c r="F341" s="515"/>
      <c r="G341" s="515"/>
      <c r="H341" s="540"/>
      <c r="I341" s="513"/>
      <c r="J341" s="255"/>
      <c r="K341" s="255"/>
      <c r="L341" s="513"/>
      <c r="M341" s="252" t="str">
        <f>M339</f>
        <v>RSDAHT</v>
      </c>
      <c r="N341" s="244"/>
      <c r="O341" s="244" t="str">
        <f>$AH$12</f>
        <v>ACT</v>
      </c>
      <c r="P341" s="252"/>
      <c r="Q341" s="252"/>
      <c r="R341" s="525"/>
      <c r="S341" s="256"/>
      <c r="T341" s="256"/>
      <c r="U341" s="183"/>
      <c r="V341" s="252"/>
      <c r="W341" s="524"/>
      <c r="X341" s="256"/>
      <c r="Y341" s="252"/>
      <c r="Z341" s="252">
        <f>IF(ISBLANK(O341),"",IF(O341="ACT",1,-1))</f>
        <v>1</v>
      </c>
      <c r="AA341" s="257"/>
      <c r="AC341" s="244"/>
      <c r="AD341" s="244"/>
      <c r="AE341" s="256"/>
      <c r="AF341" s="256"/>
    </row>
    <row r="342" spans="1:32" x14ac:dyDescent="0.3">
      <c r="A342" s="244"/>
      <c r="D342" s="512"/>
      <c r="E342" s="513"/>
      <c r="F342" s="515"/>
      <c r="G342" s="515"/>
      <c r="H342" s="540"/>
      <c r="I342" s="513"/>
      <c r="J342" s="255"/>
      <c r="K342" s="255"/>
      <c r="L342" s="513"/>
      <c r="M342" s="252" t="str">
        <f>M341</f>
        <v>RSDAHT</v>
      </c>
      <c r="N342" s="244"/>
      <c r="O342" s="244" t="str">
        <f>L339</f>
        <v>RSDELC</v>
      </c>
      <c r="P342" s="252"/>
      <c r="Q342" s="252"/>
      <c r="R342" s="525"/>
      <c r="S342" s="256"/>
      <c r="T342" s="256"/>
      <c r="U342" s="183"/>
      <c r="V342" s="252"/>
      <c r="W342" s="524"/>
      <c r="X342" s="256"/>
      <c r="Y342" s="252"/>
      <c r="Z342" s="252">
        <f>IF(ISBLANK(O342),"",IF(O342="ACT",1,-1))</f>
        <v>-1</v>
      </c>
      <c r="AA342" s="257"/>
      <c r="AC342" s="244"/>
      <c r="AD342" s="244"/>
      <c r="AE342" s="256"/>
      <c r="AF342" s="256"/>
    </row>
    <row r="343" spans="1:32" x14ac:dyDescent="0.3">
      <c r="A343" s="235"/>
      <c r="C343" s="528" t="str">
        <f>'RSD (DEA)'!Z140</f>
        <v>HP_ELC_03</v>
      </c>
      <c r="D343" s="512" t="str">
        <f>RSD_HeatingDemand!N343&amp;"_"&amp;LEFT(C343,LEN(C343)-2)&amp;"07"</f>
        <v>RHHSB_HP_ELC_07</v>
      </c>
      <c r="E343" s="512" t="str">
        <f>"R"&amp;LEFT('RSD (DEA)'!AD140,2)&amp;IF(ISNUMBER(IFERROR(FIND("HTH",'RSD (DEA)'!Z140),IFERROR(FIND("HP",'RSD (DEA)'!Z140),"C"))),IF(IFERROR(FIND("HTH",'RSD (DEA)'!Z140),100)=100,"B","A"),"C")</f>
        <v>RHSB</v>
      </c>
      <c r="F343" s="515"/>
      <c r="G343" s="515"/>
      <c r="H343" s="540" t="str">
        <f t="shared" si="7"/>
        <v>RHHSB_HP_ELC_27</v>
      </c>
      <c r="I343" s="512" t="str">
        <f>'RSD (DEA)'!AA140</f>
        <v>Electric heat pumps, Air-to-water</v>
      </c>
      <c r="J343" s="242" t="s">
        <v>239</v>
      </c>
      <c r="K343" s="242" t="s">
        <v>240</v>
      </c>
      <c r="L343" s="512" t="str">
        <f>'RSD (DEA)'!AH140</f>
        <v>RSDELC</v>
      </c>
      <c r="M343" s="182" t="str">
        <f>'RSD (DEA)'!AI140</f>
        <v>RSDAHT</v>
      </c>
      <c r="N343" s="235" t="str">
        <f>LEFT('RSD (DEA)'!AJ140,2)&amp;RIGHT(E343,3)</f>
        <v>RHHSB</v>
      </c>
      <c r="O343" s="244"/>
      <c r="P343" s="182">
        <f>IF('RSD (DEA)'!P140&lt;RSD_HeatingDemand!$AH$15,RSD_HeatingDemand!$AH$15,'RSD (DEA)'!P140)</f>
        <v>2019</v>
      </c>
      <c r="Q343" s="182">
        <f>IF('RSD (DEA)'!X140&lt;RSD_HeatingDemand!$AH$15,RSD_HeatingDemand!$AH$15,'RSD (DEA)'!X140)</f>
        <v>2030</v>
      </c>
      <c r="R343" s="525">
        <f>IF(ISBLANK(I343),IF(MID(N343,2,2)="HA",VLOOKUP(I342,KEY_RSD_AF!$C$5:$G$52,2,FALSE),IF(MID(N343,2,2)="WA",VLOOKUP(I342,KEY_RSD_AF!$C$5:$G$52,3,FALSE),IF(MID(N343,2,2)="HH",VLOOKUP(I342,KEY_RSD_AF!$C$5:$G$52,4,FALSE),IF(MID(N343,2,2)="WH",VLOOKUP(I342,KEY_RSD_AF!$C$5:$G$52,5,FALSE))))),IF(MID(N343,2,2)="HA",VLOOKUP(I343,KEY_RSD_AF!$C$5:$G$52,2,FALSE),IF(MID(N343,2,2)="WA",VLOOKUP(I343,KEY_RSD_AF!$C$5:$G$52,3,FALSE),IF(MID(N343,2,2)="HH",VLOOKUP(I343,KEY_RSD_AF!$C$5:$G$52,4,FALSE),IF(MID(N343,2,2)="WH",VLOOKUP(I343,KEY_RSD_AF!$C$5:$G$52,5,FALSE))))))</f>
        <v>1</v>
      </c>
      <c r="S343" s="183">
        <f>'RSD (DEA)'!AZ140</f>
        <v>3.55</v>
      </c>
      <c r="T343" s="183">
        <f>'RSD (DEA)'!BA140</f>
        <v>3.6</v>
      </c>
      <c r="U343" s="183">
        <v>0.5</v>
      </c>
      <c r="V343" s="182">
        <f>'RSD (DEA)'!BR140/'RSD (DEA)'!S140</f>
        <v>25.5</v>
      </c>
      <c r="W343" s="184">
        <f>'RSD (DEA)'!BS140/RSD_HeatingDemand!$AH$9</f>
        <v>0</v>
      </c>
      <c r="X343" s="183">
        <f>'RSD (DEA)'!BK140*RSD_HeatingDemand!$AH$10/'RSD (DEA)'!S140</f>
        <v>900</v>
      </c>
      <c r="Y343" s="182">
        <f>'RSD (DEA)'!BI140</f>
        <v>18</v>
      </c>
      <c r="Z343" s="252" t="str">
        <f>IF(ISBLANK(O343),"",IF(O343="ACT",1,-1))</f>
        <v/>
      </c>
      <c r="AA343" s="236">
        <f>'RSD (DEA)'!AM140</f>
        <v>31.536000000000001</v>
      </c>
      <c r="AC343" s="235">
        <f>'RSD (DEA)'!S140</f>
        <v>10</v>
      </c>
      <c r="AD343" s="235" t="str">
        <f>LEFT('RSD (DEA)'!AK140,2)&amp;RIGHT(E343,3)</f>
        <v>RWHSB</v>
      </c>
      <c r="AE343" s="183">
        <f>'RSD (DEA)'!BA140</f>
        <v>3.6</v>
      </c>
      <c r="AF343" s="183"/>
    </row>
    <row r="344" spans="1:32" x14ac:dyDescent="0.3">
      <c r="A344" s="235"/>
      <c r="D344" s="512"/>
      <c r="E344" s="512"/>
      <c r="F344" s="515"/>
      <c r="G344" s="515"/>
      <c r="H344" s="540"/>
      <c r="I344" s="512"/>
      <c r="J344" s="242"/>
      <c r="K344" s="242"/>
      <c r="L344" s="512"/>
      <c r="M344" s="182"/>
      <c r="N344" s="318" t="str">
        <f>AD343</f>
        <v>RWHSB</v>
      </c>
      <c r="O344" s="244"/>
      <c r="P344" s="182"/>
      <c r="Q344" s="182"/>
      <c r="R344" s="525">
        <f>IF(ISBLANK(I344),IF(MID(N344,2,2)="HA",VLOOKUP(I343,KEY_RSD_AF!$C$5:$G$52,2,FALSE),IF(MID(N344,2,2)="WA",VLOOKUP(I343,KEY_RSD_AF!$C$5:$G$52,3,FALSE),IF(MID(N344,2,2)="HH",VLOOKUP(I343,KEY_RSD_AF!$C$5:$G$52,4,FALSE),IF(MID(N344,2,2)="WH",VLOOKUP(I343,KEY_RSD_AF!$C$5:$G$52,5,FALSE))))),IF(MID(N344,2,2)="HA",VLOOKUP(I344,KEY_RSD_AF!$C$5:$G$52,2,FALSE),IF(MID(N344,2,2)="WA",VLOOKUP(I344,KEY_RSD_AF!$C$5:$G$52,3,FALSE),IF(MID(N344,2,2)="HH",VLOOKUP(I344,KEY_RSD_AF!$C$5:$G$52,4,FALSE),IF(MID(N344,2,2)="WH",VLOOKUP(I344,KEY_RSD_AF!$C$5:$G$52,5,FALSE))))))</f>
        <v>1</v>
      </c>
      <c r="S344" s="503">
        <f>T343</f>
        <v>3.6</v>
      </c>
      <c r="T344" s="183"/>
      <c r="U344" s="183"/>
      <c r="V344" s="182"/>
      <c r="W344" s="184"/>
      <c r="X344" s="183"/>
      <c r="Y344" s="182"/>
      <c r="Z344" s="252"/>
      <c r="AA344" s="236"/>
      <c r="AC344" s="235"/>
      <c r="AD344" s="235"/>
      <c r="AE344" s="183"/>
      <c r="AF344" s="183"/>
    </row>
    <row r="345" spans="1:32" x14ac:dyDescent="0.3">
      <c r="A345" s="244"/>
      <c r="D345" s="512"/>
      <c r="E345" s="513"/>
      <c r="F345" s="515"/>
      <c r="G345" s="515"/>
      <c r="H345" s="540"/>
      <c r="I345" s="513"/>
      <c r="J345" s="255"/>
      <c r="K345" s="255"/>
      <c r="L345" s="513"/>
      <c r="M345" s="252" t="str">
        <f>M343</f>
        <v>RSDAHT</v>
      </c>
      <c r="N345" s="244"/>
      <c r="O345" s="244" t="str">
        <f>$AH$12</f>
        <v>ACT</v>
      </c>
      <c r="P345" s="252"/>
      <c r="Q345" s="252"/>
      <c r="R345" s="525"/>
      <c r="S345" s="256"/>
      <c r="T345" s="256"/>
      <c r="U345" s="183"/>
      <c r="V345" s="252"/>
      <c r="W345" s="524"/>
      <c r="X345" s="256"/>
      <c r="Y345" s="252"/>
      <c r="Z345" s="252">
        <f>IF(ISBLANK(O345),"",IF(O345="ACT",1,-1))</f>
        <v>1</v>
      </c>
      <c r="AA345" s="257"/>
      <c r="AC345" s="244"/>
      <c r="AD345" s="244"/>
      <c r="AE345" s="256"/>
      <c r="AF345" s="256"/>
    </row>
    <row r="346" spans="1:32" x14ac:dyDescent="0.3">
      <c r="A346" s="244"/>
      <c r="D346" s="512"/>
      <c r="E346" s="513"/>
      <c r="F346" s="515"/>
      <c r="G346" s="515"/>
      <c r="H346" s="540"/>
      <c r="I346" s="513"/>
      <c r="J346" s="255"/>
      <c r="K346" s="255"/>
      <c r="L346" s="513"/>
      <c r="M346" s="252" t="str">
        <f>M345</f>
        <v>RSDAHT</v>
      </c>
      <c r="N346" s="244"/>
      <c r="O346" s="244" t="str">
        <f>L343</f>
        <v>RSDELC</v>
      </c>
      <c r="P346" s="252"/>
      <c r="Q346" s="252"/>
      <c r="R346" s="525"/>
      <c r="S346" s="256"/>
      <c r="T346" s="256"/>
      <c r="U346" s="183"/>
      <c r="V346" s="252"/>
      <c r="W346" s="524"/>
      <c r="X346" s="256"/>
      <c r="Y346" s="252"/>
      <c r="Z346" s="252">
        <f>IF(ISBLANK(O346),"",IF(O346="ACT",1,-1))</f>
        <v>-1</v>
      </c>
      <c r="AA346" s="257"/>
      <c r="AC346" s="244"/>
      <c r="AD346" s="244"/>
      <c r="AE346" s="256"/>
      <c r="AF346" s="256"/>
    </row>
    <row r="347" spans="1:32" x14ac:dyDescent="0.3">
      <c r="A347" s="235"/>
      <c r="C347" s="528" t="str">
        <f>'RSD (DEA)'!Z141</f>
        <v>HP_ELC_03</v>
      </c>
      <c r="D347" s="512" t="str">
        <f>RSD_HeatingDemand!N347&amp;"_"&amp;LEFT(C347,LEN(C347)-2)&amp;"07"</f>
        <v>RHHSB_HP_ELC_07</v>
      </c>
      <c r="E347" s="512" t="str">
        <f>"R"&amp;LEFT('RSD (DEA)'!AD141,2)&amp;IF(ISNUMBER(IFERROR(FIND("HTH",'RSD (DEA)'!Z141),IFERROR(FIND("HP",'RSD (DEA)'!Z141),"C"))),IF(IFERROR(FIND("HTH",'RSD (DEA)'!Z141),100)=100,"B","A"),"C")</f>
        <v>RHSB</v>
      </c>
      <c r="F347" s="515"/>
      <c r="G347" s="515"/>
      <c r="H347" s="540" t="str">
        <f t="shared" si="7"/>
        <v>RHHSB_HP_ELC_28</v>
      </c>
      <c r="I347" s="512" t="str">
        <f>'RSD (DEA)'!AA141</f>
        <v>Electric heat pumps, Air-to-water</v>
      </c>
      <c r="J347" s="242" t="s">
        <v>239</v>
      </c>
      <c r="K347" s="242" t="s">
        <v>240</v>
      </c>
      <c r="L347" s="512" t="str">
        <f>'RSD (DEA)'!AH141</f>
        <v>RSDELC</v>
      </c>
      <c r="M347" s="182" t="str">
        <f>'RSD (DEA)'!AI141</f>
        <v>RSDAHT</v>
      </c>
      <c r="N347" s="235" t="str">
        <f>LEFT('RSD (DEA)'!AJ141,2)&amp;RIGHT(E347,3)</f>
        <v>RHHSB</v>
      </c>
      <c r="O347" s="244"/>
      <c r="P347" s="182">
        <f>IF('RSD (DEA)'!P141&lt;RSD_HeatingDemand!$AH$15,RSD_HeatingDemand!$AH$15,'RSD (DEA)'!P141)</f>
        <v>2019</v>
      </c>
      <c r="Q347" s="182">
        <f>IF('RSD (DEA)'!X141&lt;RSD_HeatingDemand!$AH$15,RSD_HeatingDemand!$AH$15,'RSD (DEA)'!X141)</f>
        <v>2050</v>
      </c>
      <c r="R347" s="525">
        <f>IF(ISBLANK(I347),IF(MID(N347,2,2)="HA",VLOOKUP(I346,KEY_RSD_AF!$C$5:$G$52,2,FALSE),IF(MID(N347,2,2)="WA",VLOOKUP(I346,KEY_RSD_AF!$C$5:$G$52,3,FALSE),IF(MID(N347,2,2)="HH",VLOOKUP(I346,KEY_RSD_AF!$C$5:$G$52,4,FALSE),IF(MID(N347,2,2)="WH",VLOOKUP(I346,KEY_RSD_AF!$C$5:$G$52,5,FALSE))))),IF(MID(N347,2,2)="HA",VLOOKUP(I347,KEY_RSD_AF!$C$5:$G$52,2,FALSE),IF(MID(N347,2,2)="WA",VLOOKUP(I347,KEY_RSD_AF!$C$5:$G$52,3,FALSE),IF(MID(N347,2,2)="HH",VLOOKUP(I347,KEY_RSD_AF!$C$5:$G$52,4,FALSE),IF(MID(N347,2,2)="WH",VLOOKUP(I347,KEY_RSD_AF!$C$5:$G$52,5,FALSE))))))</f>
        <v>1</v>
      </c>
      <c r="S347" s="183">
        <f>'RSD (DEA)'!AZ141</f>
        <v>3.7</v>
      </c>
      <c r="T347" s="183">
        <f>'RSD (DEA)'!BA141</f>
        <v>3.8</v>
      </c>
      <c r="U347" s="183">
        <v>0.5</v>
      </c>
      <c r="V347" s="182">
        <f>'RSD (DEA)'!BR141/'RSD (DEA)'!S141</f>
        <v>23.9</v>
      </c>
      <c r="W347" s="184">
        <f>'RSD (DEA)'!BS141/RSD_HeatingDemand!$AH$9</f>
        <v>0</v>
      </c>
      <c r="X347" s="183">
        <f>'RSD (DEA)'!BK141*RSD_HeatingDemand!$AH$10/'RSD (DEA)'!S141</f>
        <v>800</v>
      </c>
      <c r="Y347" s="182">
        <f>'RSD (DEA)'!BI141</f>
        <v>18</v>
      </c>
      <c r="Z347" s="252" t="str">
        <f>IF(ISBLANK(O347),"",IF(O347="ACT",1,-1))</f>
        <v/>
      </c>
      <c r="AA347" s="236">
        <f>'RSD (DEA)'!AM141</f>
        <v>31.536000000000001</v>
      </c>
      <c r="AC347" s="235">
        <f>'RSD (DEA)'!S141</f>
        <v>10</v>
      </c>
      <c r="AD347" s="235" t="str">
        <f>LEFT('RSD (DEA)'!AK141,2)&amp;RIGHT(E347,3)</f>
        <v>RWHSB</v>
      </c>
      <c r="AE347" s="183">
        <f>'RSD (DEA)'!BA141</f>
        <v>3.8</v>
      </c>
      <c r="AF347" s="183"/>
    </row>
    <row r="348" spans="1:32" x14ac:dyDescent="0.3">
      <c r="A348" s="235"/>
      <c r="D348" s="512"/>
      <c r="E348" s="512"/>
      <c r="F348" s="515"/>
      <c r="G348" s="515"/>
      <c r="H348" s="540"/>
      <c r="I348" s="512"/>
      <c r="J348" s="242"/>
      <c r="K348" s="242"/>
      <c r="L348" s="512"/>
      <c r="M348" s="182"/>
      <c r="N348" s="318" t="str">
        <f>AD347</f>
        <v>RWHSB</v>
      </c>
      <c r="O348" s="244"/>
      <c r="P348" s="182"/>
      <c r="Q348" s="182"/>
      <c r="R348" s="525">
        <f>IF(ISBLANK(I348),IF(MID(N348,2,2)="HA",VLOOKUP(I347,KEY_RSD_AF!$C$5:$G$52,2,FALSE),IF(MID(N348,2,2)="WA",VLOOKUP(I347,KEY_RSD_AF!$C$5:$G$52,3,FALSE),IF(MID(N348,2,2)="HH",VLOOKUP(I347,KEY_RSD_AF!$C$5:$G$52,4,FALSE),IF(MID(N348,2,2)="WH",VLOOKUP(I347,KEY_RSD_AF!$C$5:$G$52,5,FALSE))))),IF(MID(N348,2,2)="HA",VLOOKUP(I348,KEY_RSD_AF!$C$5:$G$52,2,FALSE),IF(MID(N348,2,2)="WA",VLOOKUP(I348,KEY_RSD_AF!$C$5:$G$52,3,FALSE),IF(MID(N348,2,2)="HH",VLOOKUP(I348,KEY_RSD_AF!$C$5:$G$52,4,FALSE),IF(MID(N348,2,2)="WH",VLOOKUP(I348,KEY_RSD_AF!$C$5:$G$52,5,FALSE))))))</f>
        <v>1</v>
      </c>
      <c r="S348" s="503">
        <f>T347</f>
        <v>3.8</v>
      </c>
      <c r="T348" s="183"/>
      <c r="U348" s="183"/>
      <c r="V348" s="182"/>
      <c r="W348" s="184"/>
      <c r="X348" s="183"/>
      <c r="Y348" s="182"/>
      <c r="Z348" s="252"/>
      <c r="AA348" s="236"/>
      <c r="AC348" s="235"/>
      <c r="AD348" s="235"/>
      <c r="AE348" s="183"/>
      <c r="AF348" s="183"/>
    </row>
    <row r="349" spans="1:32" x14ac:dyDescent="0.3">
      <c r="A349" s="244"/>
      <c r="D349" s="512"/>
      <c r="E349" s="513"/>
      <c r="F349" s="515"/>
      <c r="G349" s="515"/>
      <c r="H349" s="540"/>
      <c r="I349" s="513"/>
      <c r="J349" s="255"/>
      <c r="K349" s="255"/>
      <c r="L349" s="513"/>
      <c r="M349" s="252" t="str">
        <f>M347</f>
        <v>RSDAHT</v>
      </c>
      <c r="N349" s="244"/>
      <c r="O349" s="244" t="str">
        <f>$AH$12</f>
        <v>ACT</v>
      </c>
      <c r="P349" s="252"/>
      <c r="Q349" s="252"/>
      <c r="R349" s="525"/>
      <c r="S349" s="256"/>
      <c r="T349" s="256"/>
      <c r="U349" s="183"/>
      <c r="V349" s="252"/>
      <c r="W349" s="524"/>
      <c r="X349" s="256"/>
      <c r="Y349" s="252"/>
      <c r="Z349" s="252">
        <f>IF(ISBLANK(O349),"",IF(O349="ACT",1,-1))</f>
        <v>1</v>
      </c>
      <c r="AA349" s="257"/>
      <c r="AC349" s="244"/>
      <c r="AD349" s="244"/>
      <c r="AE349" s="256"/>
      <c r="AF349" s="256"/>
    </row>
    <row r="350" spans="1:32" x14ac:dyDescent="0.3">
      <c r="A350" s="244"/>
      <c r="D350" s="512"/>
      <c r="E350" s="513"/>
      <c r="F350" s="515"/>
      <c r="G350" s="515"/>
      <c r="H350" s="540"/>
      <c r="I350" s="513"/>
      <c r="J350" s="255"/>
      <c r="K350" s="255"/>
      <c r="L350" s="513"/>
      <c r="M350" s="252" t="str">
        <f>M349</f>
        <v>RSDAHT</v>
      </c>
      <c r="N350" s="244"/>
      <c r="O350" s="244" t="str">
        <f>L347</f>
        <v>RSDELC</v>
      </c>
      <c r="P350" s="252"/>
      <c r="Q350" s="252"/>
      <c r="R350" s="525"/>
      <c r="S350" s="256"/>
      <c r="T350" s="256"/>
      <c r="U350" s="183"/>
      <c r="V350" s="252"/>
      <c r="W350" s="524"/>
      <c r="X350" s="256"/>
      <c r="Y350" s="252"/>
      <c r="Z350" s="252">
        <f>IF(ISBLANK(O350),"",IF(O350="ACT",1,-1))</f>
        <v>-1</v>
      </c>
      <c r="AA350" s="257"/>
      <c r="AC350" s="244"/>
      <c r="AD350" s="244"/>
      <c r="AE350" s="256"/>
      <c r="AF350" s="256"/>
    </row>
    <row r="351" spans="1:32" x14ac:dyDescent="0.3">
      <c r="A351" s="235"/>
      <c r="C351" s="528" t="str">
        <f>'RSD (DEA)'!Z142</f>
        <v>HP_ELC_04</v>
      </c>
      <c r="D351" s="512" t="str">
        <f>RSD_HeatingDemand!N351&amp;"_"&amp;LEFT(C351,LEN(C351)-2)&amp;"08"</f>
        <v>RHHSB_HP_ELC_08</v>
      </c>
      <c r="E351" s="512" t="str">
        <f>"R"&amp;LEFT('RSD (DEA)'!AD142,2)&amp;IF(ISNUMBER(IFERROR(FIND("HTH",'RSD (DEA)'!Z142),IFERROR(FIND("HP",'RSD (DEA)'!Z142),"C"))),IF(IFERROR(FIND("HTH",'RSD (DEA)'!Z142),100)=100,"B","A"),"C")</f>
        <v>RHSB</v>
      </c>
      <c r="F351" s="515"/>
      <c r="G351" s="515"/>
      <c r="H351" s="540" t="str">
        <f t="shared" ref="H351:H411" si="8">IF(LEFT(D351,LEN(D351)-2)=LEFT(D347,LEN(D351)-2),LEFT(D351,LEN(D351)-2)&amp;IF(RIGHT(H347,2)+1&lt;=9,"0"&amp;RIGHT(H347)+1,RIGHT(H347,2)+1),D351)</f>
        <v>RHHSB_HP_ELC_29</v>
      </c>
      <c r="I351" s="512" t="str">
        <f>'RSD (DEA)'!AA142</f>
        <v>Electric heat pumps, Air-to-water</v>
      </c>
      <c r="J351" s="242" t="s">
        <v>239</v>
      </c>
      <c r="K351" s="242" t="s">
        <v>240</v>
      </c>
      <c r="L351" s="512" t="str">
        <f>'RSD (DEA)'!AH142</f>
        <v>RSDELC</v>
      </c>
      <c r="M351" s="182" t="str">
        <f>'RSD (DEA)'!AI142</f>
        <v>RSDAHT</v>
      </c>
      <c r="N351" s="235" t="str">
        <f>LEFT('RSD (DEA)'!AJ142,2)&amp;RIGHT(E351,3)</f>
        <v>RHHSB</v>
      </c>
      <c r="O351" s="244"/>
      <c r="P351" s="182">
        <f>IF('RSD (DEA)'!P142&lt;RSD_HeatingDemand!$AH$15,RSD_HeatingDemand!$AH$15,'RSD (DEA)'!P142)</f>
        <v>2019</v>
      </c>
      <c r="Q351" s="182">
        <f>IF('RSD (DEA)'!X142&lt;RSD_HeatingDemand!$AH$15,RSD_HeatingDemand!$AH$15,'RSD (DEA)'!X142)</f>
        <v>2019</v>
      </c>
      <c r="R351" s="525">
        <f>IF(ISBLANK(I351),IF(MID(N351,2,2)="HA",VLOOKUP(I350,KEY_RSD_AF!$C$5:$G$52,2,FALSE),IF(MID(N351,2,2)="WA",VLOOKUP(I350,KEY_RSD_AF!$C$5:$G$52,3,FALSE),IF(MID(N351,2,2)="HH",VLOOKUP(I350,KEY_RSD_AF!$C$5:$G$52,4,FALSE),IF(MID(N351,2,2)="WH",VLOOKUP(I350,KEY_RSD_AF!$C$5:$G$52,5,FALSE))))),IF(MID(N351,2,2)="HA",VLOOKUP(I351,KEY_RSD_AF!$C$5:$G$52,2,FALSE),IF(MID(N351,2,2)="WA",VLOOKUP(I351,KEY_RSD_AF!$C$5:$G$52,3,FALSE),IF(MID(N351,2,2)="HH",VLOOKUP(I351,KEY_RSD_AF!$C$5:$G$52,4,FALSE),IF(MID(N351,2,2)="WH",VLOOKUP(I351,KEY_RSD_AF!$C$5:$G$52,5,FALSE))))))</f>
        <v>1</v>
      </c>
      <c r="S351" s="183">
        <f>'RSD (DEA)'!AZ142</f>
        <v>2.85</v>
      </c>
      <c r="T351" s="183">
        <f>'RSD (DEA)'!BA142</f>
        <v>3</v>
      </c>
      <c r="U351" s="183">
        <v>0.5</v>
      </c>
      <c r="V351" s="182">
        <f>'RSD (DEA)'!BR142/'RSD (DEA)'!S142</f>
        <v>72.75</v>
      </c>
      <c r="W351" s="184">
        <f>'RSD (DEA)'!BS142/RSD_HeatingDemand!$AH$9</f>
        <v>0</v>
      </c>
      <c r="X351" s="183">
        <f>'RSD (DEA)'!BK142*RSD_HeatingDemand!$AH$10/'RSD (DEA)'!S142</f>
        <v>1750</v>
      </c>
      <c r="Y351" s="182">
        <f>'RSD (DEA)'!BI142</f>
        <v>18</v>
      </c>
      <c r="Z351" s="252" t="str">
        <f>IF(ISBLANK(O351),"",IF(O351="ACT",1,-1))</f>
        <v/>
      </c>
      <c r="AA351" s="236">
        <f>'RSD (DEA)'!AM142</f>
        <v>31.536000000000001</v>
      </c>
      <c r="AC351" s="235">
        <f>'RSD (DEA)'!S142</f>
        <v>4</v>
      </c>
      <c r="AD351" s="235" t="str">
        <f>LEFT('RSD (DEA)'!AK142,2)&amp;RIGHT(E351,3)</f>
        <v>RWHSB</v>
      </c>
      <c r="AE351" s="183">
        <f>'RSD (DEA)'!BA142</f>
        <v>3</v>
      </c>
      <c r="AF351" s="183"/>
    </row>
    <row r="352" spans="1:32" x14ac:dyDescent="0.3">
      <c r="A352" s="235"/>
      <c r="D352" s="512"/>
      <c r="E352" s="512"/>
      <c r="F352" s="515"/>
      <c r="G352" s="515"/>
      <c r="H352" s="540"/>
      <c r="I352" s="512"/>
      <c r="J352" s="242"/>
      <c r="K352" s="242"/>
      <c r="L352" s="512"/>
      <c r="M352" s="182"/>
      <c r="N352" s="318" t="str">
        <f>AD351</f>
        <v>RWHSB</v>
      </c>
      <c r="O352" s="244"/>
      <c r="P352" s="182"/>
      <c r="Q352" s="182"/>
      <c r="R352" s="525">
        <f>IF(ISBLANK(I352),IF(MID(N352,2,2)="HA",VLOOKUP(I351,KEY_RSD_AF!$C$5:$G$52,2,FALSE),IF(MID(N352,2,2)="WA",VLOOKUP(I351,KEY_RSD_AF!$C$5:$G$52,3,FALSE),IF(MID(N352,2,2)="HH",VLOOKUP(I351,KEY_RSD_AF!$C$5:$G$52,4,FALSE),IF(MID(N352,2,2)="WH",VLOOKUP(I351,KEY_RSD_AF!$C$5:$G$52,5,FALSE))))),IF(MID(N352,2,2)="HA",VLOOKUP(I352,KEY_RSD_AF!$C$5:$G$52,2,FALSE),IF(MID(N352,2,2)="WA",VLOOKUP(I352,KEY_RSD_AF!$C$5:$G$52,3,FALSE),IF(MID(N352,2,2)="HH",VLOOKUP(I352,KEY_RSD_AF!$C$5:$G$52,4,FALSE),IF(MID(N352,2,2)="WH",VLOOKUP(I352,KEY_RSD_AF!$C$5:$G$52,5,FALSE))))))</f>
        <v>1</v>
      </c>
      <c r="S352" s="503">
        <f>T351</f>
        <v>3</v>
      </c>
      <c r="T352" s="183"/>
      <c r="U352" s="183"/>
      <c r="V352" s="182"/>
      <c r="W352" s="184"/>
      <c r="X352" s="183"/>
      <c r="Y352" s="182"/>
      <c r="Z352" s="252"/>
      <c r="AA352" s="236"/>
      <c r="AC352" s="235"/>
      <c r="AD352" s="235"/>
      <c r="AE352" s="183"/>
      <c r="AF352" s="183"/>
    </row>
    <row r="353" spans="1:32" x14ac:dyDescent="0.3">
      <c r="A353" s="244"/>
      <c r="D353" s="512"/>
      <c r="E353" s="513"/>
      <c r="F353" s="515"/>
      <c r="G353" s="515"/>
      <c r="H353" s="540"/>
      <c r="I353" s="513"/>
      <c r="J353" s="255"/>
      <c r="K353" s="255"/>
      <c r="L353" s="513"/>
      <c r="M353" s="252" t="str">
        <f>M351</f>
        <v>RSDAHT</v>
      </c>
      <c r="N353" s="244"/>
      <c r="O353" s="244" t="str">
        <f>$AH$12</f>
        <v>ACT</v>
      </c>
      <c r="P353" s="252"/>
      <c r="Q353" s="252"/>
      <c r="R353" s="525"/>
      <c r="S353" s="256"/>
      <c r="T353" s="256"/>
      <c r="U353" s="183"/>
      <c r="V353" s="252"/>
      <c r="W353" s="524"/>
      <c r="X353" s="256"/>
      <c r="Y353" s="252"/>
      <c r="Z353" s="252">
        <f>IF(ISBLANK(O353),"",IF(O353="ACT",1,-1))</f>
        <v>1</v>
      </c>
      <c r="AA353" s="257"/>
      <c r="AC353" s="244"/>
      <c r="AD353" s="244"/>
      <c r="AE353" s="256"/>
      <c r="AF353" s="256"/>
    </row>
    <row r="354" spans="1:32" x14ac:dyDescent="0.3">
      <c r="A354" s="244"/>
      <c r="D354" s="512"/>
      <c r="E354" s="513"/>
      <c r="F354" s="515"/>
      <c r="G354" s="515"/>
      <c r="H354" s="540"/>
      <c r="I354" s="513"/>
      <c r="J354" s="255"/>
      <c r="K354" s="255"/>
      <c r="L354" s="513"/>
      <c r="M354" s="252" t="str">
        <f>M353</f>
        <v>RSDAHT</v>
      </c>
      <c r="N354" s="244"/>
      <c r="O354" s="244" t="str">
        <f>L351</f>
        <v>RSDELC</v>
      </c>
      <c r="P354" s="252"/>
      <c r="Q354" s="252"/>
      <c r="R354" s="525"/>
      <c r="S354" s="256"/>
      <c r="T354" s="256"/>
      <c r="U354" s="183"/>
      <c r="V354" s="252"/>
      <c r="W354" s="524"/>
      <c r="X354" s="256"/>
      <c r="Y354" s="252"/>
      <c r="Z354" s="252">
        <f>IF(ISBLANK(O354),"",IF(O354="ACT",1,-1))</f>
        <v>-1</v>
      </c>
      <c r="AA354" s="257"/>
      <c r="AC354" s="244"/>
      <c r="AD354" s="244"/>
      <c r="AE354" s="256"/>
      <c r="AF354" s="256"/>
    </row>
    <row r="355" spans="1:32" x14ac:dyDescent="0.3">
      <c r="A355" s="235"/>
      <c r="C355" s="528" t="str">
        <f>'RSD (DEA)'!Z143</f>
        <v>HP_ELC_04</v>
      </c>
      <c r="D355" s="512" t="str">
        <f>RSD_HeatingDemand!N355&amp;"_"&amp;LEFT(C355,LEN(C355)-2)&amp;"08"</f>
        <v>RHHSB_HP_ELC_08</v>
      </c>
      <c r="E355" s="512" t="str">
        <f>"R"&amp;LEFT('RSD (DEA)'!AD143,2)&amp;IF(ISNUMBER(IFERROR(FIND("HTH",'RSD (DEA)'!Z143),IFERROR(FIND("HP",'RSD (DEA)'!Z143),"C"))),IF(IFERROR(FIND("HTH",'RSD (DEA)'!Z143),100)=100,"B","A"),"C")</f>
        <v>RHSB</v>
      </c>
      <c r="F355" s="515"/>
      <c r="G355" s="515"/>
      <c r="H355" s="540" t="str">
        <f t="shared" si="8"/>
        <v>RHHSB_HP_ELC_30</v>
      </c>
      <c r="I355" s="512" t="str">
        <f>'RSD (DEA)'!AA143</f>
        <v>Electric heat pumps, Air-to-water</v>
      </c>
      <c r="J355" s="242" t="s">
        <v>239</v>
      </c>
      <c r="K355" s="242" t="s">
        <v>240</v>
      </c>
      <c r="L355" s="512" t="str">
        <f>'RSD (DEA)'!AH143</f>
        <v>RSDELC</v>
      </c>
      <c r="M355" s="182" t="str">
        <f>'RSD (DEA)'!AI143</f>
        <v>RSDAHT</v>
      </c>
      <c r="N355" s="235" t="str">
        <f>LEFT('RSD (DEA)'!AJ143,2)&amp;RIGHT(E355,3)</f>
        <v>RHHSB</v>
      </c>
      <c r="O355" s="244"/>
      <c r="P355" s="182">
        <f>IF('RSD (DEA)'!P143&lt;RSD_HeatingDemand!$AH$15,RSD_HeatingDemand!$AH$15,'RSD (DEA)'!P143)</f>
        <v>2019</v>
      </c>
      <c r="Q355" s="182">
        <f>IF('RSD (DEA)'!X143&lt;RSD_HeatingDemand!$AH$15,RSD_HeatingDemand!$AH$15,'RSD (DEA)'!X143)</f>
        <v>2020</v>
      </c>
      <c r="R355" s="525">
        <f>IF(ISBLANK(I355),IF(MID(N355,2,2)="HA",VLOOKUP(I354,KEY_RSD_AF!$C$5:$G$52,2,FALSE),IF(MID(N355,2,2)="WA",VLOOKUP(I354,KEY_RSD_AF!$C$5:$G$52,3,FALSE),IF(MID(N355,2,2)="HH",VLOOKUP(I354,KEY_RSD_AF!$C$5:$G$52,4,FALSE),IF(MID(N355,2,2)="WH",VLOOKUP(I354,KEY_RSD_AF!$C$5:$G$52,5,FALSE))))),IF(MID(N355,2,2)="HA",VLOOKUP(I355,KEY_RSD_AF!$C$5:$G$52,2,FALSE),IF(MID(N355,2,2)="WA",VLOOKUP(I355,KEY_RSD_AF!$C$5:$G$52,3,FALSE),IF(MID(N355,2,2)="HH",VLOOKUP(I355,KEY_RSD_AF!$C$5:$G$52,4,FALSE),IF(MID(N355,2,2)="WH",VLOOKUP(I355,KEY_RSD_AF!$C$5:$G$52,5,FALSE))))))</f>
        <v>1</v>
      </c>
      <c r="S355" s="183">
        <f>'RSD (DEA)'!AZ143</f>
        <v>3.05</v>
      </c>
      <c r="T355" s="183">
        <f>'RSD (DEA)'!BA143</f>
        <v>3.2</v>
      </c>
      <c r="U355" s="183">
        <v>0.5</v>
      </c>
      <c r="V355" s="182">
        <f>'RSD (DEA)'!BR143/'RSD (DEA)'!S143</f>
        <v>69.5</v>
      </c>
      <c r="W355" s="184">
        <f>'RSD (DEA)'!BS143/RSD_HeatingDemand!$AH$9</f>
        <v>0</v>
      </c>
      <c r="X355" s="183">
        <f>'RSD (DEA)'!BK143*RSD_HeatingDemand!$AH$10/'RSD (DEA)'!S143</f>
        <v>1750</v>
      </c>
      <c r="Y355" s="182">
        <f>'RSD (DEA)'!BI143</f>
        <v>18</v>
      </c>
      <c r="Z355" s="252" t="str">
        <f>IF(ISBLANK(O355),"",IF(O355="ACT",1,-1))</f>
        <v/>
      </c>
      <c r="AA355" s="236">
        <f>'RSD (DEA)'!AM143</f>
        <v>31.536000000000001</v>
      </c>
      <c r="AC355" s="235">
        <f>'RSD (DEA)'!S143</f>
        <v>4</v>
      </c>
      <c r="AD355" s="235" t="str">
        <f>LEFT('RSD (DEA)'!AK143,2)&amp;RIGHT(E355,3)</f>
        <v>RWHSB</v>
      </c>
      <c r="AE355" s="183">
        <f>'RSD (DEA)'!BA143</f>
        <v>3.2</v>
      </c>
      <c r="AF355" s="183"/>
    </row>
    <row r="356" spans="1:32" x14ac:dyDescent="0.3">
      <c r="A356" s="235"/>
      <c r="D356" s="512"/>
      <c r="E356" s="512"/>
      <c r="F356" s="515"/>
      <c r="G356" s="515"/>
      <c r="H356" s="540"/>
      <c r="I356" s="512"/>
      <c r="J356" s="242"/>
      <c r="K356" s="242"/>
      <c r="L356" s="512"/>
      <c r="M356" s="182"/>
      <c r="N356" s="318" t="str">
        <f>AD355</f>
        <v>RWHSB</v>
      </c>
      <c r="O356" s="244"/>
      <c r="P356" s="182"/>
      <c r="Q356" s="182"/>
      <c r="R356" s="525">
        <f>IF(ISBLANK(I356),IF(MID(N356,2,2)="HA",VLOOKUP(I355,KEY_RSD_AF!$C$5:$G$52,2,FALSE),IF(MID(N356,2,2)="WA",VLOOKUP(I355,KEY_RSD_AF!$C$5:$G$52,3,FALSE),IF(MID(N356,2,2)="HH",VLOOKUP(I355,KEY_RSD_AF!$C$5:$G$52,4,FALSE),IF(MID(N356,2,2)="WH",VLOOKUP(I355,KEY_RSD_AF!$C$5:$G$52,5,FALSE))))),IF(MID(N356,2,2)="HA",VLOOKUP(I356,KEY_RSD_AF!$C$5:$G$52,2,FALSE),IF(MID(N356,2,2)="WA",VLOOKUP(I356,KEY_RSD_AF!$C$5:$G$52,3,FALSE),IF(MID(N356,2,2)="HH",VLOOKUP(I356,KEY_RSD_AF!$C$5:$G$52,4,FALSE),IF(MID(N356,2,2)="WH",VLOOKUP(I356,KEY_RSD_AF!$C$5:$G$52,5,FALSE))))))</f>
        <v>1</v>
      </c>
      <c r="S356" s="503">
        <f>T355</f>
        <v>3.2</v>
      </c>
      <c r="T356" s="183"/>
      <c r="U356" s="183"/>
      <c r="V356" s="182"/>
      <c r="W356" s="184"/>
      <c r="X356" s="183"/>
      <c r="Y356" s="182"/>
      <c r="Z356" s="252"/>
      <c r="AA356" s="236"/>
      <c r="AC356" s="235"/>
      <c r="AD356" s="235"/>
      <c r="AE356" s="183"/>
      <c r="AF356" s="183"/>
    </row>
    <row r="357" spans="1:32" x14ac:dyDescent="0.3">
      <c r="A357" s="244"/>
      <c r="D357" s="512"/>
      <c r="E357" s="513"/>
      <c r="F357" s="515"/>
      <c r="G357" s="515"/>
      <c r="H357" s="540"/>
      <c r="I357" s="513"/>
      <c r="J357" s="255"/>
      <c r="K357" s="255"/>
      <c r="L357" s="513"/>
      <c r="M357" s="252" t="str">
        <f>M355</f>
        <v>RSDAHT</v>
      </c>
      <c r="N357" s="244"/>
      <c r="O357" s="244" t="str">
        <f>$AH$12</f>
        <v>ACT</v>
      </c>
      <c r="P357" s="252"/>
      <c r="Q357" s="252"/>
      <c r="R357" s="525"/>
      <c r="S357" s="256"/>
      <c r="T357" s="256"/>
      <c r="U357" s="183"/>
      <c r="V357" s="252"/>
      <c r="W357" s="524"/>
      <c r="X357" s="256"/>
      <c r="Y357" s="252"/>
      <c r="Z357" s="252">
        <f>IF(ISBLANK(O357),"",IF(O357="ACT",1,-1))</f>
        <v>1</v>
      </c>
      <c r="AA357" s="257"/>
      <c r="AC357" s="244"/>
      <c r="AD357" s="244"/>
      <c r="AE357" s="256"/>
      <c r="AF357" s="256"/>
    </row>
    <row r="358" spans="1:32" x14ac:dyDescent="0.3">
      <c r="A358" s="244"/>
      <c r="D358" s="512"/>
      <c r="E358" s="513"/>
      <c r="F358" s="515"/>
      <c r="G358" s="515"/>
      <c r="H358" s="540"/>
      <c r="I358" s="513"/>
      <c r="J358" s="255"/>
      <c r="K358" s="255"/>
      <c r="L358" s="513"/>
      <c r="M358" s="252" t="str">
        <f>M357</f>
        <v>RSDAHT</v>
      </c>
      <c r="N358" s="244"/>
      <c r="O358" s="244" t="str">
        <f>L355</f>
        <v>RSDELC</v>
      </c>
      <c r="P358" s="252"/>
      <c r="Q358" s="252"/>
      <c r="R358" s="525"/>
      <c r="S358" s="256"/>
      <c r="T358" s="256"/>
      <c r="U358" s="183"/>
      <c r="V358" s="252"/>
      <c r="W358" s="524"/>
      <c r="X358" s="256"/>
      <c r="Y358" s="252"/>
      <c r="Z358" s="252">
        <f>IF(ISBLANK(O358),"",IF(O358="ACT",1,-1))</f>
        <v>-1</v>
      </c>
      <c r="AA358" s="257"/>
      <c r="AC358" s="244"/>
      <c r="AD358" s="244"/>
      <c r="AE358" s="256"/>
      <c r="AF358" s="256"/>
    </row>
    <row r="359" spans="1:32" x14ac:dyDescent="0.3">
      <c r="A359" s="235"/>
      <c r="C359" s="528" t="str">
        <f>'RSD (DEA)'!Z144</f>
        <v>HP_ELC_04</v>
      </c>
      <c r="D359" s="512" t="str">
        <f>RSD_HeatingDemand!N359&amp;"_"&amp;LEFT(C359,LEN(C359)-2)&amp;"08"</f>
        <v>RHHSB_HP_ELC_08</v>
      </c>
      <c r="E359" s="512" t="str">
        <f>"R"&amp;LEFT('RSD (DEA)'!AD144,2)&amp;IF(ISNUMBER(IFERROR(FIND("HTH",'RSD (DEA)'!Z144),IFERROR(FIND("HP",'RSD (DEA)'!Z144),"C"))),IF(IFERROR(FIND("HTH",'RSD (DEA)'!Z144),100)=100,"B","A"),"C")</f>
        <v>RHSB</v>
      </c>
      <c r="F359" s="515"/>
      <c r="G359" s="515"/>
      <c r="H359" s="540" t="str">
        <f t="shared" si="8"/>
        <v>RHHSB_HP_ELC_31</v>
      </c>
      <c r="I359" s="512" t="str">
        <f>'RSD (DEA)'!AA144</f>
        <v>Electric heat pumps, Air-to-water</v>
      </c>
      <c r="J359" s="242" t="s">
        <v>239</v>
      </c>
      <c r="K359" s="242" t="s">
        <v>240</v>
      </c>
      <c r="L359" s="512" t="str">
        <f>'RSD (DEA)'!AH144</f>
        <v>RSDELC</v>
      </c>
      <c r="M359" s="182" t="str">
        <f>'RSD (DEA)'!AI144</f>
        <v>RSDAHT</v>
      </c>
      <c r="N359" s="235" t="str">
        <f>LEFT('RSD (DEA)'!AJ144,2)&amp;RIGHT(E359,3)</f>
        <v>RHHSB</v>
      </c>
      <c r="O359" s="244"/>
      <c r="P359" s="182">
        <f>IF('RSD (DEA)'!P144&lt;RSD_HeatingDemand!$AH$15,RSD_HeatingDemand!$AH$15,'RSD (DEA)'!P144)</f>
        <v>2019</v>
      </c>
      <c r="Q359" s="182">
        <f>IF('RSD (DEA)'!X144&lt;RSD_HeatingDemand!$AH$15,RSD_HeatingDemand!$AH$15,'RSD (DEA)'!X144)</f>
        <v>2030</v>
      </c>
      <c r="R359" s="525">
        <f>IF(ISBLANK(I359),IF(MID(N359,2,2)="HA",VLOOKUP(I358,KEY_RSD_AF!$C$5:$G$52,2,FALSE),IF(MID(N359,2,2)="WA",VLOOKUP(I358,KEY_RSD_AF!$C$5:$G$52,3,FALSE),IF(MID(N359,2,2)="HH",VLOOKUP(I358,KEY_RSD_AF!$C$5:$G$52,4,FALSE),IF(MID(N359,2,2)="WH",VLOOKUP(I358,KEY_RSD_AF!$C$5:$G$52,5,FALSE))))),IF(MID(N359,2,2)="HA",VLOOKUP(I359,KEY_RSD_AF!$C$5:$G$52,2,FALSE),IF(MID(N359,2,2)="WA",VLOOKUP(I359,KEY_RSD_AF!$C$5:$G$52,3,FALSE),IF(MID(N359,2,2)="HH",VLOOKUP(I359,KEY_RSD_AF!$C$5:$G$52,4,FALSE),IF(MID(N359,2,2)="WH",VLOOKUP(I359,KEY_RSD_AF!$C$5:$G$52,5,FALSE))))))</f>
        <v>1</v>
      </c>
      <c r="S359" s="183">
        <f>'RSD (DEA)'!AZ144</f>
        <v>3.2</v>
      </c>
      <c r="T359" s="183">
        <f>'RSD (DEA)'!BA144</f>
        <v>3.4</v>
      </c>
      <c r="U359" s="183">
        <v>0.5</v>
      </c>
      <c r="V359" s="182">
        <f>'RSD (DEA)'!BR144/'RSD (DEA)'!S144</f>
        <v>63.75</v>
      </c>
      <c r="W359" s="184">
        <f>'RSD (DEA)'!BS144/RSD_HeatingDemand!$AH$9</f>
        <v>0</v>
      </c>
      <c r="X359" s="183">
        <f>'RSD (DEA)'!BK144*RSD_HeatingDemand!$AH$10/'RSD (DEA)'!S144</f>
        <v>1500</v>
      </c>
      <c r="Y359" s="182">
        <f>'RSD (DEA)'!BI144</f>
        <v>18</v>
      </c>
      <c r="Z359" s="252" t="str">
        <f>IF(ISBLANK(O359),"",IF(O359="ACT",1,-1))</f>
        <v/>
      </c>
      <c r="AA359" s="236">
        <f>'RSD (DEA)'!AM144</f>
        <v>31.536000000000001</v>
      </c>
      <c r="AC359" s="235">
        <f>'RSD (DEA)'!S144</f>
        <v>4</v>
      </c>
      <c r="AD359" s="235" t="str">
        <f>LEFT('RSD (DEA)'!AK144,2)&amp;RIGHT(E359,3)</f>
        <v>RWHSB</v>
      </c>
      <c r="AE359" s="183">
        <f>'RSD (DEA)'!BA144</f>
        <v>3.4</v>
      </c>
      <c r="AF359" s="183"/>
    </row>
    <row r="360" spans="1:32" x14ac:dyDescent="0.3">
      <c r="A360" s="235"/>
      <c r="D360" s="512"/>
      <c r="E360" s="512"/>
      <c r="F360" s="515"/>
      <c r="G360" s="515"/>
      <c r="H360" s="540"/>
      <c r="I360" s="512"/>
      <c r="J360" s="242"/>
      <c r="K360" s="242"/>
      <c r="L360" s="512"/>
      <c r="M360" s="182"/>
      <c r="N360" s="318" t="str">
        <f>AD359</f>
        <v>RWHSB</v>
      </c>
      <c r="O360" s="244"/>
      <c r="P360" s="182"/>
      <c r="Q360" s="182"/>
      <c r="R360" s="525">
        <f>IF(ISBLANK(I360),IF(MID(N360,2,2)="HA",VLOOKUP(I359,KEY_RSD_AF!$C$5:$G$52,2,FALSE),IF(MID(N360,2,2)="WA",VLOOKUP(I359,KEY_RSD_AF!$C$5:$G$52,3,FALSE),IF(MID(N360,2,2)="HH",VLOOKUP(I359,KEY_RSD_AF!$C$5:$G$52,4,FALSE),IF(MID(N360,2,2)="WH",VLOOKUP(I359,KEY_RSD_AF!$C$5:$G$52,5,FALSE))))),IF(MID(N360,2,2)="HA",VLOOKUP(I360,KEY_RSD_AF!$C$5:$G$52,2,FALSE),IF(MID(N360,2,2)="WA",VLOOKUP(I360,KEY_RSD_AF!$C$5:$G$52,3,FALSE),IF(MID(N360,2,2)="HH",VLOOKUP(I360,KEY_RSD_AF!$C$5:$G$52,4,FALSE),IF(MID(N360,2,2)="WH",VLOOKUP(I360,KEY_RSD_AF!$C$5:$G$52,5,FALSE))))))</f>
        <v>1</v>
      </c>
      <c r="S360" s="503">
        <f>T359</f>
        <v>3.4</v>
      </c>
      <c r="T360" s="183"/>
      <c r="U360" s="183"/>
      <c r="V360" s="182"/>
      <c r="W360" s="184"/>
      <c r="X360" s="183"/>
      <c r="Y360" s="182"/>
      <c r="Z360" s="252"/>
      <c r="AA360" s="236"/>
      <c r="AC360" s="235"/>
      <c r="AD360" s="235"/>
      <c r="AE360" s="183"/>
      <c r="AF360" s="183"/>
    </row>
    <row r="361" spans="1:32" x14ac:dyDescent="0.3">
      <c r="A361" s="244"/>
      <c r="D361" s="512"/>
      <c r="E361" s="513"/>
      <c r="F361" s="515"/>
      <c r="G361" s="515"/>
      <c r="H361" s="540"/>
      <c r="I361" s="513"/>
      <c r="J361" s="255"/>
      <c r="K361" s="255"/>
      <c r="L361" s="513"/>
      <c r="M361" s="252" t="str">
        <f>M359</f>
        <v>RSDAHT</v>
      </c>
      <c r="N361" s="244"/>
      <c r="O361" s="244" t="str">
        <f>$AH$12</f>
        <v>ACT</v>
      </c>
      <c r="P361" s="252"/>
      <c r="Q361" s="252"/>
      <c r="R361" s="525"/>
      <c r="S361" s="256"/>
      <c r="T361" s="256"/>
      <c r="U361" s="183"/>
      <c r="V361" s="252"/>
      <c r="W361" s="524"/>
      <c r="X361" s="256"/>
      <c r="Y361" s="252"/>
      <c r="Z361" s="252">
        <f>IF(ISBLANK(O361),"",IF(O361="ACT",1,-1))</f>
        <v>1</v>
      </c>
      <c r="AA361" s="257"/>
      <c r="AC361" s="244"/>
      <c r="AD361" s="244"/>
      <c r="AE361" s="256"/>
      <c r="AF361" s="256"/>
    </row>
    <row r="362" spans="1:32" x14ac:dyDescent="0.3">
      <c r="A362" s="244"/>
      <c r="D362" s="512"/>
      <c r="E362" s="513"/>
      <c r="F362" s="515"/>
      <c r="G362" s="515"/>
      <c r="H362" s="540"/>
      <c r="I362" s="513"/>
      <c r="J362" s="255"/>
      <c r="K362" s="255"/>
      <c r="L362" s="513"/>
      <c r="M362" s="252" t="str">
        <f>M361</f>
        <v>RSDAHT</v>
      </c>
      <c r="N362" s="244"/>
      <c r="O362" s="244" t="str">
        <f>L359</f>
        <v>RSDELC</v>
      </c>
      <c r="P362" s="252"/>
      <c r="Q362" s="252"/>
      <c r="R362" s="525"/>
      <c r="S362" s="256"/>
      <c r="T362" s="256"/>
      <c r="U362" s="183"/>
      <c r="V362" s="252"/>
      <c r="W362" s="524"/>
      <c r="X362" s="256"/>
      <c r="Y362" s="252"/>
      <c r="Z362" s="252">
        <f>IF(ISBLANK(O362),"",IF(O362="ACT",1,-1))</f>
        <v>-1</v>
      </c>
      <c r="AA362" s="257"/>
      <c r="AC362" s="244"/>
      <c r="AD362" s="244"/>
      <c r="AE362" s="256"/>
      <c r="AF362" s="256"/>
    </row>
    <row r="363" spans="1:32" x14ac:dyDescent="0.3">
      <c r="A363" s="235"/>
      <c r="C363" s="528" t="str">
        <f>'RSD (DEA)'!Z145</f>
        <v>HP_ELC_04</v>
      </c>
      <c r="D363" s="512" t="str">
        <f>RSD_HeatingDemand!N363&amp;"_"&amp;LEFT(C363,LEN(C363)-2)&amp;"08"</f>
        <v>RHHSB_HP_ELC_08</v>
      </c>
      <c r="E363" s="512" t="str">
        <f>"R"&amp;LEFT('RSD (DEA)'!AD145,2)&amp;IF(ISNUMBER(IFERROR(FIND("HTH",'RSD (DEA)'!Z145),IFERROR(FIND("HP",'RSD (DEA)'!Z145),"C"))),IF(IFERROR(FIND("HTH",'RSD (DEA)'!Z145),100)=100,"B","A"),"C")</f>
        <v>RHSB</v>
      </c>
      <c r="F363" s="515"/>
      <c r="G363" s="515"/>
      <c r="H363" s="540" t="str">
        <f t="shared" si="8"/>
        <v>RHHSB_HP_ELC_32</v>
      </c>
      <c r="I363" s="512" t="str">
        <f>'RSD (DEA)'!AA145</f>
        <v>Electric heat pumps, Air-to-water</v>
      </c>
      <c r="J363" s="242" t="s">
        <v>239</v>
      </c>
      <c r="K363" s="242" t="s">
        <v>240</v>
      </c>
      <c r="L363" s="512" t="str">
        <f>'RSD (DEA)'!AH145</f>
        <v>RSDELC</v>
      </c>
      <c r="M363" s="182" t="str">
        <f>'RSD (DEA)'!AI145</f>
        <v>RSDAHT</v>
      </c>
      <c r="N363" s="235" t="str">
        <f>LEFT('RSD (DEA)'!AJ145,2)&amp;RIGHT(E363,3)</f>
        <v>RHHSB</v>
      </c>
      <c r="O363" s="244"/>
      <c r="P363" s="182">
        <f>IF('RSD (DEA)'!P145&lt;RSD_HeatingDemand!$AH$15,RSD_HeatingDemand!$AH$15,'RSD (DEA)'!P145)</f>
        <v>2019</v>
      </c>
      <c r="Q363" s="182">
        <f>IF('RSD (DEA)'!X145&lt;RSD_HeatingDemand!$AH$15,RSD_HeatingDemand!$AH$15,'RSD (DEA)'!X145)</f>
        <v>2050</v>
      </c>
      <c r="R363" s="525">
        <f>IF(ISBLANK(I363),IF(MID(N363,2,2)="HA",VLOOKUP(I362,KEY_RSD_AF!$C$5:$G$52,2,FALSE),IF(MID(N363,2,2)="WA",VLOOKUP(I362,KEY_RSD_AF!$C$5:$G$52,3,FALSE),IF(MID(N363,2,2)="HH",VLOOKUP(I362,KEY_RSD_AF!$C$5:$G$52,4,FALSE),IF(MID(N363,2,2)="WH",VLOOKUP(I362,KEY_RSD_AF!$C$5:$G$52,5,FALSE))))),IF(MID(N363,2,2)="HA",VLOOKUP(I363,KEY_RSD_AF!$C$5:$G$52,2,FALSE),IF(MID(N363,2,2)="WA",VLOOKUP(I363,KEY_RSD_AF!$C$5:$G$52,3,FALSE),IF(MID(N363,2,2)="HH",VLOOKUP(I363,KEY_RSD_AF!$C$5:$G$52,4,FALSE),IF(MID(N363,2,2)="WH",VLOOKUP(I363,KEY_RSD_AF!$C$5:$G$52,5,FALSE))))))</f>
        <v>1</v>
      </c>
      <c r="S363" s="183">
        <f>'RSD (DEA)'!AZ145</f>
        <v>3.35</v>
      </c>
      <c r="T363" s="183">
        <f>'RSD (DEA)'!BA145</f>
        <v>3.55</v>
      </c>
      <c r="U363" s="183">
        <v>0.5</v>
      </c>
      <c r="V363" s="182">
        <f>'RSD (DEA)'!BR145/'RSD (DEA)'!S145</f>
        <v>59.75</v>
      </c>
      <c r="W363" s="184">
        <f>'RSD (DEA)'!BS145/RSD_HeatingDemand!$AH$9</f>
        <v>0</v>
      </c>
      <c r="X363" s="183">
        <f>'RSD (DEA)'!BK145*RSD_HeatingDemand!$AH$10/'RSD (DEA)'!S145</f>
        <v>1250</v>
      </c>
      <c r="Y363" s="182">
        <f>'RSD (DEA)'!BI145</f>
        <v>18</v>
      </c>
      <c r="Z363" s="252" t="str">
        <f>IF(ISBLANK(O363),"",IF(O363="ACT",1,-1))</f>
        <v/>
      </c>
      <c r="AA363" s="236">
        <f>'RSD (DEA)'!AM145</f>
        <v>31.536000000000001</v>
      </c>
      <c r="AC363" s="235">
        <f>'RSD (DEA)'!S145</f>
        <v>4</v>
      </c>
      <c r="AD363" s="235" t="str">
        <f>LEFT('RSD (DEA)'!AK145,2)&amp;RIGHT(E363,3)</f>
        <v>RWHSB</v>
      </c>
      <c r="AE363" s="183">
        <f>'RSD (DEA)'!BA145</f>
        <v>3.55</v>
      </c>
      <c r="AF363" s="183"/>
    </row>
    <row r="364" spans="1:32" x14ac:dyDescent="0.3">
      <c r="A364" s="235"/>
      <c r="D364" s="512"/>
      <c r="E364" s="512"/>
      <c r="F364" s="515"/>
      <c r="G364" s="515"/>
      <c r="H364" s="540"/>
      <c r="I364" s="512"/>
      <c r="J364" s="242"/>
      <c r="K364" s="242"/>
      <c r="L364" s="512"/>
      <c r="M364" s="182"/>
      <c r="N364" s="318" t="str">
        <f>AD363</f>
        <v>RWHSB</v>
      </c>
      <c r="O364" s="244"/>
      <c r="P364" s="182"/>
      <c r="Q364" s="182"/>
      <c r="R364" s="525">
        <f>IF(ISBLANK(I364),IF(MID(N364,2,2)="HA",VLOOKUP(I363,KEY_RSD_AF!$C$5:$G$52,2,FALSE),IF(MID(N364,2,2)="WA",VLOOKUP(I363,KEY_RSD_AF!$C$5:$G$52,3,FALSE),IF(MID(N364,2,2)="HH",VLOOKUP(I363,KEY_RSD_AF!$C$5:$G$52,4,FALSE),IF(MID(N364,2,2)="WH",VLOOKUP(I363,KEY_RSD_AF!$C$5:$G$52,5,FALSE))))),IF(MID(N364,2,2)="HA",VLOOKUP(I364,KEY_RSD_AF!$C$5:$G$52,2,FALSE),IF(MID(N364,2,2)="WA",VLOOKUP(I364,KEY_RSD_AF!$C$5:$G$52,3,FALSE),IF(MID(N364,2,2)="HH",VLOOKUP(I364,KEY_RSD_AF!$C$5:$G$52,4,FALSE),IF(MID(N364,2,2)="WH",VLOOKUP(I364,KEY_RSD_AF!$C$5:$G$52,5,FALSE))))))</f>
        <v>1</v>
      </c>
      <c r="S364" s="503">
        <f>T363</f>
        <v>3.55</v>
      </c>
      <c r="T364" s="183"/>
      <c r="U364" s="183"/>
      <c r="V364" s="182"/>
      <c r="W364" s="184"/>
      <c r="X364" s="183"/>
      <c r="Y364" s="182"/>
      <c r="Z364" s="252"/>
      <c r="AA364" s="236"/>
      <c r="AC364" s="235"/>
      <c r="AD364" s="235"/>
      <c r="AE364" s="183"/>
      <c r="AF364" s="183"/>
    </row>
    <row r="365" spans="1:32" x14ac:dyDescent="0.3">
      <c r="A365" s="244"/>
      <c r="D365" s="512"/>
      <c r="E365" s="513"/>
      <c r="F365" s="515"/>
      <c r="G365" s="515"/>
      <c r="H365" s="540"/>
      <c r="I365" s="513"/>
      <c r="J365" s="255"/>
      <c r="K365" s="255"/>
      <c r="L365" s="513"/>
      <c r="M365" s="252" t="str">
        <f>M363</f>
        <v>RSDAHT</v>
      </c>
      <c r="N365" s="244"/>
      <c r="O365" s="244" t="str">
        <f>$AH$12</f>
        <v>ACT</v>
      </c>
      <c r="P365" s="252"/>
      <c r="Q365" s="252"/>
      <c r="R365" s="525"/>
      <c r="S365" s="256"/>
      <c r="T365" s="256"/>
      <c r="U365" s="183"/>
      <c r="V365" s="252"/>
      <c r="W365" s="524"/>
      <c r="X365" s="256"/>
      <c r="Y365" s="252"/>
      <c r="Z365" s="252">
        <f>IF(ISBLANK(O365),"",IF(O365="ACT",1,-1))</f>
        <v>1</v>
      </c>
      <c r="AA365" s="257"/>
      <c r="AC365" s="244"/>
      <c r="AD365" s="244"/>
      <c r="AE365" s="256"/>
      <c r="AF365" s="256"/>
    </row>
    <row r="366" spans="1:32" x14ac:dyDescent="0.3">
      <c r="A366" s="244"/>
      <c r="D366" s="512"/>
      <c r="E366" s="513"/>
      <c r="F366" s="515"/>
      <c r="G366" s="515"/>
      <c r="H366" s="540"/>
      <c r="I366" s="513"/>
      <c r="J366" s="255"/>
      <c r="K366" s="255"/>
      <c r="L366" s="513"/>
      <c r="M366" s="252" t="str">
        <f>M365</f>
        <v>RSDAHT</v>
      </c>
      <c r="N366" s="244"/>
      <c r="O366" s="244" t="str">
        <f>L363</f>
        <v>RSDELC</v>
      </c>
      <c r="P366" s="252"/>
      <c r="Q366" s="252"/>
      <c r="R366" s="525"/>
      <c r="S366" s="256"/>
      <c r="T366" s="256"/>
      <c r="U366" s="183"/>
      <c r="V366" s="252"/>
      <c r="W366" s="524"/>
      <c r="X366" s="256"/>
      <c r="Y366" s="252"/>
      <c r="Z366" s="252">
        <f>IF(ISBLANK(O366),"",IF(O366="ACT",1,-1))</f>
        <v>-1</v>
      </c>
      <c r="AA366" s="257"/>
      <c r="AC366" s="244"/>
      <c r="AD366" s="244"/>
      <c r="AE366" s="256"/>
      <c r="AF366" s="256"/>
    </row>
    <row r="367" spans="1:32" x14ac:dyDescent="0.3">
      <c r="A367" s="235"/>
      <c r="C367" s="528" t="str">
        <f>'RSD (DEA)'!Z146</f>
        <v>HP_ELC_05</v>
      </c>
      <c r="D367" s="512" t="str">
        <f>RSD_HeatingDemand!N367&amp;"_"&amp;LEFT(C367,LEN(C367)-2)&amp;"05"</f>
        <v>RHAPB_HP_ELC_05</v>
      </c>
      <c r="E367" s="512" t="str">
        <f>"R"&amp;LEFT('RSD (DEA)'!AD146,2)&amp;IF(ISNUMBER(IFERROR(FIND("HTH",'RSD (DEA)'!Z146),IFERROR(FIND("HP",'RSD (DEA)'!Z146),"C"))),IF(IFERROR(FIND("HTH",'RSD (DEA)'!Z146),100)=100,"B","A"),"C")</f>
        <v>RAPB</v>
      </c>
      <c r="F367" s="515"/>
      <c r="G367" s="515"/>
      <c r="H367" s="540" t="str">
        <f>IF(LEFT(D367,LEN(D367)-2)=LEFT(D331,LEN(D367)-2),LEFT(D367,LEN(D367)-2)&amp;IF(RIGHT(H331,2)+1&lt;=9,"0"&amp;RIGHT(H331)+1,RIGHT(H331,2)+1),D367)</f>
        <v>RHAPB_HP_ELC_17</v>
      </c>
      <c r="I367" s="512" t="str">
        <f>'RSD (DEA)'!AA146</f>
        <v>Electric heat pumps, Air-to-water</v>
      </c>
      <c r="J367" s="242" t="s">
        <v>239</v>
      </c>
      <c r="K367" s="242" t="s">
        <v>240</v>
      </c>
      <c r="L367" s="512" t="str">
        <f>'RSD (DEA)'!AH146</f>
        <v>RSDELC</v>
      </c>
      <c r="M367" s="182" t="str">
        <f>'RSD (DEA)'!AI146</f>
        <v>RSDAHT</v>
      </c>
      <c r="N367" s="235" t="str">
        <f>LEFT('RSD (DEA)'!AJ146,2)&amp;RIGHT(E367,3)</f>
        <v>RHAPB</v>
      </c>
      <c r="O367" s="244"/>
      <c r="P367" s="182">
        <f>IF('RSD (DEA)'!P146&lt;RSD_HeatingDemand!$AH$15,RSD_HeatingDemand!$AH$15,'RSD (DEA)'!P146)</f>
        <v>2019</v>
      </c>
      <c r="Q367" s="182">
        <f>IF('RSD (DEA)'!X146&lt;RSD_HeatingDemand!$AH$15,RSD_HeatingDemand!$AH$15,'RSD (DEA)'!X146)</f>
        <v>2019</v>
      </c>
      <c r="R367" s="525">
        <f>IF(ISBLANK(I367),IF(MID(N367,2,2)="HA",VLOOKUP(I366,KEY_RSD_AF!$C$5:$G$52,2,FALSE),IF(MID(N367,2,2)="WA",VLOOKUP(I366,KEY_RSD_AF!$C$5:$G$52,3,FALSE),IF(MID(N367,2,2)="HH",VLOOKUP(I366,KEY_RSD_AF!$C$5:$G$52,4,FALSE),IF(MID(N367,2,2)="WH",VLOOKUP(I366,KEY_RSD_AF!$C$5:$G$52,5,FALSE))))),IF(MID(N367,2,2)="HA",VLOOKUP(I367,KEY_RSD_AF!$C$5:$G$52,2,FALSE),IF(MID(N367,2,2)="WA",VLOOKUP(I367,KEY_RSD_AF!$C$5:$G$52,3,FALSE),IF(MID(N367,2,2)="HH",VLOOKUP(I367,KEY_RSD_AF!$C$5:$G$52,4,FALSE),IF(MID(N367,2,2)="WH",VLOOKUP(I367,KEY_RSD_AF!$C$5:$G$52,5,FALSE))))))</f>
        <v>1</v>
      </c>
      <c r="S367" s="183">
        <f>'RSD (DEA)'!AZ146</f>
        <v>3.65</v>
      </c>
      <c r="T367" s="183">
        <f>'RSD (DEA)'!BA146</f>
        <v>3.8</v>
      </c>
      <c r="U367" s="183">
        <v>0.5</v>
      </c>
      <c r="V367" s="182">
        <f>'RSD (DEA)'!BR146/'RSD (DEA)'!S146</f>
        <v>4.0999999999999996</v>
      </c>
      <c r="W367" s="184">
        <f>'RSD (DEA)'!BS146/RSD_HeatingDemand!$AH$9</f>
        <v>0.12291666666666666</v>
      </c>
      <c r="X367" s="183">
        <f>'RSD (DEA)'!BK146*RSD_HeatingDemand!$AH$10/'RSD (DEA)'!S146</f>
        <v>375</v>
      </c>
      <c r="Y367" s="182">
        <f>'RSD (DEA)'!BI146</f>
        <v>20</v>
      </c>
      <c r="Z367" s="252" t="str">
        <f>IF(ISBLANK(O367),"",IF(O367="ACT",1,-1))</f>
        <v/>
      </c>
      <c r="AA367" s="236">
        <f>'RSD (DEA)'!AM146</f>
        <v>31.536000000000001</v>
      </c>
      <c r="AC367" s="235">
        <f>'RSD (DEA)'!S146</f>
        <v>400</v>
      </c>
      <c r="AD367" s="235" t="str">
        <f>LEFT('RSD (DEA)'!AK146,2)&amp;RIGHT(E367,3)</f>
        <v>RWAPB</v>
      </c>
      <c r="AE367" s="183">
        <f>'RSD (DEA)'!BA146</f>
        <v>3.8</v>
      </c>
      <c r="AF367" s="183"/>
    </row>
    <row r="368" spans="1:32" x14ac:dyDescent="0.3">
      <c r="A368" s="235"/>
      <c r="D368" s="512"/>
      <c r="E368" s="512"/>
      <c r="F368" s="515"/>
      <c r="G368" s="515"/>
      <c r="H368" s="540"/>
      <c r="I368" s="512"/>
      <c r="J368" s="242"/>
      <c r="K368" s="242"/>
      <c r="L368" s="512"/>
      <c r="M368" s="182"/>
      <c r="N368" s="318" t="str">
        <f>AD367</f>
        <v>RWAPB</v>
      </c>
      <c r="O368" s="244"/>
      <c r="P368" s="182"/>
      <c r="Q368" s="182"/>
      <c r="R368" s="525">
        <f>IF(ISBLANK(I368),IF(MID(N368,2,2)="HA",VLOOKUP(I367,KEY_RSD_AF!$C$5:$G$52,2,FALSE),IF(MID(N368,2,2)="WA",VLOOKUP(I367,KEY_RSD_AF!$C$5:$G$52,3,FALSE),IF(MID(N368,2,2)="HH",VLOOKUP(I367,KEY_RSD_AF!$C$5:$G$52,4,FALSE),IF(MID(N368,2,2)="WH",VLOOKUP(I367,KEY_RSD_AF!$C$5:$G$52,5,FALSE))))),IF(MID(N368,2,2)="HA",VLOOKUP(I368,KEY_RSD_AF!$C$5:$G$52,2,FALSE),IF(MID(N368,2,2)="WA",VLOOKUP(I368,KEY_RSD_AF!$C$5:$G$52,3,FALSE),IF(MID(N368,2,2)="HH",VLOOKUP(I368,KEY_RSD_AF!$C$5:$G$52,4,FALSE),IF(MID(N368,2,2)="WH",VLOOKUP(I368,KEY_RSD_AF!$C$5:$G$52,5,FALSE))))))</f>
        <v>1</v>
      </c>
      <c r="S368" s="503">
        <f>T367</f>
        <v>3.8</v>
      </c>
      <c r="T368" s="183"/>
      <c r="U368" s="183"/>
      <c r="V368" s="182"/>
      <c r="W368" s="184"/>
      <c r="X368" s="183"/>
      <c r="Y368" s="182"/>
      <c r="Z368" s="252"/>
      <c r="AA368" s="236"/>
      <c r="AC368" s="235"/>
      <c r="AD368" s="235"/>
      <c r="AE368" s="183"/>
      <c r="AF368" s="183"/>
    </row>
    <row r="369" spans="1:32" x14ac:dyDescent="0.3">
      <c r="A369" s="244"/>
      <c r="D369" s="512"/>
      <c r="E369" s="513"/>
      <c r="F369" s="515"/>
      <c r="G369" s="515"/>
      <c r="H369" s="540"/>
      <c r="I369" s="513"/>
      <c r="J369" s="255"/>
      <c r="K369" s="255"/>
      <c r="L369" s="513"/>
      <c r="M369" s="252" t="str">
        <f>M367</f>
        <v>RSDAHT</v>
      </c>
      <c r="N369" s="244"/>
      <c r="O369" s="244" t="str">
        <f>$AH$12</f>
        <v>ACT</v>
      </c>
      <c r="P369" s="252"/>
      <c r="Q369" s="252"/>
      <c r="R369" s="525"/>
      <c r="S369" s="256"/>
      <c r="T369" s="256"/>
      <c r="U369" s="183"/>
      <c r="V369" s="252"/>
      <c r="W369" s="524"/>
      <c r="X369" s="256"/>
      <c r="Y369" s="252"/>
      <c r="Z369" s="252">
        <f>IF(ISBLANK(O369),"",IF(O369="ACT",1,-1))</f>
        <v>1</v>
      </c>
      <c r="AA369" s="257"/>
      <c r="AC369" s="244"/>
      <c r="AD369" s="244"/>
      <c r="AE369" s="256"/>
      <c r="AF369" s="256"/>
    </row>
    <row r="370" spans="1:32" x14ac:dyDescent="0.3">
      <c r="A370" s="244"/>
      <c r="D370" s="512"/>
      <c r="E370" s="513"/>
      <c r="F370" s="515"/>
      <c r="G370" s="515"/>
      <c r="H370" s="540"/>
      <c r="I370" s="513"/>
      <c r="J370" s="255"/>
      <c r="K370" s="255"/>
      <c r="L370" s="513"/>
      <c r="M370" s="252" t="str">
        <f>M369</f>
        <v>RSDAHT</v>
      </c>
      <c r="N370" s="244"/>
      <c r="O370" s="244" t="str">
        <f>L367</f>
        <v>RSDELC</v>
      </c>
      <c r="P370" s="252"/>
      <c r="Q370" s="252"/>
      <c r="R370" s="525"/>
      <c r="S370" s="256"/>
      <c r="T370" s="256"/>
      <c r="U370" s="183"/>
      <c r="V370" s="252"/>
      <c r="W370" s="524"/>
      <c r="X370" s="256"/>
      <c r="Y370" s="252"/>
      <c r="Z370" s="252">
        <f>IF(ISBLANK(O370),"",IF(O370="ACT",1,-1))</f>
        <v>-1</v>
      </c>
      <c r="AA370" s="257"/>
      <c r="AC370" s="244"/>
      <c r="AD370" s="244"/>
      <c r="AE370" s="256"/>
      <c r="AF370" s="256"/>
    </row>
    <row r="371" spans="1:32" x14ac:dyDescent="0.3">
      <c r="A371" s="235"/>
      <c r="C371" s="528" t="str">
        <f>'RSD (DEA)'!Z147</f>
        <v>HP_ELC_05</v>
      </c>
      <c r="D371" s="512" t="str">
        <f>RSD_HeatingDemand!N371&amp;"_"&amp;LEFT(C371,LEN(C371)-2)&amp;"05"</f>
        <v>RHAPB_HP_ELC_05</v>
      </c>
      <c r="E371" s="512" t="str">
        <f>"R"&amp;LEFT('RSD (DEA)'!AD147,2)&amp;IF(ISNUMBER(IFERROR(FIND("HTH",'RSD (DEA)'!Z147),IFERROR(FIND("HP",'RSD (DEA)'!Z147),"C"))),IF(IFERROR(FIND("HTH",'RSD (DEA)'!Z147),100)=100,"B","A"),"C")</f>
        <v>RAPB</v>
      </c>
      <c r="F371" s="515"/>
      <c r="G371" s="515"/>
      <c r="H371" s="540" t="str">
        <f t="shared" si="8"/>
        <v>RHAPB_HP_ELC_18</v>
      </c>
      <c r="I371" s="512" t="str">
        <f>'RSD (DEA)'!AA147</f>
        <v>Electric heat pumps, Air-to-water</v>
      </c>
      <c r="J371" s="242" t="s">
        <v>239</v>
      </c>
      <c r="K371" s="242" t="s">
        <v>240</v>
      </c>
      <c r="L371" s="512" t="str">
        <f>'RSD (DEA)'!AH147</f>
        <v>RSDELC</v>
      </c>
      <c r="M371" s="182" t="str">
        <f>'RSD (DEA)'!AI147</f>
        <v>RSDAHT</v>
      </c>
      <c r="N371" s="235" t="str">
        <f>LEFT('RSD (DEA)'!AJ147,2)&amp;RIGHT(E371,3)</f>
        <v>RHAPB</v>
      </c>
      <c r="O371" s="244"/>
      <c r="P371" s="182">
        <f>IF('RSD (DEA)'!P147&lt;RSD_HeatingDemand!$AH$15,RSD_HeatingDemand!$AH$15,'RSD (DEA)'!P147)</f>
        <v>2019</v>
      </c>
      <c r="Q371" s="182">
        <f>IF('RSD (DEA)'!X147&lt;RSD_HeatingDemand!$AH$15,RSD_HeatingDemand!$AH$15,'RSD (DEA)'!X147)</f>
        <v>2020</v>
      </c>
      <c r="R371" s="525">
        <f>IF(ISBLANK(I371),IF(MID(N371,2,2)="HA",VLOOKUP(I370,KEY_RSD_AF!$C$5:$G$52,2,FALSE),IF(MID(N371,2,2)="WA",VLOOKUP(I370,KEY_RSD_AF!$C$5:$G$52,3,FALSE),IF(MID(N371,2,2)="HH",VLOOKUP(I370,KEY_RSD_AF!$C$5:$G$52,4,FALSE),IF(MID(N371,2,2)="WH",VLOOKUP(I370,KEY_RSD_AF!$C$5:$G$52,5,FALSE))))),IF(MID(N371,2,2)="HA",VLOOKUP(I371,KEY_RSD_AF!$C$5:$G$52,2,FALSE),IF(MID(N371,2,2)="WA",VLOOKUP(I371,KEY_RSD_AF!$C$5:$G$52,3,FALSE),IF(MID(N371,2,2)="HH",VLOOKUP(I371,KEY_RSD_AF!$C$5:$G$52,4,FALSE),IF(MID(N371,2,2)="WH",VLOOKUP(I371,KEY_RSD_AF!$C$5:$G$52,5,FALSE))))))</f>
        <v>1</v>
      </c>
      <c r="S371" s="183">
        <f>'RSD (DEA)'!AZ147</f>
        <v>3.75</v>
      </c>
      <c r="T371" s="183">
        <f>'RSD (DEA)'!BA147</f>
        <v>3.9</v>
      </c>
      <c r="U371" s="183">
        <v>0.5</v>
      </c>
      <c r="V371" s="182">
        <f>'RSD (DEA)'!BR147/'RSD (DEA)'!S147</f>
        <v>4.125</v>
      </c>
      <c r="W371" s="184">
        <f>'RSD (DEA)'!BS147/RSD_HeatingDemand!$AH$9</f>
        <v>0.12291666666666666</v>
      </c>
      <c r="X371" s="183">
        <f>'RSD (DEA)'!BK147*RSD_HeatingDemand!$AH$10/'RSD (DEA)'!S147</f>
        <v>352.5</v>
      </c>
      <c r="Y371" s="182">
        <f>'RSD (DEA)'!BI147</f>
        <v>20</v>
      </c>
      <c r="Z371" s="252" t="str">
        <f>IF(ISBLANK(O371),"",IF(O371="ACT",1,-1))</f>
        <v/>
      </c>
      <c r="AA371" s="236">
        <f>'RSD (DEA)'!AM147</f>
        <v>31.536000000000001</v>
      </c>
      <c r="AC371" s="235">
        <f>'RSD (DEA)'!S147</f>
        <v>400</v>
      </c>
      <c r="AD371" s="235" t="str">
        <f>LEFT('RSD (DEA)'!AK147,2)&amp;RIGHT(E371,3)</f>
        <v>RWAPB</v>
      </c>
      <c r="AE371" s="183">
        <f>'RSD (DEA)'!BA147</f>
        <v>3.9</v>
      </c>
      <c r="AF371" s="183"/>
    </row>
    <row r="372" spans="1:32" x14ac:dyDescent="0.3">
      <c r="A372" s="235"/>
      <c r="D372" s="512"/>
      <c r="E372" s="512"/>
      <c r="F372" s="515"/>
      <c r="G372" s="515"/>
      <c r="H372" s="540"/>
      <c r="I372" s="512"/>
      <c r="J372" s="242"/>
      <c r="K372" s="242"/>
      <c r="L372" s="512"/>
      <c r="M372" s="182"/>
      <c r="N372" s="318" t="str">
        <f>AD371</f>
        <v>RWAPB</v>
      </c>
      <c r="O372" s="244"/>
      <c r="P372" s="182"/>
      <c r="Q372" s="182"/>
      <c r="R372" s="525">
        <f>IF(ISBLANK(I372),IF(MID(N372,2,2)="HA",VLOOKUP(I371,KEY_RSD_AF!$C$5:$G$52,2,FALSE),IF(MID(N372,2,2)="WA",VLOOKUP(I371,KEY_RSD_AF!$C$5:$G$52,3,FALSE),IF(MID(N372,2,2)="HH",VLOOKUP(I371,KEY_RSD_AF!$C$5:$G$52,4,FALSE),IF(MID(N372,2,2)="WH",VLOOKUP(I371,KEY_RSD_AF!$C$5:$G$52,5,FALSE))))),IF(MID(N372,2,2)="HA",VLOOKUP(I372,KEY_RSD_AF!$C$5:$G$52,2,FALSE),IF(MID(N372,2,2)="WA",VLOOKUP(I372,KEY_RSD_AF!$C$5:$G$52,3,FALSE),IF(MID(N372,2,2)="HH",VLOOKUP(I372,KEY_RSD_AF!$C$5:$G$52,4,FALSE),IF(MID(N372,2,2)="WH",VLOOKUP(I372,KEY_RSD_AF!$C$5:$G$52,5,FALSE))))))</f>
        <v>1</v>
      </c>
      <c r="S372" s="503">
        <f>T371</f>
        <v>3.9</v>
      </c>
      <c r="T372" s="183"/>
      <c r="U372" s="183"/>
      <c r="V372" s="182"/>
      <c r="W372" s="184"/>
      <c r="X372" s="183"/>
      <c r="Y372" s="182"/>
      <c r="Z372" s="252"/>
      <c r="AA372" s="236"/>
      <c r="AC372" s="235"/>
      <c r="AD372" s="235"/>
      <c r="AE372" s="183"/>
      <c r="AF372" s="183"/>
    </row>
    <row r="373" spans="1:32" x14ac:dyDescent="0.3">
      <c r="A373" s="244"/>
      <c r="D373" s="512"/>
      <c r="E373" s="513"/>
      <c r="F373" s="515"/>
      <c r="G373" s="515"/>
      <c r="H373" s="540"/>
      <c r="I373" s="513"/>
      <c r="J373" s="255"/>
      <c r="K373" s="255"/>
      <c r="L373" s="513"/>
      <c r="M373" s="252" t="str">
        <f>M371</f>
        <v>RSDAHT</v>
      </c>
      <c r="N373" s="244"/>
      <c r="O373" s="244" t="str">
        <f>$AH$12</f>
        <v>ACT</v>
      </c>
      <c r="P373" s="252"/>
      <c r="Q373" s="252"/>
      <c r="R373" s="525"/>
      <c r="S373" s="256"/>
      <c r="T373" s="256"/>
      <c r="U373" s="183"/>
      <c r="V373" s="252"/>
      <c r="W373" s="524"/>
      <c r="X373" s="256"/>
      <c r="Y373" s="252"/>
      <c r="Z373" s="252">
        <f>IF(ISBLANK(O373),"",IF(O373="ACT",1,-1))</f>
        <v>1</v>
      </c>
      <c r="AA373" s="257"/>
      <c r="AC373" s="244"/>
      <c r="AD373" s="244"/>
      <c r="AE373" s="256"/>
      <c r="AF373" s="256"/>
    </row>
    <row r="374" spans="1:32" x14ac:dyDescent="0.3">
      <c r="A374" s="244"/>
      <c r="D374" s="512"/>
      <c r="E374" s="513"/>
      <c r="F374" s="515"/>
      <c r="G374" s="515"/>
      <c r="H374" s="540"/>
      <c r="I374" s="513"/>
      <c r="J374" s="255"/>
      <c r="K374" s="255"/>
      <c r="L374" s="513"/>
      <c r="M374" s="252" t="str">
        <f>M373</f>
        <v>RSDAHT</v>
      </c>
      <c r="N374" s="244"/>
      <c r="O374" s="244" t="str">
        <f>L371</f>
        <v>RSDELC</v>
      </c>
      <c r="P374" s="252"/>
      <c r="Q374" s="252"/>
      <c r="R374" s="525"/>
      <c r="S374" s="256"/>
      <c r="T374" s="256"/>
      <c r="U374" s="183"/>
      <c r="V374" s="252"/>
      <c r="W374" s="524"/>
      <c r="X374" s="256"/>
      <c r="Y374" s="252"/>
      <c r="Z374" s="252">
        <f>IF(ISBLANK(O374),"",IF(O374="ACT",1,-1))</f>
        <v>-1</v>
      </c>
      <c r="AA374" s="257"/>
      <c r="AC374" s="244"/>
      <c r="AD374" s="244"/>
      <c r="AE374" s="256"/>
      <c r="AF374" s="256"/>
    </row>
    <row r="375" spans="1:32" x14ac:dyDescent="0.3">
      <c r="A375" s="235"/>
      <c r="C375" s="528" t="str">
        <f>'RSD (DEA)'!Z148</f>
        <v>HP_ELC_05</v>
      </c>
      <c r="D375" s="512" t="str">
        <f>RSD_HeatingDemand!N375&amp;"_"&amp;LEFT(C375,LEN(C375)-2)&amp;"05"</f>
        <v>RHAPB_HP_ELC_05</v>
      </c>
      <c r="E375" s="512" t="str">
        <f>"R"&amp;LEFT('RSD (DEA)'!AD148,2)&amp;IF(ISNUMBER(IFERROR(FIND("HTH",'RSD (DEA)'!Z148),IFERROR(FIND("HP",'RSD (DEA)'!Z148),"C"))),IF(IFERROR(FIND("HTH",'RSD (DEA)'!Z148),100)=100,"B","A"),"C")</f>
        <v>RAPB</v>
      </c>
      <c r="F375" s="515"/>
      <c r="G375" s="515"/>
      <c r="H375" s="540" t="str">
        <f t="shared" si="8"/>
        <v>RHAPB_HP_ELC_19</v>
      </c>
      <c r="I375" s="512" t="str">
        <f>'RSD (DEA)'!AA148</f>
        <v>Electric heat pumps, Air-to-water</v>
      </c>
      <c r="J375" s="242" t="s">
        <v>239</v>
      </c>
      <c r="K375" s="242" t="s">
        <v>240</v>
      </c>
      <c r="L375" s="512" t="str">
        <f>'RSD (DEA)'!AH148</f>
        <v>RSDELC</v>
      </c>
      <c r="M375" s="182" t="str">
        <f>'RSD (DEA)'!AI148</f>
        <v>RSDAHT</v>
      </c>
      <c r="N375" s="235" t="str">
        <f>LEFT('RSD (DEA)'!AJ148,2)&amp;RIGHT(E375,3)</f>
        <v>RHAPB</v>
      </c>
      <c r="O375" s="244"/>
      <c r="P375" s="182">
        <f>IF('RSD (DEA)'!P148&lt;RSD_HeatingDemand!$AH$15,RSD_HeatingDemand!$AH$15,'RSD (DEA)'!P148)</f>
        <v>2019</v>
      </c>
      <c r="Q375" s="182">
        <f>IF('RSD (DEA)'!X148&lt;RSD_HeatingDemand!$AH$15,RSD_HeatingDemand!$AH$15,'RSD (DEA)'!X148)</f>
        <v>2030</v>
      </c>
      <c r="R375" s="525">
        <f>IF(ISBLANK(I375),IF(MID(N375,2,2)="HA",VLOOKUP(I374,KEY_RSD_AF!$C$5:$G$52,2,FALSE),IF(MID(N375,2,2)="WA",VLOOKUP(I374,KEY_RSD_AF!$C$5:$G$52,3,FALSE),IF(MID(N375,2,2)="HH",VLOOKUP(I374,KEY_RSD_AF!$C$5:$G$52,4,FALSE),IF(MID(N375,2,2)="WH",VLOOKUP(I374,KEY_RSD_AF!$C$5:$G$52,5,FALSE))))),IF(MID(N375,2,2)="HA",VLOOKUP(I375,KEY_RSD_AF!$C$5:$G$52,2,FALSE),IF(MID(N375,2,2)="WA",VLOOKUP(I375,KEY_RSD_AF!$C$5:$G$52,3,FALSE),IF(MID(N375,2,2)="HH",VLOOKUP(I375,KEY_RSD_AF!$C$5:$G$52,4,FALSE),IF(MID(N375,2,2)="WH",VLOOKUP(I375,KEY_RSD_AF!$C$5:$G$52,5,FALSE))))))</f>
        <v>1</v>
      </c>
      <c r="S375" s="183">
        <f>'RSD (DEA)'!AZ148</f>
        <v>3.9</v>
      </c>
      <c r="T375" s="183">
        <f>'RSD (DEA)'!BA148</f>
        <v>4</v>
      </c>
      <c r="U375" s="183">
        <v>0.5</v>
      </c>
      <c r="V375" s="182">
        <f>'RSD (DEA)'!BR148/'RSD (DEA)'!S148</f>
        <v>4.665</v>
      </c>
      <c r="W375" s="184">
        <f>'RSD (DEA)'!BS148/RSD_HeatingDemand!$AH$9</f>
        <v>0.12291666666666666</v>
      </c>
      <c r="X375" s="183">
        <f>'RSD (DEA)'!BK148*RSD_HeatingDemand!$AH$10/'RSD (DEA)'!S148</f>
        <v>317.5</v>
      </c>
      <c r="Y375" s="182">
        <f>'RSD (DEA)'!BI148</f>
        <v>20</v>
      </c>
      <c r="Z375" s="252" t="str">
        <f>IF(ISBLANK(O375),"",IF(O375="ACT",1,-1))</f>
        <v/>
      </c>
      <c r="AA375" s="236">
        <f>'RSD (DEA)'!AM148</f>
        <v>31.536000000000001</v>
      </c>
      <c r="AC375" s="235">
        <f>'RSD (DEA)'!S148</f>
        <v>400</v>
      </c>
      <c r="AD375" s="235" t="str">
        <f>LEFT('RSD (DEA)'!AK148,2)&amp;RIGHT(E375,3)</f>
        <v>RWAPB</v>
      </c>
      <c r="AE375" s="183">
        <f>'RSD (DEA)'!BA148</f>
        <v>4</v>
      </c>
      <c r="AF375" s="183"/>
    </row>
    <row r="376" spans="1:32" x14ac:dyDescent="0.3">
      <c r="A376" s="235"/>
      <c r="D376" s="512"/>
      <c r="E376" s="512"/>
      <c r="F376" s="515"/>
      <c r="G376" s="515"/>
      <c r="H376" s="540"/>
      <c r="I376" s="512"/>
      <c r="J376" s="242"/>
      <c r="K376" s="242"/>
      <c r="L376" s="512"/>
      <c r="M376" s="182"/>
      <c r="N376" s="318" t="str">
        <f>AD375</f>
        <v>RWAPB</v>
      </c>
      <c r="O376" s="244"/>
      <c r="P376" s="182"/>
      <c r="Q376" s="182"/>
      <c r="R376" s="525">
        <f>IF(ISBLANK(I376),IF(MID(N376,2,2)="HA",VLOOKUP(I375,KEY_RSD_AF!$C$5:$G$52,2,FALSE),IF(MID(N376,2,2)="WA",VLOOKUP(I375,KEY_RSD_AF!$C$5:$G$52,3,FALSE),IF(MID(N376,2,2)="HH",VLOOKUP(I375,KEY_RSD_AF!$C$5:$G$52,4,FALSE),IF(MID(N376,2,2)="WH",VLOOKUP(I375,KEY_RSD_AF!$C$5:$G$52,5,FALSE))))),IF(MID(N376,2,2)="HA",VLOOKUP(I376,KEY_RSD_AF!$C$5:$G$52,2,FALSE),IF(MID(N376,2,2)="WA",VLOOKUP(I376,KEY_RSD_AF!$C$5:$G$52,3,FALSE),IF(MID(N376,2,2)="HH",VLOOKUP(I376,KEY_RSD_AF!$C$5:$G$52,4,FALSE),IF(MID(N376,2,2)="WH",VLOOKUP(I376,KEY_RSD_AF!$C$5:$G$52,5,FALSE))))))</f>
        <v>1</v>
      </c>
      <c r="S376" s="503">
        <f>T375</f>
        <v>4</v>
      </c>
      <c r="T376" s="183"/>
      <c r="U376" s="183"/>
      <c r="V376" s="182"/>
      <c r="W376" s="184"/>
      <c r="X376" s="183"/>
      <c r="Y376" s="182"/>
      <c r="Z376" s="252"/>
      <c r="AA376" s="236"/>
      <c r="AC376" s="235"/>
      <c r="AD376" s="235"/>
      <c r="AE376" s="183"/>
      <c r="AF376" s="183"/>
    </row>
    <row r="377" spans="1:32" x14ac:dyDescent="0.3">
      <c r="A377" s="244"/>
      <c r="D377" s="512"/>
      <c r="E377" s="513"/>
      <c r="F377" s="515"/>
      <c r="G377" s="515"/>
      <c r="H377" s="540"/>
      <c r="I377" s="513"/>
      <c r="J377" s="255"/>
      <c r="K377" s="255"/>
      <c r="L377" s="513"/>
      <c r="M377" s="252" t="str">
        <f>M375</f>
        <v>RSDAHT</v>
      </c>
      <c r="N377" s="244"/>
      <c r="O377" s="244" t="str">
        <f>$AH$12</f>
        <v>ACT</v>
      </c>
      <c r="P377" s="252"/>
      <c r="Q377" s="252"/>
      <c r="R377" s="525"/>
      <c r="S377" s="256"/>
      <c r="T377" s="256"/>
      <c r="U377" s="183"/>
      <c r="V377" s="252"/>
      <c r="W377" s="524"/>
      <c r="X377" s="256"/>
      <c r="Y377" s="252"/>
      <c r="Z377" s="252">
        <f>IF(ISBLANK(O377),"",IF(O377="ACT",1,-1))</f>
        <v>1</v>
      </c>
      <c r="AA377" s="257"/>
      <c r="AC377" s="244"/>
      <c r="AD377" s="244"/>
      <c r="AE377" s="256"/>
      <c r="AF377" s="256"/>
    </row>
    <row r="378" spans="1:32" x14ac:dyDescent="0.3">
      <c r="A378" s="244"/>
      <c r="D378" s="512"/>
      <c r="E378" s="513"/>
      <c r="F378" s="515"/>
      <c r="G378" s="515"/>
      <c r="H378" s="540"/>
      <c r="I378" s="513"/>
      <c r="J378" s="255"/>
      <c r="K378" s="255"/>
      <c r="L378" s="513"/>
      <c r="M378" s="252" t="str">
        <f>M377</f>
        <v>RSDAHT</v>
      </c>
      <c r="N378" s="244"/>
      <c r="O378" s="244" t="str">
        <f>L375</f>
        <v>RSDELC</v>
      </c>
      <c r="P378" s="252"/>
      <c r="Q378" s="252"/>
      <c r="R378" s="525"/>
      <c r="S378" s="256"/>
      <c r="T378" s="256"/>
      <c r="U378" s="183"/>
      <c r="V378" s="252"/>
      <c r="W378" s="524"/>
      <c r="X378" s="256"/>
      <c r="Y378" s="252"/>
      <c r="Z378" s="252">
        <f>IF(ISBLANK(O378),"",IF(O378="ACT",1,-1))</f>
        <v>-1</v>
      </c>
      <c r="AA378" s="257"/>
      <c r="AC378" s="244"/>
      <c r="AD378" s="244"/>
      <c r="AE378" s="256"/>
      <c r="AF378" s="256"/>
    </row>
    <row r="379" spans="1:32" x14ac:dyDescent="0.3">
      <c r="A379" s="235"/>
      <c r="C379" s="528" t="str">
        <f>'RSD (DEA)'!Z149</f>
        <v>HP_ELC_05</v>
      </c>
      <c r="D379" s="512" t="str">
        <f>RSD_HeatingDemand!N379&amp;"_"&amp;LEFT(C379,LEN(C379)-2)&amp;"05"</f>
        <v>RHAPB_HP_ELC_05</v>
      </c>
      <c r="E379" s="512" t="str">
        <f>"R"&amp;LEFT('RSD (DEA)'!AD149,2)&amp;IF(ISNUMBER(IFERROR(FIND("HTH",'RSD (DEA)'!Z149),IFERROR(FIND("HP",'RSD (DEA)'!Z149),"C"))),IF(IFERROR(FIND("HTH",'RSD (DEA)'!Z149),100)=100,"B","A"),"C")</f>
        <v>RAPB</v>
      </c>
      <c r="F379" s="515"/>
      <c r="G379" s="515"/>
      <c r="H379" s="540" t="str">
        <f t="shared" si="8"/>
        <v>RHAPB_HP_ELC_20</v>
      </c>
      <c r="I379" s="512" t="str">
        <f>'RSD (DEA)'!AA149</f>
        <v>Electric heat pumps, Air-to-water</v>
      </c>
      <c r="J379" s="242" t="s">
        <v>239</v>
      </c>
      <c r="K379" s="242" t="s">
        <v>240</v>
      </c>
      <c r="L379" s="512" t="str">
        <f>'RSD (DEA)'!AH149</f>
        <v>RSDELC</v>
      </c>
      <c r="M379" s="182" t="str">
        <f>'RSD (DEA)'!AI149</f>
        <v>RSDAHT</v>
      </c>
      <c r="N379" s="235" t="str">
        <f>LEFT('RSD (DEA)'!AJ149,2)&amp;RIGHT(E379,3)</f>
        <v>RHAPB</v>
      </c>
      <c r="O379" s="244"/>
      <c r="P379" s="182">
        <f>IF('RSD (DEA)'!P149&lt;RSD_HeatingDemand!$AH$15,RSD_HeatingDemand!$AH$15,'RSD (DEA)'!P149)</f>
        <v>2019</v>
      </c>
      <c r="Q379" s="182">
        <f>IF('RSD (DEA)'!X149&lt;RSD_HeatingDemand!$AH$15,RSD_HeatingDemand!$AH$15,'RSD (DEA)'!X149)</f>
        <v>2050</v>
      </c>
      <c r="R379" s="525">
        <f>IF(ISBLANK(I379),IF(MID(N379,2,2)="HA",VLOOKUP(I378,KEY_RSD_AF!$C$5:$G$52,2,FALSE),IF(MID(N379,2,2)="WA",VLOOKUP(I378,KEY_RSD_AF!$C$5:$G$52,3,FALSE),IF(MID(N379,2,2)="HH",VLOOKUP(I378,KEY_RSD_AF!$C$5:$G$52,4,FALSE),IF(MID(N379,2,2)="WH",VLOOKUP(I378,KEY_RSD_AF!$C$5:$G$52,5,FALSE))))),IF(MID(N379,2,2)="HA",VLOOKUP(I379,KEY_RSD_AF!$C$5:$G$52,2,FALSE),IF(MID(N379,2,2)="WA",VLOOKUP(I379,KEY_RSD_AF!$C$5:$G$52,3,FALSE),IF(MID(N379,2,2)="HH",VLOOKUP(I379,KEY_RSD_AF!$C$5:$G$52,4,FALSE),IF(MID(N379,2,2)="WH",VLOOKUP(I379,KEY_RSD_AF!$C$5:$G$52,5,FALSE))))))</f>
        <v>1</v>
      </c>
      <c r="S379" s="183">
        <f>'RSD (DEA)'!AZ149</f>
        <v>4.05</v>
      </c>
      <c r="T379" s="183">
        <f>'RSD (DEA)'!BA149</f>
        <v>4.1500000000000004</v>
      </c>
      <c r="U379" s="183">
        <v>0.5</v>
      </c>
      <c r="V379" s="182">
        <f>'RSD (DEA)'!BR149/'RSD (DEA)'!S149</f>
        <v>6.0274999999999999</v>
      </c>
      <c r="W379" s="184">
        <f>'RSD (DEA)'!BS149/RSD_HeatingDemand!$AH$9</f>
        <v>0.12291666666666666</v>
      </c>
      <c r="X379" s="183">
        <f>'RSD (DEA)'!BK149*RSD_HeatingDemand!$AH$10/'RSD (DEA)'!S149</f>
        <v>285</v>
      </c>
      <c r="Y379" s="182">
        <f>'RSD (DEA)'!BI149</f>
        <v>20</v>
      </c>
      <c r="Z379" s="252" t="str">
        <f>IF(ISBLANK(O379),"",IF(O379="ACT",1,-1))</f>
        <v/>
      </c>
      <c r="AA379" s="236">
        <f>'RSD (DEA)'!AM149</f>
        <v>31.536000000000001</v>
      </c>
      <c r="AC379" s="235">
        <f>'RSD (DEA)'!S149</f>
        <v>400</v>
      </c>
      <c r="AD379" s="235" t="str">
        <f>LEFT('RSD (DEA)'!AK149,2)&amp;RIGHT(E379,3)</f>
        <v>RWAPB</v>
      </c>
      <c r="AE379" s="183">
        <f>'RSD (DEA)'!BA149</f>
        <v>4.1500000000000004</v>
      </c>
      <c r="AF379" s="183"/>
    </row>
    <row r="380" spans="1:32" x14ac:dyDescent="0.3">
      <c r="A380" s="235"/>
      <c r="D380" s="512"/>
      <c r="E380" s="512"/>
      <c r="F380" s="515"/>
      <c r="G380" s="515"/>
      <c r="H380" s="540"/>
      <c r="I380" s="512"/>
      <c r="J380" s="242"/>
      <c r="K380" s="242"/>
      <c r="L380" s="512"/>
      <c r="M380" s="182"/>
      <c r="N380" s="318" t="str">
        <f>AD379</f>
        <v>RWAPB</v>
      </c>
      <c r="O380" s="244"/>
      <c r="P380" s="182"/>
      <c r="Q380" s="182"/>
      <c r="R380" s="525">
        <f>IF(ISBLANK(I380),IF(MID(N380,2,2)="HA",VLOOKUP(I379,KEY_RSD_AF!$C$5:$G$52,2,FALSE),IF(MID(N380,2,2)="WA",VLOOKUP(I379,KEY_RSD_AF!$C$5:$G$52,3,FALSE),IF(MID(N380,2,2)="HH",VLOOKUP(I379,KEY_RSD_AF!$C$5:$G$52,4,FALSE),IF(MID(N380,2,2)="WH",VLOOKUP(I379,KEY_RSD_AF!$C$5:$G$52,5,FALSE))))),IF(MID(N380,2,2)="HA",VLOOKUP(I380,KEY_RSD_AF!$C$5:$G$52,2,FALSE),IF(MID(N380,2,2)="WA",VLOOKUP(I380,KEY_RSD_AF!$C$5:$G$52,3,FALSE),IF(MID(N380,2,2)="HH",VLOOKUP(I380,KEY_RSD_AF!$C$5:$G$52,4,FALSE),IF(MID(N380,2,2)="WH",VLOOKUP(I380,KEY_RSD_AF!$C$5:$G$52,5,FALSE))))))</f>
        <v>1</v>
      </c>
      <c r="S380" s="503">
        <f>T379</f>
        <v>4.1500000000000004</v>
      </c>
      <c r="T380" s="183"/>
      <c r="U380" s="183"/>
      <c r="V380" s="182"/>
      <c r="W380" s="184"/>
      <c r="X380" s="183"/>
      <c r="Y380" s="182"/>
      <c r="Z380" s="252"/>
      <c r="AA380" s="236"/>
      <c r="AC380" s="235"/>
      <c r="AD380" s="235"/>
      <c r="AE380" s="183"/>
      <c r="AF380" s="183"/>
    </row>
    <row r="381" spans="1:32" x14ac:dyDescent="0.3">
      <c r="A381" s="244"/>
      <c r="D381" s="512"/>
      <c r="E381" s="513"/>
      <c r="F381" s="515"/>
      <c r="G381" s="515"/>
      <c r="H381" s="540"/>
      <c r="I381" s="513"/>
      <c r="J381" s="255"/>
      <c r="K381" s="255"/>
      <c r="L381" s="513"/>
      <c r="M381" s="252" t="str">
        <f>M379</f>
        <v>RSDAHT</v>
      </c>
      <c r="N381" s="244"/>
      <c r="O381" s="244" t="str">
        <f>$AH$12</f>
        <v>ACT</v>
      </c>
      <c r="P381" s="252"/>
      <c r="Q381" s="252"/>
      <c r="R381" s="525"/>
      <c r="S381" s="256"/>
      <c r="T381" s="256"/>
      <c r="U381" s="183"/>
      <c r="V381" s="252"/>
      <c r="W381" s="524"/>
      <c r="X381" s="256"/>
      <c r="Y381" s="252"/>
      <c r="Z381" s="252">
        <f>IF(ISBLANK(O381),"",IF(O381="ACT",1,-1))</f>
        <v>1</v>
      </c>
      <c r="AA381" s="257"/>
      <c r="AC381" s="244"/>
      <c r="AD381" s="244"/>
      <c r="AE381" s="256"/>
      <c r="AF381" s="256"/>
    </row>
    <row r="382" spans="1:32" x14ac:dyDescent="0.3">
      <c r="A382" s="244"/>
      <c r="D382" s="512"/>
      <c r="E382" s="513"/>
      <c r="F382" s="515"/>
      <c r="G382" s="515"/>
      <c r="H382" s="540"/>
      <c r="I382" s="513"/>
      <c r="J382" s="255"/>
      <c r="K382" s="255"/>
      <c r="L382" s="513"/>
      <c r="M382" s="252" t="str">
        <f>M381</f>
        <v>RSDAHT</v>
      </c>
      <c r="N382" s="244"/>
      <c r="O382" s="244" t="str">
        <f>L379</f>
        <v>RSDELC</v>
      </c>
      <c r="P382" s="252"/>
      <c r="Q382" s="252"/>
      <c r="R382" s="525"/>
      <c r="S382" s="256"/>
      <c r="T382" s="256"/>
      <c r="U382" s="183"/>
      <c r="V382" s="252"/>
      <c r="W382" s="524"/>
      <c r="X382" s="256"/>
      <c r="Y382" s="252"/>
      <c r="Z382" s="252">
        <f>IF(ISBLANK(O382),"",IF(O382="ACT",1,-1))</f>
        <v>-1</v>
      </c>
      <c r="AA382" s="257"/>
      <c r="AC382" s="244"/>
      <c r="AD382" s="244"/>
      <c r="AE382" s="256"/>
      <c r="AF382" s="256"/>
    </row>
    <row r="383" spans="1:32" x14ac:dyDescent="0.3">
      <c r="A383" s="235"/>
      <c r="C383" s="528" t="str">
        <f>'RSD (DEA)'!Z150</f>
        <v>HP_ELC_06</v>
      </c>
      <c r="D383" s="512" t="str">
        <f>RSD_HeatingDemand!N383&amp;"_"&amp;LEFT(C383,LEN(C383)-2)&amp;"06"</f>
        <v>RHAPB_HP_ELC_06</v>
      </c>
      <c r="E383" s="512" t="str">
        <f>"R"&amp;LEFT('RSD (DEA)'!AD150,2)&amp;IF(ISNUMBER(IFERROR(FIND("HTH",'RSD (DEA)'!Z150),IFERROR(FIND("HP",'RSD (DEA)'!Z150),"C"))),IF(IFERROR(FIND("HTH",'RSD (DEA)'!Z150),100)=100,"B","A"),"C")</f>
        <v>RAPB</v>
      </c>
      <c r="F383" s="515"/>
      <c r="G383" s="515"/>
      <c r="H383" s="540" t="str">
        <f t="shared" si="8"/>
        <v>RHAPB_HP_ELC_21</v>
      </c>
      <c r="I383" s="512" t="str">
        <f>'RSD (DEA)'!AA150</f>
        <v>Electric heat pumps, Air-to-water</v>
      </c>
      <c r="J383" s="242" t="s">
        <v>239</v>
      </c>
      <c r="K383" s="242" t="s">
        <v>240</v>
      </c>
      <c r="L383" s="512" t="str">
        <f>'RSD (DEA)'!AH150</f>
        <v>RSDELC</v>
      </c>
      <c r="M383" s="182" t="str">
        <f>'RSD (DEA)'!AI150</f>
        <v>RSDAHT</v>
      </c>
      <c r="N383" s="235" t="str">
        <f>LEFT('RSD (DEA)'!AJ150,2)&amp;RIGHT(E383,3)</f>
        <v>RHAPB</v>
      </c>
      <c r="O383" s="244"/>
      <c r="P383" s="182">
        <f>IF('RSD (DEA)'!P150&lt;RSD_HeatingDemand!$AH$15,RSD_HeatingDemand!$AH$15,'RSD (DEA)'!P150)</f>
        <v>2019</v>
      </c>
      <c r="Q383" s="182">
        <f>IF('RSD (DEA)'!X150&lt;RSD_HeatingDemand!$AH$15,RSD_HeatingDemand!$AH$15,'RSD (DEA)'!X150)</f>
        <v>2019</v>
      </c>
      <c r="R383" s="525">
        <f>IF(ISBLANK(I383),IF(MID(N383,2,2)="HA",VLOOKUP(I382,KEY_RSD_AF!$C$5:$G$52,2,FALSE),IF(MID(N383,2,2)="WA",VLOOKUP(I382,KEY_RSD_AF!$C$5:$G$52,3,FALSE),IF(MID(N383,2,2)="HH",VLOOKUP(I382,KEY_RSD_AF!$C$5:$G$52,4,FALSE),IF(MID(N383,2,2)="WH",VLOOKUP(I382,KEY_RSD_AF!$C$5:$G$52,5,FALSE))))),IF(MID(N383,2,2)="HA",VLOOKUP(I383,KEY_RSD_AF!$C$5:$G$52,2,FALSE),IF(MID(N383,2,2)="WA",VLOOKUP(I383,KEY_RSD_AF!$C$5:$G$52,3,FALSE),IF(MID(N383,2,2)="HH",VLOOKUP(I383,KEY_RSD_AF!$C$5:$G$52,4,FALSE),IF(MID(N383,2,2)="WH",VLOOKUP(I383,KEY_RSD_AF!$C$5:$G$52,5,FALSE))))))</f>
        <v>1</v>
      </c>
      <c r="S383" s="183">
        <f>'RSD (DEA)'!AZ150</f>
        <v>3.7</v>
      </c>
      <c r="T383" s="183">
        <f>'RSD (DEA)'!BA150</f>
        <v>4.2</v>
      </c>
      <c r="U383" s="183">
        <v>0.5</v>
      </c>
      <c r="V383" s="182">
        <f>'RSD (DEA)'!BR150/'RSD (DEA)'!S150</f>
        <v>10.25</v>
      </c>
      <c r="W383" s="184">
        <f>'RSD (DEA)'!BS150/RSD_HeatingDemand!$AH$9</f>
        <v>0.12291666666666666</v>
      </c>
      <c r="X383" s="183">
        <f>'RSD (DEA)'!BK150*RSD_HeatingDemand!$AH$10/'RSD (DEA)'!S150</f>
        <v>468.75</v>
      </c>
      <c r="Y383" s="182">
        <f>'RSD (DEA)'!BI150</f>
        <v>20</v>
      </c>
      <c r="Z383" s="252" t="str">
        <f>IF(ISBLANK(O383),"",IF(O383="ACT",1,-1))</f>
        <v/>
      </c>
      <c r="AA383" s="236">
        <f>'RSD (DEA)'!AM150</f>
        <v>31.536000000000001</v>
      </c>
      <c r="AC383" s="235">
        <f>'RSD (DEA)'!S150</f>
        <v>160</v>
      </c>
      <c r="AD383" s="235" t="str">
        <f>LEFT('RSD (DEA)'!AK150,2)&amp;RIGHT(E383,3)</f>
        <v>RWAPB</v>
      </c>
      <c r="AE383" s="183">
        <f>'RSD (DEA)'!BA150</f>
        <v>4.2</v>
      </c>
      <c r="AF383" s="183"/>
    </row>
    <row r="384" spans="1:32" x14ac:dyDescent="0.3">
      <c r="A384" s="235"/>
      <c r="D384" s="512"/>
      <c r="E384" s="512"/>
      <c r="F384" s="515"/>
      <c r="G384" s="515"/>
      <c r="H384" s="540"/>
      <c r="I384" s="512"/>
      <c r="J384" s="242"/>
      <c r="K384" s="242"/>
      <c r="L384" s="512"/>
      <c r="M384" s="182"/>
      <c r="N384" s="318" t="str">
        <f>AD383</f>
        <v>RWAPB</v>
      </c>
      <c r="O384" s="244"/>
      <c r="P384" s="182"/>
      <c r="Q384" s="182"/>
      <c r="R384" s="525">
        <f>IF(ISBLANK(I384),IF(MID(N384,2,2)="HA",VLOOKUP(I383,KEY_RSD_AF!$C$5:$G$52,2,FALSE),IF(MID(N384,2,2)="WA",VLOOKUP(I383,KEY_RSD_AF!$C$5:$G$52,3,FALSE),IF(MID(N384,2,2)="HH",VLOOKUP(I383,KEY_RSD_AF!$C$5:$G$52,4,FALSE),IF(MID(N384,2,2)="WH",VLOOKUP(I383,KEY_RSD_AF!$C$5:$G$52,5,FALSE))))),IF(MID(N384,2,2)="HA",VLOOKUP(I384,KEY_RSD_AF!$C$5:$G$52,2,FALSE),IF(MID(N384,2,2)="WA",VLOOKUP(I384,KEY_RSD_AF!$C$5:$G$52,3,FALSE),IF(MID(N384,2,2)="HH",VLOOKUP(I384,KEY_RSD_AF!$C$5:$G$52,4,FALSE),IF(MID(N384,2,2)="WH",VLOOKUP(I384,KEY_RSD_AF!$C$5:$G$52,5,FALSE))))))</f>
        <v>1</v>
      </c>
      <c r="S384" s="503">
        <f>T383</f>
        <v>4.2</v>
      </c>
      <c r="T384" s="183"/>
      <c r="U384" s="183"/>
      <c r="V384" s="182"/>
      <c r="W384" s="184"/>
      <c r="X384" s="183"/>
      <c r="Y384" s="182"/>
      <c r="Z384" s="252"/>
      <c r="AA384" s="236"/>
      <c r="AC384" s="235"/>
      <c r="AD384" s="235"/>
      <c r="AE384" s="183"/>
      <c r="AF384" s="183"/>
    </row>
    <row r="385" spans="1:32" x14ac:dyDescent="0.3">
      <c r="A385" s="244"/>
      <c r="D385" s="512"/>
      <c r="E385" s="513"/>
      <c r="F385" s="515"/>
      <c r="G385" s="515"/>
      <c r="H385" s="540"/>
      <c r="I385" s="513"/>
      <c r="J385" s="255"/>
      <c r="K385" s="255"/>
      <c r="L385" s="513"/>
      <c r="M385" s="252" t="str">
        <f>M383</f>
        <v>RSDAHT</v>
      </c>
      <c r="N385" s="244"/>
      <c r="O385" s="244" t="str">
        <f>$AH$12</f>
        <v>ACT</v>
      </c>
      <c r="P385" s="252"/>
      <c r="Q385" s="252"/>
      <c r="R385" s="525"/>
      <c r="S385" s="256"/>
      <c r="T385" s="256"/>
      <c r="U385" s="183"/>
      <c r="V385" s="252"/>
      <c r="W385" s="524"/>
      <c r="X385" s="256"/>
      <c r="Y385" s="252"/>
      <c r="Z385" s="252">
        <f>IF(ISBLANK(O385),"",IF(O385="ACT",1,-1))</f>
        <v>1</v>
      </c>
      <c r="AA385" s="257"/>
      <c r="AC385" s="244"/>
      <c r="AD385" s="244"/>
      <c r="AE385" s="256"/>
      <c r="AF385" s="256"/>
    </row>
    <row r="386" spans="1:32" x14ac:dyDescent="0.3">
      <c r="A386" s="244"/>
      <c r="D386" s="512"/>
      <c r="E386" s="513"/>
      <c r="F386" s="515"/>
      <c r="G386" s="515"/>
      <c r="H386" s="540"/>
      <c r="I386" s="513"/>
      <c r="J386" s="255"/>
      <c r="K386" s="255"/>
      <c r="L386" s="513"/>
      <c r="M386" s="252" t="str">
        <f>M385</f>
        <v>RSDAHT</v>
      </c>
      <c r="N386" s="244"/>
      <c r="O386" s="244" t="str">
        <f>L383</f>
        <v>RSDELC</v>
      </c>
      <c r="P386" s="252"/>
      <c r="Q386" s="252"/>
      <c r="R386" s="525"/>
      <c r="S386" s="256"/>
      <c r="T386" s="256"/>
      <c r="U386" s="183"/>
      <c r="V386" s="252"/>
      <c r="W386" s="524"/>
      <c r="X386" s="256"/>
      <c r="Y386" s="252"/>
      <c r="Z386" s="252">
        <f>IF(ISBLANK(O386),"",IF(O386="ACT",1,-1))</f>
        <v>-1</v>
      </c>
      <c r="AA386" s="257"/>
      <c r="AC386" s="244"/>
      <c r="AD386" s="244"/>
      <c r="AE386" s="256"/>
      <c r="AF386" s="256"/>
    </row>
    <row r="387" spans="1:32" x14ac:dyDescent="0.3">
      <c r="A387" s="235"/>
      <c r="C387" s="528" t="str">
        <f>'RSD (DEA)'!Z151</f>
        <v>HP_ELC_06</v>
      </c>
      <c r="D387" s="512" t="str">
        <f>RSD_HeatingDemand!N387&amp;"_"&amp;LEFT(C387,LEN(C387)-2)&amp;"06"</f>
        <v>RHAPB_HP_ELC_06</v>
      </c>
      <c r="E387" s="512" t="str">
        <f>"R"&amp;LEFT('RSD (DEA)'!AD151,2)&amp;IF(ISNUMBER(IFERROR(FIND("HTH",'RSD (DEA)'!Z151),IFERROR(FIND("HP",'RSD (DEA)'!Z151),"C"))),IF(IFERROR(FIND("HTH",'RSD (DEA)'!Z151),100)=100,"B","A"),"C")</f>
        <v>RAPB</v>
      </c>
      <c r="F387" s="515"/>
      <c r="G387" s="515"/>
      <c r="H387" s="540" t="str">
        <f t="shared" si="8"/>
        <v>RHAPB_HP_ELC_22</v>
      </c>
      <c r="I387" s="512" t="str">
        <f>'RSD (DEA)'!AA151</f>
        <v>Electric heat pumps, Air-to-water</v>
      </c>
      <c r="J387" s="242" t="s">
        <v>239</v>
      </c>
      <c r="K387" s="242" t="s">
        <v>240</v>
      </c>
      <c r="L387" s="512" t="str">
        <f>'RSD (DEA)'!AH151</f>
        <v>RSDELC</v>
      </c>
      <c r="M387" s="182" t="str">
        <f>'RSD (DEA)'!AI151</f>
        <v>RSDAHT</v>
      </c>
      <c r="N387" s="235" t="str">
        <f>LEFT('RSD (DEA)'!AJ151,2)&amp;RIGHT(E387,3)</f>
        <v>RHAPB</v>
      </c>
      <c r="O387" s="244"/>
      <c r="P387" s="182">
        <f>IF('RSD (DEA)'!P151&lt;RSD_HeatingDemand!$AH$15,RSD_HeatingDemand!$AH$15,'RSD (DEA)'!P151)</f>
        <v>2019</v>
      </c>
      <c r="Q387" s="182">
        <f>IF('RSD (DEA)'!X151&lt;RSD_HeatingDemand!$AH$15,RSD_HeatingDemand!$AH$15,'RSD (DEA)'!X151)</f>
        <v>2020</v>
      </c>
      <c r="R387" s="525">
        <f>IF(ISBLANK(I387),IF(MID(N387,2,2)="HA",VLOOKUP(I386,KEY_RSD_AF!$C$5:$G$52,2,FALSE),IF(MID(N387,2,2)="WA",VLOOKUP(I386,KEY_RSD_AF!$C$5:$G$52,3,FALSE),IF(MID(N387,2,2)="HH",VLOOKUP(I386,KEY_RSD_AF!$C$5:$G$52,4,FALSE),IF(MID(N387,2,2)="WH",VLOOKUP(I386,KEY_RSD_AF!$C$5:$G$52,5,FALSE))))),IF(MID(N387,2,2)="HA",VLOOKUP(I387,KEY_RSD_AF!$C$5:$G$52,2,FALSE),IF(MID(N387,2,2)="WA",VLOOKUP(I387,KEY_RSD_AF!$C$5:$G$52,3,FALSE),IF(MID(N387,2,2)="HH",VLOOKUP(I387,KEY_RSD_AF!$C$5:$G$52,4,FALSE),IF(MID(N387,2,2)="WH",VLOOKUP(I387,KEY_RSD_AF!$C$5:$G$52,5,FALSE))))))</f>
        <v>1</v>
      </c>
      <c r="S387" s="183">
        <f>'RSD (DEA)'!AZ151</f>
        <v>3.8</v>
      </c>
      <c r="T387" s="183">
        <f>'RSD (DEA)'!BA151</f>
        <v>4.3</v>
      </c>
      <c r="U387" s="183">
        <v>0.5</v>
      </c>
      <c r="V387" s="182">
        <f>'RSD (DEA)'!BR151/'RSD (DEA)'!S151</f>
        <v>10.3125</v>
      </c>
      <c r="W387" s="184">
        <f>'RSD (DEA)'!BS151/RSD_HeatingDemand!$AH$9</f>
        <v>0.12291666666666666</v>
      </c>
      <c r="X387" s="183">
        <f>'RSD (DEA)'!BK151*RSD_HeatingDemand!$AH$10/'RSD (DEA)'!S151</f>
        <v>443.75</v>
      </c>
      <c r="Y387" s="182">
        <f>'RSD (DEA)'!BI151</f>
        <v>20</v>
      </c>
      <c r="Z387" s="252" t="str">
        <f>IF(ISBLANK(O387),"",IF(O387="ACT",1,-1))</f>
        <v/>
      </c>
      <c r="AA387" s="236">
        <f>'RSD (DEA)'!AM151</f>
        <v>31.536000000000001</v>
      </c>
      <c r="AC387" s="235">
        <f>'RSD (DEA)'!S151</f>
        <v>160</v>
      </c>
      <c r="AD387" s="235" t="str">
        <f>LEFT('RSD (DEA)'!AK151,2)&amp;RIGHT(E387,3)</f>
        <v>RWAPB</v>
      </c>
      <c r="AE387" s="183">
        <f>'RSD (DEA)'!BA151</f>
        <v>4.3</v>
      </c>
      <c r="AF387" s="183"/>
    </row>
    <row r="388" spans="1:32" x14ac:dyDescent="0.3">
      <c r="A388" s="235"/>
      <c r="D388" s="512"/>
      <c r="E388" s="512"/>
      <c r="F388" s="515"/>
      <c r="G388" s="515"/>
      <c r="H388" s="540"/>
      <c r="I388" s="512"/>
      <c r="J388" s="242"/>
      <c r="K388" s="242"/>
      <c r="L388" s="512"/>
      <c r="M388" s="182"/>
      <c r="N388" s="318" t="str">
        <f>AD387</f>
        <v>RWAPB</v>
      </c>
      <c r="O388" s="244"/>
      <c r="P388" s="182"/>
      <c r="Q388" s="182"/>
      <c r="R388" s="525">
        <f>IF(ISBLANK(I388),IF(MID(N388,2,2)="HA",VLOOKUP(I387,KEY_RSD_AF!$C$5:$G$52,2,FALSE),IF(MID(N388,2,2)="WA",VLOOKUP(I387,KEY_RSD_AF!$C$5:$G$52,3,FALSE),IF(MID(N388,2,2)="HH",VLOOKUP(I387,KEY_RSD_AF!$C$5:$G$52,4,FALSE),IF(MID(N388,2,2)="WH",VLOOKUP(I387,KEY_RSD_AF!$C$5:$G$52,5,FALSE))))),IF(MID(N388,2,2)="HA",VLOOKUP(I388,KEY_RSD_AF!$C$5:$G$52,2,FALSE),IF(MID(N388,2,2)="WA",VLOOKUP(I388,KEY_RSD_AF!$C$5:$G$52,3,FALSE),IF(MID(N388,2,2)="HH",VLOOKUP(I388,KEY_RSD_AF!$C$5:$G$52,4,FALSE),IF(MID(N388,2,2)="WH",VLOOKUP(I388,KEY_RSD_AF!$C$5:$G$52,5,FALSE))))))</f>
        <v>1</v>
      </c>
      <c r="S388" s="503">
        <f>T387</f>
        <v>4.3</v>
      </c>
      <c r="T388" s="183"/>
      <c r="U388" s="183"/>
      <c r="V388" s="182"/>
      <c r="W388" s="184"/>
      <c r="X388" s="183"/>
      <c r="Y388" s="182"/>
      <c r="Z388" s="252"/>
      <c r="AA388" s="236"/>
      <c r="AC388" s="235"/>
      <c r="AD388" s="235"/>
      <c r="AE388" s="183"/>
      <c r="AF388" s="183"/>
    </row>
    <row r="389" spans="1:32" x14ac:dyDescent="0.3">
      <c r="A389" s="244"/>
      <c r="D389" s="512"/>
      <c r="E389" s="513"/>
      <c r="F389" s="515"/>
      <c r="G389" s="515"/>
      <c r="H389" s="540"/>
      <c r="I389" s="513"/>
      <c r="J389" s="255"/>
      <c r="K389" s="255"/>
      <c r="L389" s="513"/>
      <c r="M389" s="252" t="str">
        <f>M387</f>
        <v>RSDAHT</v>
      </c>
      <c r="N389" s="244"/>
      <c r="O389" s="244" t="str">
        <f>$AH$12</f>
        <v>ACT</v>
      </c>
      <c r="P389" s="252"/>
      <c r="Q389" s="252"/>
      <c r="R389" s="525"/>
      <c r="S389" s="256"/>
      <c r="T389" s="256"/>
      <c r="U389" s="183"/>
      <c r="V389" s="252"/>
      <c r="W389" s="524"/>
      <c r="X389" s="256"/>
      <c r="Y389" s="252"/>
      <c r="Z389" s="252">
        <f>IF(ISBLANK(O389),"",IF(O389="ACT",1,-1))</f>
        <v>1</v>
      </c>
      <c r="AA389" s="257"/>
      <c r="AC389" s="244"/>
      <c r="AD389" s="244"/>
      <c r="AE389" s="256"/>
      <c r="AF389" s="256"/>
    </row>
    <row r="390" spans="1:32" x14ac:dyDescent="0.3">
      <c r="A390" s="244"/>
      <c r="D390" s="512"/>
      <c r="E390" s="513"/>
      <c r="F390" s="515"/>
      <c r="G390" s="515"/>
      <c r="H390" s="540"/>
      <c r="I390" s="513"/>
      <c r="J390" s="255"/>
      <c r="K390" s="255"/>
      <c r="L390" s="513"/>
      <c r="M390" s="252" t="str">
        <f>M389</f>
        <v>RSDAHT</v>
      </c>
      <c r="N390" s="244"/>
      <c r="O390" s="244" t="str">
        <f>L387</f>
        <v>RSDELC</v>
      </c>
      <c r="P390" s="252"/>
      <c r="Q390" s="252"/>
      <c r="R390" s="525"/>
      <c r="S390" s="256"/>
      <c r="T390" s="256"/>
      <c r="U390" s="183"/>
      <c r="V390" s="252"/>
      <c r="W390" s="524"/>
      <c r="X390" s="256"/>
      <c r="Y390" s="252"/>
      <c r="Z390" s="252">
        <f>IF(ISBLANK(O390),"",IF(O390="ACT",1,-1))</f>
        <v>-1</v>
      </c>
      <c r="AA390" s="257"/>
      <c r="AC390" s="244"/>
      <c r="AD390" s="244"/>
      <c r="AE390" s="256"/>
      <c r="AF390" s="256"/>
    </row>
    <row r="391" spans="1:32" x14ac:dyDescent="0.3">
      <c r="A391" s="235"/>
      <c r="C391" s="528" t="str">
        <f>'RSD (DEA)'!Z152</f>
        <v>HP_ELC_06</v>
      </c>
      <c r="D391" s="512" t="str">
        <f>RSD_HeatingDemand!N391&amp;"_"&amp;LEFT(C391,LEN(C391)-2)&amp;"06"</f>
        <v>RHAPB_HP_ELC_06</v>
      </c>
      <c r="E391" s="512" t="str">
        <f>"R"&amp;LEFT('RSD (DEA)'!AD152,2)&amp;IF(ISNUMBER(IFERROR(FIND("HTH",'RSD (DEA)'!Z152),IFERROR(FIND("HP",'RSD (DEA)'!Z152),"C"))),IF(IFERROR(FIND("HTH",'RSD (DEA)'!Z152),100)=100,"B","A"),"C")</f>
        <v>RAPB</v>
      </c>
      <c r="F391" s="515"/>
      <c r="G391" s="515"/>
      <c r="H391" s="540" t="str">
        <f t="shared" si="8"/>
        <v>RHAPB_HP_ELC_23</v>
      </c>
      <c r="I391" s="512" t="str">
        <f>'RSD (DEA)'!AA152</f>
        <v>Electric heat pumps, Air-to-water</v>
      </c>
      <c r="J391" s="242" t="s">
        <v>239</v>
      </c>
      <c r="K391" s="242" t="s">
        <v>240</v>
      </c>
      <c r="L391" s="512" t="str">
        <f>'RSD (DEA)'!AH152</f>
        <v>RSDELC</v>
      </c>
      <c r="M391" s="182" t="str">
        <f>'RSD (DEA)'!AI152</f>
        <v>RSDAHT</v>
      </c>
      <c r="N391" s="235" t="str">
        <f>LEFT('RSD (DEA)'!AJ152,2)&amp;RIGHT(E391,3)</f>
        <v>RHAPB</v>
      </c>
      <c r="O391" s="244"/>
      <c r="P391" s="182">
        <f>IF('RSD (DEA)'!P152&lt;RSD_HeatingDemand!$AH$15,RSD_HeatingDemand!$AH$15,'RSD (DEA)'!P152)</f>
        <v>2019</v>
      </c>
      <c r="Q391" s="182">
        <f>IF('RSD (DEA)'!X152&lt;RSD_HeatingDemand!$AH$15,RSD_HeatingDemand!$AH$15,'RSD (DEA)'!X152)</f>
        <v>2030</v>
      </c>
      <c r="R391" s="525">
        <f>IF(ISBLANK(I391),IF(MID(N391,2,2)="HA",VLOOKUP(I390,KEY_RSD_AF!$C$5:$G$52,2,FALSE),IF(MID(N391,2,2)="WA",VLOOKUP(I390,KEY_RSD_AF!$C$5:$G$52,3,FALSE),IF(MID(N391,2,2)="HH",VLOOKUP(I390,KEY_RSD_AF!$C$5:$G$52,4,FALSE),IF(MID(N391,2,2)="WH",VLOOKUP(I390,KEY_RSD_AF!$C$5:$G$52,5,FALSE))))),IF(MID(N391,2,2)="HA",VLOOKUP(I391,KEY_RSD_AF!$C$5:$G$52,2,FALSE),IF(MID(N391,2,2)="WA",VLOOKUP(I391,KEY_RSD_AF!$C$5:$G$52,3,FALSE),IF(MID(N391,2,2)="HH",VLOOKUP(I391,KEY_RSD_AF!$C$5:$G$52,4,FALSE),IF(MID(N391,2,2)="WH",VLOOKUP(I391,KEY_RSD_AF!$C$5:$G$52,5,FALSE))))))</f>
        <v>1</v>
      </c>
      <c r="S391" s="183">
        <f>'RSD (DEA)'!AZ152</f>
        <v>3.9</v>
      </c>
      <c r="T391" s="183">
        <f>'RSD (DEA)'!BA152</f>
        <v>4.4000000000000004</v>
      </c>
      <c r="U391" s="183">
        <v>0.5</v>
      </c>
      <c r="V391" s="182">
        <f>'RSD (DEA)'!BR152/'RSD (DEA)'!S152</f>
        <v>11.6625</v>
      </c>
      <c r="W391" s="184">
        <f>'RSD (DEA)'!BS152/RSD_HeatingDemand!$AH$9</f>
        <v>0.12291666666666666</v>
      </c>
      <c r="X391" s="183">
        <f>'RSD (DEA)'!BK152*RSD_HeatingDemand!$AH$10/'RSD (DEA)'!S152</f>
        <v>393.75</v>
      </c>
      <c r="Y391" s="182">
        <f>'RSD (DEA)'!BI152</f>
        <v>20</v>
      </c>
      <c r="Z391" s="252" t="str">
        <f>IF(ISBLANK(O391),"",IF(O391="ACT",1,-1))</f>
        <v/>
      </c>
      <c r="AA391" s="236">
        <f>'RSD (DEA)'!AM152</f>
        <v>31.536000000000001</v>
      </c>
      <c r="AC391" s="235">
        <f>'RSD (DEA)'!S152</f>
        <v>160</v>
      </c>
      <c r="AD391" s="235" t="str">
        <f>LEFT('RSD (DEA)'!AK152,2)&amp;RIGHT(E391,3)</f>
        <v>RWAPB</v>
      </c>
      <c r="AE391" s="183">
        <f>'RSD (DEA)'!BA152</f>
        <v>4.4000000000000004</v>
      </c>
      <c r="AF391" s="183"/>
    </row>
    <row r="392" spans="1:32" x14ac:dyDescent="0.3">
      <c r="A392" s="235"/>
      <c r="D392" s="512"/>
      <c r="E392" s="512"/>
      <c r="F392" s="515"/>
      <c r="G392" s="515"/>
      <c r="H392" s="540"/>
      <c r="I392" s="512"/>
      <c r="J392" s="242"/>
      <c r="K392" s="242"/>
      <c r="L392" s="512"/>
      <c r="M392" s="182"/>
      <c r="N392" s="318" t="str">
        <f>AD391</f>
        <v>RWAPB</v>
      </c>
      <c r="O392" s="244"/>
      <c r="P392" s="182"/>
      <c r="Q392" s="182"/>
      <c r="R392" s="525">
        <f>IF(ISBLANK(I392),IF(MID(N392,2,2)="HA",VLOOKUP(I391,KEY_RSD_AF!$C$5:$G$52,2,FALSE),IF(MID(N392,2,2)="WA",VLOOKUP(I391,KEY_RSD_AF!$C$5:$G$52,3,FALSE),IF(MID(N392,2,2)="HH",VLOOKUP(I391,KEY_RSD_AF!$C$5:$G$52,4,FALSE),IF(MID(N392,2,2)="WH",VLOOKUP(I391,KEY_RSD_AF!$C$5:$G$52,5,FALSE))))),IF(MID(N392,2,2)="HA",VLOOKUP(I392,KEY_RSD_AF!$C$5:$G$52,2,FALSE),IF(MID(N392,2,2)="WA",VLOOKUP(I392,KEY_RSD_AF!$C$5:$G$52,3,FALSE),IF(MID(N392,2,2)="HH",VLOOKUP(I392,KEY_RSD_AF!$C$5:$G$52,4,FALSE),IF(MID(N392,2,2)="WH",VLOOKUP(I392,KEY_RSD_AF!$C$5:$G$52,5,FALSE))))))</f>
        <v>1</v>
      </c>
      <c r="S392" s="503">
        <f>T391</f>
        <v>4.4000000000000004</v>
      </c>
      <c r="T392" s="183"/>
      <c r="U392" s="183"/>
      <c r="V392" s="182"/>
      <c r="W392" s="184"/>
      <c r="X392" s="183"/>
      <c r="Y392" s="182"/>
      <c r="Z392" s="252"/>
      <c r="AA392" s="236"/>
      <c r="AC392" s="235"/>
      <c r="AD392" s="235"/>
      <c r="AE392" s="183"/>
      <c r="AF392" s="183"/>
    </row>
    <row r="393" spans="1:32" x14ac:dyDescent="0.3">
      <c r="A393" s="244"/>
      <c r="D393" s="512"/>
      <c r="E393" s="513"/>
      <c r="F393" s="515"/>
      <c r="G393" s="515"/>
      <c r="H393" s="540"/>
      <c r="I393" s="513"/>
      <c r="J393" s="255"/>
      <c r="K393" s="255"/>
      <c r="L393" s="513"/>
      <c r="M393" s="252" t="str">
        <f>M391</f>
        <v>RSDAHT</v>
      </c>
      <c r="N393" s="244"/>
      <c r="O393" s="244" t="str">
        <f>$AH$12</f>
        <v>ACT</v>
      </c>
      <c r="P393" s="252"/>
      <c r="Q393" s="252"/>
      <c r="R393" s="525"/>
      <c r="S393" s="256"/>
      <c r="T393" s="256"/>
      <c r="U393" s="183"/>
      <c r="V393" s="252"/>
      <c r="W393" s="524"/>
      <c r="X393" s="256"/>
      <c r="Y393" s="252"/>
      <c r="Z393" s="252">
        <f>IF(ISBLANK(O393),"",IF(O393="ACT",1,-1))</f>
        <v>1</v>
      </c>
      <c r="AA393" s="257"/>
      <c r="AC393" s="244"/>
      <c r="AD393" s="244"/>
      <c r="AE393" s="256"/>
      <c r="AF393" s="256"/>
    </row>
    <row r="394" spans="1:32" x14ac:dyDescent="0.3">
      <c r="A394" s="244"/>
      <c r="D394" s="512"/>
      <c r="E394" s="513"/>
      <c r="F394" s="515"/>
      <c r="G394" s="515"/>
      <c r="H394" s="540"/>
      <c r="I394" s="513"/>
      <c r="J394" s="255"/>
      <c r="K394" s="255"/>
      <c r="L394" s="513"/>
      <c r="M394" s="252" t="str">
        <f>M393</f>
        <v>RSDAHT</v>
      </c>
      <c r="N394" s="244"/>
      <c r="O394" s="244" t="str">
        <f>L391</f>
        <v>RSDELC</v>
      </c>
      <c r="P394" s="252"/>
      <c r="Q394" s="252"/>
      <c r="R394" s="525"/>
      <c r="S394" s="256"/>
      <c r="T394" s="256"/>
      <c r="U394" s="183"/>
      <c r="V394" s="252"/>
      <c r="W394" s="524"/>
      <c r="X394" s="256"/>
      <c r="Y394" s="252"/>
      <c r="Z394" s="252">
        <f>IF(ISBLANK(O394),"",IF(O394="ACT",1,-1))</f>
        <v>-1</v>
      </c>
      <c r="AA394" s="257"/>
      <c r="AC394" s="244"/>
      <c r="AD394" s="244"/>
      <c r="AE394" s="256"/>
      <c r="AF394" s="256"/>
    </row>
    <row r="395" spans="1:32" x14ac:dyDescent="0.3">
      <c r="A395" s="235"/>
      <c r="C395" s="528" t="str">
        <f>'RSD (DEA)'!Z153</f>
        <v>HP_ELC_06</v>
      </c>
      <c r="D395" s="512" t="str">
        <f>RSD_HeatingDemand!N395&amp;"_"&amp;LEFT(C395,LEN(C395)-2)&amp;"06"</f>
        <v>RHAPB_HP_ELC_06</v>
      </c>
      <c r="E395" s="512" t="str">
        <f>"R"&amp;LEFT('RSD (DEA)'!AD153,2)&amp;IF(ISNUMBER(IFERROR(FIND("HTH",'RSD (DEA)'!Z153),IFERROR(FIND("HP",'RSD (DEA)'!Z153),"C"))),IF(IFERROR(FIND("HTH",'RSD (DEA)'!Z153),100)=100,"B","A"),"C")</f>
        <v>RAPB</v>
      </c>
      <c r="F395" s="515"/>
      <c r="G395" s="515"/>
      <c r="H395" s="540" t="str">
        <f t="shared" si="8"/>
        <v>RHAPB_HP_ELC_24</v>
      </c>
      <c r="I395" s="512" t="str">
        <f>'RSD (DEA)'!AA153</f>
        <v>Electric heat pumps, Air-to-water</v>
      </c>
      <c r="J395" s="242" t="s">
        <v>239</v>
      </c>
      <c r="K395" s="242" t="s">
        <v>240</v>
      </c>
      <c r="L395" s="512" t="str">
        <f>'RSD (DEA)'!AH153</f>
        <v>RSDELC</v>
      </c>
      <c r="M395" s="182" t="str">
        <f>'RSD (DEA)'!AI153</f>
        <v>RSDAHT</v>
      </c>
      <c r="N395" s="235" t="str">
        <f>LEFT('RSD (DEA)'!AJ153,2)&amp;RIGHT(E395,3)</f>
        <v>RHAPB</v>
      </c>
      <c r="O395" s="244"/>
      <c r="P395" s="182">
        <f>IF('RSD (DEA)'!P153&lt;RSD_HeatingDemand!$AH$15,RSD_HeatingDemand!$AH$15,'RSD (DEA)'!P153)</f>
        <v>2019</v>
      </c>
      <c r="Q395" s="182">
        <f>IF('RSD (DEA)'!X153&lt;RSD_HeatingDemand!$AH$15,RSD_HeatingDemand!$AH$15,'RSD (DEA)'!X153)</f>
        <v>2050</v>
      </c>
      <c r="R395" s="525">
        <f>IF(ISBLANK(I395),IF(MID(N395,2,2)="HA",VLOOKUP(I394,KEY_RSD_AF!$C$5:$G$52,2,FALSE),IF(MID(N395,2,2)="WA",VLOOKUP(I394,KEY_RSD_AF!$C$5:$G$52,3,FALSE),IF(MID(N395,2,2)="HH",VLOOKUP(I394,KEY_RSD_AF!$C$5:$G$52,4,FALSE),IF(MID(N395,2,2)="WH",VLOOKUP(I394,KEY_RSD_AF!$C$5:$G$52,5,FALSE))))),IF(MID(N395,2,2)="HA",VLOOKUP(I395,KEY_RSD_AF!$C$5:$G$52,2,FALSE),IF(MID(N395,2,2)="WA",VLOOKUP(I395,KEY_RSD_AF!$C$5:$G$52,3,FALSE),IF(MID(N395,2,2)="HH",VLOOKUP(I395,KEY_RSD_AF!$C$5:$G$52,4,FALSE),IF(MID(N395,2,2)="WH",VLOOKUP(I395,KEY_RSD_AF!$C$5:$G$52,5,FALSE))))))</f>
        <v>1</v>
      </c>
      <c r="S395" s="183">
        <f>'RSD (DEA)'!AZ153</f>
        <v>4.05</v>
      </c>
      <c r="T395" s="183">
        <f>'RSD (DEA)'!BA153</f>
        <v>4.5999999999999996</v>
      </c>
      <c r="U395" s="183">
        <v>0.5</v>
      </c>
      <c r="V395" s="182">
        <f>'RSD (DEA)'!BR153/'RSD (DEA)'!S153</f>
        <v>15.06875</v>
      </c>
      <c r="W395" s="184">
        <f>'RSD (DEA)'!BS153/RSD_HeatingDemand!$AH$9</f>
        <v>0.12291666666666666</v>
      </c>
      <c r="X395" s="183">
        <f>'RSD (DEA)'!BK153*RSD_HeatingDemand!$AH$10/'RSD (DEA)'!S153</f>
        <v>356.25</v>
      </c>
      <c r="Y395" s="182">
        <f>'RSD (DEA)'!BI153</f>
        <v>20</v>
      </c>
      <c r="Z395" s="252" t="str">
        <f>IF(ISBLANK(O395),"",IF(O395="ACT",1,-1))</f>
        <v/>
      </c>
      <c r="AA395" s="236">
        <f>'RSD (DEA)'!AM153</f>
        <v>31.536000000000001</v>
      </c>
      <c r="AC395" s="235">
        <f>'RSD (DEA)'!S153</f>
        <v>160</v>
      </c>
      <c r="AD395" s="235" t="str">
        <f>LEFT('RSD (DEA)'!AK153,2)&amp;RIGHT(E395,3)</f>
        <v>RWAPB</v>
      </c>
      <c r="AE395" s="183">
        <f>'RSD (DEA)'!BA153</f>
        <v>4.5999999999999996</v>
      </c>
      <c r="AF395" s="183"/>
    </row>
    <row r="396" spans="1:32" x14ac:dyDescent="0.3">
      <c r="A396" s="235"/>
      <c r="D396" s="512"/>
      <c r="E396" s="512"/>
      <c r="F396" s="515"/>
      <c r="G396" s="515"/>
      <c r="H396" s="540"/>
      <c r="I396" s="512"/>
      <c r="J396" s="242"/>
      <c r="K396" s="242"/>
      <c r="L396" s="512"/>
      <c r="M396" s="182"/>
      <c r="N396" s="318" t="str">
        <f>AD395</f>
        <v>RWAPB</v>
      </c>
      <c r="O396" s="244"/>
      <c r="P396" s="182"/>
      <c r="Q396" s="182"/>
      <c r="R396" s="525">
        <f>IF(ISBLANK(I396),IF(MID(N396,2,2)="HA",VLOOKUP(I395,KEY_RSD_AF!$C$5:$G$52,2,FALSE),IF(MID(N396,2,2)="WA",VLOOKUP(I395,KEY_RSD_AF!$C$5:$G$52,3,FALSE),IF(MID(N396,2,2)="HH",VLOOKUP(I395,KEY_RSD_AF!$C$5:$G$52,4,FALSE),IF(MID(N396,2,2)="WH",VLOOKUP(I395,KEY_RSD_AF!$C$5:$G$52,5,FALSE))))),IF(MID(N396,2,2)="HA",VLOOKUP(I396,KEY_RSD_AF!$C$5:$G$52,2,FALSE),IF(MID(N396,2,2)="WA",VLOOKUP(I396,KEY_RSD_AF!$C$5:$G$52,3,FALSE),IF(MID(N396,2,2)="HH",VLOOKUP(I396,KEY_RSD_AF!$C$5:$G$52,4,FALSE),IF(MID(N396,2,2)="WH",VLOOKUP(I396,KEY_RSD_AF!$C$5:$G$52,5,FALSE))))))</f>
        <v>1</v>
      </c>
      <c r="S396" s="503">
        <f>T395</f>
        <v>4.5999999999999996</v>
      </c>
      <c r="T396" s="183"/>
      <c r="U396" s="183"/>
      <c r="V396" s="182"/>
      <c r="W396" s="184"/>
      <c r="X396" s="183"/>
      <c r="Y396" s="182"/>
      <c r="Z396" s="252"/>
      <c r="AA396" s="236"/>
      <c r="AC396" s="235"/>
      <c r="AD396" s="235"/>
      <c r="AE396" s="183"/>
      <c r="AF396" s="183"/>
    </row>
    <row r="397" spans="1:32" x14ac:dyDescent="0.3">
      <c r="A397" s="244"/>
      <c r="D397" s="512"/>
      <c r="E397" s="513"/>
      <c r="F397" s="515"/>
      <c r="G397" s="515"/>
      <c r="H397" s="540"/>
      <c r="I397" s="513"/>
      <c r="J397" s="255"/>
      <c r="K397" s="255"/>
      <c r="L397" s="513"/>
      <c r="M397" s="252" t="str">
        <f>M395</f>
        <v>RSDAHT</v>
      </c>
      <c r="N397" s="244"/>
      <c r="O397" s="244" t="str">
        <f>$AH$12</f>
        <v>ACT</v>
      </c>
      <c r="P397" s="252"/>
      <c r="Q397" s="252"/>
      <c r="R397" s="525"/>
      <c r="S397" s="256"/>
      <c r="T397" s="256"/>
      <c r="U397" s="183"/>
      <c r="V397" s="252"/>
      <c r="W397" s="524"/>
      <c r="X397" s="256"/>
      <c r="Y397" s="252"/>
      <c r="Z397" s="252">
        <f>IF(ISBLANK(O397),"",IF(O397="ACT",1,-1))</f>
        <v>1</v>
      </c>
      <c r="AA397" s="257"/>
      <c r="AC397" s="244"/>
      <c r="AD397" s="244"/>
      <c r="AE397" s="256"/>
      <c r="AF397" s="256"/>
    </row>
    <row r="398" spans="1:32" x14ac:dyDescent="0.3">
      <c r="A398" s="244"/>
      <c r="D398" s="512"/>
      <c r="E398" s="513"/>
      <c r="F398" s="515"/>
      <c r="G398" s="515"/>
      <c r="H398" s="540"/>
      <c r="I398" s="513"/>
      <c r="J398" s="255"/>
      <c r="K398" s="255"/>
      <c r="L398" s="513"/>
      <c r="M398" s="252" t="str">
        <f>M397</f>
        <v>RSDAHT</v>
      </c>
      <c r="N398" s="244"/>
      <c r="O398" s="244" t="str">
        <f>L395</f>
        <v>RSDELC</v>
      </c>
      <c r="P398" s="252"/>
      <c r="Q398" s="252"/>
      <c r="R398" s="525"/>
      <c r="S398" s="256"/>
      <c r="T398" s="256"/>
      <c r="U398" s="183"/>
      <c r="V398" s="252"/>
      <c r="W398" s="524"/>
      <c r="X398" s="256"/>
      <c r="Y398" s="252"/>
      <c r="Z398" s="252">
        <f>IF(ISBLANK(O398),"",IF(O398="ACT",1,-1))</f>
        <v>-1</v>
      </c>
      <c r="AA398" s="257"/>
      <c r="AC398" s="244"/>
      <c r="AD398" s="244"/>
      <c r="AE398" s="256"/>
      <c r="AF398" s="256"/>
    </row>
    <row r="399" spans="1:32" x14ac:dyDescent="0.3">
      <c r="A399" s="235"/>
      <c r="C399" s="528" t="str">
        <f>'RSD (DEA)'!Z154</f>
        <v>HP_ELC_07</v>
      </c>
      <c r="D399" s="512" t="str">
        <f>RSD_HeatingDemand!N399&amp;"_"&amp;LEFT(C399,LEN(C399)-2)&amp;"09"</f>
        <v>RHHSB_HP_ELC_09</v>
      </c>
      <c r="E399" s="512" t="str">
        <f>"R"&amp;LEFT('RSD (DEA)'!AD154,2)&amp;IF(ISNUMBER(IFERROR(FIND("HTH",'RSD (DEA)'!Z154),IFERROR(FIND("HP",'RSD (DEA)'!Z154),"C"))),IF(IFERROR(FIND("HTH",'RSD (DEA)'!Z154),100)=100,"B","A"),"C")</f>
        <v>RHSB</v>
      </c>
      <c r="F399" s="515"/>
      <c r="G399" s="515"/>
      <c r="H399" s="540" t="str">
        <f>IF(LEFT(D399,LEN(D399)-2)=LEFT(D363,LEN(D399)-2),LEFT(D399,LEN(D399)-2)&amp;IF(RIGHT(H363,2)+1&lt;=9,"0"&amp;RIGHT(H363)+1,RIGHT(H363,2)+1),D399)</f>
        <v>RHHSB_HP_ELC_33</v>
      </c>
      <c r="I399" s="512" t="str">
        <f>'RSD (DEA)'!AA154</f>
        <v>Electric heat pumps, Brine-to-water (ground source)</v>
      </c>
      <c r="J399" s="242" t="s">
        <v>239</v>
      </c>
      <c r="K399" s="242" t="s">
        <v>240</v>
      </c>
      <c r="L399" s="512" t="str">
        <f>'RSD (DEA)'!AH154</f>
        <v>RSDELC</v>
      </c>
      <c r="M399" s="182" t="str">
        <f>'RSD (DEA)'!AI154</f>
        <v>RSDGEO</v>
      </c>
      <c r="N399" s="235" t="str">
        <f>LEFT('RSD (DEA)'!AJ154,2)&amp;RIGHT(E399,3)</f>
        <v>RHHSB</v>
      </c>
      <c r="O399" s="244"/>
      <c r="P399" s="182">
        <f>IF('RSD (DEA)'!P154&lt;RSD_HeatingDemand!$AH$15,RSD_HeatingDemand!$AH$15,'RSD (DEA)'!P154)</f>
        <v>2019</v>
      </c>
      <c r="Q399" s="182">
        <f>IF('RSD (DEA)'!X154&lt;RSD_HeatingDemand!$AH$15,RSD_HeatingDemand!$AH$15,'RSD (DEA)'!X154)</f>
        <v>2019</v>
      </c>
      <c r="R399" s="525">
        <f>IF(ISBLANK(I399),IF(MID(N399,2,2)="HA",VLOOKUP(I398,KEY_RSD_AF!$C$5:$G$52,2,FALSE),IF(MID(N399,2,2)="WA",VLOOKUP(I398,KEY_RSD_AF!$C$5:$G$52,3,FALSE),IF(MID(N399,2,2)="HH",VLOOKUP(I398,KEY_RSD_AF!$C$5:$G$52,4,FALSE),IF(MID(N399,2,2)="WH",VLOOKUP(I398,KEY_RSD_AF!$C$5:$G$52,5,FALSE))))),IF(MID(N399,2,2)="HA",VLOOKUP(I399,KEY_RSD_AF!$C$5:$G$52,2,FALSE),IF(MID(N399,2,2)="WA",VLOOKUP(I399,KEY_RSD_AF!$C$5:$G$52,3,FALSE),IF(MID(N399,2,2)="HH",VLOOKUP(I399,KEY_RSD_AF!$C$5:$G$52,4,FALSE),IF(MID(N399,2,2)="WH",VLOOKUP(I399,KEY_RSD_AF!$C$5:$G$52,5,FALSE))))))</f>
        <v>1</v>
      </c>
      <c r="S399" s="183">
        <f>'RSD (DEA)'!AZ154</f>
        <v>3.6</v>
      </c>
      <c r="T399" s="183">
        <f>'RSD (DEA)'!BA154</f>
        <v>3.7</v>
      </c>
      <c r="U399" s="183">
        <v>0.5</v>
      </c>
      <c r="V399" s="182">
        <f>'RSD (DEA)'!BR154/'RSD (DEA)'!S154</f>
        <v>29.1</v>
      </c>
      <c r="W399" s="184">
        <f>'RSD (DEA)'!BS154/RSD_HeatingDemand!$AH$9</f>
        <v>0</v>
      </c>
      <c r="X399" s="183">
        <f>'RSD (DEA)'!BK154*RSD_HeatingDemand!$AH$10/'RSD (DEA)'!S154</f>
        <v>1600</v>
      </c>
      <c r="Y399" s="182">
        <f>'RSD (DEA)'!BI154</f>
        <v>20</v>
      </c>
      <c r="Z399" s="252" t="str">
        <f>IF(ISBLANK(O399),"",IF(O399="ACT",1,-1))</f>
        <v/>
      </c>
      <c r="AA399" s="236">
        <f>'RSD (DEA)'!AM154</f>
        <v>31.536000000000001</v>
      </c>
      <c r="AC399" s="235">
        <f>'RSD (DEA)'!S154</f>
        <v>10</v>
      </c>
      <c r="AD399" s="235" t="str">
        <f>LEFT('RSD (DEA)'!AK154,2)&amp;RIGHT(E399,3)</f>
        <v>RWHSB</v>
      </c>
      <c r="AE399" s="183">
        <f>'RSD (DEA)'!BA154</f>
        <v>3.7</v>
      </c>
      <c r="AF399" s="183"/>
    </row>
    <row r="400" spans="1:32" x14ac:dyDescent="0.3">
      <c r="A400" s="235"/>
      <c r="D400" s="512"/>
      <c r="E400" s="512"/>
      <c r="F400" s="515"/>
      <c r="G400" s="515"/>
      <c r="H400" s="540"/>
      <c r="I400" s="512"/>
      <c r="J400" s="242"/>
      <c r="K400" s="242"/>
      <c r="L400" s="512"/>
      <c r="M400" s="182"/>
      <c r="N400" s="318" t="str">
        <f>AD399</f>
        <v>RWHSB</v>
      </c>
      <c r="O400" s="244"/>
      <c r="P400" s="182"/>
      <c r="Q400" s="182"/>
      <c r="R400" s="525">
        <f>IF(ISBLANK(I400),IF(MID(N400,2,2)="HA",VLOOKUP(I399,KEY_RSD_AF!$C$5:$G$52,2,FALSE),IF(MID(N400,2,2)="WA",VLOOKUP(I399,KEY_RSD_AF!$C$5:$G$52,3,FALSE),IF(MID(N400,2,2)="HH",VLOOKUP(I399,KEY_RSD_AF!$C$5:$G$52,4,FALSE),IF(MID(N400,2,2)="WH",VLOOKUP(I399,KEY_RSD_AF!$C$5:$G$52,5,FALSE))))),IF(MID(N400,2,2)="HA",VLOOKUP(I400,KEY_RSD_AF!$C$5:$G$52,2,FALSE),IF(MID(N400,2,2)="WA",VLOOKUP(I400,KEY_RSD_AF!$C$5:$G$52,3,FALSE),IF(MID(N400,2,2)="HH",VLOOKUP(I400,KEY_RSD_AF!$C$5:$G$52,4,FALSE),IF(MID(N400,2,2)="WH",VLOOKUP(I400,KEY_RSD_AF!$C$5:$G$52,5,FALSE))))))</f>
        <v>1</v>
      </c>
      <c r="S400" s="503">
        <f>T399</f>
        <v>3.7</v>
      </c>
      <c r="T400" s="183"/>
      <c r="U400" s="183"/>
      <c r="V400" s="182"/>
      <c r="W400" s="184"/>
      <c r="X400" s="183"/>
      <c r="Y400" s="182"/>
      <c r="Z400" s="252"/>
      <c r="AA400" s="236"/>
      <c r="AC400" s="235"/>
      <c r="AD400" s="235"/>
      <c r="AE400" s="183"/>
      <c r="AF400" s="183"/>
    </row>
    <row r="401" spans="1:32" x14ac:dyDescent="0.3">
      <c r="A401" s="244"/>
      <c r="D401" s="512"/>
      <c r="E401" s="513"/>
      <c r="F401" s="515"/>
      <c r="G401" s="515"/>
      <c r="H401" s="540"/>
      <c r="I401" s="513"/>
      <c r="J401" s="255"/>
      <c r="K401" s="255"/>
      <c r="L401" s="513"/>
      <c r="M401" s="252" t="str">
        <f>M399</f>
        <v>RSDGEO</v>
      </c>
      <c r="N401" s="244"/>
      <c r="O401" s="244" t="str">
        <f>$AH$12</f>
        <v>ACT</v>
      </c>
      <c r="P401" s="252"/>
      <c r="Q401" s="252"/>
      <c r="R401" s="525"/>
      <c r="S401" s="256"/>
      <c r="T401" s="256"/>
      <c r="U401" s="183"/>
      <c r="V401" s="252"/>
      <c r="W401" s="524"/>
      <c r="X401" s="256"/>
      <c r="Y401" s="252"/>
      <c r="Z401" s="252">
        <f>IF(ISBLANK(O401),"",IF(O401="ACT",1,-1))</f>
        <v>1</v>
      </c>
      <c r="AA401" s="257"/>
      <c r="AC401" s="244"/>
      <c r="AD401" s="244"/>
      <c r="AE401" s="256"/>
      <c r="AF401" s="256"/>
    </row>
    <row r="402" spans="1:32" x14ac:dyDescent="0.3">
      <c r="A402" s="244"/>
      <c r="D402" s="512"/>
      <c r="E402" s="513"/>
      <c r="F402" s="515"/>
      <c r="G402" s="515"/>
      <c r="H402" s="540"/>
      <c r="I402" s="513"/>
      <c r="J402" s="255"/>
      <c r="K402" s="255"/>
      <c r="L402" s="513"/>
      <c r="M402" s="252" t="str">
        <f>M401</f>
        <v>RSDGEO</v>
      </c>
      <c r="N402" s="244"/>
      <c r="O402" s="244" t="str">
        <f>L399</f>
        <v>RSDELC</v>
      </c>
      <c r="P402" s="252"/>
      <c r="Q402" s="252"/>
      <c r="R402" s="525"/>
      <c r="S402" s="256"/>
      <c r="T402" s="256"/>
      <c r="U402" s="183"/>
      <c r="V402" s="252"/>
      <c r="W402" s="524"/>
      <c r="X402" s="256"/>
      <c r="Y402" s="252"/>
      <c r="Z402" s="252">
        <f>IF(ISBLANK(O402),"",IF(O402="ACT",1,-1))</f>
        <v>-1</v>
      </c>
      <c r="AA402" s="257"/>
      <c r="AC402" s="244"/>
      <c r="AD402" s="244"/>
      <c r="AE402" s="256"/>
      <c r="AF402" s="256"/>
    </row>
    <row r="403" spans="1:32" x14ac:dyDescent="0.3">
      <c r="A403" s="235"/>
      <c r="C403" s="528" t="str">
        <f>'RSD (DEA)'!Z155</f>
        <v>HP_ELC_07</v>
      </c>
      <c r="D403" s="512" t="str">
        <f>RSD_HeatingDemand!N403&amp;"_"&amp;LEFT(C403,LEN(C403)-2)&amp;"09"</f>
        <v>RHHSB_HP_ELC_09</v>
      </c>
      <c r="E403" s="512" t="str">
        <f>"R"&amp;LEFT('RSD (DEA)'!AD155,2)&amp;IF(ISNUMBER(IFERROR(FIND("HTH",'RSD (DEA)'!Z155),IFERROR(FIND("HP",'RSD (DEA)'!Z155),"C"))),IF(IFERROR(FIND("HTH",'RSD (DEA)'!Z155),100)=100,"B","A"),"C")</f>
        <v>RHSB</v>
      </c>
      <c r="F403" s="515"/>
      <c r="G403" s="515"/>
      <c r="H403" s="540" t="str">
        <f t="shared" si="8"/>
        <v>RHHSB_HP_ELC_34</v>
      </c>
      <c r="I403" s="512" t="str">
        <f>'RSD (DEA)'!AA155</f>
        <v>Electric heat pumps, Brine-to-water (ground source)</v>
      </c>
      <c r="J403" s="242" t="s">
        <v>239</v>
      </c>
      <c r="K403" s="242" t="s">
        <v>240</v>
      </c>
      <c r="L403" s="512" t="str">
        <f>'RSD (DEA)'!AH155</f>
        <v>RSDELC</v>
      </c>
      <c r="M403" s="182" t="str">
        <f>'RSD (DEA)'!AI155</f>
        <v>RSDGEO</v>
      </c>
      <c r="N403" s="235" t="str">
        <f>LEFT('RSD (DEA)'!AJ155,2)&amp;RIGHT(E403,3)</f>
        <v>RHHSB</v>
      </c>
      <c r="O403" s="244"/>
      <c r="P403" s="182">
        <f>IF('RSD (DEA)'!P155&lt;RSD_HeatingDemand!$AH$15,RSD_HeatingDemand!$AH$15,'RSD (DEA)'!P155)</f>
        <v>2019</v>
      </c>
      <c r="Q403" s="182">
        <f>IF('RSD (DEA)'!X155&lt;RSD_HeatingDemand!$AH$15,RSD_HeatingDemand!$AH$15,'RSD (DEA)'!X155)</f>
        <v>2020</v>
      </c>
      <c r="R403" s="525">
        <f>IF(ISBLANK(I403),IF(MID(N403,2,2)="HA",VLOOKUP(I402,KEY_RSD_AF!$C$5:$G$52,2,FALSE),IF(MID(N403,2,2)="WA",VLOOKUP(I402,KEY_RSD_AF!$C$5:$G$52,3,FALSE),IF(MID(N403,2,2)="HH",VLOOKUP(I402,KEY_RSD_AF!$C$5:$G$52,4,FALSE),IF(MID(N403,2,2)="WH",VLOOKUP(I402,KEY_RSD_AF!$C$5:$G$52,5,FALSE))))),IF(MID(N403,2,2)="HA",VLOOKUP(I403,KEY_RSD_AF!$C$5:$G$52,2,FALSE),IF(MID(N403,2,2)="WA",VLOOKUP(I403,KEY_RSD_AF!$C$5:$G$52,3,FALSE),IF(MID(N403,2,2)="HH",VLOOKUP(I403,KEY_RSD_AF!$C$5:$G$52,4,FALSE),IF(MID(N403,2,2)="WH",VLOOKUP(I403,KEY_RSD_AF!$C$5:$G$52,5,FALSE))))))</f>
        <v>1</v>
      </c>
      <c r="S403" s="183">
        <f>'RSD (DEA)'!AZ155</f>
        <v>3.7</v>
      </c>
      <c r="T403" s="183">
        <f>'RSD (DEA)'!BA155</f>
        <v>3.8</v>
      </c>
      <c r="U403" s="183">
        <v>0.5</v>
      </c>
      <c r="V403" s="182">
        <f>'RSD (DEA)'!BR155/'RSD (DEA)'!S155</f>
        <v>27.8</v>
      </c>
      <c r="W403" s="184">
        <f>'RSD (DEA)'!BS155/RSD_HeatingDemand!$AH$9</f>
        <v>0</v>
      </c>
      <c r="X403" s="183">
        <f>'RSD (DEA)'!BK155*RSD_HeatingDemand!$AH$10/'RSD (DEA)'!S155</f>
        <v>1500</v>
      </c>
      <c r="Y403" s="182">
        <f>'RSD (DEA)'!BI155</f>
        <v>20</v>
      </c>
      <c r="Z403" s="252" t="str">
        <f>IF(ISBLANK(O403),"",IF(O403="ACT",1,-1))</f>
        <v/>
      </c>
      <c r="AA403" s="236">
        <f>'RSD (DEA)'!AM155</f>
        <v>31.536000000000001</v>
      </c>
      <c r="AC403" s="235">
        <f>'RSD (DEA)'!S155</f>
        <v>10</v>
      </c>
      <c r="AD403" s="235" t="str">
        <f>LEFT('RSD (DEA)'!AK155,2)&amp;RIGHT(E403,3)</f>
        <v>RWHSB</v>
      </c>
      <c r="AE403" s="183">
        <f>'RSD (DEA)'!BA155</f>
        <v>3.8</v>
      </c>
      <c r="AF403" s="183"/>
    </row>
    <row r="404" spans="1:32" x14ac:dyDescent="0.3">
      <c r="A404" s="235"/>
      <c r="D404" s="512"/>
      <c r="E404" s="512"/>
      <c r="F404" s="515"/>
      <c r="G404" s="515"/>
      <c r="H404" s="540"/>
      <c r="I404" s="512"/>
      <c r="J404" s="242"/>
      <c r="K404" s="242"/>
      <c r="L404" s="512"/>
      <c r="M404" s="182"/>
      <c r="N404" s="318" t="str">
        <f>AD403</f>
        <v>RWHSB</v>
      </c>
      <c r="O404" s="244"/>
      <c r="P404" s="182"/>
      <c r="Q404" s="182"/>
      <c r="R404" s="525">
        <f>IF(ISBLANK(I404),IF(MID(N404,2,2)="HA",VLOOKUP(I403,KEY_RSD_AF!$C$5:$G$52,2,FALSE),IF(MID(N404,2,2)="WA",VLOOKUP(I403,KEY_RSD_AF!$C$5:$G$52,3,FALSE),IF(MID(N404,2,2)="HH",VLOOKUP(I403,KEY_RSD_AF!$C$5:$G$52,4,FALSE),IF(MID(N404,2,2)="WH",VLOOKUP(I403,KEY_RSD_AF!$C$5:$G$52,5,FALSE))))),IF(MID(N404,2,2)="HA",VLOOKUP(I404,KEY_RSD_AF!$C$5:$G$52,2,FALSE),IF(MID(N404,2,2)="WA",VLOOKUP(I404,KEY_RSD_AF!$C$5:$G$52,3,FALSE),IF(MID(N404,2,2)="HH",VLOOKUP(I404,KEY_RSD_AF!$C$5:$G$52,4,FALSE),IF(MID(N404,2,2)="WH",VLOOKUP(I404,KEY_RSD_AF!$C$5:$G$52,5,FALSE))))))</f>
        <v>1</v>
      </c>
      <c r="S404" s="503">
        <f>T403</f>
        <v>3.8</v>
      </c>
      <c r="T404" s="183"/>
      <c r="U404" s="183"/>
      <c r="V404" s="182"/>
      <c r="W404" s="184"/>
      <c r="X404" s="183"/>
      <c r="Y404" s="182"/>
      <c r="Z404" s="252"/>
      <c r="AA404" s="236"/>
      <c r="AC404" s="235"/>
      <c r="AD404" s="235"/>
      <c r="AE404" s="183"/>
      <c r="AF404" s="183"/>
    </row>
    <row r="405" spans="1:32" x14ac:dyDescent="0.3">
      <c r="A405" s="244"/>
      <c r="D405" s="512"/>
      <c r="E405" s="513"/>
      <c r="F405" s="515"/>
      <c r="G405" s="515"/>
      <c r="H405" s="540"/>
      <c r="I405" s="513"/>
      <c r="J405" s="255"/>
      <c r="K405" s="255"/>
      <c r="L405" s="513"/>
      <c r="M405" s="252" t="str">
        <f>M403</f>
        <v>RSDGEO</v>
      </c>
      <c r="N405" s="244"/>
      <c r="O405" s="244" t="str">
        <f>$AH$12</f>
        <v>ACT</v>
      </c>
      <c r="P405" s="252"/>
      <c r="Q405" s="252"/>
      <c r="R405" s="525"/>
      <c r="S405" s="256"/>
      <c r="T405" s="256"/>
      <c r="U405" s="183"/>
      <c r="V405" s="252"/>
      <c r="W405" s="524"/>
      <c r="X405" s="256"/>
      <c r="Y405" s="252"/>
      <c r="Z405" s="252">
        <f>IF(ISBLANK(O405),"",IF(O405="ACT",1,-1))</f>
        <v>1</v>
      </c>
      <c r="AA405" s="257"/>
      <c r="AC405" s="244"/>
      <c r="AD405" s="244"/>
      <c r="AE405" s="256"/>
      <c r="AF405" s="256"/>
    </row>
    <row r="406" spans="1:32" x14ac:dyDescent="0.3">
      <c r="A406" s="244"/>
      <c r="D406" s="512"/>
      <c r="E406" s="513"/>
      <c r="F406" s="515"/>
      <c r="G406" s="515"/>
      <c r="H406" s="540"/>
      <c r="I406" s="513"/>
      <c r="J406" s="255"/>
      <c r="K406" s="255"/>
      <c r="L406" s="513"/>
      <c r="M406" s="252" t="str">
        <f>M405</f>
        <v>RSDGEO</v>
      </c>
      <c r="N406" s="244"/>
      <c r="O406" s="244" t="str">
        <f>L403</f>
        <v>RSDELC</v>
      </c>
      <c r="P406" s="252"/>
      <c r="Q406" s="252"/>
      <c r="R406" s="525"/>
      <c r="S406" s="256"/>
      <c r="T406" s="256"/>
      <c r="U406" s="183"/>
      <c r="V406" s="252"/>
      <c r="W406" s="524"/>
      <c r="X406" s="256"/>
      <c r="Y406" s="252"/>
      <c r="Z406" s="252">
        <f>IF(ISBLANK(O406),"",IF(O406="ACT",1,-1))</f>
        <v>-1</v>
      </c>
      <c r="AA406" s="257"/>
      <c r="AC406" s="244"/>
      <c r="AD406" s="244"/>
      <c r="AE406" s="256"/>
      <c r="AF406" s="256"/>
    </row>
    <row r="407" spans="1:32" x14ac:dyDescent="0.3">
      <c r="A407" s="235"/>
      <c r="C407" s="528" t="str">
        <f>'RSD (DEA)'!Z156</f>
        <v>HP_ELC_07</v>
      </c>
      <c r="D407" s="512" t="str">
        <f>RSD_HeatingDemand!N407&amp;"_"&amp;LEFT(C407,LEN(C407)-2)&amp;"09"</f>
        <v>RHHSB_HP_ELC_09</v>
      </c>
      <c r="E407" s="512" t="str">
        <f>"R"&amp;LEFT('RSD (DEA)'!AD156,2)&amp;IF(ISNUMBER(IFERROR(FIND("HTH",'RSD (DEA)'!Z156),IFERROR(FIND("HP",'RSD (DEA)'!Z156),"C"))),IF(IFERROR(FIND("HTH",'RSD (DEA)'!Z156),100)=100,"B","A"),"C")</f>
        <v>RHSB</v>
      </c>
      <c r="F407" s="515"/>
      <c r="G407" s="515"/>
      <c r="H407" s="540" t="str">
        <f t="shared" si="8"/>
        <v>RHHSB_HP_ELC_35</v>
      </c>
      <c r="I407" s="512" t="str">
        <f>'RSD (DEA)'!AA156</f>
        <v>Electric heat pumps, Brine-to-water (ground source)</v>
      </c>
      <c r="J407" s="242" t="s">
        <v>239</v>
      </c>
      <c r="K407" s="242" t="s">
        <v>240</v>
      </c>
      <c r="L407" s="512" t="str">
        <f>'RSD (DEA)'!AH156</f>
        <v>RSDELC</v>
      </c>
      <c r="M407" s="182" t="str">
        <f>'RSD (DEA)'!AI156</f>
        <v>RSDGEO</v>
      </c>
      <c r="N407" s="235" t="str">
        <f>LEFT('RSD (DEA)'!AJ156,2)&amp;RIGHT(E407,3)</f>
        <v>RHHSB</v>
      </c>
      <c r="O407" s="244"/>
      <c r="P407" s="182">
        <f>IF('RSD (DEA)'!P156&lt;RSD_HeatingDemand!$AH$15,RSD_HeatingDemand!$AH$15,'RSD (DEA)'!P156)</f>
        <v>2019</v>
      </c>
      <c r="Q407" s="182">
        <f>IF('RSD (DEA)'!X156&lt;RSD_HeatingDemand!$AH$15,RSD_HeatingDemand!$AH$15,'RSD (DEA)'!X156)</f>
        <v>2030</v>
      </c>
      <c r="R407" s="525">
        <f>IF(ISBLANK(I407),IF(MID(N407,2,2)="HA",VLOOKUP(I406,KEY_RSD_AF!$C$5:$G$52,2,FALSE),IF(MID(N407,2,2)="WA",VLOOKUP(I406,KEY_RSD_AF!$C$5:$G$52,3,FALSE),IF(MID(N407,2,2)="HH",VLOOKUP(I406,KEY_RSD_AF!$C$5:$G$52,4,FALSE),IF(MID(N407,2,2)="WH",VLOOKUP(I406,KEY_RSD_AF!$C$5:$G$52,5,FALSE))))),IF(MID(N407,2,2)="HA",VLOOKUP(I407,KEY_RSD_AF!$C$5:$G$52,2,FALSE),IF(MID(N407,2,2)="WA",VLOOKUP(I407,KEY_RSD_AF!$C$5:$G$52,3,FALSE),IF(MID(N407,2,2)="HH",VLOOKUP(I407,KEY_RSD_AF!$C$5:$G$52,4,FALSE),IF(MID(N407,2,2)="WH",VLOOKUP(I407,KEY_RSD_AF!$C$5:$G$52,5,FALSE))))))</f>
        <v>1</v>
      </c>
      <c r="S407" s="183">
        <f>'RSD (DEA)'!AZ156</f>
        <v>3.8</v>
      </c>
      <c r="T407" s="183">
        <f>'RSD (DEA)'!BA156</f>
        <v>3.9</v>
      </c>
      <c r="U407" s="183">
        <v>0.5</v>
      </c>
      <c r="V407" s="182">
        <f>'RSD (DEA)'!BR156/'RSD (DEA)'!S156</f>
        <v>25.5</v>
      </c>
      <c r="W407" s="184">
        <f>'RSD (DEA)'!BS156/RSD_HeatingDemand!$AH$9</f>
        <v>0</v>
      </c>
      <c r="X407" s="183">
        <f>'RSD (DEA)'!BK156*RSD_HeatingDemand!$AH$10/'RSD (DEA)'!S156</f>
        <v>1400</v>
      </c>
      <c r="Y407" s="182">
        <f>'RSD (DEA)'!BI156</f>
        <v>20</v>
      </c>
      <c r="Z407" s="252" t="str">
        <f>IF(ISBLANK(O407),"",IF(O407="ACT",1,-1))</f>
        <v/>
      </c>
      <c r="AA407" s="236">
        <f>'RSD (DEA)'!AM156</f>
        <v>31.536000000000001</v>
      </c>
      <c r="AC407" s="235">
        <f>'RSD (DEA)'!S156</f>
        <v>10</v>
      </c>
      <c r="AD407" s="235" t="str">
        <f>LEFT('RSD (DEA)'!AK156,2)&amp;RIGHT(E407,3)</f>
        <v>RWHSB</v>
      </c>
      <c r="AE407" s="183">
        <f>'RSD (DEA)'!BA156</f>
        <v>3.9</v>
      </c>
      <c r="AF407" s="183"/>
    </row>
    <row r="408" spans="1:32" x14ac:dyDescent="0.3">
      <c r="A408" s="235"/>
      <c r="D408" s="512"/>
      <c r="E408" s="512"/>
      <c r="F408" s="515"/>
      <c r="G408" s="515"/>
      <c r="H408" s="540"/>
      <c r="I408" s="512"/>
      <c r="J408" s="242"/>
      <c r="K408" s="242"/>
      <c r="L408" s="512"/>
      <c r="M408" s="182"/>
      <c r="N408" s="318" t="str">
        <f>AD407</f>
        <v>RWHSB</v>
      </c>
      <c r="O408" s="244"/>
      <c r="P408" s="182"/>
      <c r="Q408" s="182"/>
      <c r="R408" s="525">
        <f>IF(ISBLANK(I408),IF(MID(N408,2,2)="HA",VLOOKUP(I407,KEY_RSD_AF!$C$5:$G$52,2,FALSE),IF(MID(N408,2,2)="WA",VLOOKUP(I407,KEY_RSD_AF!$C$5:$G$52,3,FALSE),IF(MID(N408,2,2)="HH",VLOOKUP(I407,KEY_RSD_AF!$C$5:$G$52,4,FALSE),IF(MID(N408,2,2)="WH",VLOOKUP(I407,KEY_RSD_AF!$C$5:$G$52,5,FALSE))))),IF(MID(N408,2,2)="HA",VLOOKUP(I408,KEY_RSD_AF!$C$5:$G$52,2,FALSE),IF(MID(N408,2,2)="WA",VLOOKUP(I408,KEY_RSD_AF!$C$5:$G$52,3,FALSE),IF(MID(N408,2,2)="HH",VLOOKUP(I408,KEY_RSD_AF!$C$5:$G$52,4,FALSE),IF(MID(N408,2,2)="WH",VLOOKUP(I408,KEY_RSD_AF!$C$5:$G$52,5,FALSE))))))</f>
        <v>1</v>
      </c>
      <c r="S408" s="503">
        <f>T407</f>
        <v>3.9</v>
      </c>
      <c r="T408" s="183"/>
      <c r="U408" s="183"/>
      <c r="V408" s="182"/>
      <c r="W408" s="184"/>
      <c r="X408" s="183"/>
      <c r="Y408" s="182"/>
      <c r="Z408" s="252"/>
      <c r="AA408" s="236"/>
      <c r="AC408" s="235"/>
      <c r="AD408" s="235"/>
      <c r="AE408" s="183"/>
      <c r="AF408" s="183"/>
    </row>
    <row r="409" spans="1:32" x14ac:dyDescent="0.3">
      <c r="A409" s="244"/>
      <c r="D409" s="512"/>
      <c r="E409" s="513"/>
      <c r="F409" s="515"/>
      <c r="G409" s="515"/>
      <c r="H409" s="540"/>
      <c r="I409" s="513"/>
      <c r="J409" s="255"/>
      <c r="K409" s="255"/>
      <c r="L409" s="513"/>
      <c r="M409" s="252" t="str">
        <f>M407</f>
        <v>RSDGEO</v>
      </c>
      <c r="N409" s="244"/>
      <c r="O409" s="244" t="str">
        <f>$AH$12</f>
        <v>ACT</v>
      </c>
      <c r="P409" s="252"/>
      <c r="Q409" s="252"/>
      <c r="R409" s="525"/>
      <c r="S409" s="256"/>
      <c r="T409" s="256"/>
      <c r="U409" s="183"/>
      <c r="V409" s="252"/>
      <c r="W409" s="524"/>
      <c r="X409" s="256"/>
      <c r="Y409" s="252"/>
      <c r="Z409" s="252">
        <f>IF(ISBLANK(O409),"",IF(O409="ACT",1,-1))</f>
        <v>1</v>
      </c>
      <c r="AA409" s="257"/>
      <c r="AC409" s="244"/>
      <c r="AD409" s="244"/>
      <c r="AE409" s="256"/>
      <c r="AF409" s="256"/>
    </row>
    <row r="410" spans="1:32" x14ac:dyDescent="0.3">
      <c r="A410" s="244"/>
      <c r="D410" s="512"/>
      <c r="E410" s="513"/>
      <c r="F410" s="515"/>
      <c r="G410" s="515"/>
      <c r="H410" s="540"/>
      <c r="I410" s="513"/>
      <c r="J410" s="255"/>
      <c r="K410" s="255"/>
      <c r="L410" s="513"/>
      <c r="M410" s="252" t="str">
        <f>M409</f>
        <v>RSDGEO</v>
      </c>
      <c r="N410" s="244"/>
      <c r="O410" s="244" t="str">
        <f>L407</f>
        <v>RSDELC</v>
      </c>
      <c r="P410" s="252"/>
      <c r="Q410" s="252"/>
      <c r="R410" s="525"/>
      <c r="S410" s="256"/>
      <c r="T410" s="256"/>
      <c r="U410" s="183"/>
      <c r="V410" s="252"/>
      <c r="W410" s="524"/>
      <c r="X410" s="256"/>
      <c r="Y410" s="252"/>
      <c r="Z410" s="252">
        <f>IF(ISBLANK(O410),"",IF(O410="ACT",1,-1))</f>
        <v>-1</v>
      </c>
      <c r="AA410" s="257"/>
      <c r="AC410" s="244"/>
      <c r="AD410" s="244"/>
      <c r="AE410" s="256"/>
      <c r="AF410" s="256"/>
    </row>
    <row r="411" spans="1:32" x14ac:dyDescent="0.3">
      <c r="A411" s="235"/>
      <c r="C411" s="528" t="str">
        <f>'RSD (DEA)'!Z157</f>
        <v>HP_ELC_07</v>
      </c>
      <c r="D411" s="512" t="str">
        <f>RSD_HeatingDemand!N411&amp;"_"&amp;LEFT(C411,LEN(C411)-2)&amp;"09"</f>
        <v>RHHSB_HP_ELC_09</v>
      </c>
      <c r="E411" s="512" t="str">
        <f>"R"&amp;LEFT('RSD (DEA)'!AD157,2)&amp;IF(ISNUMBER(IFERROR(FIND("HTH",'RSD (DEA)'!Z157),IFERROR(FIND("HP",'RSD (DEA)'!Z157),"C"))),IF(IFERROR(FIND("HTH",'RSD (DEA)'!Z157),100)=100,"B","A"),"C")</f>
        <v>RHSB</v>
      </c>
      <c r="F411" s="515"/>
      <c r="G411" s="515"/>
      <c r="H411" s="540" t="str">
        <f t="shared" si="8"/>
        <v>RHHSB_HP_ELC_36</v>
      </c>
      <c r="I411" s="512" t="str">
        <f>'RSD (DEA)'!AA157</f>
        <v>Electric heat pumps, Brine-to-water (ground source)</v>
      </c>
      <c r="J411" s="242" t="s">
        <v>239</v>
      </c>
      <c r="K411" s="242" t="s">
        <v>240</v>
      </c>
      <c r="L411" s="512" t="str">
        <f>'RSD (DEA)'!AH157</f>
        <v>RSDELC</v>
      </c>
      <c r="M411" s="182" t="str">
        <f>'RSD (DEA)'!AI157</f>
        <v>RSDGEO</v>
      </c>
      <c r="N411" s="235" t="str">
        <f>LEFT('RSD (DEA)'!AJ157,2)&amp;RIGHT(E411,3)</f>
        <v>RHHSB</v>
      </c>
      <c r="O411" s="244"/>
      <c r="P411" s="182">
        <f>IF('RSD (DEA)'!P157&lt;RSD_HeatingDemand!$AH$15,RSD_HeatingDemand!$AH$15,'RSD (DEA)'!P157)</f>
        <v>2019</v>
      </c>
      <c r="Q411" s="182">
        <f>IF('RSD (DEA)'!X157&lt;RSD_HeatingDemand!$AH$15,RSD_HeatingDemand!$AH$15,'RSD (DEA)'!X157)</f>
        <v>2050</v>
      </c>
      <c r="R411" s="525">
        <f>IF(ISBLANK(I411),IF(MID(N411,2,2)="HA",VLOOKUP(I410,KEY_RSD_AF!$C$5:$G$52,2,FALSE),IF(MID(N411,2,2)="WA",VLOOKUP(I410,KEY_RSD_AF!$C$5:$G$52,3,FALSE),IF(MID(N411,2,2)="HH",VLOOKUP(I410,KEY_RSD_AF!$C$5:$G$52,4,FALSE),IF(MID(N411,2,2)="WH",VLOOKUP(I410,KEY_RSD_AF!$C$5:$G$52,5,FALSE))))),IF(MID(N411,2,2)="HA",VLOOKUP(I411,KEY_RSD_AF!$C$5:$G$52,2,FALSE),IF(MID(N411,2,2)="WA",VLOOKUP(I411,KEY_RSD_AF!$C$5:$G$52,3,FALSE),IF(MID(N411,2,2)="HH",VLOOKUP(I411,KEY_RSD_AF!$C$5:$G$52,4,FALSE),IF(MID(N411,2,2)="WH",VLOOKUP(I411,KEY_RSD_AF!$C$5:$G$52,5,FALSE))))))</f>
        <v>1</v>
      </c>
      <c r="S411" s="183">
        <f>'RSD (DEA)'!AZ157</f>
        <v>3.95</v>
      </c>
      <c r="T411" s="183">
        <f>'RSD (DEA)'!BA157</f>
        <v>4.05</v>
      </c>
      <c r="U411" s="183">
        <v>0.5</v>
      </c>
      <c r="V411" s="182">
        <f>'RSD (DEA)'!BR157/'RSD (DEA)'!S157</f>
        <v>23.9</v>
      </c>
      <c r="W411" s="184">
        <f>'RSD (DEA)'!BS157/RSD_HeatingDemand!$AH$9</f>
        <v>0</v>
      </c>
      <c r="X411" s="183">
        <f>'RSD (DEA)'!BK157*RSD_HeatingDemand!$AH$10/'RSD (DEA)'!S157</f>
        <v>1200</v>
      </c>
      <c r="Y411" s="182">
        <f>'RSD (DEA)'!BI157</f>
        <v>20</v>
      </c>
      <c r="Z411" s="252" t="str">
        <f>IF(ISBLANK(O411),"",IF(O411="ACT",1,-1))</f>
        <v/>
      </c>
      <c r="AA411" s="236">
        <f>'RSD (DEA)'!AM157</f>
        <v>31.536000000000001</v>
      </c>
      <c r="AC411" s="235">
        <f>'RSD (DEA)'!S157</f>
        <v>10</v>
      </c>
      <c r="AD411" s="235" t="str">
        <f>LEFT('RSD (DEA)'!AK157,2)&amp;RIGHT(E411,3)</f>
        <v>RWHSB</v>
      </c>
      <c r="AE411" s="183">
        <f>'RSD (DEA)'!BA157</f>
        <v>4.05</v>
      </c>
      <c r="AF411" s="183"/>
    </row>
    <row r="412" spans="1:32" x14ac:dyDescent="0.3">
      <c r="A412" s="235"/>
      <c r="D412" s="512"/>
      <c r="E412" s="512"/>
      <c r="F412" s="515"/>
      <c r="G412" s="515"/>
      <c r="H412" s="540"/>
      <c r="I412" s="512"/>
      <c r="J412" s="242"/>
      <c r="K412" s="242"/>
      <c r="L412" s="512"/>
      <c r="M412" s="182"/>
      <c r="N412" s="318" t="str">
        <f>AD411</f>
        <v>RWHSB</v>
      </c>
      <c r="O412" s="244"/>
      <c r="P412" s="182"/>
      <c r="Q412" s="182"/>
      <c r="R412" s="525">
        <f>IF(ISBLANK(I412),IF(MID(N412,2,2)="HA",VLOOKUP(I411,KEY_RSD_AF!$C$5:$G$52,2,FALSE),IF(MID(N412,2,2)="WA",VLOOKUP(I411,KEY_RSD_AF!$C$5:$G$52,3,FALSE),IF(MID(N412,2,2)="HH",VLOOKUP(I411,KEY_RSD_AF!$C$5:$G$52,4,FALSE),IF(MID(N412,2,2)="WH",VLOOKUP(I411,KEY_RSD_AF!$C$5:$G$52,5,FALSE))))),IF(MID(N412,2,2)="HA",VLOOKUP(I412,KEY_RSD_AF!$C$5:$G$52,2,FALSE),IF(MID(N412,2,2)="WA",VLOOKUP(I412,KEY_RSD_AF!$C$5:$G$52,3,FALSE),IF(MID(N412,2,2)="HH",VLOOKUP(I412,KEY_RSD_AF!$C$5:$G$52,4,FALSE),IF(MID(N412,2,2)="WH",VLOOKUP(I412,KEY_RSD_AF!$C$5:$G$52,5,FALSE))))))</f>
        <v>1</v>
      </c>
      <c r="S412" s="503">
        <f>T411</f>
        <v>4.05</v>
      </c>
      <c r="T412" s="183"/>
      <c r="U412" s="183"/>
      <c r="V412" s="182"/>
      <c r="W412" s="184"/>
      <c r="X412" s="183"/>
      <c r="Y412" s="182"/>
      <c r="Z412" s="252"/>
      <c r="AA412" s="236"/>
      <c r="AC412" s="235"/>
      <c r="AD412" s="235"/>
      <c r="AE412" s="183"/>
      <c r="AF412" s="183"/>
    </row>
    <row r="413" spans="1:32" x14ac:dyDescent="0.3">
      <c r="A413" s="244"/>
      <c r="D413" s="512"/>
      <c r="E413" s="513"/>
      <c r="F413" s="515"/>
      <c r="G413" s="515"/>
      <c r="H413" s="540"/>
      <c r="I413" s="513"/>
      <c r="J413" s="255"/>
      <c r="K413" s="255"/>
      <c r="L413" s="513"/>
      <c r="M413" s="252" t="str">
        <f>M411</f>
        <v>RSDGEO</v>
      </c>
      <c r="N413" s="244"/>
      <c r="O413" s="244" t="str">
        <f>$AH$12</f>
        <v>ACT</v>
      </c>
      <c r="P413" s="252"/>
      <c r="Q413" s="252"/>
      <c r="R413" s="525"/>
      <c r="S413" s="256"/>
      <c r="T413" s="256"/>
      <c r="U413" s="183"/>
      <c r="V413" s="252"/>
      <c r="W413" s="524"/>
      <c r="X413" s="256"/>
      <c r="Y413" s="252"/>
      <c r="Z413" s="252">
        <f>IF(ISBLANK(O413),"",IF(O413="ACT",1,-1))</f>
        <v>1</v>
      </c>
      <c r="AA413" s="257"/>
      <c r="AC413" s="244"/>
      <c r="AD413" s="244"/>
      <c r="AE413" s="256"/>
      <c r="AF413" s="256"/>
    </row>
    <row r="414" spans="1:32" x14ac:dyDescent="0.3">
      <c r="A414" s="244"/>
      <c r="D414" s="512"/>
      <c r="E414" s="513"/>
      <c r="F414" s="515"/>
      <c r="G414" s="515"/>
      <c r="H414" s="540"/>
      <c r="I414" s="513"/>
      <c r="J414" s="255"/>
      <c r="K414" s="255"/>
      <c r="L414" s="513"/>
      <c r="M414" s="252" t="str">
        <f>M413</f>
        <v>RSDGEO</v>
      </c>
      <c r="N414" s="244"/>
      <c r="O414" s="244" t="str">
        <f>L411</f>
        <v>RSDELC</v>
      </c>
      <c r="P414" s="252"/>
      <c r="Q414" s="252"/>
      <c r="R414" s="525"/>
      <c r="S414" s="256"/>
      <c r="T414" s="256"/>
      <c r="U414" s="183"/>
      <c r="V414" s="252"/>
      <c r="W414" s="524"/>
      <c r="X414" s="256"/>
      <c r="Y414" s="252"/>
      <c r="Z414" s="252">
        <f>IF(ISBLANK(O414),"",IF(O414="ACT",1,-1))</f>
        <v>-1</v>
      </c>
      <c r="AA414" s="257"/>
      <c r="AC414" s="244"/>
      <c r="AD414" s="244"/>
      <c r="AE414" s="256"/>
      <c r="AF414" s="256"/>
    </row>
    <row r="415" spans="1:32" x14ac:dyDescent="0.3">
      <c r="A415" s="235"/>
      <c r="C415" s="528" t="str">
        <f>'RSD (DEA)'!Z158</f>
        <v>HP_ELC_08</v>
      </c>
      <c r="D415" s="512" t="str">
        <f>RSD_HeatingDemand!N415&amp;"_"&amp;LEFT(C415,LEN(C415)-2)&amp;"10"</f>
        <v>RHHSB_HP_ELC_10</v>
      </c>
      <c r="E415" s="512" t="str">
        <f>"R"&amp;LEFT('RSD (DEA)'!AD158,2)&amp;IF(ISNUMBER(IFERROR(FIND("HTH",'RSD (DEA)'!Z158),IFERROR(FIND("HP",'RSD (DEA)'!Z158),"C"))),IF(IFERROR(FIND("HTH",'RSD (DEA)'!Z158),100)=100,"B","A"),"C")</f>
        <v>RHSB</v>
      </c>
      <c r="F415" s="515"/>
      <c r="G415" s="515"/>
      <c r="H415" s="540" t="str">
        <f t="shared" ref="H415:H475" si="9">IF(LEFT(D415,LEN(D415)-2)=LEFT(D411,LEN(D415)-2),LEFT(D415,LEN(D415)-2)&amp;IF(RIGHT(H411,2)+1&lt;=9,"0"&amp;RIGHT(H411)+1,RIGHT(H411,2)+1),D415)</f>
        <v>RHHSB_HP_ELC_37</v>
      </c>
      <c r="I415" s="512" t="str">
        <f>'RSD (DEA)'!AA158</f>
        <v>Electric heat pumps, Brine-to-water (ground source)</v>
      </c>
      <c r="J415" s="242" t="s">
        <v>239</v>
      </c>
      <c r="K415" s="242" t="s">
        <v>240</v>
      </c>
      <c r="L415" s="512" t="str">
        <f>'RSD (DEA)'!AH158</f>
        <v>RSDELC</v>
      </c>
      <c r="M415" s="182" t="str">
        <f>'RSD (DEA)'!AI158</f>
        <v>RSDGEO</v>
      </c>
      <c r="N415" s="235" t="str">
        <f>LEFT('RSD (DEA)'!AJ158,2)&amp;RIGHT(E415,3)</f>
        <v>RHHSB</v>
      </c>
      <c r="O415" s="244"/>
      <c r="P415" s="182">
        <f>IF('RSD (DEA)'!P158&lt;RSD_HeatingDemand!$AH$15,RSD_HeatingDemand!$AH$15,'RSD (DEA)'!P158)</f>
        <v>2019</v>
      </c>
      <c r="Q415" s="182">
        <f>IF('RSD (DEA)'!X158&lt;RSD_HeatingDemand!$AH$15,RSD_HeatingDemand!$AH$15,'RSD (DEA)'!X158)</f>
        <v>2019</v>
      </c>
      <c r="R415" s="525">
        <f>IF(ISBLANK(I415),IF(MID(N415,2,2)="HA",VLOOKUP(I414,KEY_RSD_AF!$C$5:$G$52,2,FALSE),IF(MID(N415,2,2)="WA",VLOOKUP(I414,KEY_RSD_AF!$C$5:$G$52,3,FALSE),IF(MID(N415,2,2)="HH",VLOOKUP(I414,KEY_RSD_AF!$C$5:$G$52,4,FALSE),IF(MID(N415,2,2)="WH",VLOOKUP(I414,KEY_RSD_AF!$C$5:$G$52,5,FALSE))))),IF(MID(N415,2,2)="HA",VLOOKUP(I415,KEY_RSD_AF!$C$5:$G$52,2,FALSE),IF(MID(N415,2,2)="WA",VLOOKUP(I415,KEY_RSD_AF!$C$5:$G$52,3,FALSE),IF(MID(N415,2,2)="HH",VLOOKUP(I415,KEY_RSD_AF!$C$5:$G$52,4,FALSE),IF(MID(N415,2,2)="WH",VLOOKUP(I415,KEY_RSD_AF!$C$5:$G$52,5,FALSE))))))</f>
        <v>1</v>
      </c>
      <c r="S415" s="183">
        <f>'RSD (DEA)'!AZ158</f>
        <v>2.95</v>
      </c>
      <c r="T415" s="183">
        <f>'RSD (DEA)'!BA158</f>
        <v>3.1</v>
      </c>
      <c r="U415" s="183">
        <v>0.5</v>
      </c>
      <c r="V415" s="182">
        <f>'RSD (DEA)'!BR158/'RSD (DEA)'!S158</f>
        <v>72.75</v>
      </c>
      <c r="W415" s="184">
        <f>'RSD (DEA)'!BS158/RSD_HeatingDemand!$AH$9</f>
        <v>0</v>
      </c>
      <c r="X415" s="183">
        <f>'RSD (DEA)'!BK158*RSD_HeatingDemand!$AH$10/'RSD (DEA)'!S158</f>
        <v>3000</v>
      </c>
      <c r="Y415" s="182">
        <f>'RSD (DEA)'!BI158</f>
        <v>20</v>
      </c>
      <c r="Z415" s="252" t="str">
        <f>IF(ISBLANK(O415),"",IF(O415="ACT",1,-1))</f>
        <v/>
      </c>
      <c r="AA415" s="236">
        <f>'RSD (DEA)'!AM158</f>
        <v>31.536000000000001</v>
      </c>
      <c r="AC415" s="235">
        <f>'RSD (DEA)'!S158</f>
        <v>4</v>
      </c>
      <c r="AD415" s="235" t="str">
        <f>LEFT('RSD (DEA)'!AK158,2)&amp;RIGHT(E415,3)</f>
        <v>RWHSB</v>
      </c>
      <c r="AE415" s="183">
        <f>'RSD (DEA)'!BA158</f>
        <v>3.1</v>
      </c>
      <c r="AF415" s="183"/>
    </row>
    <row r="416" spans="1:32" x14ac:dyDescent="0.3">
      <c r="A416" s="235"/>
      <c r="D416" s="512"/>
      <c r="E416" s="512"/>
      <c r="F416" s="515"/>
      <c r="G416" s="515"/>
      <c r="H416" s="540"/>
      <c r="I416" s="512"/>
      <c r="J416" s="242"/>
      <c r="K416" s="242"/>
      <c r="L416" s="512"/>
      <c r="M416" s="182"/>
      <c r="N416" s="318" t="str">
        <f>AD415</f>
        <v>RWHSB</v>
      </c>
      <c r="O416" s="244"/>
      <c r="P416" s="182"/>
      <c r="Q416" s="182"/>
      <c r="R416" s="525">
        <f>IF(ISBLANK(I416),IF(MID(N416,2,2)="HA",VLOOKUP(I415,KEY_RSD_AF!$C$5:$G$52,2,FALSE),IF(MID(N416,2,2)="WA",VLOOKUP(I415,KEY_RSD_AF!$C$5:$G$52,3,FALSE),IF(MID(N416,2,2)="HH",VLOOKUP(I415,KEY_RSD_AF!$C$5:$G$52,4,FALSE),IF(MID(N416,2,2)="WH",VLOOKUP(I415,KEY_RSD_AF!$C$5:$G$52,5,FALSE))))),IF(MID(N416,2,2)="HA",VLOOKUP(I416,KEY_RSD_AF!$C$5:$G$52,2,FALSE),IF(MID(N416,2,2)="WA",VLOOKUP(I416,KEY_RSD_AF!$C$5:$G$52,3,FALSE),IF(MID(N416,2,2)="HH",VLOOKUP(I416,KEY_RSD_AF!$C$5:$G$52,4,FALSE),IF(MID(N416,2,2)="WH",VLOOKUP(I416,KEY_RSD_AF!$C$5:$G$52,5,FALSE))))))</f>
        <v>1</v>
      </c>
      <c r="S416" s="503">
        <f>T415</f>
        <v>3.1</v>
      </c>
      <c r="T416" s="183"/>
      <c r="U416" s="183"/>
      <c r="V416" s="182"/>
      <c r="W416" s="184"/>
      <c r="X416" s="183"/>
      <c r="Y416" s="182"/>
      <c r="Z416" s="252"/>
      <c r="AA416" s="236"/>
      <c r="AC416" s="235"/>
      <c r="AD416" s="235"/>
      <c r="AE416" s="183"/>
      <c r="AF416" s="183"/>
    </row>
    <row r="417" spans="1:32" x14ac:dyDescent="0.3">
      <c r="A417" s="244"/>
      <c r="D417" s="512"/>
      <c r="E417" s="513"/>
      <c r="F417" s="515"/>
      <c r="G417" s="515"/>
      <c r="H417" s="540"/>
      <c r="I417" s="513"/>
      <c r="J417" s="255"/>
      <c r="K417" s="255"/>
      <c r="L417" s="513"/>
      <c r="M417" s="252" t="str">
        <f>M415</f>
        <v>RSDGEO</v>
      </c>
      <c r="N417" s="244"/>
      <c r="O417" s="244" t="str">
        <f>$AH$12</f>
        <v>ACT</v>
      </c>
      <c r="P417" s="252"/>
      <c r="Q417" s="252"/>
      <c r="R417" s="525"/>
      <c r="S417" s="256"/>
      <c r="T417" s="256"/>
      <c r="U417" s="183"/>
      <c r="V417" s="252"/>
      <c r="W417" s="524"/>
      <c r="X417" s="256"/>
      <c r="Y417" s="252"/>
      <c r="Z417" s="252">
        <f>IF(ISBLANK(O417),"",IF(O417="ACT",1,-1))</f>
        <v>1</v>
      </c>
      <c r="AA417" s="257"/>
      <c r="AC417" s="244"/>
      <c r="AD417" s="244"/>
      <c r="AE417" s="256"/>
      <c r="AF417" s="256"/>
    </row>
    <row r="418" spans="1:32" x14ac:dyDescent="0.3">
      <c r="A418" s="244"/>
      <c r="D418" s="512"/>
      <c r="E418" s="513"/>
      <c r="F418" s="515"/>
      <c r="G418" s="515"/>
      <c r="H418" s="540"/>
      <c r="I418" s="513"/>
      <c r="J418" s="255"/>
      <c r="K418" s="255"/>
      <c r="L418" s="513"/>
      <c r="M418" s="252" t="str">
        <f>M417</f>
        <v>RSDGEO</v>
      </c>
      <c r="N418" s="244"/>
      <c r="O418" s="244" t="str">
        <f>L415</f>
        <v>RSDELC</v>
      </c>
      <c r="P418" s="252"/>
      <c r="Q418" s="252"/>
      <c r="R418" s="525"/>
      <c r="S418" s="256"/>
      <c r="T418" s="256"/>
      <c r="U418" s="183"/>
      <c r="V418" s="252"/>
      <c r="W418" s="524"/>
      <c r="X418" s="256"/>
      <c r="Y418" s="252"/>
      <c r="Z418" s="252">
        <f>IF(ISBLANK(O418),"",IF(O418="ACT",1,-1))</f>
        <v>-1</v>
      </c>
      <c r="AA418" s="257"/>
      <c r="AC418" s="244"/>
      <c r="AD418" s="244"/>
      <c r="AE418" s="256"/>
      <c r="AF418" s="256"/>
    </row>
    <row r="419" spans="1:32" x14ac:dyDescent="0.3">
      <c r="A419" s="235"/>
      <c r="C419" s="528" t="str">
        <f>'RSD (DEA)'!Z159</f>
        <v>HP_ELC_08</v>
      </c>
      <c r="D419" s="512" t="str">
        <f>RSD_HeatingDemand!N419&amp;"_"&amp;LEFT(C419,LEN(C419)-2)&amp;"10"</f>
        <v>RHHSB_HP_ELC_10</v>
      </c>
      <c r="E419" s="512" t="str">
        <f>"R"&amp;LEFT('RSD (DEA)'!AD159,2)&amp;IF(ISNUMBER(IFERROR(FIND("HTH",'RSD (DEA)'!Z159),IFERROR(FIND("HP",'RSD (DEA)'!Z159),"C"))),IF(IFERROR(FIND("HTH",'RSD (DEA)'!Z159),100)=100,"B","A"),"C")</f>
        <v>RHSB</v>
      </c>
      <c r="F419" s="515"/>
      <c r="G419" s="515"/>
      <c r="H419" s="540" t="str">
        <f t="shared" si="9"/>
        <v>RHHSB_HP_ELC_38</v>
      </c>
      <c r="I419" s="512" t="str">
        <f>'RSD (DEA)'!AA159</f>
        <v>Electric heat pumps, Brine-to-water (ground source)</v>
      </c>
      <c r="J419" s="242" t="s">
        <v>239</v>
      </c>
      <c r="K419" s="242" t="s">
        <v>240</v>
      </c>
      <c r="L419" s="512" t="str">
        <f>'RSD (DEA)'!AH159</f>
        <v>RSDELC</v>
      </c>
      <c r="M419" s="182" t="str">
        <f>'RSD (DEA)'!AI159</f>
        <v>RSDGEO</v>
      </c>
      <c r="N419" s="235" t="str">
        <f>LEFT('RSD (DEA)'!AJ159,2)&amp;RIGHT(E419,3)</f>
        <v>RHHSB</v>
      </c>
      <c r="O419" s="244"/>
      <c r="P419" s="182">
        <f>IF('RSD (DEA)'!P159&lt;RSD_HeatingDemand!$AH$15,RSD_HeatingDemand!$AH$15,'RSD (DEA)'!P159)</f>
        <v>2019</v>
      </c>
      <c r="Q419" s="182">
        <f>IF('RSD (DEA)'!X159&lt;RSD_HeatingDemand!$AH$15,RSD_HeatingDemand!$AH$15,'RSD (DEA)'!X159)</f>
        <v>2020</v>
      </c>
      <c r="R419" s="525">
        <f>IF(ISBLANK(I419),IF(MID(N419,2,2)="HA",VLOOKUP(I418,KEY_RSD_AF!$C$5:$G$52,2,FALSE),IF(MID(N419,2,2)="WA",VLOOKUP(I418,KEY_RSD_AF!$C$5:$G$52,3,FALSE),IF(MID(N419,2,2)="HH",VLOOKUP(I418,KEY_RSD_AF!$C$5:$G$52,4,FALSE),IF(MID(N419,2,2)="WH",VLOOKUP(I418,KEY_RSD_AF!$C$5:$G$52,5,FALSE))))),IF(MID(N419,2,2)="HA",VLOOKUP(I419,KEY_RSD_AF!$C$5:$G$52,2,FALSE),IF(MID(N419,2,2)="WA",VLOOKUP(I419,KEY_RSD_AF!$C$5:$G$52,3,FALSE),IF(MID(N419,2,2)="HH",VLOOKUP(I419,KEY_RSD_AF!$C$5:$G$52,4,FALSE),IF(MID(N419,2,2)="WH",VLOOKUP(I419,KEY_RSD_AF!$C$5:$G$52,5,FALSE))))))</f>
        <v>1</v>
      </c>
      <c r="S419" s="183">
        <f>'RSD (DEA)'!AZ159</f>
        <v>3.05</v>
      </c>
      <c r="T419" s="183">
        <f>'RSD (DEA)'!BA159</f>
        <v>3.2</v>
      </c>
      <c r="U419" s="183">
        <v>0.5</v>
      </c>
      <c r="V419" s="182">
        <f>'RSD (DEA)'!BR159/'RSD (DEA)'!S159</f>
        <v>69.5</v>
      </c>
      <c r="W419" s="184">
        <f>'RSD (DEA)'!BS159/RSD_HeatingDemand!$AH$9</f>
        <v>0</v>
      </c>
      <c r="X419" s="183">
        <f>'RSD (DEA)'!BK159*RSD_HeatingDemand!$AH$10/'RSD (DEA)'!S159</f>
        <v>2750</v>
      </c>
      <c r="Y419" s="182">
        <f>'RSD (DEA)'!BI159</f>
        <v>20</v>
      </c>
      <c r="Z419" s="252" t="str">
        <f>IF(ISBLANK(O419),"",IF(O419="ACT",1,-1))</f>
        <v/>
      </c>
      <c r="AA419" s="236">
        <f>'RSD (DEA)'!AM159</f>
        <v>31.536000000000001</v>
      </c>
      <c r="AC419" s="235">
        <f>'RSD (DEA)'!S159</f>
        <v>4</v>
      </c>
      <c r="AD419" s="235" t="str">
        <f>LEFT('RSD (DEA)'!AK159,2)&amp;RIGHT(E419,3)</f>
        <v>RWHSB</v>
      </c>
      <c r="AE419" s="183">
        <f>'RSD (DEA)'!BA159</f>
        <v>3.2</v>
      </c>
      <c r="AF419" s="183"/>
    </row>
    <row r="420" spans="1:32" x14ac:dyDescent="0.3">
      <c r="A420" s="235"/>
      <c r="D420" s="512"/>
      <c r="E420" s="512"/>
      <c r="F420" s="515"/>
      <c r="G420" s="515"/>
      <c r="H420" s="540"/>
      <c r="I420" s="512"/>
      <c r="J420" s="242"/>
      <c r="K420" s="242"/>
      <c r="L420" s="512"/>
      <c r="M420" s="182"/>
      <c r="N420" s="318" t="str">
        <f>AD419</f>
        <v>RWHSB</v>
      </c>
      <c r="O420" s="244"/>
      <c r="P420" s="182"/>
      <c r="Q420" s="182"/>
      <c r="R420" s="525">
        <f>IF(ISBLANK(I420),IF(MID(N420,2,2)="HA",VLOOKUP(I419,KEY_RSD_AF!$C$5:$G$52,2,FALSE),IF(MID(N420,2,2)="WA",VLOOKUP(I419,KEY_RSD_AF!$C$5:$G$52,3,FALSE),IF(MID(N420,2,2)="HH",VLOOKUP(I419,KEY_RSD_AF!$C$5:$G$52,4,FALSE),IF(MID(N420,2,2)="WH",VLOOKUP(I419,KEY_RSD_AF!$C$5:$G$52,5,FALSE))))),IF(MID(N420,2,2)="HA",VLOOKUP(I420,KEY_RSD_AF!$C$5:$G$52,2,FALSE),IF(MID(N420,2,2)="WA",VLOOKUP(I420,KEY_RSD_AF!$C$5:$G$52,3,FALSE),IF(MID(N420,2,2)="HH",VLOOKUP(I420,KEY_RSD_AF!$C$5:$G$52,4,FALSE),IF(MID(N420,2,2)="WH",VLOOKUP(I420,KEY_RSD_AF!$C$5:$G$52,5,FALSE))))))</f>
        <v>1</v>
      </c>
      <c r="S420" s="503">
        <f>T419</f>
        <v>3.2</v>
      </c>
      <c r="T420" s="183"/>
      <c r="U420" s="183"/>
      <c r="V420" s="182"/>
      <c r="W420" s="184"/>
      <c r="X420" s="183"/>
      <c r="Y420" s="182"/>
      <c r="Z420" s="252"/>
      <c r="AA420" s="236"/>
      <c r="AC420" s="235"/>
      <c r="AD420" s="235"/>
      <c r="AE420" s="183"/>
      <c r="AF420" s="183"/>
    </row>
    <row r="421" spans="1:32" x14ac:dyDescent="0.3">
      <c r="A421" s="244"/>
      <c r="D421" s="512"/>
      <c r="E421" s="513"/>
      <c r="F421" s="515"/>
      <c r="G421" s="515"/>
      <c r="H421" s="540"/>
      <c r="I421" s="513"/>
      <c r="J421" s="255"/>
      <c r="K421" s="255"/>
      <c r="L421" s="513"/>
      <c r="M421" s="252" t="str">
        <f>M419</f>
        <v>RSDGEO</v>
      </c>
      <c r="N421" s="244"/>
      <c r="O421" s="244" t="str">
        <f>$AH$12</f>
        <v>ACT</v>
      </c>
      <c r="P421" s="252"/>
      <c r="Q421" s="252"/>
      <c r="R421" s="525"/>
      <c r="S421" s="256"/>
      <c r="T421" s="256"/>
      <c r="U421" s="183"/>
      <c r="V421" s="252"/>
      <c r="W421" s="524"/>
      <c r="X421" s="256"/>
      <c r="Y421" s="252"/>
      <c r="Z421" s="252">
        <f>IF(ISBLANK(O421),"",IF(O421="ACT",1,-1))</f>
        <v>1</v>
      </c>
      <c r="AA421" s="257"/>
      <c r="AC421" s="244"/>
      <c r="AD421" s="244"/>
      <c r="AE421" s="256"/>
      <c r="AF421" s="256"/>
    </row>
    <row r="422" spans="1:32" x14ac:dyDescent="0.3">
      <c r="A422" s="244"/>
      <c r="D422" s="512"/>
      <c r="E422" s="513"/>
      <c r="F422" s="515"/>
      <c r="G422" s="515"/>
      <c r="H422" s="540"/>
      <c r="I422" s="513"/>
      <c r="J422" s="255"/>
      <c r="K422" s="255"/>
      <c r="L422" s="513"/>
      <c r="M422" s="252" t="str">
        <f>M421</f>
        <v>RSDGEO</v>
      </c>
      <c r="N422" s="244"/>
      <c r="O422" s="244" t="str">
        <f>L419</f>
        <v>RSDELC</v>
      </c>
      <c r="P422" s="252"/>
      <c r="Q422" s="252"/>
      <c r="R422" s="525"/>
      <c r="S422" s="256"/>
      <c r="T422" s="256"/>
      <c r="U422" s="183"/>
      <c r="V422" s="252"/>
      <c r="W422" s="524"/>
      <c r="X422" s="256"/>
      <c r="Y422" s="252"/>
      <c r="Z422" s="252">
        <f>IF(ISBLANK(O422),"",IF(O422="ACT",1,-1))</f>
        <v>-1</v>
      </c>
      <c r="AA422" s="257"/>
      <c r="AC422" s="244"/>
      <c r="AD422" s="244"/>
      <c r="AE422" s="256"/>
      <c r="AF422" s="256"/>
    </row>
    <row r="423" spans="1:32" x14ac:dyDescent="0.3">
      <c r="A423" s="235"/>
      <c r="C423" s="528" t="str">
        <f>'RSD (DEA)'!Z160</f>
        <v>HP_ELC_08</v>
      </c>
      <c r="D423" s="512" t="str">
        <f>RSD_HeatingDemand!N423&amp;"_"&amp;LEFT(C423,LEN(C423)-2)&amp;"10"</f>
        <v>RHHSB_HP_ELC_10</v>
      </c>
      <c r="E423" s="512" t="str">
        <f>"R"&amp;LEFT('RSD (DEA)'!AD160,2)&amp;IF(ISNUMBER(IFERROR(FIND("HTH",'RSD (DEA)'!Z160),IFERROR(FIND("HP",'RSD (DEA)'!Z160),"C"))),IF(IFERROR(FIND("HTH",'RSD (DEA)'!Z160),100)=100,"B","A"),"C")</f>
        <v>RHSB</v>
      </c>
      <c r="F423" s="515"/>
      <c r="G423" s="515"/>
      <c r="H423" s="540" t="str">
        <f t="shared" si="9"/>
        <v>RHHSB_HP_ELC_39</v>
      </c>
      <c r="I423" s="512" t="str">
        <f>'RSD (DEA)'!AA160</f>
        <v>Electric heat pumps, Brine-to-water (ground source)</v>
      </c>
      <c r="J423" s="242" t="s">
        <v>239</v>
      </c>
      <c r="K423" s="242" t="s">
        <v>240</v>
      </c>
      <c r="L423" s="512" t="str">
        <f>'RSD (DEA)'!AH160</f>
        <v>RSDELC</v>
      </c>
      <c r="M423" s="182" t="str">
        <f>'RSD (DEA)'!AI160</f>
        <v>RSDGEO</v>
      </c>
      <c r="N423" s="235" t="str">
        <f>LEFT('RSD (DEA)'!AJ160,2)&amp;RIGHT(E423,3)</f>
        <v>RHHSB</v>
      </c>
      <c r="O423" s="244"/>
      <c r="P423" s="182">
        <f>IF('RSD (DEA)'!P160&lt;RSD_HeatingDemand!$AH$15,RSD_HeatingDemand!$AH$15,'RSD (DEA)'!P160)</f>
        <v>2019</v>
      </c>
      <c r="Q423" s="182">
        <f>IF('RSD (DEA)'!X160&lt;RSD_HeatingDemand!$AH$15,RSD_HeatingDemand!$AH$15,'RSD (DEA)'!X160)</f>
        <v>2030</v>
      </c>
      <c r="R423" s="525">
        <f>IF(ISBLANK(I423),IF(MID(N423,2,2)="HA",VLOOKUP(I422,KEY_RSD_AF!$C$5:$G$52,2,FALSE),IF(MID(N423,2,2)="WA",VLOOKUP(I422,KEY_RSD_AF!$C$5:$G$52,3,FALSE),IF(MID(N423,2,2)="HH",VLOOKUP(I422,KEY_RSD_AF!$C$5:$G$52,4,FALSE),IF(MID(N423,2,2)="WH",VLOOKUP(I422,KEY_RSD_AF!$C$5:$G$52,5,FALSE))))),IF(MID(N423,2,2)="HA",VLOOKUP(I423,KEY_RSD_AF!$C$5:$G$52,2,FALSE),IF(MID(N423,2,2)="WA",VLOOKUP(I423,KEY_RSD_AF!$C$5:$G$52,3,FALSE),IF(MID(N423,2,2)="HH",VLOOKUP(I423,KEY_RSD_AF!$C$5:$G$52,4,FALSE),IF(MID(N423,2,2)="WH",VLOOKUP(I423,KEY_RSD_AF!$C$5:$G$52,5,FALSE))))))</f>
        <v>1</v>
      </c>
      <c r="S423" s="183">
        <f>'RSD (DEA)'!AZ160</f>
        <v>3.15</v>
      </c>
      <c r="T423" s="183">
        <f>'RSD (DEA)'!BA160</f>
        <v>3.3</v>
      </c>
      <c r="U423" s="183">
        <v>0.5</v>
      </c>
      <c r="V423" s="182">
        <f>'RSD (DEA)'!BR160/'RSD (DEA)'!S160</f>
        <v>63.75</v>
      </c>
      <c r="W423" s="184">
        <f>'RSD (DEA)'!BS160/RSD_HeatingDemand!$AH$9</f>
        <v>0</v>
      </c>
      <c r="X423" s="183">
        <f>'RSD (DEA)'!BK160*RSD_HeatingDemand!$AH$10/'RSD (DEA)'!S160</f>
        <v>2500</v>
      </c>
      <c r="Y423" s="182">
        <f>'RSD (DEA)'!BI160</f>
        <v>20</v>
      </c>
      <c r="Z423" s="252" t="str">
        <f>IF(ISBLANK(O423),"",IF(O423="ACT",1,-1))</f>
        <v/>
      </c>
      <c r="AA423" s="236">
        <f>'RSD (DEA)'!AM160</f>
        <v>31.536000000000001</v>
      </c>
      <c r="AC423" s="235">
        <f>'RSD (DEA)'!S160</f>
        <v>4</v>
      </c>
      <c r="AD423" s="235" t="str">
        <f>LEFT('RSD (DEA)'!AK160,2)&amp;RIGHT(E423,3)</f>
        <v>RWHSB</v>
      </c>
      <c r="AE423" s="183">
        <f>'RSD (DEA)'!BA160</f>
        <v>3.3</v>
      </c>
      <c r="AF423" s="183"/>
    </row>
    <row r="424" spans="1:32" x14ac:dyDescent="0.3">
      <c r="A424" s="235"/>
      <c r="D424" s="512"/>
      <c r="E424" s="512"/>
      <c r="F424" s="515"/>
      <c r="G424" s="515"/>
      <c r="H424" s="540"/>
      <c r="I424" s="512"/>
      <c r="J424" s="242"/>
      <c r="K424" s="242"/>
      <c r="L424" s="512"/>
      <c r="M424" s="182"/>
      <c r="N424" s="318" t="str">
        <f>AD423</f>
        <v>RWHSB</v>
      </c>
      <c r="O424" s="244"/>
      <c r="P424" s="182"/>
      <c r="Q424" s="182"/>
      <c r="R424" s="525">
        <f>IF(ISBLANK(I424),IF(MID(N424,2,2)="HA",VLOOKUP(I423,KEY_RSD_AF!$C$5:$G$52,2,FALSE),IF(MID(N424,2,2)="WA",VLOOKUP(I423,KEY_RSD_AF!$C$5:$G$52,3,FALSE),IF(MID(N424,2,2)="HH",VLOOKUP(I423,KEY_RSD_AF!$C$5:$G$52,4,FALSE),IF(MID(N424,2,2)="WH",VLOOKUP(I423,KEY_RSD_AF!$C$5:$G$52,5,FALSE))))),IF(MID(N424,2,2)="HA",VLOOKUP(I424,KEY_RSD_AF!$C$5:$G$52,2,FALSE),IF(MID(N424,2,2)="WA",VLOOKUP(I424,KEY_RSD_AF!$C$5:$G$52,3,FALSE),IF(MID(N424,2,2)="HH",VLOOKUP(I424,KEY_RSD_AF!$C$5:$G$52,4,FALSE),IF(MID(N424,2,2)="WH",VLOOKUP(I424,KEY_RSD_AF!$C$5:$G$52,5,FALSE))))))</f>
        <v>1</v>
      </c>
      <c r="S424" s="503">
        <f>T423</f>
        <v>3.3</v>
      </c>
      <c r="T424" s="183"/>
      <c r="U424" s="183"/>
      <c r="V424" s="182"/>
      <c r="W424" s="184"/>
      <c r="X424" s="183"/>
      <c r="Y424" s="182"/>
      <c r="Z424" s="252"/>
      <c r="AA424" s="236"/>
      <c r="AC424" s="235"/>
      <c r="AD424" s="235"/>
      <c r="AE424" s="183"/>
      <c r="AF424" s="183"/>
    </row>
    <row r="425" spans="1:32" x14ac:dyDescent="0.3">
      <c r="A425" s="244"/>
      <c r="D425" s="512"/>
      <c r="E425" s="513"/>
      <c r="F425" s="515"/>
      <c r="G425" s="515"/>
      <c r="H425" s="540"/>
      <c r="I425" s="513"/>
      <c r="J425" s="255"/>
      <c r="K425" s="255"/>
      <c r="L425" s="513"/>
      <c r="M425" s="252" t="str">
        <f>M423</f>
        <v>RSDGEO</v>
      </c>
      <c r="N425" s="244"/>
      <c r="O425" s="244" t="str">
        <f>$AH$12</f>
        <v>ACT</v>
      </c>
      <c r="P425" s="252"/>
      <c r="Q425" s="252"/>
      <c r="R425" s="525"/>
      <c r="S425" s="256"/>
      <c r="T425" s="256"/>
      <c r="U425" s="183"/>
      <c r="V425" s="252"/>
      <c r="W425" s="524"/>
      <c r="X425" s="256"/>
      <c r="Y425" s="252"/>
      <c r="Z425" s="252">
        <f>IF(ISBLANK(O425),"",IF(O425="ACT",1,-1))</f>
        <v>1</v>
      </c>
      <c r="AA425" s="257"/>
      <c r="AC425" s="244"/>
      <c r="AD425" s="244"/>
      <c r="AE425" s="256"/>
      <c r="AF425" s="256"/>
    </row>
    <row r="426" spans="1:32" x14ac:dyDescent="0.3">
      <c r="A426" s="244"/>
      <c r="D426" s="512"/>
      <c r="E426" s="513"/>
      <c r="F426" s="515"/>
      <c r="G426" s="515"/>
      <c r="H426" s="540"/>
      <c r="I426" s="513"/>
      <c r="J426" s="255"/>
      <c r="K426" s="255"/>
      <c r="L426" s="513"/>
      <c r="M426" s="252" t="str">
        <f>M425</f>
        <v>RSDGEO</v>
      </c>
      <c r="N426" s="244"/>
      <c r="O426" s="244" t="str">
        <f>L423</f>
        <v>RSDELC</v>
      </c>
      <c r="P426" s="252"/>
      <c r="Q426" s="252"/>
      <c r="R426" s="525"/>
      <c r="S426" s="256"/>
      <c r="T426" s="256"/>
      <c r="U426" s="183"/>
      <c r="V426" s="252"/>
      <c r="W426" s="524"/>
      <c r="X426" s="256"/>
      <c r="Y426" s="252"/>
      <c r="Z426" s="252">
        <f>IF(ISBLANK(O426),"",IF(O426="ACT",1,-1))</f>
        <v>-1</v>
      </c>
      <c r="AA426" s="257"/>
      <c r="AC426" s="244"/>
      <c r="AD426" s="244"/>
      <c r="AE426" s="256"/>
      <c r="AF426" s="256"/>
    </row>
    <row r="427" spans="1:32" x14ac:dyDescent="0.3">
      <c r="A427" s="235"/>
      <c r="C427" s="528" t="str">
        <f>'RSD (DEA)'!Z161</f>
        <v>HP_ELC_08</v>
      </c>
      <c r="D427" s="512" t="str">
        <f>RSD_HeatingDemand!N427&amp;"_"&amp;LEFT(C427,LEN(C427)-2)&amp;"10"</f>
        <v>RHHSB_HP_ELC_10</v>
      </c>
      <c r="E427" s="512" t="str">
        <f>"R"&amp;LEFT('RSD (DEA)'!AD161,2)&amp;IF(ISNUMBER(IFERROR(FIND("HTH",'RSD (DEA)'!Z161),IFERROR(FIND("HP",'RSD (DEA)'!Z161),"C"))),IF(IFERROR(FIND("HTH",'RSD (DEA)'!Z161),100)=100,"B","A"),"C")</f>
        <v>RHSB</v>
      </c>
      <c r="F427" s="515"/>
      <c r="G427" s="515"/>
      <c r="H427" s="540" t="str">
        <f t="shared" si="9"/>
        <v>RHHSB_HP_ELC_40</v>
      </c>
      <c r="I427" s="512" t="str">
        <f>'RSD (DEA)'!AA161</f>
        <v>Electric heat pumps, Brine-to-water (ground source)</v>
      </c>
      <c r="J427" s="242" t="s">
        <v>239</v>
      </c>
      <c r="K427" s="242" t="s">
        <v>240</v>
      </c>
      <c r="L427" s="512" t="str">
        <f>'RSD (DEA)'!AH161</f>
        <v>RSDELC</v>
      </c>
      <c r="M427" s="182" t="str">
        <f>'RSD (DEA)'!AI161</f>
        <v>RSDGEO</v>
      </c>
      <c r="N427" s="235" t="str">
        <f>LEFT('RSD (DEA)'!AJ161,2)&amp;RIGHT(E427,3)</f>
        <v>RHHSB</v>
      </c>
      <c r="O427" s="244"/>
      <c r="P427" s="182">
        <f>IF('RSD (DEA)'!P161&lt;RSD_HeatingDemand!$AH$15,RSD_HeatingDemand!$AH$15,'RSD (DEA)'!P161)</f>
        <v>2019</v>
      </c>
      <c r="Q427" s="182">
        <f>IF('RSD (DEA)'!X161&lt;RSD_HeatingDemand!$AH$15,RSD_HeatingDemand!$AH$15,'RSD (DEA)'!X161)</f>
        <v>2050</v>
      </c>
      <c r="R427" s="525">
        <f>IF(ISBLANK(I427),IF(MID(N427,2,2)="HA",VLOOKUP(I426,KEY_RSD_AF!$C$5:$G$52,2,FALSE),IF(MID(N427,2,2)="WA",VLOOKUP(I426,KEY_RSD_AF!$C$5:$G$52,3,FALSE),IF(MID(N427,2,2)="HH",VLOOKUP(I426,KEY_RSD_AF!$C$5:$G$52,4,FALSE),IF(MID(N427,2,2)="WH",VLOOKUP(I426,KEY_RSD_AF!$C$5:$G$52,5,FALSE))))),IF(MID(N427,2,2)="HA",VLOOKUP(I427,KEY_RSD_AF!$C$5:$G$52,2,FALSE),IF(MID(N427,2,2)="WA",VLOOKUP(I427,KEY_RSD_AF!$C$5:$G$52,3,FALSE),IF(MID(N427,2,2)="HH",VLOOKUP(I427,KEY_RSD_AF!$C$5:$G$52,4,FALSE),IF(MID(N427,2,2)="WH",VLOOKUP(I427,KEY_RSD_AF!$C$5:$G$52,5,FALSE))))))</f>
        <v>1</v>
      </c>
      <c r="S427" s="183">
        <f>'RSD (DEA)'!AZ161</f>
        <v>3.3</v>
      </c>
      <c r="T427" s="183">
        <f>'RSD (DEA)'!BA161</f>
        <v>3.45</v>
      </c>
      <c r="U427" s="183">
        <v>0.5</v>
      </c>
      <c r="V427" s="182">
        <f>'RSD (DEA)'!BR161/'RSD (DEA)'!S161</f>
        <v>59.75</v>
      </c>
      <c r="W427" s="184">
        <f>'RSD (DEA)'!BS161/RSD_HeatingDemand!$AH$9</f>
        <v>0</v>
      </c>
      <c r="X427" s="183">
        <f>'RSD (DEA)'!BK161*RSD_HeatingDemand!$AH$10/'RSD (DEA)'!S161</f>
        <v>2250</v>
      </c>
      <c r="Y427" s="182">
        <f>'RSD (DEA)'!BI161</f>
        <v>20</v>
      </c>
      <c r="Z427" s="252" t="str">
        <f>IF(ISBLANK(O427),"",IF(O427="ACT",1,-1))</f>
        <v/>
      </c>
      <c r="AA427" s="236">
        <f>'RSD (DEA)'!AM161</f>
        <v>31.536000000000001</v>
      </c>
      <c r="AC427" s="235">
        <f>'RSD (DEA)'!S161</f>
        <v>4</v>
      </c>
      <c r="AD427" s="235" t="str">
        <f>LEFT('RSD (DEA)'!AK161,2)&amp;RIGHT(E427,3)</f>
        <v>RWHSB</v>
      </c>
      <c r="AE427" s="183">
        <f>'RSD (DEA)'!BA161</f>
        <v>3.45</v>
      </c>
      <c r="AF427" s="183"/>
    </row>
    <row r="428" spans="1:32" x14ac:dyDescent="0.3">
      <c r="A428" s="235"/>
      <c r="D428" s="512"/>
      <c r="E428" s="512"/>
      <c r="F428" s="515"/>
      <c r="G428" s="515"/>
      <c r="H428" s="540"/>
      <c r="I428" s="512"/>
      <c r="J428" s="242"/>
      <c r="K428" s="242"/>
      <c r="L428" s="512"/>
      <c r="M428" s="182"/>
      <c r="N428" s="318" t="str">
        <f>AD427</f>
        <v>RWHSB</v>
      </c>
      <c r="O428" s="244"/>
      <c r="P428" s="182"/>
      <c r="Q428" s="182"/>
      <c r="R428" s="525">
        <f>IF(ISBLANK(I428),IF(MID(N428,2,2)="HA",VLOOKUP(I427,KEY_RSD_AF!$C$5:$G$52,2,FALSE),IF(MID(N428,2,2)="WA",VLOOKUP(I427,KEY_RSD_AF!$C$5:$G$52,3,FALSE),IF(MID(N428,2,2)="HH",VLOOKUP(I427,KEY_RSD_AF!$C$5:$G$52,4,FALSE),IF(MID(N428,2,2)="WH",VLOOKUP(I427,KEY_RSD_AF!$C$5:$G$52,5,FALSE))))),IF(MID(N428,2,2)="HA",VLOOKUP(I428,KEY_RSD_AF!$C$5:$G$52,2,FALSE),IF(MID(N428,2,2)="WA",VLOOKUP(I428,KEY_RSD_AF!$C$5:$G$52,3,FALSE),IF(MID(N428,2,2)="HH",VLOOKUP(I428,KEY_RSD_AF!$C$5:$G$52,4,FALSE),IF(MID(N428,2,2)="WH",VLOOKUP(I428,KEY_RSD_AF!$C$5:$G$52,5,FALSE))))))</f>
        <v>1</v>
      </c>
      <c r="S428" s="503">
        <f>T427</f>
        <v>3.45</v>
      </c>
      <c r="T428" s="183"/>
      <c r="U428" s="183"/>
      <c r="V428" s="182"/>
      <c r="W428" s="184"/>
      <c r="X428" s="183"/>
      <c r="Y428" s="182"/>
      <c r="Z428" s="252"/>
      <c r="AA428" s="236"/>
      <c r="AC428" s="235"/>
      <c r="AD428" s="235"/>
      <c r="AE428" s="183"/>
      <c r="AF428" s="183"/>
    </row>
    <row r="429" spans="1:32" x14ac:dyDescent="0.3">
      <c r="A429" s="244"/>
      <c r="D429" s="512"/>
      <c r="E429" s="513"/>
      <c r="F429" s="515"/>
      <c r="G429" s="515"/>
      <c r="H429" s="540"/>
      <c r="I429" s="513"/>
      <c r="J429" s="255"/>
      <c r="K429" s="255"/>
      <c r="L429" s="513"/>
      <c r="M429" s="252" t="str">
        <f>M427</f>
        <v>RSDGEO</v>
      </c>
      <c r="N429" s="244"/>
      <c r="O429" s="244" t="str">
        <f>$AH$12</f>
        <v>ACT</v>
      </c>
      <c r="P429" s="252"/>
      <c r="Q429" s="252"/>
      <c r="R429" s="525"/>
      <c r="S429" s="256"/>
      <c r="T429" s="256"/>
      <c r="U429" s="183"/>
      <c r="V429" s="252"/>
      <c r="W429" s="524"/>
      <c r="X429" s="256"/>
      <c r="Y429" s="252"/>
      <c r="Z429" s="252">
        <f>IF(ISBLANK(O429),"",IF(O429="ACT",1,-1))</f>
        <v>1</v>
      </c>
      <c r="AA429" s="257"/>
      <c r="AC429" s="244"/>
      <c r="AD429" s="244"/>
      <c r="AE429" s="256"/>
      <c r="AF429" s="256"/>
    </row>
    <row r="430" spans="1:32" x14ac:dyDescent="0.3">
      <c r="A430" s="244"/>
      <c r="D430" s="512"/>
      <c r="E430" s="513"/>
      <c r="F430" s="515"/>
      <c r="G430" s="515"/>
      <c r="H430" s="540"/>
      <c r="I430" s="513"/>
      <c r="J430" s="255"/>
      <c r="K430" s="255"/>
      <c r="L430" s="513"/>
      <c r="M430" s="252" t="str">
        <f>M429</f>
        <v>RSDGEO</v>
      </c>
      <c r="N430" s="244"/>
      <c r="O430" s="244" t="str">
        <f>L427</f>
        <v>RSDELC</v>
      </c>
      <c r="P430" s="252"/>
      <c r="Q430" s="252"/>
      <c r="R430" s="525"/>
      <c r="S430" s="256"/>
      <c r="T430" s="256"/>
      <c r="U430" s="183"/>
      <c r="V430" s="252"/>
      <c r="W430" s="524"/>
      <c r="X430" s="256"/>
      <c r="Y430" s="252"/>
      <c r="Z430" s="252">
        <f>IF(ISBLANK(O430),"",IF(O430="ACT",1,-1))</f>
        <v>-1</v>
      </c>
      <c r="AA430" s="257"/>
      <c r="AC430" s="244"/>
      <c r="AD430" s="244"/>
      <c r="AE430" s="256"/>
      <c r="AF430" s="256"/>
    </row>
    <row r="431" spans="1:32" x14ac:dyDescent="0.3">
      <c r="A431" s="235"/>
      <c r="C431" s="528" t="str">
        <f>'RSD (DEA)'!Z162</f>
        <v>HP_ELC_09</v>
      </c>
      <c r="D431" s="512" t="str">
        <f>RSD_HeatingDemand!N431&amp;"_"&amp;LEFT(C431,LEN(C431)-2)&amp;"07"</f>
        <v>RHAPB_HP_ELC_07</v>
      </c>
      <c r="E431" s="512" t="str">
        <f>"R"&amp;LEFT('RSD (DEA)'!AD162,2)&amp;IF(ISNUMBER(IFERROR(FIND("HTH",'RSD (DEA)'!Z162),IFERROR(FIND("HP",'RSD (DEA)'!Z162),"C"))),IF(IFERROR(FIND("HTH",'RSD (DEA)'!Z162),100)=100,"B","A"),"C")</f>
        <v>RAPB</v>
      </c>
      <c r="F431" s="515"/>
      <c r="G431" s="515"/>
      <c r="H431" s="540" t="str">
        <f>IF(LEFT(D431,LEN(D431)-2)=LEFT(D395,LEN(D431)-2),LEFT(D431,LEN(D431)-2)&amp;IF(RIGHT(H395,2)+1&lt;=9,"0"&amp;RIGHT(H395)+1,RIGHT(H395,2)+1),D431)</f>
        <v>RHAPB_HP_ELC_25</v>
      </c>
      <c r="I431" s="512" t="str">
        <f>'RSD (DEA)'!AA162</f>
        <v>Electric heat pumps, Brine-to-water (ground source)</v>
      </c>
      <c r="J431" s="242" t="s">
        <v>239</v>
      </c>
      <c r="K431" s="242" t="s">
        <v>240</v>
      </c>
      <c r="L431" s="512" t="str">
        <f>'RSD (DEA)'!AH162</f>
        <v>RSDELC</v>
      </c>
      <c r="M431" s="182" t="str">
        <f>'RSD (DEA)'!AI162</f>
        <v>RSDGEO</v>
      </c>
      <c r="N431" s="235" t="str">
        <f>LEFT('RSD (DEA)'!AJ162,2)&amp;RIGHT(E431,3)</f>
        <v>RHAPB</v>
      </c>
      <c r="O431" s="244"/>
      <c r="P431" s="182">
        <f>IF('RSD (DEA)'!P162&lt;RSD_HeatingDemand!$AH$15,RSD_HeatingDemand!$AH$15,'RSD (DEA)'!P162)</f>
        <v>2019</v>
      </c>
      <c r="Q431" s="182">
        <f>IF('RSD (DEA)'!X162&lt;RSD_HeatingDemand!$AH$15,RSD_HeatingDemand!$AH$15,'RSD (DEA)'!X162)</f>
        <v>2019</v>
      </c>
      <c r="R431" s="525">
        <f>IF(ISBLANK(I431),IF(MID(N431,2,2)="HA",VLOOKUP(I430,KEY_RSD_AF!$C$5:$G$52,2,FALSE),IF(MID(N431,2,2)="WA",VLOOKUP(I430,KEY_RSD_AF!$C$5:$G$52,3,FALSE),IF(MID(N431,2,2)="HH",VLOOKUP(I430,KEY_RSD_AF!$C$5:$G$52,4,FALSE),IF(MID(N431,2,2)="WH",VLOOKUP(I430,KEY_RSD_AF!$C$5:$G$52,5,FALSE))))),IF(MID(N431,2,2)="HA",VLOOKUP(I431,KEY_RSD_AF!$C$5:$G$52,2,FALSE),IF(MID(N431,2,2)="WA",VLOOKUP(I431,KEY_RSD_AF!$C$5:$G$52,3,FALSE),IF(MID(N431,2,2)="HH",VLOOKUP(I431,KEY_RSD_AF!$C$5:$G$52,4,FALSE),IF(MID(N431,2,2)="WH",VLOOKUP(I431,KEY_RSD_AF!$C$5:$G$52,5,FALSE))))))</f>
        <v>1</v>
      </c>
      <c r="S431" s="183">
        <f>'RSD (DEA)'!AZ162</f>
        <v>4</v>
      </c>
      <c r="T431" s="183">
        <f>'RSD (DEA)'!BA162</f>
        <v>4.2</v>
      </c>
      <c r="U431" s="183">
        <v>0.5</v>
      </c>
      <c r="V431" s="182">
        <f>'RSD (DEA)'!BR162/'RSD (DEA)'!S162</f>
        <v>4.0999999999999996</v>
      </c>
      <c r="W431" s="184">
        <f>'RSD (DEA)'!BS162/RSD_HeatingDemand!$AH$9</f>
        <v>0.12291666666666666</v>
      </c>
      <c r="X431" s="183">
        <f>'RSD (DEA)'!BK162*RSD_HeatingDemand!$AH$10/'RSD (DEA)'!S162</f>
        <v>662.5</v>
      </c>
      <c r="Y431" s="182">
        <f>'RSD (DEA)'!BI162</f>
        <v>20</v>
      </c>
      <c r="Z431" s="252" t="str">
        <f>IF(ISBLANK(O431),"",IF(O431="ACT",1,-1))</f>
        <v/>
      </c>
      <c r="AA431" s="236">
        <f>'RSD (DEA)'!AM162</f>
        <v>31.536000000000001</v>
      </c>
      <c r="AC431" s="235">
        <f>'RSD (DEA)'!S162</f>
        <v>400</v>
      </c>
      <c r="AD431" s="235" t="str">
        <f>LEFT('RSD (DEA)'!AK162,2)&amp;RIGHT(E431,3)</f>
        <v>RWAPB</v>
      </c>
      <c r="AE431" s="183">
        <f>'RSD (DEA)'!BA162</f>
        <v>4.2</v>
      </c>
      <c r="AF431" s="183"/>
    </row>
    <row r="432" spans="1:32" x14ac:dyDescent="0.3">
      <c r="A432" s="235"/>
      <c r="D432" s="512"/>
      <c r="E432" s="512"/>
      <c r="F432" s="515"/>
      <c r="G432" s="515"/>
      <c r="H432" s="540"/>
      <c r="I432" s="512"/>
      <c r="J432" s="242"/>
      <c r="K432" s="242"/>
      <c r="L432" s="512"/>
      <c r="M432" s="182"/>
      <c r="N432" s="318" t="str">
        <f>AD431</f>
        <v>RWAPB</v>
      </c>
      <c r="O432" s="244"/>
      <c r="P432" s="182"/>
      <c r="Q432" s="182"/>
      <c r="R432" s="525">
        <f>IF(ISBLANK(I432),IF(MID(N432,2,2)="HA",VLOOKUP(I431,KEY_RSD_AF!$C$5:$G$52,2,FALSE),IF(MID(N432,2,2)="WA",VLOOKUP(I431,KEY_RSD_AF!$C$5:$G$52,3,FALSE),IF(MID(N432,2,2)="HH",VLOOKUP(I431,KEY_RSD_AF!$C$5:$G$52,4,FALSE),IF(MID(N432,2,2)="WH",VLOOKUP(I431,KEY_RSD_AF!$C$5:$G$52,5,FALSE))))),IF(MID(N432,2,2)="HA",VLOOKUP(I432,KEY_RSD_AF!$C$5:$G$52,2,FALSE),IF(MID(N432,2,2)="WA",VLOOKUP(I432,KEY_RSD_AF!$C$5:$G$52,3,FALSE),IF(MID(N432,2,2)="HH",VLOOKUP(I432,KEY_RSD_AF!$C$5:$G$52,4,FALSE),IF(MID(N432,2,2)="WH",VLOOKUP(I432,KEY_RSD_AF!$C$5:$G$52,5,FALSE))))))</f>
        <v>1</v>
      </c>
      <c r="S432" s="503">
        <f>T431</f>
        <v>4.2</v>
      </c>
      <c r="T432" s="183"/>
      <c r="U432" s="183"/>
      <c r="V432" s="182"/>
      <c r="W432" s="184"/>
      <c r="X432" s="183"/>
      <c r="Y432" s="182"/>
      <c r="Z432" s="252"/>
      <c r="AA432" s="236"/>
      <c r="AC432" s="235"/>
      <c r="AD432" s="235"/>
      <c r="AE432" s="183"/>
      <c r="AF432" s="183"/>
    </row>
    <row r="433" spans="1:32" x14ac:dyDescent="0.3">
      <c r="A433" s="244"/>
      <c r="D433" s="512"/>
      <c r="E433" s="513"/>
      <c r="F433" s="515"/>
      <c r="G433" s="515"/>
      <c r="H433" s="540"/>
      <c r="I433" s="513"/>
      <c r="J433" s="255"/>
      <c r="K433" s="255"/>
      <c r="L433" s="513"/>
      <c r="M433" s="252" t="str">
        <f>M431</f>
        <v>RSDGEO</v>
      </c>
      <c r="N433" s="244"/>
      <c r="O433" s="244" t="str">
        <f>$AH$12</f>
        <v>ACT</v>
      </c>
      <c r="P433" s="252"/>
      <c r="Q433" s="252"/>
      <c r="R433" s="525"/>
      <c r="S433" s="256"/>
      <c r="T433" s="256"/>
      <c r="U433" s="183"/>
      <c r="V433" s="252"/>
      <c r="W433" s="524"/>
      <c r="X433" s="256"/>
      <c r="Y433" s="252"/>
      <c r="Z433" s="252">
        <f>IF(ISBLANK(O433),"",IF(O433="ACT",1,-1))</f>
        <v>1</v>
      </c>
      <c r="AA433" s="257"/>
      <c r="AC433" s="244"/>
      <c r="AD433" s="244"/>
      <c r="AE433" s="256"/>
      <c r="AF433" s="256"/>
    </row>
    <row r="434" spans="1:32" x14ac:dyDescent="0.3">
      <c r="A434" s="244"/>
      <c r="D434" s="512"/>
      <c r="E434" s="513"/>
      <c r="F434" s="515"/>
      <c r="G434" s="515"/>
      <c r="H434" s="540"/>
      <c r="I434" s="513"/>
      <c r="J434" s="255"/>
      <c r="K434" s="255"/>
      <c r="L434" s="513"/>
      <c r="M434" s="252" t="str">
        <f>M433</f>
        <v>RSDGEO</v>
      </c>
      <c r="N434" s="244"/>
      <c r="O434" s="244" t="str">
        <f>L431</f>
        <v>RSDELC</v>
      </c>
      <c r="P434" s="252"/>
      <c r="Q434" s="252"/>
      <c r="R434" s="525"/>
      <c r="S434" s="256"/>
      <c r="T434" s="256"/>
      <c r="U434" s="183"/>
      <c r="V434" s="252"/>
      <c r="W434" s="524"/>
      <c r="X434" s="256"/>
      <c r="Y434" s="252"/>
      <c r="Z434" s="252">
        <f>IF(ISBLANK(O434),"",IF(O434="ACT",1,-1))</f>
        <v>-1</v>
      </c>
      <c r="AA434" s="257"/>
      <c r="AC434" s="244"/>
      <c r="AD434" s="244"/>
      <c r="AE434" s="256"/>
      <c r="AF434" s="256"/>
    </row>
    <row r="435" spans="1:32" x14ac:dyDescent="0.3">
      <c r="A435" s="235"/>
      <c r="C435" s="528" t="str">
        <f>'RSD (DEA)'!Z163</f>
        <v>HP_ELC_09</v>
      </c>
      <c r="D435" s="512" t="str">
        <f>RSD_HeatingDemand!N435&amp;"_"&amp;LEFT(C435,LEN(C435)-2)&amp;"07"</f>
        <v>RHAPB_HP_ELC_07</v>
      </c>
      <c r="E435" s="512" t="str">
        <f>"R"&amp;LEFT('RSD (DEA)'!AD163,2)&amp;IF(ISNUMBER(IFERROR(FIND("HTH",'RSD (DEA)'!Z163),IFERROR(FIND("HP",'RSD (DEA)'!Z163),"C"))),IF(IFERROR(FIND("HTH",'RSD (DEA)'!Z163),100)=100,"B","A"),"C")</f>
        <v>RAPB</v>
      </c>
      <c r="F435" s="515"/>
      <c r="G435" s="515"/>
      <c r="H435" s="540" t="str">
        <f t="shared" si="9"/>
        <v>RHAPB_HP_ELC_26</v>
      </c>
      <c r="I435" s="512" t="str">
        <f>'RSD (DEA)'!AA163</f>
        <v>Electric heat pumps, Brine-to-water (ground source)</v>
      </c>
      <c r="J435" s="242" t="s">
        <v>239</v>
      </c>
      <c r="K435" s="242" t="s">
        <v>240</v>
      </c>
      <c r="L435" s="512" t="str">
        <f>'RSD (DEA)'!AH163</f>
        <v>RSDELC</v>
      </c>
      <c r="M435" s="182" t="str">
        <f>'RSD (DEA)'!AI163</f>
        <v>RSDGEO</v>
      </c>
      <c r="N435" s="235" t="str">
        <f>LEFT('RSD (DEA)'!AJ163,2)&amp;RIGHT(E435,3)</f>
        <v>RHAPB</v>
      </c>
      <c r="O435" s="244"/>
      <c r="P435" s="182">
        <f>IF('RSD (DEA)'!P163&lt;RSD_HeatingDemand!$AH$15,RSD_HeatingDemand!$AH$15,'RSD (DEA)'!P163)</f>
        <v>2019</v>
      </c>
      <c r="Q435" s="182">
        <f>IF('RSD (DEA)'!X163&lt;RSD_HeatingDemand!$AH$15,RSD_HeatingDemand!$AH$15,'RSD (DEA)'!X163)</f>
        <v>2020</v>
      </c>
      <c r="R435" s="525">
        <f>IF(ISBLANK(I435),IF(MID(N435,2,2)="HA",VLOOKUP(I434,KEY_RSD_AF!$C$5:$G$52,2,FALSE),IF(MID(N435,2,2)="WA",VLOOKUP(I434,KEY_RSD_AF!$C$5:$G$52,3,FALSE),IF(MID(N435,2,2)="HH",VLOOKUP(I434,KEY_RSD_AF!$C$5:$G$52,4,FALSE),IF(MID(N435,2,2)="WH",VLOOKUP(I434,KEY_RSD_AF!$C$5:$G$52,5,FALSE))))),IF(MID(N435,2,2)="HA",VLOOKUP(I435,KEY_RSD_AF!$C$5:$G$52,2,FALSE),IF(MID(N435,2,2)="WA",VLOOKUP(I435,KEY_RSD_AF!$C$5:$G$52,3,FALSE),IF(MID(N435,2,2)="HH",VLOOKUP(I435,KEY_RSD_AF!$C$5:$G$52,4,FALSE),IF(MID(N435,2,2)="WH",VLOOKUP(I435,KEY_RSD_AF!$C$5:$G$52,5,FALSE))))))</f>
        <v>1</v>
      </c>
      <c r="S435" s="183">
        <f>'RSD (DEA)'!AZ163</f>
        <v>4.0999999999999996</v>
      </c>
      <c r="T435" s="183">
        <f>'RSD (DEA)'!BA163</f>
        <v>4.3</v>
      </c>
      <c r="U435" s="183">
        <v>0.5</v>
      </c>
      <c r="V435" s="182">
        <f>'RSD (DEA)'!BR163/'RSD (DEA)'!S163</f>
        <v>4.125</v>
      </c>
      <c r="W435" s="184">
        <f>'RSD (DEA)'!BS163/RSD_HeatingDemand!$AH$9</f>
        <v>0.12291666666666666</v>
      </c>
      <c r="X435" s="183">
        <f>'RSD (DEA)'!BK163*RSD_HeatingDemand!$AH$10/'RSD (DEA)'!S163</f>
        <v>622.5</v>
      </c>
      <c r="Y435" s="182">
        <f>'RSD (DEA)'!BI163</f>
        <v>20</v>
      </c>
      <c r="Z435" s="252" t="str">
        <f>IF(ISBLANK(O435),"",IF(O435="ACT",1,-1))</f>
        <v/>
      </c>
      <c r="AA435" s="236">
        <f>'RSD (DEA)'!AM163</f>
        <v>31.536000000000001</v>
      </c>
      <c r="AC435" s="235">
        <f>'RSD (DEA)'!S163</f>
        <v>400</v>
      </c>
      <c r="AD435" s="235" t="str">
        <f>LEFT('RSD (DEA)'!AK163,2)&amp;RIGHT(E435,3)</f>
        <v>RWAPB</v>
      </c>
      <c r="AE435" s="183">
        <f>'RSD (DEA)'!BA163</f>
        <v>4.3</v>
      </c>
      <c r="AF435" s="183"/>
    </row>
    <row r="436" spans="1:32" x14ac:dyDescent="0.3">
      <c r="A436" s="235"/>
      <c r="D436" s="512"/>
      <c r="E436" s="512"/>
      <c r="F436" s="515"/>
      <c r="G436" s="515"/>
      <c r="H436" s="540"/>
      <c r="I436" s="512"/>
      <c r="J436" s="242"/>
      <c r="K436" s="242"/>
      <c r="L436" s="512"/>
      <c r="M436" s="182"/>
      <c r="N436" s="318" t="str">
        <f>AD435</f>
        <v>RWAPB</v>
      </c>
      <c r="O436" s="244"/>
      <c r="P436" s="182"/>
      <c r="Q436" s="182"/>
      <c r="R436" s="525">
        <f>IF(ISBLANK(I436),IF(MID(N436,2,2)="HA",VLOOKUP(I435,KEY_RSD_AF!$C$5:$G$52,2,FALSE),IF(MID(N436,2,2)="WA",VLOOKUP(I435,KEY_RSD_AF!$C$5:$G$52,3,FALSE),IF(MID(N436,2,2)="HH",VLOOKUP(I435,KEY_RSD_AF!$C$5:$G$52,4,FALSE),IF(MID(N436,2,2)="WH",VLOOKUP(I435,KEY_RSD_AF!$C$5:$G$52,5,FALSE))))),IF(MID(N436,2,2)="HA",VLOOKUP(I436,KEY_RSD_AF!$C$5:$G$52,2,FALSE),IF(MID(N436,2,2)="WA",VLOOKUP(I436,KEY_RSD_AF!$C$5:$G$52,3,FALSE),IF(MID(N436,2,2)="HH",VLOOKUP(I436,KEY_RSD_AF!$C$5:$G$52,4,FALSE),IF(MID(N436,2,2)="WH",VLOOKUP(I436,KEY_RSD_AF!$C$5:$G$52,5,FALSE))))))</f>
        <v>1</v>
      </c>
      <c r="S436" s="503">
        <f>T435</f>
        <v>4.3</v>
      </c>
      <c r="T436" s="183"/>
      <c r="U436" s="183"/>
      <c r="V436" s="182"/>
      <c r="W436" s="184"/>
      <c r="X436" s="183"/>
      <c r="Y436" s="182"/>
      <c r="Z436" s="252"/>
      <c r="AA436" s="236"/>
      <c r="AC436" s="235"/>
      <c r="AD436" s="235"/>
      <c r="AE436" s="183"/>
      <c r="AF436" s="183"/>
    </row>
    <row r="437" spans="1:32" x14ac:dyDescent="0.3">
      <c r="A437" s="244"/>
      <c r="D437" s="512"/>
      <c r="E437" s="513"/>
      <c r="F437" s="515"/>
      <c r="G437" s="515"/>
      <c r="H437" s="540"/>
      <c r="I437" s="513"/>
      <c r="J437" s="255"/>
      <c r="K437" s="255"/>
      <c r="L437" s="513"/>
      <c r="M437" s="252" t="str">
        <f>M435</f>
        <v>RSDGEO</v>
      </c>
      <c r="N437" s="244"/>
      <c r="O437" s="244" t="str">
        <f>$AH$12</f>
        <v>ACT</v>
      </c>
      <c r="P437" s="252"/>
      <c r="Q437" s="252"/>
      <c r="R437" s="525"/>
      <c r="S437" s="256"/>
      <c r="T437" s="256"/>
      <c r="U437" s="183"/>
      <c r="V437" s="252"/>
      <c r="W437" s="524"/>
      <c r="X437" s="256"/>
      <c r="Y437" s="252"/>
      <c r="Z437" s="252">
        <f>IF(ISBLANK(O437),"",IF(O437="ACT",1,-1))</f>
        <v>1</v>
      </c>
      <c r="AA437" s="257"/>
      <c r="AC437" s="244"/>
      <c r="AD437" s="244"/>
      <c r="AE437" s="256"/>
      <c r="AF437" s="256"/>
    </row>
    <row r="438" spans="1:32" x14ac:dyDescent="0.3">
      <c r="A438" s="244"/>
      <c r="D438" s="512"/>
      <c r="E438" s="513"/>
      <c r="F438" s="515"/>
      <c r="G438" s="515"/>
      <c r="H438" s="540"/>
      <c r="I438" s="513"/>
      <c r="J438" s="255"/>
      <c r="K438" s="255"/>
      <c r="L438" s="513"/>
      <c r="M438" s="252" t="str">
        <f>M437</f>
        <v>RSDGEO</v>
      </c>
      <c r="N438" s="244"/>
      <c r="O438" s="244" t="str">
        <f>L435</f>
        <v>RSDELC</v>
      </c>
      <c r="P438" s="252"/>
      <c r="Q438" s="252"/>
      <c r="R438" s="525"/>
      <c r="S438" s="256"/>
      <c r="T438" s="256"/>
      <c r="U438" s="183"/>
      <c r="V438" s="252"/>
      <c r="W438" s="524"/>
      <c r="X438" s="256"/>
      <c r="Y438" s="252"/>
      <c r="Z438" s="252">
        <f>IF(ISBLANK(O438),"",IF(O438="ACT",1,-1))</f>
        <v>-1</v>
      </c>
      <c r="AA438" s="257"/>
      <c r="AC438" s="244"/>
      <c r="AD438" s="244"/>
      <c r="AE438" s="256"/>
      <c r="AF438" s="256"/>
    </row>
    <row r="439" spans="1:32" x14ac:dyDescent="0.3">
      <c r="A439" s="235"/>
      <c r="C439" s="528" t="str">
        <f>'RSD (DEA)'!Z164</f>
        <v>HP_ELC_09</v>
      </c>
      <c r="D439" s="512" t="str">
        <f>RSD_HeatingDemand!N439&amp;"_"&amp;LEFT(C439,LEN(C439)-2)&amp;"07"</f>
        <v>RHAPB_HP_ELC_07</v>
      </c>
      <c r="E439" s="512" t="str">
        <f>"R"&amp;LEFT('RSD (DEA)'!AD164,2)&amp;IF(ISNUMBER(IFERROR(FIND("HTH",'RSD (DEA)'!Z164),IFERROR(FIND("HP",'RSD (DEA)'!Z164),"C"))),IF(IFERROR(FIND("HTH",'RSD (DEA)'!Z164),100)=100,"B","A"),"C")</f>
        <v>RAPB</v>
      </c>
      <c r="F439" s="515"/>
      <c r="G439" s="515"/>
      <c r="H439" s="540" t="str">
        <f t="shared" si="9"/>
        <v>RHAPB_HP_ELC_27</v>
      </c>
      <c r="I439" s="512" t="str">
        <f>'RSD (DEA)'!AA164</f>
        <v>Electric heat pumps, Brine-to-water (ground source)</v>
      </c>
      <c r="J439" s="242" t="s">
        <v>239</v>
      </c>
      <c r="K439" s="242" t="s">
        <v>240</v>
      </c>
      <c r="L439" s="512" t="str">
        <f>'RSD (DEA)'!AH164</f>
        <v>RSDELC</v>
      </c>
      <c r="M439" s="182" t="str">
        <f>'RSD (DEA)'!AI164</f>
        <v>RSDGEO</v>
      </c>
      <c r="N439" s="235" t="str">
        <f>LEFT('RSD (DEA)'!AJ164,2)&amp;RIGHT(E439,3)</f>
        <v>RHAPB</v>
      </c>
      <c r="O439" s="244"/>
      <c r="P439" s="182">
        <f>IF('RSD (DEA)'!P164&lt;RSD_HeatingDemand!$AH$15,RSD_HeatingDemand!$AH$15,'RSD (DEA)'!P164)</f>
        <v>2019</v>
      </c>
      <c r="Q439" s="182">
        <f>IF('RSD (DEA)'!X164&lt;RSD_HeatingDemand!$AH$15,RSD_HeatingDemand!$AH$15,'RSD (DEA)'!X164)</f>
        <v>2030</v>
      </c>
      <c r="R439" s="525">
        <f>IF(ISBLANK(I439),IF(MID(N439,2,2)="HA",VLOOKUP(I438,KEY_RSD_AF!$C$5:$G$52,2,FALSE),IF(MID(N439,2,2)="WA",VLOOKUP(I438,KEY_RSD_AF!$C$5:$G$52,3,FALSE),IF(MID(N439,2,2)="HH",VLOOKUP(I438,KEY_RSD_AF!$C$5:$G$52,4,FALSE),IF(MID(N439,2,2)="WH",VLOOKUP(I438,KEY_RSD_AF!$C$5:$G$52,5,FALSE))))),IF(MID(N439,2,2)="HA",VLOOKUP(I439,KEY_RSD_AF!$C$5:$G$52,2,FALSE),IF(MID(N439,2,2)="WA",VLOOKUP(I439,KEY_RSD_AF!$C$5:$G$52,3,FALSE),IF(MID(N439,2,2)="HH",VLOOKUP(I439,KEY_RSD_AF!$C$5:$G$52,4,FALSE),IF(MID(N439,2,2)="WH",VLOOKUP(I439,KEY_RSD_AF!$C$5:$G$52,5,FALSE))))))</f>
        <v>1</v>
      </c>
      <c r="S439" s="183">
        <f>'RSD (DEA)'!AZ164</f>
        <v>4.2</v>
      </c>
      <c r="T439" s="183">
        <f>'RSD (DEA)'!BA164</f>
        <v>4.4000000000000004</v>
      </c>
      <c r="U439" s="183">
        <v>0.5</v>
      </c>
      <c r="V439" s="182">
        <f>'RSD (DEA)'!BR164/'RSD (DEA)'!S164</f>
        <v>4.665</v>
      </c>
      <c r="W439" s="184">
        <f>'RSD (DEA)'!BS164/RSD_HeatingDemand!$AH$9</f>
        <v>0.12291666666666666</v>
      </c>
      <c r="X439" s="183">
        <f>'RSD (DEA)'!BK164*RSD_HeatingDemand!$AH$10/'RSD (DEA)'!S164</f>
        <v>560</v>
      </c>
      <c r="Y439" s="182">
        <f>'RSD (DEA)'!BI164</f>
        <v>20</v>
      </c>
      <c r="Z439" s="252" t="str">
        <f>IF(ISBLANK(O439),"",IF(O439="ACT",1,-1))</f>
        <v/>
      </c>
      <c r="AA439" s="236">
        <f>'RSD (DEA)'!AM164</f>
        <v>31.536000000000001</v>
      </c>
      <c r="AC439" s="235">
        <f>'RSD (DEA)'!S164</f>
        <v>400</v>
      </c>
      <c r="AD439" s="235" t="str">
        <f>LEFT('RSD (DEA)'!AK164,2)&amp;RIGHT(E439,3)</f>
        <v>RWAPB</v>
      </c>
      <c r="AE439" s="183">
        <f>'RSD (DEA)'!BA164</f>
        <v>4.4000000000000004</v>
      </c>
      <c r="AF439" s="183"/>
    </row>
    <row r="440" spans="1:32" x14ac:dyDescent="0.3">
      <c r="A440" s="235"/>
      <c r="D440" s="512"/>
      <c r="E440" s="512"/>
      <c r="F440" s="515"/>
      <c r="G440" s="515"/>
      <c r="H440" s="540"/>
      <c r="I440" s="512"/>
      <c r="J440" s="242"/>
      <c r="K440" s="242"/>
      <c r="L440" s="512"/>
      <c r="M440" s="182"/>
      <c r="N440" s="318" t="str">
        <f>AD439</f>
        <v>RWAPB</v>
      </c>
      <c r="O440" s="244"/>
      <c r="P440" s="182"/>
      <c r="Q440" s="182"/>
      <c r="R440" s="525">
        <f>IF(ISBLANK(I440),IF(MID(N440,2,2)="HA",VLOOKUP(I439,KEY_RSD_AF!$C$5:$G$52,2,FALSE),IF(MID(N440,2,2)="WA",VLOOKUP(I439,KEY_RSD_AF!$C$5:$G$52,3,FALSE),IF(MID(N440,2,2)="HH",VLOOKUP(I439,KEY_RSD_AF!$C$5:$G$52,4,FALSE),IF(MID(N440,2,2)="WH",VLOOKUP(I439,KEY_RSD_AF!$C$5:$G$52,5,FALSE))))),IF(MID(N440,2,2)="HA",VLOOKUP(I440,KEY_RSD_AF!$C$5:$G$52,2,FALSE),IF(MID(N440,2,2)="WA",VLOOKUP(I440,KEY_RSD_AF!$C$5:$G$52,3,FALSE),IF(MID(N440,2,2)="HH",VLOOKUP(I440,KEY_RSD_AF!$C$5:$G$52,4,FALSE),IF(MID(N440,2,2)="WH",VLOOKUP(I440,KEY_RSD_AF!$C$5:$G$52,5,FALSE))))))</f>
        <v>1</v>
      </c>
      <c r="S440" s="503">
        <f>T439</f>
        <v>4.4000000000000004</v>
      </c>
      <c r="T440" s="183"/>
      <c r="U440" s="183"/>
      <c r="V440" s="182"/>
      <c r="W440" s="184"/>
      <c r="X440" s="183"/>
      <c r="Y440" s="182"/>
      <c r="Z440" s="252"/>
      <c r="AA440" s="236"/>
      <c r="AC440" s="235"/>
      <c r="AD440" s="235"/>
      <c r="AE440" s="183"/>
      <c r="AF440" s="183"/>
    </row>
    <row r="441" spans="1:32" x14ac:dyDescent="0.3">
      <c r="A441" s="244"/>
      <c r="D441" s="512"/>
      <c r="E441" s="513"/>
      <c r="F441" s="515"/>
      <c r="G441" s="515"/>
      <c r="H441" s="540"/>
      <c r="I441" s="513"/>
      <c r="J441" s="255"/>
      <c r="K441" s="255"/>
      <c r="L441" s="513"/>
      <c r="M441" s="252" t="str">
        <f>M439</f>
        <v>RSDGEO</v>
      </c>
      <c r="N441" s="244"/>
      <c r="O441" s="244" t="str">
        <f>$AH$12</f>
        <v>ACT</v>
      </c>
      <c r="P441" s="252"/>
      <c r="Q441" s="252"/>
      <c r="R441" s="525"/>
      <c r="S441" s="256"/>
      <c r="T441" s="256"/>
      <c r="U441" s="183"/>
      <c r="V441" s="252"/>
      <c r="W441" s="524"/>
      <c r="X441" s="256"/>
      <c r="Y441" s="252"/>
      <c r="Z441" s="252">
        <f>IF(ISBLANK(O441),"",IF(O441="ACT",1,-1))</f>
        <v>1</v>
      </c>
      <c r="AA441" s="257"/>
      <c r="AC441" s="244"/>
      <c r="AD441" s="244"/>
      <c r="AE441" s="256"/>
      <c r="AF441" s="256"/>
    </row>
    <row r="442" spans="1:32" x14ac:dyDescent="0.3">
      <c r="A442" s="244"/>
      <c r="D442" s="512"/>
      <c r="E442" s="513"/>
      <c r="F442" s="515"/>
      <c r="G442" s="515"/>
      <c r="H442" s="540"/>
      <c r="I442" s="513"/>
      <c r="J442" s="255"/>
      <c r="K442" s="255"/>
      <c r="L442" s="513"/>
      <c r="M442" s="252" t="str">
        <f>M441</f>
        <v>RSDGEO</v>
      </c>
      <c r="N442" s="244"/>
      <c r="O442" s="244" t="str">
        <f>L439</f>
        <v>RSDELC</v>
      </c>
      <c r="P442" s="252"/>
      <c r="Q442" s="252"/>
      <c r="R442" s="525"/>
      <c r="S442" s="256"/>
      <c r="T442" s="256"/>
      <c r="U442" s="183"/>
      <c r="V442" s="252"/>
      <c r="W442" s="524"/>
      <c r="X442" s="256"/>
      <c r="Y442" s="252"/>
      <c r="Z442" s="252">
        <f>IF(ISBLANK(O442),"",IF(O442="ACT",1,-1))</f>
        <v>-1</v>
      </c>
      <c r="AA442" s="257"/>
      <c r="AC442" s="244"/>
      <c r="AD442" s="244"/>
      <c r="AE442" s="256"/>
      <c r="AF442" s="256"/>
    </row>
    <row r="443" spans="1:32" x14ac:dyDescent="0.3">
      <c r="A443" s="235"/>
      <c r="C443" s="528" t="str">
        <f>'RSD (DEA)'!Z165</f>
        <v>HP_ELC_09</v>
      </c>
      <c r="D443" s="512" t="str">
        <f>RSD_HeatingDemand!N443&amp;"_"&amp;LEFT(C443,LEN(C443)-2)&amp;"07"</f>
        <v>RHAPB_HP_ELC_07</v>
      </c>
      <c r="E443" s="512" t="str">
        <f>"R"&amp;LEFT('RSD (DEA)'!AD165,2)&amp;IF(ISNUMBER(IFERROR(FIND("HTH",'RSD (DEA)'!Z165),IFERROR(FIND("HP",'RSD (DEA)'!Z165),"C"))),IF(IFERROR(FIND("HTH",'RSD (DEA)'!Z165),100)=100,"B","A"),"C")</f>
        <v>RAPB</v>
      </c>
      <c r="F443" s="515"/>
      <c r="G443" s="515"/>
      <c r="H443" s="540" t="str">
        <f t="shared" si="9"/>
        <v>RHAPB_HP_ELC_28</v>
      </c>
      <c r="I443" s="512" t="str">
        <f>'RSD (DEA)'!AA165</f>
        <v>Electric heat pumps, Brine-to-water (ground source)</v>
      </c>
      <c r="J443" s="242" t="s">
        <v>239</v>
      </c>
      <c r="K443" s="242" t="s">
        <v>240</v>
      </c>
      <c r="L443" s="512" t="str">
        <f>'RSD (DEA)'!AH165</f>
        <v>RSDELC</v>
      </c>
      <c r="M443" s="182" t="str">
        <f>'RSD (DEA)'!AI165</f>
        <v>RSDGEO</v>
      </c>
      <c r="N443" s="235" t="str">
        <f>LEFT('RSD (DEA)'!AJ165,2)&amp;RIGHT(E443,3)</f>
        <v>RHAPB</v>
      </c>
      <c r="O443" s="244"/>
      <c r="P443" s="182">
        <f>IF('RSD (DEA)'!P165&lt;RSD_HeatingDemand!$AH$15,RSD_HeatingDemand!$AH$15,'RSD (DEA)'!P165)</f>
        <v>2019</v>
      </c>
      <c r="Q443" s="182">
        <f>IF('RSD (DEA)'!X165&lt;RSD_HeatingDemand!$AH$15,RSD_HeatingDemand!$AH$15,'RSD (DEA)'!X165)</f>
        <v>2050</v>
      </c>
      <c r="R443" s="525">
        <f>IF(ISBLANK(I443),IF(MID(N443,2,2)="HA",VLOOKUP(I442,KEY_RSD_AF!$C$5:$G$52,2,FALSE),IF(MID(N443,2,2)="WA",VLOOKUP(I442,KEY_RSD_AF!$C$5:$G$52,3,FALSE),IF(MID(N443,2,2)="HH",VLOOKUP(I442,KEY_RSD_AF!$C$5:$G$52,4,FALSE),IF(MID(N443,2,2)="WH",VLOOKUP(I442,KEY_RSD_AF!$C$5:$G$52,5,FALSE))))),IF(MID(N443,2,2)="HA",VLOOKUP(I443,KEY_RSD_AF!$C$5:$G$52,2,FALSE),IF(MID(N443,2,2)="WA",VLOOKUP(I443,KEY_RSD_AF!$C$5:$G$52,3,FALSE),IF(MID(N443,2,2)="HH",VLOOKUP(I443,KEY_RSD_AF!$C$5:$G$52,4,FALSE),IF(MID(N443,2,2)="WH",VLOOKUP(I443,KEY_RSD_AF!$C$5:$G$52,5,FALSE))))))</f>
        <v>1</v>
      </c>
      <c r="S443" s="183">
        <f>'RSD (DEA)'!AZ165</f>
        <v>4.4000000000000004</v>
      </c>
      <c r="T443" s="183">
        <f>'RSD (DEA)'!BA165</f>
        <v>4.5999999999999996</v>
      </c>
      <c r="U443" s="183">
        <v>0.5</v>
      </c>
      <c r="V443" s="182">
        <f>'RSD (DEA)'!BR165/'RSD (DEA)'!S165</f>
        <v>6.0274999999999999</v>
      </c>
      <c r="W443" s="184">
        <f>'RSD (DEA)'!BS165/RSD_HeatingDemand!$AH$9</f>
        <v>0.12291666666666666</v>
      </c>
      <c r="X443" s="183">
        <f>'RSD (DEA)'!BK165*RSD_HeatingDemand!$AH$10/'RSD (DEA)'!S165</f>
        <v>505</v>
      </c>
      <c r="Y443" s="182">
        <f>'RSD (DEA)'!BI165</f>
        <v>20</v>
      </c>
      <c r="Z443" s="252" t="str">
        <f>IF(ISBLANK(O443),"",IF(O443="ACT",1,-1))</f>
        <v/>
      </c>
      <c r="AA443" s="236">
        <f>'RSD (DEA)'!AM165</f>
        <v>31.536000000000001</v>
      </c>
      <c r="AC443" s="235">
        <f>'RSD (DEA)'!S165</f>
        <v>400</v>
      </c>
      <c r="AD443" s="235" t="str">
        <f>LEFT('RSD (DEA)'!AK165,2)&amp;RIGHT(E443,3)</f>
        <v>RWAPB</v>
      </c>
      <c r="AE443" s="183">
        <f>'RSD (DEA)'!BA165</f>
        <v>4.5999999999999996</v>
      </c>
      <c r="AF443" s="183"/>
    </row>
    <row r="444" spans="1:32" x14ac:dyDescent="0.3">
      <c r="A444" s="235"/>
      <c r="D444" s="512"/>
      <c r="E444" s="512"/>
      <c r="F444" s="515"/>
      <c r="G444" s="515"/>
      <c r="H444" s="540"/>
      <c r="I444" s="512"/>
      <c r="J444" s="242"/>
      <c r="K444" s="242"/>
      <c r="L444" s="512"/>
      <c r="M444" s="182"/>
      <c r="N444" s="318" t="str">
        <f>AD443</f>
        <v>RWAPB</v>
      </c>
      <c r="O444" s="244"/>
      <c r="P444" s="182"/>
      <c r="Q444" s="182"/>
      <c r="R444" s="525">
        <f>IF(ISBLANK(I444),IF(MID(N444,2,2)="HA",VLOOKUP(I443,KEY_RSD_AF!$C$5:$G$52,2,FALSE),IF(MID(N444,2,2)="WA",VLOOKUP(I443,KEY_RSD_AF!$C$5:$G$52,3,FALSE),IF(MID(N444,2,2)="HH",VLOOKUP(I443,KEY_RSD_AF!$C$5:$G$52,4,FALSE),IF(MID(N444,2,2)="WH",VLOOKUP(I443,KEY_RSD_AF!$C$5:$G$52,5,FALSE))))),IF(MID(N444,2,2)="HA",VLOOKUP(I444,KEY_RSD_AF!$C$5:$G$52,2,FALSE),IF(MID(N444,2,2)="WA",VLOOKUP(I444,KEY_RSD_AF!$C$5:$G$52,3,FALSE),IF(MID(N444,2,2)="HH",VLOOKUP(I444,KEY_RSD_AF!$C$5:$G$52,4,FALSE),IF(MID(N444,2,2)="WH",VLOOKUP(I444,KEY_RSD_AF!$C$5:$G$52,5,FALSE))))))</f>
        <v>1</v>
      </c>
      <c r="S444" s="503">
        <f>T443</f>
        <v>4.5999999999999996</v>
      </c>
      <c r="T444" s="183"/>
      <c r="U444" s="183"/>
      <c r="V444" s="182"/>
      <c r="W444" s="184"/>
      <c r="X444" s="183"/>
      <c r="Y444" s="182"/>
      <c r="Z444" s="252"/>
      <c r="AA444" s="236"/>
      <c r="AC444" s="235"/>
      <c r="AD444" s="235"/>
      <c r="AE444" s="183"/>
      <c r="AF444" s="183"/>
    </row>
    <row r="445" spans="1:32" x14ac:dyDescent="0.3">
      <c r="A445" s="244"/>
      <c r="D445" s="512"/>
      <c r="E445" s="513"/>
      <c r="F445" s="515"/>
      <c r="G445" s="515"/>
      <c r="H445" s="540"/>
      <c r="I445" s="513"/>
      <c r="J445" s="255"/>
      <c r="K445" s="255"/>
      <c r="L445" s="513"/>
      <c r="M445" s="252" t="str">
        <f>M443</f>
        <v>RSDGEO</v>
      </c>
      <c r="N445" s="244"/>
      <c r="O445" s="244" t="str">
        <f>$AH$12</f>
        <v>ACT</v>
      </c>
      <c r="P445" s="252"/>
      <c r="Q445" s="252"/>
      <c r="R445" s="525"/>
      <c r="S445" s="256"/>
      <c r="T445" s="256"/>
      <c r="U445" s="183"/>
      <c r="V445" s="252"/>
      <c r="W445" s="524"/>
      <c r="X445" s="256"/>
      <c r="Y445" s="252"/>
      <c r="Z445" s="252">
        <f>IF(ISBLANK(O445),"",IF(O445="ACT",1,-1))</f>
        <v>1</v>
      </c>
      <c r="AA445" s="257"/>
      <c r="AC445" s="244"/>
      <c r="AD445" s="244"/>
      <c r="AE445" s="256"/>
      <c r="AF445" s="256"/>
    </row>
    <row r="446" spans="1:32" x14ac:dyDescent="0.3">
      <c r="A446" s="244"/>
      <c r="D446" s="512"/>
      <c r="E446" s="513"/>
      <c r="F446" s="515"/>
      <c r="G446" s="515"/>
      <c r="H446" s="540"/>
      <c r="I446" s="513"/>
      <c r="J446" s="255"/>
      <c r="K446" s="255"/>
      <c r="L446" s="513"/>
      <c r="M446" s="252" t="str">
        <f>M445</f>
        <v>RSDGEO</v>
      </c>
      <c r="N446" s="244"/>
      <c r="O446" s="244" t="str">
        <f>L443</f>
        <v>RSDELC</v>
      </c>
      <c r="P446" s="252"/>
      <c r="Q446" s="252"/>
      <c r="R446" s="525"/>
      <c r="S446" s="256"/>
      <c r="T446" s="256"/>
      <c r="U446" s="183"/>
      <c r="V446" s="252"/>
      <c r="W446" s="524"/>
      <c r="X446" s="256"/>
      <c r="Y446" s="252"/>
      <c r="Z446" s="252">
        <f>IF(ISBLANK(O446),"",IF(O446="ACT",1,-1))</f>
        <v>-1</v>
      </c>
      <c r="AA446" s="257"/>
      <c r="AC446" s="244"/>
      <c r="AD446" s="244"/>
      <c r="AE446" s="256"/>
      <c r="AF446" s="256"/>
    </row>
    <row r="447" spans="1:32" x14ac:dyDescent="0.3">
      <c r="A447" s="235"/>
      <c r="C447" s="528" t="str">
        <f>'RSD (DEA)'!Z166</f>
        <v>HP_ELC_10</v>
      </c>
      <c r="D447" s="512" t="str">
        <f>RSD_HeatingDemand!N447&amp;"_"&amp;LEFT(C447,LEN(C447)-2)&amp;"08"</f>
        <v>RHAPB_HP_ELC_08</v>
      </c>
      <c r="E447" s="512" t="str">
        <f>"R"&amp;LEFT('RSD (DEA)'!AD166,2)&amp;IF(ISNUMBER(IFERROR(FIND("HTH",'RSD (DEA)'!Z166),IFERROR(FIND("HP",'RSD (DEA)'!Z166),"C"))),IF(IFERROR(FIND("HTH",'RSD (DEA)'!Z166),100)=100,"B","A"),"C")</f>
        <v>RAPB</v>
      </c>
      <c r="F447" s="515"/>
      <c r="G447" s="515"/>
      <c r="H447" s="540" t="str">
        <f t="shared" si="9"/>
        <v>RHAPB_HP_ELC_29</v>
      </c>
      <c r="I447" s="512" t="str">
        <f>'RSD (DEA)'!AA166</f>
        <v>Electric heat pumps, Brine-to-water (ground source)</v>
      </c>
      <c r="J447" s="242" t="s">
        <v>239</v>
      </c>
      <c r="K447" s="242" t="s">
        <v>240</v>
      </c>
      <c r="L447" s="512" t="str">
        <f>'RSD (DEA)'!AH166</f>
        <v>RSDELC</v>
      </c>
      <c r="M447" s="182" t="str">
        <f>'RSD (DEA)'!AI166</f>
        <v>RSDGEO</v>
      </c>
      <c r="N447" s="235" t="str">
        <f>LEFT('RSD (DEA)'!AJ166,2)&amp;RIGHT(E447,3)</f>
        <v>RHAPB</v>
      </c>
      <c r="O447" s="244"/>
      <c r="P447" s="182">
        <f>IF('RSD (DEA)'!P166&lt;RSD_HeatingDemand!$AH$15,RSD_HeatingDemand!$AH$15,'RSD (DEA)'!P166)</f>
        <v>2019</v>
      </c>
      <c r="Q447" s="182">
        <f>IF('RSD (DEA)'!X166&lt;RSD_HeatingDemand!$AH$15,RSD_HeatingDemand!$AH$15,'RSD (DEA)'!X166)</f>
        <v>2019</v>
      </c>
      <c r="R447" s="525">
        <f>IF(ISBLANK(I447),IF(MID(N447,2,2)="HA",VLOOKUP(I446,KEY_RSD_AF!$C$5:$G$52,2,FALSE),IF(MID(N447,2,2)="WA",VLOOKUP(I446,KEY_RSD_AF!$C$5:$G$52,3,FALSE),IF(MID(N447,2,2)="HH",VLOOKUP(I446,KEY_RSD_AF!$C$5:$G$52,4,FALSE),IF(MID(N447,2,2)="WH",VLOOKUP(I446,KEY_RSD_AF!$C$5:$G$52,5,FALSE))))),IF(MID(N447,2,2)="HA",VLOOKUP(I447,KEY_RSD_AF!$C$5:$G$52,2,FALSE),IF(MID(N447,2,2)="WA",VLOOKUP(I447,KEY_RSD_AF!$C$5:$G$52,3,FALSE),IF(MID(N447,2,2)="HH",VLOOKUP(I447,KEY_RSD_AF!$C$5:$G$52,4,FALSE),IF(MID(N447,2,2)="WH",VLOOKUP(I447,KEY_RSD_AF!$C$5:$G$52,5,FALSE))))))</f>
        <v>1</v>
      </c>
      <c r="S447" s="183">
        <f>'RSD (DEA)'!AZ166</f>
        <v>4.2</v>
      </c>
      <c r="T447" s="183">
        <f>'RSD (DEA)'!BA166</f>
        <v>4.8</v>
      </c>
      <c r="U447" s="183">
        <v>0.5</v>
      </c>
      <c r="V447" s="182">
        <f>'RSD (DEA)'!BR166/'RSD (DEA)'!S166</f>
        <v>10.25</v>
      </c>
      <c r="W447" s="184">
        <f>'RSD (DEA)'!BS166/RSD_HeatingDemand!$AH$9</f>
        <v>0.12291666666666666</v>
      </c>
      <c r="X447" s="183">
        <f>'RSD (DEA)'!BK166*RSD_HeatingDemand!$AH$10/'RSD (DEA)'!S166</f>
        <v>593.75</v>
      </c>
      <c r="Y447" s="182">
        <f>'RSD (DEA)'!BI166</f>
        <v>20</v>
      </c>
      <c r="Z447" s="252" t="str">
        <f>IF(ISBLANK(O447),"",IF(O447="ACT",1,-1))</f>
        <v/>
      </c>
      <c r="AA447" s="236">
        <f>'RSD (DEA)'!AM166</f>
        <v>31.536000000000001</v>
      </c>
      <c r="AC447" s="235">
        <f>'RSD (DEA)'!S166</f>
        <v>160</v>
      </c>
      <c r="AD447" s="235" t="str">
        <f>LEFT('RSD (DEA)'!AK166,2)&amp;RIGHT(E447,3)</f>
        <v>RWAPB</v>
      </c>
      <c r="AE447" s="183">
        <f>'RSD (DEA)'!BA166</f>
        <v>4.8</v>
      </c>
      <c r="AF447" s="183"/>
    </row>
    <row r="448" spans="1:32" x14ac:dyDescent="0.3">
      <c r="A448" s="235"/>
      <c r="D448" s="512"/>
      <c r="E448" s="512"/>
      <c r="F448" s="515"/>
      <c r="G448" s="515"/>
      <c r="H448" s="540"/>
      <c r="I448" s="512"/>
      <c r="J448" s="242"/>
      <c r="K448" s="242"/>
      <c r="L448" s="512"/>
      <c r="M448" s="182"/>
      <c r="N448" s="318" t="str">
        <f>AD447</f>
        <v>RWAPB</v>
      </c>
      <c r="O448" s="244"/>
      <c r="P448" s="182"/>
      <c r="Q448" s="182"/>
      <c r="R448" s="525">
        <f>IF(ISBLANK(I448),IF(MID(N448,2,2)="HA",VLOOKUP(I447,KEY_RSD_AF!$C$5:$G$52,2,FALSE),IF(MID(N448,2,2)="WA",VLOOKUP(I447,KEY_RSD_AF!$C$5:$G$52,3,FALSE),IF(MID(N448,2,2)="HH",VLOOKUP(I447,KEY_RSD_AF!$C$5:$G$52,4,FALSE),IF(MID(N448,2,2)="WH",VLOOKUP(I447,KEY_RSD_AF!$C$5:$G$52,5,FALSE))))),IF(MID(N448,2,2)="HA",VLOOKUP(I448,KEY_RSD_AF!$C$5:$G$52,2,FALSE),IF(MID(N448,2,2)="WA",VLOOKUP(I448,KEY_RSD_AF!$C$5:$G$52,3,FALSE),IF(MID(N448,2,2)="HH",VLOOKUP(I448,KEY_RSD_AF!$C$5:$G$52,4,FALSE),IF(MID(N448,2,2)="WH",VLOOKUP(I448,KEY_RSD_AF!$C$5:$G$52,5,FALSE))))))</f>
        <v>1</v>
      </c>
      <c r="S448" s="503">
        <f>T447</f>
        <v>4.8</v>
      </c>
      <c r="T448" s="183"/>
      <c r="U448" s="183"/>
      <c r="V448" s="182"/>
      <c r="W448" s="184"/>
      <c r="X448" s="183"/>
      <c r="Y448" s="182"/>
      <c r="Z448" s="252"/>
      <c r="AA448" s="236"/>
      <c r="AC448" s="235"/>
      <c r="AD448" s="235"/>
      <c r="AE448" s="183"/>
      <c r="AF448" s="183"/>
    </row>
    <row r="449" spans="1:32" x14ac:dyDescent="0.3">
      <c r="A449" s="244"/>
      <c r="D449" s="512"/>
      <c r="E449" s="513"/>
      <c r="F449" s="515"/>
      <c r="G449" s="515"/>
      <c r="H449" s="540"/>
      <c r="I449" s="513"/>
      <c r="J449" s="255"/>
      <c r="K449" s="255"/>
      <c r="L449" s="513"/>
      <c r="M449" s="252" t="str">
        <f>M447</f>
        <v>RSDGEO</v>
      </c>
      <c r="N449" s="244"/>
      <c r="O449" s="244" t="str">
        <f>$AH$12</f>
        <v>ACT</v>
      </c>
      <c r="P449" s="252"/>
      <c r="Q449" s="252"/>
      <c r="R449" s="525"/>
      <c r="S449" s="256"/>
      <c r="T449" s="256"/>
      <c r="U449" s="183"/>
      <c r="V449" s="252"/>
      <c r="W449" s="524"/>
      <c r="X449" s="256"/>
      <c r="Y449" s="252"/>
      <c r="Z449" s="252">
        <f>IF(ISBLANK(O449),"",IF(O449="ACT",1,-1))</f>
        <v>1</v>
      </c>
      <c r="AA449" s="257"/>
      <c r="AC449" s="244"/>
      <c r="AD449" s="244"/>
      <c r="AE449" s="256"/>
      <c r="AF449" s="256"/>
    </row>
    <row r="450" spans="1:32" x14ac:dyDescent="0.3">
      <c r="A450" s="244"/>
      <c r="D450" s="512"/>
      <c r="E450" s="513"/>
      <c r="F450" s="515"/>
      <c r="G450" s="515"/>
      <c r="H450" s="540"/>
      <c r="I450" s="513"/>
      <c r="J450" s="255"/>
      <c r="K450" s="255"/>
      <c r="L450" s="513"/>
      <c r="M450" s="252" t="str">
        <f>M449</f>
        <v>RSDGEO</v>
      </c>
      <c r="N450" s="244"/>
      <c r="O450" s="244" t="str">
        <f>L447</f>
        <v>RSDELC</v>
      </c>
      <c r="P450" s="252"/>
      <c r="Q450" s="252"/>
      <c r="R450" s="525"/>
      <c r="S450" s="256"/>
      <c r="T450" s="256"/>
      <c r="U450" s="183"/>
      <c r="V450" s="252"/>
      <c r="W450" s="524"/>
      <c r="X450" s="256"/>
      <c r="Y450" s="252"/>
      <c r="Z450" s="252">
        <f>IF(ISBLANK(O450),"",IF(O450="ACT",1,-1))</f>
        <v>-1</v>
      </c>
      <c r="AA450" s="257"/>
      <c r="AC450" s="244"/>
      <c r="AD450" s="244"/>
      <c r="AE450" s="256"/>
      <c r="AF450" s="256"/>
    </row>
    <row r="451" spans="1:32" x14ac:dyDescent="0.3">
      <c r="A451" s="235"/>
      <c r="C451" s="528" t="str">
        <f>'RSD (DEA)'!Z167</f>
        <v>HP_ELC_10</v>
      </c>
      <c r="D451" s="512" t="str">
        <f>RSD_HeatingDemand!N451&amp;"_"&amp;LEFT(C451,LEN(C451)-2)&amp;"08"</f>
        <v>RHAPB_HP_ELC_08</v>
      </c>
      <c r="E451" s="512" t="str">
        <f>"R"&amp;LEFT('RSD (DEA)'!AD167,2)&amp;IF(ISNUMBER(IFERROR(FIND("HTH",'RSD (DEA)'!Z167),IFERROR(FIND("HP",'RSD (DEA)'!Z167),"C"))),IF(IFERROR(FIND("HTH",'RSD (DEA)'!Z167),100)=100,"B","A"),"C")</f>
        <v>RAPB</v>
      </c>
      <c r="F451" s="515"/>
      <c r="G451" s="515"/>
      <c r="H451" s="540" t="str">
        <f t="shared" si="9"/>
        <v>RHAPB_HP_ELC_30</v>
      </c>
      <c r="I451" s="512" t="str">
        <f>'RSD (DEA)'!AA167</f>
        <v>Electric heat pumps, Brine-to-water (ground source)</v>
      </c>
      <c r="J451" s="242" t="s">
        <v>239</v>
      </c>
      <c r="K451" s="242" t="s">
        <v>240</v>
      </c>
      <c r="L451" s="512" t="str">
        <f>'RSD (DEA)'!AH167</f>
        <v>RSDELC</v>
      </c>
      <c r="M451" s="182" t="str">
        <f>'RSD (DEA)'!AI167</f>
        <v>RSDGEO</v>
      </c>
      <c r="N451" s="235" t="str">
        <f>LEFT('RSD (DEA)'!AJ167,2)&amp;RIGHT(E451,3)</f>
        <v>RHAPB</v>
      </c>
      <c r="O451" s="244"/>
      <c r="P451" s="182">
        <f>IF('RSD (DEA)'!P167&lt;RSD_HeatingDemand!$AH$15,RSD_HeatingDemand!$AH$15,'RSD (DEA)'!P167)</f>
        <v>2019</v>
      </c>
      <c r="Q451" s="182">
        <f>IF('RSD (DEA)'!X167&lt;RSD_HeatingDemand!$AH$15,RSD_HeatingDemand!$AH$15,'RSD (DEA)'!X167)</f>
        <v>2020</v>
      </c>
      <c r="R451" s="525">
        <f>IF(ISBLANK(I451),IF(MID(N451,2,2)="HA",VLOOKUP(I450,KEY_RSD_AF!$C$5:$G$52,2,FALSE),IF(MID(N451,2,2)="WA",VLOOKUP(I450,KEY_RSD_AF!$C$5:$G$52,3,FALSE),IF(MID(N451,2,2)="HH",VLOOKUP(I450,KEY_RSD_AF!$C$5:$G$52,4,FALSE),IF(MID(N451,2,2)="WH",VLOOKUP(I450,KEY_RSD_AF!$C$5:$G$52,5,FALSE))))),IF(MID(N451,2,2)="HA",VLOOKUP(I451,KEY_RSD_AF!$C$5:$G$52,2,FALSE),IF(MID(N451,2,2)="WA",VLOOKUP(I451,KEY_RSD_AF!$C$5:$G$52,3,FALSE),IF(MID(N451,2,2)="HH",VLOOKUP(I451,KEY_RSD_AF!$C$5:$G$52,4,FALSE),IF(MID(N451,2,2)="WH",VLOOKUP(I451,KEY_RSD_AF!$C$5:$G$52,5,FALSE))))))</f>
        <v>1</v>
      </c>
      <c r="S451" s="183">
        <f>'RSD (DEA)'!AZ167</f>
        <v>4.3</v>
      </c>
      <c r="T451" s="183">
        <f>'RSD (DEA)'!BA167</f>
        <v>4.9000000000000004</v>
      </c>
      <c r="U451" s="183">
        <v>0.5</v>
      </c>
      <c r="V451" s="182">
        <f>'RSD (DEA)'!BR167/'RSD (DEA)'!S167</f>
        <v>10.3125</v>
      </c>
      <c r="W451" s="184">
        <f>'RSD (DEA)'!BS167/RSD_HeatingDemand!$AH$9</f>
        <v>0.12291666666666666</v>
      </c>
      <c r="X451" s="183">
        <f>'RSD (DEA)'!BK167*RSD_HeatingDemand!$AH$10/'RSD (DEA)'!S167</f>
        <v>556.25</v>
      </c>
      <c r="Y451" s="182">
        <f>'RSD (DEA)'!BI167</f>
        <v>20</v>
      </c>
      <c r="Z451" s="252" t="str">
        <f>IF(ISBLANK(O451),"",IF(O451="ACT",1,-1))</f>
        <v/>
      </c>
      <c r="AA451" s="236">
        <f>'RSD (DEA)'!AM167</f>
        <v>31.536000000000001</v>
      </c>
      <c r="AC451" s="235">
        <f>'RSD (DEA)'!S167</f>
        <v>160</v>
      </c>
      <c r="AD451" s="235" t="str">
        <f>LEFT('RSD (DEA)'!AK167,2)&amp;RIGHT(E451,3)</f>
        <v>RWAPB</v>
      </c>
      <c r="AE451" s="183">
        <f>'RSD (DEA)'!BA167</f>
        <v>4.9000000000000004</v>
      </c>
      <c r="AF451" s="183"/>
    </row>
    <row r="452" spans="1:32" x14ac:dyDescent="0.3">
      <c r="A452" s="235"/>
      <c r="D452" s="512"/>
      <c r="E452" s="512"/>
      <c r="F452" s="515"/>
      <c r="G452" s="515"/>
      <c r="H452" s="540"/>
      <c r="I452" s="512"/>
      <c r="J452" s="242"/>
      <c r="K452" s="242"/>
      <c r="L452" s="512"/>
      <c r="M452" s="182"/>
      <c r="N452" s="318" t="str">
        <f>AD451</f>
        <v>RWAPB</v>
      </c>
      <c r="O452" s="244"/>
      <c r="P452" s="182"/>
      <c r="Q452" s="182"/>
      <c r="R452" s="525">
        <f>IF(ISBLANK(I452),IF(MID(N452,2,2)="HA",VLOOKUP(I451,KEY_RSD_AF!$C$5:$G$52,2,FALSE),IF(MID(N452,2,2)="WA",VLOOKUP(I451,KEY_RSD_AF!$C$5:$G$52,3,FALSE),IF(MID(N452,2,2)="HH",VLOOKUP(I451,KEY_RSD_AF!$C$5:$G$52,4,FALSE),IF(MID(N452,2,2)="WH",VLOOKUP(I451,KEY_RSD_AF!$C$5:$G$52,5,FALSE))))),IF(MID(N452,2,2)="HA",VLOOKUP(I452,KEY_RSD_AF!$C$5:$G$52,2,FALSE),IF(MID(N452,2,2)="WA",VLOOKUP(I452,KEY_RSD_AF!$C$5:$G$52,3,FALSE),IF(MID(N452,2,2)="HH",VLOOKUP(I452,KEY_RSD_AF!$C$5:$G$52,4,FALSE),IF(MID(N452,2,2)="WH",VLOOKUP(I452,KEY_RSD_AF!$C$5:$G$52,5,FALSE))))))</f>
        <v>1</v>
      </c>
      <c r="S452" s="503">
        <f>T451</f>
        <v>4.9000000000000004</v>
      </c>
      <c r="T452" s="183"/>
      <c r="U452" s="183"/>
      <c r="V452" s="182"/>
      <c r="W452" s="184"/>
      <c r="X452" s="183"/>
      <c r="Y452" s="182"/>
      <c r="Z452" s="252"/>
      <c r="AA452" s="236"/>
      <c r="AC452" s="235"/>
      <c r="AD452" s="235"/>
      <c r="AE452" s="183"/>
      <c r="AF452" s="183"/>
    </row>
    <row r="453" spans="1:32" x14ac:dyDescent="0.3">
      <c r="A453" s="244"/>
      <c r="D453" s="512"/>
      <c r="E453" s="513"/>
      <c r="F453" s="515"/>
      <c r="G453" s="515"/>
      <c r="H453" s="540"/>
      <c r="I453" s="513"/>
      <c r="J453" s="255"/>
      <c r="K453" s="255"/>
      <c r="L453" s="513"/>
      <c r="M453" s="252" t="str">
        <f>M451</f>
        <v>RSDGEO</v>
      </c>
      <c r="N453" s="244"/>
      <c r="O453" s="244" t="str">
        <f>$AH$12</f>
        <v>ACT</v>
      </c>
      <c r="P453" s="252"/>
      <c r="Q453" s="252"/>
      <c r="R453" s="525"/>
      <c r="S453" s="256"/>
      <c r="T453" s="256"/>
      <c r="U453" s="183"/>
      <c r="V453" s="252"/>
      <c r="W453" s="524"/>
      <c r="X453" s="256"/>
      <c r="Y453" s="252"/>
      <c r="Z453" s="252">
        <f>IF(ISBLANK(O453),"",IF(O453="ACT",1,-1))</f>
        <v>1</v>
      </c>
      <c r="AA453" s="257"/>
      <c r="AC453" s="244"/>
      <c r="AD453" s="244"/>
      <c r="AE453" s="256"/>
      <c r="AF453" s="256"/>
    </row>
    <row r="454" spans="1:32" x14ac:dyDescent="0.3">
      <c r="A454" s="244"/>
      <c r="D454" s="512"/>
      <c r="E454" s="513"/>
      <c r="F454" s="515"/>
      <c r="G454" s="515"/>
      <c r="H454" s="540"/>
      <c r="I454" s="513"/>
      <c r="J454" s="255"/>
      <c r="K454" s="255"/>
      <c r="L454" s="513"/>
      <c r="M454" s="252" t="str">
        <f>M453</f>
        <v>RSDGEO</v>
      </c>
      <c r="N454" s="244"/>
      <c r="O454" s="244" t="str">
        <f>L451</f>
        <v>RSDELC</v>
      </c>
      <c r="P454" s="252"/>
      <c r="Q454" s="252"/>
      <c r="R454" s="525"/>
      <c r="S454" s="256"/>
      <c r="T454" s="256"/>
      <c r="U454" s="183"/>
      <c r="V454" s="252"/>
      <c r="W454" s="524"/>
      <c r="X454" s="256"/>
      <c r="Y454" s="252"/>
      <c r="Z454" s="252">
        <f>IF(ISBLANK(O454),"",IF(O454="ACT",1,-1))</f>
        <v>-1</v>
      </c>
      <c r="AA454" s="257"/>
      <c r="AC454" s="244"/>
      <c r="AD454" s="244"/>
      <c r="AE454" s="256"/>
      <c r="AF454" s="256"/>
    </row>
    <row r="455" spans="1:32" x14ac:dyDescent="0.3">
      <c r="A455" s="235"/>
      <c r="C455" s="528" t="str">
        <f>'RSD (DEA)'!Z168</f>
        <v>HP_ELC_10</v>
      </c>
      <c r="D455" s="512" t="str">
        <f>RSD_HeatingDemand!N455&amp;"_"&amp;LEFT(C455,LEN(C455)-2)&amp;"08"</f>
        <v>RHAPB_HP_ELC_08</v>
      </c>
      <c r="E455" s="512" t="str">
        <f>"R"&amp;LEFT('RSD (DEA)'!AD168,2)&amp;IF(ISNUMBER(IFERROR(FIND("HTH",'RSD (DEA)'!Z168),IFERROR(FIND("HP",'RSD (DEA)'!Z168),"C"))),IF(IFERROR(FIND("HTH",'RSD (DEA)'!Z168),100)=100,"B","A"),"C")</f>
        <v>RAPB</v>
      </c>
      <c r="F455" s="515"/>
      <c r="G455" s="515"/>
      <c r="H455" s="540" t="str">
        <f t="shared" si="9"/>
        <v>RHAPB_HP_ELC_31</v>
      </c>
      <c r="I455" s="512" t="str">
        <f>'RSD (DEA)'!AA168</f>
        <v>Electric heat pumps, Brine-to-water (ground source)</v>
      </c>
      <c r="J455" s="242" t="s">
        <v>239</v>
      </c>
      <c r="K455" s="242" t="s">
        <v>240</v>
      </c>
      <c r="L455" s="512" t="str">
        <f>'RSD (DEA)'!AH168</f>
        <v>RSDELC</v>
      </c>
      <c r="M455" s="182" t="str">
        <f>'RSD (DEA)'!AI168</f>
        <v>RSDGEO</v>
      </c>
      <c r="N455" s="235" t="str">
        <f>LEFT('RSD (DEA)'!AJ168,2)&amp;RIGHT(E455,3)</f>
        <v>RHAPB</v>
      </c>
      <c r="O455" s="244"/>
      <c r="P455" s="182">
        <f>IF('RSD (DEA)'!P168&lt;RSD_HeatingDemand!$AH$15,RSD_HeatingDemand!$AH$15,'RSD (DEA)'!P168)</f>
        <v>2019</v>
      </c>
      <c r="Q455" s="182">
        <f>IF('RSD (DEA)'!X168&lt;RSD_HeatingDemand!$AH$15,RSD_HeatingDemand!$AH$15,'RSD (DEA)'!X168)</f>
        <v>2030</v>
      </c>
      <c r="R455" s="525">
        <f>IF(ISBLANK(I455),IF(MID(N455,2,2)="HA",VLOOKUP(I454,KEY_RSD_AF!$C$5:$G$52,2,FALSE),IF(MID(N455,2,2)="WA",VLOOKUP(I454,KEY_RSD_AF!$C$5:$G$52,3,FALSE),IF(MID(N455,2,2)="HH",VLOOKUP(I454,KEY_RSD_AF!$C$5:$G$52,4,FALSE),IF(MID(N455,2,2)="WH",VLOOKUP(I454,KEY_RSD_AF!$C$5:$G$52,5,FALSE))))),IF(MID(N455,2,2)="HA",VLOOKUP(I455,KEY_RSD_AF!$C$5:$G$52,2,FALSE),IF(MID(N455,2,2)="WA",VLOOKUP(I455,KEY_RSD_AF!$C$5:$G$52,3,FALSE),IF(MID(N455,2,2)="HH",VLOOKUP(I455,KEY_RSD_AF!$C$5:$G$52,4,FALSE),IF(MID(N455,2,2)="WH",VLOOKUP(I455,KEY_RSD_AF!$C$5:$G$52,5,FALSE))))))</f>
        <v>1</v>
      </c>
      <c r="S455" s="183">
        <f>'RSD (DEA)'!AZ168</f>
        <v>4.4000000000000004</v>
      </c>
      <c r="T455" s="183">
        <f>'RSD (DEA)'!BA168</f>
        <v>5</v>
      </c>
      <c r="U455" s="183">
        <v>0.5</v>
      </c>
      <c r="V455" s="182">
        <f>'RSD (DEA)'!BR168/'RSD (DEA)'!S168</f>
        <v>11.6625</v>
      </c>
      <c r="W455" s="184">
        <f>'RSD (DEA)'!BS168/RSD_HeatingDemand!$AH$9</f>
        <v>0.12291666666666666</v>
      </c>
      <c r="X455" s="183">
        <f>'RSD (DEA)'!BK168*RSD_HeatingDemand!$AH$10/'RSD (DEA)'!S168</f>
        <v>500</v>
      </c>
      <c r="Y455" s="182">
        <f>'RSD (DEA)'!BI168</f>
        <v>20</v>
      </c>
      <c r="Z455" s="252" t="str">
        <f>IF(ISBLANK(O455),"",IF(O455="ACT",1,-1))</f>
        <v/>
      </c>
      <c r="AA455" s="236">
        <f>'RSD (DEA)'!AM168</f>
        <v>31.536000000000001</v>
      </c>
      <c r="AC455" s="235">
        <f>'RSD (DEA)'!S168</f>
        <v>160</v>
      </c>
      <c r="AD455" s="235" t="str">
        <f>LEFT('RSD (DEA)'!AK168,2)&amp;RIGHT(E455,3)</f>
        <v>RWAPB</v>
      </c>
      <c r="AE455" s="183">
        <f>'RSD (DEA)'!BA168</f>
        <v>5</v>
      </c>
      <c r="AF455" s="183"/>
    </row>
    <row r="456" spans="1:32" x14ac:dyDescent="0.3">
      <c r="A456" s="235"/>
      <c r="D456" s="512"/>
      <c r="E456" s="512"/>
      <c r="F456" s="515"/>
      <c r="G456" s="515"/>
      <c r="H456" s="540"/>
      <c r="I456" s="512"/>
      <c r="J456" s="242"/>
      <c r="K456" s="242"/>
      <c r="L456" s="512"/>
      <c r="M456" s="182"/>
      <c r="N456" s="318" t="str">
        <f>AD455</f>
        <v>RWAPB</v>
      </c>
      <c r="O456" s="244"/>
      <c r="P456" s="182"/>
      <c r="Q456" s="182"/>
      <c r="R456" s="525">
        <f>IF(ISBLANK(I456),IF(MID(N456,2,2)="HA",VLOOKUP(I455,KEY_RSD_AF!$C$5:$G$52,2,FALSE),IF(MID(N456,2,2)="WA",VLOOKUP(I455,KEY_RSD_AF!$C$5:$G$52,3,FALSE),IF(MID(N456,2,2)="HH",VLOOKUP(I455,KEY_RSD_AF!$C$5:$G$52,4,FALSE),IF(MID(N456,2,2)="WH",VLOOKUP(I455,KEY_RSD_AF!$C$5:$G$52,5,FALSE))))),IF(MID(N456,2,2)="HA",VLOOKUP(I456,KEY_RSD_AF!$C$5:$G$52,2,FALSE),IF(MID(N456,2,2)="WA",VLOOKUP(I456,KEY_RSD_AF!$C$5:$G$52,3,FALSE),IF(MID(N456,2,2)="HH",VLOOKUP(I456,KEY_RSD_AF!$C$5:$G$52,4,FALSE),IF(MID(N456,2,2)="WH",VLOOKUP(I456,KEY_RSD_AF!$C$5:$G$52,5,FALSE))))))</f>
        <v>1</v>
      </c>
      <c r="S456" s="503">
        <f>T455</f>
        <v>5</v>
      </c>
      <c r="T456" s="183"/>
      <c r="U456" s="183"/>
      <c r="V456" s="182"/>
      <c r="W456" s="184"/>
      <c r="X456" s="183"/>
      <c r="Y456" s="182"/>
      <c r="Z456" s="252"/>
      <c r="AA456" s="236"/>
      <c r="AC456" s="235"/>
      <c r="AD456" s="235"/>
      <c r="AE456" s="183"/>
      <c r="AF456" s="183"/>
    </row>
    <row r="457" spans="1:32" x14ac:dyDescent="0.3">
      <c r="A457" s="244"/>
      <c r="D457" s="512"/>
      <c r="E457" s="513"/>
      <c r="F457" s="515"/>
      <c r="G457" s="515"/>
      <c r="H457" s="540"/>
      <c r="I457" s="513"/>
      <c r="J457" s="255"/>
      <c r="K457" s="255"/>
      <c r="L457" s="513"/>
      <c r="M457" s="252" t="str">
        <f>M455</f>
        <v>RSDGEO</v>
      </c>
      <c r="N457" s="244"/>
      <c r="O457" s="244" t="str">
        <f>$AH$12</f>
        <v>ACT</v>
      </c>
      <c r="P457" s="252"/>
      <c r="Q457" s="252"/>
      <c r="R457" s="525"/>
      <c r="S457" s="256"/>
      <c r="T457" s="256"/>
      <c r="U457" s="183"/>
      <c r="V457" s="252"/>
      <c r="W457" s="524"/>
      <c r="X457" s="256"/>
      <c r="Y457" s="252"/>
      <c r="Z457" s="252">
        <f>IF(ISBLANK(O457),"",IF(O457="ACT",1,-1))</f>
        <v>1</v>
      </c>
      <c r="AA457" s="257"/>
      <c r="AC457" s="244"/>
      <c r="AD457" s="244"/>
      <c r="AE457" s="256"/>
      <c r="AF457" s="256"/>
    </row>
    <row r="458" spans="1:32" x14ac:dyDescent="0.3">
      <c r="A458" s="244"/>
      <c r="D458" s="512"/>
      <c r="E458" s="513"/>
      <c r="F458" s="515"/>
      <c r="G458" s="515"/>
      <c r="H458" s="540"/>
      <c r="I458" s="513"/>
      <c r="J458" s="255"/>
      <c r="K458" s="255"/>
      <c r="L458" s="513"/>
      <c r="M458" s="252" t="str">
        <f>M457</f>
        <v>RSDGEO</v>
      </c>
      <c r="N458" s="244"/>
      <c r="O458" s="244" t="str">
        <f>L455</f>
        <v>RSDELC</v>
      </c>
      <c r="P458" s="252"/>
      <c r="Q458" s="252"/>
      <c r="R458" s="525"/>
      <c r="S458" s="256"/>
      <c r="T458" s="256"/>
      <c r="U458" s="183"/>
      <c r="V458" s="252"/>
      <c r="W458" s="524"/>
      <c r="X458" s="256"/>
      <c r="Y458" s="252"/>
      <c r="Z458" s="252">
        <f>IF(ISBLANK(O458),"",IF(O458="ACT",1,-1))</f>
        <v>-1</v>
      </c>
      <c r="AA458" s="257"/>
      <c r="AC458" s="244"/>
      <c r="AD458" s="244"/>
      <c r="AE458" s="256"/>
      <c r="AF458" s="256"/>
    </row>
    <row r="459" spans="1:32" x14ac:dyDescent="0.3">
      <c r="A459" s="235"/>
      <c r="C459" s="528" t="str">
        <f>'RSD (DEA)'!Z169</f>
        <v>HP_ELC_10</v>
      </c>
      <c r="D459" s="512" t="str">
        <f>RSD_HeatingDemand!N459&amp;"_"&amp;LEFT(C459,LEN(C459)-2)&amp;"08"</f>
        <v>RHAPB_HP_ELC_08</v>
      </c>
      <c r="E459" s="512" t="str">
        <f>"R"&amp;LEFT('RSD (DEA)'!AD169,2)&amp;IF(ISNUMBER(IFERROR(FIND("HTH",'RSD (DEA)'!Z169),IFERROR(FIND("HP",'RSD (DEA)'!Z169),"C"))),IF(IFERROR(FIND("HTH",'RSD (DEA)'!Z169),100)=100,"B","A"),"C")</f>
        <v>RAPB</v>
      </c>
      <c r="F459" s="515"/>
      <c r="G459" s="515"/>
      <c r="H459" s="540" t="str">
        <f t="shared" si="9"/>
        <v>RHAPB_HP_ELC_32</v>
      </c>
      <c r="I459" s="512" t="str">
        <f>'RSD (DEA)'!AA169</f>
        <v>Electric heat pumps, Brine-to-water (ground source)</v>
      </c>
      <c r="J459" s="242" t="s">
        <v>239</v>
      </c>
      <c r="K459" s="242" t="s">
        <v>240</v>
      </c>
      <c r="L459" s="512" t="str">
        <f>'RSD (DEA)'!AH169</f>
        <v>RSDELC</v>
      </c>
      <c r="M459" s="182" t="str">
        <f>'RSD (DEA)'!AI169</f>
        <v>RSDGEO</v>
      </c>
      <c r="N459" s="235" t="str">
        <f>LEFT('RSD (DEA)'!AJ169,2)&amp;RIGHT(E459,3)</f>
        <v>RHAPB</v>
      </c>
      <c r="O459" s="244"/>
      <c r="P459" s="182">
        <f>IF('RSD (DEA)'!P169&lt;RSD_HeatingDemand!$AH$15,RSD_HeatingDemand!$AH$15,'RSD (DEA)'!P169)</f>
        <v>2019</v>
      </c>
      <c r="Q459" s="182">
        <f>IF('RSD (DEA)'!X169&lt;RSD_HeatingDemand!$AH$15,RSD_HeatingDemand!$AH$15,'RSD (DEA)'!X169)</f>
        <v>2050</v>
      </c>
      <c r="R459" s="525">
        <f>IF(ISBLANK(I459),IF(MID(N459,2,2)="HA",VLOOKUP(I458,KEY_RSD_AF!$C$5:$G$52,2,FALSE),IF(MID(N459,2,2)="WA",VLOOKUP(I458,KEY_RSD_AF!$C$5:$G$52,3,FALSE),IF(MID(N459,2,2)="HH",VLOOKUP(I458,KEY_RSD_AF!$C$5:$G$52,4,FALSE),IF(MID(N459,2,2)="WH",VLOOKUP(I458,KEY_RSD_AF!$C$5:$G$52,5,FALSE))))),IF(MID(N459,2,2)="HA",VLOOKUP(I459,KEY_RSD_AF!$C$5:$G$52,2,FALSE),IF(MID(N459,2,2)="WA",VLOOKUP(I459,KEY_RSD_AF!$C$5:$G$52,3,FALSE),IF(MID(N459,2,2)="HH",VLOOKUP(I459,KEY_RSD_AF!$C$5:$G$52,4,FALSE),IF(MID(N459,2,2)="WH",VLOOKUP(I459,KEY_RSD_AF!$C$5:$G$52,5,FALSE))))))</f>
        <v>1</v>
      </c>
      <c r="S459" s="183">
        <f>'RSD (DEA)'!AZ169</f>
        <v>4.55</v>
      </c>
      <c r="T459" s="183">
        <f>'RSD (DEA)'!BA169</f>
        <v>5.2</v>
      </c>
      <c r="U459" s="183">
        <v>0.5</v>
      </c>
      <c r="V459" s="182">
        <f>'RSD (DEA)'!BR169/'RSD (DEA)'!S169</f>
        <v>15.06875</v>
      </c>
      <c r="W459" s="184">
        <f>'RSD (DEA)'!BS169/RSD_HeatingDemand!$AH$9</f>
        <v>0.12291666666666666</v>
      </c>
      <c r="X459" s="183">
        <f>'RSD (DEA)'!BK169*RSD_HeatingDemand!$AH$10/'RSD (DEA)'!S169</f>
        <v>450</v>
      </c>
      <c r="Y459" s="182">
        <f>'RSD (DEA)'!BI169</f>
        <v>20</v>
      </c>
      <c r="Z459" s="252" t="str">
        <f>IF(ISBLANK(O459),"",IF(O459="ACT",1,-1))</f>
        <v/>
      </c>
      <c r="AA459" s="236">
        <f>'RSD (DEA)'!AM169</f>
        <v>31.536000000000001</v>
      </c>
      <c r="AC459" s="235">
        <f>'RSD (DEA)'!S169</f>
        <v>160</v>
      </c>
      <c r="AD459" s="235" t="str">
        <f>LEFT('RSD (DEA)'!AK169,2)&amp;RIGHT(E459,3)</f>
        <v>RWAPB</v>
      </c>
      <c r="AE459" s="183">
        <f>'RSD (DEA)'!BA169</f>
        <v>5.2</v>
      </c>
      <c r="AF459" s="183"/>
    </row>
    <row r="460" spans="1:32" x14ac:dyDescent="0.3">
      <c r="A460" s="235"/>
      <c r="D460" s="512"/>
      <c r="E460" s="512"/>
      <c r="F460" s="515"/>
      <c r="G460" s="515"/>
      <c r="H460" s="540"/>
      <c r="I460" s="512"/>
      <c r="J460" s="242"/>
      <c r="K460" s="242"/>
      <c r="L460" s="512"/>
      <c r="M460" s="182"/>
      <c r="N460" s="318" t="str">
        <f>AD459</f>
        <v>RWAPB</v>
      </c>
      <c r="O460" s="244"/>
      <c r="P460" s="182"/>
      <c r="Q460" s="182"/>
      <c r="R460" s="525">
        <f>IF(ISBLANK(I460),IF(MID(N460,2,2)="HA",VLOOKUP(I459,KEY_RSD_AF!$C$5:$G$52,2,FALSE),IF(MID(N460,2,2)="WA",VLOOKUP(I459,KEY_RSD_AF!$C$5:$G$52,3,FALSE),IF(MID(N460,2,2)="HH",VLOOKUP(I459,KEY_RSD_AF!$C$5:$G$52,4,FALSE),IF(MID(N460,2,2)="WH",VLOOKUP(I459,KEY_RSD_AF!$C$5:$G$52,5,FALSE))))),IF(MID(N460,2,2)="HA",VLOOKUP(I460,KEY_RSD_AF!$C$5:$G$52,2,FALSE),IF(MID(N460,2,2)="WA",VLOOKUP(I460,KEY_RSD_AF!$C$5:$G$52,3,FALSE),IF(MID(N460,2,2)="HH",VLOOKUP(I460,KEY_RSD_AF!$C$5:$G$52,4,FALSE),IF(MID(N460,2,2)="WH",VLOOKUP(I460,KEY_RSD_AF!$C$5:$G$52,5,FALSE))))))</f>
        <v>1</v>
      </c>
      <c r="S460" s="503">
        <f>T459</f>
        <v>5.2</v>
      </c>
      <c r="T460" s="183"/>
      <c r="U460" s="183"/>
      <c r="V460" s="182"/>
      <c r="W460" s="184"/>
      <c r="X460" s="183"/>
      <c r="Y460" s="182"/>
      <c r="Z460" s="252"/>
      <c r="AA460" s="236"/>
      <c r="AC460" s="235"/>
      <c r="AD460" s="235"/>
      <c r="AE460" s="183"/>
      <c r="AF460" s="183"/>
    </row>
    <row r="461" spans="1:32" x14ac:dyDescent="0.3">
      <c r="A461" s="244"/>
      <c r="D461" s="512"/>
      <c r="E461" s="513"/>
      <c r="F461" s="515"/>
      <c r="G461" s="515"/>
      <c r="H461" s="540"/>
      <c r="I461" s="513"/>
      <c r="J461" s="255"/>
      <c r="K461" s="255"/>
      <c r="L461" s="513"/>
      <c r="M461" s="252" t="str">
        <f>M459</f>
        <v>RSDGEO</v>
      </c>
      <c r="N461" s="244"/>
      <c r="O461" s="244" t="str">
        <f>$AH$12</f>
        <v>ACT</v>
      </c>
      <c r="P461" s="252"/>
      <c r="Q461" s="252"/>
      <c r="R461" s="525"/>
      <c r="S461" s="256"/>
      <c r="T461" s="256"/>
      <c r="U461" s="183"/>
      <c r="V461" s="252"/>
      <c r="W461" s="524"/>
      <c r="X461" s="256"/>
      <c r="Y461" s="252"/>
      <c r="Z461" s="252">
        <f>IF(ISBLANK(O461),"",IF(O461="ACT",1,-1))</f>
        <v>1</v>
      </c>
      <c r="AA461" s="257"/>
      <c r="AC461" s="244"/>
      <c r="AD461" s="244"/>
      <c r="AE461" s="256"/>
      <c r="AF461" s="256"/>
    </row>
    <row r="462" spans="1:32" x14ac:dyDescent="0.3">
      <c r="A462" s="244"/>
      <c r="D462" s="512"/>
      <c r="E462" s="513"/>
      <c r="F462" s="515"/>
      <c r="G462" s="515"/>
      <c r="H462" s="540"/>
      <c r="I462" s="513"/>
      <c r="J462" s="255"/>
      <c r="K462" s="255"/>
      <c r="L462" s="513"/>
      <c r="M462" s="252" t="str">
        <f>M461</f>
        <v>RSDGEO</v>
      </c>
      <c r="N462" s="244"/>
      <c r="O462" s="244" t="str">
        <f>L459</f>
        <v>RSDELC</v>
      </c>
      <c r="P462" s="252"/>
      <c r="Q462" s="252"/>
      <c r="R462" s="525"/>
      <c r="S462" s="256"/>
      <c r="T462" s="256"/>
      <c r="U462" s="183"/>
      <c r="V462" s="252"/>
      <c r="W462" s="524"/>
      <c r="X462" s="256"/>
      <c r="Y462" s="252"/>
      <c r="Z462" s="252">
        <f>IF(ISBLANK(O462),"",IF(O462="ACT",1,-1))</f>
        <v>-1</v>
      </c>
      <c r="AA462" s="257"/>
      <c r="AC462" s="244"/>
      <c r="AD462" s="244"/>
      <c r="AE462" s="256"/>
      <c r="AF462" s="256"/>
    </row>
    <row r="463" spans="1:32" x14ac:dyDescent="0.3">
      <c r="A463" s="235"/>
      <c r="C463" s="528" t="str">
        <f>'RSD (DEA)'!Z170</f>
        <v>HP_ELC_11</v>
      </c>
      <c r="D463" s="512" t="str">
        <f>RSD_HeatingDemand!N463&amp;"_"&amp;LEFT(C463,LEN(C463)-2)&amp;"11"</f>
        <v>RHHSB_HP_ELC_11</v>
      </c>
      <c r="E463" s="512" t="str">
        <f>"R"&amp;LEFT('RSD (DEA)'!AD170,2)&amp;IF(ISNUMBER(IFERROR(FIND("HTH",'RSD (DEA)'!Z170),IFERROR(FIND("HP",'RSD (DEA)'!Z170),"C"))),IF(IFERROR(FIND("HTH",'RSD (DEA)'!Z170),100)=100,"B","A"),"C")</f>
        <v>RHSB</v>
      </c>
      <c r="F463" s="515"/>
      <c r="G463" s="515"/>
      <c r="H463" s="540" t="str">
        <f>IF(LEFT(D463,LEN(D463)-2)=LEFT(D427,LEN(D463)-2),LEFT(D463,LEN(D463)-2)&amp;IF(RIGHT(H427,2)+1&lt;=9,"0"&amp;RIGHT(H427)+1,RIGHT(H427,2)+1),D463)</f>
        <v>RHHSB_HP_ELC_41</v>
      </c>
      <c r="I463" s="512" t="str">
        <f>'RSD (DEA)'!AA170</f>
        <v>Electric heat pumps, Ventilation</v>
      </c>
      <c r="J463" s="242" t="s">
        <v>239</v>
      </c>
      <c r="K463" s="242" t="s">
        <v>240</v>
      </c>
      <c r="L463" s="512" t="str">
        <f>'RSD (DEA)'!AH170</f>
        <v>RSDELC</v>
      </c>
      <c r="M463" s="182" t="str">
        <f>'RSD (DEA)'!AI170</f>
        <v>RSDAHT</v>
      </c>
      <c r="N463" s="235" t="str">
        <f>LEFT('RSD (DEA)'!AJ170,2)&amp;RIGHT(E463,3)</f>
        <v>RHHSB</v>
      </c>
      <c r="O463" s="244"/>
      <c r="P463" s="182">
        <f>IF('RSD (DEA)'!P170&lt;RSD_HeatingDemand!$AH$15,RSD_HeatingDemand!$AH$15,'RSD (DEA)'!P170)</f>
        <v>2019</v>
      </c>
      <c r="Q463" s="182">
        <f>IF('RSD (DEA)'!X170&lt;RSD_HeatingDemand!$AH$15,RSD_HeatingDemand!$AH$15,'RSD (DEA)'!X170)</f>
        <v>2019</v>
      </c>
      <c r="R463" s="525">
        <f>IF(ISBLANK(I463),IF(MID(N463,2,2)="HA",VLOOKUP(I462,KEY_RSD_AF!$C$5:$G$52,2,FALSE),IF(MID(N463,2,2)="WA",VLOOKUP(I462,KEY_RSD_AF!$C$5:$G$52,3,FALSE),IF(MID(N463,2,2)="HH",VLOOKUP(I462,KEY_RSD_AF!$C$5:$G$52,4,FALSE),IF(MID(N463,2,2)="WH",VLOOKUP(I462,KEY_RSD_AF!$C$5:$G$52,5,FALSE))))),IF(MID(N463,2,2)="HA",VLOOKUP(I463,KEY_RSD_AF!$C$5:$G$52,2,FALSE),IF(MID(N463,2,2)="WA",VLOOKUP(I463,KEY_RSD_AF!$C$5:$G$52,3,FALSE),IF(MID(N463,2,2)="HH",VLOOKUP(I463,KEY_RSD_AF!$C$5:$G$52,4,FALSE),IF(MID(N463,2,2)="WH",VLOOKUP(I463,KEY_RSD_AF!$C$5:$G$52,5,FALSE))))))</f>
        <v>1</v>
      </c>
      <c r="S463" s="183">
        <f>'RSD (DEA)'!AZ170</f>
        <v>3.15</v>
      </c>
      <c r="T463" s="183">
        <f>'RSD (DEA)'!BA170</f>
        <v>3.2</v>
      </c>
      <c r="U463" s="183">
        <v>0.5</v>
      </c>
      <c r="V463" s="182">
        <f>'RSD (DEA)'!BR170/'RSD (DEA)'!S170</f>
        <v>101</v>
      </c>
      <c r="W463" s="184">
        <f>'RSD (DEA)'!BS170/RSD_HeatingDemand!$AH$9</f>
        <v>0</v>
      </c>
      <c r="X463" s="183">
        <f>'RSD (DEA)'!BK170*RSD_HeatingDemand!$AH$10/'RSD (DEA)'!S170</f>
        <v>1000</v>
      </c>
      <c r="Y463" s="182">
        <f>'RSD (DEA)'!BI170</f>
        <v>20</v>
      </c>
      <c r="Z463" s="252" t="str">
        <f>IF(ISBLANK(O463),"",IF(O463="ACT",1,-1))</f>
        <v/>
      </c>
      <c r="AA463" s="236">
        <f>'RSD (DEA)'!AM170</f>
        <v>31.536000000000001</v>
      </c>
      <c r="AC463" s="235">
        <f>'RSD (DEA)'!S170</f>
        <v>2</v>
      </c>
      <c r="AD463" s="235" t="str">
        <f>LEFT('RSD (DEA)'!AK170,2)&amp;RIGHT(E463,3)</f>
        <v>RWHSB</v>
      </c>
      <c r="AE463" s="183">
        <f>'RSD (DEA)'!BA170</f>
        <v>3.2</v>
      </c>
      <c r="AF463" s="183"/>
    </row>
    <row r="464" spans="1:32" x14ac:dyDescent="0.3">
      <c r="A464" s="235"/>
      <c r="D464" s="512"/>
      <c r="E464" s="512"/>
      <c r="F464" s="515"/>
      <c r="G464" s="515"/>
      <c r="H464" s="540"/>
      <c r="I464" s="512"/>
      <c r="J464" s="242"/>
      <c r="K464" s="242"/>
      <c r="L464" s="512"/>
      <c r="M464" s="182"/>
      <c r="N464" s="318" t="str">
        <f>AD463</f>
        <v>RWHSB</v>
      </c>
      <c r="O464" s="244"/>
      <c r="P464" s="182"/>
      <c r="Q464" s="182"/>
      <c r="R464" s="525">
        <f>IF(ISBLANK(I464),IF(MID(N464,2,2)="HA",VLOOKUP(I463,KEY_RSD_AF!$C$5:$G$52,2,FALSE),IF(MID(N464,2,2)="WA",VLOOKUP(I463,KEY_RSD_AF!$C$5:$G$52,3,FALSE),IF(MID(N464,2,2)="HH",VLOOKUP(I463,KEY_RSD_AF!$C$5:$G$52,4,FALSE),IF(MID(N464,2,2)="WH",VLOOKUP(I463,KEY_RSD_AF!$C$5:$G$52,5,FALSE))))),IF(MID(N464,2,2)="HA",VLOOKUP(I464,KEY_RSD_AF!$C$5:$G$52,2,FALSE),IF(MID(N464,2,2)="WA",VLOOKUP(I464,KEY_RSD_AF!$C$5:$G$52,3,FALSE),IF(MID(N464,2,2)="HH",VLOOKUP(I464,KEY_RSD_AF!$C$5:$G$52,4,FALSE),IF(MID(N464,2,2)="WH",VLOOKUP(I464,KEY_RSD_AF!$C$5:$G$52,5,FALSE))))))</f>
        <v>1</v>
      </c>
      <c r="S464" s="503">
        <f>T463</f>
        <v>3.2</v>
      </c>
      <c r="T464" s="183"/>
      <c r="U464" s="183"/>
      <c r="V464" s="182"/>
      <c r="W464" s="184"/>
      <c r="X464" s="183"/>
      <c r="Y464" s="182"/>
      <c r="Z464" s="252"/>
      <c r="AA464" s="236"/>
      <c r="AC464" s="235"/>
      <c r="AD464" s="235"/>
      <c r="AE464" s="183"/>
      <c r="AF464" s="183"/>
    </row>
    <row r="465" spans="1:32" x14ac:dyDescent="0.3">
      <c r="A465" s="244"/>
      <c r="D465" s="512"/>
      <c r="E465" s="513"/>
      <c r="F465" s="515"/>
      <c r="G465" s="515"/>
      <c r="H465" s="540"/>
      <c r="I465" s="513"/>
      <c r="J465" s="255"/>
      <c r="K465" s="255"/>
      <c r="L465" s="513"/>
      <c r="M465" s="252" t="str">
        <f>M463</f>
        <v>RSDAHT</v>
      </c>
      <c r="N465" s="244"/>
      <c r="O465" s="244" t="str">
        <f>$AH$12</f>
        <v>ACT</v>
      </c>
      <c r="P465" s="252"/>
      <c r="Q465" s="252"/>
      <c r="R465" s="525"/>
      <c r="S465" s="256"/>
      <c r="T465" s="256"/>
      <c r="U465" s="183"/>
      <c r="V465" s="252"/>
      <c r="W465" s="524"/>
      <c r="X465" s="256"/>
      <c r="Y465" s="252"/>
      <c r="Z465" s="252">
        <f>IF(ISBLANK(O465),"",IF(O465="ACT",1,-1))</f>
        <v>1</v>
      </c>
      <c r="AA465" s="257"/>
      <c r="AC465" s="244"/>
      <c r="AD465" s="244"/>
      <c r="AE465" s="256"/>
      <c r="AF465" s="256"/>
    </row>
    <row r="466" spans="1:32" x14ac:dyDescent="0.3">
      <c r="A466" s="244"/>
      <c r="D466" s="512"/>
      <c r="E466" s="513"/>
      <c r="F466" s="515"/>
      <c r="G466" s="515"/>
      <c r="H466" s="540"/>
      <c r="I466" s="513"/>
      <c r="J466" s="255"/>
      <c r="K466" s="255"/>
      <c r="L466" s="513"/>
      <c r="M466" s="252" t="str">
        <f>M465</f>
        <v>RSDAHT</v>
      </c>
      <c r="N466" s="244"/>
      <c r="O466" s="244" t="str">
        <f>L463</f>
        <v>RSDELC</v>
      </c>
      <c r="P466" s="252"/>
      <c r="Q466" s="252"/>
      <c r="R466" s="525"/>
      <c r="S466" s="256"/>
      <c r="T466" s="256"/>
      <c r="U466" s="183"/>
      <c r="V466" s="252"/>
      <c r="W466" s="524"/>
      <c r="X466" s="256"/>
      <c r="Y466" s="252"/>
      <c r="Z466" s="252">
        <f>IF(ISBLANK(O466),"",IF(O466="ACT",1,-1))</f>
        <v>-1</v>
      </c>
      <c r="AA466" s="257"/>
      <c r="AC466" s="244"/>
      <c r="AD466" s="244"/>
      <c r="AE466" s="256"/>
      <c r="AF466" s="256"/>
    </row>
    <row r="467" spans="1:32" x14ac:dyDescent="0.3">
      <c r="A467" s="235"/>
      <c r="C467" s="528" t="str">
        <f>'RSD (DEA)'!Z171</f>
        <v>HP_ELC_11</v>
      </c>
      <c r="D467" s="512" t="str">
        <f>RSD_HeatingDemand!N467&amp;"_"&amp;LEFT(C467,LEN(C467)-2)&amp;"11"</f>
        <v>RHHSB_HP_ELC_11</v>
      </c>
      <c r="E467" s="512" t="str">
        <f>"R"&amp;LEFT('RSD (DEA)'!AD171,2)&amp;IF(ISNUMBER(IFERROR(FIND("HTH",'RSD (DEA)'!Z171),IFERROR(FIND("HP",'RSD (DEA)'!Z171),"C"))),IF(IFERROR(FIND("HTH",'RSD (DEA)'!Z171),100)=100,"B","A"),"C")</f>
        <v>RHSB</v>
      </c>
      <c r="F467" s="515"/>
      <c r="G467" s="515"/>
      <c r="H467" s="540" t="str">
        <f t="shared" si="9"/>
        <v>RHHSB_HP_ELC_42</v>
      </c>
      <c r="I467" s="512" t="str">
        <f>'RSD (DEA)'!AA171</f>
        <v>Electric heat pumps, Ventilation</v>
      </c>
      <c r="J467" s="242" t="s">
        <v>239</v>
      </c>
      <c r="K467" s="242" t="s">
        <v>240</v>
      </c>
      <c r="L467" s="512" t="str">
        <f>'RSD (DEA)'!AH171</f>
        <v>RSDELC</v>
      </c>
      <c r="M467" s="182" t="str">
        <f>'RSD (DEA)'!AI171</f>
        <v>RSDAHT</v>
      </c>
      <c r="N467" s="235" t="str">
        <f>LEFT('RSD (DEA)'!AJ171,2)&amp;RIGHT(E467,3)</f>
        <v>RHHSB</v>
      </c>
      <c r="O467" s="244"/>
      <c r="P467" s="182">
        <f>IF('RSD (DEA)'!P171&lt;RSD_HeatingDemand!$AH$15,RSD_HeatingDemand!$AH$15,'RSD (DEA)'!P171)</f>
        <v>2019</v>
      </c>
      <c r="Q467" s="182">
        <f>IF('RSD (DEA)'!X171&lt;RSD_HeatingDemand!$AH$15,RSD_HeatingDemand!$AH$15,'RSD (DEA)'!X171)</f>
        <v>2020</v>
      </c>
      <c r="R467" s="525">
        <f>IF(ISBLANK(I467),IF(MID(N467,2,2)="HA",VLOOKUP(I466,KEY_RSD_AF!$C$5:$G$52,2,FALSE),IF(MID(N467,2,2)="WA",VLOOKUP(I466,KEY_RSD_AF!$C$5:$G$52,3,FALSE),IF(MID(N467,2,2)="HH",VLOOKUP(I466,KEY_RSD_AF!$C$5:$G$52,4,FALSE),IF(MID(N467,2,2)="WH",VLOOKUP(I466,KEY_RSD_AF!$C$5:$G$52,5,FALSE))))),IF(MID(N467,2,2)="HA",VLOOKUP(I467,KEY_RSD_AF!$C$5:$G$52,2,FALSE),IF(MID(N467,2,2)="WA",VLOOKUP(I467,KEY_RSD_AF!$C$5:$G$52,3,FALSE),IF(MID(N467,2,2)="HH",VLOOKUP(I467,KEY_RSD_AF!$C$5:$G$52,4,FALSE),IF(MID(N467,2,2)="WH",VLOOKUP(I467,KEY_RSD_AF!$C$5:$G$52,5,FALSE))))))</f>
        <v>1</v>
      </c>
      <c r="S467" s="183">
        <f>'RSD (DEA)'!AZ171</f>
        <v>3.25</v>
      </c>
      <c r="T467" s="183">
        <f>'RSD (DEA)'!BA171</f>
        <v>3.3</v>
      </c>
      <c r="U467" s="183">
        <v>0.5</v>
      </c>
      <c r="V467" s="182">
        <f>'RSD (DEA)'!BR171/'RSD (DEA)'!S171</f>
        <v>95</v>
      </c>
      <c r="W467" s="184">
        <f>'RSD (DEA)'!BS171/RSD_HeatingDemand!$AH$9</f>
        <v>0</v>
      </c>
      <c r="X467" s="183">
        <f>'RSD (DEA)'!BK171*RSD_HeatingDemand!$AH$10/'RSD (DEA)'!S171</f>
        <v>1000</v>
      </c>
      <c r="Y467" s="182">
        <f>'RSD (DEA)'!BI171</f>
        <v>20</v>
      </c>
      <c r="Z467" s="252" t="str">
        <f>IF(ISBLANK(O467),"",IF(O467="ACT",1,-1))</f>
        <v/>
      </c>
      <c r="AA467" s="236">
        <f>'RSD (DEA)'!AM171</f>
        <v>31.536000000000001</v>
      </c>
      <c r="AC467" s="235">
        <f>'RSD (DEA)'!S171</f>
        <v>2</v>
      </c>
      <c r="AD467" s="235" t="str">
        <f>LEFT('RSD (DEA)'!AK171,2)&amp;RIGHT(E467,3)</f>
        <v>RWHSB</v>
      </c>
      <c r="AE467" s="183">
        <f>'RSD (DEA)'!BA171</f>
        <v>3.3</v>
      </c>
      <c r="AF467" s="183"/>
    </row>
    <row r="468" spans="1:32" x14ac:dyDescent="0.3">
      <c r="A468" s="235"/>
      <c r="D468" s="512"/>
      <c r="E468" s="512"/>
      <c r="F468" s="515"/>
      <c r="G468" s="515"/>
      <c r="H468" s="540"/>
      <c r="I468" s="512"/>
      <c r="J468" s="242"/>
      <c r="K468" s="242"/>
      <c r="L468" s="512"/>
      <c r="M468" s="182"/>
      <c r="N468" s="318" t="str">
        <f>AD467</f>
        <v>RWHSB</v>
      </c>
      <c r="O468" s="244"/>
      <c r="P468" s="182"/>
      <c r="Q468" s="182"/>
      <c r="R468" s="525">
        <f>IF(ISBLANK(I468),IF(MID(N468,2,2)="HA",VLOOKUP(I467,KEY_RSD_AF!$C$5:$G$52,2,FALSE),IF(MID(N468,2,2)="WA",VLOOKUP(I467,KEY_RSD_AF!$C$5:$G$52,3,FALSE),IF(MID(N468,2,2)="HH",VLOOKUP(I467,KEY_RSD_AF!$C$5:$G$52,4,FALSE),IF(MID(N468,2,2)="WH",VLOOKUP(I467,KEY_RSD_AF!$C$5:$G$52,5,FALSE))))),IF(MID(N468,2,2)="HA",VLOOKUP(I468,KEY_RSD_AF!$C$5:$G$52,2,FALSE),IF(MID(N468,2,2)="WA",VLOOKUP(I468,KEY_RSD_AF!$C$5:$G$52,3,FALSE),IF(MID(N468,2,2)="HH",VLOOKUP(I468,KEY_RSD_AF!$C$5:$G$52,4,FALSE),IF(MID(N468,2,2)="WH",VLOOKUP(I468,KEY_RSD_AF!$C$5:$G$52,5,FALSE))))))</f>
        <v>1</v>
      </c>
      <c r="S468" s="503">
        <f>T467</f>
        <v>3.3</v>
      </c>
      <c r="T468" s="183"/>
      <c r="U468" s="183"/>
      <c r="V468" s="182"/>
      <c r="W468" s="184"/>
      <c r="X468" s="183"/>
      <c r="Y468" s="182"/>
      <c r="Z468" s="252"/>
      <c r="AA468" s="236"/>
      <c r="AC468" s="235"/>
      <c r="AD468" s="235"/>
      <c r="AE468" s="183"/>
      <c r="AF468" s="183"/>
    </row>
    <row r="469" spans="1:32" x14ac:dyDescent="0.3">
      <c r="A469" s="244"/>
      <c r="D469" s="512"/>
      <c r="E469" s="513"/>
      <c r="F469" s="515"/>
      <c r="G469" s="515"/>
      <c r="H469" s="540"/>
      <c r="I469" s="513"/>
      <c r="J469" s="255"/>
      <c r="K469" s="255"/>
      <c r="L469" s="513"/>
      <c r="M469" s="252" t="str">
        <f>M467</f>
        <v>RSDAHT</v>
      </c>
      <c r="N469" s="244"/>
      <c r="O469" s="244" t="str">
        <f>$AH$12</f>
        <v>ACT</v>
      </c>
      <c r="P469" s="252"/>
      <c r="Q469" s="252"/>
      <c r="R469" s="525"/>
      <c r="S469" s="256"/>
      <c r="T469" s="256"/>
      <c r="U469" s="183"/>
      <c r="V469" s="252"/>
      <c r="W469" s="524"/>
      <c r="X469" s="256"/>
      <c r="Y469" s="252"/>
      <c r="Z469" s="252">
        <f>IF(ISBLANK(O469),"",IF(O469="ACT",1,-1))</f>
        <v>1</v>
      </c>
      <c r="AA469" s="257"/>
      <c r="AC469" s="244"/>
      <c r="AD469" s="244"/>
      <c r="AE469" s="256"/>
      <c r="AF469" s="256"/>
    </row>
    <row r="470" spans="1:32" x14ac:dyDescent="0.3">
      <c r="A470" s="244"/>
      <c r="D470" s="512"/>
      <c r="E470" s="513"/>
      <c r="F470" s="515"/>
      <c r="G470" s="515"/>
      <c r="H470" s="540"/>
      <c r="I470" s="513"/>
      <c r="J470" s="255"/>
      <c r="K470" s="255"/>
      <c r="L470" s="513"/>
      <c r="M470" s="252" t="str">
        <f>M469</f>
        <v>RSDAHT</v>
      </c>
      <c r="N470" s="244"/>
      <c r="O470" s="244" t="str">
        <f>L467</f>
        <v>RSDELC</v>
      </c>
      <c r="P470" s="252"/>
      <c r="Q470" s="252"/>
      <c r="R470" s="525"/>
      <c r="S470" s="256"/>
      <c r="T470" s="256"/>
      <c r="U470" s="183"/>
      <c r="V470" s="252"/>
      <c r="W470" s="524"/>
      <c r="X470" s="256"/>
      <c r="Y470" s="252"/>
      <c r="Z470" s="252">
        <f>IF(ISBLANK(O470),"",IF(O470="ACT",1,-1))</f>
        <v>-1</v>
      </c>
      <c r="AA470" s="257"/>
      <c r="AC470" s="244"/>
      <c r="AD470" s="244"/>
      <c r="AE470" s="256"/>
      <c r="AF470" s="256"/>
    </row>
    <row r="471" spans="1:32" x14ac:dyDescent="0.3">
      <c r="A471" s="235"/>
      <c r="C471" s="528" t="str">
        <f>'RSD (DEA)'!Z172</f>
        <v>HP_ELC_11</v>
      </c>
      <c r="D471" s="512" t="str">
        <f>RSD_HeatingDemand!N471&amp;"_"&amp;LEFT(C471,LEN(C471)-2)&amp;"11"</f>
        <v>RHHSB_HP_ELC_11</v>
      </c>
      <c r="E471" s="512" t="str">
        <f>"R"&amp;LEFT('RSD (DEA)'!AD172,2)&amp;IF(ISNUMBER(IFERROR(FIND("HTH",'RSD (DEA)'!Z172),IFERROR(FIND("HP",'RSD (DEA)'!Z172),"C"))),IF(IFERROR(FIND("HTH",'RSD (DEA)'!Z172),100)=100,"B","A"),"C")</f>
        <v>RHSB</v>
      </c>
      <c r="F471" s="515"/>
      <c r="G471" s="515"/>
      <c r="H471" s="540" t="str">
        <f t="shared" si="9"/>
        <v>RHHSB_HP_ELC_43</v>
      </c>
      <c r="I471" s="512" t="str">
        <f>'RSD (DEA)'!AA172</f>
        <v>Electric heat pumps, Ventilation</v>
      </c>
      <c r="J471" s="242" t="s">
        <v>239</v>
      </c>
      <c r="K471" s="242" t="s">
        <v>240</v>
      </c>
      <c r="L471" s="512" t="str">
        <f>'RSD (DEA)'!AH172</f>
        <v>RSDELC</v>
      </c>
      <c r="M471" s="182" t="str">
        <f>'RSD (DEA)'!AI172</f>
        <v>RSDAHT</v>
      </c>
      <c r="N471" s="235" t="str">
        <f>LEFT('RSD (DEA)'!AJ172,2)&amp;RIGHT(E471,3)</f>
        <v>RHHSB</v>
      </c>
      <c r="O471" s="244"/>
      <c r="P471" s="182">
        <f>IF('RSD (DEA)'!P172&lt;RSD_HeatingDemand!$AH$15,RSD_HeatingDemand!$AH$15,'RSD (DEA)'!P172)</f>
        <v>2019</v>
      </c>
      <c r="Q471" s="182">
        <f>IF('RSD (DEA)'!X172&lt;RSD_HeatingDemand!$AH$15,RSD_HeatingDemand!$AH$15,'RSD (DEA)'!X172)</f>
        <v>2030</v>
      </c>
      <c r="R471" s="525">
        <f>IF(ISBLANK(I471),IF(MID(N471,2,2)="HA",VLOOKUP(I470,KEY_RSD_AF!$C$5:$G$52,2,FALSE),IF(MID(N471,2,2)="WA",VLOOKUP(I470,KEY_RSD_AF!$C$5:$G$52,3,FALSE),IF(MID(N471,2,2)="HH",VLOOKUP(I470,KEY_RSD_AF!$C$5:$G$52,4,FALSE),IF(MID(N471,2,2)="WH",VLOOKUP(I470,KEY_RSD_AF!$C$5:$G$52,5,FALSE))))),IF(MID(N471,2,2)="HA",VLOOKUP(I471,KEY_RSD_AF!$C$5:$G$52,2,FALSE),IF(MID(N471,2,2)="WA",VLOOKUP(I471,KEY_RSD_AF!$C$5:$G$52,3,FALSE),IF(MID(N471,2,2)="HH",VLOOKUP(I471,KEY_RSD_AF!$C$5:$G$52,4,FALSE),IF(MID(N471,2,2)="WH",VLOOKUP(I471,KEY_RSD_AF!$C$5:$G$52,5,FALSE))))))</f>
        <v>1</v>
      </c>
      <c r="S471" s="183">
        <f>'RSD (DEA)'!AZ172</f>
        <v>3.45</v>
      </c>
      <c r="T471" s="183">
        <f>'RSD (DEA)'!BA172</f>
        <v>3.5</v>
      </c>
      <c r="U471" s="183">
        <v>0.5</v>
      </c>
      <c r="V471" s="182">
        <f>'RSD (DEA)'!BR172/'RSD (DEA)'!S172</f>
        <v>57.333333333333336</v>
      </c>
      <c r="W471" s="184">
        <f>'RSD (DEA)'!BS172/RSD_HeatingDemand!$AH$9</f>
        <v>0</v>
      </c>
      <c r="X471" s="183">
        <f>'RSD (DEA)'!BK172*RSD_HeatingDemand!$AH$10/'RSD (DEA)'!S172</f>
        <v>666.66666666666663</v>
      </c>
      <c r="Y471" s="182">
        <f>'RSD (DEA)'!BI172</f>
        <v>20</v>
      </c>
      <c r="Z471" s="252" t="str">
        <f>IF(ISBLANK(O471),"",IF(O471="ACT",1,-1))</f>
        <v/>
      </c>
      <c r="AA471" s="236">
        <f>'RSD (DEA)'!AM172</f>
        <v>31.536000000000001</v>
      </c>
      <c r="AC471" s="235">
        <f>'RSD (DEA)'!S172</f>
        <v>3</v>
      </c>
      <c r="AD471" s="235" t="str">
        <f>LEFT('RSD (DEA)'!AK172,2)&amp;RIGHT(E471,3)</f>
        <v>RWHSB</v>
      </c>
      <c r="AE471" s="183">
        <f>'RSD (DEA)'!BA172</f>
        <v>3.5</v>
      </c>
      <c r="AF471" s="183"/>
    </row>
    <row r="472" spans="1:32" x14ac:dyDescent="0.3">
      <c r="A472" s="235"/>
      <c r="D472" s="512"/>
      <c r="E472" s="512"/>
      <c r="F472" s="515"/>
      <c r="G472" s="515"/>
      <c r="H472" s="540"/>
      <c r="I472" s="512"/>
      <c r="J472" s="242"/>
      <c r="K472" s="242"/>
      <c r="L472" s="512"/>
      <c r="M472" s="182"/>
      <c r="N472" s="318" t="str">
        <f>AD471</f>
        <v>RWHSB</v>
      </c>
      <c r="O472" s="244"/>
      <c r="P472" s="182"/>
      <c r="Q472" s="182"/>
      <c r="R472" s="525">
        <f>IF(ISBLANK(I472),IF(MID(N472,2,2)="HA",VLOOKUP(I471,KEY_RSD_AF!$C$5:$G$52,2,FALSE),IF(MID(N472,2,2)="WA",VLOOKUP(I471,KEY_RSD_AF!$C$5:$G$52,3,FALSE),IF(MID(N472,2,2)="HH",VLOOKUP(I471,KEY_RSD_AF!$C$5:$G$52,4,FALSE),IF(MID(N472,2,2)="WH",VLOOKUP(I471,KEY_RSD_AF!$C$5:$G$52,5,FALSE))))),IF(MID(N472,2,2)="HA",VLOOKUP(I472,KEY_RSD_AF!$C$5:$G$52,2,FALSE),IF(MID(N472,2,2)="WA",VLOOKUP(I472,KEY_RSD_AF!$C$5:$G$52,3,FALSE),IF(MID(N472,2,2)="HH",VLOOKUP(I472,KEY_RSD_AF!$C$5:$G$52,4,FALSE),IF(MID(N472,2,2)="WH",VLOOKUP(I472,KEY_RSD_AF!$C$5:$G$52,5,FALSE))))))</f>
        <v>1</v>
      </c>
      <c r="S472" s="503">
        <f>T471</f>
        <v>3.5</v>
      </c>
      <c r="T472" s="183"/>
      <c r="U472" s="183"/>
      <c r="V472" s="182"/>
      <c r="W472" s="184"/>
      <c r="X472" s="183"/>
      <c r="Y472" s="182"/>
      <c r="Z472" s="252"/>
      <c r="AA472" s="236"/>
      <c r="AC472" s="235"/>
      <c r="AD472" s="235"/>
      <c r="AE472" s="183"/>
      <c r="AF472" s="183"/>
    </row>
    <row r="473" spans="1:32" x14ac:dyDescent="0.3">
      <c r="A473" s="244"/>
      <c r="D473" s="512"/>
      <c r="E473" s="513"/>
      <c r="F473" s="515"/>
      <c r="G473" s="515"/>
      <c r="H473" s="540"/>
      <c r="I473" s="513"/>
      <c r="J473" s="255"/>
      <c r="K473" s="255"/>
      <c r="L473" s="513"/>
      <c r="M473" s="252" t="str">
        <f>M471</f>
        <v>RSDAHT</v>
      </c>
      <c r="N473" s="244"/>
      <c r="O473" s="244" t="str">
        <f>$AH$12</f>
        <v>ACT</v>
      </c>
      <c r="P473" s="252"/>
      <c r="Q473" s="252"/>
      <c r="R473" s="525"/>
      <c r="S473" s="256"/>
      <c r="T473" s="256"/>
      <c r="U473" s="183"/>
      <c r="V473" s="252"/>
      <c r="W473" s="524"/>
      <c r="X473" s="256"/>
      <c r="Y473" s="252"/>
      <c r="Z473" s="252">
        <f>IF(ISBLANK(O473),"",IF(O473="ACT",1,-1))</f>
        <v>1</v>
      </c>
      <c r="AA473" s="257"/>
      <c r="AC473" s="244"/>
      <c r="AD473" s="244"/>
      <c r="AE473" s="256"/>
      <c r="AF473" s="256"/>
    </row>
    <row r="474" spans="1:32" x14ac:dyDescent="0.3">
      <c r="A474" s="244"/>
      <c r="D474" s="512"/>
      <c r="E474" s="513"/>
      <c r="F474" s="515"/>
      <c r="G474" s="515"/>
      <c r="H474" s="540"/>
      <c r="I474" s="513"/>
      <c r="J474" s="255"/>
      <c r="K474" s="255"/>
      <c r="L474" s="513"/>
      <c r="M474" s="252" t="str">
        <f>M473</f>
        <v>RSDAHT</v>
      </c>
      <c r="N474" s="244"/>
      <c r="O474" s="244" t="str">
        <f>L471</f>
        <v>RSDELC</v>
      </c>
      <c r="P474" s="252"/>
      <c r="Q474" s="252"/>
      <c r="R474" s="525"/>
      <c r="S474" s="256"/>
      <c r="T474" s="256"/>
      <c r="U474" s="183"/>
      <c r="V474" s="252"/>
      <c r="W474" s="524"/>
      <c r="X474" s="256"/>
      <c r="Y474" s="252"/>
      <c r="Z474" s="252">
        <f>IF(ISBLANK(O474),"",IF(O474="ACT",1,-1))</f>
        <v>-1</v>
      </c>
      <c r="AA474" s="257"/>
      <c r="AC474" s="244"/>
      <c r="AD474" s="244"/>
      <c r="AE474" s="256"/>
      <c r="AF474" s="256"/>
    </row>
    <row r="475" spans="1:32" x14ac:dyDescent="0.3">
      <c r="A475" s="235"/>
      <c r="C475" s="528" t="str">
        <f>'RSD (DEA)'!Z173</f>
        <v>HP_ELC_11</v>
      </c>
      <c r="D475" s="512" t="str">
        <f>RSD_HeatingDemand!N475&amp;"_"&amp;LEFT(C475,LEN(C475)-2)&amp;"11"</f>
        <v>RHHSB_HP_ELC_11</v>
      </c>
      <c r="E475" s="512" t="str">
        <f>"R"&amp;LEFT('RSD (DEA)'!AD173,2)&amp;IF(ISNUMBER(IFERROR(FIND("HTH",'RSD (DEA)'!Z173),IFERROR(FIND("HP",'RSD (DEA)'!Z173),"C"))),IF(IFERROR(FIND("HTH",'RSD (DEA)'!Z173),100)=100,"B","A"),"C")</f>
        <v>RHSB</v>
      </c>
      <c r="F475" s="515"/>
      <c r="G475" s="515"/>
      <c r="H475" s="540" t="str">
        <f t="shared" si="9"/>
        <v>RHHSB_HP_ELC_44</v>
      </c>
      <c r="I475" s="512" t="str">
        <f>'RSD (DEA)'!AA173</f>
        <v>Electric heat pumps, Ventilation</v>
      </c>
      <c r="J475" s="242" t="s">
        <v>239</v>
      </c>
      <c r="K475" s="242" t="s">
        <v>240</v>
      </c>
      <c r="L475" s="512" t="str">
        <f>'RSD (DEA)'!AH173</f>
        <v>RSDELC</v>
      </c>
      <c r="M475" s="182" t="str">
        <f>'RSD (DEA)'!AI173</f>
        <v>RSDAHT</v>
      </c>
      <c r="N475" s="235" t="str">
        <f>LEFT('RSD (DEA)'!AJ173,2)&amp;RIGHT(E475,3)</f>
        <v>RHHSB</v>
      </c>
      <c r="O475" s="244"/>
      <c r="P475" s="182">
        <f>IF('RSD (DEA)'!P173&lt;RSD_HeatingDemand!$AH$15,RSD_HeatingDemand!$AH$15,'RSD (DEA)'!P173)</f>
        <v>2019</v>
      </c>
      <c r="Q475" s="182">
        <f>IF('RSD (DEA)'!X173&lt;RSD_HeatingDemand!$AH$15,RSD_HeatingDemand!$AH$15,'RSD (DEA)'!X173)</f>
        <v>2050</v>
      </c>
      <c r="R475" s="525">
        <f>IF(ISBLANK(I475),IF(MID(N475,2,2)="HA",VLOOKUP(I474,KEY_RSD_AF!$C$5:$G$52,2,FALSE),IF(MID(N475,2,2)="WA",VLOOKUP(I474,KEY_RSD_AF!$C$5:$G$52,3,FALSE),IF(MID(N475,2,2)="HH",VLOOKUP(I474,KEY_RSD_AF!$C$5:$G$52,4,FALSE),IF(MID(N475,2,2)="WH",VLOOKUP(I474,KEY_RSD_AF!$C$5:$G$52,5,FALSE))))),IF(MID(N475,2,2)="HA",VLOOKUP(I475,KEY_RSD_AF!$C$5:$G$52,2,FALSE),IF(MID(N475,2,2)="WA",VLOOKUP(I475,KEY_RSD_AF!$C$5:$G$52,3,FALSE),IF(MID(N475,2,2)="HH",VLOOKUP(I475,KEY_RSD_AF!$C$5:$G$52,4,FALSE),IF(MID(N475,2,2)="WH",VLOOKUP(I475,KEY_RSD_AF!$C$5:$G$52,5,FALSE))))))</f>
        <v>1</v>
      </c>
      <c r="S475" s="183">
        <f>'RSD (DEA)'!AZ173</f>
        <v>3.65</v>
      </c>
      <c r="T475" s="183">
        <f>'RSD (DEA)'!BA173</f>
        <v>3.7</v>
      </c>
      <c r="U475" s="183">
        <v>0.5</v>
      </c>
      <c r="V475" s="182">
        <f>'RSD (DEA)'!BR173/'RSD (DEA)'!S173</f>
        <v>52.333333333333336</v>
      </c>
      <c r="W475" s="184">
        <f>'RSD (DEA)'!BS173/RSD_HeatingDemand!$AH$9</f>
        <v>0</v>
      </c>
      <c r="X475" s="183">
        <f>'RSD (DEA)'!BK173*RSD_HeatingDemand!$AH$10/'RSD (DEA)'!S173</f>
        <v>666.66666666666663</v>
      </c>
      <c r="Y475" s="182">
        <f>'RSD (DEA)'!BI173</f>
        <v>20</v>
      </c>
      <c r="Z475" s="252" t="str">
        <f>IF(ISBLANK(O475),"",IF(O475="ACT",1,-1))</f>
        <v/>
      </c>
      <c r="AA475" s="236">
        <f>'RSD (DEA)'!AM173</f>
        <v>31.536000000000001</v>
      </c>
      <c r="AC475" s="235">
        <f>'RSD (DEA)'!S173</f>
        <v>3</v>
      </c>
      <c r="AD475" s="235" t="str">
        <f>LEFT('RSD (DEA)'!AK173,2)&amp;RIGHT(E475,3)</f>
        <v>RWHSB</v>
      </c>
      <c r="AE475" s="183">
        <f>'RSD (DEA)'!BA173</f>
        <v>3.7</v>
      </c>
      <c r="AF475" s="183"/>
    </row>
    <row r="476" spans="1:32" x14ac:dyDescent="0.3">
      <c r="A476" s="235"/>
      <c r="D476" s="512"/>
      <c r="E476" s="512"/>
      <c r="F476" s="515"/>
      <c r="G476" s="515"/>
      <c r="H476" s="540"/>
      <c r="I476" s="512"/>
      <c r="J476" s="242"/>
      <c r="K476" s="242"/>
      <c r="L476" s="512"/>
      <c r="M476" s="182"/>
      <c r="N476" s="318" t="str">
        <f>AD475</f>
        <v>RWHSB</v>
      </c>
      <c r="O476" s="244"/>
      <c r="P476" s="182"/>
      <c r="Q476" s="182"/>
      <c r="R476" s="525">
        <f>IF(ISBLANK(I476),IF(MID(N476,2,2)="HA",VLOOKUP(I475,KEY_RSD_AF!$C$5:$G$52,2,FALSE),IF(MID(N476,2,2)="WA",VLOOKUP(I475,KEY_RSD_AF!$C$5:$G$52,3,FALSE),IF(MID(N476,2,2)="HH",VLOOKUP(I475,KEY_RSD_AF!$C$5:$G$52,4,FALSE),IF(MID(N476,2,2)="WH",VLOOKUP(I475,KEY_RSD_AF!$C$5:$G$52,5,FALSE))))),IF(MID(N476,2,2)="HA",VLOOKUP(I476,KEY_RSD_AF!$C$5:$G$52,2,FALSE),IF(MID(N476,2,2)="WA",VLOOKUP(I476,KEY_RSD_AF!$C$5:$G$52,3,FALSE),IF(MID(N476,2,2)="HH",VLOOKUP(I476,KEY_RSD_AF!$C$5:$G$52,4,FALSE),IF(MID(N476,2,2)="WH",VLOOKUP(I476,KEY_RSD_AF!$C$5:$G$52,5,FALSE))))))</f>
        <v>1</v>
      </c>
      <c r="S476" s="503">
        <f>T475</f>
        <v>3.7</v>
      </c>
      <c r="T476" s="183"/>
      <c r="U476" s="183"/>
      <c r="V476" s="182"/>
      <c r="W476" s="184"/>
      <c r="X476" s="183"/>
      <c r="Y476" s="182"/>
      <c r="Z476" s="252"/>
      <c r="AA476" s="236"/>
      <c r="AC476" s="235"/>
      <c r="AD476" s="235"/>
      <c r="AE476" s="183"/>
      <c r="AF476" s="183"/>
    </row>
    <row r="477" spans="1:32" x14ac:dyDescent="0.3">
      <c r="A477" s="244"/>
      <c r="D477" s="512"/>
      <c r="E477" s="513"/>
      <c r="F477" s="515"/>
      <c r="G477" s="515"/>
      <c r="H477" s="540"/>
      <c r="I477" s="513"/>
      <c r="J477" s="255"/>
      <c r="K477" s="255"/>
      <c r="L477" s="513"/>
      <c r="M477" s="252" t="str">
        <f>M475</f>
        <v>RSDAHT</v>
      </c>
      <c r="N477" s="244"/>
      <c r="O477" s="244" t="str">
        <f>$AH$12</f>
        <v>ACT</v>
      </c>
      <c r="P477" s="252"/>
      <c r="Q477" s="252"/>
      <c r="R477" s="525"/>
      <c r="S477" s="256"/>
      <c r="T477" s="256"/>
      <c r="U477" s="183"/>
      <c r="V477" s="252"/>
      <c r="W477" s="524"/>
      <c r="X477" s="256"/>
      <c r="Y477" s="252"/>
      <c r="Z477" s="252">
        <f>IF(ISBLANK(O477),"",IF(O477="ACT",1,-1))</f>
        <v>1</v>
      </c>
      <c r="AA477" s="257"/>
      <c r="AC477" s="244"/>
      <c r="AD477" s="244"/>
      <c r="AE477" s="256"/>
      <c r="AF477" s="256"/>
    </row>
    <row r="478" spans="1:32" x14ac:dyDescent="0.3">
      <c r="A478" s="244"/>
      <c r="D478" s="512"/>
      <c r="E478" s="513"/>
      <c r="F478" s="515"/>
      <c r="G478" s="515"/>
      <c r="H478" s="540"/>
      <c r="I478" s="513"/>
      <c r="J478" s="255"/>
      <c r="K478" s="255"/>
      <c r="L478" s="513"/>
      <c r="M478" s="252" t="str">
        <f>M477</f>
        <v>RSDAHT</v>
      </c>
      <c r="N478" s="244"/>
      <c r="O478" s="244" t="str">
        <f>L475</f>
        <v>RSDELC</v>
      </c>
      <c r="P478" s="252"/>
      <c r="Q478" s="252"/>
      <c r="R478" s="525"/>
      <c r="S478" s="256"/>
      <c r="T478" s="256"/>
      <c r="U478" s="183"/>
      <c r="V478" s="252"/>
      <c r="W478" s="524"/>
      <c r="X478" s="256"/>
      <c r="Y478" s="252"/>
      <c r="Z478" s="252">
        <f>IF(ISBLANK(O478),"",IF(O478="ACT",1,-1))</f>
        <v>-1</v>
      </c>
      <c r="AA478" s="257"/>
      <c r="AC478" s="244"/>
      <c r="AD478" s="244"/>
      <c r="AE478" s="256"/>
      <c r="AF478" s="256"/>
    </row>
    <row r="479" spans="1:32" x14ac:dyDescent="0.3">
      <c r="A479" s="235"/>
      <c r="C479" s="528" t="str">
        <f>'RSD (DEA)'!Z174</f>
        <v>HP_ELC_12</v>
      </c>
      <c r="D479" s="512" t="str">
        <f>RSD_HeatingDemand!N479&amp;"_"&amp;LEFT(C479,LEN(C479)-2)&amp;"09"</f>
        <v>RHAPB_HP_ELC_09</v>
      </c>
      <c r="E479" s="512" t="str">
        <f>"R"&amp;LEFT('RSD (DEA)'!AD174,2)&amp;IF(ISNUMBER(IFERROR(FIND("HTH",'RSD (DEA)'!Z174),IFERROR(FIND("HP",'RSD (DEA)'!Z174),"C"))),IF(IFERROR(FIND("HTH",'RSD (DEA)'!Z174),100)=100,"B","A"),"C")</f>
        <v>RAPB</v>
      </c>
      <c r="F479" s="515"/>
      <c r="G479" s="515"/>
      <c r="H479" s="540" t="str">
        <f>IF(LEFT(D479,LEN(D479)-2)=LEFT(D459,LEN(D479)-2),LEFT(D479,LEN(D479)-2)&amp;IF(RIGHT(H459,2)+1&lt;=9,"0"&amp;RIGHT(H459)+1,RIGHT(H459,2)+1),D479)</f>
        <v>RHAPB_HP_ELC_33</v>
      </c>
      <c r="I479" s="512" t="str">
        <f>'RSD (DEA)'!AA174</f>
        <v>Electric heat pumps, Ventilation</v>
      </c>
      <c r="J479" s="242" t="s">
        <v>239</v>
      </c>
      <c r="K479" s="242" t="s">
        <v>240</v>
      </c>
      <c r="L479" s="512" t="str">
        <f>'RSD (DEA)'!AH174</f>
        <v>RSDELC</v>
      </c>
      <c r="M479" s="182" t="str">
        <f>'RSD (DEA)'!AI174</f>
        <v>RSDAHT</v>
      </c>
      <c r="N479" s="235" t="str">
        <f>LEFT('RSD (DEA)'!AJ174,2)&amp;RIGHT(E479,3)</f>
        <v>RHAPB</v>
      </c>
      <c r="O479" s="244"/>
      <c r="P479" s="182">
        <f>IF('RSD (DEA)'!P174&lt;RSD_HeatingDemand!$AH$15,RSD_HeatingDemand!$AH$15,'RSD (DEA)'!P174)</f>
        <v>2019</v>
      </c>
      <c r="Q479" s="182">
        <f>IF('RSD (DEA)'!X174&lt;RSD_HeatingDemand!$AH$15,RSD_HeatingDemand!$AH$15,'RSD (DEA)'!X174)</f>
        <v>2019</v>
      </c>
      <c r="R479" s="525">
        <f>IF(ISBLANK(I479),IF(MID(N479,2,2)="HA",VLOOKUP(I478,KEY_RSD_AF!$C$5:$G$52,2,FALSE),IF(MID(N479,2,2)="WA",VLOOKUP(I478,KEY_RSD_AF!$C$5:$G$52,3,FALSE),IF(MID(N479,2,2)="HH",VLOOKUP(I478,KEY_RSD_AF!$C$5:$G$52,4,FALSE),IF(MID(N479,2,2)="WH",VLOOKUP(I478,KEY_RSD_AF!$C$5:$G$52,5,FALSE))))),IF(MID(N479,2,2)="HA",VLOOKUP(I479,KEY_RSD_AF!$C$5:$G$52,2,FALSE),IF(MID(N479,2,2)="WA",VLOOKUP(I479,KEY_RSD_AF!$C$5:$G$52,3,FALSE),IF(MID(N479,2,2)="HH",VLOOKUP(I479,KEY_RSD_AF!$C$5:$G$52,4,FALSE),IF(MID(N479,2,2)="WH",VLOOKUP(I479,KEY_RSD_AF!$C$5:$G$52,5,FALSE))))))</f>
        <v>1</v>
      </c>
      <c r="S479" s="183">
        <f>'RSD (DEA)'!AZ174</f>
        <v>5.3</v>
      </c>
      <c r="T479" s="183">
        <f>'RSD (DEA)'!BA174</f>
        <v>5.5</v>
      </c>
      <c r="U479" s="183">
        <v>0.5</v>
      </c>
      <c r="V479" s="182">
        <f>'RSD (DEA)'!BR174/'RSD (DEA)'!S174</f>
        <v>7.46875</v>
      </c>
      <c r="W479" s="184">
        <f>'RSD (DEA)'!BS174/RSD_HeatingDemand!$AH$9</f>
        <v>0.12291666666666666</v>
      </c>
      <c r="X479" s="183">
        <f>'RSD (DEA)'!BK174*RSD_HeatingDemand!$AH$10/'RSD (DEA)'!S174</f>
        <v>468.75</v>
      </c>
      <c r="Y479" s="182">
        <f>'RSD (DEA)'!BI174</f>
        <v>20</v>
      </c>
      <c r="Z479" s="252" t="str">
        <f>IF(ISBLANK(O479),"",IF(O479="ACT",1,-1))</f>
        <v/>
      </c>
      <c r="AA479" s="236">
        <f>'RSD (DEA)'!AM174</f>
        <v>31.536000000000001</v>
      </c>
      <c r="AC479" s="235">
        <f>'RSD (DEA)'!S174</f>
        <v>160</v>
      </c>
      <c r="AD479" s="235" t="str">
        <f>LEFT('RSD (DEA)'!AK174,2)&amp;RIGHT(E479,3)</f>
        <v>RWAPB</v>
      </c>
      <c r="AE479" s="183">
        <f>'RSD (DEA)'!BA174</f>
        <v>5.5</v>
      </c>
      <c r="AF479" s="183"/>
    </row>
    <row r="480" spans="1:32" x14ac:dyDescent="0.3">
      <c r="A480" s="235"/>
      <c r="D480" s="512"/>
      <c r="E480" s="512"/>
      <c r="F480" s="515"/>
      <c r="G480" s="515"/>
      <c r="H480" s="540"/>
      <c r="I480" s="512"/>
      <c r="J480" s="242"/>
      <c r="K480" s="242"/>
      <c r="L480" s="512"/>
      <c r="M480" s="182"/>
      <c r="N480" s="318" t="str">
        <f>AD479</f>
        <v>RWAPB</v>
      </c>
      <c r="O480" s="244"/>
      <c r="P480" s="182"/>
      <c r="Q480" s="182"/>
      <c r="R480" s="525">
        <f>IF(ISBLANK(I480),IF(MID(N480,2,2)="HA",VLOOKUP(I479,KEY_RSD_AF!$C$5:$G$52,2,FALSE),IF(MID(N480,2,2)="WA",VLOOKUP(I479,KEY_RSD_AF!$C$5:$G$52,3,FALSE),IF(MID(N480,2,2)="HH",VLOOKUP(I479,KEY_RSD_AF!$C$5:$G$52,4,FALSE),IF(MID(N480,2,2)="WH",VLOOKUP(I479,KEY_RSD_AF!$C$5:$G$52,5,FALSE))))),IF(MID(N480,2,2)="HA",VLOOKUP(I480,KEY_RSD_AF!$C$5:$G$52,2,FALSE),IF(MID(N480,2,2)="WA",VLOOKUP(I480,KEY_RSD_AF!$C$5:$G$52,3,FALSE),IF(MID(N480,2,2)="HH",VLOOKUP(I480,KEY_RSD_AF!$C$5:$G$52,4,FALSE),IF(MID(N480,2,2)="WH",VLOOKUP(I480,KEY_RSD_AF!$C$5:$G$52,5,FALSE))))))</f>
        <v>1</v>
      </c>
      <c r="S480" s="503">
        <f>T479</f>
        <v>5.5</v>
      </c>
      <c r="T480" s="183"/>
      <c r="U480" s="183"/>
      <c r="V480" s="182"/>
      <c r="W480" s="184"/>
      <c r="X480" s="183"/>
      <c r="Y480" s="182"/>
      <c r="Z480" s="252"/>
      <c r="AA480" s="236"/>
      <c r="AC480" s="235"/>
      <c r="AD480" s="235"/>
      <c r="AE480" s="183"/>
      <c r="AF480" s="183"/>
    </row>
    <row r="481" spans="1:32" x14ac:dyDescent="0.3">
      <c r="A481" s="244"/>
      <c r="D481" s="512"/>
      <c r="E481" s="513"/>
      <c r="F481" s="515"/>
      <c r="G481" s="515"/>
      <c r="H481" s="540"/>
      <c r="I481" s="513"/>
      <c r="J481" s="255"/>
      <c r="K481" s="255"/>
      <c r="L481" s="513"/>
      <c r="M481" s="252" t="str">
        <f>M479</f>
        <v>RSDAHT</v>
      </c>
      <c r="N481" s="244"/>
      <c r="O481" s="244" t="str">
        <f>$AH$12</f>
        <v>ACT</v>
      </c>
      <c r="P481" s="252"/>
      <c r="Q481" s="252"/>
      <c r="R481" s="525"/>
      <c r="S481" s="256"/>
      <c r="T481" s="256"/>
      <c r="U481" s="183"/>
      <c r="V481" s="252"/>
      <c r="W481" s="524"/>
      <c r="X481" s="256"/>
      <c r="Y481" s="252"/>
      <c r="Z481" s="252">
        <f>IF(ISBLANK(O481),"",IF(O481="ACT",1,-1))</f>
        <v>1</v>
      </c>
      <c r="AA481" s="257"/>
      <c r="AC481" s="244"/>
      <c r="AD481" s="244"/>
      <c r="AE481" s="256"/>
      <c r="AF481" s="256"/>
    </row>
    <row r="482" spans="1:32" x14ac:dyDescent="0.3">
      <c r="A482" s="244"/>
      <c r="D482" s="512"/>
      <c r="E482" s="513"/>
      <c r="F482" s="515"/>
      <c r="G482" s="515"/>
      <c r="H482" s="540"/>
      <c r="I482" s="513"/>
      <c r="J482" s="255"/>
      <c r="K482" s="255"/>
      <c r="L482" s="513"/>
      <c r="M482" s="252" t="str">
        <f>M481</f>
        <v>RSDAHT</v>
      </c>
      <c r="N482" s="244"/>
      <c r="O482" s="244" t="str">
        <f>L479</f>
        <v>RSDELC</v>
      </c>
      <c r="P482" s="252"/>
      <c r="Q482" s="252"/>
      <c r="R482" s="525"/>
      <c r="S482" s="256"/>
      <c r="T482" s="256"/>
      <c r="U482" s="183"/>
      <c r="V482" s="252"/>
      <c r="W482" s="524"/>
      <c r="X482" s="256"/>
      <c r="Y482" s="252"/>
      <c r="Z482" s="252">
        <f>IF(ISBLANK(O482),"",IF(O482="ACT",1,-1))</f>
        <v>-1</v>
      </c>
      <c r="AA482" s="257"/>
      <c r="AC482" s="244"/>
      <c r="AD482" s="244"/>
      <c r="AE482" s="256"/>
      <c r="AF482" s="256"/>
    </row>
    <row r="483" spans="1:32" x14ac:dyDescent="0.3">
      <c r="A483" s="235"/>
      <c r="C483" s="528" t="str">
        <f>'RSD (DEA)'!Z175</f>
        <v>HP_ELC_12</v>
      </c>
      <c r="D483" s="512" t="str">
        <f>RSD_HeatingDemand!N483&amp;"_"&amp;LEFT(C483,LEN(C483)-2)&amp;"09"</f>
        <v>RHAPB_HP_ELC_09</v>
      </c>
      <c r="E483" s="512" t="str">
        <f>"R"&amp;LEFT('RSD (DEA)'!AD175,2)&amp;IF(ISNUMBER(IFERROR(FIND("HTH",'RSD (DEA)'!Z175),IFERROR(FIND("HP",'RSD (DEA)'!Z175),"C"))),IF(IFERROR(FIND("HTH",'RSD (DEA)'!Z175),100)=100,"B","A"),"C")</f>
        <v>RAPB</v>
      </c>
      <c r="F483" s="515"/>
      <c r="G483" s="515"/>
      <c r="H483" s="540" t="str">
        <f t="shared" ref="H483:H539" si="10">IF(LEFT(D483,LEN(D483)-2)=LEFT(D479,LEN(D483)-2),LEFT(D483,LEN(D483)-2)&amp;IF(RIGHT(H479,2)+1&lt;=9,"0"&amp;RIGHT(H479)+1,RIGHT(H479,2)+1),D483)</f>
        <v>RHAPB_HP_ELC_34</v>
      </c>
      <c r="I483" s="512" t="str">
        <f>'RSD (DEA)'!AA175</f>
        <v>Electric heat pumps, Ventilation</v>
      </c>
      <c r="J483" s="242" t="s">
        <v>239</v>
      </c>
      <c r="K483" s="242" t="s">
        <v>240</v>
      </c>
      <c r="L483" s="512" t="str">
        <f>'RSD (DEA)'!AH175</f>
        <v>RSDELC</v>
      </c>
      <c r="M483" s="182" t="str">
        <f>'RSD (DEA)'!AI175</f>
        <v>RSDAHT</v>
      </c>
      <c r="N483" s="235" t="str">
        <f>LEFT('RSD (DEA)'!AJ175,2)&amp;RIGHT(E483,3)</f>
        <v>RHAPB</v>
      </c>
      <c r="O483" s="244"/>
      <c r="P483" s="182">
        <f>IF('RSD (DEA)'!P175&lt;RSD_HeatingDemand!$AH$15,RSD_HeatingDemand!$AH$15,'RSD (DEA)'!P175)</f>
        <v>2019</v>
      </c>
      <c r="Q483" s="182">
        <f>IF('RSD (DEA)'!X175&lt;RSD_HeatingDemand!$AH$15,RSD_HeatingDemand!$AH$15,'RSD (DEA)'!X175)</f>
        <v>2020</v>
      </c>
      <c r="R483" s="525">
        <f>IF(ISBLANK(I483),IF(MID(N483,2,2)="HA",VLOOKUP(I482,KEY_RSD_AF!$C$5:$G$52,2,FALSE),IF(MID(N483,2,2)="WA",VLOOKUP(I482,KEY_RSD_AF!$C$5:$G$52,3,FALSE),IF(MID(N483,2,2)="HH",VLOOKUP(I482,KEY_RSD_AF!$C$5:$G$52,4,FALSE),IF(MID(N483,2,2)="WH",VLOOKUP(I482,KEY_RSD_AF!$C$5:$G$52,5,FALSE))))),IF(MID(N483,2,2)="HA",VLOOKUP(I483,KEY_RSD_AF!$C$5:$G$52,2,FALSE),IF(MID(N483,2,2)="WA",VLOOKUP(I483,KEY_RSD_AF!$C$5:$G$52,3,FALSE),IF(MID(N483,2,2)="HH",VLOOKUP(I483,KEY_RSD_AF!$C$5:$G$52,4,FALSE),IF(MID(N483,2,2)="WH",VLOOKUP(I483,KEY_RSD_AF!$C$5:$G$52,5,FALSE))))))</f>
        <v>1</v>
      </c>
      <c r="S483" s="183">
        <f>'RSD (DEA)'!AZ175</f>
        <v>5.4</v>
      </c>
      <c r="T483" s="183">
        <f>'RSD (DEA)'!BA175</f>
        <v>5.6</v>
      </c>
      <c r="U483" s="183">
        <v>0.5</v>
      </c>
      <c r="V483" s="182">
        <f>'RSD (DEA)'!BR175/'RSD (DEA)'!S175</f>
        <v>7.1875</v>
      </c>
      <c r="W483" s="184">
        <f>'RSD (DEA)'!BS175/RSD_HeatingDemand!$AH$9</f>
        <v>0.12291666666666666</v>
      </c>
      <c r="X483" s="183">
        <f>'RSD (DEA)'!BK175*RSD_HeatingDemand!$AH$10/'RSD (DEA)'!S175</f>
        <v>443.75</v>
      </c>
      <c r="Y483" s="182">
        <f>'RSD (DEA)'!BI175</f>
        <v>20</v>
      </c>
      <c r="Z483" s="252" t="str">
        <f>IF(ISBLANK(O483),"",IF(O483="ACT",1,-1))</f>
        <v/>
      </c>
      <c r="AA483" s="236">
        <f>'RSD (DEA)'!AM175</f>
        <v>31.536000000000001</v>
      </c>
      <c r="AC483" s="235">
        <f>'RSD (DEA)'!S175</f>
        <v>160</v>
      </c>
      <c r="AD483" s="235" t="str">
        <f>LEFT('RSD (DEA)'!AK175,2)&amp;RIGHT(E483,3)</f>
        <v>RWAPB</v>
      </c>
      <c r="AE483" s="183">
        <f>'RSD (DEA)'!BA175</f>
        <v>5.6</v>
      </c>
      <c r="AF483" s="183"/>
    </row>
    <row r="484" spans="1:32" x14ac:dyDescent="0.3">
      <c r="A484" s="235"/>
      <c r="D484" s="512"/>
      <c r="E484" s="512"/>
      <c r="F484" s="515"/>
      <c r="G484" s="515"/>
      <c r="H484" s="540"/>
      <c r="I484" s="512"/>
      <c r="J484" s="242"/>
      <c r="K484" s="242"/>
      <c r="L484" s="512"/>
      <c r="M484" s="182"/>
      <c r="N484" s="318" t="str">
        <f>AD483</f>
        <v>RWAPB</v>
      </c>
      <c r="O484" s="244"/>
      <c r="P484" s="182"/>
      <c r="Q484" s="182"/>
      <c r="R484" s="525">
        <f>IF(ISBLANK(I484),IF(MID(N484,2,2)="HA",VLOOKUP(I483,KEY_RSD_AF!$C$5:$G$52,2,FALSE),IF(MID(N484,2,2)="WA",VLOOKUP(I483,KEY_RSD_AF!$C$5:$G$52,3,FALSE),IF(MID(N484,2,2)="HH",VLOOKUP(I483,KEY_RSD_AF!$C$5:$G$52,4,FALSE),IF(MID(N484,2,2)="WH",VLOOKUP(I483,KEY_RSD_AF!$C$5:$G$52,5,FALSE))))),IF(MID(N484,2,2)="HA",VLOOKUP(I484,KEY_RSD_AF!$C$5:$G$52,2,FALSE),IF(MID(N484,2,2)="WA",VLOOKUP(I484,KEY_RSD_AF!$C$5:$G$52,3,FALSE),IF(MID(N484,2,2)="HH",VLOOKUP(I484,KEY_RSD_AF!$C$5:$G$52,4,FALSE),IF(MID(N484,2,2)="WH",VLOOKUP(I484,KEY_RSD_AF!$C$5:$G$52,5,FALSE))))))</f>
        <v>1</v>
      </c>
      <c r="S484" s="503">
        <f>T483</f>
        <v>5.6</v>
      </c>
      <c r="T484" s="183"/>
      <c r="U484" s="183"/>
      <c r="V484" s="182"/>
      <c r="W484" s="184"/>
      <c r="X484" s="183"/>
      <c r="Y484" s="182"/>
      <c r="Z484" s="252"/>
      <c r="AA484" s="236"/>
      <c r="AC484" s="235"/>
      <c r="AD484" s="235"/>
      <c r="AE484" s="183"/>
      <c r="AF484" s="183"/>
    </row>
    <row r="485" spans="1:32" x14ac:dyDescent="0.3">
      <c r="A485" s="244"/>
      <c r="D485" s="512"/>
      <c r="E485" s="513"/>
      <c r="F485" s="515"/>
      <c r="G485" s="515"/>
      <c r="H485" s="540"/>
      <c r="I485" s="513"/>
      <c r="J485" s="255"/>
      <c r="K485" s="255"/>
      <c r="L485" s="513"/>
      <c r="M485" s="252" t="str">
        <f>M483</f>
        <v>RSDAHT</v>
      </c>
      <c r="N485" s="244"/>
      <c r="O485" s="244" t="str">
        <f>$AH$12</f>
        <v>ACT</v>
      </c>
      <c r="P485" s="252"/>
      <c r="Q485" s="252"/>
      <c r="R485" s="525"/>
      <c r="S485" s="256"/>
      <c r="T485" s="256"/>
      <c r="U485" s="183"/>
      <c r="V485" s="252"/>
      <c r="W485" s="524"/>
      <c r="X485" s="256"/>
      <c r="Y485" s="252"/>
      <c r="Z485" s="252">
        <f>IF(ISBLANK(O485),"",IF(O485="ACT",1,-1))</f>
        <v>1</v>
      </c>
      <c r="AA485" s="257"/>
      <c r="AC485" s="244"/>
      <c r="AD485" s="244"/>
      <c r="AE485" s="256"/>
      <c r="AF485" s="256"/>
    </row>
    <row r="486" spans="1:32" x14ac:dyDescent="0.3">
      <c r="A486" s="244"/>
      <c r="D486" s="512"/>
      <c r="E486" s="513"/>
      <c r="F486" s="515"/>
      <c r="G486" s="515"/>
      <c r="H486" s="540"/>
      <c r="I486" s="513"/>
      <c r="J486" s="255"/>
      <c r="K486" s="255"/>
      <c r="L486" s="513"/>
      <c r="M486" s="252" t="str">
        <f>M485</f>
        <v>RSDAHT</v>
      </c>
      <c r="N486" s="244"/>
      <c r="O486" s="244" t="str">
        <f>L483</f>
        <v>RSDELC</v>
      </c>
      <c r="P486" s="252"/>
      <c r="Q486" s="252"/>
      <c r="R486" s="525"/>
      <c r="S486" s="256"/>
      <c r="T486" s="256"/>
      <c r="U486" s="183"/>
      <c r="V486" s="252"/>
      <c r="W486" s="524"/>
      <c r="X486" s="256"/>
      <c r="Y486" s="252"/>
      <c r="Z486" s="252">
        <f>IF(ISBLANK(O486),"",IF(O486="ACT",1,-1))</f>
        <v>-1</v>
      </c>
      <c r="AA486" s="257"/>
      <c r="AC486" s="244"/>
      <c r="AD486" s="244"/>
      <c r="AE486" s="256"/>
      <c r="AF486" s="256"/>
    </row>
    <row r="487" spans="1:32" x14ac:dyDescent="0.3">
      <c r="A487" s="235"/>
      <c r="C487" s="528" t="str">
        <f>'RSD (DEA)'!Z176</f>
        <v>HP_ELC_12</v>
      </c>
      <c r="D487" s="512" t="str">
        <f>RSD_HeatingDemand!N487&amp;"_"&amp;LEFT(C487,LEN(C487)-2)&amp;"09"</f>
        <v>RHAPB_HP_ELC_09</v>
      </c>
      <c r="E487" s="512" t="str">
        <f>"R"&amp;LEFT('RSD (DEA)'!AD176,2)&amp;IF(ISNUMBER(IFERROR(FIND("HTH",'RSD (DEA)'!Z176),IFERROR(FIND("HP",'RSD (DEA)'!Z176),"C"))),IF(IFERROR(FIND("HTH",'RSD (DEA)'!Z176),100)=100,"B","A"),"C")</f>
        <v>RAPB</v>
      </c>
      <c r="F487" s="515"/>
      <c r="G487" s="515"/>
      <c r="H487" s="540" t="str">
        <f t="shared" si="10"/>
        <v>RHAPB_HP_ELC_35</v>
      </c>
      <c r="I487" s="512" t="str">
        <f>'RSD (DEA)'!AA176</f>
        <v>Electric heat pumps, Ventilation</v>
      </c>
      <c r="J487" s="242" t="s">
        <v>239</v>
      </c>
      <c r="K487" s="242" t="s">
        <v>240</v>
      </c>
      <c r="L487" s="512" t="str">
        <f>'RSD (DEA)'!AH176</f>
        <v>RSDELC</v>
      </c>
      <c r="M487" s="182" t="str">
        <f>'RSD (DEA)'!AI176</f>
        <v>RSDAHT</v>
      </c>
      <c r="N487" s="235" t="str">
        <f>LEFT('RSD (DEA)'!AJ176,2)&amp;RIGHT(E487,3)</f>
        <v>RHAPB</v>
      </c>
      <c r="O487" s="244"/>
      <c r="P487" s="182">
        <f>IF('RSD (DEA)'!P176&lt;RSD_HeatingDemand!$AH$15,RSD_HeatingDemand!$AH$15,'RSD (DEA)'!P176)</f>
        <v>2019</v>
      </c>
      <c r="Q487" s="182">
        <f>IF('RSD (DEA)'!X176&lt;RSD_HeatingDemand!$AH$15,RSD_HeatingDemand!$AH$15,'RSD (DEA)'!X176)</f>
        <v>2030</v>
      </c>
      <c r="R487" s="525">
        <f>IF(ISBLANK(I487),IF(MID(N487,2,2)="HA",VLOOKUP(I486,KEY_RSD_AF!$C$5:$G$52,2,FALSE),IF(MID(N487,2,2)="WA",VLOOKUP(I486,KEY_RSD_AF!$C$5:$G$52,3,FALSE),IF(MID(N487,2,2)="HH",VLOOKUP(I486,KEY_RSD_AF!$C$5:$G$52,4,FALSE),IF(MID(N487,2,2)="WH",VLOOKUP(I486,KEY_RSD_AF!$C$5:$G$52,5,FALSE))))),IF(MID(N487,2,2)="HA",VLOOKUP(I487,KEY_RSD_AF!$C$5:$G$52,2,FALSE),IF(MID(N487,2,2)="WA",VLOOKUP(I487,KEY_RSD_AF!$C$5:$G$52,3,FALSE),IF(MID(N487,2,2)="HH",VLOOKUP(I487,KEY_RSD_AF!$C$5:$G$52,4,FALSE),IF(MID(N487,2,2)="WH",VLOOKUP(I487,KEY_RSD_AF!$C$5:$G$52,5,FALSE))))))</f>
        <v>1</v>
      </c>
      <c r="S487" s="183">
        <f>'RSD (DEA)'!AZ176</f>
        <v>5.5</v>
      </c>
      <c r="T487" s="183">
        <f>'RSD (DEA)'!BA176</f>
        <v>5.7</v>
      </c>
      <c r="U487" s="183">
        <v>0.5</v>
      </c>
      <c r="V487" s="182">
        <f>'RSD (DEA)'!BR176/'RSD (DEA)'!S176</f>
        <v>7.1937499999999996</v>
      </c>
      <c r="W487" s="184">
        <f>'RSD (DEA)'!BS176/RSD_HeatingDemand!$AH$9</f>
        <v>0.12291666666666666</v>
      </c>
      <c r="X487" s="183">
        <f>'RSD (DEA)'!BK176*RSD_HeatingDemand!$AH$10/'RSD (DEA)'!S176</f>
        <v>393.75</v>
      </c>
      <c r="Y487" s="182">
        <f>'RSD (DEA)'!BI176</f>
        <v>20</v>
      </c>
      <c r="Z487" s="252" t="str">
        <f>IF(ISBLANK(O487),"",IF(O487="ACT",1,-1))</f>
        <v/>
      </c>
      <c r="AA487" s="236">
        <f>'RSD (DEA)'!AM176</f>
        <v>31.536000000000001</v>
      </c>
      <c r="AC487" s="235">
        <f>'RSD (DEA)'!S176</f>
        <v>160</v>
      </c>
      <c r="AD487" s="235" t="str">
        <f>LEFT('RSD (DEA)'!AK176,2)&amp;RIGHT(E487,3)</f>
        <v>RWAPB</v>
      </c>
      <c r="AE487" s="183">
        <f>'RSD (DEA)'!BA176</f>
        <v>5.7</v>
      </c>
      <c r="AF487" s="183"/>
    </row>
    <row r="488" spans="1:32" x14ac:dyDescent="0.3">
      <c r="A488" s="235"/>
      <c r="D488" s="512"/>
      <c r="E488" s="512"/>
      <c r="F488" s="515"/>
      <c r="G488" s="515"/>
      <c r="H488" s="540"/>
      <c r="I488" s="512"/>
      <c r="J488" s="242"/>
      <c r="K488" s="242"/>
      <c r="L488" s="512"/>
      <c r="M488" s="182"/>
      <c r="N488" s="318" t="str">
        <f>AD487</f>
        <v>RWAPB</v>
      </c>
      <c r="O488" s="244"/>
      <c r="P488" s="182"/>
      <c r="Q488" s="182"/>
      <c r="R488" s="525">
        <f>IF(ISBLANK(I488),IF(MID(N488,2,2)="HA",VLOOKUP(I487,KEY_RSD_AF!$C$5:$G$52,2,FALSE),IF(MID(N488,2,2)="WA",VLOOKUP(I487,KEY_RSD_AF!$C$5:$G$52,3,FALSE),IF(MID(N488,2,2)="HH",VLOOKUP(I487,KEY_RSD_AF!$C$5:$G$52,4,FALSE),IF(MID(N488,2,2)="WH",VLOOKUP(I487,KEY_RSD_AF!$C$5:$G$52,5,FALSE))))),IF(MID(N488,2,2)="HA",VLOOKUP(I488,KEY_RSD_AF!$C$5:$G$52,2,FALSE),IF(MID(N488,2,2)="WA",VLOOKUP(I488,KEY_RSD_AF!$C$5:$G$52,3,FALSE),IF(MID(N488,2,2)="HH",VLOOKUP(I488,KEY_RSD_AF!$C$5:$G$52,4,FALSE),IF(MID(N488,2,2)="WH",VLOOKUP(I488,KEY_RSD_AF!$C$5:$G$52,5,FALSE))))))</f>
        <v>1</v>
      </c>
      <c r="S488" s="503">
        <f>T487</f>
        <v>5.7</v>
      </c>
      <c r="T488" s="183"/>
      <c r="U488" s="183"/>
      <c r="V488" s="182"/>
      <c r="W488" s="184"/>
      <c r="X488" s="183"/>
      <c r="Y488" s="182"/>
      <c r="Z488" s="252"/>
      <c r="AA488" s="236"/>
      <c r="AC488" s="235"/>
      <c r="AD488" s="235"/>
      <c r="AE488" s="183"/>
      <c r="AF488" s="183"/>
    </row>
    <row r="489" spans="1:32" x14ac:dyDescent="0.3">
      <c r="A489" s="244"/>
      <c r="D489" s="512"/>
      <c r="E489" s="513"/>
      <c r="F489" s="515"/>
      <c r="G489" s="515"/>
      <c r="H489" s="540"/>
      <c r="I489" s="513"/>
      <c r="J489" s="255"/>
      <c r="K489" s="255"/>
      <c r="L489" s="513"/>
      <c r="M489" s="252" t="str">
        <f>M487</f>
        <v>RSDAHT</v>
      </c>
      <c r="N489" s="244"/>
      <c r="O489" s="244" t="str">
        <f>$AH$12</f>
        <v>ACT</v>
      </c>
      <c r="P489" s="252"/>
      <c r="Q489" s="252"/>
      <c r="R489" s="525"/>
      <c r="S489" s="256"/>
      <c r="T489" s="256"/>
      <c r="U489" s="183"/>
      <c r="V489" s="252"/>
      <c r="W489" s="524"/>
      <c r="X489" s="256"/>
      <c r="Y489" s="252"/>
      <c r="Z489" s="252">
        <f>IF(ISBLANK(O489),"",IF(O489="ACT",1,-1))</f>
        <v>1</v>
      </c>
      <c r="AA489" s="257"/>
      <c r="AC489" s="244"/>
      <c r="AD489" s="244"/>
      <c r="AE489" s="256"/>
      <c r="AF489" s="256"/>
    </row>
    <row r="490" spans="1:32" x14ac:dyDescent="0.3">
      <c r="A490" s="244"/>
      <c r="D490" s="512"/>
      <c r="E490" s="513"/>
      <c r="F490" s="515"/>
      <c r="G490" s="515"/>
      <c r="H490" s="540"/>
      <c r="I490" s="513"/>
      <c r="J490" s="255"/>
      <c r="K490" s="255"/>
      <c r="L490" s="513"/>
      <c r="M490" s="252" t="str">
        <f>M489</f>
        <v>RSDAHT</v>
      </c>
      <c r="N490" s="244"/>
      <c r="O490" s="244" t="str">
        <f>L487</f>
        <v>RSDELC</v>
      </c>
      <c r="P490" s="252"/>
      <c r="Q490" s="252"/>
      <c r="R490" s="525"/>
      <c r="S490" s="256"/>
      <c r="T490" s="256"/>
      <c r="U490" s="183"/>
      <c r="V490" s="252"/>
      <c r="W490" s="524"/>
      <c r="X490" s="256"/>
      <c r="Y490" s="252"/>
      <c r="Z490" s="252">
        <f>IF(ISBLANK(O490),"",IF(O490="ACT",1,-1))</f>
        <v>-1</v>
      </c>
      <c r="AA490" s="257"/>
      <c r="AC490" s="244"/>
      <c r="AD490" s="244"/>
      <c r="AE490" s="256"/>
      <c r="AF490" s="256"/>
    </row>
    <row r="491" spans="1:32" x14ac:dyDescent="0.3">
      <c r="A491" s="235"/>
      <c r="C491" s="528" t="str">
        <f>'RSD (DEA)'!Z177</f>
        <v>HP_ELC_12</v>
      </c>
      <c r="D491" s="512" t="str">
        <f>RSD_HeatingDemand!N491&amp;"_"&amp;LEFT(C491,LEN(C491)-2)&amp;"09"</f>
        <v>RHAPB_HP_ELC_09</v>
      </c>
      <c r="E491" s="512" t="str">
        <f>"R"&amp;LEFT('RSD (DEA)'!AD177,2)&amp;IF(ISNUMBER(IFERROR(FIND("HTH",'RSD (DEA)'!Z177),IFERROR(FIND("HP",'RSD (DEA)'!Z177),"C"))),IF(IFERROR(FIND("HTH",'RSD (DEA)'!Z177),100)=100,"B","A"),"C")</f>
        <v>RAPB</v>
      </c>
      <c r="F491" s="515"/>
      <c r="G491" s="515"/>
      <c r="H491" s="540" t="str">
        <f t="shared" si="10"/>
        <v>RHAPB_HP_ELC_36</v>
      </c>
      <c r="I491" s="512" t="str">
        <f>'RSD (DEA)'!AA177</f>
        <v>Electric heat pumps, Ventilation</v>
      </c>
      <c r="J491" s="242" t="s">
        <v>239</v>
      </c>
      <c r="K491" s="242" t="s">
        <v>240</v>
      </c>
      <c r="L491" s="512" t="str">
        <f>'RSD (DEA)'!AH177</f>
        <v>RSDELC</v>
      </c>
      <c r="M491" s="182" t="str">
        <f>'RSD (DEA)'!AI177</f>
        <v>RSDAHT</v>
      </c>
      <c r="N491" s="235" t="str">
        <f>LEFT('RSD (DEA)'!AJ177,2)&amp;RIGHT(E491,3)</f>
        <v>RHAPB</v>
      </c>
      <c r="O491" s="244"/>
      <c r="P491" s="182">
        <f>IF('RSD (DEA)'!P177&lt;RSD_HeatingDemand!$AH$15,RSD_HeatingDemand!$AH$15,'RSD (DEA)'!P177)</f>
        <v>2019</v>
      </c>
      <c r="Q491" s="182">
        <f>IF('RSD (DEA)'!X177&lt;RSD_HeatingDemand!$AH$15,RSD_HeatingDemand!$AH$15,'RSD (DEA)'!X177)</f>
        <v>2050</v>
      </c>
      <c r="R491" s="525">
        <f>IF(ISBLANK(I491),IF(MID(N491,2,2)="HA",VLOOKUP(I490,KEY_RSD_AF!$C$5:$G$52,2,FALSE),IF(MID(N491,2,2)="WA",VLOOKUP(I490,KEY_RSD_AF!$C$5:$G$52,3,FALSE),IF(MID(N491,2,2)="HH",VLOOKUP(I490,KEY_RSD_AF!$C$5:$G$52,4,FALSE),IF(MID(N491,2,2)="WH",VLOOKUP(I490,KEY_RSD_AF!$C$5:$G$52,5,FALSE))))),IF(MID(N491,2,2)="HA",VLOOKUP(I491,KEY_RSD_AF!$C$5:$G$52,2,FALSE),IF(MID(N491,2,2)="WA",VLOOKUP(I491,KEY_RSD_AF!$C$5:$G$52,3,FALSE),IF(MID(N491,2,2)="HH",VLOOKUP(I491,KEY_RSD_AF!$C$5:$G$52,4,FALSE),IF(MID(N491,2,2)="WH",VLOOKUP(I491,KEY_RSD_AF!$C$5:$G$52,5,FALSE))))))</f>
        <v>1</v>
      </c>
      <c r="S491" s="183">
        <f>'RSD (DEA)'!AZ177</f>
        <v>5.7</v>
      </c>
      <c r="T491" s="183">
        <f>'RSD (DEA)'!BA177</f>
        <v>5.9</v>
      </c>
      <c r="U491" s="183">
        <v>0.5</v>
      </c>
      <c r="V491" s="182">
        <f>'RSD (DEA)'!BR177/'RSD (DEA)'!S177</f>
        <v>7.85</v>
      </c>
      <c r="W491" s="184">
        <f>'RSD (DEA)'!BS177/RSD_HeatingDemand!$AH$9</f>
        <v>0.12291666666666666</v>
      </c>
      <c r="X491" s="183">
        <f>'RSD (DEA)'!BK177*RSD_HeatingDemand!$AH$10/'RSD (DEA)'!S177</f>
        <v>356.25</v>
      </c>
      <c r="Y491" s="182">
        <f>'RSD (DEA)'!BI177</f>
        <v>20</v>
      </c>
      <c r="Z491" s="252" t="str">
        <f>IF(ISBLANK(O491),"",IF(O491="ACT",1,-1))</f>
        <v/>
      </c>
      <c r="AA491" s="236">
        <f>'RSD (DEA)'!AM177</f>
        <v>31.536000000000001</v>
      </c>
      <c r="AC491" s="235">
        <f>'RSD (DEA)'!S177</f>
        <v>160</v>
      </c>
      <c r="AD491" s="235" t="str">
        <f>LEFT('RSD (DEA)'!AK177,2)&amp;RIGHT(E491,3)</f>
        <v>RWAPB</v>
      </c>
      <c r="AE491" s="183">
        <f>'RSD (DEA)'!BA177</f>
        <v>5.9</v>
      </c>
      <c r="AF491" s="183"/>
    </row>
    <row r="492" spans="1:32" x14ac:dyDescent="0.3">
      <c r="A492" s="235"/>
      <c r="D492" s="512"/>
      <c r="E492" s="512"/>
      <c r="F492" s="515"/>
      <c r="G492" s="515"/>
      <c r="H492" s="540"/>
      <c r="I492" s="512"/>
      <c r="J492" s="242"/>
      <c r="K492" s="242"/>
      <c r="L492" s="512"/>
      <c r="M492" s="182"/>
      <c r="N492" s="318" t="str">
        <f>AD491</f>
        <v>RWAPB</v>
      </c>
      <c r="O492" s="244"/>
      <c r="P492" s="182"/>
      <c r="Q492" s="182"/>
      <c r="R492" s="525">
        <f>IF(ISBLANK(I492),IF(MID(N492,2,2)="HA",VLOOKUP(I491,KEY_RSD_AF!$C$5:$G$52,2,FALSE),IF(MID(N492,2,2)="WA",VLOOKUP(I491,KEY_RSD_AF!$C$5:$G$52,3,FALSE),IF(MID(N492,2,2)="HH",VLOOKUP(I491,KEY_RSD_AF!$C$5:$G$52,4,FALSE),IF(MID(N492,2,2)="WH",VLOOKUP(I491,KEY_RSD_AF!$C$5:$G$52,5,FALSE))))),IF(MID(N492,2,2)="HA",VLOOKUP(I492,KEY_RSD_AF!$C$5:$G$52,2,FALSE),IF(MID(N492,2,2)="WA",VLOOKUP(I492,KEY_RSD_AF!$C$5:$G$52,3,FALSE),IF(MID(N492,2,2)="HH",VLOOKUP(I492,KEY_RSD_AF!$C$5:$G$52,4,FALSE),IF(MID(N492,2,2)="WH",VLOOKUP(I492,KEY_RSD_AF!$C$5:$G$52,5,FALSE))))))</f>
        <v>1</v>
      </c>
      <c r="S492" s="503">
        <f>T491</f>
        <v>5.9</v>
      </c>
      <c r="T492" s="183"/>
      <c r="U492" s="183"/>
      <c r="V492" s="182"/>
      <c r="W492" s="184"/>
      <c r="X492" s="183"/>
      <c r="Y492" s="182"/>
      <c r="Z492" s="252"/>
      <c r="AA492" s="236"/>
      <c r="AC492" s="235"/>
      <c r="AD492" s="235"/>
      <c r="AE492" s="183"/>
      <c r="AF492" s="183"/>
    </row>
    <row r="493" spans="1:32" x14ac:dyDescent="0.3">
      <c r="A493" s="244"/>
      <c r="D493" s="512"/>
      <c r="E493" s="513"/>
      <c r="F493" s="515"/>
      <c r="G493" s="515"/>
      <c r="H493" s="540"/>
      <c r="I493" s="513"/>
      <c r="J493" s="255"/>
      <c r="K493" s="255"/>
      <c r="L493" s="513"/>
      <c r="M493" s="252" t="str">
        <f>M491</f>
        <v>RSDAHT</v>
      </c>
      <c r="N493" s="244"/>
      <c r="O493" s="244" t="str">
        <f>$AH$12</f>
        <v>ACT</v>
      </c>
      <c r="P493" s="252"/>
      <c r="Q493" s="252"/>
      <c r="R493" s="525"/>
      <c r="S493" s="256"/>
      <c r="T493" s="256"/>
      <c r="U493" s="183"/>
      <c r="V493" s="252"/>
      <c r="W493" s="524"/>
      <c r="X493" s="256"/>
      <c r="Y493" s="252"/>
      <c r="Z493" s="252">
        <f>IF(ISBLANK(O493),"",IF(O493="ACT",1,-1))</f>
        <v>1</v>
      </c>
      <c r="AA493" s="257"/>
      <c r="AC493" s="244"/>
      <c r="AD493" s="244"/>
      <c r="AE493" s="256"/>
      <c r="AF493" s="256"/>
    </row>
    <row r="494" spans="1:32" x14ac:dyDescent="0.3">
      <c r="A494" s="244"/>
      <c r="D494" s="512"/>
      <c r="E494" s="513"/>
      <c r="F494" s="515"/>
      <c r="G494" s="515"/>
      <c r="H494" s="540"/>
      <c r="I494" s="513"/>
      <c r="J494" s="255"/>
      <c r="K494" s="255"/>
      <c r="L494" s="513"/>
      <c r="M494" s="252" t="str">
        <f>M493</f>
        <v>RSDAHT</v>
      </c>
      <c r="N494" s="244"/>
      <c r="O494" s="244" t="str">
        <f>L491</f>
        <v>RSDELC</v>
      </c>
      <c r="P494" s="252"/>
      <c r="Q494" s="252"/>
      <c r="R494" s="525"/>
      <c r="S494" s="256"/>
      <c r="T494" s="256"/>
      <c r="U494" s="183"/>
      <c r="V494" s="252"/>
      <c r="W494" s="524"/>
      <c r="X494" s="256"/>
      <c r="Y494" s="252"/>
      <c r="Z494" s="252">
        <f>IF(ISBLANK(O494),"",IF(O494="ACT",1,-1))</f>
        <v>-1</v>
      </c>
      <c r="AA494" s="257"/>
      <c r="AC494" s="244"/>
      <c r="AD494" s="244"/>
      <c r="AE494" s="256"/>
      <c r="AF494" s="256"/>
    </row>
    <row r="495" spans="1:32" x14ac:dyDescent="0.3">
      <c r="A495" s="235"/>
      <c r="C495" s="528" t="str">
        <f>'RSD (DEA)'!Z178</f>
        <v>HP_GAS_01</v>
      </c>
      <c r="D495" s="512" t="str">
        <f>RSD_HeatingDemand!N495&amp;"_"&amp;LEFT(C495,LEN(C495)-2)&amp;"01"</f>
        <v>RHHSB_HP_GAS_01</v>
      </c>
      <c r="E495" s="512" t="str">
        <f>"R"&amp;LEFT('RSD (DEA)'!AD178,2)&amp;IF(ISNUMBER(IFERROR(FIND("HTH",'RSD (DEA)'!Z178),IFERROR(FIND("HP",'RSD (DEA)'!Z178),"C"))),IF(IFERROR(FIND("HTH",'RSD (DEA)'!Z178),100)=100,"B","A"),"C")</f>
        <v>RHSB</v>
      </c>
      <c r="F495" s="515"/>
      <c r="G495" s="515"/>
      <c r="H495" s="540" t="str">
        <f t="shared" si="10"/>
        <v>RHHSB_HP_GAS_01</v>
      </c>
      <c r="I495" s="512" t="str">
        <f>'RSD (DEA)'!AA178</f>
        <v>Gas driven absorption heat pumps, air-to-water</v>
      </c>
      <c r="J495" s="242" t="s">
        <v>239</v>
      </c>
      <c r="K495" s="242" t="s">
        <v>240</v>
      </c>
      <c r="L495" s="512" t="str">
        <f>'RSD (DEA)'!AH178</f>
        <v>RSDGAS</v>
      </c>
      <c r="M495" s="182" t="str">
        <f>'RSD (DEA)'!AI178</f>
        <v>RSDAHT</v>
      </c>
      <c r="N495" s="235" t="str">
        <f>LEFT('RSD (DEA)'!AJ178,2)&amp;RIGHT(E495,3)</f>
        <v>RHHSB</v>
      </c>
      <c r="O495" s="244"/>
      <c r="P495" s="182">
        <f>IF('RSD (DEA)'!P178&lt;RSD_HeatingDemand!$AH$15,RSD_HeatingDemand!$AH$15,'RSD (DEA)'!P178)</f>
        <v>2019</v>
      </c>
      <c r="Q495" s="182">
        <f>IF('RSD (DEA)'!X178&lt;RSD_HeatingDemand!$AH$15,RSD_HeatingDemand!$AH$15,'RSD (DEA)'!X178)</f>
        <v>2019</v>
      </c>
      <c r="R495" s="525">
        <f>IF(ISBLANK(I495),IF(MID(N495,2,2)="HA",VLOOKUP(I494,KEY_RSD_AF!$C$5:$G$52,2,FALSE),IF(MID(N495,2,2)="WA",VLOOKUP(I494,KEY_RSD_AF!$C$5:$G$52,3,FALSE),IF(MID(N495,2,2)="HH",VLOOKUP(I494,KEY_RSD_AF!$C$5:$G$52,4,FALSE),IF(MID(N495,2,2)="WH",VLOOKUP(I494,KEY_RSD_AF!$C$5:$G$52,5,FALSE))))),IF(MID(N495,2,2)="HA",VLOOKUP(I495,KEY_RSD_AF!$C$5:$G$52,2,FALSE),IF(MID(N495,2,2)="WA",VLOOKUP(I495,KEY_RSD_AF!$C$5:$G$52,3,FALSE),IF(MID(N495,2,2)="HH",VLOOKUP(I495,KEY_RSD_AF!$C$5:$G$52,4,FALSE),IF(MID(N495,2,2)="WH",VLOOKUP(I495,KEY_RSD_AF!$C$5:$G$52,5,FALSE))))))</f>
        <v>1</v>
      </c>
      <c r="S495" s="183">
        <f>'RSD (DEA)'!AZ178</f>
        <v>1.35</v>
      </c>
      <c r="T495" s="183">
        <f t="shared" ref="T495:T503" si="11">S495</f>
        <v>1.35</v>
      </c>
      <c r="U495" s="183">
        <v>0.5</v>
      </c>
      <c r="V495" s="182">
        <f>'RSD (DEA)'!BR178/'RSD (DEA)'!S178</f>
        <v>13.055555555555555</v>
      </c>
      <c r="W495" s="184">
        <f>'RSD (DEA)'!BS178/RSD_HeatingDemand!$AH$9</f>
        <v>0</v>
      </c>
      <c r="X495" s="183">
        <f>'RSD (DEA)'!BK178*RSD_HeatingDemand!$AH$10/'RSD (DEA)'!S178</f>
        <v>833.33333333333337</v>
      </c>
      <c r="Y495" s="182">
        <f>'RSD (DEA)'!BI178</f>
        <v>20</v>
      </c>
      <c r="Z495" s="252" t="str">
        <f>IF(ISBLANK(O495),"",IF(O495="ACT",1,-1))</f>
        <v/>
      </c>
      <c r="AA495" s="236">
        <f>'RSD (DEA)'!AM178</f>
        <v>31.536000000000001</v>
      </c>
      <c r="AC495" s="235">
        <f>'RSD (DEA)'!S178</f>
        <v>18</v>
      </c>
      <c r="AD495" s="235" t="str">
        <f>LEFT('RSD (DEA)'!AK178,2)&amp;RIGHT(E495,3)</f>
        <v>RWHSB</v>
      </c>
      <c r="AE495" s="183">
        <f>'RSD (DEA)'!BA178</f>
        <v>0</v>
      </c>
      <c r="AF495" s="183"/>
    </row>
    <row r="496" spans="1:32" x14ac:dyDescent="0.3">
      <c r="A496" s="235"/>
      <c r="D496" s="512"/>
      <c r="E496" s="512"/>
      <c r="F496" s="515"/>
      <c r="G496" s="515"/>
      <c r="H496" s="540"/>
      <c r="I496" s="512"/>
      <c r="J496" s="242"/>
      <c r="K496" s="242"/>
      <c r="L496" s="512"/>
      <c r="M496" s="182"/>
      <c r="N496" s="318" t="str">
        <f>AD495</f>
        <v>RWHSB</v>
      </c>
      <c r="O496" s="244"/>
      <c r="P496" s="182"/>
      <c r="Q496" s="182"/>
      <c r="R496" s="525">
        <f>IF(ISBLANK(I496),IF(MID(N496,2,2)="HA",VLOOKUP(I495,KEY_RSD_AF!$C$5:$G$52,2,FALSE),IF(MID(N496,2,2)="WA",VLOOKUP(I495,KEY_RSD_AF!$C$5:$G$52,3,FALSE),IF(MID(N496,2,2)="HH",VLOOKUP(I495,KEY_RSD_AF!$C$5:$G$52,4,FALSE),IF(MID(N496,2,2)="WH",VLOOKUP(I495,KEY_RSD_AF!$C$5:$G$52,5,FALSE))))),IF(MID(N496,2,2)="HA",VLOOKUP(I496,KEY_RSD_AF!$C$5:$G$52,2,FALSE),IF(MID(N496,2,2)="WA",VLOOKUP(I496,KEY_RSD_AF!$C$5:$G$52,3,FALSE),IF(MID(N496,2,2)="HH",VLOOKUP(I496,KEY_RSD_AF!$C$5:$G$52,4,FALSE),IF(MID(N496,2,2)="WH",VLOOKUP(I496,KEY_RSD_AF!$C$5:$G$52,5,FALSE))))))</f>
        <v>1</v>
      </c>
      <c r="S496" s="503">
        <f>T495</f>
        <v>1.35</v>
      </c>
      <c r="T496" s="183"/>
      <c r="U496" s="183"/>
      <c r="V496" s="182"/>
      <c r="W496" s="184"/>
      <c r="X496" s="183"/>
      <c r="Y496" s="182"/>
      <c r="Z496" s="252"/>
      <c r="AA496" s="236"/>
      <c r="AC496" s="235"/>
      <c r="AD496" s="235"/>
      <c r="AE496" s="183"/>
      <c r="AF496" s="183"/>
    </row>
    <row r="497" spans="1:32" x14ac:dyDescent="0.3">
      <c r="A497" s="244"/>
      <c r="D497" s="512"/>
      <c r="E497" s="513"/>
      <c r="F497" s="515"/>
      <c r="G497" s="515"/>
      <c r="H497" s="540"/>
      <c r="I497" s="513"/>
      <c r="J497" s="255"/>
      <c r="K497" s="255"/>
      <c r="L497" s="513"/>
      <c r="M497" s="252" t="str">
        <f>M495</f>
        <v>RSDAHT</v>
      </c>
      <c r="N497" s="244"/>
      <c r="O497" s="244" t="str">
        <f>$AH$12</f>
        <v>ACT</v>
      </c>
      <c r="P497" s="252"/>
      <c r="Q497" s="252"/>
      <c r="R497" s="525"/>
      <c r="S497" s="256"/>
      <c r="T497" s="183"/>
      <c r="U497" s="183"/>
      <c r="V497" s="252"/>
      <c r="W497" s="524"/>
      <c r="X497" s="256"/>
      <c r="Y497" s="252"/>
      <c r="Z497" s="252">
        <f>IF(ISBLANK(O497),"",IF(O497="ACT",1,-1))</f>
        <v>1</v>
      </c>
      <c r="AA497" s="257"/>
      <c r="AC497" s="244"/>
      <c r="AD497" s="244"/>
      <c r="AE497" s="256"/>
      <c r="AF497" s="256"/>
    </row>
    <row r="498" spans="1:32" x14ac:dyDescent="0.3">
      <c r="A498" s="244"/>
      <c r="D498" s="512"/>
      <c r="E498" s="513"/>
      <c r="F498" s="515"/>
      <c r="G498" s="515"/>
      <c r="H498" s="540"/>
      <c r="I498" s="513"/>
      <c r="J498" s="255"/>
      <c r="K498" s="255"/>
      <c r="L498" s="513"/>
      <c r="M498" s="252" t="str">
        <f>M497</f>
        <v>RSDAHT</v>
      </c>
      <c r="N498" s="244"/>
      <c r="O498" s="244" t="str">
        <f>L495</f>
        <v>RSDGAS</v>
      </c>
      <c r="P498" s="252"/>
      <c r="Q498" s="252"/>
      <c r="R498" s="525"/>
      <c r="S498" s="256"/>
      <c r="T498" s="183"/>
      <c r="U498" s="183"/>
      <c r="V498" s="252"/>
      <c r="W498" s="524"/>
      <c r="X498" s="256"/>
      <c r="Y498" s="252"/>
      <c r="Z498" s="252">
        <f>IF(ISBLANK(O498),"",IF(O498="ACT",1,-1))</f>
        <v>-1</v>
      </c>
      <c r="AA498" s="257"/>
      <c r="AC498" s="244"/>
      <c r="AD498" s="244"/>
      <c r="AE498" s="256"/>
      <c r="AF498" s="256"/>
    </row>
    <row r="499" spans="1:32" x14ac:dyDescent="0.3">
      <c r="A499" s="235"/>
      <c r="C499" s="528" t="str">
        <f>'RSD (DEA)'!Z179</f>
        <v>HP_GAS_01</v>
      </c>
      <c r="D499" s="512" t="str">
        <f>RSD_HeatingDemand!N499&amp;"_"&amp;LEFT(C499,LEN(C499)-2)&amp;"01"</f>
        <v>RHHSB_HP_GAS_01</v>
      </c>
      <c r="E499" s="512" t="str">
        <f>"R"&amp;LEFT('RSD (DEA)'!AD179,2)&amp;IF(ISNUMBER(IFERROR(FIND("HTH",'RSD (DEA)'!Z179),IFERROR(FIND("HP",'RSD (DEA)'!Z179),"C"))),IF(IFERROR(FIND("HTH",'RSD (DEA)'!Z179),100)=100,"B","A"),"C")</f>
        <v>RHSB</v>
      </c>
      <c r="F499" s="515"/>
      <c r="G499" s="515"/>
      <c r="H499" s="540" t="str">
        <f t="shared" si="10"/>
        <v>RHHSB_HP_GAS_02</v>
      </c>
      <c r="I499" s="512" t="str">
        <f>'RSD (DEA)'!AA179</f>
        <v>Gas driven absorption heat pumps, air-to-water</v>
      </c>
      <c r="J499" s="242" t="s">
        <v>239</v>
      </c>
      <c r="K499" s="242" t="s">
        <v>240</v>
      </c>
      <c r="L499" s="512" t="str">
        <f>'RSD (DEA)'!AH179</f>
        <v>RSDGAS</v>
      </c>
      <c r="M499" s="182" t="str">
        <f>'RSD (DEA)'!AI179</f>
        <v>RSDAHT</v>
      </c>
      <c r="N499" s="235" t="str">
        <f>LEFT('RSD (DEA)'!AJ179,2)&amp;RIGHT(E499,3)</f>
        <v>RHHSB</v>
      </c>
      <c r="O499" s="244"/>
      <c r="P499" s="182">
        <f>IF('RSD (DEA)'!P179&lt;RSD_HeatingDemand!$AH$15,RSD_HeatingDemand!$AH$15,'RSD (DEA)'!P179)</f>
        <v>2019</v>
      </c>
      <c r="Q499" s="182">
        <f>IF('RSD (DEA)'!X179&lt;RSD_HeatingDemand!$AH$15,RSD_HeatingDemand!$AH$15,'RSD (DEA)'!X179)</f>
        <v>2020</v>
      </c>
      <c r="R499" s="525">
        <f>IF(ISBLANK(I499),IF(MID(N499,2,2)="HA",VLOOKUP(I498,KEY_RSD_AF!$C$5:$G$52,2,FALSE),IF(MID(N499,2,2)="WA",VLOOKUP(I498,KEY_RSD_AF!$C$5:$G$52,3,FALSE),IF(MID(N499,2,2)="HH",VLOOKUP(I498,KEY_RSD_AF!$C$5:$G$52,4,FALSE),IF(MID(N499,2,2)="WH",VLOOKUP(I498,KEY_RSD_AF!$C$5:$G$52,5,FALSE))))),IF(MID(N499,2,2)="HA",VLOOKUP(I499,KEY_RSD_AF!$C$5:$G$52,2,FALSE),IF(MID(N499,2,2)="WA",VLOOKUP(I499,KEY_RSD_AF!$C$5:$G$52,3,FALSE),IF(MID(N499,2,2)="HH",VLOOKUP(I499,KEY_RSD_AF!$C$5:$G$52,4,FALSE),IF(MID(N499,2,2)="WH",VLOOKUP(I499,KEY_RSD_AF!$C$5:$G$52,5,FALSE))))))</f>
        <v>1</v>
      </c>
      <c r="S499" s="183">
        <f>'RSD (DEA)'!AZ179</f>
        <v>1.45</v>
      </c>
      <c r="T499" s="183">
        <f t="shared" si="11"/>
        <v>1.45</v>
      </c>
      <c r="U499" s="183">
        <v>0.5</v>
      </c>
      <c r="V499" s="182">
        <f>'RSD (DEA)'!BR179/'RSD (DEA)'!S179</f>
        <v>7.833333333333333</v>
      </c>
      <c r="W499" s="184">
        <f>'RSD (DEA)'!BS179/RSD_HeatingDemand!$AH$9</f>
        <v>0</v>
      </c>
      <c r="X499" s="183">
        <f>'RSD (DEA)'!BK179*RSD_HeatingDemand!$AH$10/'RSD (DEA)'!S179</f>
        <v>466.66666666666669</v>
      </c>
      <c r="Y499" s="182">
        <f>'RSD (DEA)'!BI179</f>
        <v>20</v>
      </c>
      <c r="Z499" s="252" t="str">
        <f>IF(ISBLANK(O499),"",IF(O499="ACT",1,-1))</f>
        <v/>
      </c>
      <c r="AA499" s="236">
        <f>'RSD (DEA)'!AM179</f>
        <v>31.536000000000001</v>
      </c>
      <c r="AC499" s="235">
        <f>'RSD (DEA)'!S179</f>
        <v>30</v>
      </c>
      <c r="AD499" s="235" t="str">
        <f>LEFT('RSD (DEA)'!AK179,2)&amp;RIGHT(E499,3)</f>
        <v>RWHSB</v>
      </c>
      <c r="AE499" s="183">
        <f>'RSD (DEA)'!BA179</f>
        <v>0</v>
      </c>
      <c r="AF499" s="183"/>
    </row>
    <row r="500" spans="1:32" x14ac:dyDescent="0.3">
      <c r="A500" s="235"/>
      <c r="D500" s="512"/>
      <c r="E500" s="512"/>
      <c r="F500" s="515"/>
      <c r="G500" s="515"/>
      <c r="H500" s="540"/>
      <c r="I500" s="512"/>
      <c r="J500" s="242"/>
      <c r="K500" s="242"/>
      <c r="L500" s="512"/>
      <c r="M500" s="182"/>
      <c r="N500" s="318" t="str">
        <f>AD499</f>
        <v>RWHSB</v>
      </c>
      <c r="O500" s="244"/>
      <c r="P500" s="182"/>
      <c r="Q500" s="182"/>
      <c r="R500" s="525">
        <f>IF(ISBLANK(I500),IF(MID(N500,2,2)="HA",VLOOKUP(I499,KEY_RSD_AF!$C$5:$G$52,2,FALSE),IF(MID(N500,2,2)="WA",VLOOKUP(I499,KEY_RSD_AF!$C$5:$G$52,3,FALSE),IF(MID(N500,2,2)="HH",VLOOKUP(I499,KEY_RSD_AF!$C$5:$G$52,4,FALSE),IF(MID(N500,2,2)="WH",VLOOKUP(I499,KEY_RSD_AF!$C$5:$G$52,5,FALSE))))),IF(MID(N500,2,2)="HA",VLOOKUP(I500,KEY_RSD_AF!$C$5:$G$52,2,FALSE),IF(MID(N500,2,2)="WA",VLOOKUP(I500,KEY_RSD_AF!$C$5:$G$52,3,FALSE),IF(MID(N500,2,2)="HH",VLOOKUP(I500,KEY_RSD_AF!$C$5:$G$52,4,FALSE),IF(MID(N500,2,2)="WH",VLOOKUP(I500,KEY_RSD_AF!$C$5:$G$52,5,FALSE))))))</f>
        <v>1</v>
      </c>
      <c r="S500" s="503">
        <f>T499</f>
        <v>1.45</v>
      </c>
      <c r="T500" s="183"/>
      <c r="U500" s="183"/>
      <c r="V500" s="182"/>
      <c r="W500" s="184"/>
      <c r="X500" s="183"/>
      <c r="Y500" s="182"/>
      <c r="Z500" s="252"/>
      <c r="AA500" s="236"/>
      <c r="AC500" s="235"/>
      <c r="AD500" s="235"/>
      <c r="AE500" s="183"/>
      <c r="AF500" s="183"/>
    </row>
    <row r="501" spans="1:32" x14ac:dyDescent="0.3">
      <c r="A501" s="244"/>
      <c r="D501" s="512"/>
      <c r="E501" s="513"/>
      <c r="F501" s="515"/>
      <c r="G501" s="515"/>
      <c r="H501" s="540"/>
      <c r="I501" s="513"/>
      <c r="J501" s="255"/>
      <c r="K501" s="255"/>
      <c r="L501" s="513"/>
      <c r="M501" s="252" t="str">
        <f>M499</f>
        <v>RSDAHT</v>
      </c>
      <c r="N501" s="244"/>
      <c r="O501" s="244" t="str">
        <f>$AH$12</f>
        <v>ACT</v>
      </c>
      <c r="P501" s="252"/>
      <c r="Q501" s="252"/>
      <c r="R501" s="525"/>
      <c r="S501" s="256"/>
      <c r="T501" s="183"/>
      <c r="U501" s="183"/>
      <c r="V501" s="252"/>
      <c r="W501" s="524"/>
      <c r="X501" s="256"/>
      <c r="Y501" s="252"/>
      <c r="Z501" s="252">
        <f>IF(ISBLANK(O501),"",IF(O501="ACT",1,-1))</f>
        <v>1</v>
      </c>
      <c r="AA501" s="257"/>
      <c r="AC501" s="244"/>
      <c r="AD501" s="244"/>
      <c r="AE501" s="256"/>
      <c r="AF501" s="256"/>
    </row>
    <row r="502" spans="1:32" x14ac:dyDescent="0.3">
      <c r="A502" s="244"/>
      <c r="D502" s="512"/>
      <c r="E502" s="513"/>
      <c r="F502" s="515"/>
      <c r="G502" s="515"/>
      <c r="H502" s="540"/>
      <c r="I502" s="513"/>
      <c r="J502" s="255"/>
      <c r="K502" s="255"/>
      <c r="L502" s="513"/>
      <c r="M502" s="252" t="str">
        <f>M501</f>
        <v>RSDAHT</v>
      </c>
      <c r="N502" s="244"/>
      <c r="O502" s="244" t="str">
        <f>L499</f>
        <v>RSDGAS</v>
      </c>
      <c r="P502" s="252"/>
      <c r="Q502" s="252"/>
      <c r="R502" s="525"/>
      <c r="S502" s="256"/>
      <c r="T502" s="183"/>
      <c r="U502" s="183"/>
      <c r="V502" s="252"/>
      <c r="W502" s="524"/>
      <c r="X502" s="256"/>
      <c r="Y502" s="252"/>
      <c r="Z502" s="252">
        <f>IF(ISBLANK(O502),"",IF(O502="ACT",1,-1))</f>
        <v>-1</v>
      </c>
      <c r="AA502" s="257"/>
      <c r="AC502" s="244"/>
      <c r="AD502" s="244"/>
      <c r="AE502" s="256"/>
      <c r="AF502" s="256"/>
    </row>
    <row r="503" spans="1:32" x14ac:dyDescent="0.3">
      <c r="A503" s="235"/>
      <c r="C503" s="528" t="str">
        <f>'RSD (DEA)'!Z180</f>
        <v>HP_GAS_01</v>
      </c>
      <c r="D503" s="512" t="str">
        <f>RSD_HeatingDemand!N503&amp;"_"&amp;LEFT(C503,LEN(C503)-2)&amp;"01"</f>
        <v>RHHSB_HP_GAS_01</v>
      </c>
      <c r="E503" s="512" t="str">
        <f>"R"&amp;LEFT('RSD (DEA)'!AD180,2)&amp;IF(ISNUMBER(IFERROR(FIND("HTH",'RSD (DEA)'!Z180),IFERROR(FIND("HP",'RSD (DEA)'!Z180),"C"))),IF(IFERROR(FIND("HTH",'RSD (DEA)'!Z180),100)=100,"B","A"),"C")</f>
        <v>RHSB</v>
      </c>
      <c r="F503" s="515"/>
      <c r="G503" s="515"/>
      <c r="H503" s="540" t="str">
        <f t="shared" si="10"/>
        <v>RHHSB_HP_GAS_03</v>
      </c>
      <c r="I503" s="512" t="str">
        <f>'RSD (DEA)'!AA180</f>
        <v>Gas driven absorption heat pumps, air-to-water</v>
      </c>
      <c r="J503" s="242" t="s">
        <v>239</v>
      </c>
      <c r="K503" s="242" t="s">
        <v>240</v>
      </c>
      <c r="L503" s="512" t="str">
        <f>'RSD (DEA)'!AH180</f>
        <v>RSDGAS</v>
      </c>
      <c r="M503" s="182" t="str">
        <f>'RSD (DEA)'!AI180</f>
        <v>RSDAHT</v>
      </c>
      <c r="N503" s="235" t="str">
        <f>LEFT('RSD (DEA)'!AJ180,2)&amp;RIGHT(E503,3)</f>
        <v>RHHSB</v>
      </c>
      <c r="O503" s="244"/>
      <c r="P503" s="182">
        <f>IF('RSD (DEA)'!P180&lt;RSD_HeatingDemand!$AH$15,RSD_HeatingDemand!$AH$15,'RSD (DEA)'!P180)</f>
        <v>2019</v>
      </c>
      <c r="Q503" s="182">
        <f>IF('RSD (DEA)'!X180&lt;RSD_HeatingDemand!$AH$15,RSD_HeatingDemand!$AH$15,'RSD (DEA)'!X180)</f>
        <v>2030</v>
      </c>
      <c r="R503" s="525">
        <f>IF(ISBLANK(I503),IF(MID(N503,2,2)="HA",VLOOKUP(I502,KEY_RSD_AF!$C$5:$G$52,2,FALSE),IF(MID(N503,2,2)="WA",VLOOKUP(I502,KEY_RSD_AF!$C$5:$G$52,3,FALSE),IF(MID(N503,2,2)="HH",VLOOKUP(I502,KEY_RSD_AF!$C$5:$G$52,4,FALSE),IF(MID(N503,2,2)="WH",VLOOKUP(I502,KEY_RSD_AF!$C$5:$G$52,5,FALSE))))),IF(MID(N503,2,2)="HA",VLOOKUP(I503,KEY_RSD_AF!$C$5:$G$52,2,FALSE),IF(MID(N503,2,2)="WA",VLOOKUP(I503,KEY_RSD_AF!$C$5:$G$52,3,FALSE),IF(MID(N503,2,2)="HH",VLOOKUP(I503,KEY_RSD_AF!$C$5:$G$52,4,FALSE),IF(MID(N503,2,2)="WH",VLOOKUP(I503,KEY_RSD_AF!$C$5:$G$52,5,FALSE))))))</f>
        <v>1</v>
      </c>
      <c r="S503" s="183">
        <f>'RSD (DEA)'!AZ180</f>
        <v>1.7</v>
      </c>
      <c r="T503" s="183">
        <f t="shared" si="11"/>
        <v>1.7</v>
      </c>
      <c r="U503" s="183">
        <v>0.5</v>
      </c>
      <c r="V503" s="182">
        <f>'RSD (DEA)'!BR180/'RSD (DEA)'!S180</f>
        <v>7.833333333333333</v>
      </c>
      <c r="W503" s="184">
        <f>'RSD (DEA)'!BS180/RSD_HeatingDemand!$AH$9</f>
        <v>0</v>
      </c>
      <c r="X503" s="183">
        <f>'RSD (DEA)'!BK180*RSD_HeatingDemand!$AH$10/'RSD (DEA)'!S180</f>
        <v>433.33333333333331</v>
      </c>
      <c r="Y503" s="182">
        <f>'RSD (DEA)'!BI180</f>
        <v>20</v>
      </c>
      <c r="Z503" s="252" t="str">
        <f>IF(ISBLANK(O503),"",IF(O503="ACT",1,-1))</f>
        <v/>
      </c>
      <c r="AA503" s="236">
        <f>'RSD (DEA)'!AM180</f>
        <v>31.536000000000001</v>
      </c>
      <c r="AC503" s="235">
        <f>'RSD (DEA)'!S180</f>
        <v>30</v>
      </c>
      <c r="AD503" s="235" t="str">
        <f>LEFT('RSD (DEA)'!AK180,2)&amp;RIGHT(E503,3)</f>
        <v>RWHSB</v>
      </c>
      <c r="AE503" s="183">
        <f>'RSD (DEA)'!BA180</f>
        <v>0</v>
      </c>
      <c r="AF503" s="183"/>
    </row>
    <row r="504" spans="1:32" x14ac:dyDescent="0.3">
      <c r="A504" s="235"/>
      <c r="D504" s="512"/>
      <c r="E504" s="512"/>
      <c r="F504" s="515"/>
      <c r="G504" s="515"/>
      <c r="H504" s="540"/>
      <c r="I504" s="512"/>
      <c r="J504" s="242"/>
      <c r="K504" s="242"/>
      <c r="L504" s="512"/>
      <c r="M504" s="182"/>
      <c r="N504" s="318" t="str">
        <f>AD503</f>
        <v>RWHSB</v>
      </c>
      <c r="O504" s="244"/>
      <c r="P504" s="182"/>
      <c r="Q504" s="182"/>
      <c r="R504" s="525">
        <f>IF(ISBLANK(I504),IF(MID(N504,2,2)="HA",VLOOKUP(I503,KEY_RSD_AF!$C$5:$G$52,2,FALSE),IF(MID(N504,2,2)="WA",VLOOKUP(I503,KEY_RSD_AF!$C$5:$G$52,3,FALSE),IF(MID(N504,2,2)="HH",VLOOKUP(I503,KEY_RSD_AF!$C$5:$G$52,4,FALSE),IF(MID(N504,2,2)="WH",VLOOKUP(I503,KEY_RSD_AF!$C$5:$G$52,5,FALSE))))),IF(MID(N504,2,2)="HA",VLOOKUP(I504,KEY_RSD_AF!$C$5:$G$52,2,FALSE),IF(MID(N504,2,2)="WA",VLOOKUP(I504,KEY_RSD_AF!$C$5:$G$52,3,FALSE),IF(MID(N504,2,2)="HH",VLOOKUP(I504,KEY_RSD_AF!$C$5:$G$52,4,FALSE),IF(MID(N504,2,2)="WH",VLOOKUP(I504,KEY_RSD_AF!$C$5:$G$52,5,FALSE))))))</f>
        <v>1</v>
      </c>
      <c r="S504" s="503">
        <f>T503</f>
        <v>1.7</v>
      </c>
      <c r="T504" s="183"/>
      <c r="U504" s="183"/>
      <c r="V504" s="182"/>
      <c r="W504" s="184"/>
      <c r="X504" s="183"/>
      <c r="Y504" s="182"/>
      <c r="Z504" s="252"/>
      <c r="AA504" s="236"/>
      <c r="AC504" s="235"/>
      <c r="AD504" s="235"/>
      <c r="AE504" s="183"/>
      <c r="AF504" s="183"/>
    </row>
    <row r="505" spans="1:32" x14ac:dyDescent="0.3">
      <c r="A505" s="244"/>
      <c r="D505" s="512"/>
      <c r="E505" s="513"/>
      <c r="F505" s="515"/>
      <c r="G505" s="515"/>
      <c r="H505" s="540"/>
      <c r="I505" s="513"/>
      <c r="J505" s="255"/>
      <c r="K505" s="255"/>
      <c r="L505" s="513"/>
      <c r="M505" s="252" t="str">
        <f>M503</f>
        <v>RSDAHT</v>
      </c>
      <c r="N505" s="244"/>
      <c r="O505" s="244" t="str">
        <f>$AH$12</f>
        <v>ACT</v>
      </c>
      <c r="P505" s="252"/>
      <c r="Q505" s="252"/>
      <c r="R505" s="525"/>
      <c r="S505" s="256"/>
      <c r="T505" s="183"/>
      <c r="U505" s="183"/>
      <c r="V505" s="252"/>
      <c r="W505" s="524"/>
      <c r="X505" s="256"/>
      <c r="Y505" s="252"/>
      <c r="Z505" s="252">
        <f>IF(ISBLANK(O505),"",IF(O505="ACT",1,-1))</f>
        <v>1</v>
      </c>
      <c r="AA505" s="257"/>
      <c r="AC505" s="244"/>
      <c r="AD505" s="244"/>
      <c r="AE505" s="256"/>
      <c r="AF505" s="256"/>
    </row>
    <row r="506" spans="1:32" x14ac:dyDescent="0.3">
      <c r="A506" s="244"/>
      <c r="D506" s="512"/>
      <c r="E506" s="513"/>
      <c r="F506" s="515"/>
      <c r="G506" s="515"/>
      <c r="H506" s="540"/>
      <c r="I506" s="513"/>
      <c r="J506" s="255"/>
      <c r="K506" s="255"/>
      <c r="L506" s="513"/>
      <c r="M506" s="252" t="str">
        <f>M505</f>
        <v>RSDAHT</v>
      </c>
      <c r="N506" s="244"/>
      <c r="O506" s="244" t="str">
        <f>L503</f>
        <v>RSDGAS</v>
      </c>
      <c r="P506" s="252"/>
      <c r="Q506" s="252"/>
      <c r="R506" s="525"/>
      <c r="S506" s="256"/>
      <c r="T506" s="183"/>
      <c r="U506" s="183"/>
      <c r="V506" s="252"/>
      <c r="W506" s="524"/>
      <c r="X506" s="256"/>
      <c r="Y506" s="252"/>
      <c r="Z506" s="252">
        <f>IF(ISBLANK(O506),"",IF(O506="ACT",1,-1))</f>
        <v>-1</v>
      </c>
      <c r="AA506" s="257"/>
      <c r="AC506" s="244"/>
      <c r="AD506" s="244"/>
      <c r="AE506" s="256"/>
      <c r="AF506" s="256"/>
    </row>
    <row r="507" spans="1:32" x14ac:dyDescent="0.3">
      <c r="A507" s="235"/>
      <c r="C507" s="528" t="str">
        <f>'RSD (DEA)'!Z181</f>
        <v>HP_GAS_01</v>
      </c>
      <c r="D507" s="512" t="str">
        <f>RSD_HeatingDemand!N507&amp;"_"&amp;LEFT(C507,LEN(C507)-2)&amp;"01"</f>
        <v>RHHSB_HP_GAS_01</v>
      </c>
      <c r="E507" s="512" t="str">
        <f>"R"&amp;LEFT('RSD (DEA)'!AD181,2)&amp;IF(ISNUMBER(IFERROR(FIND("HTH",'RSD (DEA)'!Z181),IFERROR(FIND("HP",'RSD (DEA)'!Z181),"C"))),IF(IFERROR(FIND("HTH",'RSD (DEA)'!Z181),100)=100,"B","A"),"C")</f>
        <v>RHSB</v>
      </c>
      <c r="F507" s="515"/>
      <c r="G507" s="515"/>
      <c r="H507" s="540" t="str">
        <f t="shared" si="10"/>
        <v>RHHSB_HP_GAS_04</v>
      </c>
      <c r="I507" s="512" t="str">
        <f>'RSD (DEA)'!AA181</f>
        <v>Gas driven absorption heat pumps, air-to-water</v>
      </c>
      <c r="J507" s="242" t="s">
        <v>239</v>
      </c>
      <c r="K507" s="242" t="s">
        <v>240</v>
      </c>
      <c r="L507" s="512" t="str">
        <f>'RSD (DEA)'!AH181</f>
        <v>RSDGAS</v>
      </c>
      <c r="M507" s="182" t="str">
        <f>'RSD (DEA)'!AI181</f>
        <v>RSDAHT</v>
      </c>
      <c r="N507" s="235" t="str">
        <f>LEFT('RSD (DEA)'!AJ181,2)&amp;RIGHT(E507,3)</f>
        <v>RHHSB</v>
      </c>
      <c r="O507" s="244"/>
      <c r="P507" s="182">
        <f>IF('RSD (DEA)'!P181&lt;RSD_HeatingDemand!$AH$15,RSD_HeatingDemand!$AH$15,'RSD (DEA)'!P181)</f>
        <v>2019</v>
      </c>
      <c r="Q507" s="182">
        <f>IF('RSD (DEA)'!X181&lt;RSD_HeatingDemand!$AH$15,RSD_HeatingDemand!$AH$15,'RSD (DEA)'!X181)</f>
        <v>2050</v>
      </c>
      <c r="R507" s="525">
        <f>IF(ISBLANK(I507),IF(MID(N507,2,2)="HA",VLOOKUP(I506,KEY_RSD_AF!$C$5:$G$52,2,FALSE),IF(MID(N507,2,2)="WA",VLOOKUP(I506,KEY_RSD_AF!$C$5:$G$52,3,FALSE),IF(MID(N507,2,2)="HH",VLOOKUP(I506,KEY_RSD_AF!$C$5:$G$52,4,FALSE),IF(MID(N507,2,2)="WH",VLOOKUP(I506,KEY_RSD_AF!$C$5:$G$52,5,FALSE))))),IF(MID(N507,2,2)="HA",VLOOKUP(I507,KEY_RSD_AF!$C$5:$G$52,2,FALSE),IF(MID(N507,2,2)="WA",VLOOKUP(I507,KEY_RSD_AF!$C$5:$G$52,3,FALSE),IF(MID(N507,2,2)="HH",VLOOKUP(I507,KEY_RSD_AF!$C$5:$G$52,4,FALSE),IF(MID(N507,2,2)="WH",VLOOKUP(I507,KEY_RSD_AF!$C$5:$G$52,5,FALSE))))))</f>
        <v>1</v>
      </c>
      <c r="S507" s="183">
        <f>'RSD (DEA)'!AZ181</f>
        <v>1.7</v>
      </c>
      <c r="T507" s="183">
        <f>S507</f>
        <v>1.7</v>
      </c>
      <c r="U507" s="183">
        <v>0.5</v>
      </c>
      <c r="V507" s="182">
        <f>'RSD (DEA)'!BR181/'RSD (DEA)'!S181</f>
        <v>7.833333333333333</v>
      </c>
      <c r="W507" s="184">
        <f>'RSD (DEA)'!BS181/RSD_HeatingDemand!$AH$9</f>
        <v>0</v>
      </c>
      <c r="X507" s="183">
        <f>'RSD (DEA)'!BK181*RSD_HeatingDemand!$AH$10/'RSD (DEA)'!S181</f>
        <v>400</v>
      </c>
      <c r="Y507" s="182">
        <f>'RSD (DEA)'!BI181</f>
        <v>20</v>
      </c>
      <c r="Z507" s="252" t="str">
        <f>IF(ISBLANK(O507),"",IF(O507="ACT",1,-1))</f>
        <v/>
      </c>
      <c r="AA507" s="236">
        <f>'RSD (DEA)'!AM181</f>
        <v>31.536000000000001</v>
      </c>
      <c r="AC507" s="235">
        <f>'RSD (DEA)'!S181</f>
        <v>30</v>
      </c>
      <c r="AD507" s="235" t="str">
        <f>LEFT('RSD (DEA)'!AK181,2)&amp;RIGHT(E507,3)</f>
        <v>RWHSB</v>
      </c>
      <c r="AE507" s="183">
        <f>'RSD (DEA)'!BA181</f>
        <v>0</v>
      </c>
      <c r="AF507" s="183"/>
    </row>
    <row r="508" spans="1:32" x14ac:dyDescent="0.3">
      <c r="A508" s="235"/>
      <c r="D508" s="512"/>
      <c r="E508" s="512"/>
      <c r="F508" s="515"/>
      <c r="G508" s="515"/>
      <c r="H508" s="540"/>
      <c r="I508" s="512"/>
      <c r="J508" s="242"/>
      <c r="K508" s="242"/>
      <c r="L508" s="512"/>
      <c r="M508" s="182"/>
      <c r="N508" s="318" t="str">
        <f>AD507</f>
        <v>RWHSB</v>
      </c>
      <c r="O508" s="244"/>
      <c r="P508" s="182"/>
      <c r="Q508" s="182"/>
      <c r="R508" s="525">
        <f>IF(ISBLANK(I508),IF(MID(N508,2,2)="HA",VLOOKUP(I507,KEY_RSD_AF!$C$5:$G$52,2,FALSE),IF(MID(N508,2,2)="WA",VLOOKUP(I507,KEY_RSD_AF!$C$5:$G$52,3,FALSE),IF(MID(N508,2,2)="HH",VLOOKUP(I507,KEY_RSD_AF!$C$5:$G$52,4,FALSE),IF(MID(N508,2,2)="WH",VLOOKUP(I507,KEY_RSD_AF!$C$5:$G$52,5,FALSE))))),IF(MID(N508,2,2)="HA",VLOOKUP(I508,KEY_RSD_AF!$C$5:$G$52,2,FALSE),IF(MID(N508,2,2)="WA",VLOOKUP(I508,KEY_RSD_AF!$C$5:$G$52,3,FALSE),IF(MID(N508,2,2)="HH",VLOOKUP(I508,KEY_RSD_AF!$C$5:$G$52,4,FALSE),IF(MID(N508,2,2)="WH",VLOOKUP(I508,KEY_RSD_AF!$C$5:$G$52,5,FALSE))))))</f>
        <v>1</v>
      </c>
      <c r="S508" s="503">
        <f>T507</f>
        <v>1.7</v>
      </c>
      <c r="T508" s="183"/>
      <c r="U508" s="183"/>
      <c r="V508" s="182"/>
      <c r="W508" s="184"/>
      <c r="X508" s="183"/>
      <c r="Y508" s="182"/>
      <c r="Z508" s="252"/>
      <c r="AA508" s="236"/>
      <c r="AC508" s="235"/>
      <c r="AD508" s="235"/>
      <c r="AE508" s="183"/>
      <c r="AF508" s="183"/>
    </row>
    <row r="509" spans="1:32" x14ac:dyDescent="0.3">
      <c r="A509" s="244"/>
      <c r="D509" s="512"/>
      <c r="E509" s="513"/>
      <c r="F509" s="515"/>
      <c r="G509" s="515"/>
      <c r="H509" s="540"/>
      <c r="I509" s="513"/>
      <c r="J509" s="255"/>
      <c r="K509" s="255"/>
      <c r="L509" s="513"/>
      <c r="M509" s="252" t="str">
        <f>M507</f>
        <v>RSDAHT</v>
      </c>
      <c r="N509" s="244"/>
      <c r="O509" s="244" t="str">
        <f>$AH$12</f>
        <v>ACT</v>
      </c>
      <c r="P509" s="252"/>
      <c r="Q509" s="252"/>
      <c r="R509" s="525"/>
      <c r="S509" s="256"/>
      <c r="T509" s="183"/>
      <c r="U509" s="183"/>
      <c r="V509" s="252"/>
      <c r="W509" s="524"/>
      <c r="X509" s="256"/>
      <c r="Y509" s="252"/>
      <c r="Z509" s="252">
        <f>IF(ISBLANK(O509),"",IF(O509="ACT",1,-1))</f>
        <v>1</v>
      </c>
      <c r="AA509" s="257"/>
      <c r="AC509" s="244"/>
      <c r="AD509" s="244"/>
      <c r="AE509" s="256"/>
      <c r="AF509" s="256"/>
    </row>
    <row r="510" spans="1:32" x14ac:dyDescent="0.3">
      <c r="A510" s="244"/>
      <c r="D510" s="512"/>
      <c r="E510" s="513"/>
      <c r="F510" s="515"/>
      <c r="G510" s="515"/>
      <c r="H510" s="540"/>
      <c r="I510" s="513"/>
      <c r="J510" s="255"/>
      <c r="K510" s="255"/>
      <c r="L510" s="513"/>
      <c r="M510" s="252" t="str">
        <f>M509</f>
        <v>RSDAHT</v>
      </c>
      <c r="N510" s="244"/>
      <c r="O510" s="244" t="str">
        <f>L507</f>
        <v>RSDGAS</v>
      </c>
      <c r="P510" s="252"/>
      <c r="Q510" s="252"/>
      <c r="R510" s="525"/>
      <c r="S510" s="256"/>
      <c r="T510" s="183"/>
      <c r="U510" s="183"/>
      <c r="V510" s="252"/>
      <c r="W510" s="524"/>
      <c r="X510" s="256"/>
      <c r="Y510" s="252"/>
      <c r="Z510" s="252">
        <f>IF(ISBLANK(O510),"",IF(O510="ACT",1,-1))</f>
        <v>-1</v>
      </c>
      <c r="AA510" s="257"/>
      <c r="AC510" s="244"/>
      <c r="AD510" s="244"/>
      <c r="AE510" s="256"/>
      <c r="AF510" s="256"/>
    </row>
    <row r="511" spans="1:32" x14ac:dyDescent="0.3">
      <c r="A511" s="235"/>
      <c r="C511" s="528" t="str">
        <f>'RSD (DEA)'!Z182</f>
        <v>HP_GAS_02</v>
      </c>
      <c r="D511" s="512" t="str">
        <f>RSD_HeatingDemand!N511&amp;"_"&amp;LEFT(C511,LEN(C511)-2)&amp;"02"</f>
        <v>RHHSB_HP_GAS_02</v>
      </c>
      <c r="E511" s="512" t="str">
        <f>"R"&amp;LEFT('RSD (DEA)'!AD182,2)&amp;IF(ISNUMBER(IFERROR(FIND("HTH",'RSD (DEA)'!Z182),IFERROR(FIND("HP",'RSD (DEA)'!Z182),"C"))),IF(IFERROR(FIND("HTH",'RSD (DEA)'!Z182),100)=100,"B","A"),"C")</f>
        <v>RHSB</v>
      </c>
      <c r="F511" s="515"/>
      <c r="G511" s="515"/>
      <c r="H511" s="540" t="str">
        <f t="shared" si="10"/>
        <v>RHHSB_HP_GAS_05</v>
      </c>
      <c r="I511" s="512" t="str">
        <f>'RSD (DEA)'!AA182</f>
        <v>Gas driven absorption heat pumps, brine-to-water</v>
      </c>
      <c r="J511" s="242" t="s">
        <v>239</v>
      </c>
      <c r="K511" s="242" t="s">
        <v>240</v>
      </c>
      <c r="L511" s="512" t="str">
        <f>'RSD (DEA)'!AH182</f>
        <v>RSDGAS</v>
      </c>
      <c r="M511" s="182" t="str">
        <f>'RSD (DEA)'!AI182</f>
        <v>RSDAHT</v>
      </c>
      <c r="N511" s="235" t="str">
        <f>LEFT('RSD (DEA)'!AJ182,2)&amp;RIGHT(E511,3)</f>
        <v>RHHSB</v>
      </c>
      <c r="O511" s="244"/>
      <c r="P511" s="182">
        <f>IF('RSD (DEA)'!P182&lt;RSD_HeatingDemand!$AH$15,RSD_HeatingDemand!$AH$15,'RSD (DEA)'!P182)</f>
        <v>2019</v>
      </c>
      <c r="Q511" s="182">
        <f>IF('RSD (DEA)'!X182&lt;RSD_HeatingDemand!$AH$15,RSD_HeatingDemand!$AH$15,'RSD (DEA)'!X182)</f>
        <v>2019</v>
      </c>
      <c r="R511" s="525">
        <f>IF(ISBLANK(I511),IF(MID(N511,2,2)="HA",VLOOKUP(I510,KEY_RSD_AF!$C$5:$G$52,2,FALSE),IF(MID(N511,2,2)="WA",VLOOKUP(I510,KEY_RSD_AF!$C$5:$G$52,3,FALSE),IF(MID(N511,2,2)="HH",VLOOKUP(I510,KEY_RSD_AF!$C$5:$G$52,4,FALSE),IF(MID(N511,2,2)="WH",VLOOKUP(I510,KEY_RSD_AF!$C$5:$G$52,5,FALSE))))),IF(MID(N511,2,2)="HA",VLOOKUP(I511,KEY_RSD_AF!$C$5:$G$52,2,FALSE),IF(MID(N511,2,2)="WA",VLOOKUP(I511,KEY_RSD_AF!$C$5:$G$52,3,FALSE),IF(MID(N511,2,2)="HH",VLOOKUP(I511,KEY_RSD_AF!$C$5:$G$52,4,FALSE),IF(MID(N511,2,2)="WH",VLOOKUP(I511,KEY_RSD_AF!$C$5:$G$52,5,FALSE))))))</f>
        <v>1</v>
      </c>
      <c r="S511" s="183">
        <f>'RSD (DEA)'!AZ182</f>
        <v>1.35</v>
      </c>
      <c r="T511" s="183">
        <f t="shared" ref="T511:T571" si="12">S511</f>
        <v>1.35</v>
      </c>
      <c r="U511" s="183">
        <v>0.5</v>
      </c>
      <c r="V511" s="182">
        <f>'RSD (DEA)'!BR182/'RSD (DEA)'!S182</f>
        <v>13.055555555555555</v>
      </c>
      <c r="W511" s="184">
        <f>'RSD (DEA)'!BS182/RSD_HeatingDemand!$AH$9</f>
        <v>0</v>
      </c>
      <c r="X511" s="183">
        <f>'RSD (DEA)'!BK182*RSD_HeatingDemand!$AH$10/'RSD (DEA)'!S182</f>
        <v>1222.2222222222222</v>
      </c>
      <c r="Y511" s="182">
        <f>'RSD (DEA)'!BI182</f>
        <v>20</v>
      </c>
      <c r="Z511" s="252" t="str">
        <f>IF(ISBLANK(O511),"",IF(O511="ACT",1,-1))</f>
        <v/>
      </c>
      <c r="AA511" s="236">
        <f>'RSD (DEA)'!AM182</f>
        <v>31.536000000000001</v>
      </c>
      <c r="AC511" s="235">
        <f>'RSD (DEA)'!S182</f>
        <v>18</v>
      </c>
      <c r="AD511" s="235" t="str">
        <f>LEFT('RSD (DEA)'!AK182,2)&amp;RIGHT(E511,3)</f>
        <v>RWHSB</v>
      </c>
      <c r="AE511" s="183">
        <f>'RSD (DEA)'!BA182</f>
        <v>0</v>
      </c>
      <c r="AF511" s="183"/>
    </row>
    <row r="512" spans="1:32" x14ac:dyDescent="0.3">
      <c r="A512" s="235"/>
      <c r="D512" s="512"/>
      <c r="E512" s="512"/>
      <c r="F512" s="515"/>
      <c r="G512" s="515"/>
      <c r="H512" s="540"/>
      <c r="I512" s="512"/>
      <c r="J512" s="242"/>
      <c r="K512" s="242"/>
      <c r="L512" s="512"/>
      <c r="M512" s="182"/>
      <c r="N512" s="318" t="str">
        <f>AD511</f>
        <v>RWHSB</v>
      </c>
      <c r="O512" s="244"/>
      <c r="P512" s="182"/>
      <c r="Q512" s="182"/>
      <c r="R512" s="525">
        <f>IF(ISBLANK(I512),IF(MID(N512,2,2)="HA",VLOOKUP(I511,KEY_RSD_AF!$C$5:$G$52,2,FALSE),IF(MID(N512,2,2)="WA",VLOOKUP(I511,KEY_RSD_AF!$C$5:$G$52,3,FALSE),IF(MID(N512,2,2)="HH",VLOOKUP(I511,KEY_RSD_AF!$C$5:$G$52,4,FALSE),IF(MID(N512,2,2)="WH",VLOOKUP(I511,KEY_RSD_AF!$C$5:$G$52,5,FALSE))))),IF(MID(N512,2,2)="HA",VLOOKUP(I512,KEY_RSD_AF!$C$5:$G$52,2,FALSE),IF(MID(N512,2,2)="WA",VLOOKUP(I512,KEY_RSD_AF!$C$5:$G$52,3,FALSE),IF(MID(N512,2,2)="HH",VLOOKUP(I512,KEY_RSD_AF!$C$5:$G$52,4,FALSE),IF(MID(N512,2,2)="WH",VLOOKUP(I512,KEY_RSD_AF!$C$5:$G$52,5,FALSE))))))</f>
        <v>1</v>
      </c>
      <c r="S512" s="503">
        <f>T511</f>
        <v>1.35</v>
      </c>
      <c r="T512" s="183"/>
      <c r="U512" s="183"/>
      <c r="V512" s="182"/>
      <c r="W512" s="184"/>
      <c r="X512" s="183"/>
      <c r="Y512" s="182"/>
      <c r="Z512" s="252"/>
      <c r="AA512" s="236"/>
      <c r="AC512" s="235"/>
      <c r="AD512" s="235"/>
      <c r="AE512" s="183"/>
      <c r="AF512" s="183"/>
    </row>
    <row r="513" spans="1:32" x14ac:dyDescent="0.3">
      <c r="A513" s="244"/>
      <c r="D513" s="512"/>
      <c r="E513" s="513"/>
      <c r="F513" s="515"/>
      <c r="G513" s="515"/>
      <c r="H513" s="540"/>
      <c r="I513" s="513"/>
      <c r="J513" s="255"/>
      <c r="K513" s="255"/>
      <c r="L513" s="513"/>
      <c r="M513" s="252" t="str">
        <f>M511</f>
        <v>RSDAHT</v>
      </c>
      <c r="N513" s="244"/>
      <c r="O513" s="244" t="str">
        <f>$AH$12</f>
        <v>ACT</v>
      </c>
      <c r="P513" s="252"/>
      <c r="Q513" s="252"/>
      <c r="R513" s="525"/>
      <c r="S513" s="256"/>
      <c r="T513" s="183"/>
      <c r="U513" s="183"/>
      <c r="V513" s="252"/>
      <c r="W513" s="524"/>
      <c r="X513" s="256"/>
      <c r="Y513" s="252"/>
      <c r="Z513" s="252">
        <f>IF(ISBLANK(O513),"",IF(O513="ACT",1,-1))</f>
        <v>1</v>
      </c>
      <c r="AA513" s="257"/>
      <c r="AC513" s="244"/>
      <c r="AD513" s="244"/>
      <c r="AE513" s="256"/>
      <c r="AF513" s="256"/>
    </row>
    <row r="514" spans="1:32" x14ac:dyDescent="0.3">
      <c r="A514" s="244"/>
      <c r="D514" s="512"/>
      <c r="E514" s="513"/>
      <c r="F514" s="515"/>
      <c r="G514" s="515"/>
      <c r="H514" s="540"/>
      <c r="I514" s="513"/>
      <c r="J514" s="255"/>
      <c r="K514" s="255"/>
      <c r="L514" s="513"/>
      <c r="M514" s="252" t="str">
        <f>M513</f>
        <v>RSDAHT</v>
      </c>
      <c r="N514" s="244"/>
      <c r="O514" s="244" t="str">
        <f>L511</f>
        <v>RSDGAS</v>
      </c>
      <c r="P514" s="252"/>
      <c r="Q514" s="252"/>
      <c r="R514" s="525"/>
      <c r="S514" s="256"/>
      <c r="T514" s="183"/>
      <c r="U514" s="183"/>
      <c r="V514" s="252"/>
      <c r="W514" s="524"/>
      <c r="X514" s="256"/>
      <c r="Y514" s="252"/>
      <c r="Z514" s="252">
        <f>IF(ISBLANK(O514),"",IF(O514="ACT",1,-1))</f>
        <v>-1</v>
      </c>
      <c r="AA514" s="257"/>
      <c r="AC514" s="244"/>
      <c r="AD514" s="244"/>
      <c r="AE514" s="256"/>
      <c r="AF514" s="256"/>
    </row>
    <row r="515" spans="1:32" x14ac:dyDescent="0.3">
      <c r="A515" s="235"/>
      <c r="C515" s="528" t="str">
        <f>'RSD (DEA)'!Z183</f>
        <v>HP_GAS_02</v>
      </c>
      <c r="D515" s="512" t="str">
        <f>RSD_HeatingDemand!N515&amp;"_"&amp;LEFT(C515,LEN(C515)-2)&amp;"02"</f>
        <v>RHHSB_HP_GAS_02</v>
      </c>
      <c r="E515" s="512" t="str">
        <f>"R"&amp;LEFT('RSD (DEA)'!AD183,2)&amp;IF(ISNUMBER(IFERROR(FIND("HTH",'RSD (DEA)'!Z183),IFERROR(FIND("HP",'RSD (DEA)'!Z183),"C"))),IF(IFERROR(FIND("HTH",'RSD (DEA)'!Z183),100)=100,"B","A"),"C")</f>
        <v>RHSB</v>
      </c>
      <c r="F515" s="515"/>
      <c r="G515" s="515"/>
      <c r="H515" s="540" t="str">
        <f t="shared" si="10"/>
        <v>RHHSB_HP_GAS_06</v>
      </c>
      <c r="I515" s="512" t="str">
        <f>'RSD (DEA)'!AA183</f>
        <v>Gas driven absorption heat pumps, brine-to-water</v>
      </c>
      <c r="J515" s="242" t="s">
        <v>239</v>
      </c>
      <c r="K515" s="242" t="s">
        <v>240</v>
      </c>
      <c r="L515" s="512" t="str">
        <f>'RSD (DEA)'!AH183</f>
        <v>RSDGAS</v>
      </c>
      <c r="M515" s="182" t="str">
        <f>'RSD (DEA)'!AI183</f>
        <v>RSDAHT</v>
      </c>
      <c r="N515" s="235" t="str">
        <f>LEFT('RSD (DEA)'!AJ183,2)&amp;RIGHT(E515,3)</f>
        <v>RHHSB</v>
      </c>
      <c r="O515" s="244"/>
      <c r="P515" s="182">
        <f>IF('RSD (DEA)'!P183&lt;RSD_HeatingDemand!$AH$15,RSD_HeatingDemand!$AH$15,'RSD (DEA)'!P183)</f>
        <v>2019</v>
      </c>
      <c r="Q515" s="182">
        <f>IF('RSD (DEA)'!X183&lt;RSD_HeatingDemand!$AH$15,RSD_HeatingDemand!$AH$15,'RSD (DEA)'!X183)</f>
        <v>2020</v>
      </c>
      <c r="R515" s="525">
        <f>IF(ISBLANK(I515),IF(MID(N515,2,2)="HA",VLOOKUP(I514,KEY_RSD_AF!$C$5:$G$52,2,FALSE),IF(MID(N515,2,2)="WA",VLOOKUP(I514,KEY_RSD_AF!$C$5:$G$52,3,FALSE),IF(MID(N515,2,2)="HH",VLOOKUP(I514,KEY_RSD_AF!$C$5:$G$52,4,FALSE),IF(MID(N515,2,2)="WH",VLOOKUP(I514,KEY_RSD_AF!$C$5:$G$52,5,FALSE))))),IF(MID(N515,2,2)="HA",VLOOKUP(I515,KEY_RSD_AF!$C$5:$G$52,2,FALSE),IF(MID(N515,2,2)="WA",VLOOKUP(I515,KEY_RSD_AF!$C$5:$G$52,3,FALSE),IF(MID(N515,2,2)="HH",VLOOKUP(I515,KEY_RSD_AF!$C$5:$G$52,4,FALSE),IF(MID(N515,2,2)="WH",VLOOKUP(I515,KEY_RSD_AF!$C$5:$G$52,5,FALSE))))))</f>
        <v>1</v>
      </c>
      <c r="S515" s="183">
        <f>'RSD (DEA)'!AZ183</f>
        <v>1.45</v>
      </c>
      <c r="T515" s="183">
        <f t="shared" si="12"/>
        <v>1.45</v>
      </c>
      <c r="U515" s="183">
        <v>0.5</v>
      </c>
      <c r="V515" s="182">
        <f>'RSD (DEA)'!BR183/'RSD (DEA)'!S183</f>
        <v>7.833333333333333</v>
      </c>
      <c r="W515" s="184">
        <f>'RSD (DEA)'!BS183/RSD_HeatingDemand!$AH$9</f>
        <v>0</v>
      </c>
      <c r="X515" s="183">
        <f>'RSD (DEA)'!BK183*RSD_HeatingDemand!$AH$10/'RSD (DEA)'!S183</f>
        <v>700</v>
      </c>
      <c r="Y515" s="182">
        <f>'RSD (DEA)'!BI183</f>
        <v>20</v>
      </c>
      <c r="Z515" s="252" t="str">
        <f>IF(ISBLANK(O515),"",IF(O515="ACT",1,-1))</f>
        <v/>
      </c>
      <c r="AA515" s="236">
        <f>'RSD (DEA)'!AM183</f>
        <v>31.536000000000001</v>
      </c>
      <c r="AC515" s="235">
        <f>'RSD (DEA)'!S183</f>
        <v>30</v>
      </c>
      <c r="AD515" s="235" t="str">
        <f>LEFT('RSD (DEA)'!AK183,2)&amp;RIGHT(E515,3)</f>
        <v>RWHSB</v>
      </c>
      <c r="AE515" s="183">
        <f>'RSD (DEA)'!BA183</f>
        <v>0</v>
      </c>
      <c r="AF515" s="183"/>
    </row>
    <row r="516" spans="1:32" x14ac:dyDescent="0.3">
      <c r="A516" s="235"/>
      <c r="D516" s="512"/>
      <c r="E516" s="512"/>
      <c r="F516" s="515"/>
      <c r="G516" s="515"/>
      <c r="H516" s="540"/>
      <c r="I516" s="512"/>
      <c r="J516" s="242"/>
      <c r="K516" s="242"/>
      <c r="L516" s="512"/>
      <c r="M516" s="182"/>
      <c r="N516" s="318" t="str">
        <f>AD515</f>
        <v>RWHSB</v>
      </c>
      <c r="O516" s="244"/>
      <c r="P516" s="182"/>
      <c r="Q516" s="182"/>
      <c r="R516" s="525">
        <f>IF(ISBLANK(I516),IF(MID(N516,2,2)="HA",VLOOKUP(I515,KEY_RSD_AF!$C$5:$G$52,2,FALSE),IF(MID(N516,2,2)="WA",VLOOKUP(I515,KEY_RSD_AF!$C$5:$G$52,3,FALSE),IF(MID(N516,2,2)="HH",VLOOKUP(I515,KEY_RSD_AF!$C$5:$G$52,4,FALSE),IF(MID(N516,2,2)="WH",VLOOKUP(I515,KEY_RSD_AF!$C$5:$G$52,5,FALSE))))),IF(MID(N516,2,2)="HA",VLOOKUP(I516,KEY_RSD_AF!$C$5:$G$52,2,FALSE),IF(MID(N516,2,2)="WA",VLOOKUP(I516,KEY_RSD_AF!$C$5:$G$52,3,FALSE),IF(MID(N516,2,2)="HH",VLOOKUP(I516,KEY_RSD_AF!$C$5:$G$52,4,FALSE),IF(MID(N516,2,2)="WH",VLOOKUP(I516,KEY_RSD_AF!$C$5:$G$52,5,FALSE))))))</f>
        <v>1</v>
      </c>
      <c r="S516" s="503">
        <f>T515</f>
        <v>1.45</v>
      </c>
      <c r="T516" s="183"/>
      <c r="U516" s="183"/>
      <c r="V516" s="182"/>
      <c r="W516" s="184"/>
      <c r="X516" s="183"/>
      <c r="Y516" s="182"/>
      <c r="Z516" s="252"/>
      <c r="AA516" s="236"/>
      <c r="AC516" s="235"/>
      <c r="AD516" s="235"/>
      <c r="AE516" s="183"/>
      <c r="AF516" s="183"/>
    </row>
    <row r="517" spans="1:32" x14ac:dyDescent="0.3">
      <c r="A517" s="244"/>
      <c r="D517" s="512"/>
      <c r="E517" s="513"/>
      <c r="F517" s="515"/>
      <c r="G517" s="515"/>
      <c r="H517" s="540"/>
      <c r="I517" s="513"/>
      <c r="J517" s="255"/>
      <c r="K517" s="255"/>
      <c r="L517" s="513"/>
      <c r="M517" s="252" t="str">
        <f>M515</f>
        <v>RSDAHT</v>
      </c>
      <c r="N517" s="244"/>
      <c r="O517" s="244" t="str">
        <f>$AH$12</f>
        <v>ACT</v>
      </c>
      <c r="P517" s="252"/>
      <c r="Q517" s="252"/>
      <c r="R517" s="525"/>
      <c r="S517" s="256"/>
      <c r="T517" s="183"/>
      <c r="U517" s="183"/>
      <c r="V517" s="252"/>
      <c r="W517" s="524"/>
      <c r="X517" s="256"/>
      <c r="Y517" s="252"/>
      <c r="Z517" s="252">
        <f>IF(ISBLANK(O517),"",IF(O517="ACT",1,-1))</f>
        <v>1</v>
      </c>
      <c r="AA517" s="257"/>
      <c r="AC517" s="244"/>
      <c r="AD517" s="244"/>
      <c r="AE517" s="256"/>
      <c r="AF517" s="256"/>
    </row>
    <row r="518" spans="1:32" x14ac:dyDescent="0.3">
      <c r="A518" s="244"/>
      <c r="D518" s="512"/>
      <c r="E518" s="513"/>
      <c r="F518" s="515"/>
      <c r="G518" s="515"/>
      <c r="H518" s="540"/>
      <c r="I518" s="513"/>
      <c r="J518" s="255"/>
      <c r="K518" s="255"/>
      <c r="L518" s="513"/>
      <c r="M518" s="252" t="str">
        <f>M517</f>
        <v>RSDAHT</v>
      </c>
      <c r="N518" s="244"/>
      <c r="O518" s="244" t="str">
        <f>L515</f>
        <v>RSDGAS</v>
      </c>
      <c r="P518" s="252"/>
      <c r="Q518" s="252"/>
      <c r="R518" s="525"/>
      <c r="S518" s="256"/>
      <c r="T518" s="183"/>
      <c r="U518" s="183"/>
      <c r="V518" s="252"/>
      <c r="W518" s="524"/>
      <c r="X518" s="256"/>
      <c r="Y518" s="252"/>
      <c r="Z518" s="252">
        <f>IF(ISBLANK(O518),"",IF(O518="ACT",1,-1))</f>
        <v>-1</v>
      </c>
      <c r="AA518" s="257"/>
      <c r="AC518" s="244"/>
      <c r="AD518" s="244"/>
      <c r="AE518" s="256"/>
      <c r="AF518" s="256"/>
    </row>
    <row r="519" spans="1:32" x14ac:dyDescent="0.3">
      <c r="A519" s="235"/>
      <c r="C519" s="528" t="str">
        <f>'RSD (DEA)'!Z184</f>
        <v>HP_GAS_02</v>
      </c>
      <c r="D519" s="512" t="str">
        <f>RSD_HeatingDemand!N519&amp;"_"&amp;LEFT(C519,LEN(C519)-2)&amp;"02"</f>
        <v>RHHSB_HP_GAS_02</v>
      </c>
      <c r="E519" s="512" t="str">
        <f>"R"&amp;LEFT('RSD (DEA)'!AD184,2)&amp;IF(ISNUMBER(IFERROR(FIND("HTH",'RSD (DEA)'!Z184),IFERROR(FIND("HP",'RSD (DEA)'!Z184),"C"))),IF(IFERROR(FIND("HTH",'RSD (DEA)'!Z184),100)=100,"B","A"),"C")</f>
        <v>RHSB</v>
      </c>
      <c r="F519" s="515"/>
      <c r="G519" s="515"/>
      <c r="H519" s="540" t="str">
        <f t="shared" si="10"/>
        <v>RHHSB_HP_GAS_07</v>
      </c>
      <c r="I519" s="512" t="str">
        <f>'RSD (DEA)'!AA184</f>
        <v>Gas driven absorption heat pumps, brine-to-water</v>
      </c>
      <c r="J519" s="242" t="s">
        <v>239</v>
      </c>
      <c r="K519" s="242" t="s">
        <v>240</v>
      </c>
      <c r="L519" s="512" t="str">
        <f>'RSD (DEA)'!AH184</f>
        <v>RSDGAS</v>
      </c>
      <c r="M519" s="182" t="str">
        <f>'RSD (DEA)'!AI184</f>
        <v>RSDAHT</v>
      </c>
      <c r="N519" s="235" t="str">
        <f>LEFT('RSD (DEA)'!AJ184,2)&amp;RIGHT(E519,3)</f>
        <v>RHHSB</v>
      </c>
      <c r="O519" s="244"/>
      <c r="P519" s="182">
        <f>IF('RSD (DEA)'!P184&lt;RSD_HeatingDemand!$AH$15,RSD_HeatingDemand!$AH$15,'RSD (DEA)'!P184)</f>
        <v>2019</v>
      </c>
      <c r="Q519" s="182">
        <f>IF('RSD (DEA)'!X184&lt;RSD_HeatingDemand!$AH$15,RSD_HeatingDemand!$AH$15,'RSD (DEA)'!X184)</f>
        <v>2030</v>
      </c>
      <c r="R519" s="525">
        <f>IF(ISBLANK(I519),IF(MID(N519,2,2)="HA",VLOOKUP(I518,KEY_RSD_AF!$C$5:$G$52,2,FALSE),IF(MID(N519,2,2)="WA",VLOOKUP(I518,KEY_RSD_AF!$C$5:$G$52,3,FALSE),IF(MID(N519,2,2)="HH",VLOOKUP(I518,KEY_RSD_AF!$C$5:$G$52,4,FALSE),IF(MID(N519,2,2)="WH",VLOOKUP(I518,KEY_RSD_AF!$C$5:$G$52,5,FALSE))))),IF(MID(N519,2,2)="HA",VLOOKUP(I519,KEY_RSD_AF!$C$5:$G$52,2,FALSE),IF(MID(N519,2,2)="WA",VLOOKUP(I519,KEY_RSD_AF!$C$5:$G$52,3,FALSE),IF(MID(N519,2,2)="HH",VLOOKUP(I519,KEY_RSD_AF!$C$5:$G$52,4,FALSE),IF(MID(N519,2,2)="WH",VLOOKUP(I519,KEY_RSD_AF!$C$5:$G$52,5,FALSE))))))</f>
        <v>1</v>
      </c>
      <c r="S519" s="183">
        <f>'RSD (DEA)'!AZ184</f>
        <v>1.7</v>
      </c>
      <c r="T519" s="183">
        <f t="shared" si="12"/>
        <v>1.7</v>
      </c>
      <c r="U519" s="183">
        <v>0.5</v>
      </c>
      <c r="V519" s="182">
        <f>'RSD (DEA)'!BR184/'RSD (DEA)'!S184</f>
        <v>7.833333333333333</v>
      </c>
      <c r="W519" s="184">
        <f>'RSD (DEA)'!BS184/RSD_HeatingDemand!$AH$9</f>
        <v>0</v>
      </c>
      <c r="X519" s="183">
        <f>'RSD (DEA)'!BK184*RSD_HeatingDemand!$AH$10/'RSD (DEA)'!S184</f>
        <v>666.66666666666663</v>
      </c>
      <c r="Y519" s="182">
        <f>'RSD (DEA)'!BI184</f>
        <v>20</v>
      </c>
      <c r="Z519" s="252" t="str">
        <f>IF(ISBLANK(O519),"",IF(O519="ACT",1,-1))</f>
        <v/>
      </c>
      <c r="AA519" s="236">
        <f>'RSD (DEA)'!AM184</f>
        <v>31.536000000000001</v>
      </c>
      <c r="AC519" s="235">
        <f>'RSD (DEA)'!S184</f>
        <v>30</v>
      </c>
      <c r="AD519" s="235" t="str">
        <f>LEFT('RSD (DEA)'!AK184,2)&amp;RIGHT(E519,3)</f>
        <v>RWHSB</v>
      </c>
      <c r="AE519" s="183">
        <f>'RSD (DEA)'!BA184</f>
        <v>0</v>
      </c>
      <c r="AF519" s="183"/>
    </row>
    <row r="520" spans="1:32" x14ac:dyDescent="0.3">
      <c r="A520" s="235"/>
      <c r="D520" s="512"/>
      <c r="E520" s="512"/>
      <c r="F520" s="515"/>
      <c r="G520" s="515"/>
      <c r="H520" s="540"/>
      <c r="I520" s="512"/>
      <c r="J520" s="242"/>
      <c r="K520" s="242"/>
      <c r="L520" s="512"/>
      <c r="M520" s="182"/>
      <c r="N520" s="318" t="str">
        <f>AD519</f>
        <v>RWHSB</v>
      </c>
      <c r="O520" s="244"/>
      <c r="P520" s="182"/>
      <c r="Q520" s="182"/>
      <c r="R520" s="525">
        <f>IF(ISBLANK(I520),IF(MID(N520,2,2)="HA",VLOOKUP(I519,KEY_RSD_AF!$C$5:$G$52,2,FALSE),IF(MID(N520,2,2)="WA",VLOOKUP(I519,KEY_RSD_AF!$C$5:$G$52,3,FALSE),IF(MID(N520,2,2)="HH",VLOOKUP(I519,KEY_RSD_AF!$C$5:$G$52,4,FALSE),IF(MID(N520,2,2)="WH",VLOOKUP(I519,KEY_RSD_AF!$C$5:$G$52,5,FALSE))))),IF(MID(N520,2,2)="HA",VLOOKUP(I520,KEY_RSD_AF!$C$5:$G$52,2,FALSE),IF(MID(N520,2,2)="WA",VLOOKUP(I520,KEY_RSD_AF!$C$5:$G$52,3,FALSE),IF(MID(N520,2,2)="HH",VLOOKUP(I520,KEY_RSD_AF!$C$5:$G$52,4,FALSE),IF(MID(N520,2,2)="WH",VLOOKUP(I520,KEY_RSD_AF!$C$5:$G$52,5,FALSE))))))</f>
        <v>1</v>
      </c>
      <c r="S520" s="503">
        <f>T519</f>
        <v>1.7</v>
      </c>
      <c r="T520" s="183"/>
      <c r="U520" s="183"/>
      <c r="V520" s="182"/>
      <c r="W520" s="184"/>
      <c r="X520" s="183"/>
      <c r="Y520" s="182"/>
      <c r="Z520" s="252"/>
      <c r="AA520" s="236"/>
      <c r="AC520" s="235"/>
      <c r="AD520" s="235"/>
      <c r="AE520" s="183"/>
      <c r="AF520" s="183"/>
    </row>
    <row r="521" spans="1:32" x14ac:dyDescent="0.3">
      <c r="A521" s="244"/>
      <c r="D521" s="512"/>
      <c r="E521" s="513"/>
      <c r="F521" s="515"/>
      <c r="G521" s="515"/>
      <c r="H521" s="540"/>
      <c r="I521" s="513"/>
      <c r="J521" s="255"/>
      <c r="K521" s="255"/>
      <c r="L521" s="513"/>
      <c r="M521" s="252" t="str">
        <f>M519</f>
        <v>RSDAHT</v>
      </c>
      <c r="N521" s="244"/>
      <c r="O521" s="244" t="str">
        <f>$AH$12</f>
        <v>ACT</v>
      </c>
      <c r="P521" s="252"/>
      <c r="Q521" s="252"/>
      <c r="R521" s="525"/>
      <c r="S521" s="256"/>
      <c r="T521" s="183"/>
      <c r="U521" s="183"/>
      <c r="V521" s="252"/>
      <c r="W521" s="524"/>
      <c r="X521" s="256"/>
      <c r="Y521" s="252"/>
      <c r="Z521" s="252">
        <f>IF(ISBLANK(O521),"",IF(O521="ACT",1,-1))</f>
        <v>1</v>
      </c>
      <c r="AA521" s="257"/>
      <c r="AC521" s="244"/>
      <c r="AD521" s="244"/>
      <c r="AE521" s="256"/>
      <c r="AF521" s="256"/>
    </row>
    <row r="522" spans="1:32" x14ac:dyDescent="0.3">
      <c r="A522" s="244"/>
      <c r="D522" s="512"/>
      <c r="E522" s="513"/>
      <c r="F522" s="515"/>
      <c r="G522" s="515"/>
      <c r="H522" s="540"/>
      <c r="I522" s="513"/>
      <c r="J522" s="255"/>
      <c r="K522" s="255"/>
      <c r="L522" s="513"/>
      <c r="M522" s="252" t="str">
        <f>M521</f>
        <v>RSDAHT</v>
      </c>
      <c r="N522" s="244"/>
      <c r="O522" s="244" t="str">
        <f>L519</f>
        <v>RSDGAS</v>
      </c>
      <c r="P522" s="252"/>
      <c r="Q522" s="252"/>
      <c r="R522" s="525"/>
      <c r="S522" s="256"/>
      <c r="T522" s="183"/>
      <c r="U522" s="183"/>
      <c r="V522" s="252"/>
      <c r="W522" s="524"/>
      <c r="X522" s="256"/>
      <c r="Y522" s="252"/>
      <c r="Z522" s="252">
        <f>IF(ISBLANK(O522),"",IF(O522="ACT",1,-1))</f>
        <v>-1</v>
      </c>
      <c r="AA522" s="257"/>
      <c r="AC522" s="244"/>
      <c r="AD522" s="244"/>
      <c r="AE522" s="256"/>
      <c r="AF522" s="256"/>
    </row>
    <row r="523" spans="1:32" x14ac:dyDescent="0.3">
      <c r="A523" s="235"/>
      <c r="C523" s="528" t="str">
        <f>'RSD (DEA)'!Z185</f>
        <v>HP_GAS_02</v>
      </c>
      <c r="D523" s="512" t="str">
        <f>RSD_HeatingDemand!N523&amp;"_"&amp;LEFT(C523,LEN(C523)-2)&amp;"02"</f>
        <v>RHHSB_HP_GAS_02</v>
      </c>
      <c r="E523" s="512" t="str">
        <f>"R"&amp;LEFT('RSD (DEA)'!AD185,2)&amp;IF(ISNUMBER(IFERROR(FIND("HTH",'RSD (DEA)'!Z185),IFERROR(FIND("HP",'RSD (DEA)'!Z185),"C"))),IF(IFERROR(FIND("HTH",'RSD (DEA)'!Z185),100)=100,"B","A"),"C")</f>
        <v>RHSB</v>
      </c>
      <c r="F523" s="515"/>
      <c r="G523" s="515"/>
      <c r="H523" s="540" t="str">
        <f t="shared" si="10"/>
        <v>RHHSB_HP_GAS_08</v>
      </c>
      <c r="I523" s="512" t="str">
        <f>'RSD (DEA)'!AA185</f>
        <v>Gas driven absorption heat pumps, brine-to-water</v>
      </c>
      <c r="J523" s="242" t="s">
        <v>239</v>
      </c>
      <c r="K523" s="242" t="s">
        <v>240</v>
      </c>
      <c r="L523" s="512" t="str">
        <f>'RSD (DEA)'!AH185</f>
        <v>RSDGAS</v>
      </c>
      <c r="M523" s="182" t="str">
        <f>'RSD (DEA)'!AI185</f>
        <v>RSDAHT</v>
      </c>
      <c r="N523" s="235" t="str">
        <f>LEFT('RSD (DEA)'!AJ185,2)&amp;RIGHT(E523,3)</f>
        <v>RHHSB</v>
      </c>
      <c r="O523" s="244"/>
      <c r="P523" s="182">
        <f>IF('RSD (DEA)'!P185&lt;RSD_HeatingDemand!$AH$15,RSD_HeatingDemand!$AH$15,'RSD (DEA)'!P185)</f>
        <v>2019</v>
      </c>
      <c r="Q523" s="182">
        <f>IF('RSD (DEA)'!X185&lt;RSD_HeatingDemand!$AH$15,RSD_HeatingDemand!$AH$15,'RSD (DEA)'!X185)</f>
        <v>2050</v>
      </c>
      <c r="R523" s="525">
        <f>IF(ISBLANK(I523),IF(MID(N523,2,2)="HA",VLOOKUP(I522,KEY_RSD_AF!$C$5:$G$52,2,FALSE),IF(MID(N523,2,2)="WA",VLOOKUP(I522,KEY_RSD_AF!$C$5:$G$52,3,FALSE),IF(MID(N523,2,2)="HH",VLOOKUP(I522,KEY_RSD_AF!$C$5:$G$52,4,FALSE),IF(MID(N523,2,2)="WH",VLOOKUP(I522,KEY_RSD_AF!$C$5:$G$52,5,FALSE))))),IF(MID(N523,2,2)="HA",VLOOKUP(I523,KEY_RSD_AF!$C$5:$G$52,2,FALSE),IF(MID(N523,2,2)="WA",VLOOKUP(I523,KEY_RSD_AF!$C$5:$G$52,3,FALSE),IF(MID(N523,2,2)="HH",VLOOKUP(I523,KEY_RSD_AF!$C$5:$G$52,4,FALSE),IF(MID(N523,2,2)="WH",VLOOKUP(I523,KEY_RSD_AF!$C$5:$G$52,5,FALSE))))))</f>
        <v>1</v>
      </c>
      <c r="S523" s="183">
        <f>'RSD (DEA)'!AZ185</f>
        <v>1.7</v>
      </c>
      <c r="T523" s="183">
        <f t="shared" si="12"/>
        <v>1.7</v>
      </c>
      <c r="U523" s="183">
        <v>0.5</v>
      </c>
      <c r="V523" s="182">
        <f>'RSD (DEA)'!BR185/'RSD (DEA)'!S185</f>
        <v>7.833333333333333</v>
      </c>
      <c r="W523" s="184">
        <f>'RSD (DEA)'!BS185/RSD_HeatingDemand!$AH$9</f>
        <v>0</v>
      </c>
      <c r="X523" s="183">
        <f>'RSD (DEA)'!BK185*RSD_HeatingDemand!$AH$10/'RSD (DEA)'!S185</f>
        <v>600</v>
      </c>
      <c r="Y523" s="182">
        <f>'RSD (DEA)'!BI185</f>
        <v>20</v>
      </c>
      <c r="Z523" s="252" t="str">
        <f>IF(ISBLANK(O523),"",IF(O523="ACT",1,-1))</f>
        <v/>
      </c>
      <c r="AA523" s="236">
        <f>'RSD (DEA)'!AM185</f>
        <v>31.536000000000001</v>
      </c>
      <c r="AC523" s="235">
        <f>'RSD (DEA)'!S185</f>
        <v>30</v>
      </c>
      <c r="AD523" s="235" t="str">
        <f>LEFT('RSD (DEA)'!AK185,2)&amp;RIGHT(E523,3)</f>
        <v>RWHSB</v>
      </c>
      <c r="AE523" s="183">
        <f>'RSD (DEA)'!BA185</f>
        <v>0</v>
      </c>
      <c r="AF523" s="183"/>
    </row>
    <row r="524" spans="1:32" x14ac:dyDescent="0.3">
      <c r="A524" s="235"/>
      <c r="D524" s="512"/>
      <c r="E524" s="512"/>
      <c r="F524" s="515"/>
      <c r="G524" s="515"/>
      <c r="H524" s="540"/>
      <c r="I524" s="512"/>
      <c r="J524" s="242"/>
      <c r="K524" s="242"/>
      <c r="L524" s="512"/>
      <c r="M524" s="182"/>
      <c r="N524" s="318" t="str">
        <f>AD523</f>
        <v>RWHSB</v>
      </c>
      <c r="O524" s="244"/>
      <c r="P524" s="182"/>
      <c r="Q524" s="182"/>
      <c r="R524" s="525">
        <f>IF(ISBLANK(I524),IF(MID(N524,2,2)="HA",VLOOKUP(I523,KEY_RSD_AF!$C$5:$G$52,2,FALSE),IF(MID(N524,2,2)="WA",VLOOKUP(I523,KEY_RSD_AF!$C$5:$G$52,3,FALSE),IF(MID(N524,2,2)="HH",VLOOKUP(I523,KEY_RSD_AF!$C$5:$G$52,4,FALSE),IF(MID(N524,2,2)="WH",VLOOKUP(I523,KEY_RSD_AF!$C$5:$G$52,5,FALSE))))),IF(MID(N524,2,2)="HA",VLOOKUP(I524,KEY_RSD_AF!$C$5:$G$52,2,FALSE),IF(MID(N524,2,2)="WA",VLOOKUP(I524,KEY_RSD_AF!$C$5:$G$52,3,FALSE),IF(MID(N524,2,2)="HH",VLOOKUP(I524,KEY_RSD_AF!$C$5:$G$52,4,FALSE),IF(MID(N524,2,2)="WH",VLOOKUP(I524,KEY_RSD_AF!$C$5:$G$52,5,FALSE))))))</f>
        <v>1</v>
      </c>
      <c r="S524" s="503">
        <f>T523</f>
        <v>1.7</v>
      </c>
      <c r="T524" s="183"/>
      <c r="U524" s="183"/>
      <c r="V524" s="182"/>
      <c r="W524" s="184"/>
      <c r="X524" s="183"/>
      <c r="Y524" s="182"/>
      <c r="Z524" s="252"/>
      <c r="AA524" s="236"/>
      <c r="AC524" s="235"/>
      <c r="AD524" s="235"/>
      <c r="AE524" s="183"/>
      <c r="AF524" s="183"/>
    </row>
    <row r="525" spans="1:32" x14ac:dyDescent="0.3">
      <c r="A525" s="244"/>
      <c r="D525" s="512"/>
      <c r="E525" s="513"/>
      <c r="F525" s="515"/>
      <c r="G525" s="515"/>
      <c r="H525" s="540"/>
      <c r="I525" s="513"/>
      <c r="J525" s="255"/>
      <c r="K525" s="255"/>
      <c r="L525" s="513"/>
      <c r="M525" s="252" t="str">
        <f>M523</f>
        <v>RSDAHT</v>
      </c>
      <c r="N525" s="244"/>
      <c r="O525" s="244" t="str">
        <f>$AH$12</f>
        <v>ACT</v>
      </c>
      <c r="P525" s="252"/>
      <c r="Q525" s="252"/>
      <c r="R525" s="525"/>
      <c r="S525" s="256"/>
      <c r="T525" s="183"/>
      <c r="U525" s="183"/>
      <c r="V525" s="252"/>
      <c r="W525" s="524"/>
      <c r="X525" s="256"/>
      <c r="Y525" s="252"/>
      <c r="Z525" s="252">
        <f>IF(ISBLANK(O525),"",IF(O525="ACT",1,-1))</f>
        <v>1</v>
      </c>
      <c r="AA525" s="257"/>
      <c r="AC525" s="244"/>
      <c r="AD525" s="244"/>
      <c r="AE525" s="256"/>
      <c r="AF525" s="256"/>
    </row>
    <row r="526" spans="1:32" x14ac:dyDescent="0.3">
      <c r="A526" s="244"/>
      <c r="D526" s="512"/>
      <c r="E526" s="513"/>
      <c r="F526" s="515"/>
      <c r="G526" s="515"/>
      <c r="H526" s="540"/>
      <c r="I526" s="513"/>
      <c r="J526" s="255"/>
      <c r="K526" s="255"/>
      <c r="L526" s="513"/>
      <c r="M526" s="252" t="str">
        <f>M525</f>
        <v>RSDAHT</v>
      </c>
      <c r="N526" s="244"/>
      <c r="O526" s="244" t="str">
        <f>L523</f>
        <v>RSDGAS</v>
      </c>
      <c r="P526" s="252"/>
      <c r="Q526" s="252"/>
      <c r="R526" s="525"/>
      <c r="S526" s="256"/>
      <c r="T526" s="183"/>
      <c r="U526" s="183"/>
      <c r="V526" s="252"/>
      <c r="W526" s="524"/>
      <c r="X526" s="256"/>
      <c r="Y526" s="252"/>
      <c r="Z526" s="252">
        <f>IF(ISBLANK(O526),"",IF(O526="ACT",1,-1))</f>
        <v>-1</v>
      </c>
      <c r="AA526" s="257"/>
      <c r="AC526" s="244"/>
      <c r="AD526" s="244"/>
      <c r="AE526" s="256"/>
      <c r="AF526" s="256"/>
    </row>
    <row r="527" spans="1:32" x14ac:dyDescent="0.3">
      <c r="A527" s="235"/>
      <c r="C527" s="528" t="str">
        <f>'RSD (DEA)'!Z186</f>
        <v>HP_GAS_03</v>
      </c>
      <c r="D527" s="512" t="str">
        <f>RSD_HeatingDemand!N527&amp;"_"&amp;LEFT(C527,LEN(C527)-2)&amp;"03"</f>
        <v>RHAPB_HP_GAS_03</v>
      </c>
      <c r="E527" s="512" t="str">
        <f>"R"&amp;LEFT('RSD (DEA)'!AD186,2)&amp;IF(ISNUMBER(IFERROR(FIND("HTH",'RSD (DEA)'!Z186),IFERROR(FIND("HP",'RSD (DEA)'!Z186),"C"))),IF(IFERROR(FIND("HTH",'RSD (DEA)'!Z186),100)=100,"B","A"),"C")</f>
        <v>RAPB</v>
      </c>
      <c r="F527" s="515"/>
      <c r="G527" s="515"/>
      <c r="H527" s="540" t="str">
        <f t="shared" si="10"/>
        <v>RHAPB_HP_GAS_03</v>
      </c>
      <c r="I527" s="512" t="str">
        <f>'RSD (DEA)'!AA186</f>
        <v>Gas driven absorption heat pumps, air-to-water</v>
      </c>
      <c r="J527" s="242" t="s">
        <v>239</v>
      </c>
      <c r="K527" s="242" t="s">
        <v>240</v>
      </c>
      <c r="L527" s="512" t="str">
        <f>'RSD (DEA)'!AH186</f>
        <v>RSDGAS</v>
      </c>
      <c r="M527" s="182" t="str">
        <f>'RSD (DEA)'!AI186</f>
        <v>RSDAHT</v>
      </c>
      <c r="N527" s="235" t="str">
        <f>LEFT('RSD (DEA)'!AJ186,2)&amp;RIGHT(E527,3)</f>
        <v>RHAPB</v>
      </c>
      <c r="O527" s="244"/>
      <c r="P527" s="182">
        <f>IF('RSD (DEA)'!P186&lt;RSD_HeatingDemand!$AH$15,RSD_HeatingDemand!$AH$15,'RSD (DEA)'!P186)</f>
        <v>2019</v>
      </c>
      <c r="Q527" s="182">
        <f>IF('RSD (DEA)'!X186&lt;RSD_HeatingDemand!$AH$15,RSD_HeatingDemand!$AH$15,'RSD (DEA)'!X186)</f>
        <v>2019</v>
      </c>
      <c r="R527" s="525">
        <f>IF(ISBLANK(I527),IF(MID(N527,2,2)="HA",VLOOKUP(I526,KEY_RSD_AF!$C$5:$G$52,2,FALSE),IF(MID(N527,2,2)="WA",VLOOKUP(I526,KEY_RSD_AF!$C$5:$G$52,3,FALSE),IF(MID(N527,2,2)="HH",VLOOKUP(I526,KEY_RSD_AF!$C$5:$G$52,4,FALSE),IF(MID(N527,2,2)="WH",VLOOKUP(I526,KEY_RSD_AF!$C$5:$G$52,5,FALSE))))),IF(MID(N527,2,2)="HA",VLOOKUP(I527,KEY_RSD_AF!$C$5:$G$52,2,FALSE),IF(MID(N527,2,2)="WA",VLOOKUP(I527,KEY_RSD_AF!$C$5:$G$52,3,FALSE),IF(MID(N527,2,2)="HH",VLOOKUP(I527,KEY_RSD_AF!$C$5:$G$52,4,FALSE),IF(MID(N527,2,2)="WH",VLOOKUP(I527,KEY_RSD_AF!$C$5:$G$52,5,FALSE))))))</f>
        <v>1</v>
      </c>
      <c r="S527" s="183">
        <f>'RSD (DEA)'!AZ186</f>
        <v>1.35</v>
      </c>
      <c r="T527" s="183">
        <f t="shared" si="12"/>
        <v>1.35</v>
      </c>
      <c r="U527" s="183">
        <v>0.5</v>
      </c>
      <c r="V527" s="182">
        <f>'RSD (DEA)'!BR186/'RSD (DEA)'!S186</f>
        <v>5.3409090909090908</v>
      </c>
      <c r="W527" s="184">
        <f>'RSD (DEA)'!BS186/RSD_HeatingDemand!$AH$9</f>
        <v>0</v>
      </c>
      <c r="X527" s="183">
        <f>'RSD (DEA)'!BK186*RSD_HeatingDemand!$AH$10/'RSD (DEA)'!S186</f>
        <v>445.45454545454544</v>
      </c>
      <c r="Y527" s="182">
        <f>'RSD (DEA)'!BI186</f>
        <v>20</v>
      </c>
      <c r="Z527" s="252" t="str">
        <f>IF(ISBLANK(O527),"",IF(O527="ACT",1,-1))</f>
        <v/>
      </c>
      <c r="AA527" s="236">
        <f>'RSD (DEA)'!AM186</f>
        <v>31.536000000000001</v>
      </c>
      <c r="AC527" s="235">
        <f>'RSD (DEA)'!S186</f>
        <v>44</v>
      </c>
      <c r="AD527" s="235" t="str">
        <f>LEFT('RSD (DEA)'!AK186,2)&amp;RIGHT(E527,3)</f>
        <v>RWAPB</v>
      </c>
      <c r="AE527" s="183">
        <f>'RSD (DEA)'!BA186</f>
        <v>0</v>
      </c>
      <c r="AF527" s="183"/>
    </row>
    <row r="528" spans="1:32" x14ac:dyDescent="0.3">
      <c r="A528" s="235"/>
      <c r="D528" s="512"/>
      <c r="E528" s="512"/>
      <c r="F528" s="515"/>
      <c r="G528" s="515"/>
      <c r="H528" s="540"/>
      <c r="I528" s="512"/>
      <c r="J528" s="242"/>
      <c r="K528" s="242"/>
      <c r="L528" s="512"/>
      <c r="M528" s="182"/>
      <c r="N528" s="318" t="str">
        <f>AD527</f>
        <v>RWAPB</v>
      </c>
      <c r="O528" s="244"/>
      <c r="P528" s="182"/>
      <c r="Q528" s="182"/>
      <c r="R528" s="525">
        <f>IF(ISBLANK(I528),IF(MID(N528,2,2)="HA",VLOOKUP(I527,KEY_RSD_AF!$C$5:$G$52,2,FALSE),IF(MID(N528,2,2)="WA",VLOOKUP(I527,KEY_RSD_AF!$C$5:$G$52,3,FALSE),IF(MID(N528,2,2)="HH",VLOOKUP(I527,KEY_RSD_AF!$C$5:$G$52,4,FALSE),IF(MID(N528,2,2)="WH",VLOOKUP(I527,KEY_RSD_AF!$C$5:$G$52,5,FALSE))))),IF(MID(N528,2,2)="HA",VLOOKUP(I528,KEY_RSD_AF!$C$5:$G$52,2,FALSE),IF(MID(N528,2,2)="WA",VLOOKUP(I528,KEY_RSD_AF!$C$5:$G$52,3,FALSE),IF(MID(N528,2,2)="HH",VLOOKUP(I528,KEY_RSD_AF!$C$5:$G$52,4,FALSE),IF(MID(N528,2,2)="WH",VLOOKUP(I528,KEY_RSD_AF!$C$5:$G$52,5,FALSE))))))</f>
        <v>1</v>
      </c>
      <c r="S528" s="503">
        <f>T527</f>
        <v>1.35</v>
      </c>
      <c r="T528" s="183"/>
      <c r="U528" s="183"/>
      <c r="V528" s="182"/>
      <c r="W528" s="184"/>
      <c r="X528" s="183"/>
      <c r="Y528" s="182"/>
      <c r="Z528" s="252"/>
      <c r="AA528" s="236"/>
      <c r="AC528" s="235"/>
      <c r="AD528" s="235"/>
      <c r="AE528" s="183"/>
      <c r="AF528" s="183"/>
    </row>
    <row r="529" spans="1:32" x14ac:dyDescent="0.3">
      <c r="A529" s="244"/>
      <c r="D529" s="512"/>
      <c r="E529" s="513"/>
      <c r="F529" s="515"/>
      <c r="G529" s="515"/>
      <c r="H529" s="540"/>
      <c r="I529" s="513"/>
      <c r="J529" s="255"/>
      <c r="K529" s="255"/>
      <c r="L529" s="513"/>
      <c r="M529" s="252" t="str">
        <f>M527</f>
        <v>RSDAHT</v>
      </c>
      <c r="N529" s="244"/>
      <c r="O529" s="244" t="str">
        <f>$AH$12</f>
        <v>ACT</v>
      </c>
      <c r="P529" s="252"/>
      <c r="Q529" s="252"/>
      <c r="R529" s="525"/>
      <c r="S529" s="256"/>
      <c r="T529" s="183"/>
      <c r="U529" s="183"/>
      <c r="V529" s="252"/>
      <c r="W529" s="524"/>
      <c r="X529" s="256"/>
      <c r="Y529" s="252"/>
      <c r="Z529" s="252">
        <f>IF(ISBLANK(O529),"",IF(O529="ACT",1,-1))</f>
        <v>1</v>
      </c>
      <c r="AA529" s="257"/>
      <c r="AC529" s="244"/>
      <c r="AD529" s="244"/>
      <c r="AE529" s="256"/>
      <c r="AF529" s="256"/>
    </row>
    <row r="530" spans="1:32" x14ac:dyDescent="0.3">
      <c r="A530" s="244"/>
      <c r="D530" s="512"/>
      <c r="E530" s="513"/>
      <c r="F530" s="515"/>
      <c r="G530" s="515"/>
      <c r="H530" s="540"/>
      <c r="I530" s="513"/>
      <c r="J530" s="255"/>
      <c r="K530" s="255"/>
      <c r="L530" s="513"/>
      <c r="M530" s="252" t="str">
        <f>M529</f>
        <v>RSDAHT</v>
      </c>
      <c r="N530" s="244"/>
      <c r="O530" s="244" t="str">
        <f>L527</f>
        <v>RSDGAS</v>
      </c>
      <c r="P530" s="252"/>
      <c r="Q530" s="252"/>
      <c r="R530" s="525"/>
      <c r="S530" s="256"/>
      <c r="T530" s="183"/>
      <c r="U530" s="183"/>
      <c r="V530" s="252"/>
      <c r="W530" s="524"/>
      <c r="X530" s="256"/>
      <c r="Y530" s="252"/>
      <c r="Z530" s="252">
        <f>IF(ISBLANK(O530),"",IF(O530="ACT",1,-1))</f>
        <v>-1</v>
      </c>
      <c r="AA530" s="257"/>
      <c r="AC530" s="244"/>
      <c r="AD530" s="244"/>
      <c r="AE530" s="256"/>
      <c r="AF530" s="256"/>
    </row>
    <row r="531" spans="1:32" x14ac:dyDescent="0.3">
      <c r="A531" s="235"/>
      <c r="C531" s="528" t="str">
        <f>'RSD (DEA)'!Z187</f>
        <v>HP_GAS_03</v>
      </c>
      <c r="D531" s="512" t="str">
        <f>RSD_HeatingDemand!N531&amp;"_"&amp;LEFT(C531,LEN(C531)-2)&amp;"03"</f>
        <v>RHAPB_HP_GAS_03</v>
      </c>
      <c r="E531" s="512" t="str">
        <f>"R"&amp;LEFT('RSD (DEA)'!AD187,2)&amp;IF(ISNUMBER(IFERROR(FIND("HTH",'RSD (DEA)'!Z187),IFERROR(FIND("HP",'RSD (DEA)'!Z187),"C"))),IF(IFERROR(FIND("HTH",'RSD (DEA)'!Z187),100)=100,"B","A"),"C")</f>
        <v>RAPB</v>
      </c>
      <c r="F531" s="515"/>
      <c r="G531" s="515"/>
      <c r="H531" s="540" t="str">
        <f t="shared" si="10"/>
        <v>RHAPB_HP_GAS_04</v>
      </c>
      <c r="I531" s="512" t="str">
        <f>'RSD (DEA)'!AA187</f>
        <v>Gas driven absorption heat pumps, air-to-water</v>
      </c>
      <c r="J531" s="242" t="s">
        <v>239</v>
      </c>
      <c r="K531" s="242" t="s">
        <v>240</v>
      </c>
      <c r="L531" s="512" t="str">
        <f>'RSD (DEA)'!AH187</f>
        <v>RSDGAS</v>
      </c>
      <c r="M531" s="182" t="str">
        <f>'RSD (DEA)'!AI187</f>
        <v>RSDAHT</v>
      </c>
      <c r="N531" s="235" t="str">
        <f>LEFT('RSD (DEA)'!AJ187,2)&amp;RIGHT(E531,3)</f>
        <v>RHAPB</v>
      </c>
      <c r="O531" s="244"/>
      <c r="P531" s="182">
        <f>IF('RSD (DEA)'!P187&lt;RSD_HeatingDemand!$AH$15,RSD_HeatingDemand!$AH$15,'RSD (DEA)'!P187)</f>
        <v>2019</v>
      </c>
      <c r="Q531" s="182">
        <f>IF('RSD (DEA)'!X187&lt;RSD_HeatingDemand!$AH$15,RSD_HeatingDemand!$AH$15,'RSD (DEA)'!X187)</f>
        <v>2020</v>
      </c>
      <c r="R531" s="525">
        <f>IF(ISBLANK(I531),IF(MID(N531,2,2)="HA",VLOOKUP(I530,KEY_RSD_AF!$C$5:$G$52,2,FALSE),IF(MID(N531,2,2)="WA",VLOOKUP(I530,KEY_RSD_AF!$C$5:$G$52,3,FALSE),IF(MID(N531,2,2)="HH",VLOOKUP(I530,KEY_RSD_AF!$C$5:$G$52,4,FALSE),IF(MID(N531,2,2)="WH",VLOOKUP(I530,KEY_RSD_AF!$C$5:$G$52,5,FALSE))))),IF(MID(N531,2,2)="HA",VLOOKUP(I531,KEY_RSD_AF!$C$5:$G$52,2,FALSE),IF(MID(N531,2,2)="WA",VLOOKUP(I531,KEY_RSD_AF!$C$5:$G$52,3,FALSE),IF(MID(N531,2,2)="HH",VLOOKUP(I531,KEY_RSD_AF!$C$5:$G$52,4,FALSE),IF(MID(N531,2,2)="WH",VLOOKUP(I531,KEY_RSD_AF!$C$5:$G$52,5,FALSE))))))</f>
        <v>1</v>
      </c>
      <c r="S531" s="183">
        <f>'RSD (DEA)'!AZ187</f>
        <v>1.45</v>
      </c>
      <c r="T531" s="183">
        <f t="shared" si="12"/>
        <v>1.45</v>
      </c>
      <c r="U531" s="183">
        <v>0.5</v>
      </c>
      <c r="V531" s="182">
        <f>'RSD (DEA)'!BR187/'RSD (DEA)'!S187</f>
        <v>2.9375</v>
      </c>
      <c r="W531" s="184">
        <f>'RSD (DEA)'!BS187/RSD_HeatingDemand!$AH$9</f>
        <v>0</v>
      </c>
      <c r="X531" s="183">
        <f>'RSD (DEA)'!BK187*RSD_HeatingDemand!$AH$10/'RSD (DEA)'!S187</f>
        <v>237.5</v>
      </c>
      <c r="Y531" s="182">
        <f>'RSD (DEA)'!BI187</f>
        <v>20</v>
      </c>
      <c r="Z531" s="252" t="str">
        <f>IF(ISBLANK(O531),"",IF(O531="ACT",1,-1))</f>
        <v/>
      </c>
      <c r="AA531" s="236">
        <f>'RSD (DEA)'!AM187</f>
        <v>31.536000000000001</v>
      </c>
      <c r="AC531" s="235">
        <f>'RSD (DEA)'!S187</f>
        <v>80</v>
      </c>
      <c r="AD531" s="235" t="str">
        <f>LEFT('RSD (DEA)'!AK187,2)&amp;RIGHT(E531,3)</f>
        <v>RWAPB</v>
      </c>
      <c r="AE531" s="183">
        <f>'RSD (DEA)'!BA187</f>
        <v>0</v>
      </c>
      <c r="AF531" s="183"/>
    </row>
    <row r="532" spans="1:32" x14ac:dyDescent="0.3">
      <c r="A532" s="235"/>
      <c r="D532" s="512"/>
      <c r="E532" s="512"/>
      <c r="F532" s="515"/>
      <c r="G532" s="515"/>
      <c r="H532" s="540"/>
      <c r="I532" s="512"/>
      <c r="J532" s="242"/>
      <c r="K532" s="242"/>
      <c r="L532" s="512"/>
      <c r="M532" s="182"/>
      <c r="N532" s="318" t="str">
        <f>AD531</f>
        <v>RWAPB</v>
      </c>
      <c r="O532" s="244"/>
      <c r="P532" s="182"/>
      <c r="Q532" s="182"/>
      <c r="R532" s="525">
        <f>IF(ISBLANK(I532),IF(MID(N532,2,2)="HA",VLOOKUP(I531,KEY_RSD_AF!$C$5:$G$52,2,FALSE),IF(MID(N532,2,2)="WA",VLOOKUP(I531,KEY_RSD_AF!$C$5:$G$52,3,FALSE),IF(MID(N532,2,2)="HH",VLOOKUP(I531,KEY_RSD_AF!$C$5:$G$52,4,FALSE),IF(MID(N532,2,2)="WH",VLOOKUP(I531,KEY_RSD_AF!$C$5:$G$52,5,FALSE))))),IF(MID(N532,2,2)="HA",VLOOKUP(I532,KEY_RSD_AF!$C$5:$G$52,2,FALSE),IF(MID(N532,2,2)="WA",VLOOKUP(I532,KEY_RSD_AF!$C$5:$G$52,3,FALSE),IF(MID(N532,2,2)="HH",VLOOKUP(I532,KEY_RSD_AF!$C$5:$G$52,4,FALSE),IF(MID(N532,2,2)="WH",VLOOKUP(I532,KEY_RSD_AF!$C$5:$G$52,5,FALSE))))))</f>
        <v>1</v>
      </c>
      <c r="S532" s="503">
        <f>T531</f>
        <v>1.45</v>
      </c>
      <c r="T532" s="183"/>
      <c r="U532" s="183"/>
      <c r="V532" s="182"/>
      <c r="W532" s="184"/>
      <c r="X532" s="183"/>
      <c r="Y532" s="182"/>
      <c r="Z532" s="252"/>
      <c r="AA532" s="236"/>
      <c r="AC532" s="235"/>
      <c r="AD532" s="235"/>
      <c r="AE532" s="183"/>
      <c r="AF532" s="183"/>
    </row>
    <row r="533" spans="1:32" x14ac:dyDescent="0.3">
      <c r="A533" s="244"/>
      <c r="D533" s="512"/>
      <c r="E533" s="513"/>
      <c r="F533" s="515"/>
      <c r="G533" s="515"/>
      <c r="H533" s="540"/>
      <c r="I533" s="513"/>
      <c r="J533" s="255"/>
      <c r="K533" s="255"/>
      <c r="L533" s="513"/>
      <c r="M533" s="252" t="str">
        <f>M531</f>
        <v>RSDAHT</v>
      </c>
      <c r="N533" s="244"/>
      <c r="O533" s="244" t="str">
        <f>$AH$12</f>
        <v>ACT</v>
      </c>
      <c r="P533" s="252"/>
      <c r="Q533" s="252"/>
      <c r="R533" s="525"/>
      <c r="S533" s="256"/>
      <c r="T533" s="183"/>
      <c r="U533" s="183"/>
      <c r="V533" s="252"/>
      <c r="W533" s="524"/>
      <c r="X533" s="256"/>
      <c r="Y533" s="252"/>
      <c r="Z533" s="252">
        <f>IF(ISBLANK(O533),"",IF(O533="ACT",1,-1))</f>
        <v>1</v>
      </c>
      <c r="AA533" s="257"/>
      <c r="AC533" s="244"/>
      <c r="AD533" s="244"/>
      <c r="AE533" s="256"/>
      <c r="AF533" s="256"/>
    </row>
    <row r="534" spans="1:32" x14ac:dyDescent="0.3">
      <c r="A534" s="244"/>
      <c r="D534" s="512"/>
      <c r="E534" s="513"/>
      <c r="F534" s="515"/>
      <c r="G534" s="515"/>
      <c r="H534" s="540"/>
      <c r="I534" s="513"/>
      <c r="J534" s="255"/>
      <c r="K534" s="255"/>
      <c r="L534" s="513"/>
      <c r="M534" s="252" t="str">
        <f>M533</f>
        <v>RSDAHT</v>
      </c>
      <c r="N534" s="244"/>
      <c r="O534" s="244" t="str">
        <f>L531</f>
        <v>RSDGAS</v>
      </c>
      <c r="P534" s="252"/>
      <c r="Q534" s="252"/>
      <c r="R534" s="525"/>
      <c r="S534" s="256"/>
      <c r="T534" s="183"/>
      <c r="U534" s="183"/>
      <c r="V534" s="252"/>
      <c r="W534" s="524"/>
      <c r="X534" s="256"/>
      <c r="Y534" s="252"/>
      <c r="Z534" s="252">
        <f>IF(ISBLANK(O534),"",IF(O534="ACT",1,-1))</f>
        <v>-1</v>
      </c>
      <c r="AA534" s="257"/>
      <c r="AC534" s="244"/>
      <c r="AD534" s="244"/>
      <c r="AE534" s="256"/>
      <c r="AF534" s="256"/>
    </row>
    <row r="535" spans="1:32" x14ac:dyDescent="0.3">
      <c r="A535" s="235"/>
      <c r="C535" s="528" t="str">
        <f>'RSD (DEA)'!Z188</f>
        <v>HP_GAS_03</v>
      </c>
      <c r="D535" s="512" t="str">
        <f>RSD_HeatingDemand!N535&amp;"_"&amp;LEFT(C535,LEN(C535)-2)&amp;"03"</f>
        <v>RHAPB_HP_GAS_03</v>
      </c>
      <c r="E535" s="512" t="str">
        <f>"R"&amp;LEFT('RSD (DEA)'!AD188,2)&amp;IF(ISNUMBER(IFERROR(FIND("HTH",'RSD (DEA)'!Z188),IFERROR(FIND("HP",'RSD (DEA)'!Z188),"C"))),IF(IFERROR(FIND("HTH",'RSD (DEA)'!Z188),100)=100,"B","A"),"C")</f>
        <v>RAPB</v>
      </c>
      <c r="F535" s="515"/>
      <c r="G535" s="515"/>
      <c r="H535" s="540" t="str">
        <f t="shared" si="10"/>
        <v>RHAPB_HP_GAS_05</v>
      </c>
      <c r="I535" s="512" t="str">
        <f>'RSD (DEA)'!AA188</f>
        <v>Gas driven absorption heat pumps, air-to-water</v>
      </c>
      <c r="J535" s="242" t="s">
        <v>239</v>
      </c>
      <c r="K535" s="242" t="s">
        <v>240</v>
      </c>
      <c r="L535" s="512" t="str">
        <f>'RSD (DEA)'!AH188</f>
        <v>RSDGAS</v>
      </c>
      <c r="M535" s="182" t="str">
        <f>'RSD (DEA)'!AI188</f>
        <v>RSDAHT</v>
      </c>
      <c r="N535" s="235" t="str">
        <f>LEFT('RSD (DEA)'!AJ188,2)&amp;RIGHT(E535,3)</f>
        <v>RHAPB</v>
      </c>
      <c r="O535" s="244"/>
      <c r="P535" s="182">
        <f>IF('RSD (DEA)'!P188&lt;RSD_HeatingDemand!$AH$15,RSD_HeatingDemand!$AH$15,'RSD (DEA)'!P188)</f>
        <v>2019</v>
      </c>
      <c r="Q535" s="182">
        <f>IF('RSD (DEA)'!X188&lt;RSD_HeatingDemand!$AH$15,RSD_HeatingDemand!$AH$15,'RSD (DEA)'!X188)</f>
        <v>2030</v>
      </c>
      <c r="R535" s="525">
        <f>IF(ISBLANK(I535),IF(MID(N535,2,2)="HA",VLOOKUP(I534,KEY_RSD_AF!$C$5:$G$52,2,FALSE),IF(MID(N535,2,2)="WA",VLOOKUP(I534,KEY_RSD_AF!$C$5:$G$52,3,FALSE),IF(MID(N535,2,2)="HH",VLOOKUP(I534,KEY_RSD_AF!$C$5:$G$52,4,FALSE),IF(MID(N535,2,2)="WH",VLOOKUP(I534,KEY_RSD_AF!$C$5:$G$52,5,FALSE))))),IF(MID(N535,2,2)="HA",VLOOKUP(I535,KEY_RSD_AF!$C$5:$G$52,2,FALSE),IF(MID(N535,2,2)="WA",VLOOKUP(I535,KEY_RSD_AF!$C$5:$G$52,3,FALSE),IF(MID(N535,2,2)="HH",VLOOKUP(I535,KEY_RSD_AF!$C$5:$G$52,4,FALSE),IF(MID(N535,2,2)="WH",VLOOKUP(I535,KEY_RSD_AF!$C$5:$G$52,5,FALSE))))))</f>
        <v>1</v>
      </c>
      <c r="S535" s="183">
        <f>'RSD (DEA)'!AZ188</f>
        <v>1.7</v>
      </c>
      <c r="T535" s="183">
        <f t="shared" si="12"/>
        <v>1.7</v>
      </c>
      <c r="U535" s="183">
        <v>0.5</v>
      </c>
      <c r="V535" s="182">
        <f>'RSD (DEA)'!BR188/'RSD (DEA)'!S188</f>
        <v>2.9375</v>
      </c>
      <c r="W535" s="184">
        <f>'RSD (DEA)'!BS188/RSD_HeatingDemand!$AH$9</f>
        <v>0</v>
      </c>
      <c r="X535" s="183">
        <f>'RSD (DEA)'!BK188*RSD_HeatingDemand!$AH$10/'RSD (DEA)'!S188</f>
        <v>212.5</v>
      </c>
      <c r="Y535" s="182">
        <f>'RSD (DEA)'!BI188</f>
        <v>20</v>
      </c>
      <c r="Z535" s="252" t="str">
        <f>IF(ISBLANK(O535),"",IF(O535="ACT",1,-1))</f>
        <v/>
      </c>
      <c r="AA535" s="236">
        <f>'RSD (DEA)'!AM188</f>
        <v>31.536000000000001</v>
      </c>
      <c r="AC535" s="235">
        <f>'RSD (DEA)'!S188</f>
        <v>80</v>
      </c>
      <c r="AD535" s="235" t="str">
        <f>LEFT('RSD (DEA)'!AK188,2)&amp;RIGHT(E535,3)</f>
        <v>RWAPB</v>
      </c>
      <c r="AE535" s="183">
        <f>'RSD (DEA)'!BA188</f>
        <v>0</v>
      </c>
      <c r="AF535" s="183"/>
    </row>
    <row r="536" spans="1:32" x14ac:dyDescent="0.3">
      <c r="A536" s="235"/>
      <c r="D536" s="512"/>
      <c r="E536" s="512"/>
      <c r="F536" s="515"/>
      <c r="G536" s="515"/>
      <c r="H536" s="540"/>
      <c r="I536" s="512"/>
      <c r="J536" s="242"/>
      <c r="K536" s="242"/>
      <c r="L536" s="512"/>
      <c r="M536" s="182"/>
      <c r="N536" s="318" t="str">
        <f>AD535</f>
        <v>RWAPB</v>
      </c>
      <c r="O536" s="244"/>
      <c r="P536" s="182"/>
      <c r="Q536" s="182"/>
      <c r="R536" s="525">
        <f>IF(ISBLANK(I536),IF(MID(N536,2,2)="HA",VLOOKUP(I535,KEY_RSD_AF!$C$5:$G$52,2,FALSE),IF(MID(N536,2,2)="WA",VLOOKUP(I535,KEY_RSD_AF!$C$5:$G$52,3,FALSE),IF(MID(N536,2,2)="HH",VLOOKUP(I535,KEY_RSD_AF!$C$5:$G$52,4,FALSE),IF(MID(N536,2,2)="WH",VLOOKUP(I535,KEY_RSD_AF!$C$5:$G$52,5,FALSE))))),IF(MID(N536,2,2)="HA",VLOOKUP(I536,KEY_RSD_AF!$C$5:$G$52,2,FALSE),IF(MID(N536,2,2)="WA",VLOOKUP(I536,KEY_RSD_AF!$C$5:$G$52,3,FALSE),IF(MID(N536,2,2)="HH",VLOOKUP(I536,KEY_RSD_AF!$C$5:$G$52,4,FALSE),IF(MID(N536,2,2)="WH",VLOOKUP(I536,KEY_RSD_AF!$C$5:$G$52,5,FALSE))))))</f>
        <v>1</v>
      </c>
      <c r="S536" s="503">
        <f>T535</f>
        <v>1.7</v>
      </c>
      <c r="T536" s="183"/>
      <c r="U536" s="183"/>
      <c r="V536" s="182"/>
      <c r="W536" s="184"/>
      <c r="X536" s="183"/>
      <c r="Y536" s="182"/>
      <c r="Z536" s="252"/>
      <c r="AA536" s="236"/>
      <c r="AC536" s="235"/>
      <c r="AD536" s="235"/>
      <c r="AE536" s="183"/>
      <c r="AF536" s="183"/>
    </row>
    <row r="537" spans="1:32" x14ac:dyDescent="0.3">
      <c r="A537" s="244"/>
      <c r="D537" s="512"/>
      <c r="E537" s="513"/>
      <c r="F537" s="515"/>
      <c r="G537" s="515"/>
      <c r="H537" s="540"/>
      <c r="I537" s="513"/>
      <c r="J537" s="255"/>
      <c r="K537" s="255"/>
      <c r="L537" s="513"/>
      <c r="M537" s="252" t="str">
        <f>M535</f>
        <v>RSDAHT</v>
      </c>
      <c r="N537" s="244"/>
      <c r="O537" s="244" t="str">
        <f>$AH$12</f>
        <v>ACT</v>
      </c>
      <c r="P537" s="252"/>
      <c r="Q537" s="252"/>
      <c r="R537" s="525"/>
      <c r="S537" s="256"/>
      <c r="T537" s="183"/>
      <c r="U537" s="183"/>
      <c r="V537" s="252"/>
      <c r="W537" s="524"/>
      <c r="X537" s="256"/>
      <c r="Y537" s="252"/>
      <c r="Z537" s="252">
        <f>IF(ISBLANK(O537),"",IF(O537="ACT",1,-1))</f>
        <v>1</v>
      </c>
      <c r="AA537" s="257"/>
      <c r="AC537" s="244"/>
      <c r="AD537" s="244"/>
      <c r="AE537" s="256"/>
      <c r="AF537" s="256"/>
    </row>
    <row r="538" spans="1:32" x14ac:dyDescent="0.3">
      <c r="A538" s="244"/>
      <c r="D538" s="512"/>
      <c r="E538" s="513"/>
      <c r="F538" s="515"/>
      <c r="G538" s="515"/>
      <c r="H538" s="540"/>
      <c r="I538" s="513"/>
      <c r="J538" s="255"/>
      <c r="K538" s="255"/>
      <c r="L538" s="513"/>
      <c r="M538" s="252" t="str">
        <f>M537</f>
        <v>RSDAHT</v>
      </c>
      <c r="N538" s="244"/>
      <c r="O538" s="244" t="str">
        <f>L535</f>
        <v>RSDGAS</v>
      </c>
      <c r="P538" s="252"/>
      <c r="Q538" s="252"/>
      <c r="R538" s="525"/>
      <c r="S538" s="256"/>
      <c r="T538" s="183"/>
      <c r="U538" s="183"/>
      <c r="V538" s="252"/>
      <c r="W538" s="524"/>
      <c r="X538" s="256"/>
      <c r="Y538" s="252"/>
      <c r="Z538" s="252">
        <f>IF(ISBLANK(O538),"",IF(O538="ACT",1,-1))</f>
        <v>-1</v>
      </c>
      <c r="AA538" s="257"/>
      <c r="AC538" s="244"/>
      <c r="AD538" s="244"/>
      <c r="AE538" s="256"/>
      <c r="AF538" s="256"/>
    </row>
    <row r="539" spans="1:32" x14ac:dyDescent="0.3">
      <c r="A539" s="235"/>
      <c r="C539" s="528" t="str">
        <f>'RSD (DEA)'!Z189</f>
        <v>HP_GAS_03</v>
      </c>
      <c r="D539" s="512" t="str">
        <f>RSD_HeatingDemand!N539&amp;"_"&amp;LEFT(C539,LEN(C539)-2)&amp;"03"</f>
        <v>RHAPB_HP_GAS_03</v>
      </c>
      <c r="E539" s="512" t="str">
        <f>"R"&amp;LEFT('RSD (DEA)'!AD189,2)&amp;IF(ISNUMBER(IFERROR(FIND("HTH",'RSD (DEA)'!Z189),IFERROR(FIND("HP",'RSD (DEA)'!Z189),"C"))),IF(IFERROR(FIND("HTH",'RSD (DEA)'!Z189),100)=100,"B","A"),"C")</f>
        <v>RAPB</v>
      </c>
      <c r="F539" s="515"/>
      <c r="G539" s="515"/>
      <c r="H539" s="540" t="str">
        <f t="shared" si="10"/>
        <v>RHAPB_HP_GAS_06</v>
      </c>
      <c r="I539" s="512" t="str">
        <f>'RSD (DEA)'!AA189</f>
        <v>Gas driven absorption heat pumps, air-to-water</v>
      </c>
      <c r="J539" s="242" t="s">
        <v>239</v>
      </c>
      <c r="K539" s="242" t="s">
        <v>240</v>
      </c>
      <c r="L539" s="512" t="str">
        <f>'RSD (DEA)'!AH189</f>
        <v>RSDGAS</v>
      </c>
      <c r="M539" s="182" t="str">
        <f>'RSD (DEA)'!AI189</f>
        <v>RSDAHT</v>
      </c>
      <c r="N539" s="235" t="str">
        <f>LEFT('RSD (DEA)'!AJ189,2)&amp;RIGHT(E539,3)</f>
        <v>RHAPB</v>
      </c>
      <c r="O539" s="244"/>
      <c r="P539" s="182">
        <f>IF('RSD (DEA)'!P189&lt;RSD_HeatingDemand!$AH$15,RSD_HeatingDemand!$AH$15,'RSD (DEA)'!P189)</f>
        <v>2019</v>
      </c>
      <c r="Q539" s="182">
        <f>IF('RSD (DEA)'!X189&lt;RSD_HeatingDemand!$AH$15,RSD_HeatingDemand!$AH$15,'RSD (DEA)'!X189)</f>
        <v>2050</v>
      </c>
      <c r="R539" s="525">
        <f>IF(ISBLANK(I539),IF(MID(N539,2,2)="HA",VLOOKUP(I538,KEY_RSD_AF!$C$5:$G$52,2,FALSE),IF(MID(N539,2,2)="WA",VLOOKUP(I538,KEY_RSD_AF!$C$5:$G$52,3,FALSE),IF(MID(N539,2,2)="HH",VLOOKUP(I538,KEY_RSD_AF!$C$5:$G$52,4,FALSE),IF(MID(N539,2,2)="WH",VLOOKUP(I538,KEY_RSD_AF!$C$5:$G$52,5,FALSE))))),IF(MID(N539,2,2)="HA",VLOOKUP(I539,KEY_RSD_AF!$C$5:$G$52,2,FALSE),IF(MID(N539,2,2)="WA",VLOOKUP(I539,KEY_RSD_AF!$C$5:$G$52,3,FALSE),IF(MID(N539,2,2)="HH",VLOOKUP(I539,KEY_RSD_AF!$C$5:$G$52,4,FALSE),IF(MID(N539,2,2)="WH",VLOOKUP(I539,KEY_RSD_AF!$C$5:$G$52,5,FALSE))))))</f>
        <v>1</v>
      </c>
      <c r="S539" s="183">
        <f>'RSD (DEA)'!AZ189</f>
        <v>1.7</v>
      </c>
      <c r="T539" s="183">
        <f t="shared" si="12"/>
        <v>1.7</v>
      </c>
      <c r="U539" s="183">
        <v>0.5</v>
      </c>
      <c r="V539" s="182">
        <f>'RSD (DEA)'!BR189/'RSD (DEA)'!S189</f>
        <v>2.9375</v>
      </c>
      <c r="W539" s="184">
        <f>'RSD (DEA)'!BS189/RSD_HeatingDemand!$AH$9</f>
        <v>0</v>
      </c>
      <c r="X539" s="183">
        <f>'RSD (DEA)'!BK189*RSD_HeatingDemand!$AH$10/'RSD (DEA)'!S189</f>
        <v>200</v>
      </c>
      <c r="Y539" s="182">
        <f>'RSD (DEA)'!BI189</f>
        <v>20</v>
      </c>
      <c r="Z539" s="252" t="str">
        <f>IF(ISBLANK(O539),"",IF(O539="ACT",1,-1))</f>
        <v/>
      </c>
      <c r="AA539" s="236">
        <f>'RSD (DEA)'!AM189</f>
        <v>31.536000000000001</v>
      </c>
      <c r="AC539" s="235">
        <f>'RSD (DEA)'!S189</f>
        <v>80</v>
      </c>
      <c r="AD539" s="235" t="str">
        <f>LEFT('RSD (DEA)'!AK189,2)&amp;RIGHT(E539,3)</f>
        <v>RWAPB</v>
      </c>
      <c r="AE539" s="183">
        <f>'RSD (DEA)'!BA189</f>
        <v>0</v>
      </c>
      <c r="AF539" s="183"/>
    </row>
    <row r="540" spans="1:32" x14ac:dyDescent="0.3">
      <c r="A540" s="235"/>
      <c r="D540" s="512"/>
      <c r="E540" s="512"/>
      <c r="F540" s="515"/>
      <c r="G540" s="515"/>
      <c r="H540" s="540"/>
      <c r="I540" s="512"/>
      <c r="J540" s="242"/>
      <c r="K540" s="242"/>
      <c r="L540" s="512"/>
      <c r="M540" s="182"/>
      <c r="N540" s="318" t="str">
        <f>AD539</f>
        <v>RWAPB</v>
      </c>
      <c r="O540" s="244"/>
      <c r="P540" s="182"/>
      <c r="Q540" s="182"/>
      <c r="R540" s="525">
        <f>IF(ISBLANK(I540),IF(MID(N540,2,2)="HA",VLOOKUP(I539,KEY_RSD_AF!$C$5:$G$52,2,FALSE),IF(MID(N540,2,2)="WA",VLOOKUP(I539,KEY_RSD_AF!$C$5:$G$52,3,FALSE),IF(MID(N540,2,2)="HH",VLOOKUP(I539,KEY_RSD_AF!$C$5:$G$52,4,FALSE),IF(MID(N540,2,2)="WH",VLOOKUP(I539,KEY_RSD_AF!$C$5:$G$52,5,FALSE))))),IF(MID(N540,2,2)="HA",VLOOKUP(I540,KEY_RSD_AF!$C$5:$G$52,2,FALSE),IF(MID(N540,2,2)="WA",VLOOKUP(I540,KEY_RSD_AF!$C$5:$G$52,3,FALSE),IF(MID(N540,2,2)="HH",VLOOKUP(I540,KEY_RSD_AF!$C$5:$G$52,4,FALSE),IF(MID(N540,2,2)="WH",VLOOKUP(I540,KEY_RSD_AF!$C$5:$G$52,5,FALSE))))))</f>
        <v>1</v>
      </c>
      <c r="S540" s="503">
        <f>T539</f>
        <v>1.7</v>
      </c>
      <c r="T540" s="183"/>
      <c r="U540" s="183"/>
      <c r="V540" s="182"/>
      <c r="W540" s="184"/>
      <c r="X540" s="183"/>
      <c r="Y540" s="182"/>
      <c r="Z540" s="252"/>
      <c r="AA540" s="236"/>
      <c r="AC540" s="235"/>
      <c r="AD540" s="235"/>
      <c r="AE540" s="183"/>
      <c r="AF540" s="183"/>
    </row>
    <row r="541" spans="1:32" x14ac:dyDescent="0.3">
      <c r="A541" s="244"/>
      <c r="D541" s="512"/>
      <c r="E541" s="513"/>
      <c r="F541" s="515"/>
      <c r="G541" s="515"/>
      <c r="H541" s="540"/>
      <c r="I541" s="513"/>
      <c r="J541" s="255"/>
      <c r="K541" s="255"/>
      <c r="L541" s="513"/>
      <c r="M541" s="252" t="str">
        <f>M539</f>
        <v>RSDAHT</v>
      </c>
      <c r="N541" s="244"/>
      <c r="O541" s="244" t="str">
        <f>$AH$12</f>
        <v>ACT</v>
      </c>
      <c r="P541" s="252"/>
      <c r="Q541" s="252"/>
      <c r="R541" s="525"/>
      <c r="S541" s="256"/>
      <c r="T541" s="183"/>
      <c r="U541" s="183"/>
      <c r="V541" s="252"/>
      <c r="W541" s="524"/>
      <c r="X541" s="256"/>
      <c r="Y541" s="252"/>
      <c r="Z541" s="252">
        <f>IF(ISBLANK(O541),"",IF(O541="ACT",1,-1))</f>
        <v>1</v>
      </c>
      <c r="AA541" s="257"/>
      <c r="AC541" s="244"/>
      <c r="AD541" s="244"/>
      <c r="AE541" s="256"/>
      <c r="AF541" s="256"/>
    </row>
    <row r="542" spans="1:32" x14ac:dyDescent="0.3">
      <c r="A542" s="244"/>
      <c r="D542" s="512"/>
      <c r="E542" s="513"/>
      <c r="F542" s="515"/>
      <c r="G542" s="515"/>
      <c r="H542" s="540"/>
      <c r="I542" s="513"/>
      <c r="J542" s="255"/>
      <c r="K542" s="255"/>
      <c r="L542" s="513"/>
      <c r="M542" s="252" t="str">
        <f>M541</f>
        <v>RSDAHT</v>
      </c>
      <c r="N542" s="244"/>
      <c r="O542" s="244" t="str">
        <f>L539</f>
        <v>RSDGAS</v>
      </c>
      <c r="P542" s="252"/>
      <c r="Q542" s="252"/>
      <c r="R542" s="525"/>
      <c r="S542" s="256"/>
      <c r="T542" s="183"/>
      <c r="U542" s="183"/>
      <c r="V542" s="252"/>
      <c r="W542" s="524"/>
      <c r="X542" s="256"/>
      <c r="Y542" s="252"/>
      <c r="Z542" s="252">
        <f>IF(ISBLANK(O542),"",IF(O542="ACT",1,-1))</f>
        <v>-1</v>
      </c>
      <c r="AA542" s="257"/>
      <c r="AC542" s="244"/>
      <c r="AD542" s="244"/>
      <c r="AE542" s="256"/>
      <c r="AF542" s="256"/>
    </row>
    <row r="543" spans="1:32" x14ac:dyDescent="0.3">
      <c r="A543" s="235"/>
      <c r="C543" s="528" t="str">
        <f>'RSD (DEA)'!Z190</f>
        <v>HP_GAS_04</v>
      </c>
      <c r="D543" s="512" t="str">
        <f>RSD_HeatingDemand!N543&amp;"_"&amp;LEFT(C543,LEN(C543)-2)&amp;"04"</f>
        <v>RHAPB_HP_GAS_04</v>
      </c>
      <c r="E543" s="512" t="str">
        <f>"R"&amp;LEFT('RSD (DEA)'!AD190,2)&amp;IF(ISNUMBER(IFERROR(FIND("HTH",'RSD (DEA)'!Z190),IFERROR(FIND("HP",'RSD (DEA)'!Z190),"C"))),IF(IFERROR(FIND("HTH",'RSD (DEA)'!Z190),100)=100,"B","A"),"C")</f>
        <v>RAPB</v>
      </c>
      <c r="F543" s="515"/>
      <c r="G543" s="515"/>
      <c r="H543" s="540" t="str">
        <f t="shared" ref="H543:H603" si="13">IF(LEFT(D543,LEN(D543)-2)=LEFT(D539,LEN(D543)-2),LEFT(D543,LEN(D543)-2)&amp;IF(RIGHT(H539,2)+1&lt;=9,"0"&amp;RIGHT(H539)+1,RIGHT(H539,2)+1),D543)</f>
        <v>RHAPB_HP_GAS_07</v>
      </c>
      <c r="I543" s="512" t="str">
        <f>'RSD (DEA)'!AA190</f>
        <v>Gas driven absorption heat pumps, brine-to-water</v>
      </c>
      <c r="J543" s="242" t="s">
        <v>239</v>
      </c>
      <c r="K543" s="242" t="s">
        <v>240</v>
      </c>
      <c r="L543" s="512" t="str">
        <f>'RSD (DEA)'!AH190</f>
        <v>RSDGAS</v>
      </c>
      <c r="M543" s="182" t="str">
        <f>'RSD (DEA)'!AI190</f>
        <v>RSDAHT</v>
      </c>
      <c r="N543" s="235" t="str">
        <f>LEFT('RSD (DEA)'!AJ190,2)&amp;RIGHT(E543,3)</f>
        <v>RHAPB</v>
      </c>
      <c r="O543" s="244"/>
      <c r="P543" s="182">
        <f>IF('RSD (DEA)'!P190&lt;RSD_HeatingDemand!$AH$15,RSD_HeatingDemand!$AH$15,'RSD (DEA)'!P190)</f>
        <v>2019</v>
      </c>
      <c r="Q543" s="182">
        <f>IF('RSD (DEA)'!X190&lt;RSD_HeatingDemand!$AH$15,RSD_HeatingDemand!$AH$15,'RSD (DEA)'!X190)</f>
        <v>2019</v>
      </c>
      <c r="R543" s="525">
        <f>IF(ISBLANK(I543),IF(MID(N543,2,2)="HA",VLOOKUP(I542,KEY_RSD_AF!$C$5:$G$52,2,FALSE),IF(MID(N543,2,2)="WA",VLOOKUP(I542,KEY_RSD_AF!$C$5:$G$52,3,FALSE),IF(MID(N543,2,2)="HH",VLOOKUP(I542,KEY_RSD_AF!$C$5:$G$52,4,FALSE),IF(MID(N543,2,2)="WH",VLOOKUP(I542,KEY_RSD_AF!$C$5:$G$52,5,FALSE))))),IF(MID(N543,2,2)="HA",VLOOKUP(I543,KEY_RSD_AF!$C$5:$G$52,2,FALSE),IF(MID(N543,2,2)="WA",VLOOKUP(I543,KEY_RSD_AF!$C$5:$G$52,3,FALSE),IF(MID(N543,2,2)="HH",VLOOKUP(I543,KEY_RSD_AF!$C$5:$G$52,4,FALSE),IF(MID(N543,2,2)="WH",VLOOKUP(I543,KEY_RSD_AF!$C$5:$G$52,5,FALSE))))))</f>
        <v>1</v>
      </c>
      <c r="S543" s="183">
        <f>'RSD (DEA)'!AZ190</f>
        <v>1.35</v>
      </c>
      <c r="T543" s="183">
        <f t="shared" si="12"/>
        <v>1.35</v>
      </c>
      <c r="U543" s="183">
        <v>0.5</v>
      </c>
      <c r="V543" s="182">
        <f>'RSD (DEA)'!BR190/'RSD (DEA)'!S190</f>
        <v>5.3409090909090908</v>
      </c>
      <c r="W543" s="184">
        <f>'RSD (DEA)'!BS190/RSD_HeatingDemand!$AH$9</f>
        <v>0</v>
      </c>
      <c r="X543" s="183">
        <f>'RSD (DEA)'!BK190*RSD_HeatingDemand!$AH$10/'RSD (DEA)'!S190</f>
        <v>1309.090909090909</v>
      </c>
      <c r="Y543" s="182">
        <f>'RSD (DEA)'!BI190</f>
        <v>20</v>
      </c>
      <c r="Z543" s="252" t="str">
        <f>IF(ISBLANK(O543),"",IF(O543="ACT",1,-1))</f>
        <v/>
      </c>
      <c r="AA543" s="236">
        <f>'RSD (DEA)'!AM190</f>
        <v>31.536000000000001</v>
      </c>
      <c r="AC543" s="235">
        <f>'RSD (DEA)'!S190</f>
        <v>44</v>
      </c>
      <c r="AD543" s="235" t="str">
        <f>LEFT('RSD (DEA)'!AK190,2)&amp;RIGHT(E543,3)</f>
        <v>RWAPB</v>
      </c>
      <c r="AE543" s="183">
        <f>'RSD (DEA)'!BA190</f>
        <v>0</v>
      </c>
      <c r="AF543" s="183"/>
    </row>
    <row r="544" spans="1:32" x14ac:dyDescent="0.3">
      <c r="A544" s="235"/>
      <c r="D544" s="512"/>
      <c r="E544" s="512"/>
      <c r="F544" s="515"/>
      <c r="G544" s="515"/>
      <c r="H544" s="540"/>
      <c r="I544" s="512"/>
      <c r="J544" s="242"/>
      <c r="K544" s="242"/>
      <c r="L544" s="512"/>
      <c r="M544" s="182"/>
      <c r="N544" s="318" t="str">
        <f>AD543</f>
        <v>RWAPB</v>
      </c>
      <c r="O544" s="244"/>
      <c r="P544" s="182"/>
      <c r="Q544" s="182"/>
      <c r="R544" s="525">
        <f>IF(ISBLANK(I544),IF(MID(N544,2,2)="HA",VLOOKUP(I543,KEY_RSD_AF!$C$5:$G$52,2,FALSE),IF(MID(N544,2,2)="WA",VLOOKUP(I543,KEY_RSD_AF!$C$5:$G$52,3,FALSE),IF(MID(N544,2,2)="HH",VLOOKUP(I543,KEY_RSD_AF!$C$5:$G$52,4,FALSE),IF(MID(N544,2,2)="WH",VLOOKUP(I543,KEY_RSD_AF!$C$5:$G$52,5,FALSE))))),IF(MID(N544,2,2)="HA",VLOOKUP(I544,KEY_RSD_AF!$C$5:$G$52,2,FALSE),IF(MID(N544,2,2)="WA",VLOOKUP(I544,KEY_RSD_AF!$C$5:$G$52,3,FALSE),IF(MID(N544,2,2)="HH",VLOOKUP(I544,KEY_RSD_AF!$C$5:$G$52,4,FALSE),IF(MID(N544,2,2)="WH",VLOOKUP(I544,KEY_RSD_AF!$C$5:$G$52,5,FALSE))))))</f>
        <v>1</v>
      </c>
      <c r="S544" s="503">
        <f>T543</f>
        <v>1.35</v>
      </c>
      <c r="T544" s="183"/>
      <c r="U544" s="183"/>
      <c r="V544" s="182"/>
      <c r="W544" s="184"/>
      <c r="X544" s="183"/>
      <c r="Y544" s="182"/>
      <c r="Z544" s="252"/>
      <c r="AA544" s="236"/>
      <c r="AC544" s="235"/>
      <c r="AD544" s="235"/>
      <c r="AE544" s="183"/>
      <c r="AF544" s="183"/>
    </row>
    <row r="545" spans="1:32" x14ac:dyDescent="0.3">
      <c r="A545" s="244"/>
      <c r="D545" s="512"/>
      <c r="E545" s="513"/>
      <c r="F545" s="515"/>
      <c r="G545" s="515"/>
      <c r="H545" s="540"/>
      <c r="I545" s="513"/>
      <c r="J545" s="255"/>
      <c r="K545" s="255"/>
      <c r="L545" s="513"/>
      <c r="M545" s="252" t="str">
        <f>M543</f>
        <v>RSDAHT</v>
      </c>
      <c r="N545" s="244"/>
      <c r="O545" s="244" t="str">
        <f>$AH$12</f>
        <v>ACT</v>
      </c>
      <c r="P545" s="252"/>
      <c r="Q545" s="252"/>
      <c r="R545" s="525"/>
      <c r="S545" s="256"/>
      <c r="T545" s="183"/>
      <c r="U545" s="183"/>
      <c r="V545" s="252"/>
      <c r="W545" s="524"/>
      <c r="X545" s="256"/>
      <c r="Y545" s="252"/>
      <c r="Z545" s="252">
        <f>IF(ISBLANK(O545),"",IF(O545="ACT",1,-1))</f>
        <v>1</v>
      </c>
      <c r="AA545" s="257"/>
      <c r="AC545" s="244"/>
      <c r="AD545" s="244"/>
      <c r="AE545" s="256"/>
      <c r="AF545" s="256"/>
    </row>
    <row r="546" spans="1:32" x14ac:dyDescent="0.3">
      <c r="A546" s="244"/>
      <c r="D546" s="512"/>
      <c r="E546" s="513"/>
      <c r="F546" s="515"/>
      <c r="G546" s="515"/>
      <c r="H546" s="540"/>
      <c r="I546" s="513"/>
      <c r="J546" s="255"/>
      <c r="K546" s="255"/>
      <c r="L546" s="513"/>
      <c r="M546" s="252" t="str">
        <f>M545</f>
        <v>RSDAHT</v>
      </c>
      <c r="N546" s="244"/>
      <c r="O546" s="244" t="str">
        <f>L543</f>
        <v>RSDGAS</v>
      </c>
      <c r="P546" s="252"/>
      <c r="Q546" s="252"/>
      <c r="R546" s="525"/>
      <c r="S546" s="256"/>
      <c r="T546" s="183"/>
      <c r="U546" s="183"/>
      <c r="V546" s="252"/>
      <c r="W546" s="524"/>
      <c r="X546" s="256"/>
      <c r="Y546" s="252"/>
      <c r="Z546" s="252">
        <f>IF(ISBLANK(O546),"",IF(O546="ACT",1,-1))</f>
        <v>-1</v>
      </c>
      <c r="AA546" s="257"/>
      <c r="AC546" s="244"/>
      <c r="AD546" s="244"/>
      <c r="AE546" s="256"/>
      <c r="AF546" s="256"/>
    </row>
    <row r="547" spans="1:32" x14ac:dyDescent="0.3">
      <c r="A547" s="235"/>
      <c r="C547" s="528" t="str">
        <f>'RSD (DEA)'!Z191</f>
        <v>HP_GAS_04</v>
      </c>
      <c r="D547" s="512" t="str">
        <f>RSD_HeatingDemand!N547&amp;"_"&amp;LEFT(C547,LEN(C547)-2)&amp;"04"</f>
        <v>RHAPB_HP_GAS_04</v>
      </c>
      <c r="E547" s="512" t="str">
        <f>"R"&amp;LEFT('RSD (DEA)'!AD191,2)&amp;IF(ISNUMBER(IFERROR(FIND("HTH",'RSD (DEA)'!Z191),IFERROR(FIND("HP",'RSD (DEA)'!Z191),"C"))),IF(IFERROR(FIND("HTH",'RSD (DEA)'!Z191),100)=100,"B","A"),"C")</f>
        <v>RAPB</v>
      </c>
      <c r="F547" s="515"/>
      <c r="G547" s="515"/>
      <c r="H547" s="540" t="str">
        <f t="shared" si="13"/>
        <v>RHAPB_HP_GAS_08</v>
      </c>
      <c r="I547" s="512" t="str">
        <f>'RSD (DEA)'!AA191</f>
        <v>Gas driven absorption heat pumps, brine-to-water</v>
      </c>
      <c r="J547" s="242" t="s">
        <v>239</v>
      </c>
      <c r="K547" s="242" t="s">
        <v>240</v>
      </c>
      <c r="L547" s="512" t="str">
        <f>'RSD (DEA)'!AH191</f>
        <v>RSDGAS</v>
      </c>
      <c r="M547" s="182" t="str">
        <f>'RSD (DEA)'!AI191</f>
        <v>RSDAHT</v>
      </c>
      <c r="N547" s="235" t="str">
        <f>LEFT('RSD (DEA)'!AJ191,2)&amp;RIGHT(E547,3)</f>
        <v>RHAPB</v>
      </c>
      <c r="O547" s="244"/>
      <c r="P547" s="182">
        <f>IF('RSD (DEA)'!P191&lt;RSD_HeatingDemand!$AH$15,RSD_HeatingDemand!$AH$15,'RSD (DEA)'!P191)</f>
        <v>2019</v>
      </c>
      <c r="Q547" s="182">
        <f>IF('RSD (DEA)'!X191&lt;RSD_HeatingDemand!$AH$15,RSD_HeatingDemand!$AH$15,'RSD (DEA)'!X191)</f>
        <v>2020</v>
      </c>
      <c r="R547" s="525">
        <f>IF(ISBLANK(I547),IF(MID(N547,2,2)="HA",VLOOKUP(I546,KEY_RSD_AF!$C$5:$G$52,2,FALSE),IF(MID(N547,2,2)="WA",VLOOKUP(I546,KEY_RSD_AF!$C$5:$G$52,3,FALSE),IF(MID(N547,2,2)="HH",VLOOKUP(I546,KEY_RSD_AF!$C$5:$G$52,4,FALSE),IF(MID(N547,2,2)="WH",VLOOKUP(I546,KEY_RSD_AF!$C$5:$G$52,5,FALSE))))),IF(MID(N547,2,2)="HA",VLOOKUP(I547,KEY_RSD_AF!$C$5:$G$52,2,FALSE),IF(MID(N547,2,2)="WA",VLOOKUP(I547,KEY_RSD_AF!$C$5:$G$52,3,FALSE),IF(MID(N547,2,2)="HH",VLOOKUP(I547,KEY_RSD_AF!$C$5:$G$52,4,FALSE),IF(MID(N547,2,2)="WH",VLOOKUP(I547,KEY_RSD_AF!$C$5:$G$52,5,FALSE))))))</f>
        <v>1</v>
      </c>
      <c r="S547" s="183">
        <f>'RSD (DEA)'!AZ191</f>
        <v>1.45</v>
      </c>
      <c r="T547" s="183">
        <f t="shared" si="12"/>
        <v>1.45</v>
      </c>
      <c r="U547" s="183">
        <v>0.5</v>
      </c>
      <c r="V547" s="182">
        <f>'RSD (DEA)'!BR191/'RSD (DEA)'!S191</f>
        <v>2.9375</v>
      </c>
      <c r="W547" s="184">
        <f>'RSD (DEA)'!BS191/RSD_HeatingDemand!$AH$9</f>
        <v>0</v>
      </c>
      <c r="X547" s="183">
        <f>'RSD (DEA)'!BK191*RSD_HeatingDemand!$AH$10/'RSD (DEA)'!S191</f>
        <v>700</v>
      </c>
      <c r="Y547" s="182">
        <f>'RSD (DEA)'!BI191</f>
        <v>20</v>
      </c>
      <c r="Z547" s="252" t="str">
        <f>IF(ISBLANK(O547),"",IF(O547="ACT",1,-1))</f>
        <v/>
      </c>
      <c r="AA547" s="236">
        <f>'RSD (DEA)'!AM191</f>
        <v>31.536000000000001</v>
      </c>
      <c r="AC547" s="235">
        <f>'RSD (DEA)'!S191</f>
        <v>80</v>
      </c>
      <c r="AD547" s="235" t="str">
        <f>LEFT('RSD (DEA)'!AK191,2)&amp;RIGHT(E547,3)</f>
        <v>RWAPB</v>
      </c>
      <c r="AE547" s="183">
        <f>'RSD (DEA)'!BA191</f>
        <v>0</v>
      </c>
      <c r="AF547" s="183"/>
    </row>
    <row r="548" spans="1:32" x14ac:dyDescent="0.3">
      <c r="A548" s="235"/>
      <c r="D548" s="512"/>
      <c r="E548" s="512"/>
      <c r="F548" s="515"/>
      <c r="G548" s="515"/>
      <c r="H548" s="540"/>
      <c r="I548" s="512"/>
      <c r="J548" s="242"/>
      <c r="K548" s="242"/>
      <c r="L548" s="512"/>
      <c r="M548" s="182"/>
      <c r="N548" s="318" t="str">
        <f>AD547</f>
        <v>RWAPB</v>
      </c>
      <c r="O548" s="244"/>
      <c r="P548" s="182"/>
      <c r="Q548" s="182"/>
      <c r="R548" s="525">
        <f>IF(ISBLANK(I548),IF(MID(N548,2,2)="HA",VLOOKUP(I547,KEY_RSD_AF!$C$5:$G$52,2,FALSE),IF(MID(N548,2,2)="WA",VLOOKUP(I547,KEY_RSD_AF!$C$5:$G$52,3,FALSE),IF(MID(N548,2,2)="HH",VLOOKUP(I547,KEY_RSD_AF!$C$5:$G$52,4,FALSE),IF(MID(N548,2,2)="WH",VLOOKUP(I547,KEY_RSD_AF!$C$5:$G$52,5,FALSE))))),IF(MID(N548,2,2)="HA",VLOOKUP(I548,KEY_RSD_AF!$C$5:$G$52,2,FALSE),IF(MID(N548,2,2)="WA",VLOOKUP(I548,KEY_RSD_AF!$C$5:$G$52,3,FALSE),IF(MID(N548,2,2)="HH",VLOOKUP(I548,KEY_RSD_AF!$C$5:$G$52,4,FALSE),IF(MID(N548,2,2)="WH",VLOOKUP(I548,KEY_RSD_AF!$C$5:$G$52,5,FALSE))))))</f>
        <v>1</v>
      </c>
      <c r="S548" s="503">
        <f>T547</f>
        <v>1.45</v>
      </c>
      <c r="T548" s="183"/>
      <c r="U548" s="183"/>
      <c r="V548" s="182"/>
      <c r="W548" s="184"/>
      <c r="X548" s="183"/>
      <c r="Y548" s="182"/>
      <c r="Z548" s="252"/>
      <c r="AA548" s="236"/>
      <c r="AC548" s="235"/>
      <c r="AD548" s="235"/>
      <c r="AE548" s="183"/>
      <c r="AF548" s="183"/>
    </row>
    <row r="549" spans="1:32" x14ac:dyDescent="0.3">
      <c r="A549" s="244"/>
      <c r="D549" s="512"/>
      <c r="E549" s="513"/>
      <c r="F549" s="515"/>
      <c r="G549" s="515"/>
      <c r="H549" s="540"/>
      <c r="I549" s="513"/>
      <c r="J549" s="255"/>
      <c r="K549" s="255"/>
      <c r="L549" s="513"/>
      <c r="M549" s="252" t="str">
        <f>M547</f>
        <v>RSDAHT</v>
      </c>
      <c r="N549" s="244"/>
      <c r="O549" s="244" t="str">
        <f>$AH$12</f>
        <v>ACT</v>
      </c>
      <c r="P549" s="252"/>
      <c r="Q549" s="252"/>
      <c r="R549" s="525"/>
      <c r="S549" s="256"/>
      <c r="T549" s="183"/>
      <c r="U549" s="183"/>
      <c r="V549" s="252"/>
      <c r="W549" s="524"/>
      <c r="X549" s="256"/>
      <c r="Y549" s="252"/>
      <c r="Z549" s="252">
        <f>IF(ISBLANK(O549),"",IF(O549="ACT",1,-1))</f>
        <v>1</v>
      </c>
      <c r="AA549" s="257"/>
      <c r="AC549" s="244"/>
      <c r="AD549" s="244"/>
      <c r="AE549" s="256"/>
      <c r="AF549" s="256"/>
    </row>
    <row r="550" spans="1:32" x14ac:dyDescent="0.3">
      <c r="A550" s="244"/>
      <c r="D550" s="512"/>
      <c r="E550" s="513"/>
      <c r="F550" s="515"/>
      <c r="G550" s="515"/>
      <c r="H550" s="540"/>
      <c r="I550" s="513"/>
      <c r="J550" s="255"/>
      <c r="K550" s="255"/>
      <c r="L550" s="513"/>
      <c r="M550" s="252" t="str">
        <f>M549</f>
        <v>RSDAHT</v>
      </c>
      <c r="N550" s="244"/>
      <c r="O550" s="244" t="str">
        <f>L547</f>
        <v>RSDGAS</v>
      </c>
      <c r="P550" s="252"/>
      <c r="Q550" s="252"/>
      <c r="R550" s="525"/>
      <c r="S550" s="256"/>
      <c r="T550" s="183"/>
      <c r="U550" s="183"/>
      <c r="V550" s="252"/>
      <c r="W550" s="524"/>
      <c r="X550" s="256"/>
      <c r="Y550" s="252"/>
      <c r="Z550" s="252">
        <f>IF(ISBLANK(O550),"",IF(O550="ACT",1,-1))</f>
        <v>-1</v>
      </c>
      <c r="AA550" s="257"/>
      <c r="AC550" s="244"/>
      <c r="AD550" s="244"/>
      <c r="AE550" s="256"/>
      <c r="AF550" s="256"/>
    </row>
    <row r="551" spans="1:32" x14ac:dyDescent="0.3">
      <c r="A551" s="235"/>
      <c r="C551" s="528" t="str">
        <f>'RSD (DEA)'!Z192</f>
        <v>HP_GAS_04</v>
      </c>
      <c r="D551" s="512" t="str">
        <f>RSD_HeatingDemand!N551&amp;"_"&amp;LEFT(C551,LEN(C551)-2)&amp;"04"</f>
        <v>RHAPB_HP_GAS_04</v>
      </c>
      <c r="E551" s="512" t="str">
        <f>"R"&amp;LEFT('RSD (DEA)'!AD192,2)&amp;IF(ISNUMBER(IFERROR(FIND("HTH",'RSD (DEA)'!Z192),IFERROR(FIND("HP",'RSD (DEA)'!Z192),"C"))),IF(IFERROR(FIND("HTH",'RSD (DEA)'!Z192),100)=100,"B","A"),"C")</f>
        <v>RAPB</v>
      </c>
      <c r="F551" s="515"/>
      <c r="G551" s="515"/>
      <c r="H551" s="540" t="str">
        <f t="shared" si="13"/>
        <v>RHAPB_HP_GAS_09</v>
      </c>
      <c r="I551" s="512" t="str">
        <f>'RSD (DEA)'!AA192</f>
        <v>Gas driven absorption heat pumps, brine-to-water</v>
      </c>
      <c r="J551" s="242" t="s">
        <v>239</v>
      </c>
      <c r="K551" s="242" t="s">
        <v>240</v>
      </c>
      <c r="L551" s="512" t="str">
        <f>'RSD (DEA)'!AH192</f>
        <v>RSDGAS</v>
      </c>
      <c r="M551" s="182" t="str">
        <f>'RSD (DEA)'!AI192</f>
        <v>RSDAHT</v>
      </c>
      <c r="N551" s="235" t="str">
        <f>LEFT('RSD (DEA)'!AJ192,2)&amp;RIGHT(E551,3)</f>
        <v>RHAPB</v>
      </c>
      <c r="O551" s="244"/>
      <c r="P551" s="182">
        <f>IF('RSD (DEA)'!P192&lt;RSD_HeatingDemand!$AH$15,RSD_HeatingDemand!$AH$15,'RSD (DEA)'!P192)</f>
        <v>2019</v>
      </c>
      <c r="Q551" s="182">
        <f>IF('RSD (DEA)'!X192&lt;RSD_HeatingDemand!$AH$15,RSD_HeatingDemand!$AH$15,'RSD (DEA)'!X192)</f>
        <v>2030</v>
      </c>
      <c r="R551" s="525">
        <f>IF(ISBLANK(I551),IF(MID(N551,2,2)="HA",VLOOKUP(I550,KEY_RSD_AF!$C$5:$G$52,2,FALSE),IF(MID(N551,2,2)="WA",VLOOKUP(I550,KEY_RSD_AF!$C$5:$G$52,3,FALSE),IF(MID(N551,2,2)="HH",VLOOKUP(I550,KEY_RSD_AF!$C$5:$G$52,4,FALSE),IF(MID(N551,2,2)="WH",VLOOKUP(I550,KEY_RSD_AF!$C$5:$G$52,5,FALSE))))),IF(MID(N551,2,2)="HA",VLOOKUP(I551,KEY_RSD_AF!$C$5:$G$52,2,FALSE),IF(MID(N551,2,2)="WA",VLOOKUP(I551,KEY_RSD_AF!$C$5:$G$52,3,FALSE),IF(MID(N551,2,2)="HH",VLOOKUP(I551,KEY_RSD_AF!$C$5:$G$52,4,FALSE),IF(MID(N551,2,2)="WH",VLOOKUP(I551,KEY_RSD_AF!$C$5:$G$52,5,FALSE))))))</f>
        <v>1</v>
      </c>
      <c r="S551" s="183">
        <f>'RSD (DEA)'!AZ192</f>
        <v>1.7</v>
      </c>
      <c r="T551" s="183">
        <f t="shared" si="12"/>
        <v>1.7</v>
      </c>
      <c r="U551" s="183">
        <v>0.5</v>
      </c>
      <c r="V551" s="182">
        <f>'RSD (DEA)'!BR192/'RSD (DEA)'!S192</f>
        <v>2.9375</v>
      </c>
      <c r="W551" s="184">
        <f>'RSD (DEA)'!BS192/RSD_HeatingDemand!$AH$9</f>
        <v>0</v>
      </c>
      <c r="X551" s="183">
        <f>'RSD (DEA)'!BK192*RSD_HeatingDemand!$AH$10/'RSD (DEA)'!S192</f>
        <v>662.5</v>
      </c>
      <c r="Y551" s="182">
        <f>'RSD (DEA)'!BI192</f>
        <v>20</v>
      </c>
      <c r="Z551" s="252" t="str">
        <f>IF(ISBLANK(O551),"",IF(O551="ACT",1,-1))</f>
        <v/>
      </c>
      <c r="AA551" s="236">
        <f>'RSD (DEA)'!AM192</f>
        <v>31.536000000000001</v>
      </c>
      <c r="AC551" s="235">
        <f>'RSD (DEA)'!S192</f>
        <v>80</v>
      </c>
      <c r="AD551" s="235" t="str">
        <f>LEFT('RSD (DEA)'!AK192,2)&amp;RIGHT(E551,3)</f>
        <v>RWAPB</v>
      </c>
      <c r="AE551" s="183">
        <f>'RSD (DEA)'!BA192</f>
        <v>0</v>
      </c>
      <c r="AF551" s="183"/>
    </row>
    <row r="552" spans="1:32" x14ac:dyDescent="0.3">
      <c r="A552" s="235"/>
      <c r="D552" s="512"/>
      <c r="E552" s="512"/>
      <c r="F552" s="515"/>
      <c r="G552" s="515"/>
      <c r="H552" s="540"/>
      <c r="I552" s="512"/>
      <c r="J552" s="242"/>
      <c r="K552" s="242"/>
      <c r="L552" s="512"/>
      <c r="M552" s="182"/>
      <c r="N552" s="318" t="str">
        <f>AD551</f>
        <v>RWAPB</v>
      </c>
      <c r="O552" s="244"/>
      <c r="P552" s="182"/>
      <c r="Q552" s="182"/>
      <c r="R552" s="525">
        <f>IF(ISBLANK(I552),IF(MID(N552,2,2)="HA",VLOOKUP(I551,KEY_RSD_AF!$C$5:$G$52,2,FALSE),IF(MID(N552,2,2)="WA",VLOOKUP(I551,KEY_RSD_AF!$C$5:$G$52,3,FALSE),IF(MID(N552,2,2)="HH",VLOOKUP(I551,KEY_RSD_AF!$C$5:$G$52,4,FALSE),IF(MID(N552,2,2)="WH",VLOOKUP(I551,KEY_RSD_AF!$C$5:$G$52,5,FALSE))))),IF(MID(N552,2,2)="HA",VLOOKUP(I552,KEY_RSD_AF!$C$5:$G$52,2,FALSE),IF(MID(N552,2,2)="WA",VLOOKUP(I552,KEY_RSD_AF!$C$5:$G$52,3,FALSE),IF(MID(N552,2,2)="HH",VLOOKUP(I552,KEY_RSD_AF!$C$5:$G$52,4,FALSE),IF(MID(N552,2,2)="WH",VLOOKUP(I552,KEY_RSD_AF!$C$5:$G$52,5,FALSE))))))</f>
        <v>1</v>
      </c>
      <c r="S552" s="503">
        <f>T551</f>
        <v>1.7</v>
      </c>
      <c r="T552" s="183"/>
      <c r="U552" s="183"/>
      <c r="V552" s="182"/>
      <c r="W552" s="184"/>
      <c r="X552" s="183"/>
      <c r="Y552" s="182"/>
      <c r="Z552" s="252"/>
      <c r="AA552" s="236"/>
      <c r="AC552" s="235"/>
      <c r="AD552" s="235"/>
      <c r="AE552" s="183"/>
      <c r="AF552" s="183"/>
    </row>
    <row r="553" spans="1:32" x14ac:dyDescent="0.3">
      <c r="A553" s="244"/>
      <c r="D553" s="512"/>
      <c r="E553" s="513"/>
      <c r="F553" s="515"/>
      <c r="G553" s="515"/>
      <c r="H553" s="540"/>
      <c r="I553" s="513"/>
      <c r="J553" s="255"/>
      <c r="K553" s="255"/>
      <c r="L553" s="513"/>
      <c r="M553" s="252" t="str">
        <f>M551</f>
        <v>RSDAHT</v>
      </c>
      <c r="N553" s="244"/>
      <c r="O553" s="244" t="str">
        <f>$AH$12</f>
        <v>ACT</v>
      </c>
      <c r="P553" s="252"/>
      <c r="Q553" s="252"/>
      <c r="R553" s="525"/>
      <c r="S553" s="256"/>
      <c r="T553" s="183"/>
      <c r="U553" s="183"/>
      <c r="V553" s="252"/>
      <c r="W553" s="524"/>
      <c r="X553" s="256"/>
      <c r="Y553" s="252"/>
      <c r="Z553" s="252">
        <f>IF(ISBLANK(O553),"",IF(O553="ACT",1,-1))</f>
        <v>1</v>
      </c>
      <c r="AA553" s="257"/>
      <c r="AC553" s="244"/>
      <c r="AD553" s="244"/>
      <c r="AE553" s="256"/>
      <c r="AF553" s="256"/>
    </row>
    <row r="554" spans="1:32" x14ac:dyDescent="0.3">
      <c r="A554" s="244"/>
      <c r="D554" s="512"/>
      <c r="E554" s="513"/>
      <c r="F554" s="515"/>
      <c r="G554" s="515"/>
      <c r="H554" s="540"/>
      <c r="I554" s="513"/>
      <c r="J554" s="255"/>
      <c r="K554" s="255"/>
      <c r="L554" s="513"/>
      <c r="M554" s="252" t="str">
        <f>M553</f>
        <v>RSDAHT</v>
      </c>
      <c r="N554" s="244"/>
      <c r="O554" s="244" t="str">
        <f>L551</f>
        <v>RSDGAS</v>
      </c>
      <c r="P554" s="252"/>
      <c r="Q554" s="252"/>
      <c r="R554" s="525"/>
      <c r="S554" s="256"/>
      <c r="T554" s="183"/>
      <c r="U554" s="183"/>
      <c r="V554" s="252"/>
      <c r="W554" s="524"/>
      <c r="X554" s="256"/>
      <c r="Y554" s="252"/>
      <c r="Z554" s="252">
        <f>IF(ISBLANK(O554),"",IF(O554="ACT",1,-1))</f>
        <v>-1</v>
      </c>
      <c r="AA554" s="257"/>
      <c r="AC554" s="244"/>
      <c r="AD554" s="244"/>
      <c r="AE554" s="256"/>
      <c r="AF554" s="256"/>
    </row>
    <row r="555" spans="1:32" x14ac:dyDescent="0.3">
      <c r="A555" s="235"/>
      <c r="C555" s="528" t="str">
        <f>'RSD (DEA)'!Z193</f>
        <v>HP_GAS_04</v>
      </c>
      <c r="D555" s="512" t="str">
        <f>RSD_HeatingDemand!N555&amp;"_"&amp;LEFT(C555,LEN(C555)-2)&amp;"04"</f>
        <v>RHAPB_HP_GAS_04</v>
      </c>
      <c r="E555" s="512" t="str">
        <f>"R"&amp;LEFT('RSD (DEA)'!AD193,2)&amp;IF(ISNUMBER(IFERROR(FIND("HTH",'RSD (DEA)'!Z193),IFERROR(FIND("HP",'RSD (DEA)'!Z193),"C"))),IF(IFERROR(FIND("HTH",'RSD (DEA)'!Z193),100)=100,"B","A"),"C")</f>
        <v>RAPB</v>
      </c>
      <c r="F555" s="515"/>
      <c r="G555" s="515"/>
      <c r="H555" s="540" t="str">
        <f t="shared" si="13"/>
        <v>RHAPB_HP_GAS_10</v>
      </c>
      <c r="I555" s="512" t="str">
        <f>'RSD (DEA)'!AA193</f>
        <v>Gas driven absorption heat pumps, brine-to-water</v>
      </c>
      <c r="J555" s="242" t="s">
        <v>239</v>
      </c>
      <c r="K555" s="242" t="s">
        <v>240</v>
      </c>
      <c r="L555" s="512" t="str">
        <f>'RSD (DEA)'!AH193</f>
        <v>RSDGAS</v>
      </c>
      <c r="M555" s="182" t="str">
        <f>'RSD (DEA)'!AI193</f>
        <v>RSDAHT</v>
      </c>
      <c r="N555" s="235" t="str">
        <f>LEFT('RSD (DEA)'!AJ193,2)&amp;RIGHT(E555,3)</f>
        <v>RHAPB</v>
      </c>
      <c r="O555" s="244"/>
      <c r="P555" s="182">
        <f>IF('RSD (DEA)'!P193&lt;RSD_HeatingDemand!$AH$15,RSD_HeatingDemand!$AH$15,'RSD (DEA)'!P193)</f>
        <v>2019</v>
      </c>
      <c r="Q555" s="182">
        <f>IF('RSD (DEA)'!X193&lt;RSD_HeatingDemand!$AH$15,RSD_HeatingDemand!$AH$15,'RSD (DEA)'!X193)</f>
        <v>2050</v>
      </c>
      <c r="R555" s="525">
        <f>IF(ISBLANK(I555),IF(MID(N555,2,2)="HA",VLOOKUP(I554,KEY_RSD_AF!$C$5:$G$52,2,FALSE),IF(MID(N555,2,2)="WA",VLOOKUP(I554,KEY_RSD_AF!$C$5:$G$52,3,FALSE),IF(MID(N555,2,2)="HH",VLOOKUP(I554,KEY_RSD_AF!$C$5:$G$52,4,FALSE),IF(MID(N555,2,2)="WH",VLOOKUP(I554,KEY_RSD_AF!$C$5:$G$52,5,FALSE))))),IF(MID(N555,2,2)="HA",VLOOKUP(I555,KEY_RSD_AF!$C$5:$G$52,2,FALSE),IF(MID(N555,2,2)="WA",VLOOKUP(I555,KEY_RSD_AF!$C$5:$G$52,3,FALSE),IF(MID(N555,2,2)="HH",VLOOKUP(I555,KEY_RSD_AF!$C$5:$G$52,4,FALSE),IF(MID(N555,2,2)="WH",VLOOKUP(I555,KEY_RSD_AF!$C$5:$G$52,5,FALSE))))))</f>
        <v>1</v>
      </c>
      <c r="S555" s="183">
        <f>'RSD (DEA)'!AZ193</f>
        <v>1.7</v>
      </c>
      <c r="T555" s="183">
        <f t="shared" si="12"/>
        <v>1.7</v>
      </c>
      <c r="U555" s="183">
        <v>0.5</v>
      </c>
      <c r="V555" s="182">
        <f>'RSD (DEA)'!BR193/'RSD (DEA)'!S193</f>
        <v>2.9375</v>
      </c>
      <c r="W555" s="184">
        <f>'RSD (DEA)'!BS193/RSD_HeatingDemand!$AH$9</f>
        <v>0</v>
      </c>
      <c r="X555" s="183">
        <f>'RSD (DEA)'!BK193*RSD_HeatingDemand!$AH$10/'RSD (DEA)'!S193</f>
        <v>625</v>
      </c>
      <c r="Y555" s="182">
        <f>'RSD (DEA)'!BI193</f>
        <v>20</v>
      </c>
      <c r="Z555" s="252" t="str">
        <f>IF(ISBLANK(O555),"",IF(O555="ACT",1,-1))</f>
        <v/>
      </c>
      <c r="AA555" s="236">
        <f>'RSD (DEA)'!AM193</f>
        <v>31.536000000000001</v>
      </c>
      <c r="AC555" s="235">
        <f>'RSD (DEA)'!S193</f>
        <v>80</v>
      </c>
      <c r="AD555" s="235" t="str">
        <f>LEFT('RSD (DEA)'!AK193,2)&amp;RIGHT(E555,3)</f>
        <v>RWAPB</v>
      </c>
      <c r="AE555" s="183">
        <f>'RSD (DEA)'!BA193</f>
        <v>0</v>
      </c>
      <c r="AF555" s="183"/>
    </row>
    <row r="556" spans="1:32" x14ac:dyDescent="0.3">
      <c r="A556" s="235"/>
      <c r="D556" s="512"/>
      <c r="E556" s="512"/>
      <c r="F556" s="515"/>
      <c r="G556" s="515"/>
      <c r="H556" s="540"/>
      <c r="I556" s="512"/>
      <c r="J556" s="242"/>
      <c r="K556" s="242"/>
      <c r="L556" s="512"/>
      <c r="M556" s="182"/>
      <c r="N556" s="318" t="str">
        <f>AD555</f>
        <v>RWAPB</v>
      </c>
      <c r="O556" s="244"/>
      <c r="P556" s="182"/>
      <c r="Q556" s="182"/>
      <c r="R556" s="525">
        <f>IF(ISBLANK(I556),IF(MID(N556,2,2)="HA",VLOOKUP(I555,KEY_RSD_AF!$C$5:$G$52,2,FALSE),IF(MID(N556,2,2)="WA",VLOOKUP(I555,KEY_RSD_AF!$C$5:$G$52,3,FALSE),IF(MID(N556,2,2)="HH",VLOOKUP(I555,KEY_RSD_AF!$C$5:$G$52,4,FALSE),IF(MID(N556,2,2)="WH",VLOOKUP(I555,KEY_RSD_AF!$C$5:$G$52,5,FALSE))))),IF(MID(N556,2,2)="HA",VLOOKUP(I556,KEY_RSD_AF!$C$5:$G$52,2,FALSE),IF(MID(N556,2,2)="WA",VLOOKUP(I556,KEY_RSD_AF!$C$5:$G$52,3,FALSE),IF(MID(N556,2,2)="HH",VLOOKUP(I556,KEY_RSD_AF!$C$5:$G$52,4,FALSE),IF(MID(N556,2,2)="WH",VLOOKUP(I556,KEY_RSD_AF!$C$5:$G$52,5,FALSE))))))</f>
        <v>1</v>
      </c>
      <c r="S556" s="503">
        <f>T555</f>
        <v>1.7</v>
      </c>
      <c r="T556" s="183"/>
      <c r="U556" s="183"/>
      <c r="V556" s="182"/>
      <c r="W556" s="184"/>
      <c r="X556" s="183"/>
      <c r="Y556" s="182"/>
      <c r="Z556" s="252"/>
      <c r="AA556" s="236"/>
      <c r="AC556" s="235"/>
      <c r="AD556" s="235"/>
      <c r="AE556" s="183"/>
      <c r="AF556" s="183"/>
    </row>
    <row r="557" spans="1:32" x14ac:dyDescent="0.3">
      <c r="A557" s="244"/>
      <c r="D557" s="512"/>
      <c r="E557" s="513"/>
      <c r="F557" s="515"/>
      <c r="G557" s="515"/>
      <c r="H557" s="540"/>
      <c r="I557" s="513"/>
      <c r="J557" s="255"/>
      <c r="K557" s="255"/>
      <c r="L557" s="513"/>
      <c r="M557" s="252" t="str">
        <f>M555</f>
        <v>RSDAHT</v>
      </c>
      <c r="N557" s="244"/>
      <c r="O557" s="244" t="str">
        <f>$AH$12</f>
        <v>ACT</v>
      </c>
      <c r="P557" s="252"/>
      <c r="Q557" s="252"/>
      <c r="R557" s="525"/>
      <c r="S557" s="256"/>
      <c r="T557" s="183"/>
      <c r="U557" s="183"/>
      <c r="V557" s="252"/>
      <c r="W557" s="524"/>
      <c r="X557" s="256"/>
      <c r="Y557" s="252"/>
      <c r="Z557" s="252">
        <f>IF(ISBLANK(O557),"",IF(O557="ACT",1,-1))</f>
        <v>1</v>
      </c>
      <c r="AA557" s="257"/>
      <c r="AC557" s="244"/>
      <c r="AD557" s="244"/>
      <c r="AE557" s="256"/>
      <c r="AF557" s="256"/>
    </row>
    <row r="558" spans="1:32" x14ac:dyDescent="0.3">
      <c r="A558" s="244"/>
      <c r="D558" s="512"/>
      <c r="E558" s="513"/>
      <c r="F558" s="515"/>
      <c r="G558" s="515"/>
      <c r="H558" s="540"/>
      <c r="I558" s="513"/>
      <c r="J558" s="255"/>
      <c r="K558" s="255"/>
      <c r="L558" s="513"/>
      <c r="M558" s="252" t="str">
        <f>M557</f>
        <v>RSDAHT</v>
      </c>
      <c r="N558" s="244"/>
      <c r="O558" s="244" t="str">
        <f>L555</f>
        <v>RSDGAS</v>
      </c>
      <c r="P558" s="252"/>
      <c r="Q558" s="252"/>
      <c r="R558" s="525"/>
      <c r="S558" s="256"/>
      <c r="T558" s="183"/>
      <c r="U558" s="183"/>
      <c r="V558" s="252"/>
      <c r="W558" s="524"/>
      <c r="X558" s="256"/>
      <c r="Y558" s="252"/>
      <c r="Z558" s="252">
        <f>IF(ISBLANK(O558),"",IF(O558="ACT",1,-1))</f>
        <v>-1</v>
      </c>
      <c r="AA558" s="257"/>
      <c r="AC558" s="244"/>
      <c r="AD558" s="244"/>
      <c r="AE558" s="256"/>
      <c r="AF558" s="256"/>
    </row>
    <row r="559" spans="1:32" x14ac:dyDescent="0.3">
      <c r="A559" s="235"/>
      <c r="C559" s="528" t="str">
        <f>'RSD (DEA)'!Z194</f>
        <v>HP_GAS_05</v>
      </c>
      <c r="D559" s="512" t="str">
        <f>RSD_HeatingDemand!N559&amp;"_"&amp;LEFT(C559,LEN(C559)-2)&amp;"05"</f>
        <v>RHAPB_HP_GAS_05</v>
      </c>
      <c r="E559" s="512" t="str">
        <f>"R"&amp;LEFT('RSD (DEA)'!AD194,2)&amp;IF(ISNUMBER(IFERROR(FIND("HTH",'RSD (DEA)'!Z194),IFERROR(FIND("HP",'RSD (DEA)'!Z194),"C"))),IF(IFERROR(FIND("HTH",'RSD (DEA)'!Z194),100)=100,"B","A"),"C")</f>
        <v>RAPB</v>
      </c>
      <c r="F559" s="515"/>
      <c r="G559" s="515"/>
      <c r="H559" s="540" t="str">
        <f t="shared" si="13"/>
        <v>RHAPB_HP_GAS_11</v>
      </c>
      <c r="I559" s="512" t="str">
        <f>'RSD (DEA)'!AA194</f>
        <v>Gas engine driven heat pump, air-to-water</v>
      </c>
      <c r="J559" s="242" t="s">
        <v>239</v>
      </c>
      <c r="K559" s="242" t="s">
        <v>240</v>
      </c>
      <c r="L559" s="512" t="str">
        <f>'RSD (DEA)'!AH194</f>
        <v>RSDGAS</v>
      </c>
      <c r="M559" s="182" t="str">
        <f>'RSD (DEA)'!AI194</f>
        <v>RSDAHT</v>
      </c>
      <c r="N559" s="235" t="str">
        <f>LEFT('RSD (DEA)'!AJ194,2)&amp;RIGHT(E559,3)</f>
        <v>RHAPB</v>
      </c>
      <c r="O559" s="244"/>
      <c r="P559" s="182">
        <f>IF('RSD (DEA)'!P194&lt;RSD_HeatingDemand!$AH$15,RSD_HeatingDemand!$AH$15,'RSD (DEA)'!P194)</f>
        <v>2019</v>
      </c>
      <c r="Q559" s="182">
        <f>IF('RSD (DEA)'!X194&lt;RSD_HeatingDemand!$AH$15,RSD_HeatingDemand!$AH$15,'RSD (DEA)'!X194)</f>
        <v>2019</v>
      </c>
      <c r="R559" s="525">
        <f>IF(ISBLANK(I559),IF(MID(N559,2,2)="HA",VLOOKUP(I558,KEY_RSD_AF!$C$5:$G$52,2,FALSE),IF(MID(N559,2,2)="WA",VLOOKUP(I558,KEY_RSD_AF!$C$5:$G$52,3,FALSE),IF(MID(N559,2,2)="HH",VLOOKUP(I558,KEY_RSD_AF!$C$5:$G$52,4,FALSE),IF(MID(N559,2,2)="WH",VLOOKUP(I558,KEY_RSD_AF!$C$5:$G$52,5,FALSE))))),IF(MID(N559,2,2)="HA",VLOOKUP(I559,KEY_RSD_AF!$C$5:$G$52,2,FALSE),IF(MID(N559,2,2)="WA",VLOOKUP(I559,KEY_RSD_AF!$C$5:$G$52,3,FALSE),IF(MID(N559,2,2)="HH",VLOOKUP(I559,KEY_RSD_AF!$C$5:$G$52,4,FALSE),IF(MID(N559,2,2)="WH",VLOOKUP(I559,KEY_RSD_AF!$C$5:$G$52,5,FALSE))))))</f>
        <v>1</v>
      </c>
      <c r="S559" s="183">
        <f>'RSD (DEA)'!AZ194</f>
        <v>1.5</v>
      </c>
      <c r="T559" s="183">
        <f t="shared" si="12"/>
        <v>1.5</v>
      </c>
      <c r="U559" s="183">
        <v>0.5</v>
      </c>
      <c r="V559" s="182">
        <f>'RSD (DEA)'!BR194/'RSD (DEA)'!S194</f>
        <v>4.7</v>
      </c>
      <c r="W559" s="184">
        <f>'RSD (DEA)'!BS194/RSD_HeatingDemand!$AH$9</f>
        <v>0</v>
      </c>
      <c r="X559" s="183">
        <f>'RSD (DEA)'!BK194*RSD_HeatingDemand!$AH$10/'RSD (DEA)'!S194</f>
        <v>112</v>
      </c>
      <c r="Y559" s="182">
        <f>'RSD (DEA)'!BI194</f>
        <v>15</v>
      </c>
      <c r="Z559" s="252" t="str">
        <f>IF(ISBLANK(O559),"",IF(O559="ACT",1,-1))</f>
        <v/>
      </c>
      <c r="AA559" s="236">
        <f>'RSD (DEA)'!AM194</f>
        <v>31.536000000000001</v>
      </c>
      <c r="AC559" s="235">
        <f>'RSD (DEA)'!S194</f>
        <v>50</v>
      </c>
      <c r="AD559" s="235" t="str">
        <f>LEFT('RSD (DEA)'!AK194,2)&amp;RIGHT(E559,3)</f>
        <v>RWAPB</v>
      </c>
      <c r="AE559" s="183">
        <f>'RSD (DEA)'!BA194</f>
        <v>0</v>
      </c>
      <c r="AF559" s="183"/>
    </row>
    <row r="560" spans="1:32" x14ac:dyDescent="0.3">
      <c r="A560" s="235"/>
      <c r="D560" s="512"/>
      <c r="E560" s="512"/>
      <c r="F560" s="515"/>
      <c r="G560" s="515"/>
      <c r="H560" s="540"/>
      <c r="I560" s="512"/>
      <c r="J560" s="242"/>
      <c r="K560" s="242"/>
      <c r="L560" s="512"/>
      <c r="M560" s="182"/>
      <c r="N560" s="318" t="str">
        <f>AD559</f>
        <v>RWAPB</v>
      </c>
      <c r="O560" s="244"/>
      <c r="P560" s="182"/>
      <c r="Q560" s="182"/>
      <c r="R560" s="525">
        <f>IF(ISBLANK(I560),IF(MID(N560,2,2)="HA",VLOOKUP(I559,KEY_RSD_AF!$C$5:$G$52,2,FALSE),IF(MID(N560,2,2)="WA",VLOOKUP(I559,KEY_RSD_AF!$C$5:$G$52,3,FALSE),IF(MID(N560,2,2)="HH",VLOOKUP(I559,KEY_RSD_AF!$C$5:$G$52,4,FALSE),IF(MID(N560,2,2)="WH",VLOOKUP(I559,KEY_RSD_AF!$C$5:$G$52,5,FALSE))))),IF(MID(N560,2,2)="HA",VLOOKUP(I560,KEY_RSD_AF!$C$5:$G$52,2,FALSE),IF(MID(N560,2,2)="WA",VLOOKUP(I560,KEY_RSD_AF!$C$5:$G$52,3,FALSE),IF(MID(N560,2,2)="HH",VLOOKUP(I560,KEY_RSD_AF!$C$5:$G$52,4,FALSE),IF(MID(N560,2,2)="WH",VLOOKUP(I560,KEY_RSD_AF!$C$5:$G$52,5,FALSE))))))</f>
        <v>1</v>
      </c>
      <c r="S560" s="503">
        <f>T559</f>
        <v>1.5</v>
      </c>
      <c r="T560" s="183"/>
      <c r="U560" s="183"/>
      <c r="V560" s="182"/>
      <c r="W560" s="184"/>
      <c r="X560" s="183"/>
      <c r="Y560" s="182"/>
      <c r="Z560" s="252"/>
      <c r="AA560" s="236"/>
      <c r="AC560" s="235"/>
      <c r="AD560" s="235"/>
      <c r="AE560" s="183"/>
      <c r="AF560" s="183"/>
    </row>
    <row r="561" spans="1:32" x14ac:dyDescent="0.3">
      <c r="A561" s="244"/>
      <c r="D561" s="512"/>
      <c r="E561" s="513"/>
      <c r="F561" s="515"/>
      <c r="G561" s="515"/>
      <c r="H561" s="540"/>
      <c r="I561" s="513"/>
      <c r="J561" s="255"/>
      <c r="K561" s="255"/>
      <c r="L561" s="513"/>
      <c r="M561" s="252" t="str">
        <f>M559</f>
        <v>RSDAHT</v>
      </c>
      <c r="N561" s="244"/>
      <c r="O561" s="244" t="str">
        <f>$AH$12</f>
        <v>ACT</v>
      </c>
      <c r="P561" s="252"/>
      <c r="Q561" s="252"/>
      <c r="R561" s="525"/>
      <c r="S561" s="256"/>
      <c r="T561" s="183"/>
      <c r="U561" s="183"/>
      <c r="V561" s="252"/>
      <c r="W561" s="524"/>
      <c r="X561" s="256"/>
      <c r="Y561" s="252"/>
      <c r="Z561" s="252">
        <f>IF(ISBLANK(O561),"",IF(O561="ACT",1,-1))</f>
        <v>1</v>
      </c>
      <c r="AA561" s="257"/>
      <c r="AC561" s="244"/>
      <c r="AD561" s="244"/>
      <c r="AE561" s="256"/>
      <c r="AF561" s="256"/>
    </row>
    <row r="562" spans="1:32" x14ac:dyDescent="0.3">
      <c r="A562" s="244"/>
      <c r="D562" s="512"/>
      <c r="E562" s="513"/>
      <c r="F562" s="515"/>
      <c r="G562" s="515"/>
      <c r="H562" s="540"/>
      <c r="I562" s="513"/>
      <c r="J562" s="255"/>
      <c r="K562" s="255"/>
      <c r="L562" s="513"/>
      <c r="M562" s="252" t="str">
        <f>M561</f>
        <v>RSDAHT</v>
      </c>
      <c r="N562" s="244"/>
      <c r="O562" s="244" t="str">
        <f>L559</f>
        <v>RSDGAS</v>
      </c>
      <c r="P562" s="252"/>
      <c r="Q562" s="252"/>
      <c r="R562" s="525"/>
      <c r="S562" s="256"/>
      <c r="T562" s="183"/>
      <c r="U562" s="183"/>
      <c r="V562" s="252"/>
      <c r="W562" s="524"/>
      <c r="X562" s="256"/>
      <c r="Y562" s="252"/>
      <c r="Z562" s="252">
        <f>IF(ISBLANK(O562),"",IF(O562="ACT",1,-1))</f>
        <v>-1</v>
      </c>
      <c r="AA562" s="257"/>
      <c r="AC562" s="244"/>
      <c r="AD562" s="244"/>
      <c r="AE562" s="256"/>
      <c r="AF562" s="256"/>
    </row>
    <row r="563" spans="1:32" x14ac:dyDescent="0.3">
      <c r="A563" s="235"/>
      <c r="C563" s="528" t="str">
        <f>'RSD (DEA)'!Z195</f>
        <v>HP_GAS_05</v>
      </c>
      <c r="D563" s="512" t="str">
        <f>RSD_HeatingDemand!N563&amp;"_"&amp;LEFT(C563,LEN(C563)-2)&amp;"05"</f>
        <v>RHAPB_HP_GAS_05</v>
      </c>
      <c r="E563" s="512" t="str">
        <f>"R"&amp;LEFT('RSD (DEA)'!AD195,2)&amp;IF(ISNUMBER(IFERROR(FIND("HTH",'RSD (DEA)'!Z195),IFERROR(FIND("HP",'RSD (DEA)'!Z195),"C"))),IF(IFERROR(FIND("HTH",'RSD (DEA)'!Z195),100)=100,"B","A"),"C")</f>
        <v>RAPB</v>
      </c>
      <c r="F563" s="515"/>
      <c r="G563" s="515"/>
      <c r="H563" s="540" t="str">
        <f t="shared" si="13"/>
        <v>RHAPB_HP_GAS_12</v>
      </c>
      <c r="I563" s="512" t="str">
        <f>'RSD (DEA)'!AA195</f>
        <v>Gas engine driven heat pump, air-to-water</v>
      </c>
      <c r="J563" s="242" t="s">
        <v>239</v>
      </c>
      <c r="K563" s="242" t="s">
        <v>240</v>
      </c>
      <c r="L563" s="512" t="str">
        <f>'RSD (DEA)'!AH195</f>
        <v>RSDGAS</v>
      </c>
      <c r="M563" s="182" t="str">
        <f>'RSD (DEA)'!AI195</f>
        <v>RSDAHT</v>
      </c>
      <c r="N563" s="235" t="str">
        <f>LEFT('RSD (DEA)'!AJ195,2)&amp;RIGHT(E563,3)</f>
        <v>RHAPB</v>
      </c>
      <c r="O563" s="244"/>
      <c r="P563" s="182">
        <f>IF('RSD (DEA)'!P195&lt;RSD_HeatingDemand!$AH$15,RSD_HeatingDemand!$AH$15,'RSD (DEA)'!P195)</f>
        <v>2019</v>
      </c>
      <c r="Q563" s="182">
        <f>IF('RSD (DEA)'!X195&lt;RSD_HeatingDemand!$AH$15,RSD_HeatingDemand!$AH$15,'RSD (DEA)'!X195)</f>
        <v>2020</v>
      </c>
      <c r="R563" s="525">
        <f>IF(ISBLANK(I563),IF(MID(N563,2,2)="HA",VLOOKUP(I562,KEY_RSD_AF!$C$5:$G$52,2,FALSE),IF(MID(N563,2,2)="WA",VLOOKUP(I562,KEY_RSD_AF!$C$5:$G$52,3,FALSE),IF(MID(N563,2,2)="HH",VLOOKUP(I562,KEY_RSD_AF!$C$5:$G$52,4,FALSE),IF(MID(N563,2,2)="WH",VLOOKUP(I562,KEY_RSD_AF!$C$5:$G$52,5,FALSE))))),IF(MID(N563,2,2)="HA",VLOOKUP(I563,KEY_RSD_AF!$C$5:$G$52,2,FALSE),IF(MID(N563,2,2)="WA",VLOOKUP(I563,KEY_RSD_AF!$C$5:$G$52,3,FALSE),IF(MID(N563,2,2)="HH",VLOOKUP(I563,KEY_RSD_AF!$C$5:$G$52,4,FALSE),IF(MID(N563,2,2)="WH",VLOOKUP(I563,KEY_RSD_AF!$C$5:$G$52,5,FALSE))))))</f>
        <v>1</v>
      </c>
      <c r="S563" s="183">
        <f>'RSD (DEA)'!AZ195</f>
        <v>1.55</v>
      </c>
      <c r="T563" s="183">
        <f t="shared" si="12"/>
        <v>1.55</v>
      </c>
      <c r="U563" s="183">
        <v>0.5</v>
      </c>
      <c r="V563" s="182">
        <f>'RSD (DEA)'!BR195/'RSD (DEA)'!S195</f>
        <v>4.7</v>
      </c>
      <c r="W563" s="184">
        <f>'RSD (DEA)'!BS195/RSD_HeatingDemand!$AH$9</f>
        <v>0</v>
      </c>
      <c r="X563" s="183">
        <f>'RSD (DEA)'!BK195*RSD_HeatingDemand!$AH$10/'RSD (DEA)'!S195</f>
        <v>112</v>
      </c>
      <c r="Y563" s="182">
        <f>'RSD (DEA)'!BI195</f>
        <v>20</v>
      </c>
      <c r="Z563" s="252" t="str">
        <f>IF(ISBLANK(O563),"",IF(O563="ACT",1,-1))</f>
        <v/>
      </c>
      <c r="AA563" s="236">
        <f>'RSD (DEA)'!AM195</f>
        <v>31.536000000000001</v>
      </c>
      <c r="AC563" s="235">
        <f>'RSD (DEA)'!S195</f>
        <v>50</v>
      </c>
      <c r="AD563" s="235" t="str">
        <f>LEFT('RSD (DEA)'!AK195,2)&amp;RIGHT(E563,3)</f>
        <v>RWAPB</v>
      </c>
      <c r="AE563" s="183">
        <f>'RSD (DEA)'!BA195</f>
        <v>0</v>
      </c>
      <c r="AF563" s="183"/>
    </row>
    <row r="564" spans="1:32" x14ac:dyDescent="0.3">
      <c r="A564" s="235"/>
      <c r="D564" s="512"/>
      <c r="E564" s="512"/>
      <c r="F564" s="515"/>
      <c r="G564" s="515"/>
      <c r="H564" s="540"/>
      <c r="I564" s="512"/>
      <c r="J564" s="242"/>
      <c r="K564" s="242"/>
      <c r="L564" s="512"/>
      <c r="M564" s="182"/>
      <c r="N564" s="318" t="str">
        <f>AD563</f>
        <v>RWAPB</v>
      </c>
      <c r="O564" s="244"/>
      <c r="P564" s="182"/>
      <c r="Q564" s="182"/>
      <c r="R564" s="525">
        <f>IF(ISBLANK(I564),IF(MID(N564,2,2)="HA",VLOOKUP(I563,KEY_RSD_AF!$C$5:$G$52,2,FALSE),IF(MID(N564,2,2)="WA",VLOOKUP(I563,KEY_RSD_AF!$C$5:$G$52,3,FALSE),IF(MID(N564,2,2)="HH",VLOOKUP(I563,KEY_RSD_AF!$C$5:$G$52,4,FALSE),IF(MID(N564,2,2)="WH",VLOOKUP(I563,KEY_RSD_AF!$C$5:$G$52,5,FALSE))))),IF(MID(N564,2,2)="HA",VLOOKUP(I564,KEY_RSD_AF!$C$5:$G$52,2,FALSE),IF(MID(N564,2,2)="WA",VLOOKUP(I564,KEY_RSD_AF!$C$5:$G$52,3,FALSE),IF(MID(N564,2,2)="HH",VLOOKUP(I564,KEY_RSD_AF!$C$5:$G$52,4,FALSE),IF(MID(N564,2,2)="WH",VLOOKUP(I564,KEY_RSD_AF!$C$5:$G$52,5,FALSE))))))</f>
        <v>1</v>
      </c>
      <c r="S564" s="503">
        <f>T563</f>
        <v>1.55</v>
      </c>
      <c r="T564" s="183"/>
      <c r="U564" s="183"/>
      <c r="V564" s="182"/>
      <c r="W564" s="184"/>
      <c r="X564" s="183"/>
      <c r="Y564" s="182"/>
      <c r="Z564" s="252"/>
      <c r="AA564" s="236"/>
      <c r="AC564" s="235"/>
      <c r="AD564" s="235"/>
      <c r="AE564" s="183"/>
      <c r="AF564" s="183"/>
    </row>
    <row r="565" spans="1:32" x14ac:dyDescent="0.3">
      <c r="A565" s="244"/>
      <c r="D565" s="512"/>
      <c r="E565" s="513"/>
      <c r="F565" s="515"/>
      <c r="G565" s="515"/>
      <c r="H565" s="540"/>
      <c r="I565" s="513"/>
      <c r="J565" s="255"/>
      <c r="K565" s="255"/>
      <c r="L565" s="513"/>
      <c r="M565" s="252" t="str">
        <f>M563</f>
        <v>RSDAHT</v>
      </c>
      <c r="N565" s="244"/>
      <c r="O565" s="244" t="str">
        <f>$AH$12</f>
        <v>ACT</v>
      </c>
      <c r="P565" s="252"/>
      <c r="Q565" s="252"/>
      <c r="R565" s="525"/>
      <c r="S565" s="256"/>
      <c r="T565" s="183"/>
      <c r="U565" s="183"/>
      <c r="V565" s="252"/>
      <c r="W565" s="524"/>
      <c r="X565" s="256"/>
      <c r="Y565" s="252"/>
      <c r="Z565" s="252">
        <f>IF(ISBLANK(O565),"",IF(O565="ACT",1,-1))</f>
        <v>1</v>
      </c>
      <c r="AA565" s="257"/>
      <c r="AC565" s="244"/>
      <c r="AD565" s="244"/>
      <c r="AE565" s="256"/>
      <c r="AF565" s="256"/>
    </row>
    <row r="566" spans="1:32" x14ac:dyDescent="0.3">
      <c r="A566" s="244"/>
      <c r="D566" s="512"/>
      <c r="E566" s="513"/>
      <c r="F566" s="515"/>
      <c r="G566" s="515"/>
      <c r="H566" s="540"/>
      <c r="I566" s="513"/>
      <c r="J566" s="255"/>
      <c r="K566" s="255"/>
      <c r="L566" s="513"/>
      <c r="M566" s="252" t="str">
        <f>M565</f>
        <v>RSDAHT</v>
      </c>
      <c r="N566" s="244"/>
      <c r="O566" s="244" t="str">
        <f>L563</f>
        <v>RSDGAS</v>
      </c>
      <c r="P566" s="252"/>
      <c r="Q566" s="252"/>
      <c r="R566" s="525"/>
      <c r="S566" s="256"/>
      <c r="T566" s="183"/>
      <c r="U566" s="183"/>
      <c r="V566" s="252"/>
      <c r="W566" s="524"/>
      <c r="X566" s="256"/>
      <c r="Y566" s="252"/>
      <c r="Z566" s="252">
        <f>IF(ISBLANK(O566),"",IF(O566="ACT",1,-1))</f>
        <v>-1</v>
      </c>
      <c r="AA566" s="257"/>
      <c r="AC566" s="244"/>
      <c r="AD566" s="244"/>
      <c r="AE566" s="256"/>
      <c r="AF566" s="256"/>
    </row>
    <row r="567" spans="1:32" x14ac:dyDescent="0.3">
      <c r="A567" s="235"/>
      <c r="C567" s="528" t="str">
        <f>'RSD (DEA)'!Z196</f>
        <v>HP_GAS_05</v>
      </c>
      <c r="D567" s="512" t="str">
        <f>RSD_HeatingDemand!N567&amp;"_"&amp;LEFT(C567,LEN(C567)-2)&amp;"05"</f>
        <v>RHAPB_HP_GAS_05</v>
      </c>
      <c r="E567" s="512" t="str">
        <f>"R"&amp;LEFT('RSD (DEA)'!AD196,2)&amp;IF(ISNUMBER(IFERROR(FIND("HTH",'RSD (DEA)'!Z196),IFERROR(FIND("HP",'RSD (DEA)'!Z196),"C"))),IF(IFERROR(FIND("HTH",'RSD (DEA)'!Z196),100)=100,"B","A"),"C")</f>
        <v>RAPB</v>
      </c>
      <c r="F567" s="515"/>
      <c r="G567" s="515"/>
      <c r="H567" s="540" t="str">
        <f t="shared" si="13"/>
        <v>RHAPB_HP_GAS_13</v>
      </c>
      <c r="I567" s="512" t="str">
        <f>'RSD (DEA)'!AA196</f>
        <v>Gas engine driven heat pump, air-to-water</v>
      </c>
      <c r="J567" s="242" t="s">
        <v>239</v>
      </c>
      <c r="K567" s="242" t="s">
        <v>240</v>
      </c>
      <c r="L567" s="512" t="str">
        <f>'RSD (DEA)'!AH196</f>
        <v>RSDGAS</v>
      </c>
      <c r="M567" s="182" t="str">
        <f>'RSD (DEA)'!AI196</f>
        <v>RSDAHT</v>
      </c>
      <c r="N567" s="235" t="str">
        <f>LEFT('RSD (DEA)'!AJ196,2)&amp;RIGHT(E567,3)</f>
        <v>RHAPB</v>
      </c>
      <c r="O567" s="244"/>
      <c r="P567" s="182">
        <f>IF('RSD (DEA)'!P196&lt;RSD_HeatingDemand!$AH$15,RSD_HeatingDemand!$AH$15,'RSD (DEA)'!P196)</f>
        <v>2019</v>
      </c>
      <c r="Q567" s="182">
        <f>IF('RSD (DEA)'!X196&lt;RSD_HeatingDemand!$AH$15,RSD_HeatingDemand!$AH$15,'RSD (DEA)'!X196)</f>
        <v>2030</v>
      </c>
      <c r="R567" s="525">
        <f>IF(ISBLANK(I567),IF(MID(N567,2,2)="HA",VLOOKUP(I566,KEY_RSD_AF!$C$5:$G$52,2,FALSE),IF(MID(N567,2,2)="WA",VLOOKUP(I566,KEY_RSD_AF!$C$5:$G$52,3,FALSE),IF(MID(N567,2,2)="HH",VLOOKUP(I566,KEY_RSD_AF!$C$5:$G$52,4,FALSE),IF(MID(N567,2,2)="WH",VLOOKUP(I566,KEY_RSD_AF!$C$5:$G$52,5,FALSE))))),IF(MID(N567,2,2)="HA",VLOOKUP(I567,KEY_RSD_AF!$C$5:$G$52,2,FALSE),IF(MID(N567,2,2)="WA",VLOOKUP(I567,KEY_RSD_AF!$C$5:$G$52,3,FALSE),IF(MID(N567,2,2)="HH",VLOOKUP(I567,KEY_RSD_AF!$C$5:$G$52,4,FALSE),IF(MID(N567,2,2)="WH",VLOOKUP(I567,KEY_RSD_AF!$C$5:$G$52,5,FALSE))))))</f>
        <v>1</v>
      </c>
      <c r="S567" s="183">
        <f>'RSD (DEA)'!AZ196</f>
        <v>1.55</v>
      </c>
      <c r="T567" s="183">
        <f t="shared" si="12"/>
        <v>1.55</v>
      </c>
      <c r="U567" s="183">
        <v>0.5</v>
      </c>
      <c r="V567" s="182">
        <f>'RSD (DEA)'!BR196/'RSD (DEA)'!S196</f>
        <v>4.7</v>
      </c>
      <c r="W567" s="184">
        <f>'RSD (DEA)'!BS196/RSD_HeatingDemand!$AH$9</f>
        <v>0</v>
      </c>
      <c r="X567" s="183">
        <f>'RSD (DEA)'!BK196*RSD_HeatingDemand!$AH$10/'RSD (DEA)'!S196</f>
        <v>100</v>
      </c>
      <c r="Y567" s="182">
        <f>'RSD (DEA)'!BI196</f>
        <v>20</v>
      </c>
      <c r="Z567" s="252" t="str">
        <f>IF(ISBLANK(O567),"",IF(O567="ACT",1,-1))</f>
        <v/>
      </c>
      <c r="AA567" s="236">
        <f>'RSD (DEA)'!AM196</f>
        <v>31.536000000000001</v>
      </c>
      <c r="AC567" s="235">
        <f>'RSD (DEA)'!S196</f>
        <v>50</v>
      </c>
      <c r="AD567" s="235" t="str">
        <f>LEFT('RSD (DEA)'!AK196,2)&amp;RIGHT(E567,3)</f>
        <v>RWAPB</v>
      </c>
      <c r="AE567" s="183">
        <f>'RSD (DEA)'!BA196</f>
        <v>0</v>
      </c>
      <c r="AF567" s="183"/>
    </row>
    <row r="568" spans="1:32" x14ac:dyDescent="0.3">
      <c r="A568" s="235"/>
      <c r="D568" s="512"/>
      <c r="E568" s="512"/>
      <c r="F568" s="515"/>
      <c r="G568" s="515"/>
      <c r="H568" s="540"/>
      <c r="I568" s="512"/>
      <c r="J568" s="242"/>
      <c r="K568" s="242"/>
      <c r="L568" s="512"/>
      <c r="M568" s="182"/>
      <c r="N568" s="318" t="str">
        <f>AD567</f>
        <v>RWAPB</v>
      </c>
      <c r="O568" s="244"/>
      <c r="P568" s="182"/>
      <c r="Q568" s="182"/>
      <c r="R568" s="525">
        <f>IF(ISBLANK(I568),IF(MID(N568,2,2)="HA",VLOOKUP(I567,KEY_RSD_AF!$C$5:$G$52,2,FALSE),IF(MID(N568,2,2)="WA",VLOOKUP(I567,KEY_RSD_AF!$C$5:$G$52,3,FALSE),IF(MID(N568,2,2)="HH",VLOOKUP(I567,KEY_RSD_AF!$C$5:$G$52,4,FALSE),IF(MID(N568,2,2)="WH",VLOOKUP(I567,KEY_RSD_AF!$C$5:$G$52,5,FALSE))))),IF(MID(N568,2,2)="HA",VLOOKUP(I568,KEY_RSD_AF!$C$5:$G$52,2,FALSE),IF(MID(N568,2,2)="WA",VLOOKUP(I568,KEY_RSD_AF!$C$5:$G$52,3,FALSE),IF(MID(N568,2,2)="HH",VLOOKUP(I568,KEY_RSD_AF!$C$5:$G$52,4,FALSE),IF(MID(N568,2,2)="WH",VLOOKUP(I568,KEY_RSD_AF!$C$5:$G$52,5,FALSE))))))</f>
        <v>1</v>
      </c>
      <c r="S568" s="503">
        <f>T567</f>
        <v>1.55</v>
      </c>
      <c r="T568" s="183"/>
      <c r="U568" s="183"/>
      <c r="V568" s="182"/>
      <c r="W568" s="184"/>
      <c r="X568" s="183"/>
      <c r="Y568" s="182"/>
      <c r="Z568" s="252"/>
      <c r="AA568" s="236"/>
      <c r="AC568" s="235"/>
      <c r="AD568" s="235"/>
      <c r="AE568" s="183"/>
      <c r="AF568" s="183"/>
    </row>
    <row r="569" spans="1:32" x14ac:dyDescent="0.3">
      <c r="A569" s="244"/>
      <c r="D569" s="512"/>
      <c r="E569" s="513"/>
      <c r="F569" s="515"/>
      <c r="G569" s="515"/>
      <c r="H569" s="540"/>
      <c r="I569" s="513"/>
      <c r="J569" s="255"/>
      <c r="K569" s="255"/>
      <c r="L569" s="513"/>
      <c r="M569" s="252" t="str">
        <f>M567</f>
        <v>RSDAHT</v>
      </c>
      <c r="N569" s="244"/>
      <c r="O569" s="244" t="str">
        <f>$AH$12</f>
        <v>ACT</v>
      </c>
      <c r="P569" s="252"/>
      <c r="Q569" s="252"/>
      <c r="R569" s="525"/>
      <c r="S569" s="256"/>
      <c r="T569" s="183"/>
      <c r="U569" s="183"/>
      <c r="V569" s="252"/>
      <c r="W569" s="524"/>
      <c r="X569" s="256"/>
      <c r="Y569" s="252"/>
      <c r="Z569" s="252">
        <f>IF(ISBLANK(O569),"",IF(O569="ACT",1,-1))</f>
        <v>1</v>
      </c>
      <c r="AA569" s="257"/>
      <c r="AC569" s="244"/>
      <c r="AD569" s="244"/>
      <c r="AE569" s="256"/>
      <c r="AF569" s="256"/>
    </row>
    <row r="570" spans="1:32" x14ac:dyDescent="0.3">
      <c r="A570" s="244"/>
      <c r="D570" s="512"/>
      <c r="E570" s="513"/>
      <c r="F570" s="515"/>
      <c r="G570" s="515"/>
      <c r="H570" s="540"/>
      <c r="I570" s="513"/>
      <c r="J570" s="255"/>
      <c r="K570" s="255"/>
      <c r="L570" s="513"/>
      <c r="M570" s="252" t="str">
        <f>M569</f>
        <v>RSDAHT</v>
      </c>
      <c r="N570" s="244"/>
      <c r="O570" s="244" t="str">
        <f>L567</f>
        <v>RSDGAS</v>
      </c>
      <c r="P570" s="252"/>
      <c r="Q570" s="252"/>
      <c r="R570" s="525"/>
      <c r="S570" s="256"/>
      <c r="T570" s="183"/>
      <c r="U570" s="183"/>
      <c r="V570" s="252"/>
      <c r="W570" s="524"/>
      <c r="X570" s="256"/>
      <c r="Y570" s="252"/>
      <c r="Z570" s="252">
        <f>IF(ISBLANK(O570),"",IF(O570="ACT",1,-1))</f>
        <v>-1</v>
      </c>
      <c r="AA570" s="257"/>
      <c r="AC570" s="244"/>
      <c r="AD570" s="244"/>
      <c r="AE570" s="256"/>
      <c r="AF570" s="256"/>
    </row>
    <row r="571" spans="1:32" x14ac:dyDescent="0.3">
      <c r="A571" s="235"/>
      <c r="C571" s="528" t="str">
        <f>'RSD (DEA)'!Z197</f>
        <v>HP_GAS_05</v>
      </c>
      <c r="D571" s="512" t="str">
        <f>RSD_HeatingDemand!N571&amp;"_"&amp;LEFT(C571,LEN(C571)-2)&amp;"05"</f>
        <v>RHAPB_HP_GAS_05</v>
      </c>
      <c r="E571" s="512" t="str">
        <f>"R"&amp;LEFT('RSD (DEA)'!AD197,2)&amp;IF(ISNUMBER(IFERROR(FIND("HTH",'RSD (DEA)'!Z197),IFERROR(FIND("HP",'RSD (DEA)'!Z197),"C"))),IF(IFERROR(FIND("HTH",'RSD (DEA)'!Z197),100)=100,"B","A"),"C")</f>
        <v>RAPB</v>
      </c>
      <c r="F571" s="515"/>
      <c r="G571" s="515"/>
      <c r="H571" s="540" t="str">
        <f t="shared" si="13"/>
        <v>RHAPB_HP_GAS_14</v>
      </c>
      <c r="I571" s="512" t="str">
        <f>'RSD (DEA)'!AA197</f>
        <v>Gas engine driven heat pump, air-to-water</v>
      </c>
      <c r="J571" s="242" t="s">
        <v>239</v>
      </c>
      <c r="K571" s="242" t="s">
        <v>240</v>
      </c>
      <c r="L571" s="512" t="str">
        <f>'RSD (DEA)'!AH197</f>
        <v>RSDGAS</v>
      </c>
      <c r="M571" s="182" t="str">
        <f>'RSD (DEA)'!AI197</f>
        <v>RSDAHT</v>
      </c>
      <c r="N571" s="235" t="str">
        <f>LEFT('RSD (DEA)'!AJ197,2)&amp;RIGHT(E571,3)</f>
        <v>RHAPB</v>
      </c>
      <c r="O571" s="244"/>
      <c r="P571" s="182">
        <f>IF('RSD (DEA)'!P197&lt;RSD_HeatingDemand!$AH$15,RSD_HeatingDemand!$AH$15,'RSD (DEA)'!P197)</f>
        <v>2019</v>
      </c>
      <c r="Q571" s="182">
        <f>IF('RSD (DEA)'!X197&lt;RSD_HeatingDemand!$AH$15,RSD_HeatingDemand!$AH$15,'RSD (DEA)'!X197)</f>
        <v>2050</v>
      </c>
      <c r="R571" s="525">
        <f>IF(ISBLANK(I571),IF(MID(N571,2,2)="HA",VLOOKUP(I570,KEY_RSD_AF!$C$5:$G$52,2,FALSE),IF(MID(N571,2,2)="WA",VLOOKUP(I570,KEY_RSD_AF!$C$5:$G$52,3,FALSE),IF(MID(N571,2,2)="HH",VLOOKUP(I570,KEY_RSD_AF!$C$5:$G$52,4,FALSE),IF(MID(N571,2,2)="WH",VLOOKUP(I570,KEY_RSD_AF!$C$5:$G$52,5,FALSE))))),IF(MID(N571,2,2)="HA",VLOOKUP(I571,KEY_RSD_AF!$C$5:$G$52,2,FALSE),IF(MID(N571,2,2)="WA",VLOOKUP(I571,KEY_RSD_AF!$C$5:$G$52,3,FALSE),IF(MID(N571,2,2)="HH",VLOOKUP(I571,KEY_RSD_AF!$C$5:$G$52,4,FALSE),IF(MID(N571,2,2)="WH",VLOOKUP(I571,KEY_RSD_AF!$C$5:$G$52,5,FALSE))))))</f>
        <v>1</v>
      </c>
      <c r="S571" s="183">
        <f>'RSD (DEA)'!AZ197</f>
        <v>1.6</v>
      </c>
      <c r="T571" s="183">
        <f t="shared" si="12"/>
        <v>1.6</v>
      </c>
      <c r="U571" s="183">
        <v>0.5</v>
      </c>
      <c r="V571" s="182">
        <f>'RSD (DEA)'!BR197/'RSD (DEA)'!S197</f>
        <v>4.7</v>
      </c>
      <c r="W571" s="184">
        <f>'RSD (DEA)'!BS197/RSD_HeatingDemand!$AH$9</f>
        <v>0</v>
      </c>
      <c r="X571" s="183">
        <f>'RSD (DEA)'!BK197*RSD_HeatingDemand!$AH$10/'RSD (DEA)'!S197</f>
        <v>100</v>
      </c>
      <c r="Y571" s="182">
        <f>'RSD (DEA)'!BI197</f>
        <v>20</v>
      </c>
      <c r="Z571" s="252" t="str">
        <f>IF(ISBLANK(O571),"",IF(O571="ACT",1,-1))</f>
        <v/>
      </c>
      <c r="AA571" s="236">
        <f>'RSD (DEA)'!AM197</f>
        <v>31.536000000000001</v>
      </c>
      <c r="AC571" s="235">
        <f>'RSD (DEA)'!S197</f>
        <v>50</v>
      </c>
      <c r="AD571" s="235" t="str">
        <f>LEFT('RSD (DEA)'!AK197,2)&amp;RIGHT(E571,3)</f>
        <v>RWAPB</v>
      </c>
      <c r="AE571" s="183">
        <f>'RSD (DEA)'!BA197</f>
        <v>0</v>
      </c>
      <c r="AF571" s="183"/>
    </row>
    <row r="572" spans="1:32" x14ac:dyDescent="0.3">
      <c r="A572" s="235"/>
      <c r="D572" s="512"/>
      <c r="E572" s="512"/>
      <c r="F572" s="515"/>
      <c r="G572" s="515"/>
      <c r="H572" s="540"/>
      <c r="I572" s="512"/>
      <c r="J572" s="242"/>
      <c r="K572" s="242"/>
      <c r="L572" s="512"/>
      <c r="M572" s="182"/>
      <c r="N572" s="318" t="str">
        <f>AD571</f>
        <v>RWAPB</v>
      </c>
      <c r="O572" s="244"/>
      <c r="P572" s="182"/>
      <c r="Q572" s="182"/>
      <c r="R572" s="525">
        <f>IF(ISBLANK(I572),IF(MID(N572,2,2)="HA",VLOOKUP(I571,KEY_RSD_AF!$C$5:$G$52,2,FALSE),IF(MID(N572,2,2)="WA",VLOOKUP(I571,KEY_RSD_AF!$C$5:$G$52,3,FALSE),IF(MID(N572,2,2)="HH",VLOOKUP(I571,KEY_RSD_AF!$C$5:$G$52,4,FALSE),IF(MID(N572,2,2)="WH",VLOOKUP(I571,KEY_RSD_AF!$C$5:$G$52,5,FALSE))))),IF(MID(N572,2,2)="HA",VLOOKUP(I572,KEY_RSD_AF!$C$5:$G$52,2,FALSE),IF(MID(N572,2,2)="WA",VLOOKUP(I572,KEY_RSD_AF!$C$5:$G$52,3,FALSE),IF(MID(N572,2,2)="HH",VLOOKUP(I572,KEY_RSD_AF!$C$5:$G$52,4,FALSE),IF(MID(N572,2,2)="WH",VLOOKUP(I572,KEY_RSD_AF!$C$5:$G$52,5,FALSE))))))</f>
        <v>1</v>
      </c>
      <c r="S572" s="503">
        <f>T571</f>
        <v>1.6</v>
      </c>
      <c r="T572" s="183"/>
      <c r="U572" s="183"/>
      <c r="V572" s="182"/>
      <c r="W572" s="184"/>
      <c r="X572" s="183"/>
      <c r="Y572" s="182"/>
      <c r="Z572" s="252"/>
      <c r="AA572" s="236"/>
      <c r="AC572" s="235"/>
      <c r="AD572" s="235"/>
      <c r="AE572" s="183"/>
      <c r="AF572" s="183"/>
    </row>
    <row r="573" spans="1:32" x14ac:dyDescent="0.3">
      <c r="A573" s="244"/>
      <c r="D573" s="512"/>
      <c r="E573" s="513"/>
      <c r="F573" s="515"/>
      <c r="G573" s="515"/>
      <c r="H573" s="540"/>
      <c r="I573" s="513"/>
      <c r="J573" s="255"/>
      <c r="K573" s="255"/>
      <c r="L573" s="513"/>
      <c r="M573" s="252" t="str">
        <f>M571</f>
        <v>RSDAHT</v>
      </c>
      <c r="N573" s="244"/>
      <c r="O573" s="244" t="str">
        <f>$AH$12</f>
        <v>ACT</v>
      </c>
      <c r="P573" s="252"/>
      <c r="Q573" s="252"/>
      <c r="R573" s="525"/>
      <c r="S573" s="256"/>
      <c r="T573" s="183"/>
      <c r="U573" s="183"/>
      <c r="V573" s="252"/>
      <c r="W573" s="524"/>
      <c r="X573" s="256"/>
      <c r="Y573" s="252"/>
      <c r="Z573" s="252">
        <f>IF(ISBLANK(O573),"",IF(O573="ACT",1,-1))</f>
        <v>1</v>
      </c>
      <c r="AA573" s="257"/>
      <c r="AC573" s="244"/>
      <c r="AD573" s="244"/>
      <c r="AE573" s="256"/>
      <c r="AF573" s="256"/>
    </row>
    <row r="574" spans="1:32" x14ac:dyDescent="0.3">
      <c r="A574" s="244"/>
      <c r="D574" s="512"/>
      <c r="E574" s="513"/>
      <c r="F574" s="515"/>
      <c r="G574" s="515"/>
      <c r="H574" s="540"/>
      <c r="I574" s="513"/>
      <c r="J574" s="255"/>
      <c r="K574" s="255"/>
      <c r="L574" s="513"/>
      <c r="M574" s="252" t="str">
        <f>M573</f>
        <v>RSDAHT</v>
      </c>
      <c r="N574" s="244"/>
      <c r="O574" s="244" t="str">
        <f>L571</f>
        <v>RSDGAS</v>
      </c>
      <c r="P574" s="252"/>
      <c r="Q574" s="252"/>
      <c r="R574" s="525"/>
      <c r="S574" s="256"/>
      <c r="T574" s="183"/>
      <c r="U574" s="183"/>
      <c r="V574" s="252"/>
      <c r="W574" s="524"/>
      <c r="X574" s="256"/>
      <c r="Y574" s="252"/>
      <c r="Z574" s="252">
        <f>IF(ISBLANK(O574),"",IF(O574="ACT",1,-1))</f>
        <v>-1</v>
      </c>
      <c r="AA574" s="257"/>
      <c r="AC574" s="244"/>
      <c r="AD574" s="244"/>
      <c r="AE574" s="256"/>
      <c r="AF574" s="256"/>
    </row>
    <row r="575" spans="1:32" x14ac:dyDescent="0.3">
      <c r="A575" s="235"/>
      <c r="C575" s="528" t="str">
        <f>'RSD (DEA)'!Z198</f>
        <v>HP_GAS_06</v>
      </c>
      <c r="D575" s="512" t="str">
        <f>RSD_HeatingDemand!N575&amp;"_"&amp;LEFT(C575,LEN(C575)-2)&amp;"06"</f>
        <v>RHAPB_HP_GAS_06</v>
      </c>
      <c r="E575" s="512" t="str">
        <f>"R"&amp;LEFT('RSD (DEA)'!AD198,2)&amp;IF(ISNUMBER(IFERROR(FIND("HTH",'RSD (DEA)'!Z198),IFERROR(FIND("HP",'RSD (DEA)'!Z198),"C"))),IF(IFERROR(FIND("HTH",'RSD (DEA)'!Z198),100)=100,"B","A"),"C")</f>
        <v>RAPB</v>
      </c>
      <c r="F575" s="515"/>
      <c r="G575" s="515"/>
      <c r="H575" s="540" t="str">
        <f t="shared" si="13"/>
        <v>RHAPB_HP_GAS_15</v>
      </c>
      <c r="I575" s="512" t="str">
        <f>'RSD (DEA)'!AA198</f>
        <v>Gas engine driven heat pump, brine-to-water</v>
      </c>
      <c r="J575" s="242" t="s">
        <v>239</v>
      </c>
      <c r="K575" s="242" t="s">
        <v>240</v>
      </c>
      <c r="L575" s="512" t="str">
        <f>'RSD (DEA)'!AH198</f>
        <v>RSDGAS</v>
      </c>
      <c r="M575" s="182" t="str">
        <f>'RSD (DEA)'!AI198</f>
        <v>RSDAHT</v>
      </c>
      <c r="N575" s="235" t="str">
        <f>LEFT('RSD (DEA)'!AJ198,2)&amp;RIGHT(E575,3)</f>
        <v>RHAPB</v>
      </c>
      <c r="O575" s="244"/>
      <c r="P575" s="182">
        <f>IF('RSD (DEA)'!P198&lt;RSD_HeatingDemand!$AH$15,RSD_HeatingDemand!$AH$15,'RSD (DEA)'!P198)</f>
        <v>2019</v>
      </c>
      <c r="Q575" s="182">
        <f>IF('RSD (DEA)'!X198&lt;RSD_HeatingDemand!$AH$15,RSD_HeatingDemand!$AH$15,'RSD (DEA)'!X198)</f>
        <v>2019</v>
      </c>
      <c r="R575" s="525">
        <f>IF(ISBLANK(I575),IF(MID(N575,2,2)="HA",VLOOKUP(I574,KEY_RSD_AF!$C$5:$G$52,2,FALSE),IF(MID(N575,2,2)="WA",VLOOKUP(I574,KEY_RSD_AF!$C$5:$G$52,3,FALSE),IF(MID(N575,2,2)="HH",VLOOKUP(I574,KEY_RSD_AF!$C$5:$G$52,4,FALSE),IF(MID(N575,2,2)="WH",VLOOKUP(I574,KEY_RSD_AF!$C$5:$G$52,5,FALSE))))),IF(MID(N575,2,2)="HA",VLOOKUP(I575,KEY_RSD_AF!$C$5:$G$52,2,FALSE),IF(MID(N575,2,2)="WA",VLOOKUP(I575,KEY_RSD_AF!$C$5:$G$52,3,FALSE),IF(MID(N575,2,2)="HH",VLOOKUP(I575,KEY_RSD_AF!$C$5:$G$52,4,FALSE),IF(MID(N575,2,2)="WH",VLOOKUP(I575,KEY_RSD_AF!$C$5:$G$52,5,FALSE))))))</f>
        <v>1</v>
      </c>
      <c r="S575" s="183">
        <f>'RSD (DEA)'!AZ198</f>
        <v>1.5</v>
      </c>
      <c r="T575" s="183">
        <f t="shared" ref="T575:T603" si="14">S575</f>
        <v>1.5</v>
      </c>
      <c r="U575" s="183">
        <v>0.5</v>
      </c>
      <c r="V575" s="182">
        <f>'RSD (DEA)'!BR198/'RSD (DEA)'!S198</f>
        <v>4.7</v>
      </c>
      <c r="W575" s="184">
        <f>'RSD (DEA)'!BS198/RSD_HeatingDemand!$AH$9</f>
        <v>0</v>
      </c>
      <c r="X575" s="183">
        <f>'RSD (DEA)'!BK198*RSD_HeatingDemand!$AH$10/'RSD (DEA)'!S198</f>
        <v>872</v>
      </c>
      <c r="Y575" s="182">
        <f>'RSD (DEA)'!BI198</f>
        <v>15</v>
      </c>
      <c r="Z575" s="252" t="str">
        <f>IF(ISBLANK(O575),"",IF(O575="ACT",1,-1))</f>
        <v/>
      </c>
      <c r="AA575" s="236">
        <f>'RSD (DEA)'!AM198</f>
        <v>31.536000000000001</v>
      </c>
      <c r="AC575" s="235">
        <f>'RSD (DEA)'!S198</f>
        <v>50</v>
      </c>
      <c r="AD575" s="235" t="str">
        <f>LEFT('RSD (DEA)'!AK198,2)&amp;RIGHT(E575,3)</f>
        <v>RWAPB</v>
      </c>
      <c r="AE575" s="183">
        <f>'RSD (DEA)'!BA198</f>
        <v>0</v>
      </c>
      <c r="AF575" s="183"/>
    </row>
    <row r="576" spans="1:32" x14ac:dyDescent="0.3">
      <c r="A576" s="235"/>
      <c r="D576" s="512"/>
      <c r="E576" s="512"/>
      <c r="F576" s="515"/>
      <c r="G576" s="515"/>
      <c r="H576" s="540"/>
      <c r="I576" s="512"/>
      <c r="J576" s="242"/>
      <c r="K576" s="242"/>
      <c r="L576" s="512"/>
      <c r="M576" s="182"/>
      <c r="N576" s="318" t="str">
        <f>AD575</f>
        <v>RWAPB</v>
      </c>
      <c r="O576" s="244"/>
      <c r="P576" s="182"/>
      <c r="Q576" s="182"/>
      <c r="R576" s="525">
        <f>IF(ISBLANK(I576),IF(MID(N576,2,2)="HA",VLOOKUP(I575,KEY_RSD_AF!$C$5:$G$52,2,FALSE),IF(MID(N576,2,2)="WA",VLOOKUP(I575,KEY_RSD_AF!$C$5:$G$52,3,FALSE),IF(MID(N576,2,2)="HH",VLOOKUP(I575,KEY_RSD_AF!$C$5:$G$52,4,FALSE),IF(MID(N576,2,2)="WH",VLOOKUP(I575,KEY_RSD_AF!$C$5:$G$52,5,FALSE))))),IF(MID(N576,2,2)="HA",VLOOKUP(I576,KEY_RSD_AF!$C$5:$G$52,2,FALSE),IF(MID(N576,2,2)="WA",VLOOKUP(I576,KEY_RSD_AF!$C$5:$G$52,3,FALSE),IF(MID(N576,2,2)="HH",VLOOKUP(I576,KEY_RSD_AF!$C$5:$G$52,4,FALSE),IF(MID(N576,2,2)="WH",VLOOKUP(I576,KEY_RSD_AF!$C$5:$G$52,5,FALSE))))))</f>
        <v>1</v>
      </c>
      <c r="S576" s="503">
        <f>T575</f>
        <v>1.5</v>
      </c>
      <c r="T576" s="183"/>
      <c r="U576" s="183"/>
      <c r="V576" s="182"/>
      <c r="W576" s="184"/>
      <c r="X576" s="183"/>
      <c r="Y576" s="182"/>
      <c r="Z576" s="252"/>
      <c r="AA576" s="236"/>
      <c r="AC576" s="235"/>
      <c r="AD576" s="235"/>
      <c r="AE576" s="183"/>
      <c r="AF576" s="183"/>
    </row>
    <row r="577" spans="1:32" x14ac:dyDescent="0.3">
      <c r="A577" s="244"/>
      <c r="D577" s="512"/>
      <c r="E577" s="513"/>
      <c r="F577" s="515"/>
      <c r="G577" s="515"/>
      <c r="H577" s="540"/>
      <c r="I577" s="513"/>
      <c r="J577" s="255"/>
      <c r="K577" s="255"/>
      <c r="L577" s="513"/>
      <c r="M577" s="252" t="str">
        <f>M575</f>
        <v>RSDAHT</v>
      </c>
      <c r="N577" s="244"/>
      <c r="O577" s="244" t="str">
        <f>$AH$12</f>
        <v>ACT</v>
      </c>
      <c r="P577" s="252"/>
      <c r="Q577" s="252"/>
      <c r="R577" s="525"/>
      <c r="S577" s="256"/>
      <c r="T577" s="183"/>
      <c r="U577" s="183"/>
      <c r="V577" s="252"/>
      <c r="W577" s="524"/>
      <c r="X577" s="256"/>
      <c r="Y577" s="252"/>
      <c r="Z577" s="252">
        <f>IF(ISBLANK(O577),"",IF(O577="ACT",1,-1))</f>
        <v>1</v>
      </c>
      <c r="AA577" s="257"/>
      <c r="AC577" s="244"/>
      <c r="AD577" s="244"/>
      <c r="AE577" s="256"/>
      <c r="AF577" s="256"/>
    </row>
    <row r="578" spans="1:32" x14ac:dyDescent="0.3">
      <c r="A578" s="244"/>
      <c r="D578" s="512"/>
      <c r="E578" s="513"/>
      <c r="F578" s="515"/>
      <c r="G578" s="515"/>
      <c r="H578" s="540"/>
      <c r="I578" s="513"/>
      <c r="J578" s="255"/>
      <c r="K578" s="255"/>
      <c r="L578" s="513"/>
      <c r="M578" s="252" t="str">
        <f>M577</f>
        <v>RSDAHT</v>
      </c>
      <c r="N578" s="244"/>
      <c r="O578" s="244" t="str">
        <f>L575</f>
        <v>RSDGAS</v>
      </c>
      <c r="P578" s="252"/>
      <c r="Q578" s="252"/>
      <c r="R578" s="525"/>
      <c r="S578" s="256"/>
      <c r="T578" s="183"/>
      <c r="U578" s="183"/>
      <c r="V578" s="252"/>
      <c r="W578" s="524"/>
      <c r="X578" s="256"/>
      <c r="Y578" s="252"/>
      <c r="Z578" s="252">
        <f>IF(ISBLANK(O578),"",IF(O578="ACT",1,-1))</f>
        <v>-1</v>
      </c>
      <c r="AA578" s="257"/>
      <c r="AC578" s="244"/>
      <c r="AD578" s="244"/>
      <c r="AE578" s="256"/>
      <c r="AF578" s="256"/>
    </row>
    <row r="579" spans="1:32" x14ac:dyDescent="0.3">
      <c r="A579" s="235"/>
      <c r="C579" s="528" t="str">
        <f>'RSD (DEA)'!Z199</f>
        <v>HP_GAS_06</v>
      </c>
      <c r="D579" s="512" t="str">
        <f>RSD_HeatingDemand!N579&amp;"_"&amp;LEFT(C579,LEN(C579)-2)&amp;"06"</f>
        <v>RHAPB_HP_GAS_06</v>
      </c>
      <c r="E579" s="512" t="str">
        <f>"R"&amp;LEFT('RSD (DEA)'!AD199,2)&amp;IF(ISNUMBER(IFERROR(FIND("HTH",'RSD (DEA)'!Z199),IFERROR(FIND("HP",'RSD (DEA)'!Z199),"C"))),IF(IFERROR(FIND("HTH",'RSD (DEA)'!Z199),100)=100,"B","A"),"C")</f>
        <v>RAPB</v>
      </c>
      <c r="F579" s="515"/>
      <c r="G579" s="515"/>
      <c r="H579" s="540" t="str">
        <f t="shared" si="13"/>
        <v>RHAPB_HP_GAS_16</v>
      </c>
      <c r="I579" s="512" t="str">
        <f>'RSD (DEA)'!AA199</f>
        <v>Gas engine driven heat pump, brine-to-water</v>
      </c>
      <c r="J579" s="242" t="s">
        <v>239</v>
      </c>
      <c r="K579" s="242" t="s">
        <v>240</v>
      </c>
      <c r="L579" s="512" t="str">
        <f>'RSD (DEA)'!AH199</f>
        <v>RSDGAS</v>
      </c>
      <c r="M579" s="182" t="str">
        <f>'RSD (DEA)'!AI199</f>
        <v>RSDAHT</v>
      </c>
      <c r="N579" s="235" t="str">
        <f>LEFT('RSD (DEA)'!AJ199,2)&amp;RIGHT(E579,3)</f>
        <v>RHAPB</v>
      </c>
      <c r="O579" s="244"/>
      <c r="P579" s="182">
        <f>IF('RSD (DEA)'!P199&lt;RSD_HeatingDemand!$AH$15,RSD_HeatingDemand!$AH$15,'RSD (DEA)'!P199)</f>
        <v>2019</v>
      </c>
      <c r="Q579" s="182">
        <f>IF('RSD (DEA)'!X199&lt;RSD_HeatingDemand!$AH$15,RSD_HeatingDemand!$AH$15,'RSD (DEA)'!X199)</f>
        <v>2020</v>
      </c>
      <c r="R579" s="525">
        <f>IF(ISBLANK(I579),IF(MID(N579,2,2)="HA",VLOOKUP(I578,KEY_RSD_AF!$C$5:$G$52,2,FALSE),IF(MID(N579,2,2)="WA",VLOOKUP(I578,KEY_RSD_AF!$C$5:$G$52,3,FALSE),IF(MID(N579,2,2)="HH",VLOOKUP(I578,KEY_RSD_AF!$C$5:$G$52,4,FALSE),IF(MID(N579,2,2)="WH",VLOOKUP(I578,KEY_RSD_AF!$C$5:$G$52,5,FALSE))))),IF(MID(N579,2,2)="HA",VLOOKUP(I579,KEY_RSD_AF!$C$5:$G$52,2,FALSE),IF(MID(N579,2,2)="WA",VLOOKUP(I579,KEY_RSD_AF!$C$5:$G$52,3,FALSE),IF(MID(N579,2,2)="HH",VLOOKUP(I579,KEY_RSD_AF!$C$5:$G$52,4,FALSE),IF(MID(N579,2,2)="WH",VLOOKUP(I579,KEY_RSD_AF!$C$5:$G$52,5,FALSE))))))</f>
        <v>1</v>
      </c>
      <c r="S579" s="183">
        <f>'RSD (DEA)'!AZ199</f>
        <v>1.55</v>
      </c>
      <c r="T579" s="183">
        <f t="shared" si="14"/>
        <v>1.55</v>
      </c>
      <c r="U579" s="183">
        <v>0.5</v>
      </c>
      <c r="V579" s="182">
        <f>'RSD (DEA)'!BR199/'RSD (DEA)'!S199</f>
        <v>4.7</v>
      </c>
      <c r="W579" s="184">
        <f>'RSD (DEA)'!BS199/RSD_HeatingDemand!$AH$9</f>
        <v>0</v>
      </c>
      <c r="X579" s="183">
        <f>'RSD (DEA)'!BK199*RSD_HeatingDemand!$AH$10/'RSD (DEA)'!S199</f>
        <v>840</v>
      </c>
      <c r="Y579" s="182">
        <f>'RSD (DEA)'!BI199</f>
        <v>20</v>
      </c>
      <c r="Z579" s="252" t="str">
        <f>IF(ISBLANK(O579),"",IF(O579="ACT",1,-1))</f>
        <v/>
      </c>
      <c r="AA579" s="236">
        <f>'RSD (DEA)'!AM199</f>
        <v>31.536000000000001</v>
      </c>
      <c r="AC579" s="235">
        <f>'RSD (DEA)'!S199</f>
        <v>50</v>
      </c>
      <c r="AD579" s="235" t="str">
        <f>LEFT('RSD (DEA)'!AK199,2)&amp;RIGHT(E579,3)</f>
        <v>RWAPB</v>
      </c>
      <c r="AE579" s="183">
        <f>'RSD (DEA)'!BA199</f>
        <v>0</v>
      </c>
      <c r="AF579" s="183"/>
    </row>
    <row r="580" spans="1:32" x14ac:dyDescent="0.3">
      <c r="A580" s="235"/>
      <c r="D580" s="512"/>
      <c r="E580" s="512"/>
      <c r="F580" s="515"/>
      <c r="G580" s="515"/>
      <c r="H580" s="540"/>
      <c r="I580" s="512"/>
      <c r="J580" s="242"/>
      <c r="K580" s="242"/>
      <c r="L580" s="512"/>
      <c r="M580" s="182"/>
      <c r="N580" s="318" t="str">
        <f>AD579</f>
        <v>RWAPB</v>
      </c>
      <c r="O580" s="244"/>
      <c r="P580" s="182"/>
      <c r="Q580" s="182"/>
      <c r="R580" s="525">
        <f>IF(ISBLANK(I580),IF(MID(N580,2,2)="HA",VLOOKUP(I579,KEY_RSD_AF!$C$5:$G$52,2,FALSE),IF(MID(N580,2,2)="WA",VLOOKUP(I579,KEY_RSD_AF!$C$5:$G$52,3,FALSE),IF(MID(N580,2,2)="HH",VLOOKUP(I579,KEY_RSD_AF!$C$5:$G$52,4,FALSE),IF(MID(N580,2,2)="WH",VLOOKUP(I579,KEY_RSD_AF!$C$5:$G$52,5,FALSE))))),IF(MID(N580,2,2)="HA",VLOOKUP(I580,KEY_RSD_AF!$C$5:$G$52,2,FALSE),IF(MID(N580,2,2)="WA",VLOOKUP(I580,KEY_RSD_AF!$C$5:$G$52,3,FALSE),IF(MID(N580,2,2)="HH",VLOOKUP(I580,KEY_RSD_AF!$C$5:$G$52,4,FALSE),IF(MID(N580,2,2)="WH",VLOOKUP(I580,KEY_RSD_AF!$C$5:$G$52,5,FALSE))))))</f>
        <v>1</v>
      </c>
      <c r="S580" s="503">
        <f>T579</f>
        <v>1.55</v>
      </c>
      <c r="T580" s="183"/>
      <c r="U580" s="183"/>
      <c r="V580" s="182"/>
      <c r="W580" s="184"/>
      <c r="X580" s="183"/>
      <c r="Y580" s="182"/>
      <c r="Z580" s="252"/>
      <c r="AA580" s="236"/>
      <c r="AC580" s="235"/>
      <c r="AD580" s="235"/>
      <c r="AE580" s="183"/>
      <c r="AF580" s="183"/>
    </row>
    <row r="581" spans="1:32" x14ac:dyDescent="0.3">
      <c r="A581" s="244"/>
      <c r="D581" s="512"/>
      <c r="E581" s="513"/>
      <c r="F581" s="515"/>
      <c r="G581" s="515"/>
      <c r="H581" s="540"/>
      <c r="I581" s="513"/>
      <c r="J581" s="255"/>
      <c r="K581" s="255"/>
      <c r="L581" s="513"/>
      <c r="M581" s="252" t="str">
        <f>M579</f>
        <v>RSDAHT</v>
      </c>
      <c r="N581" s="244"/>
      <c r="O581" s="244" t="str">
        <f>$AH$12</f>
        <v>ACT</v>
      </c>
      <c r="P581" s="252"/>
      <c r="Q581" s="252"/>
      <c r="R581" s="525"/>
      <c r="S581" s="256"/>
      <c r="T581" s="183"/>
      <c r="U581" s="183"/>
      <c r="V581" s="252"/>
      <c r="W581" s="524"/>
      <c r="X581" s="256"/>
      <c r="Y581" s="252"/>
      <c r="Z581" s="252">
        <f>IF(ISBLANK(O581),"",IF(O581="ACT",1,-1))</f>
        <v>1</v>
      </c>
      <c r="AA581" s="257"/>
      <c r="AC581" s="244"/>
      <c r="AD581" s="244"/>
      <c r="AE581" s="256"/>
      <c r="AF581" s="256"/>
    </row>
    <row r="582" spans="1:32" x14ac:dyDescent="0.3">
      <c r="A582" s="244"/>
      <c r="D582" s="512"/>
      <c r="E582" s="513"/>
      <c r="F582" s="515"/>
      <c r="G582" s="515"/>
      <c r="H582" s="540"/>
      <c r="I582" s="513"/>
      <c r="J582" s="255"/>
      <c r="K582" s="255"/>
      <c r="L582" s="513"/>
      <c r="M582" s="252" t="str">
        <f>M581</f>
        <v>RSDAHT</v>
      </c>
      <c r="N582" s="244"/>
      <c r="O582" s="244" t="str">
        <f>L579</f>
        <v>RSDGAS</v>
      </c>
      <c r="P582" s="252"/>
      <c r="Q582" s="252"/>
      <c r="R582" s="525"/>
      <c r="S582" s="256"/>
      <c r="T582" s="183"/>
      <c r="U582" s="183"/>
      <c r="V582" s="252"/>
      <c r="W582" s="524"/>
      <c r="X582" s="256"/>
      <c r="Y582" s="252"/>
      <c r="Z582" s="252">
        <f>IF(ISBLANK(O582),"",IF(O582="ACT",1,-1))</f>
        <v>-1</v>
      </c>
      <c r="AA582" s="257"/>
      <c r="AC582" s="244"/>
      <c r="AD582" s="244"/>
      <c r="AE582" s="256"/>
      <c r="AF582" s="256"/>
    </row>
    <row r="583" spans="1:32" x14ac:dyDescent="0.3">
      <c r="A583" s="235"/>
      <c r="C583" s="528" t="str">
        <f>'RSD (DEA)'!Z200</f>
        <v>HP_GAS_06</v>
      </c>
      <c r="D583" s="512" t="str">
        <f>RSD_HeatingDemand!N583&amp;"_"&amp;LEFT(C583,LEN(C583)-2)&amp;"06"</f>
        <v>RHAPB_HP_GAS_06</v>
      </c>
      <c r="E583" s="512" t="str">
        <f>"R"&amp;LEFT('RSD (DEA)'!AD200,2)&amp;IF(ISNUMBER(IFERROR(FIND("HTH",'RSD (DEA)'!Z200),IFERROR(FIND("HP",'RSD (DEA)'!Z200),"C"))),IF(IFERROR(FIND("HTH",'RSD (DEA)'!Z200),100)=100,"B","A"),"C")</f>
        <v>RAPB</v>
      </c>
      <c r="F583" s="515"/>
      <c r="G583" s="515"/>
      <c r="H583" s="540" t="str">
        <f t="shared" si="13"/>
        <v>RHAPB_HP_GAS_17</v>
      </c>
      <c r="I583" s="512" t="str">
        <f>'RSD (DEA)'!AA200</f>
        <v>Gas engine driven heat pump, brine-to-water</v>
      </c>
      <c r="J583" s="242" t="s">
        <v>239</v>
      </c>
      <c r="K583" s="242" t="s">
        <v>240</v>
      </c>
      <c r="L583" s="512" t="str">
        <f>'RSD (DEA)'!AH200</f>
        <v>RSDGAS</v>
      </c>
      <c r="M583" s="182" t="str">
        <f>'RSD (DEA)'!AI200</f>
        <v>RSDAHT</v>
      </c>
      <c r="N583" s="235" t="str">
        <f>LEFT('RSD (DEA)'!AJ200,2)&amp;RIGHT(E583,3)</f>
        <v>RHAPB</v>
      </c>
      <c r="O583" s="244"/>
      <c r="P583" s="182">
        <f>IF('RSD (DEA)'!P200&lt;RSD_HeatingDemand!$AH$15,RSD_HeatingDemand!$AH$15,'RSD (DEA)'!P200)</f>
        <v>2019</v>
      </c>
      <c r="Q583" s="182">
        <f>IF('RSD (DEA)'!X200&lt;RSD_HeatingDemand!$AH$15,RSD_HeatingDemand!$AH$15,'RSD (DEA)'!X200)</f>
        <v>2030</v>
      </c>
      <c r="R583" s="525">
        <f>IF(ISBLANK(I583),IF(MID(N583,2,2)="HA",VLOOKUP(I582,KEY_RSD_AF!$C$5:$G$52,2,FALSE),IF(MID(N583,2,2)="WA",VLOOKUP(I582,KEY_RSD_AF!$C$5:$G$52,3,FALSE),IF(MID(N583,2,2)="HH",VLOOKUP(I582,KEY_RSD_AF!$C$5:$G$52,4,FALSE),IF(MID(N583,2,2)="WH",VLOOKUP(I582,KEY_RSD_AF!$C$5:$G$52,5,FALSE))))),IF(MID(N583,2,2)="HA",VLOOKUP(I583,KEY_RSD_AF!$C$5:$G$52,2,FALSE),IF(MID(N583,2,2)="WA",VLOOKUP(I583,KEY_RSD_AF!$C$5:$G$52,3,FALSE),IF(MID(N583,2,2)="HH",VLOOKUP(I583,KEY_RSD_AF!$C$5:$G$52,4,FALSE),IF(MID(N583,2,2)="WH",VLOOKUP(I583,KEY_RSD_AF!$C$5:$G$52,5,FALSE))))))</f>
        <v>1</v>
      </c>
      <c r="S583" s="183">
        <f>'RSD (DEA)'!AZ200</f>
        <v>1.55</v>
      </c>
      <c r="T583" s="183">
        <f t="shared" si="14"/>
        <v>1.55</v>
      </c>
      <c r="U583" s="183">
        <v>0.5</v>
      </c>
      <c r="V583" s="182">
        <f>'RSD (DEA)'!BR200/'RSD (DEA)'!S200</f>
        <v>4.7</v>
      </c>
      <c r="W583" s="184">
        <f>'RSD (DEA)'!BS200/RSD_HeatingDemand!$AH$9</f>
        <v>0</v>
      </c>
      <c r="X583" s="183">
        <f>'RSD (DEA)'!BK200*RSD_HeatingDemand!$AH$10/'RSD (DEA)'!S200</f>
        <v>820</v>
      </c>
      <c r="Y583" s="182">
        <f>'RSD (DEA)'!BI200</f>
        <v>20</v>
      </c>
      <c r="Z583" s="252" t="str">
        <f>IF(ISBLANK(O583),"",IF(O583="ACT",1,-1))</f>
        <v/>
      </c>
      <c r="AA583" s="236">
        <f>'RSD (DEA)'!AM200</f>
        <v>31.536000000000001</v>
      </c>
      <c r="AC583" s="235">
        <f>'RSD (DEA)'!S200</f>
        <v>50</v>
      </c>
      <c r="AD583" s="235" t="str">
        <f>LEFT('RSD (DEA)'!AK200,2)&amp;RIGHT(E583,3)</f>
        <v>RWAPB</v>
      </c>
      <c r="AE583" s="183">
        <f>'RSD (DEA)'!BA200</f>
        <v>0</v>
      </c>
      <c r="AF583" s="183"/>
    </row>
    <row r="584" spans="1:32" x14ac:dyDescent="0.3">
      <c r="A584" s="235"/>
      <c r="D584" s="512"/>
      <c r="E584" s="512"/>
      <c r="F584" s="515"/>
      <c r="G584" s="515"/>
      <c r="H584" s="540"/>
      <c r="I584" s="512"/>
      <c r="J584" s="242"/>
      <c r="K584" s="242"/>
      <c r="L584" s="512"/>
      <c r="M584" s="182"/>
      <c r="N584" s="318" t="str">
        <f>AD583</f>
        <v>RWAPB</v>
      </c>
      <c r="O584" s="244"/>
      <c r="P584" s="182"/>
      <c r="Q584" s="182"/>
      <c r="R584" s="525">
        <f>IF(ISBLANK(I584),IF(MID(N584,2,2)="HA",VLOOKUP(I583,KEY_RSD_AF!$C$5:$G$52,2,FALSE),IF(MID(N584,2,2)="WA",VLOOKUP(I583,KEY_RSD_AF!$C$5:$G$52,3,FALSE),IF(MID(N584,2,2)="HH",VLOOKUP(I583,KEY_RSD_AF!$C$5:$G$52,4,FALSE),IF(MID(N584,2,2)="WH",VLOOKUP(I583,KEY_RSD_AF!$C$5:$G$52,5,FALSE))))),IF(MID(N584,2,2)="HA",VLOOKUP(I584,KEY_RSD_AF!$C$5:$G$52,2,FALSE),IF(MID(N584,2,2)="WA",VLOOKUP(I584,KEY_RSD_AF!$C$5:$G$52,3,FALSE),IF(MID(N584,2,2)="HH",VLOOKUP(I584,KEY_RSD_AF!$C$5:$G$52,4,FALSE),IF(MID(N584,2,2)="WH",VLOOKUP(I584,KEY_RSD_AF!$C$5:$G$52,5,FALSE))))))</f>
        <v>1</v>
      </c>
      <c r="S584" s="503">
        <f>T583</f>
        <v>1.55</v>
      </c>
      <c r="T584" s="183"/>
      <c r="U584" s="183"/>
      <c r="V584" s="182"/>
      <c r="W584" s="184"/>
      <c r="X584" s="183"/>
      <c r="Y584" s="182"/>
      <c r="Z584" s="252"/>
      <c r="AA584" s="236"/>
      <c r="AC584" s="235"/>
      <c r="AD584" s="235"/>
      <c r="AE584" s="183"/>
      <c r="AF584" s="183"/>
    </row>
    <row r="585" spans="1:32" x14ac:dyDescent="0.3">
      <c r="A585" s="244"/>
      <c r="D585" s="512"/>
      <c r="E585" s="513"/>
      <c r="F585" s="515"/>
      <c r="G585" s="515"/>
      <c r="H585" s="540"/>
      <c r="I585" s="513"/>
      <c r="J585" s="255"/>
      <c r="K585" s="255"/>
      <c r="L585" s="513"/>
      <c r="M585" s="252" t="str">
        <f>M583</f>
        <v>RSDAHT</v>
      </c>
      <c r="N585" s="244"/>
      <c r="O585" s="244" t="str">
        <f>$AH$12</f>
        <v>ACT</v>
      </c>
      <c r="P585" s="252"/>
      <c r="Q585" s="252"/>
      <c r="R585" s="525"/>
      <c r="S585" s="256"/>
      <c r="T585" s="183"/>
      <c r="U585" s="183"/>
      <c r="V585" s="252"/>
      <c r="W585" s="524"/>
      <c r="X585" s="256"/>
      <c r="Y585" s="252"/>
      <c r="Z585" s="252">
        <f>IF(ISBLANK(O585),"",IF(O585="ACT",1,-1))</f>
        <v>1</v>
      </c>
      <c r="AA585" s="257"/>
      <c r="AC585" s="244"/>
      <c r="AD585" s="244"/>
      <c r="AE585" s="256"/>
      <c r="AF585" s="256"/>
    </row>
    <row r="586" spans="1:32" x14ac:dyDescent="0.3">
      <c r="A586" s="244"/>
      <c r="D586" s="512"/>
      <c r="E586" s="513"/>
      <c r="F586" s="515"/>
      <c r="G586" s="515"/>
      <c r="H586" s="540"/>
      <c r="I586" s="513"/>
      <c r="J586" s="255"/>
      <c r="K586" s="255"/>
      <c r="L586" s="513"/>
      <c r="M586" s="252" t="str">
        <f>M585</f>
        <v>RSDAHT</v>
      </c>
      <c r="N586" s="244"/>
      <c r="O586" s="244" t="str">
        <f>L583</f>
        <v>RSDGAS</v>
      </c>
      <c r="P586" s="252"/>
      <c r="Q586" s="252"/>
      <c r="R586" s="525"/>
      <c r="S586" s="256"/>
      <c r="T586" s="183"/>
      <c r="U586" s="183"/>
      <c r="V586" s="252"/>
      <c r="W586" s="524"/>
      <c r="X586" s="256"/>
      <c r="Y586" s="252"/>
      <c r="Z586" s="252">
        <f>IF(ISBLANK(O586),"",IF(O586="ACT",1,-1))</f>
        <v>-1</v>
      </c>
      <c r="AA586" s="257"/>
      <c r="AC586" s="244"/>
      <c r="AD586" s="244"/>
      <c r="AE586" s="256"/>
      <c r="AF586" s="256"/>
    </row>
    <row r="587" spans="1:32" x14ac:dyDescent="0.3">
      <c r="A587" s="235"/>
      <c r="C587" s="528" t="str">
        <f>'RSD (DEA)'!Z201</f>
        <v>HP_GAS_06</v>
      </c>
      <c r="D587" s="512" t="str">
        <f>RSD_HeatingDemand!N587&amp;"_"&amp;LEFT(C587,LEN(C587)-2)&amp;"06"</f>
        <v>RHAPB_HP_GAS_06</v>
      </c>
      <c r="E587" s="512" t="str">
        <f>"R"&amp;LEFT('RSD (DEA)'!AD201,2)&amp;IF(ISNUMBER(IFERROR(FIND("HTH",'RSD (DEA)'!Z201),IFERROR(FIND("HP",'RSD (DEA)'!Z201),"C"))),IF(IFERROR(FIND("HTH",'RSD (DEA)'!Z201),100)=100,"B","A"),"C")</f>
        <v>RAPB</v>
      </c>
      <c r="F587" s="515"/>
      <c r="G587" s="515"/>
      <c r="H587" s="540" t="str">
        <f t="shared" si="13"/>
        <v>RHAPB_HP_GAS_18</v>
      </c>
      <c r="I587" s="512" t="str">
        <f>'RSD (DEA)'!AA201</f>
        <v>Gas engine driven heat pump, brine-to-water</v>
      </c>
      <c r="J587" s="242" t="s">
        <v>239</v>
      </c>
      <c r="K587" s="242" t="s">
        <v>240</v>
      </c>
      <c r="L587" s="512" t="str">
        <f>'RSD (DEA)'!AH201</f>
        <v>RSDGAS</v>
      </c>
      <c r="M587" s="182" t="str">
        <f>'RSD (DEA)'!AI201</f>
        <v>RSDAHT</v>
      </c>
      <c r="N587" s="235" t="str">
        <f>LEFT('RSD (DEA)'!AJ201,2)&amp;RIGHT(E587,3)</f>
        <v>RHAPB</v>
      </c>
      <c r="O587" s="244"/>
      <c r="P587" s="182">
        <f>IF('RSD (DEA)'!P201&lt;RSD_HeatingDemand!$AH$15,RSD_HeatingDemand!$AH$15,'RSD (DEA)'!P201)</f>
        <v>2019</v>
      </c>
      <c r="Q587" s="182">
        <f>IF('RSD (DEA)'!X201&lt;RSD_HeatingDemand!$AH$15,RSD_HeatingDemand!$AH$15,'RSD (DEA)'!X201)</f>
        <v>2050</v>
      </c>
      <c r="R587" s="525">
        <f>IF(ISBLANK(I587),IF(MID(N587,2,2)="HA",VLOOKUP(I586,KEY_RSD_AF!$C$5:$G$52,2,FALSE),IF(MID(N587,2,2)="WA",VLOOKUP(I586,KEY_RSD_AF!$C$5:$G$52,3,FALSE),IF(MID(N587,2,2)="HH",VLOOKUP(I586,KEY_RSD_AF!$C$5:$G$52,4,FALSE),IF(MID(N587,2,2)="WH",VLOOKUP(I586,KEY_RSD_AF!$C$5:$G$52,5,FALSE))))),IF(MID(N587,2,2)="HA",VLOOKUP(I587,KEY_RSD_AF!$C$5:$G$52,2,FALSE),IF(MID(N587,2,2)="WA",VLOOKUP(I587,KEY_RSD_AF!$C$5:$G$52,3,FALSE),IF(MID(N587,2,2)="HH",VLOOKUP(I587,KEY_RSD_AF!$C$5:$G$52,4,FALSE),IF(MID(N587,2,2)="WH",VLOOKUP(I587,KEY_RSD_AF!$C$5:$G$52,5,FALSE))))))</f>
        <v>1</v>
      </c>
      <c r="S587" s="183">
        <f>'RSD (DEA)'!AZ201</f>
        <v>1.6</v>
      </c>
      <c r="T587" s="183">
        <f t="shared" si="14"/>
        <v>1.6</v>
      </c>
      <c r="U587" s="183">
        <v>0.5</v>
      </c>
      <c r="V587" s="182">
        <f>'RSD (DEA)'!BR201/'RSD (DEA)'!S201</f>
        <v>4.7</v>
      </c>
      <c r="W587" s="184">
        <f>'RSD (DEA)'!BS201/RSD_HeatingDemand!$AH$9</f>
        <v>0</v>
      </c>
      <c r="X587" s="183">
        <f>'RSD (DEA)'!BK201*RSD_HeatingDemand!$AH$10/'RSD (DEA)'!S201</f>
        <v>780</v>
      </c>
      <c r="Y587" s="182">
        <f>'RSD (DEA)'!BI201</f>
        <v>20</v>
      </c>
      <c r="Z587" s="252" t="str">
        <f>IF(ISBLANK(O587),"",IF(O587="ACT",1,-1))</f>
        <v/>
      </c>
      <c r="AA587" s="236">
        <f>'RSD (DEA)'!AM201</f>
        <v>31.536000000000001</v>
      </c>
      <c r="AC587" s="235">
        <f>'RSD (DEA)'!S201</f>
        <v>50</v>
      </c>
      <c r="AD587" s="235" t="str">
        <f>LEFT('RSD (DEA)'!AK201,2)&amp;RIGHT(E587,3)</f>
        <v>RWAPB</v>
      </c>
      <c r="AE587" s="183">
        <f>'RSD (DEA)'!BA201</f>
        <v>0</v>
      </c>
      <c r="AF587" s="183"/>
    </row>
    <row r="588" spans="1:32" x14ac:dyDescent="0.3">
      <c r="A588" s="235"/>
      <c r="D588" s="512"/>
      <c r="E588" s="512"/>
      <c r="F588" s="515"/>
      <c r="G588" s="515"/>
      <c r="H588" s="540"/>
      <c r="I588" s="512"/>
      <c r="J588" s="242"/>
      <c r="K588" s="242"/>
      <c r="L588" s="512"/>
      <c r="M588" s="182"/>
      <c r="N588" s="318" t="str">
        <f>AD587</f>
        <v>RWAPB</v>
      </c>
      <c r="O588" s="244"/>
      <c r="P588" s="182"/>
      <c r="Q588" s="182"/>
      <c r="R588" s="525">
        <f>IF(ISBLANK(I588),IF(MID(N588,2,2)="HA",VLOOKUP(I587,KEY_RSD_AF!$C$5:$G$52,2,FALSE),IF(MID(N588,2,2)="WA",VLOOKUP(I587,KEY_RSD_AF!$C$5:$G$52,3,FALSE),IF(MID(N588,2,2)="HH",VLOOKUP(I587,KEY_RSD_AF!$C$5:$G$52,4,FALSE),IF(MID(N588,2,2)="WH",VLOOKUP(I587,KEY_RSD_AF!$C$5:$G$52,5,FALSE))))),IF(MID(N588,2,2)="HA",VLOOKUP(I588,KEY_RSD_AF!$C$5:$G$52,2,FALSE),IF(MID(N588,2,2)="WA",VLOOKUP(I588,KEY_RSD_AF!$C$5:$G$52,3,FALSE),IF(MID(N588,2,2)="HH",VLOOKUP(I588,KEY_RSD_AF!$C$5:$G$52,4,FALSE),IF(MID(N588,2,2)="WH",VLOOKUP(I588,KEY_RSD_AF!$C$5:$G$52,5,FALSE))))))</f>
        <v>1</v>
      </c>
      <c r="S588" s="503">
        <f>T587</f>
        <v>1.6</v>
      </c>
      <c r="T588" s="183"/>
      <c r="U588" s="183"/>
      <c r="V588" s="182"/>
      <c r="W588" s="184"/>
      <c r="X588" s="183"/>
      <c r="Y588" s="182"/>
      <c r="Z588" s="252"/>
      <c r="AA588" s="236"/>
      <c r="AC588" s="235"/>
      <c r="AD588" s="235"/>
      <c r="AE588" s="183"/>
      <c r="AF588" s="183"/>
    </row>
    <row r="589" spans="1:32" x14ac:dyDescent="0.3">
      <c r="A589" s="244"/>
      <c r="D589" s="512"/>
      <c r="E589" s="513"/>
      <c r="F589" s="515"/>
      <c r="G589" s="515"/>
      <c r="H589" s="540"/>
      <c r="I589" s="513"/>
      <c r="J589" s="255"/>
      <c r="K589" s="255"/>
      <c r="L589" s="513"/>
      <c r="M589" s="252" t="str">
        <f>M587</f>
        <v>RSDAHT</v>
      </c>
      <c r="N589" s="244"/>
      <c r="O589" s="244" t="str">
        <f>$AH$12</f>
        <v>ACT</v>
      </c>
      <c r="P589" s="252"/>
      <c r="Q589" s="252"/>
      <c r="R589" s="525"/>
      <c r="S589" s="256"/>
      <c r="T589" s="183"/>
      <c r="U589" s="183"/>
      <c r="V589" s="252"/>
      <c r="W589" s="524"/>
      <c r="X589" s="256"/>
      <c r="Y589" s="252"/>
      <c r="Z589" s="252">
        <f>IF(ISBLANK(O589),"",IF(O589="ACT",1,-1))</f>
        <v>1</v>
      </c>
      <c r="AA589" s="257"/>
      <c r="AC589" s="244"/>
      <c r="AD589" s="244"/>
      <c r="AE589" s="256"/>
      <c r="AF589" s="256"/>
    </row>
    <row r="590" spans="1:32" x14ac:dyDescent="0.3">
      <c r="A590" s="244"/>
      <c r="D590" s="512"/>
      <c r="E590" s="513"/>
      <c r="F590" s="515"/>
      <c r="G590" s="515"/>
      <c r="H590" s="540"/>
      <c r="I590" s="513"/>
      <c r="J590" s="255"/>
      <c r="K590" s="255"/>
      <c r="L590" s="513"/>
      <c r="M590" s="252" t="str">
        <f>M589</f>
        <v>RSDAHT</v>
      </c>
      <c r="N590" s="244"/>
      <c r="O590" s="244" t="str">
        <f>L587</f>
        <v>RSDGAS</v>
      </c>
      <c r="P590" s="252"/>
      <c r="Q590" s="252"/>
      <c r="R590" s="525"/>
      <c r="S590" s="256"/>
      <c r="T590" s="183"/>
      <c r="U590" s="183"/>
      <c r="V590" s="252"/>
      <c r="W590" s="524"/>
      <c r="X590" s="256"/>
      <c r="Y590" s="252"/>
      <c r="Z590" s="252">
        <f>IF(ISBLANK(O590),"",IF(O590="ACT",1,-1))</f>
        <v>-1</v>
      </c>
      <c r="AA590" s="257"/>
      <c r="AC590" s="244"/>
      <c r="AD590" s="244"/>
      <c r="AE590" s="256"/>
      <c r="AF590" s="256"/>
    </row>
    <row r="591" spans="1:32" x14ac:dyDescent="0.3">
      <c r="A591" s="235"/>
      <c r="C591" s="528" t="str">
        <f>'RSD (DEA)'!Z202</f>
        <v>HP_GAS_07</v>
      </c>
      <c r="D591" s="512" t="str">
        <f>RSD_HeatingDemand!N591&amp;"_"&amp;LEFT(C591,LEN(C591)-2)&amp;"07"</f>
        <v>RHHSB_HP_GAS_07</v>
      </c>
      <c r="E591" s="512" t="str">
        <f>"R"&amp;LEFT('RSD (DEA)'!AD202,2)&amp;IF(ISNUMBER(IFERROR(FIND("HTH",'RSD (DEA)'!Z202),IFERROR(FIND("HP",'RSD (DEA)'!Z202),"C"))),IF(IFERROR(FIND("HTH",'RSD (DEA)'!Z202),100)=100,"B","A"),"C")</f>
        <v>RHSB</v>
      </c>
      <c r="F591" s="515"/>
      <c r="G591" s="515"/>
      <c r="H591" s="540" t="str">
        <f>IF(LEFT(D591,LEN(D591)-2)=LEFT(D523,LEN(D591)-2),LEFT(D591,LEN(D591)-2)&amp;IF(RIGHT(H523,2)+1&lt;=9,"0"&amp;RIGHT(H523)+1,RIGHT(H523,2)+1),D591)</f>
        <v>RHHSB_HP_GAS_09</v>
      </c>
      <c r="I591" s="512" t="str">
        <f>'RSD (DEA)'!AA202</f>
        <v>Gas driven adsorption heat pumps, brine-to-water</v>
      </c>
      <c r="J591" s="242" t="s">
        <v>239</v>
      </c>
      <c r="K591" s="242" t="s">
        <v>240</v>
      </c>
      <c r="L591" s="512" t="str">
        <f>'RSD (DEA)'!AH202</f>
        <v>RSDGAS</v>
      </c>
      <c r="M591" s="182" t="str">
        <f>'RSD (DEA)'!AI202</f>
        <v>RSDAHT</v>
      </c>
      <c r="N591" s="235" t="str">
        <f>LEFT('RSD (DEA)'!AJ202,2)&amp;RIGHT(E591,3)</f>
        <v>RHHSB</v>
      </c>
      <c r="O591" s="244"/>
      <c r="P591" s="182">
        <f>IF('RSD (DEA)'!P202&lt;RSD_HeatingDemand!$AH$15,RSD_HeatingDemand!$AH$15,'RSD (DEA)'!P202)</f>
        <v>2019</v>
      </c>
      <c r="Q591" s="182">
        <f>IF('RSD (DEA)'!X202&lt;RSD_HeatingDemand!$AH$15,RSD_HeatingDemand!$AH$15,'RSD (DEA)'!X202)</f>
        <v>2019</v>
      </c>
      <c r="R591" s="525">
        <f>IF(ISBLANK(I591),IF(MID(N591,2,2)="HA",VLOOKUP(I590,KEY_RSD_AF!$C$5:$G$52,2,FALSE),IF(MID(N591,2,2)="WA",VLOOKUP(I590,KEY_RSD_AF!$C$5:$G$52,3,FALSE),IF(MID(N591,2,2)="HH",VLOOKUP(I590,KEY_RSD_AF!$C$5:$G$52,4,FALSE),IF(MID(N591,2,2)="WH",VLOOKUP(I590,KEY_RSD_AF!$C$5:$G$52,5,FALSE))))),IF(MID(N591,2,2)="HA",VLOOKUP(I591,KEY_RSD_AF!$C$5:$G$52,2,FALSE),IF(MID(N591,2,2)="WA",VLOOKUP(I591,KEY_RSD_AF!$C$5:$G$52,3,FALSE),IF(MID(N591,2,2)="HH",VLOOKUP(I591,KEY_RSD_AF!$C$5:$G$52,4,FALSE),IF(MID(N591,2,2)="WH",VLOOKUP(I591,KEY_RSD_AF!$C$5:$G$52,5,FALSE))))))</f>
        <v>1</v>
      </c>
      <c r="S591" s="183">
        <f>'RSD (DEA)'!AZ202</f>
        <v>1.35</v>
      </c>
      <c r="T591" s="183">
        <f t="shared" si="14"/>
        <v>1.35</v>
      </c>
      <c r="U591" s="183">
        <v>0.5</v>
      </c>
      <c r="V591" s="182">
        <f>'RSD (DEA)'!BR202/'RSD (DEA)'!S202</f>
        <v>23.5</v>
      </c>
      <c r="W591" s="184">
        <f>'RSD (DEA)'!BS202/RSD_HeatingDemand!$AH$9</f>
        <v>0</v>
      </c>
      <c r="X591" s="183">
        <f>'RSD (DEA)'!BK202*RSD_HeatingDemand!$AH$10/'RSD (DEA)'!S202</f>
        <v>1560</v>
      </c>
      <c r="Y591" s="182">
        <f>'RSD (DEA)'!BI202</f>
        <v>20</v>
      </c>
      <c r="Z591" s="252" t="str">
        <f>IF(ISBLANK(O591),"",IF(O591="ACT",1,-1))</f>
        <v/>
      </c>
      <c r="AA591" s="236">
        <f>'RSD (DEA)'!AM202</f>
        <v>31.536000000000001</v>
      </c>
      <c r="AC591" s="235">
        <f>'RSD (DEA)'!S202</f>
        <v>10</v>
      </c>
      <c r="AD591" s="235" t="str">
        <f>LEFT('RSD (DEA)'!AK202,2)&amp;RIGHT(E591,3)</f>
        <v>RWHSB</v>
      </c>
      <c r="AE591" s="183">
        <f>'RSD (DEA)'!BA202</f>
        <v>0</v>
      </c>
      <c r="AF591" s="183"/>
    </row>
    <row r="592" spans="1:32" x14ac:dyDescent="0.3">
      <c r="A592" s="235"/>
      <c r="D592" s="512"/>
      <c r="E592" s="512"/>
      <c r="F592" s="515"/>
      <c r="G592" s="515"/>
      <c r="H592" s="540"/>
      <c r="I592" s="512"/>
      <c r="J592" s="242"/>
      <c r="K592" s="242"/>
      <c r="L592" s="512"/>
      <c r="M592" s="182"/>
      <c r="N592" s="318" t="str">
        <f>AD591</f>
        <v>RWHSB</v>
      </c>
      <c r="O592" s="244"/>
      <c r="P592" s="182"/>
      <c r="Q592" s="182"/>
      <c r="R592" s="525">
        <f>IF(ISBLANK(I592),IF(MID(N592,2,2)="HA",VLOOKUP(I591,KEY_RSD_AF!$C$5:$G$52,2,FALSE),IF(MID(N592,2,2)="WA",VLOOKUP(I591,KEY_RSD_AF!$C$5:$G$52,3,FALSE),IF(MID(N592,2,2)="HH",VLOOKUP(I591,KEY_RSD_AF!$C$5:$G$52,4,FALSE),IF(MID(N592,2,2)="WH",VLOOKUP(I591,KEY_RSD_AF!$C$5:$G$52,5,FALSE))))),IF(MID(N592,2,2)="HA",VLOOKUP(I592,KEY_RSD_AF!$C$5:$G$52,2,FALSE),IF(MID(N592,2,2)="WA",VLOOKUP(I592,KEY_RSD_AF!$C$5:$G$52,3,FALSE),IF(MID(N592,2,2)="HH",VLOOKUP(I592,KEY_RSD_AF!$C$5:$G$52,4,FALSE),IF(MID(N592,2,2)="WH",VLOOKUP(I592,KEY_RSD_AF!$C$5:$G$52,5,FALSE))))))</f>
        <v>1</v>
      </c>
      <c r="S592" s="503">
        <f>T591</f>
        <v>1.35</v>
      </c>
      <c r="T592" s="183"/>
      <c r="U592" s="183"/>
      <c r="V592" s="182"/>
      <c r="W592" s="184"/>
      <c r="X592" s="183"/>
      <c r="Y592" s="182"/>
      <c r="Z592" s="252"/>
      <c r="AA592" s="236"/>
      <c r="AC592" s="235"/>
      <c r="AD592" s="235"/>
      <c r="AE592" s="183"/>
      <c r="AF592" s="183"/>
    </row>
    <row r="593" spans="1:32" x14ac:dyDescent="0.3">
      <c r="A593" s="244"/>
      <c r="D593" s="512"/>
      <c r="E593" s="513"/>
      <c r="F593" s="515"/>
      <c r="G593" s="515"/>
      <c r="H593" s="540"/>
      <c r="I593" s="513"/>
      <c r="J593" s="255"/>
      <c r="K593" s="255"/>
      <c r="L593" s="513"/>
      <c r="M593" s="252" t="str">
        <f>M591</f>
        <v>RSDAHT</v>
      </c>
      <c r="N593" s="244"/>
      <c r="O593" s="244" t="str">
        <f>$AH$12</f>
        <v>ACT</v>
      </c>
      <c r="P593" s="252"/>
      <c r="Q593" s="252"/>
      <c r="R593" s="525"/>
      <c r="S593" s="256"/>
      <c r="T593" s="183"/>
      <c r="U593" s="183"/>
      <c r="V593" s="252"/>
      <c r="W593" s="524"/>
      <c r="X593" s="256"/>
      <c r="Y593" s="252"/>
      <c r="Z593" s="252">
        <f>IF(ISBLANK(O593),"",IF(O593="ACT",1,-1))</f>
        <v>1</v>
      </c>
      <c r="AA593" s="257"/>
      <c r="AC593" s="244"/>
      <c r="AD593" s="244"/>
      <c r="AE593" s="256"/>
      <c r="AF593" s="256"/>
    </row>
    <row r="594" spans="1:32" x14ac:dyDescent="0.3">
      <c r="A594" s="244"/>
      <c r="D594" s="512"/>
      <c r="E594" s="513"/>
      <c r="F594" s="515"/>
      <c r="G594" s="515"/>
      <c r="H594" s="540"/>
      <c r="I594" s="513"/>
      <c r="J594" s="255"/>
      <c r="K594" s="255"/>
      <c r="L594" s="513"/>
      <c r="M594" s="252" t="str">
        <f>M593</f>
        <v>RSDAHT</v>
      </c>
      <c r="N594" s="244"/>
      <c r="O594" s="244" t="str">
        <f>L591</f>
        <v>RSDGAS</v>
      </c>
      <c r="P594" s="252"/>
      <c r="Q594" s="252"/>
      <c r="R594" s="525"/>
      <c r="S594" s="256"/>
      <c r="T594" s="183"/>
      <c r="U594" s="183"/>
      <c r="V594" s="252"/>
      <c r="W594" s="524"/>
      <c r="X594" s="256"/>
      <c r="Y594" s="252"/>
      <c r="Z594" s="252">
        <f>IF(ISBLANK(O594),"",IF(O594="ACT",1,-1))</f>
        <v>-1</v>
      </c>
      <c r="AA594" s="257"/>
      <c r="AC594" s="244"/>
      <c r="AD594" s="244"/>
      <c r="AE594" s="256"/>
      <c r="AF594" s="256"/>
    </row>
    <row r="595" spans="1:32" x14ac:dyDescent="0.3">
      <c r="A595" s="235"/>
      <c r="C595" s="528" t="str">
        <f>'RSD (DEA)'!Z203</f>
        <v>HP_GAS_07</v>
      </c>
      <c r="D595" s="512" t="str">
        <f>RSD_HeatingDemand!N595&amp;"_"&amp;LEFT(C595,LEN(C595)-2)&amp;"07"</f>
        <v>RHHSB_HP_GAS_07</v>
      </c>
      <c r="E595" s="512" t="str">
        <f>"R"&amp;LEFT('RSD (DEA)'!AD203,2)&amp;IF(ISNUMBER(IFERROR(FIND("HTH",'RSD (DEA)'!Z203),IFERROR(FIND("HP",'RSD (DEA)'!Z203),"C"))),IF(IFERROR(FIND("HTH",'RSD (DEA)'!Z203),100)=100,"B","A"),"C")</f>
        <v>RHSB</v>
      </c>
      <c r="F595" s="515"/>
      <c r="G595" s="515"/>
      <c r="H595" s="540" t="str">
        <f t="shared" si="13"/>
        <v>RHHSB_HP_GAS_10</v>
      </c>
      <c r="I595" s="512" t="str">
        <f>'RSD (DEA)'!AA203</f>
        <v>Gas driven adsorption heat pumps, brine-to-water</v>
      </c>
      <c r="J595" s="242" t="s">
        <v>239</v>
      </c>
      <c r="K595" s="242" t="s">
        <v>240</v>
      </c>
      <c r="L595" s="512" t="str">
        <f>'RSD (DEA)'!AH203</f>
        <v>RSDGAS</v>
      </c>
      <c r="M595" s="182" t="str">
        <f>'RSD (DEA)'!AI203</f>
        <v>RSDAHT</v>
      </c>
      <c r="N595" s="235" t="str">
        <f>LEFT('RSD (DEA)'!AJ203,2)&amp;RIGHT(E595,3)</f>
        <v>RHHSB</v>
      </c>
      <c r="O595" s="244"/>
      <c r="P595" s="182">
        <f>IF('RSD (DEA)'!P203&lt;RSD_HeatingDemand!$AH$15,RSD_HeatingDemand!$AH$15,'RSD (DEA)'!P203)</f>
        <v>2019</v>
      </c>
      <c r="Q595" s="182">
        <f>IF('RSD (DEA)'!X203&lt;RSD_HeatingDemand!$AH$15,RSD_HeatingDemand!$AH$15,'RSD (DEA)'!X203)</f>
        <v>2020</v>
      </c>
      <c r="R595" s="525">
        <f>IF(ISBLANK(I595),IF(MID(N595,2,2)="HA",VLOOKUP(I594,KEY_RSD_AF!$C$5:$G$52,2,FALSE),IF(MID(N595,2,2)="WA",VLOOKUP(I594,KEY_RSD_AF!$C$5:$G$52,3,FALSE),IF(MID(N595,2,2)="HH",VLOOKUP(I594,KEY_RSD_AF!$C$5:$G$52,4,FALSE),IF(MID(N595,2,2)="WH",VLOOKUP(I594,KEY_RSD_AF!$C$5:$G$52,5,FALSE))))),IF(MID(N595,2,2)="HA",VLOOKUP(I595,KEY_RSD_AF!$C$5:$G$52,2,FALSE),IF(MID(N595,2,2)="WA",VLOOKUP(I595,KEY_RSD_AF!$C$5:$G$52,3,FALSE),IF(MID(N595,2,2)="HH",VLOOKUP(I595,KEY_RSD_AF!$C$5:$G$52,4,FALSE),IF(MID(N595,2,2)="WH",VLOOKUP(I595,KEY_RSD_AF!$C$5:$G$52,5,FALSE))))))</f>
        <v>1</v>
      </c>
      <c r="S595" s="183">
        <f>'RSD (DEA)'!AZ203</f>
        <v>1.35</v>
      </c>
      <c r="T595" s="183">
        <f t="shared" si="14"/>
        <v>1.35</v>
      </c>
      <c r="U595" s="183">
        <v>0.5</v>
      </c>
      <c r="V595" s="182">
        <f>'RSD (DEA)'!BR203/'RSD (DEA)'!S203</f>
        <v>23.5</v>
      </c>
      <c r="W595" s="184">
        <f>'RSD (DEA)'!BS203/RSD_HeatingDemand!$AH$9</f>
        <v>0</v>
      </c>
      <c r="X595" s="183">
        <f>'RSD (DEA)'!BK203*RSD_HeatingDemand!$AH$10/'RSD (DEA)'!S203</f>
        <v>1500</v>
      </c>
      <c r="Y595" s="182">
        <f>'RSD (DEA)'!BI203</f>
        <v>20</v>
      </c>
      <c r="Z595" s="252" t="str">
        <f>IF(ISBLANK(O595),"",IF(O595="ACT",1,-1))</f>
        <v/>
      </c>
      <c r="AA595" s="236">
        <f>'RSD (DEA)'!AM203</f>
        <v>31.536000000000001</v>
      </c>
      <c r="AC595" s="235">
        <f>'RSD (DEA)'!S203</f>
        <v>10</v>
      </c>
      <c r="AD595" s="235" t="str">
        <f>LEFT('RSD (DEA)'!AK203,2)&amp;RIGHT(E595,3)</f>
        <v>RWHSB</v>
      </c>
      <c r="AE595" s="183">
        <f>'RSD (DEA)'!BA203</f>
        <v>0</v>
      </c>
      <c r="AF595" s="183"/>
    </row>
    <row r="596" spans="1:32" x14ac:dyDescent="0.3">
      <c r="A596" s="235"/>
      <c r="D596" s="512"/>
      <c r="E596" s="512"/>
      <c r="F596" s="515"/>
      <c r="G596" s="515"/>
      <c r="H596" s="540"/>
      <c r="I596" s="512"/>
      <c r="J596" s="242"/>
      <c r="K596" s="242"/>
      <c r="L596" s="512"/>
      <c r="M596" s="182"/>
      <c r="N596" s="318" t="str">
        <f>AD595</f>
        <v>RWHSB</v>
      </c>
      <c r="O596" s="244"/>
      <c r="P596" s="182"/>
      <c r="Q596" s="182"/>
      <c r="R596" s="525">
        <f>IF(ISBLANK(I596),IF(MID(N596,2,2)="HA",VLOOKUP(I595,KEY_RSD_AF!$C$5:$G$52,2,FALSE),IF(MID(N596,2,2)="WA",VLOOKUP(I595,KEY_RSD_AF!$C$5:$G$52,3,FALSE),IF(MID(N596,2,2)="HH",VLOOKUP(I595,KEY_RSD_AF!$C$5:$G$52,4,FALSE),IF(MID(N596,2,2)="WH",VLOOKUP(I595,KEY_RSD_AF!$C$5:$G$52,5,FALSE))))),IF(MID(N596,2,2)="HA",VLOOKUP(I596,KEY_RSD_AF!$C$5:$G$52,2,FALSE),IF(MID(N596,2,2)="WA",VLOOKUP(I596,KEY_RSD_AF!$C$5:$G$52,3,FALSE),IF(MID(N596,2,2)="HH",VLOOKUP(I596,KEY_RSD_AF!$C$5:$G$52,4,FALSE),IF(MID(N596,2,2)="WH",VLOOKUP(I596,KEY_RSD_AF!$C$5:$G$52,5,FALSE))))))</f>
        <v>1</v>
      </c>
      <c r="S596" s="503">
        <f>T595</f>
        <v>1.35</v>
      </c>
      <c r="T596" s="183"/>
      <c r="U596" s="183"/>
      <c r="V596" s="182"/>
      <c r="W596" s="184"/>
      <c r="X596" s="183"/>
      <c r="Y596" s="182"/>
      <c r="Z596" s="252"/>
      <c r="AA596" s="236"/>
      <c r="AC596" s="235"/>
      <c r="AD596" s="235"/>
      <c r="AE596" s="183"/>
      <c r="AF596" s="183"/>
    </row>
    <row r="597" spans="1:32" x14ac:dyDescent="0.3">
      <c r="A597" s="244"/>
      <c r="D597" s="512"/>
      <c r="E597" s="513"/>
      <c r="F597" s="515"/>
      <c r="G597" s="515"/>
      <c r="H597" s="540"/>
      <c r="I597" s="513"/>
      <c r="J597" s="255"/>
      <c r="K597" s="255"/>
      <c r="L597" s="513"/>
      <c r="M597" s="252" t="str">
        <f>M595</f>
        <v>RSDAHT</v>
      </c>
      <c r="N597" s="244"/>
      <c r="O597" s="244" t="str">
        <f>$AH$12</f>
        <v>ACT</v>
      </c>
      <c r="P597" s="252"/>
      <c r="Q597" s="252"/>
      <c r="R597" s="525"/>
      <c r="S597" s="256"/>
      <c r="T597" s="183"/>
      <c r="U597" s="183"/>
      <c r="V597" s="252"/>
      <c r="W597" s="524"/>
      <c r="X597" s="256"/>
      <c r="Y597" s="252"/>
      <c r="Z597" s="252">
        <f>IF(ISBLANK(O597),"",IF(O597="ACT",1,-1))</f>
        <v>1</v>
      </c>
      <c r="AA597" s="257"/>
      <c r="AC597" s="244"/>
      <c r="AD597" s="244"/>
      <c r="AE597" s="256"/>
      <c r="AF597" s="256"/>
    </row>
    <row r="598" spans="1:32" x14ac:dyDescent="0.3">
      <c r="A598" s="244"/>
      <c r="D598" s="512"/>
      <c r="E598" s="513"/>
      <c r="F598" s="515"/>
      <c r="G598" s="515"/>
      <c r="H598" s="540"/>
      <c r="I598" s="513"/>
      <c r="J598" s="255"/>
      <c r="K598" s="255"/>
      <c r="L598" s="513"/>
      <c r="M598" s="252" t="str">
        <f>M597</f>
        <v>RSDAHT</v>
      </c>
      <c r="N598" s="244"/>
      <c r="O598" s="244" t="str">
        <f>L595</f>
        <v>RSDGAS</v>
      </c>
      <c r="P598" s="252"/>
      <c r="Q598" s="252"/>
      <c r="R598" s="525"/>
      <c r="S598" s="256"/>
      <c r="T598" s="183"/>
      <c r="U598" s="183"/>
      <c r="V598" s="252"/>
      <c r="W598" s="524"/>
      <c r="X598" s="256"/>
      <c r="Y598" s="252"/>
      <c r="Z598" s="252">
        <f>IF(ISBLANK(O598),"",IF(O598="ACT",1,-1))</f>
        <v>-1</v>
      </c>
      <c r="AA598" s="257"/>
      <c r="AC598" s="244"/>
      <c r="AD598" s="244"/>
      <c r="AE598" s="256"/>
      <c r="AF598" s="256"/>
    </row>
    <row r="599" spans="1:32" x14ac:dyDescent="0.3">
      <c r="A599" s="235"/>
      <c r="C599" s="528" t="str">
        <f>'RSD (DEA)'!Z204</f>
        <v>HP_GAS_07</v>
      </c>
      <c r="D599" s="512" t="str">
        <f>RSD_HeatingDemand!N599&amp;"_"&amp;LEFT(C599,LEN(C599)-2)&amp;"07"</f>
        <v>RHHSB_HP_GAS_07</v>
      </c>
      <c r="E599" s="512" t="str">
        <f>"R"&amp;LEFT('RSD (DEA)'!AD204,2)&amp;IF(ISNUMBER(IFERROR(FIND("HTH",'RSD (DEA)'!Z204),IFERROR(FIND("HP",'RSD (DEA)'!Z204),"C"))),IF(IFERROR(FIND("HTH",'RSD (DEA)'!Z204),100)=100,"B","A"),"C")</f>
        <v>RHSB</v>
      </c>
      <c r="F599" s="515"/>
      <c r="G599" s="515"/>
      <c r="H599" s="540" t="str">
        <f t="shared" si="13"/>
        <v>RHHSB_HP_GAS_11</v>
      </c>
      <c r="I599" s="512" t="str">
        <f>'RSD (DEA)'!AA204</f>
        <v>Gas driven adsorption heat pumps, brine-to-water</v>
      </c>
      <c r="J599" s="242" t="s">
        <v>239</v>
      </c>
      <c r="K599" s="242" t="s">
        <v>240</v>
      </c>
      <c r="L599" s="512" t="str">
        <f>'RSD (DEA)'!AH204</f>
        <v>RSDGAS</v>
      </c>
      <c r="M599" s="182" t="str">
        <f>'RSD (DEA)'!AI204</f>
        <v>RSDAHT</v>
      </c>
      <c r="N599" s="235" t="str">
        <f>LEFT('RSD (DEA)'!AJ204,2)&amp;RIGHT(E599,3)</f>
        <v>RHHSB</v>
      </c>
      <c r="O599" s="244"/>
      <c r="P599" s="182">
        <f>IF('RSD (DEA)'!P204&lt;RSD_HeatingDemand!$AH$15,RSD_HeatingDemand!$AH$15,'RSD (DEA)'!P204)</f>
        <v>2019</v>
      </c>
      <c r="Q599" s="182">
        <f>IF('RSD (DEA)'!X204&lt;RSD_HeatingDemand!$AH$15,RSD_HeatingDemand!$AH$15,'RSD (DEA)'!X204)</f>
        <v>2030</v>
      </c>
      <c r="R599" s="525">
        <f>IF(ISBLANK(I599),IF(MID(N599,2,2)="HA",VLOOKUP(I598,KEY_RSD_AF!$C$5:$G$52,2,FALSE),IF(MID(N599,2,2)="WA",VLOOKUP(I598,KEY_RSD_AF!$C$5:$G$52,3,FALSE),IF(MID(N599,2,2)="HH",VLOOKUP(I598,KEY_RSD_AF!$C$5:$G$52,4,FALSE),IF(MID(N599,2,2)="WH",VLOOKUP(I598,KEY_RSD_AF!$C$5:$G$52,5,FALSE))))),IF(MID(N599,2,2)="HA",VLOOKUP(I599,KEY_RSD_AF!$C$5:$G$52,2,FALSE),IF(MID(N599,2,2)="WA",VLOOKUP(I599,KEY_RSD_AF!$C$5:$G$52,3,FALSE),IF(MID(N599,2,2)="HH",VLOOKUP(I599,KEY_RSD_AF!$C$5:$G$52,4,FALSE),IF(MID(N599,2,2)="WH",VLOOKUP(I599,KEY_RSD_AF!$C$5:$G$52,5,FALSE))))))</f>
        <v>1</v>
      </c>
      <c r="S599" s="183">
        <f>'RSD (DEA)'!AZ204</f>
        <v>1.35</v>
      </c>
      <c r="T599" s="183">
        <f t="shared" si="14"/>
        <v>1.35</v>
      </c>
      <c r="U599" s="183">
        <v>0.5</v>
      </c>
      <c r="V599" s="182">
        <f>'RSD (DEA)'!BR204/'RSD (DEA)'!S204</f>
        <v>23.5</v>
      </c>
      <c r="W599" s="184">
        <f>'RSD (DEA)'!BS204/RSD_HeatingDemand!$AH$9</f>
        <v>0</v>
      </c>
      <c r="X599" s="183">
        <f>'RSD (DEA)'!BK204*RSD_HeatingDemand!$AH$10/'RSD (DEA)'!S204</f>
        <v>1300</v>
      </c>
      <c r="Y599" s="182">
        <f>'RSD (DEA)'!BI204</f>
        <v>20</v>
      </c>
      <c r="Z599" s="252" t="str">
        <f>IF(ISBLANK(O599),"",IF(O599="ACT",1,-1))</f>
        <v/>
      </c>
      <c r="AA599" s="236">
        <f>'RSD (DEA)'!AM204</f>
        <v>31.536000000000001</v>
      </c>
      <c r="AC599" s="235">
        <f>'RSD (DEA)'!S204</f>
        <v>10</v>
      </c>
      <c r="AD599" s="235" t="str">
        <f>LEFT('RSD (DEA)'!AK204,2)&amp;RIGHT(E599,3)</f>
        <v>RWHSB</v>
      </c>
      <c r="AE599" s="183">
        <f>'RSD (DEA)'!BA204</f>
        <v>0</v>
      </c>
      <c r="AF599" s="183"/>
    </row>
    <row r="600" spans="1:32" x14ac:dyDescent="0.3">
      <c r="A600" s="235"/>
      <c r="D600" s="512"/>
      <c r="E600" s="512"/>
      <c r="F600" s="515"/>
      <c r="G600" s="515"/>
      <c r="H600" s="540"/>
      <c r="I600" s="512"/>
      <c r="J600" s="242"/>
      <c r="K600" s="242"/>
      <c r="L600" s="512"/>
      <c r="M600" s="182"/>
      <c r="N600" s="318" t="str">
        <f>AD599</f>
        <v>RWHSB</v>
      </c>
      <c r="O600" s="244"/>
      <c r="P600" s="182"/>
      <c r="Q600" s="182"/>
      <c r="R600" s="525">
        <f>IF(ISBLANK(I600),IF(MID(N600,2,2)="HA",VLOOKUP(I599,KEY_RSD_AF!$C$5:$G$52,2,FALSE),IF(MID(N600,2,2)="WA",VLOOKUP(I599,KEY_RSD_AF!$C$5:$G$52,3,FALSE),IF(MID(N600,2,2)="HH",VLOOKUP(I599,KEY_RSD_AF!$C$5:$G$52,4,FALSE),IF(MID(N600,2,2)="WH",VLOOKUP(I599,KEY_RSD_AF!$C$5:$G$52,5,FALSE))))),IF(MID(N600,2,2)="HA",VLOOKUP(I600,KEY_RSD_AF!$C$5:$G$52,2,FALSE),IF(MID(N600,2,2)="WA",VLOOKUP(I600,KEY_RSD_AF!$C$5:$G$52,3,FALSE),IF(MID(N600,2,2)="HH",VLOOKUP(I600,KEY_RSD_AF!$C$5:$G$52,4,FALSE),IF(MID(N600,2,2)="WH",VLOOKUP(I600,KEY_RSD_AF!$C$5:$G$52,5,FALSE))))))</f>
        <v>1</v>
      </c>
      <c r="S600" s="503">
        <f>T599</f>
        <v>1.35</v>
      </c>
      <c r="T600" s="183"/>
      <c r="U600" s="183"/>
      <c r="V600" s="182"/>
      <c r="W600" s="184"/>
      <c r="X600" s="183"/>
      <c r="Y600" s="182"/>
      <c r="Z600" s="252"/>
      <c r="AA600" s="236"/>
      <c r="AC600" s="235"/>
      <c r="AD600" s="235"/>
      <c r="AE600" s="183"/>
      <c r="AF600" s="183"/>
    </row>
    <row r="601" spans="1:32" x14ac:dyDescent="0.3">
      <c r="A601" s="244"/>
      <c r="D601" s="512"/>
      <c r="E601" s="513"/>
      <c r="F601" s="515"/>
      <c r="G601" s="515"/>
      <c r="H601" s="540"/>
      <c r="I601" s="513"/>
      <c r="J601" s="255"/>
      <c r="K601" s="255"/>
      <c r="L601" s="513"/>
      <c r="M601" s="252" t="str">
        <f>M599</f>
        <v>RSDAHT</v>
      </c>
      <c r="N601" s="244"/>
      <c r="O601" s="244" t="str">
        <f>$AH$12</f>
        <v>ACT</v>
      </c>
      <c r="P601" s="252"/>
      <c r="Q601" s="252"/>
      <c r="R601" s="525"/>
      <c r="S601" s="256"/>
      <c r="T601" s="183"/>
      <c r="U601" s="183"/>
      <c r="V601" s="252"/>
      <c r="W601" s="524"/>
      <c r="X601" s="256"/>
      <c r="Y601" s="252"/>
      <c r="Z601" s="252">
        <f>IF(ISBLANK(O601),"",IF(O601="ACT",1,-1))</f>
        <v>1</v>
      </c>
      <c r="AA601" s="257"/>
      <c r="AC601" s="244"/>
      <c r="AD601" s="244"/>
      <c r="AE601" s="256"/>
      <c r="AF601" s="256"/>
    </row>
    <row r="602" spans="1:32" x14ac:dyDescent="0.3">
      <c r="A602" s="244"/>
      <c r="D602" s="512"/>
      <c r="E602" s="513"/>
      <c r="F602" s="515"/>
      <c r="G602" s="515"/>
      <c r="H602" s="540"/>
      <c r="I602" s="513"/>
      <c r="J602" s="255"/>
      <c r="K602" s="255"/>
      <c r="L602" s="513"/>
      <c r="M602" s="252" t="str">
        <f>M601</f>
        <v>RSDAHT</v>
      </c>
      <c r="N602" s="244"/>
      <c r="O602" s="244" t="str">
        <f>L599</f>
        <v>RSDGAS</v>
      </c>
      <c r="P602" s="252"/>
      <c r="Q602" s="252"/>
      <c r="R602" s="525"/>
      <c r="S602" s="256"/>
      <c r="T602" s="183"/>
      <c r="U602" s="183"/>
      <c r="V602" s="252"/>
      <c r="W602" s="524"/>
      <c r="X602" s="256"/>
      <c r="Y602" s="252"/>
      <c r="Z602" s="252">
        <f>IF(ISBLANK(O602),"",IF(O602="ACT",1,-1))</f>
        <v>-1</v>
      </c>
      <c r="AA602" s="257"/>
      <c r="AC602" s="244"/>
      <c r="AD602" s="244"/>
      <c r="AE602" s="256"/>
      <c r="AF602" s="256"/>
    </row>
    <row r="603" spans="1:32" x14ac:dyDescent="0.3">
      <c r="A603" s="244"/>
      <c r="C603" s="528" t="str">
        <f>'RSD (DEA)'!Z205</f>
        <v>HP_GAS_07</v>
      </c>
      <c r="D603" s="512" t="str">
        <f>RSD_HeatingDemand!N603&amp;"_"&amp;LEFT(C603,LEN(C603)-2)&amp;"07"</f>
        <v>RHHSB_HP_GAS_07</v>
      </c>
      <c r="E603" s="513" t="str">
        <f>"R"&amp;LEFT('RSD (DEA)'!AD205,2)&amp;IF(ISNUMBER(IFERROR(FIND("HTH",'RSD (DEA)'!Z205),IFERROR(FIND("HP",'RSD (DEA)'!Z205),"C"))),IF(IFERROR(FIND("HTH",'RSD (DEA)'!Z205),100)=100,"B","A"),"C")</f>
        <v>RHSB</v>
      </c>
      <c r="F603" s="515"/>
      <c r="G603" s="515"/>
      <c r="H603" s="540" t="str">
        <f t="shared" si="13"/>
        <v>RHHSB_HP_GAS_12</v>
      </c>
      <c r="I603" s="513" t="str">
        <f>'RSD (DEA)'!AA205</f>
        <v>Gas driven adsorption heat pumps, brine-to-water</v>
      </c>
      <c r="J603" s="255" t="s">
        <v>239</v>
      </c>
      <c r="K603" s="255" t="s">
        <v>240</v>
      </c>
      <c r="L603" s="513" t="str">
        <f>'RSD (DEA)'!AH205</f>
        <v>RSDGAS</v>
      </c>
      <c r="M603" s="252" t="str">
        <f>'RSD (DEA)'!AI205</f>
        <v>RSDAHT</v>
      </c>
      <c r="N603" s="244" t="str">
        <f>LEFT('RSD (DEA)'!AJ205,2)&amp;RIGHT(E603,3)</f>
        <v>RHHSB</v>
      </c>
      <c r="O603" s="244"/>
      <c r="P603" s="252">
        <f>IF('RSD (DEA)'!P205&lt;RSD_HeatingDemand!$AH$15,RSD_HeatingDemand!$AH$15,'RSD (DEA)'!P205)</f>
        <v>2019</v>
      </c>
      <c r="Q603" s="252">
        <f>IF('RSD (DEA)'!X205&lt;RSD_HeatingDemand!$AH$15,RSD_HeatingDemand!$AH$15,'RSD (DEA)'!X205)</f>
        <v>2050</v>
      </c>
      <c r="R603" s="525">
        <f>IF(ISBLANK(I603),IF(MID(N603,2,2)="HA",VLOOKUP(I602,KEY_RSD_AF!$C$5:$G$52,2,FALSE),IF(MID(N603,2,2)="WA",VLOOKUP(I602,KEY_RSD_AF!$C$5:$G$52,3,FALSE),IF(MID(N603,2,2)="HH",VLOOKUP(I602,KEY_RSD_AF!$C$5:$G$52,4,FALSE),IF(MID(N603,2,2)="WH",VLOOKUP(I602,KEY_RSD_AF!$C$5:$G$52,5,FALSE))))),IF(MID(N603,2,2)="HA",VLOOKUP(I603,KEY_RSD_AF!$C$5:$G$52,2,FALSE),IF(MID(N603,2,2)="WA",VLOOKUP(I603,KEY_RSD_AF!$C$5:$G$52,3,FALSE),IF(MID(N603,2,2)="HH",VLOOKUP(I603,KEY_RSD_AF!$C$5:$G$52,4,FALSE),IF(MID(N603,2,2)="WH",VLOOKUP(I603,KEY_RSD_AF!$C$5:$G$52,5,FALSE))))))</f>
        <v>1</v>
      </c>
      <c r="S603" s="256">
        <f>'RSD (DEA)'!AZ205</f>
        <v>1.35</v>
      </c>
      <c r="T603" s="183">
        <f t="shared" si="14"/>
        <v>1.35</v>
      </c>
      <c r="U603" s="183">
        <v>0.5</v>
      </c>
      <c r="V603" s="252">
        <f>'RSD (DEA)'!BR205/'RSD (DEA)'!S205</f>
        <v>23.5</v>
      </c>
      <c r="W603" s="524">
        <f>'RSD (DEA)'!BS205/RSD_HeatingDemand!$AH$9</f>
        <v>0</v>
      </c>
      <c r="X603" s="256">
        <f>'RSD (DEA)'!BK205*RSD_HeatingDemand!$AH$10/'RSD (DEA)'!S205</f>
        <v>1200</v>
      </c>
      <c r="Y603" s="252">
        <f>'RSD (DEA)'!BI205</f>
        <v>20</v>
      </c>
      <c r="Z603" s="252" t="str">
        <f>IF(ISBLANK(O603),"",IF(O603="ACT",1,-1))</f>
        <v/>
      </c>
      <c r="AA603" s="257">
        <f>'RSD (DEA)'!AM205</f>
        <v>31.536000000000001</v>
      </c>
      <c r="AC603" s="244">
        <f>'RSD (DEA)'!S205</f>
        <v>10</v>
      </c>
      <c r="AD603" s="244" t="str">
        <f>LEFT('RSD (DEA)'!AK205,2)&amp;RIGHT(E603,3)</f>
        <v>RWHSB</v>
      </c>
      <c r="AE603" s="256">
        <f>'RSD (DEA)'!BA205</f>
        <v>0</v>
      </c>
      <c r="AF603" s="256"/>
    </row>
    <row r="604" spans="1:32" x14ac:dyDescent="0.3">
      <c r="A604" s="244"/>
      <c r="D604" s="512"/>
      <c r="E604" s="513"/>
      <c r="F604" s="515"/>
      <c r="G604" s="515"/>
      <c r="H604" s="540"/>
      <c r="I604" s="513"/>
      <c r="J604" s="255"/>
      <c r="K604" s="255"/>
      <c r="L604" s="513"/>
      <c r="M604" s="252"/>
      <c r="N604" s="318" t="str">
        <f>AD603</f>
        <v>RWHSB</v>
      </c>
      <c r="O604" s="244"/>
      <c r="P604" s="252"/>
      <c r="Q604" s="252"/>
      <c r="R604" s="525">
        <f>IF(ISBLANK(I604),IF(MID(N604,2,2)="HA",VLOOKUP(I603,KEY_RSD_AF!$C$5:$G$52,2,FALSE),IF(MID(N604,2,2)="WA",VLOOKUP(I603,KEY_RSD_AF!$C$5:$G$52,3,FALSE),IF(MID(N604,2,2)="HH",VLOOKUP(I603,KEY_RSD_AF!$C$5:$G$52,4,FALSE),IF(MID(N604,2,2)="WH",VLOOKUP(I603,KEY_RSD_AF!$C$5:$G$52,5,FALSE))))),IF(MID(N604,2,2)="HA",VLOOKUP(I604,KEY_RSD_AF!$C$5:$G$52,2,FALSE),IF(MID(N604,2,2)="WA",VLOOKUP(I604,KEY_RSD_AF!$C$5:$G$52,3,FALSE),IF(MID(N604,2,2)="HH",VLOOKUP(I604,KEY_RSD_AF!$C$5:$G$52,4,FALSE),IF(MID(N604,2,2)="WH",VLOOKUP(I604,KEY_RSD_AF!$C$5:$G$52,5,FALSE))))))</f>
        <v>1</v>
      </c>
      <c r="S604" s="503">
        <f>T603</f>
        <v>1.35</v>
      </c>
      <c r="T604" s="256"/>
      <c r="U604" s="183"/>
      <c r="V604" s="252"/>
      <c r="W604" s="524"/>
      <c r="X604" s="256"/>
      <c r="Y604" s="252"/>
      <c r="Z604" s="252"/>
      <c r="AA604" s="257"/>
      <c r="AC604" s="244"/>
      <c r="AD604" s="244"/>
      <c r="AE604" s="256"/>
      <c r="AF604" s="256"/>
    </row>
    <row r="605" spans="1:32" x14ac:dyDescent="0.3">
      <c r="A605" s="244"/>
      <c r="D605" s="512"/>
      <c r="E605" s="513"/>
      <c r="F605" s="515"/>
      <c r="G605" s="515"/>
      <c r="H605" s="540"/>
      <c r="I605" s="513"/>
      <c r="J605" s="255"/>
      <c r="K605" s="255"/>
      <c r="L605" s="513"/>
      <c r="M605" s="252" t="str">
        <f>M603</f>
        <v>RSDAHT</v>
      </c>
      <c r="N605" s="244"/>
      <c r="O605" s="244" t="str">
        <f>$AH$12</f>
        <v>ACT</v>
      </c>
      <c r="P605" s="252"/>
      <c r="Q605" s="252"/>
      <c r="R605" s="525"/>
      <c r="S605" s="256"/>
      <c r="T605" s="256"/>
      <c r="U605" s="183"/>
      <c r="V605" s="252"/>
      <c r="W605" s="524"/>
      <c r="X605" s="256"/>
      <c r="Y605" s="252"/>
      <c r="Z605" s="252">
        <f>IF(ISBLANK(O605),"",IF(O605="ACT",1,-1))</f>
        <v>1</v>
      </c>
      <c r="AA605" s="257"/>
      <c r="AC605" s="244"/>
      <c r="AD605" s="244"/>
      <c r="AE605" s="256"/>
      <c r="AF605" s="256"/>
    </row>
    <row r="606" spans="1:32" x14ac:dyDescent="0.3">
      <c r="A606" s="244"/>
      <c r="D606" s="512"/>
      <c r="E606" s="513"/>
      <c r="F606" s="515"/>
      <c r="G606" s="515"/>
      <c r="H606" s="540"/>
      <c r="I606" s="513"/>
      <c r="J606" s="255"/>
      <c r="K606" s="255"/>
      <c r="L606" s="513"/>
      <c r="M606" s="252" t="str">
        <f>M605</f>
        <v>RSDAHT</v>
      </c>
      <c r="N606" s="244"/>
      <c r="O606" s="244" t="str">
        <f>L603</f>
        <v>RSDGAS</v>
      </c>
      <c r="P606" s="252"/>
      <c r="Q606" s="252"/>
      <c r="R606" s="525"/>
      <c r="S606" s="256"/>
      <c r="T606" s="256"/>
      <c r="U606" s="183"/>
      <c r="V606" s="252"/>
      <c r="W606" s="524"/>
      <c r="X606" s="256"/>
      <c r="Y606" s="252"/>
      <c r="Z606" s="252">
        <f>IF(ISBLANK(O606),"",IF(O606="ACT",1,-1))</f>
        <v>-1</v>
      </c>
      <c r="AA606" s="257"/>
      <c r="AC606" s="244"/>
      <c r="AD606" s="244"/>
      <c r="AE606" s="256"/>
      <c r="AF606" s="256"/>
    </row>
    <row r="607" spans="1:32" x14ac:dyDescent="0.3">
      <c r="A607" s="235"/>
      <c r="C607" s="528" t="str">
        <f>'RSD (DEA)'!Z206</f>
        <v>T_SOL_01</v>
      </c>
      <c r="D607" s="512" t="str">
        <f>RSD_HeatingDemand!N607&amp;"_"&amp;C607</f>
        <v>RHHSC_T_SOL_01</v>
      </c>
      <c r="E607" s="512" t="str">
        <f>"R"&amp;LEFT('RSD (DEA)'!AD206,2)&amp;IF(ISNUMBER(IFERROR(FIND("HTH",'RSD (DEA)'!Z206),IFERROR(FIND("HP",'RSD (DEA)'!Z206),"C"))),IF(IFERROR(FIND("HTH",'RSD (DEA)'!Z206),100)=100,"B","A"),"C")</f>
        <v>RHSC</v>
      </c>
      <c r="F607" s="515"/>
      <c r="G607" s="515"/>
      <c r="H607" s="540" t="str">
        <f t="shared" ref="H607:H645" si="15">IF(LEFT(D607,LEN(D607)-2)=LEFT(D605,LEN(D607)-2),LEFT(D607,LEN(D607)-2)&amp;IF(RIGHT(H605,2)+1&lt;=9,"0"&amp;RIGHT(H605)+1,RIGHT(H605,2)+1),D607)</f>
        <v>RHHSC_T_SOL_01</v>
      </c>
      <c r="I607" s="512" t="str">
        <f>'RSD (DEA)'!AA206</f>
        <v>Solar heating</v>
      </c>
      <c r="J607" s="242" t="s">
        <v>239</v>
      </c>
      <c r="K607" s="242" t="s">
        <v>240</v>
      </c>
      <c r="L607" s="512" t="str">
        <f>'RSD (DEA)'!AH206</f>
        <v>RSDSOL</v>
      </c>
      <c r="M607" s="252"/>
      <c r="N607" s="235" t="str">
        <f>LEFT('RSD (DEA)'!AJ206,2)&amp;RIGHT(E607,3)</f>
        <v>RHHSC</v>
      </c>
      <c r="O607" s="252"/>
      <c r="P607" s="182">
        <f>IF('RSD (DEA)'!P206&lt;RSD_HeatingDemand!$AH$15,RSD_HeatingDemand!$AH$15,'RSD (DEA)'!P206)</f>
        <v>2019</v>
      </c>
      <c r="Q607" s="182">
        <f>IF('RSD (DEA)'!X206&lt;RSD_HeatingDemand!$AH$15,RSD_HeatingDemand!$AH$15,'RSD (DEA)'!X206)</f>
        <v>2019</v>
      </c>
      <c r="R607" s="525">
        <f>IF(ISBLANK(I607),IF(MID(N607,2,2)="HA",VLOOKUP(I606,KEY_RSD_AF!$C$5:$G$52,2,FALSE),IF(MID(N607,2,2)="WA",VLOOKUP(I606,KEY_RSD_AF!$C$5:$G$52,3,FALSE),IF(MID(N607,2,2)="HH",VLOOKUP(I606,KEY_RSD_AF!$C$5:$G$52,4,FALSE),IF(MID(N607,2,2)="WH",VLOOKUP(I606,KEY_RSD_AF!$C$5:$G$52,5,FALSE))))),IF(MID(N607,2,2)="HA",VLOOKUP(I607,KEY_RSD_AF!$C$5:$G$52,2,FALSE),IF(MID(N607,2,2)="WA",VLOOKUP(I607,KEY_RSD_AF!$C$5:$G$52,3,FALSE),IF(MID(N607,2,2)="HH",VLOOKUP(I607,KEY_RSD_AF!$C$5:$G$52,4,FALSE),IF(MID(N607,2,2)="WH",VLOOKUP(I607,KEY_RSD_AF!$C$5:$G$52,5,FALSE))))))</f>
        <v>1</v>
      </c>
      <c r="S607" s="183">
        <f>$AJ$7</f>
        <v>0.65</v>
      </c>
      <c r="T607" s="183">
        <f>$AJ$7</f>
        <v>0.65</v>
      </c>
      <c r="U607" s="252">
        <v>1</v>
      </c>
      <c r="V607" s="183">
        <f>'RSD (DEA)'!BR206/'RSD (DEA)'!S206</f>
        <v>16.535714285714285</v>
      </c>
      <c r="W607" s="183">
        <f>'RSD (DEA)'!BS206/RSD_HeatingDemand!$AH$9</f>
        <v>0</v>
      </c>
      <c r="X607" s="183">
        <f>'RSD (DEA)'!BK206*RSD_HeatingDemand!$AH$10/'RSD (DEA)'!S206</f>
        <v>958.77277085330763</v>
      </c>
      <c r="Y607" s="183">
        <f>'RSD (DEA)'!BI206</f>
        <v>20</v>
      </c>
      <c r="Z607" s="252"/>
      <c r="AA607" s="236">
        <f>'RSD (DEA)'!AM206</f>
        <v>31.536000000000001</v>
      </c>
      <c r="AC607" s="235">
        <f>'RSD (DEA)'!S206</f>
        <v>4.2</v>
      </c>
      <c r="AD607" s="235" t="str">
        <f>LEFT('RSD (DEA)'!AK206,2)&amp;RIGHT(E607,3)</f>
        <v>RWHSC</v>
      </c>
      <c r="AE607" s="183">
        <f>$AJ$7</f>
        <v>0.65</v>
      </c>
      <c r="AF607" s="183"/>
    </row>
    <row r="608" spans="1:32" x14ac:dyDescent="0.3">
      <c r="A608" s="235"/>
      <c r="D608" s="512"/>
      <c r="E608" s="512"/>
      <c r="F608" s="515"/>
      <c r="G608" s="515"/>
      <c r="H608" s="540"/>
      <c r="I608" s="512"/>
      <c r="J608" s="242"/>
      <c r="K608" s="242"/>
      <c r="L608" s="512"/>
      <c r="M608" s="252"/>
      <c r="N608" s="235" t="str">
        <f>AD607</f>
        <v>RWHSC</v>
      </c>
      <c r="O608" s="252"/>
      <c r="P608" s="182"/>
      <c r="Q608" s="182"/>
      <c r="R608" s="525">
        <f>IF(ISBLANK(I608),IF(MID(N608,2,2)="HA",VLOOKUP(I607,KEY_RSD_AF!$C$5:$G$52,2,FALSE),IF(MID(N608,2,2)="WA",VLOOKUP(I607,KEY_RSD_AF!$C$5:$G$52,3,FALSE),IF(MID(N608,2,2)="HH",VLOOKUP(I607,KEY_RSD_AF!$C$5:$G$52,4,FALSE),IF(MID(N608,2,2)="WH",VLOOKUP(I607,KEY_RSD_AF!$C$5:$G$52,5,FALSE))))),IF(MID(N608,2,2)="HA",VLOOKUP(I608,KEY_RSD_AF!$C$5:$G$52,2,FALSE),IF(MID(N608,2,2)="WA",VLOOKUP(I608,KEY_RSD_AF!$C$5:$G$52,3,FALSE),IF(MID(N608,2,2)="HH",VLOOKUP(I608,KEY_RSD_AF!$C$5:$G$52,4,FALSE),IF(MID(N608,2,2)="WH",VLOOKUP(I608,KEY_RSD_AF!$C$5:$G$52,5,FALSE))))))</f>
        <v>1</v>
      </c>
      <c r="S608" s="183">
        <f>T607</f>
        <v>0.65</v>
      </c>
      <c r="T608" s="183"/>
      <c r="U608" s="252"/>
      <c r="V608" s="183"/>
      <c r="W608" s="183"/>
      <c r="X608" s="183"/>
      <c r="Y608" s="183"/>
      <c r="Z608" s="252"/>
      <c r="AA608" s="236"/>
      <c r="AC608" s="235"/>
      <c r="AD608" s="235"/>
      <c r="AE608" s="183"/>
      <c r="AF608" s="183"/>
    </row>
    <row r="609" spans="1:32" x14ac:dyDescent="0.3">
      <c r="A609" s="235"/>
      <c r="C609" s="528" t="str">
        <f>'RSD (DEA)'!Z207</f>
        <v>T_SOL_01</v>
      </c>
      <c r="D609" s="512" t="str">
        <f>RSD_HeatingDemand!N609&amp;"_"&amp;C609</f>
        <v>RHHSC_T_SOL_01</v>
      </c>
      <c r="E609" s="512" t="str">
        <f>"R"&amp;LEFT('RSD (DEA)'!AD207,2)&amp;IF(ISNUMBER(IFERROR(FIND("HTH",'RSD (DEA)'!Z207),IFERROR(FIND("HP",'RSD (DEA)'!Z207),"C"))),IF(IFERROR(FIND("HTH",'RSD (DEA)'!Z207),100)=100,"B","A"),"C")</f>
        <v>RHSC</v>
      </c>
      <c r="F609" s="515"/>
      <c r="G609" s="515"/>
      <c r="H609" s="540" t="str">
        <f t="shared" si="15"/>
        <v>RHHSC_T_SOL_02</v>
      </c>
      <c r="I609" s="512" t="str">
        <f>'RSD (DEA)'!AA207</f>
        <v>Solar heating</v>
      </c>
      <c r="J609" s="242" t="s">
        <v>239</v>
      </c>
      <c r="K609" s="242" t="s">
        <v>240</v>
      </c>
      <c r="L609" s="512" t="str">
        <f>'RSD (DEA)'!AH207</f>
        <v>RSDSOL</v>
      </c>
      <c r="M609" s="252"/>
      <c r="N609" s="235" t="str">
        <f>LEFT('RSD (DEA)'!AJ207,2)&amp;RIGHT(E609,3)</f>
        <v>RHHSC</v>
      </c>
      <c r="O609" s="252"/>
      <c r="P609" s="182">
        <f>IF('RSD (DEA)'!P207&lt;RSD_HeatingDemand!$AH$15,RSD_HeatingDemand!$AH$15,'RSD (DEA)'!P207)</f>
        <v>2019</v>
      </c>
      <c r="Q609" s="182">
        <f>IF('RSD (DEA)'!X207&lt;RSD_HeatingDemand!$AH$15,RSD_HeatingDemand!$AH$15,'RSD (DEA)'!X207)</f>
        <v>2020</v>
      </c>
      <c r="R609" s="525">
        <f>IF(ISBLANK(I609),IF(MID(N609,2,2)="HA",VLOOKUP(I608,KEY_RSD_AF!$C$5:$G$52,2,FALSE),IF(MID(N609,2,2)="WA",VLOOKUP(I608,KEY_RSD_AF!$C$5:$G$52,3,FALSE),IF(MID(N609,2,2)="HH",VLOOKUP(I608,KEY_RSD_AF!$C$5:$G$52,4,FALSE),IF(MID(N609,2,2)="WH",VLOOKUP(I608,KEY_RSD_AF!$C$5:$G$52,5,FALSE))))),IF(MID(N609,2,2)="HA",VLOOKUP(I609,KEY_RSD_AF!$C$5:$G$52,2,FALSE),IF(MID(N609,2,2)="WA",VLOOKUP(I609,KEY_RSD_AF!$C$5:$G$52,3,FALSE),IF(MID(N609,2,2)="HH",VLOOKUP(I609,KEY_RSD_AF!$C$5:$G$52,4,FALSE),IF(MID(N609,2,2)="WH",VLOOKUP(I609,KEY_RSD_AF!$C$5:$G$52,5,FALSE))))))</f>
        <v>1</v>
      </c>
      <c r="S609" s="183">
        <f>$AJ$7</f>
        <v>0.65</v>
      </c>
      <c r="T609" s="183">
        <f>$AJ$7</f>
        <v>0.65</v>
      </c>
      <c r="U609" s="252">
        <v>0.5</v>
      </c>
      <c r="V609" s="183">
        <f>'RSD (DEA)'!BR207/'RSD (DEA)'!S207</f>
        <v>16.19047619047619</v>
      </c>
      <c r="W609" s="183">
        <f>'RSD (DEA)'!BS207/RSD_HeatingDemand!$AH$9</f>
        <v>0</v>
      </c>
      <c r="X609" s="183">
        <f>'RSD (DEA)'!BK207*RSD_HeatingDemand!$AH$10/'RSD (DEA)'!S207</f>
        <v>958.77277085330763</v>
      </c>
      <c r="Y609" s="183">
        <f>'RSD (DEA)'!BI207</f>
        <v>25</v>
      </c>
      <c r="Z609" s="252"/>
      <c r="AA609" s="236">
        <f>'RSD (DEA)'!AM207</f>
        <v>31.536000000000001</v>
      </c>
      <c r="AC609" s="235">
        <f>'RSD (DEA)'!S207</f>
        <v>4.2</v>
      </c>
      <c r="AD609" s="235" t="str">
        <f>LEFT('RSD (DEA)'!AK207,2)&amp;RIGHT(E609,3)</f>
        <v>RWHSC</v>
      </c>
      <c r="AE609" s="183">
        <f>$AJ$7</f>
        <v>0.65</v>
      </c>
      <c r="AF609" s="183"/>
    </row>
    <row r="610" spans="1:32" x14ac:dyDescent="0.3">
      <c r="A610" s="235"/>
      <c r="D610" s="512"/>
      <c r="E610" s="512"/>
      <c r="F610" s="515"/>
      <c r="G610" s="515"/>
      <c r="H610" s="540"/>
      <c r="I610" s="512"/>
      <c r="J610" s="242"/>
      <c r="K610" s="242"/>
      <c r="L610" s="512"/>
      <c r="M610" s="252"/>
      <c r="N610" s="235" t="str">
        <f>AD609</f>
        <v>RWHSC</v>
      </c>
      <c r="O610" s="252"/>
      <c r="P610" s="182"/>
      <c r="Q610" s="182"/>
      <c r="R610" s="525">
        <f>IF(ISBLANK(I610),IF(MID(N610,2,2)="HA",VLOOKUP(I609,KEY_RSD_AF!$C$5:$G$52,2,FALSE),IF(MID(N610,2,2)="WA",VLOOKUP(I609,KEY_RSD_AF!$C$5:$G$52,3,FALSE),IF(MID(N610,2,2)="HH",VLOOKUP(I609,KEY_RSD_AF!$C$5:$G$52,4,FALSE),IF(MID(N610,2,2)="WH",VLOOKUP(I609,KEY_RSD_AF!$C$5:$G$52,5,FALSE))))),IF(MID(N610,2,2)="HA",VLOOKUP(I610,KEY_RSD_AF!$C$5:$G$52,2,FALSE),IF(MID(N610,2,2)="WA",VLOOKUP(I610,KEY_RSD_AF!$C$5:$G$52,3,FALSE),IF(MID(N610,2,2)="HH",VLOOKUP(I610,KEY_RSD_AF!$C$5:$G$52,4,FALSE),IF(MID(N610,2,2)="WH",VLOOKUP(I610,KEY_RSD_AF!$C$5:$G$52,5,FALSE))))))</f>
        <v>1</v>
      </c>
      <c r="S610" s="183">
        <f>T609</f>
        <v>0.65</v>
      </c>
      <c r="T610" s="183"/>
      <c r="U610" s="252"/>
      <c r="V610" s="183"/>
      <c r="W610" s="183"/>
      <c r="X610" s="183"/>
      <c r="Y610" s="183"/>
      <c r="Z610" s="252"/>
      <c r="AA610" s="236"/>
      <c r="AC610" s="235"/>
      <c r="AD610" s="235"/>
      <c r="AE610" s="183"/>
      <c r="AF610" s="183"/>
    </row>
    <row r="611" spans="1:32" x14ac:dyDescent="0.3">
      <c r="A611" s="235"/>
      <c r="C611" s="528" t="str">
        <f>'RSD (DEA)'!Z208</f>
        <v>T_SOL_01</v>
      </c>
      <c r="D611" s="512" t="str">
        <f>RSD_HeatingDemand!N611&amp;"_"&amp;C611</f>
        <v>RHHSC_T_SOL_01</v>
      </c>
      <c r="E611" s="512" t="str">
        <f>"R"&amp;LEFT('RSD (DEA)'!AD208,2)&amp;IF(ISNUMBER(IFERROR(FIND("HTH",'RSD (DEA)'!Z208),IFERROR(FIND("HP",'RSD (DEA)'!Z208),"C"))),IF(IFERROR(FIND("HTH",'RSD (DEA)'!Z208),100)=100,"B","A"),"C")</f>
        <v>RHSC</v>
      </c>
      <c r="F611" s="515"/>
      <c r="G611" s="515"/>
      <c r="H611" s="540" t="str">
        <f t="shared" si="15"/>
        <v>RHHSC_T_SOL_03</v>
      </c>
      <c r="I611" s="512" t="str">
        <f>'RSD (DEA)'!AA208</f>
        <v>Solar heating</v>
      </c>
      <c r="J611" s="242" t="s">
        <v>239</v>
      </c>
      <c r="K611" s="242" t="s">
        <v>240</v>
      </c>
      <c r="L611" s="512" t="str">
        <f>'RSD (DEA)'!AH208</f>
        <v>RSDSOL</v>
      </c>
      <c r="M611" s="252"/>
      <c r="N611" s="235" t="str">
        <f>LEFT('RSD (DEA)'!AJ208,2)&amp;RIGHT(E611,3)</f>
        <v>RHHSC</v>
      </c>
      <c r="O611" s="252"/>
      <c r="P611" s="182">
        <f>IF('RSD (DEA)'!P208&lt;RSD_HeatingDemand!$AH$15,RSD_HeatingDemand!$AH$15,'RSD (DEA)'!P208)</f>
        <v>2019</v>
      </c>
      <c r="Q611" s="182">
        <f>IF('RSD (DEA)'!X208&lt;RSD_HeatingDemand!$AH$15,RSD_HeatingDemand!$AH$15,'RSD (DEA)'!X208)</f>
        <v>2030</v>
      </c>
      <c r="R611" s="525">
        <f>IF(ISBLANK(I611),IF(MID(N611,2,2)="HA",VLOOKUP(I610,KEY_RSD_AF!$C$5:$G$52,2,FALSE),IF(MID(N611,2,2)="WA",VLOOKUP(I610,KEY_RSD_AF!$C$5:$G$52,3,FALSE),IF(MID(N611,2,2)="HH",VLOOKUP(I610,KEY_RSD_AF!$C$5:$G$52,4,FALSE),IF(MID(N611,2,2)="WH",VLOOKUP(I610,KEY_RSD_AF!$C$5:$G$52,5,FALSE))))),IF(MID(N611,2,2)="HA",VLOOKUP(I611,KEY_RSD_AF!$C$5:$G$52,2,FALSE),IF(MID(N611,2,2)="WA",VLOOKUP(I611,KEY_RSD_AF!$C$5:$G$52,3,FALSE),IF(MID(N611,2,2)="HH",VLOOKUP(I611,KEY_RSD_AF!$C$5:$G$52,4,FALSE),IF(MID(N611,2,2)="WH",VLOOKUP(I611,KEY_RSD_AF!$C$5:$G$52,5,FALSE))))))</f>
        <v>1</v>
      </c>
      <c r="S611" s="183">
        <f>$AJ$7</f>
        <v>0.65</v>
      </c>
      <c r="T611" s="183">
        <f>$AJ$7</f>
        <v>0.65</v>
      </c>
      <c r="U611" s="252">
        <v>0.5</v>
      </c>
      <c r="V611" s="183">
        <f>'RSD (DEA)'!BR208/'RSD (DEA)'!S208</f>
        <v>16.535714285714285</v>
      </c>
      <c r="W611" s="183">
        <f>'RSD (DEA)'!BS208/RSD_HeatingDemand!$AH$9</f>
        <v>0</v>
      </c>
      <c r="X611" s="183">
        <f>'RSD (DEA)'!BK208*RSD_HeatingDemand!$AH$10/'RSD (DEA)'!S208</f>
        <v>714.28571428571422</v>
      </c>
      <c r="Y611" s="183">
        <f>'RSD (DEA)'!BI208</f>
        <v>30</v>
      </c>
      <c r="Z611" s="252"/>
      <c r="AA611" s="236">
        <f>'RSD (DEA)'!AM208</f>
        <v>31.536000000000001</v>
      </c>
      <c r="AC611" s="235">
        <f>'RSD (DEA)'!S208</f>
        <v>4.2</v>
      </c>
      <c r="AD611" s="235" t="str">
        <f>LEFT('RSD (DEA)'!AK208,2)&amp;RIGHT(E611,3)</f>
        <v>RWHSC</v>
      </c>
      <c r="AE611" s="183">
        <f>$AJ$7</f>
        <v>0.65</v>
      </c>
      <c r="AF611" s="183"/>
    </row>
    <row r="612" spans="1:32" x14ac:dyDescent="0.3">
      <c r="A612" s="235"/>
      <c r="D612" s="512"/>
      <c r="E612" s="512"/>
      <c r="F612" s="515"/>
      <c r="G612" s="515"/>
      <c r="H612" s="540"/>
      <c r="I612" s="512"/>
      <c r="J612" s="242"/>
      <c r="K612" s="242"/>
      <c r="L612" s="512"/>
      <c r="M612" s="252"/>
      <c r="N612" s="235" t="str">
        <f>AD611</f>
        <v>RWHSC</v>
      </c>
      <c r="O612" s="252"/>
      <c r="P612" s="182"/>
      <c r="Q612" s="182"/>
      <c r="R612" s="525">
        <f>IF(ISBLANK(I612),IF(MID(N612,2,2)="HA",VLOOKUP(I611,KEY_RSD_AF!$C$5:$G$52,2,FALSE),IF(MID(N612,2,2)="WA",VLOOKUP(I611,KEY_RSD_AF!$C$5:$G$52,3,FALSE),IF(MID(N612,2,2)="HH",VLOOKUP(I611,KEY_RSD_AF!$C$5:$G$52,4,FALSE),IF(MID(N612,2,2)="WH",VLOOKUP(I611,KEY_RSD_AF!$C$5:$G$52,5,FALSE))))),IF(MID(N612,2,2)="HA",VLOOKUP(I612,KEY_RSD_AF!$C$5:$G$52,2,FALSE),IF(MID(N612,2,2)="WA",VLOOKUP(I612,KEY_RSD_AF!$C$5:$G$52,3,FALSE),IF(MID(N612,2,2)="HH",VLOOKUP(I612,KEY_RSD_AF!$C$5:$G$52,4,FALSE),IF(MID(N612,2,2)="WH",VLOOKUP(I612,KEY_RSD_AF!$C$5:$G$52,5,FALSE))))))</f>
        <v>1</v>
      </c>
      <c r="S612" s="183">
        <f>T611</f>
        <v>0.65</v>
      </c>
      <c r="T612" s="183"/>
      <c r="U612" s="252"/>
      <c r="V612" s="183"/>
      <c r="W612" s="183"/>
      <c r="X612" s="183"/>
      <c r="Y612" s="183"/>
      <c r="Z612" s="252"/>
      <c r="AA612" s="236"/>
      <c r="AC612" s="235"/>
      <c r="AD612" s="235"/>
      <c r="AE612" s="183"/>
      <c r="AF612" s="183"/>
    </row>
    <row r="613" spans="1:32" x14ac:dyDescent="0.3">
      <c r="A613" s="235"/>
      <c r="C613" s="528" t="str">
        <f>'RSD (DEA)'!Z209</f>
        <v>T_SOL_01</v>
      </c>
      <c r="D613" s="512" t="str">
        <f>RSD_HeatingDemand!N613&amp;"_"&amp;C613</f>
        <v>RHHSC_T_SOL_01</v>
      </c>
      <c r="E613" s="512" t="str">
        <f>"R"&amp;LEFT('RSD (DEA)'!AD209,2)&amp;IF(ISNUMBER(IFERROR(FIND("HTH",'RSD (DEA)'!Z209),IFERROR(FIND("HP",'RSD (DEA)'!Z209),"C"))),IF(IFERROR(FIND("HTH",'RSD (DEA)'!Z209),100)=100,"B","A"),"C")</f>
        <v>RHSC</v>
      </c>
      <c r="F613" s="515"/>
      <c r="G613" s="515"/>
      <c r="H613" s="540" t="str">
        <f t="shared" si="15"/>
        <v>RHHSC_T_SOL_04</v>
      </c>
      <c r="I613" s="512" t="str">
        <f>'RSD (DEA)'!AA209</f>
        <v>Solar heating</v>
      </c>
      <c r="J613" s="242" t="s">
        <v>239</v>
      </c>
      <c r="K613" s="242" t="s">
        <v>240</v>
      </c>
      <c r="L613" s="512" t="str">
        <f>'RSD (DEA)'!AH209</f>
        <v>RSDSOL</v>
      </c>
      <c r="M613" s="252"/>
      <c r="N613" s="235" t="str">
        <f>LEFT('RSD (DEA)'!AJ209,2)&amp;RIGHT(E613,3)</f>
        <v>RHHSC</v>
      </c>
      <c r="O613" s="252"/>
      <c r="P613" s="182">
        <f>IF('RSD (DEA)'!P209&lt;RSD_HeatingDemand!$AH$15,RSD_HeatingDemand!$AH$15,'RSD (DEA)'!P209)</f>
        <v>2019</v>
      </c>
      <c r="Q613" s="182">
        <f>IF('RSD (DEA)'!X209&lt;RSD_HeatingDemand!$AH$15,RSD_HeatingDemand!$AH$15,'RSD (DEA)'!X209)</f>
        <v>2050</v>
      </c>
      <c r="R613" s="525">
        <f>IF(ISBLANK(I613),IF(MID(N613,2,2)="HA",VLOOKUP(I612,KEY_RSD_AF!$C$5:$G$52,2,FALSE),IF(MID(N613,2,2)="WA",VLOOKUP(I612,KEY_RSD_AF!$C$5:$G$52,3,FALSE),IF(MID(N613,2,2)="HH",VLOOKUP(I612,KEY_RSD_AF!$C$5:$G$52,4,FALSE),IF(MID(N613,2,2)="WH",VLOOKUP(I612,KEY_RSD_AF!$C$5:$G$52,5,FALSE))))),IF(MID(N613,2,2)="HA",VLOOKUP(I613,KEY_RSD_AF!$C$5:$G$52,2,FALSE),IF(MID(N613,2,2)="WA",VLOOKUP(I613,KEY_RSD_AF!$C$5:$G$52,3,FALSE),IF(MID(N613,2,2)="HH",VLOOKUP(I613,KEY_RSD_AF!$C$5:$G$52,4,FALSE),IF(MID(N613,2,2)="WH",VLOOKUP(I613,KEY_RSD_AF!$C$5:$G$52,5,FALSE))))))</f>
        <v>1</v>
      </c>
      <c r="S613" s="183">
        <f>$AJ$7</f>
        <v>0.65</v>
      </c>
      <c r="T613" s="183">
        <f>$AJ$7</f>
        <v>0.65</v>
      </c>
      <c r="U613" s="252">
        <v>0.5</v>
      </c>
      <c r="V613" s="183">
        <f>'RSD (DEA)'!BR209/'RSD (DEA)'!S209</f>
        <v>15</v>
      </c>
      <c r="W613" s="183">
        <f>'RSD (DEA)'!BS209/RSD_HeatingDemand!$AH$9</f>
        <v>0</v>
      </c>
      <c r="X613" s="183">
        <f>'RSD (DEA)'!BK209*RSD_HeatingDemand!$AH$10/'RSD (DEA)'!S209</f>
        <v>714.28571428571422</v>
      </c>
      <c r="Y613" s="183">
        <f>'RSD (DEA)'!BI209</f>
        <v>30</v>
      </c>
      <c r="Z613" s="252"/>
      <c r="AA613" s="236">
        <f>'RSD (DEA)'!AM209</f>
        <v>31.536000000000001</v>
      </c>
      <c r="AC613" s="235">
        <f>'RSD (DEA)'!S209</f>
        <v>4.2</v>
      </c>
      <c r="AD613" s="235" t="str">
        <f>LEFT('RSD (DEA)'!AK209,2)&amp;RIGHT(E613,3)</f>
        <v>RWHSC</v>
      </c>
      <c r="AE613" s="183">
        <f>$AJ$7</f>
        <v>0.65</v>
      </c>
      <c r="AF613" s="183"/>
    </row>
    <row r="614" spans="1:32" x14ac:dyDescent="0.3">
      <c r="A614" s="235"/>
      <c r="D614" s="512"/>
      <c r="E614" s="512"/>
      <c r="F614" s="515"/>
      <c r="G614" s="515"/>
      <c r="H614" s="540"/>
      <c r="I614" s="512"/>
      <c r="J614" s="242"/>
      <c r="K614" s="242"/>
      <c r="L614" s="512"/>
      <c r="M614" s="252"/>
      <c r="N614" s="235" t="str">
        <f>AD613</f>
        <v>RWHSC</v>
      </c>
      <c r="O614" s="252"/>
      <c r="P614" s="182"/>
      <c r="Q614" s="182"/>
      <c r="R614" s="525">
        <f>IF(ISBLANK(I614),IF(MID(N614,2,2)="HA",VLOOKUP(I613,KEY_RSD_AF!$C$5:$G$52,2,FALSE),IF(MID(N614,2,2)="WA",VLOOKUP(I613,KEY_RSD_AF!$C$5:$G$52,3,FALSE),IF(MID(N614,2,2)="HH",VLOOKUP(I613,KEY_RSD_AF!$C$5:$G$52,4,FALSE),IF(MID(N614,2,2)="WH",VLOOKUP(I613,KEY_RSD_AF!$C$5:$G$52,5,FALSE))))),IF(MID(N614,2,2)="HA",VLOOKUP(I614,KEY_RSD_AF!$C$5:$G$52,2,FALSE),IF(MID(N614,2,2)="WA",VLOOKUP(I614,KEY_RSD_AF!$C$5:$G$52,3,FALSE),IF(MID(N614,2,2)="HH",VLOOKUP(I614,KEY_RSD_AF!$C$5:$G$52,4,FALSE),IF(MID(N614,2,2)="WH",VLOOKUP(I614,KEY_RSD_AF!$C$5:$G$52,5,FALSE))))))</f>
        <v>1</v>
      </c>
      <c r="S614" s="183">
        <f>T613</f>
        <v>0.65</v>
      </c>
      <c r="T614" s="183"/>
      <c r="U614" s="252"/>
      <c r="V614" s="183"/>
      <c r="W614" s="183"/>
      <c r="X614" s="183"/>
      <c r="Y614" s="183"/>
      <c r="Z614" s="252"/>
      <c r="AA614" s="236"/>
      <c r="AC614" s="235"/>
      <c r="AD614" s="235"/>
      <c r="AE614" s="183"/>
      <c r="AF614" s="183"/>
    </row>
    <row r="615" spans="1:32" x14ac:dyDescent="0.3">
      <c r="A615" s="235"/>
      <c r="C615" s="528" t="str">
        <f>'RSD (DEA)'!Z210</f>
        <v>T_SOL_02</v>
      </c>
      <c r="D615" s="512" t="str">
        <f>RSD_HeatingDemand!N615&amp;"_"&amp;C615</f>
        <v>RHHSC_T_SOL_02</v>
      </c>
      <c r="E615" s="512" t="str">
        <f>"R"&amp;LEFT('RSD (DEA)'!AD210,2)&amp;IF(ISNUMBER(IFERROR(FIND("HTH",'RSD (DEA)'!Z210),IFERROR(FIND("HP",'RSD (DEA)'!Z210),"C"))),IF(IFERROR(FIND("HTH",'RSD (DEA)'!Z210),100)=100,"B","A"),"C")</f>
        <v>RHSC</v>
      </c>
      <c r="F615" s="515"/>
      <c r="G615" s="515"/>
      <c r="H615" s="540" t="str">
        <f t="shared" si="15"/>
        <v>RHHSC_T_SOL_05</v>
      </c>
      <c r="I615" s="512" t="str">
        <f>'RSD (DEA)'!AA210</f>
        <v>Solar heating</v>
      </c>
      <c r="J615" s="242" t="s">
        <v>239</v>
      </c>
      <c r="K615" s="242" t="s">
        <v>240</v>
      </c>
      <c r="L615" s="512" t="str">
        <f>'RSD (DEA)'!AH210</f>
        <v>RSDSOL</v>
      </c>
      <c r="M615" s="252"/>
      <c r="N615" s="235" t="str">
        <f>LEFT('RSD (DEA)'!AJ210,2)&amp;RIGHT(E615,3)</f>
        <v>RHHSC</v>
      </c>
      <c r="O615" s="252"/>
      <c r="P615" s="182">
        <f>IF('RSD (DEA)'!P210&lt;RSD_HeatingDemand!$AH$15,RSD_HeatingDemand!$AH$15,'RSD (DEA)'!P210)</f>
        <v>2019</v>
      </c>
      <c r="Q615" s="182">
        <f>IF('RSD (DEA)'!X210&lt;RSD_HeatingDemand!$AH$15,RSD_HeatingDemand!$AH$15,'RSD (DEA)'!X210)</f>
        <v>2019</v>
      </c>
      <c r="R615" s="525">
        <f>IF(ISBLANK(I615),IF(MID(N615,2,2)="HA",VLOOKUP(I614,KEY_RSD_AF!$C$5:$G$52,2,FALSE),IF(MID(N615,2,2)="WA",VLOOKUP(I614,KEY_RSD_AF!$C$5:$G$52,3,FALSE),IF(MID(N615,2,2)="HH",VLOOKUP(I614,KEY_RSD_AF!$C$5:$G$52,4,FALSE),IF(MID(N615,2,2)="WH",VLOOKUP(I614,KEY_RSD_AF!$C$5:$G$52,5,FALSE))))),IF(MID(N615,2,2)="HA",VLOOKUP(I615,KEY_RSD_AF!$C$5:$G$52,2,FALSE),IF(MID(N615,2,2)="WA",VLOOKUP(I615,KEY_RSD_AF!$C$5:$G$52,3,FALSE),IF(MID(N615,2,2)="HH",VLOOKUP(I615,KEY_RSD_AF!$C$5:$G$52,4,FALSE),IF(MID(N615,2,2)="WH",VLOOKUP(I615,KEY_RSD_AF!$C$5:$G$52,5,FALSE))))))</f>
        <v>1</v>
      </c>
      <c r="S615" s="183">
        <f>$AJ$7</f>
        <v>0.65</v>
      </c>
      <c r="T615" s="183">
        <f>$AJ$7</f>
        <v>0.65</v>
      </c>
      <c r="U615" s="252">
        <v>0.5</v>
      </c>
      <c r="V615" s="183">
        <f>'RSD (DEA)'!BR210/'RSD (DEA)'!S210</f>
        <v>16.535714285714285</v>
      </c>
      <c r="W615" s="183">
        <f>'RSD (DEA)'!BS210/RSD_HeatingDemand!$AH$9</f>
        <v>0</v>
      </c>
      <c r="X615" s="183">
        <f>'RSD (DEA)'!BK210*RSD_HeatingDemand!$AH$10/'RSD (DEA)'!S210</f>
        <v>798.97730904442312</v>
      </c>
      <c r="Y615" s="183">
        <f>'RSD (DEA)'!BI210</f>
        <v>20</v>
      </c>
      <c r="Z615" s="252"/>
      <c r="AA615" s="236">
        <f>'RSD (DEA)'!AM210</f>
        <v>31.536000000000001</v>
      </c>
      <c r="AC615" s="235">
        <f>'RSD (DEA)'!S210</f>
        <v>4.2</v>
      </c>
      <c r="AD615" s="235" t="str">
        <f>LEFT('RSD (DEA)'!AK210,2)&amp;RIGHT(E615,3)</f>
        <v>RWHSC</v>
      </c>
      <c r="AE615" s="183">
        <f>$AJ$7</f>
        <v>0.65</v>
      </c>
      <c r="AF615" s="183"/>
    </row>
    <row r="616" spans="1:32" x14ac:dyDescent="0.3">
      <c r="A616" s="235"/>
      <c r="D616" s="512"/>
      <c r="E616" s="512"/>
      <c r="F616" s="515"/>
      <c r="G616" s="515"/>
      <c r="H616" s="540"/>
      <c r="I616" s="512"/>
      <c r="J616" s="242"/>
      <c r="K616" s="242"/>
      <c r="L616" s="512"/>
      <c r="M616" s="252"/>
      <c r="N616" s="235" t="str">
        <f>AD615</f>
        <v>RWHSC</v>
      </c>
      <c r="O616" s="252"/>
      <c r="P616" s="182"/>
      <c r="Q616" s="182"/>
      <c r="R616" s="525">
        <f>IF(ISBLANK(I616),IF(MID(N616,2,2)="HA",VLOOKUP(I615,KEY_RSD_AF!$C$5:$G$52,2,FALSE),IF(MID(N616,2,2)="WA",VLOOKUP(I615,KEY_RSD_AF!$C$5:$G$52,3,FALSE),IF(MID(N616,2,2)="HH",VLOOKUP(I615,KEY_RSD_AF!$C$5:$G$52,4,FALSE),IF(MID(N616,2,2)="WH",VLOOKUP(I615,KEY_RSD_AF!$C$5:$G$52,5,FALSE))))),IF(MID(N616,2,2)="HA",VLOOKUP(I616,KEY_RSD_AF!$C$5:$G$52,2,FALSE),IF(MID(N616,2,2)="WA",VLOOKUP(I616,KEY_RSD_AF!$C$5:$G$52,3,FALSE),IF(MID(N616,2,2)="HH",VLOOKUP(I616,KEY_RSD_AF!$C$5:$G$52,4,FALSE),IF(MID(N616,2,2)="WH",VLOOKUP(I616,KEY_RSD_AF!$C$5:$G$52,5,FALSE))))))</f>
        <v>1</v>
      </c>
      <c r="S616" s="183">
        <f>T615</f>
        <v>0.65</v>
      </c>
      <c r="T616" s="183"/>
      <c r="U616" s="252"/>
      <c r="V616" s="183"/>
      <c r="W616" s="183"/>
      <c r="X616" s="183"/>
      <c r="Y616" s="183"/>
      <c r="Z616" s="252"/>
      <c r="AA616" s="236"/>
      <c r="AC616" s="235"/>
      <c r="AD616" s="235"/>
      <c r="AE616" s="183"/>
      <c r="AF616" s="183"/>
    </row>
    <row r="617" spans="1:32" x14ac:dyDescent="0.3">
      <c r="A617" s="235"/>
      <c r="C617" s="528" t="str">
        <f>'RSD (DEA)'!Z211</f>
        <v>T_SOL_02</v>
      </c>
      <c r="D617" s="512" t="str">
        <f>RSD_HeatingDemand!N617&amp;"_"&amp;C617</f>
        <v>RHHSC_T_SOL_02</v>
      </c>
      <c r="E617" s="512" t="str">
        <f>"R"&amp;LEFT('RSD (DEA)'!AD211,2)&amp;IF(ISNUMBER(IFERROR(FIND("HTH",'RSD (DEA)'!Z211),IFERROR(FIND("HP",'RSD (DEA)'!Z211),"C"))),IF(IFERROR(FIND("HTH",'RSD (DEA)'!Z211),100)=100,"B","A"),"C")</f>
        <v>RHSC</v>
      </c>
      <c r="F617" s="515"/>
      <c r="G617" s="515"/>
      <c r="H617" s="540" t="str">
        <f t="shared" si="15"/>
        <v>RHHSC_T_SOL_06</v>
      </c>
      <c r="I617" s="512" t="str">
        <f>'RSD (DEA)'!AA211</f>
        <v>Solar heating</v>
      </c>
      <c r="J617" s="242" t="s">
        <v>239</v>
      </c>
      <c r="K617" s="242" t="s">
        <v>240</v>
      </c>
      <c r="L617" s="512" t="str">
        <f>'RSD (DEA)'!AH211</f>
        <v>RSDSOL</v>
      </c>
      <c r="M617" s="252"/>
      <c r="N617" s="235" t="str">
        <f>LEFT('RSD (DEA)'!AJ211,2)&amp;RIGHT(E617,3)</f>
        <v>RHHSC</v>
      </c>
      <c r="O617" s="252"/>
      <c r="P617" s="182">
        <f>IF('RSD (DEA)'!P211&lt;RSD_HeatingDemand!$AH$15,RSD_HeatingDemand!$AH$15,'RSD (DEA)'!P211)</f>
        <v>2019</v>
      </c>
      <c r="Q617" s="182">
        <f>IF('RSD (DEA)'!X211&lt;RSD_HeatingDemand!$AH$15,RSD_HeatingDemand!$AH$15,'RSD (DEA)'!X211)</f>
        <v>2020</v>
      </c>
      <c r="R617" s="525">
        <f>IF(ISBLANK(I617),IF(MID(N617,2,2)="HA",VLOOKUP(I616,KEY_RSD_AF!$C$5:$G$52,2,FALSE),IF(MID(N617,2,2)="WA",VLOOKUP(I616,KEY_RSD_AF!$C$5:$G$52,3,FALSE),IF(MID(N617,2,2)="HH",VLOOKUP(I616,KEY_RSD_AF!$C$5:$G$52,4,FALSE),IF(MID(N617,2,2)="WH",VLOOKUP(I616,KEY_RSD_AF!$C$5:$G$52,5,FALSE))))),IF(MID(N617,2,2)="HA",VLOOKUP(I617,KEY_RSD_AF!$C$5:$G$52,2,FALSE),IF(MID(N617,2,2)="WA",VLOOKUP(I617,KEY_RSD_AF!$C$5:$G$52,3,FALSE),IF(MID(N617,2,2)="HH",VLOOKUP(I617,KEY_RSD_AF!$C$5:$G$52,4,FALSE),IF(MID(N617,2,2)="WH",VLOOKUP(I617,KEY_RSD_AF!$C$5:$G$52,5,FALSE))))))</f>
        <v>1</v>
      </c>
      <c r="S617" s="183">
        <f>$AJ$7</f>
        <v>0.65</v>
      </c>
      <c r="T617" s="183">
        <f>$AJ$7</f>
        <v>0.65</v>
      </c>
      <c r="U617" s="252">
        <v>0.5</v>
      </c>
      <c r="V617" s="183">
        <f>'RSD (DEA)'!BR211/'RSD (DEA)'!S211</f>
        <v>16.19047619047619</v>
      </c>
      <c r="W617" s="183">
        <f>'RSD (DEA)'!BS211/RSD_HeatingDemand!$AH$9</f>
        <v>0</v>
      </c>
      <c r="X617" s="183">
        <f>'RSD (DEA)'!BK211*RSD_HeatingDemand!$AH$10/'RSD (DEA)'!S211</f>
        <v>798.97730904442312</v>
      </c>
      <c r="Y617" s="183">
        <f>'RSD (DEA)'!BI211</f>
        <v>25</v>
      </c>
      <c r="Z617" s="252"/>
      <c r="AA617" s="236">
        <f>'RSD (DEA)'!AM211</f>
        <v>31.536000000000001</v>
      </c>
      <c r="AC617" s="235">
        <f>'RSD (DEA)'!S211</f>
        <v>4.2</v>
      </c>
      <c r="AD617" s="235" t="str">
        <f>LEFT('RSD (DEA)'!AK211,2)&amp;RIGHT(E617,3)</f>
        <v>RWHSC</v>
      </c>
      <c r="AE617" s="183">
        <f>$AJ$7</f>
        <v>0.65</v>
      </c>
      <c r="AF617" s="183"/>
    </row>
    <row r="618" spans="1:32" x14ac:dyDescent="0.3">
      <c r="A618" s="235"/>
      <c r="D618" s="512"/>
      <c r="E618" s="512"/>
      <c r="F618" s="515"/>
      <c r="G618" s="515"/>
      <c r="H618" s="540"/>
      <c r="I618" s="512"/>
      <c r="J618" s="242"/>
      <c r="K618" s="242"/>
      <c r="L618" s="512"/>
      <c r="M618" s="252"/>
      <c r="N618" s="235" t="str">
        <f>AD617</f>
        <v>RWHSC</v>
      </c>
      <c r="O618" s="252"/>
      <c r="P618" s="182"/>
      <c r="Q618" s="182"/>
      <c r="R618" s="525">
        <f>IF(ISBLANK(I618),IF(MID(N618,2,2)="HA",VLOOKUP(I617,KEY_RSD_AF!$C$5:$G$52,2,FALSE),IF(MID(N618,2,2)="WA",VLOOKUP(I617,KEY_RSD_AF!$C$5:$G$52,3,FALSE),IF(MID(N618,2,2)="HH",VLOOKUP(I617,KEY_RSD_AF!$C$5:$G$52,4,FALSE),IF(MID(N618,2,2)="WH",VLOOKUP(I617,KEY_RSD_AF!$C$5:$G$52,5,FALSE))))),IF(MID(N618,2,2)="HA",VLOOKUP(I618,KEY_RSD_AF!$C$5:$G$52,2,FALSE),IF(MID(N618,2,2)="WA",VLOOKUP(I618,KEY_RSD_AF!$C$5:$G$52,3,FALSE),IF(MID(N618,2,2)="HH",VLOOKUP(I618,KEY_RSD_AF!$C$5:$G$52,4,FALSE),IF(MID(N618,2,2)="WH",VLOOKUP(I618,KEY_RSD_AF!$C$5:$G$52,5,FALSE))))))</f>
        <v>1</v>
      </c>
      <c r="S618" s="183">
        <f>T617</f>
        <v>0.65</v>
      </c>
      <c r="T618" s="183"/>
      <c r="U618" s="252"/>
      <c r="V618" s="183"/>
      <c r="W618" s="183"/>
      <c r="X618" s="183"/>
      <c r="Y618" s="183"/>
      <c r="Z618" s="252"/>
      <c r="AA618" s="236"/>
      <c r="AC618" s="235"/>
      <c r="AD618" s="235"/>
      <c r="AE618" s="183"/>
      <c r="AF618" s="183"/>
    </row>
    <row r="619" spans="1:32" x14ac:dyDescent="0.3">
      <c r="A619" s="235"/>
      <c r="C619" s="528" t="str">
        <f>'RSD (DEA)'!Z212</f>
        <v>T_SOL_02</v>
      </c>
      <c r="D619" s="512" t="str">
        <f>RSD_HeatingDemand!N619&amp;"_"&amp;C619</f>
        <v>RHHSC_T_SOL_02</v>
      </c>
      <c r="E619" s="512" t="str">
        <f>"R"&amp;LEFT('RSD (DEA)'!AD212,2)&amp;IF(ISNUMBER(IFERROR(FIND("HTH",'RSD (DEA)'!Z212),IFERROR(FIND("HP",'RSD (DEA)'!Z212),"C"))),IF(IFERROR(FIND("HTH",'RSD (DEA)'!Z212),100)=100,"B","A"),"C")</f>
        <v>RHSC</v>
      </c>
      <c r="F619" s="515"/>
      <c r="G619" s="515"/>
      <c r="H619" s="540" t="str">
        <f t="shared" si="15"/>
        <v>RHHSC_T_SOL_07</v>
      </c>
      <c r="I619" s="512" t="str">
        <f>'RSD (DEA)'!AA212</f>
        <v>Solar heating</v>
      </c>
      <c r="J619" s="242" t="s">
        <v>239</v>
      </c>
      <c r="K619" s="242" t="s">
        <v>240</v>
      </c>
      <c r="L619" s="512" t="str">
        <f>'RSD (DEA)'!AH212</f>
        <v>RSDSOL</v>
      </c>
      <c r="M619" s="252"/>
      <c r="N619" s="235" t="str">
        <f>LEFT('RSD (DEA)'!AJ212,2)&amp;RIGHT(E619,3)</f>
        <v>RHHSC</v>
      </c>
      <c r="O619" s="252"/>
      <c r="P619" s="182">
        <f>IF('RSD (DEA)'!P212&lt;RSD_HeatingDemand!$AH$15,RSD_HeatingDemand!$AH$15,'RSD (DEA)'!P212)</f>
        <v>2019</v>
      </c>
      <c r="Q619" s="182">
        <f>IF('RSD (DEA)'!X212&lt;RSD_HeatingDemand!$AH$15,RSD_HeatingDemand!$AH$15,'RSD (DEA)'!X212)</f>
        <v>2030</v>
      </c>
      <c r="R619" s="525">
        <f>IF(ISBLANK(I619),IF(MID(N619,2,2)="HA",VLOOKUP(I618,KEY_RSD_AF!$C$5:$G$52,2,FALSE),IF(MID(N619,2,2)="WA",VLOOKUP(I618,KEY_RSD_AF!$C$5:$G$52,3,FALSE),IF(MID(N619,2,2)="HH",VLOOKUP(I618,KEY_RSD_AF!$C$5:$G$52,4,FALSE),IF(MID(N619,2,2)="WH",VLOOKUP(I618,KEY_RSD_AF!$C$5:$G$52,5,FALSE))))),IF(MID(N619,2,2)="HA",VLOOKUP(I619,KEY_RSD_AF!$C$5:$G$52,2,FALSE),IF(MID(N619,2,2)="WA",VLOOKUP(I619,KEY_RSD_AF!$C$5:$G$52,3,FALSE),IF(MID(N619,2,2)="HH",VLOOKUP(I619,KEY_RSD_AF!$C$5:$G$52,4,FALSE),IF(MID(N619,2,2)="WH",VLOOKUP(I619,KEY_RSD_AF!$C$5:$G$52,5,FALSE))))))</f>
        <v>1</v>
      </c>
      <c r="S619" s="183">
        <f>$AJ$7</f>
        <v>0.65</v>
      </c>
      <c r="T619" s="183">
        <f>$AJ$7</f>
        <v>0.65</v>
      </c>
      <c r="U619" s="252">
        <v>0.5</v>
      </c>
      <c r="V619" s="183">
        <f>'RSD (DEA)'!BR212/'RSD (DEA)'!S212</f>
        <v>16.535714285714285</v>
      </c>
      <c r="W619" s="183">
        <f>'RSD (DEA)'!BS212/RSD_HeatingDemand!$AH$9</f>
        <v>0</v>
      </c>
      <c r="X619" s="183">
        <f>'RSD (DEA)'!BK212*RSD_HeatingDemand!$AH$10/'RSD (DEA)'!S212</f>
        <v>798.97730904442312</v>
      </c>
      <c r="Y619" s="183">
        <f>'RSD (DEA)'!BI212</f>
        <v>30</v>
      </c>
      <c r="Z619" s="252"/>
      <c r="AA619" s="236">
        <f>'RSD (DEA)'!AM212</f>
        <v>31.536000000000001</v>
      </c>
      <c r="AC619" s="235">
        <f>'RSD (DEA)'!S212</f>
        <v>4.2</v>
      </c>
      <c r="AD619" s="235" t="str">
        <f>LEFT('RSD (DEA)'!AK212,2)&amp;RIGHT(E619,3)</f>
        <v>RWHSC</v>
      </c>
      <c r="AE619" s="183">
        <f>$AJ$7</f>
        <v>0.65</v>
      </c>
      <c r="AF619" s="183"/>
    </row>
    <row r="620" spans="1:32" x14ac:dyDescent="0.3">
      <c r="A620" s="235"/>
      <c r="D620" s="512"/>
      <c r="E620" s="512"/>
      <c r="F620" s="515"/>
      <c r="G620" s="515"/>
      <c r="H620" s="540"/>
      <c r="I620" s="512"/>
      <c r="J620" s="242"/>
      <c r="K620" s="242"/>
      <c r="L620" s="512"/>
      <c r="M620" s="252"/>
      <c r="N620" s="235" t="str">
        <f>AD619</f>
        <v>RWHSC</v>
      </c>
      <c r="O620" s="252"/>
      <c r="P620" s="182"/>
      <c r="Q620" s="182"/>
      <c r="R620" s="525">
        <f>IF(ISBLANK(I620),IF(MID(N620,2,2)="HA",VLOOKUP(I619,KEY_RSD_AF!$C$5:$G$52,2,FALSE),IF(MID(N620,2,2)="WA",VLOOKUP(I619,KEY_RSD_AF!$C$5:$G$52,3,FALSE),IF(MID(N620,2,2)="HH",VLOOKUP(I619,KEY_RSD_AF!$C$5:$G$52,4,FALSE),IF(MID(N620,2,2)="WH",VLOOKUP(I619,KEY_RSD_AF!$C$5:$G$52,5,FALSE))))),IF(MID(N620,2,2)="HA",VLOOKUP(I620,KEY_RSD_AF!$C$5:$G$52,2,FALSE),IF(MID(N620,2,2)="WA",VLOOKUP(I620,KEY_RSD_AF!$C$5:$G$52,3,FALSE),IF(MID(N620,2,2)="HH",VLOOKUP(I620,KEY_RSD_AF!$C$5:$G$52,4,FALSE),IF(MID(N620,2,2)="WH",VLOOKUP(I620,KEY_RSD_AF!$C$5:$G$52,5,FALSE))))))</f>
        <v>1</v>
      </c>
      <c r="S620" s="183">
        <f>T619</f>
        <v>0.65</v>
      </c>
      <c r="T620" s="183"/>
      <c r="U620" s="252"/>
      <c r="V620" s="183"/>
      <c r="W620" s="183"/>
      <c r="X620" s="183"/>
      <c r="Y620" s="183"/>
      <c r="Z620" s="252"/>
      <c r="AA620" s="236"/>
      <c r="AC620" s="235"/>
      <c r="AD620" s="235"/>
      <c r="AE620" s="183"/>
      <c r="AF620" s="183"/>
    </row>
    <row r="621" spans="1:32" x14ac:dyDescent="0.3">
      <c r="A621" s="235"/>
      <c r="C621" s="528" t="str">
        <f>'RSD (DEA)'!Z213</f>
        <v>T_SOL_02</v>
      </c>
      <c r="D621" s="512" t="str">
        <f>RSD_HeatingDemand!N621&amp;"_"&amp;C621</f>
        <v>RHHSC_T_SOL_02</v>
      </c>
      <c r="E621" s="512" t="str">
        <f>"R"&amp;LEFT('RSD (DEA)'!AD213,2)&amp;IF(ISNUMBER(IFERROR(FIND("HTH",'RSD (DEA)'!Z213),IFERROR(FIND("HP",'RSD (DEA)'!Z213),"C"))),IF(IFERROR(FIND("HTH",'RSD (DEA)'!Z213),100)=100,"B","A"),"C")</f>
        <v>RHSC</v>
      </c>
      <c r="F621" s="515"/>
      <c r="G621" s="515"/>
      <c r="H621" s="540" t="str">
        <f t="shared" si="15"/>
        <v>RHHSC_T_SOL_08</v>
      </c>
      <c r="I621" s="512" t="str">
        <f>'RSD (DEA)'!AA213</f>
        <v>Solar heating</v>
      </c>
      <c r="J621" s="242" t="s">
        <v>239</v>
      </c>
      <c r="K621" s="242" t="s">
        <v>240</v>
      </c>
      <c r="L621" s="512" t="str">
        <f>'RSD (DEA)'!AH213</f>
        <v>RSDSOL</v>
      </c>
      <c r="M621" s="252"/>
      <c r="N621" s="235" t="str">
        <f>LEFT('RSD (DEA)'!AJ213,2)&amp;RIGHT(E621,3)</f>
        <v>RHHSC</v>
      </c>
      <c r="O621" s="252"/>
      <c r="P621" s="182">
        <f>IF('RSD (DEA)'!P213&lt;RSD_HeatingDemand!$AH$15,RSD_HeatingDemand!$AH$15,'RSD (DEA)'!P213)</f>
        <v>2019</v>
      </c>
      <c r="Q621" s="182">
        <f>IF('RSD (DEA)'!X213&lt;RSD_HeatingDemand!$AH$15,RSD_HeatingDemand!$AH$15,'RSD (DEA)'!X213)</f>
        <v>2050</v>
      </c>
      <c r="R621" s="525">
        <f>IF(ISBLANK(I621),IF(MID(N621,2,2)="HA",VLOOKUP(I620,KEY_RSD_AF!$C$5:$G$52,2,FALSE),IF(MID(N621,2,2)="WA",VLOOKUP(I620,KEY_RSD_AF!$C$5:$G$52,3,FALSE),IF(MID(N621,2,2)="HH",VLOOKUP(I620,KEY_RSD_AF!$C$5:$G$52,4,FALSE),IF(MID(N621,2,2)="WH",VLOOKUP(I620,KEY_RSD_AF!$C$5:$G$52,5,FALSE))))),IF(MID(N621,2,2)="HA",VLOOKUP(I621,KEY_RSD_AF!$C$5:$G$52,2,FALSE),IF(MID(N621,2,2)="WA",VLOOKUP(I621,KEY_RSD_AF!$C$5:$G$52,3,FALSE),IF(MID(N621,2,2)="HH",VLOOKUP(I621,KEY_RSD_AF!$C$5:$G$52,4,FALSE),IF(MID(N621,2,2)="WH",VLOOKUP(I621,KEY_RSD_AF!$C$5:$G$52,5,FALSE))))))</f>
        <v>1</v>
      </c>
      <c r="S621" s="183">
        <f>$AJ$7</f>
        <v>0.65</v>
      </c>
      <c r="T621" s="183">
        <f>$AJ$7</f>
        <v>0.65</v>
      </c>
      <c r="U621" s="252">
        <v>0.5</v>
      </c>
      <c r="V621" s="183">
        <f>'RSD (DEA)'!BR213/'RSD (DEA)'!S213</f>
        <v>15</v>
      </c>
      <c r="W621" s="183">
        <f>'RSD (DEA)'!BS213/RSD_HeatingDemand!$AH$9</f>
        <v>0</v>
      </c>
      <c r="X621" s="183">
        <f>'RSD (DEA)'!BK213*RSD_HeatingDemand!$AH$10/'RSD (DEA)'!S213</f>
        <v>476.19047619047615</v>
      </c>
      <c r="Y621" s="183">
        <f>'RSD (DEA)'!BI213</f>
        <v>30</v>
      </c>
      <c r="Z621" s="252"/>
      <c r="AA621" s="236">
        <f>'RSD (DEA)'!AM213</f>
        <v>31.536000000000001</v>
      </c>
      <c r="AC621" s="235">
        <f>'RSD (DEA)'!S213</f>
        <v>4.2</v>
      </c>
      <c r="AD621" s="235" t="str">
        <f>LEFT('RSD (DEA)'!AK213,2)&amp;RIGHT(E621,3)</f>
        <v>RWHSC</v>
      </c>
      <c r="AE621" s="183">
        <f>$AJ$7</f>
        <v>0.65</v>
      </c>
      <c r="AF621" s="183"/>
    </row>
    <row r="622" spans="1:32" x14ac:dyDescent="0.3">
      <c r="A622" s="235"/>
      <c r="D622" s="512"/>
      <c r="E622" s="512"/>
      <c r="F622" s="515"/>
      <c r="G622" s="515"/>
      <c r="H622" s="540"/>
      <c r="I622" s="512"/>
      <c r="J622" s="242"/>
      <c r="K622" s="242"/>
      <c r="L622" s="512"/>
      <c r="M622" s="252"/>
      <c r="N622" s="235" t="str">
        <f>AD621</f>
        <v>RWHSC</v>
      </c>
      <c r="O622" s="252"/>
      <c r="P622" s="182"/>
      <c r="Q622" s="182"/>
      <c r="R622" s="525">
        <f>IF(ISBLANK(I622),IF(MID(N622,2,2)="HA",VLOOKUP(I621,KEY_RSD_AF!$C$5:$G$52,2,FALSE),IF(MID(N622,2,2)="WA",VLOOKUP(I621,KEY_RSD_AF!$C$5:$G$52,3,FALSE),IF(MID(N622,2,2)="HH",VLOOKUP(I621,KEY_RSD_AF!$C$5:$G$52,4,FALSE),IF(MID(N622,2,2)="WH",VLOOKUP(I621,KEY_RSD_AF!$C$5:$G$52,5,FALSE))))),IF(MID(N622,2,2)="HA",VLOOKUP(I622,KEY_RSD_AF!$C$5:$G$52,2,FALSE),IF(MID(N622,2,2)="WA",VLOOKUP(I622,KEY_RSD_AF!$C$5:$G$52,3,FALSE),IF(MID(N622,2,2)="HH",VLOOKUP(I622,KEY_RSD_AF!$C$5:$G$52,4,FALSE),IF(MID(N622,2,2)="WH",VLOOKUP(I622,KEY_RSD_AF!$C$5:$G$52,5,FALSE))))))</f>
        <v>1</v>
      </c>
      <c r="S622" s="183">
        <f>T621</f>
        <v>0.65</v>
      </c>
      <c r="T622" s="183"/>
      <c r="U622" s="252"/>
      <c r="V622" s="183"/>
      <c r="W622" s="183"/>
      <c r="X622" s="183"/>
      <c r="Y622" s="183"/>
      <c r="Z622" s="252"/>
      <c r="AA622" s="236"/>
      <c r="AC622" s="235"/>
      <c r="AD622" s="235"/>
      <c r="AE622" s="183"/>
      <c r="AF622" s="183"/>
    </row>
    <row r="623" spans="1:32" x14ac:dyDescent="0.3">
      <c r="A623" s="235"/>
      <c r="C623" s="528" t="str">
        <f>'RSD (DEA)'!Z214</f>
        <v>T_SOL_03</v>
      </c>
      <c r="D623" s="512" t="str">
        <f>RSD_HeatingDemand!N623&amp;"_"&amp;C623</f>
        <v>RHHSC_T_SOL_03</v>
      </c>
      <c r="E623" s="512" t="str">
        <f>"R"&amp;LEFT('RSD (DEA)'!AD214,2)&amp;IF(ISNUMBER(IFERROR(FIND("HTH",'RSD (DEA)'!Z214),IFERROR(FIND("HP",'RSD (DEA)'!Z214),"C"))),IF(IFERROR(FIND("HTH",'RSD (DEA)'!Z214),100)=100,"B","A"),"C")</f>
        <v>RHSC</v>
      </c>
      <c r="F623" s="515"/>
      <c r="G623" s="515"/>
      <c r="H623" s="540" t="str">
        <f t="shared" si="15"/>
        <v>RHHSC_T_SOL_09</v>
      </c>
      <c r="I623" s="512" t="str">
        <f>'RSD (DEA)'!AA214</f>
        <v>Solar heating</v>
      </c>
      <c r="J623" s="242" t="s">
        <v>239</v>
      </c>
      <c r="K623" s="242" t="s">
        <v>240</v>
      </c>
      <c r="L623" s="512" t="str">
        <f>'RSD (DEA)'!AH214</f>
        <v>RSDSOL</v>
      </c>
      <c r="M623" s="252"/>
      <c r="N623" s="235" t="str">
        <f>LEFT('RSD (DEA)'!AJ214,2)&amp;RIGHT(E623,3)</f>
        <v>RHHSC</v>
      </c>
      <c r="O623" s="252"/>
      <c r="P623" s="182">
        <f>IF('RSD (DEA)'!P214&lt;RSD_HeatingDemand!$AH$15,RSD_HeatingDemand!$AH$15,'RSD (DEA)'!P214)</f>
        <v>2019</v>
      </c>
      <c r="Q623" s="182">
        <f>IF('RSD (DEA)'!X214&lt;RSD_HeatingDemand!$AH$15,RSD_HeatingDemand!$AH$15,'RSD (DEA)'!X214)</f>
        <v>2019</v>
      </c>
      <c r="R623" s="525">
        <f>IF(ISBLANK(I623),IF(MID(N623,2,2)="HA",VLOOKUP(I622,KEY_RSD_AF!$C$5:$G$52,2,FALSE),IF(MID(N623,2,2)="WA",VLOOKUP(I622,KEY_RSD_AF!$C$5:$G$52,3,FALSE),IF(MID(N623,2,2)="HH",VLOOKUP(I622,KEY_RSD_AF!$C$5:$G$52,4,FALSE),IF(MID(N623,2,2)="WH",VLOOKUP(I622,KEY_RSD_AF!$C$5:$G$52,5,FALSE))))),IF(MID(N623,2,2)="HA",VLOOKUP(I623,KEY_RSD_AF!$C$5:$G$52,2,FALSE),IF(MID(N623,2,2)="WA",VLOOKUP(I623,KEY_RSD_AF!$C$5:$G$52,3,FALSE),IF(MID(N623,2,2)="HH",VLOOKUP(I623,KEY_RSD_AF!$C$5:$G$52,4,FALSE),IF(MID(N623,2,2)="WH",VLOOKUP(I623,KEY_RSD_AF!$C$5:$G$52,5,FALSE))))))</f>
        <v>1</v>
      </c>
      <c r="S623" s="183">
        <f>$AJ$7</f>
        <v>0.65</v>
      </c>
      <c r="T623" s="183">
        <f>$AJ$7</f>
        <v>0.65</v>
      </c>
      <c r="U623" s="252">
        <v>0.5</v>
      </c>
      <c r="V623" s="183">
        <f>'RSD (DEA)'!BR214/'RSD (DEA)'!S214</f>
        <v>16.535714285714285</v>
      </c>
      <c r="W623" s="183">
        <f>'RSD (DEA)'!BS214/RSD_HeatingDemand!$AH$9</f>
        <v>0</v>
      </c>
      <c r="X623" s="183">
        <f>'RSD (DEA)'!BK214*RSD_HeatingDemand!$AH$10/'RSD (DEA)'!S214</f>
        <v>639.1818472355385</v>
      </c>
      <c r="Y623" s="183">
        <f>'RSD (DEA)'!BI214</f>
        <v>20</v>
      </c>
      <c r="Z623" s="252"/>
      <c r="AA623" s="236">
        <f>'RSD (DEA)'!AM214</f>
        <v>31.536000000000001</v>
      </c>
      <c r="AC623" s="235">
        <f>'RSD (DEA)'!S214</f>
        <v>4.2</v>
      </c>
      <c r="AD623" s="235" t="str">
        <f>LEFT('RSD (DEA)'!AK214,2)&amp;RIGHT(E623,3)</f>
        <v>RWHSC</v>
      </c>
      <c r="AE623" s="183">
        <f>$AJ$7</f>
        <v>0.65</v>
      </c>
      <c r="AF623" s="183"/>
    </row>
    <row r="624" spans="1:32" x14ac:dyDescent="0.3">
      <c r="A624" s="235"/>
      <c r="D624" s="512"/>
      <c r="E624" s="512"/>
      <c r="F624" s="515"/>
      <c r="G624" s="515"/>
      <c r="H624" s="540"/>
      <c r="I624" s="512"/>
      <c r="J624" s="242"/>
      <c r="K624" s="242"/>
      <c r="L624" s="512"/>
      <c r="M624" s="252"/>
      <c r="N624" s="235" t="str">
        <f>AD623</f>
        <v>RWHSC</v>
      </c>
      <c r="O624" s="252"/>
      <c r="P624" s="182"/>
      <c r="Q624" s="182"/>
      <c r="R624" s="525">
        <f>IF(ISBLANK(I624),IF(MID(N624,2,2)="HA",VLOOKUP(I623,KEY_RSD_AF!$C$5:$G$52,2,FALSE),IF(MID(N624,2,2)="WA",VLOOKUP(I623,KEY_RSD_AF!$C$5:$G$52,3,FALSE),IF(MID(N624,2,2)="HH",VLOOKUP(I623,KEY_RSD_AF!$C$5:$G$52,4,FALSE),IF(MID(N624,2,2)="WH",VLOOKUP(I623,KEY_RSD_AF!$C$5:$G$52,5,FALSE))))),IF(MID(N624,2,2)="HA",VLOOKUP(I624,KEY_RSD_AF!$C$5:$G$52,2,FALSE),IF(MID(N624,2,2)="WA",VLOOKUP(I624,KEY_RSD_AF!$C$5:$G$52,3,FALSE),IF(MID(N624,2,2)="HH",VLOOKUP(I624,KEY_RSD_AF!$C$5:$G$52,4,FALSE),IF(MID(N624,2,2)="WH",VLOOKUP(I624,KEY_RSD_AF!$C$5:$G$52,5,FALSE))))))</f>
        <v>1</v>
      </c>
      <c r="S624" s="183">
        <f>T623</f>
        <v>0.65</v>
      </c>
      <c r="T624" s="183"/>
      <c r="U624" s="252"/>
      <c r="V624" s="183"/>
      <c r="W624" s="183"/>
      <c r="X624" s="183"/>
      <c r="Y624" s="183"/>
      <c r="Z624" s="252"/>
      <c r="AA624" s="236"/>
      <c r="AC624" s="235"/>
      <c r="AD624" s="235"/>
      <c r="AE624" s="183"/>
      <c r="AF624" s="183"/>
    </row>
    <row r="625" spans="1:32" x14ac:dyDescent="0.3">
      <c r="A625" s="235"/>
      <c r="C625" s="528" t="str">
        <f>'RSD (DEA)'!Z215</f>
        <v>T_SOL_03</v>
      </c>
      <c r="D625" s="512" t="str">
        <f>RSD_HeatingDemand!N625&amp;"_"&amp;C625</f>
        <v>RHHSC_T_SOL_03</v>
      </c>
      <c r="E625" s="512" t="str">
        <f>"R"&amp;LEFT('RSD (DEA)'!AD215,2)&amp;IF(ISNUMBER(IFERROR(FIND("HTH",'RSD (DEA)'!Z215),IFERROR(FIND("HP",'RSD (DEA)'!Z215),"C"))),IF(IFERROR(FIND("HTH",'RSD (DEA)'!Z215),100)=100,"B","A"),"C")</f>
        <v>RHSC</v>
      </c>
      <c r="F625" s="515"/>
      <c r="G625" s="515"/>
      <c r="H625" s="540" t="str">
        <f t="shared" si="15"/>
        <v>RHHSC_T_SOL_10</v>
      </c>
      <c r="I625" s="512" t="str">
        <f>'RSD (DEA)'!AA215</f>
        <v>Solar heating</v>
      </c>
      <c r="J625" s="242" t="s">
        <v>239</v>
      </c>
      <c r="K625" s="242" t="s">
        <v>240</v>
      </c>
      <c r="L625" s="512" t="str">
        <f>'RSD (DEA)'!AH215</f>
        <v>RSDSOL</v>
      </c>
      <c r="M625" s="252"/>
      <c r="N625" s="235" t="str">
        <f>LEFT('RSD (DEA)'!AJ215,2)&amp;RIGHT(E625,3)</f>
        <v>RHHSC</v>
      </c>
      <c r="O625" s="252"/>
      <c r="P625" s="182">
        <f>IF('RSD (DEA)'!P215&lt;RSD_HeatingDemand!$AH$15,RSD_HeatingDemand!$AH$15,'RSD (DEA)'!P215)</f>
        <v>2019</v>
      </c>
      <c r="Q625" s="182">
        <f>IF('RSD (DEA)'!X215&lt;RSD_HeatingDemand!$AH$15,RSD_HeatingDemand!$AH$15,'RSD (DEA)'!X215)</f>
        <v>2020</v>
      </c>
      <c r="R625" s="525">
        <f>IF(ISBLANK(I625),IF(MID(N625,2,2)="HA",VLOOKUP(I624,KEY_RSD_AF!$C$5:$G$52,2,FALSE),IF(MID(N625,2,2)="WA",VLOOKUP(I624,KEY_RSD_AF!$C$5:$G$52,3,FALSE),IF(MID(N625,2,2)="HH",VLOOKUP(I624,KEY_RSD_AF!$C$5:$G$52,4,FALSE),IF(MID(N625,2,2)="WH",VLOOKUP(I624,KEY_RSD_AF!$C$5:$G$52,5,FALSE))))),IF(MID(N625,2,2)="HA",VLOOKUP(I625,KEY_RSD_AF!$C$5:$G$52,2,FALSE),IF(MID(N625,2,2)="WA",VLOOKUP(I625,KEY_RSD_AF!$C$5:$G$52,3,FALSE),IF(MID(N625,2,2)="HH",VLOOKUP(I625,KEY_RSD_AF!$C$5:$G$52,4,FALSE),IF(MID(N625,2,2)="WH",VLOOKUP(I625,KEY_RSD_AF!$C$5:$G$52,5,FALSE))))))</f>
        <v>1</v>
      </c>
      <c r="S625" s="183">
        <f>$AJ$7</f>
        <v>0.65</v>
      </c>
      <c r="T625" s="183">
        <f>$AJ$7</f>
        <v>0.65</v>
      </c>
      <c r="U625" s="252">
        <v>0.5</v>
      </c>
      <c r="V625" s="183">
        <f>'RSD (DEA)'!BR215/'RSD (DEA)'!S215</f>
        <v>16.19047619047619</v>
      </c>
      <c r="W625" s="183">
        <f>'RSD (DEA)'!BS215/RSD_HeatingDemand!$AH$9</f>
        <v>0</v>
      </c>
      <c r="X625" s="183">
        <f>'RSD (DEA)'!BK215*RSD_HeatingDemand!$AH$10/'RSD (DEA)'!S215</f>
        <v>476.19047619047615</v>
      </c>
      <c r="Y625" s="183">
        <f>'RSD (DEA)'!BI215</f>
        <v>25</v>
      </c>
      <c r="Z625" s="252"/>
      <c r="AA625" s="236">
        <f>'RSD (DEA)'!AM215</f>
        <v>31.536000000000001</v>
      </c>
      <c r="AC625" s="235">
        <f>'RSD (DEA)'!S215</f>
        <v>4.2</v>
      </c>
      <c r="AD625" s="235" t="str">
        <f>LEFT('RSD (DEA)'!AK215,2)&amp;RIGHT(E625,3)</f>
        <v>RWHSC</v>
      </c>
      <c r="AE625" s="183">
        <f>$AJ$7</f>
        <v>0.65</v>
      </c>
      <c r="AF625" s="183"/>
    </row>
    <row r="626" spans="1:32" x14ac:dyDescent="0.3">
      <c r="A626" s="235"/>
      <c r="D626" s="512"/>
      <c r="E626" s="512"/>
      <c r="F626" s="515"/>
      <c r="G626" s="515"/>
      <c r="H626" s="540"/>
      <c r="I626" s="512"/>
      <c r="J626" s="242"/>
      <c r="K626" s="242"/>
      <c r="L626" s="512"/>
      <c r="M626" s="252"/>
      <c r="N626" s="235" t="str">
        <f>AD625</f>
        <v>RWHSC</v>
      </c>
      <c r="O626" s="252"/>
      <c r="P626" s="182"/>
      <c r="Q626" s="182"/>
      <c r="R626" s="525">
        <f>IF(ISBLANK(I626),IF(MID(N626,2,2)="HA",VLOOKUP(I625,KEY_RSD_AF!$C$5:$G$52,2,FALSE),IF(MID(N626,2,2)="WA",VLOOKUP(I625,KEY_RSD_AF!$C$5:$G$52,3,FALSE),IF(MID(N626,2,2)="HH",VLOOKUP(I625,KEY_RSD_AF!$C$5:$G$52,4,FALSE),IF(MID(N626,2,2)="WH",VLOOKUP(I625,KEY_RSD_AF!$C$5:$G$52,5,FALSE))))),IF(MID(N626,2,2)="HA",VLOOKUP(I626,KEY_RSD_AF!$C$5:$G$52,2,FALSE),IF(MID(N626,2,2)="WA",VLOOKUP(I626,KEY_RSD_AF!$C$5:$G$52,3,FALSE),IF(MID(N626,2,2)="HH",VLOOKUP(I626,KEY_RSD_AF!$C$5:$G$52,4,FALSE),IF(MID(N626,2,2)="WH",VLOOKUP(I626,KEY_RSD_AF!$C$5:$G$52,5,FALSE))))))</f>
        <v>1</v>
      </c>
      <c r="S626" s="183">
        <f>T625</f>
        <v>0.65</v>
      </c>
      <c r="T626" s="183"/>
      <c r="U626" s="252"/>
      <c r="V626" s="183"/>
      <c r="W626" s="183"/>
      <c r="X626" s="183"/>
      <c r="Y626" s="183"/>
      <c r="Z626" s="252"/>
      <c r="AA626" s="236"/>
      <c r="AC626" s="235"/>
      <c r="AD626" s="235"/>
      <c r="AE626" s="183"/>
      <c r="AF626" s="183"/>
    </row>
    <row r="627" spans="1:32" x14ac:dyDescent="0.3">
      <c r="A627" s="235"/>
      <c r="C627" s="528" t="str">
        <f>'RSD (DEA)'!Z216</f>
        <v>T_SOL_03</v>
      </c>
      <c r="D627" s="512" t="str">
        <f>RSD_HeatingDemand!N627&amp;"_"&amp;C627</f>
        <v>RHHSC_T_SOL_03</v>
      </c>
      <c r="E627" s="512" t="str">
        <f>"R"&amp;LEFT('RSD (DEA)'!AD216,2)&amp;IF(ISNUMBER(IFERROR(FIND("HTH",'RSD (DEA)'!Z216),IFERROR(FIND("HP",'RSD (DEA)'!Z216),"C"))),IF(IFERROR(FIND("HTH",'RSD (DEA)'!Z216),100)=100,"B","A"),"C")</f>
        <v>RHSC</v>
      </c>
      <c r="F627" s="515"/>
      <c r="G627" s="515"/>
      <c r="H627" s="540" t="str">
        <f t="shared" si="15"/>
        <v>RHHSC_T_SOL_11</v>
      </c>
      <c r="I627" s="512" t="str">
        <f>'RSD (DEA)'!AA216</f>
        <v>Solar heating</v>
      </c>
      <c r="J627" s="242" t="s">
        <v>239</v>
      </c>
      <c r="K627" s="242" t="s">
        <v>240</v>
      </c>
      <c r="L627" s="512" t="str">
        <f>'RSD (DEA)'!AH216</f>
        <v>RSDSOL</v>
      </c>
      <c r="M627" s="252"/>
      <c r="N627" s="235" t="str">
        <f>LEFT('RSD (DEA)'!AJ216,2)&amp;RIGHT(E627,3)</f>
        <v>RHHSC</v>
      </c>
      <c r="O627" s="252"/>
      <c r="P627" s="182">
        <f>IF('RSD (DEA)'!P216&lt;RSD_HeatingDemand!$AH$15,RSD_HeatingDemand!$AH$15,'RSD (DEA)'!P216)</f>
        <v>2019</v>
      </c>
      <c r="Q627" s="182">
        <f>IF('RSD (DEA)'!X216&lt;RSD_HeatingDemand!$AH$15,RSD_HeatingDemand!$AH$15,'RSD (DEA)'!X216)</f>
        <v>2030</v>
      </c>
      <c r="R627" s="525">
        <f>IF(ISBLANK(I627),IF(MID(N627,2,2)="HA",VLOOKUP(I626,KEY_RSD_AF!$C$5:$G$52,2,FALSE),IF(MID(N627,2,2)="WA",VLOOKUP(I626,KEY_RSD_AF!$C$5:$G$52,3,FALSE),IF(MID(N627,2,2)="HH",VLOOKUP(I626,KEY_RSD_AF!$C$5:$G$52,4,FALSE),IF(MID(N627,2,2)="WH",VLOOKUP(I626,KEY_RSD_AF!$C$5:$G$52,5,FALSE))))),IF(MID(N627,2,2)="HA",VLOOKUP(I627,KEY_RSD_AF!$C$5:$G$52,2,FALSE),IF(MID(N627,2,2)="WA",VLOOKUP(I627,KEY_RSD_AF!$C$5:$G$52,3,FALSE),IF(MID(N627,2,2)="HH",VLOOKUP(I627,KEY_RSD_AF!$C$5:$G$52,4,FALSE),IF(MID(N627,2,2)="WH",VLOOKUP(I627,KEY_RSD_AF!$C$5:$G$52,5,FALSE))))))</f>
        <v>1</v>
      </c>
      <c r="S627" s="183">
        <f>$AJ$7</f>
        <v>0.65</v>
      </c>
      <c r="T627" s="183">
        <f>$AJ$7</f>
        <v>0.65</v>
      </c>
      <c r="U627" s="252">
        <v>0.5</v>
      </c>
      <c r="V627" s="183">
        <f>'RSD (DEA)'!BR216/'RSD (DEA)'!S216</f>
        <v>16.535714285714285</v>
      </c>
      <c r="W627" s="183">
        <f>'RSD (DEA)'!BS216/RSD_HeatingDemand!$AH$9</f>
        <v>0</v>
      </c>
      <c r="X627" s="183">
        <f>'RSD (DEA)'!BK216*RSD_HeatingDemand!$AH$10/'RSD (DEA)'!S216</f>
        <v>476.19047619047615</v>
      </c>
      <c r="Y627" s="183">
        <f>'RSD (DEA)'!BI216</f>
        <v>30</v>
      </c>
      <c r="Z627" s="252"/>
      <c r="AA627" s="236">
        <f>'RSD (DEA)'!AM216</f>
        <v>31.536000000000001</v>
      </c>
      <c r="AC627" s="235">
        <f>'RSD (DEA)'!S216</f>
        <v>4.2</v>
      </c>
      <c r="AD627" s="235" t="str">
        <f>LEFT('RSD (DEA)'!AK216,2)&amp;RIGHT(E627,3)</f>
        <v>RWHSC</v>
      </c>
      <c r="AE627" s="183">
        <f>$AJ$7</f>
        <v>0.65</v>
      </c>
      <c r="AF627" s="183"/>
    </row>
    <row r="628" spans="1:32" x14ac:dyDescent="0.3">
      <c r="A628" s="235"/>
      <c r="D628" s="512"/>
      <c r="E628" s="512"/>
      <c r="F628" s="515"/>
      <c r="G628" s="515"/>
      <c r="H628" s="540"/>
      <c r="I628" s="512"/>
      <c r="J628" s="242"/>
      <c r="K628" s="242"/>
      <c r="L628" s="512"/>
      <c r="M628" s="252"/>
      <c r="N628" s="235" t="str">
        <f>AD627</f>
        <v>RWHSC</v>
      </c>
      <c r="O628" s="252"/>
      <c r="P628" s="182"/>
      <c r="Q628" s="182"/>
      <c r="R628" s="525">
        <f>IF(ISBLANK(I628),IF(MID(N628,2,2)="HA",VLOOKUP(I627,KEY_RSD_AF!$C$5:$G$52,2,FALSE),IF(MID(N628,2,2)="WA",VLOOKUP(I627,KEY_RSD_AF!$C$5:$G$52,3,FALSE),IF(MID(N628,2,2)="HH",VLOOKUP(I627,KEY_RSD_AF!$C$5:$G$52,4,FALSE),IF(MID(N628,2,2)="WH",VLOOKUP(I627,KEY_RSD_AF!$C$5:$G$52,5,FALSE))))),IF(MID(N628,2,2)="HA",VLOOKUP(I628,KEY_RSD_AF!$C$5:$G$52,2,FALSE),IF(MID(N628,2,2)="WA",VLOOKUP(I628,KEY_RSD_AF!$C$5:$G$52,3,FALSE),IF(MID(N628,2,2)="HH",VLOOKUP(I628,KEY_RSD_AF!$C$5:$G$52,4,FALSE),IF(MID(N628,2,2)="WH",VLOOKUP(I628,KEY_RSD_AF!$C$5:$G$52,5,FALSE))))))</f>
        <v>1</v>
      </c>
      <c r="S628" s="183">
        <f>T627</f>
        <v>0.65</v>
      </c>
      <c r="T628" s="183"/>
      <c r="U628" s="252"/>
      <c r="V628" s="183"/>
      <c r="W628" s="183"/>
      <c r="X628" s="183"/>
      <c r="Y628" s="183"/>
      <c r="Z628" s="252"/>
      <c r="AA628" s="236"/>
      <c r="AC628" s="235"/>
      <c r="AD628" s="235"/>
      <c r="AE628" s="183"/>
      <c r="AF628" s="183"/>
    </row>
    <row r="629" spans="1:32" x14ac:dyDescent="0.3">
      <c r="A629" s="235"/>
      <c r="C629" s="528" t="str">
        <f>'RSD (DEA)'!Z217</f>
        <v>T_SOL_03</v>
      </c>
      <c r="D629" s="512" t="str">
        <f>RSD_HeatingDemand!N629&amp;"_"&amp;C629</f>
        <v>RHHSC_T_SOL_03</v>
      </c>
      <c r="E629" s="512" t="str">
        <f>"R"&amp;LEFT('RSD (DEA)'!AD217,2)&amp;IF(ISNUMBER(IFERROR(FIND("HTH",'RSD (DEA)'!Z217),IFERROR(FIND("HP",'RSD (DEA)'!Z217),"C"))),IF(IFERROR(FIND("HTH",'RSD (DEA)'!Z217),100)=100,"B","A"),"C")</f>
        <v>RHSC</v>
      </c>
      <c r="F629" s="515"/>
      <c r="G629" s="515"/>
      <c r="H629" s="540" t="str">
        <f t="shared" si="15"/>
        <v>RHHSC_T_SOL_12</v>
      </c>
      <c r="I629" s="512" t="str">
        <f>'RSD (DEA)'!AA217</f>
        <v>Solar heating</v>
      </c>
      <c r="J629" s="242" t="s">
        <v>239</v>
      </c>
      <c r="K629" s="242" t="s">
        <v>240</v>
      </c>
      <c r="L629" s="512" t="str">
        <f>'RSD (DEA)'!AH217</f>
        <v>RSDSOL</v>
      </c>
      <c r="M629" s="252"/>
      <c r="N629" s="235" t="str">
        <f>LEFT('RSD (DEA)'!AJ217,2)&amp;RIGHT(E629,3)</f>
        <v>RHHSC</v>
      </c>
      <c r="O629" s="252"/>
      <c r="P629" s="182">
        <f>IF('RSD (DEA)'!P217&lt;RSD_HeatingDemand!$AH$15,RSD_HeatingDemand!$AH$15,'RSD (DEA)'!P217)</f>
        <v>2019</v>
      </c>
      <c r="Q629" s="182">
        <f>IF('RSD (DEA)'!X217&lt;RSD_HeatingDemand!$AH$15,RSD_HeatingDemand!$AH$15,'RSD (DEA)'!X217)</f>
        <v>2050</v>
      </c>
      <c r="R629" s="525">
        <f>IF(ISBLANK(I629),IF(MID(N629,2,2)="HA",VLOOKUP(I628,KEY_RSD_AF!$C$5:$G$52,2,FALSE),IF(MID(N629,2,2)="WA",VLOOKUP(I628,KEY_RSD_AF!$C$5:$G$52,3,FALSE),IF(MID(N629,2,2)="HH",VLOOKUP(I628,KEY_RSD_AF!$C$5:$G$52,4,FALSE),IF(MID(N629,2,2)="WH",VLOOKUP(I628,KEY_RSD_AF!$C$5:$G$52,5,FALSE))))),IF(MID(N629,2,2)="HA",VLOOKUP(I629,KEY_RSD_AF!$C$5:$G$52,2,FALSE),IF(MID(N629,2,2)="WA",VLOOKUP(I629,KEY_RSD_AF!$C$5:$G$52,3,FALSE),IF(MID(N629,2,2)="HH",VLOOKUP(I629,KEY_RSD_AF!$C$5:$G$52,4,FALSE),IF(MID(N629,2,2)="WH",VLOOKUP(I629,KEY_RSD_AF!$C$5:$G$52,5,FALSE))))))</f>
        <v>1</v>
      </c>
      <c r="S629" s="183">
        <f>$AJ$7</f>
        <v>0.65</v>
      </c>
      <c r="T629" s="183">
        <f>$AJ$7</f>
        <v>0.65</v>
      </c>
      <c r="U629" s="252">
        <v>0.5</v>
      </c>
      <c r="V629" s="183">
        <f>'RSD (DEA)'!BR217/'RSD (DEA)'!S217</f>
        <v>15</v>
      </c>
      <c r="W629" s="183">
        <f>'RSD (DEA)'!BS217/RSD_HeatingDemand!$AH$9</f>
        <v>0</v>
      </c>
      <c r="X629" s="183">
        <f>'RSD (DEA)'!BK217*RSD_HeatingDemand!$AH$10/'RSD (DEA)'!S217</f>
        <v>476.19047619047615</v>
      </c>
      <c r="Y629" s="183">
        <f>'RSD (DEA)'!BI217</f>
        <v>30</v>
      </c>
      <c r="Z629" s="252"/>
      <c r="AA629" s="236">
        <f>'RSD (DEA)'!AM217</f>
        <v>31.536000000000001</v>
      </c>
      <c r="AC629" s="235">
        <f>'RSD (DEA)'!S217</f>
        <v>4.2</v>
      </c>
      <c r="AD629" s="235" t="str">
        <f>LEFT('RSD (DEA)'!AK217,2)&amp;RIGHT(E629,3)</f>
        <v>RWHSC</v>
      </c>
      <c r="AE629" s="183">
        <f>$AJ$7</f>
        <v>0.65</v>
      </c>
      <c r="AF629" s="183"/>
    </row>
    <row r="630" spans="1:32" x14ac:dyDescent="0.3">
      <c r="A630" s="235"/>
      <c r="D630" s="512"/>
      <c r="E630" s="512"/>
      <c r="F630" s="515"/>
      <c r="G630" s="515"/>
      <c r="H630" s="540"/>
      <c r="I630" s="512"/>
      <c r="J630" s="242"/>
      <c r="K630" s="242"/>
      <c r="L630" s="512"/>
      <c r="M630" s="252"/>
      <c r="N630" s="235" t="str">
        <f>AD629</f>
        <v>RWHSC</v>
      </c>
      <c r="O630" s="252"/>
      <c r="P630" s="182"/>
      <c r="Q630" s="182"/>
      <c r="R630" s="525">
        <f>IF(ISBLANK(I630),IF(MID(N630,2,2)="HA",VLOOKUP(I629,KEY_RSD_AF!$C$5:$G$52,2,FALSE),IF(MID(N630,2,2)="WA",VLOOKUP(I629,KEY_RSD_AF!$C$5:$G$52,3,FALSE),IF(MID(N630,2,2)="HH",VLOOKUP(I629,KEY_RSD_AF!$C$5:$G$52,4,FALSE),IF(MID(N630,2,2)="WH",VLOOKUP(I629,KEY_RSD_AF!$C$5:$G$52,5,FALSE))))),IF(MID(N630,2,2)="HA",VLOOKUP(I630,KEY_RSD_AF!$C$5:$G$52,2,FALSE),IF(MID(N630,2,2)="WA",VLOOKUP(I630,KEY_RSD_AF!$C$5:$G$52,3,FALSE),IF(MID(N630,2,2)="HH",VLOOKUP(I630,KEY_RSD_AF!$C$5:$G$52,4,FALSE),IF(MID(N630,2,2)="WH",VLOOKUP(I630,KEY_RSD_AF!$C$5:$G$52,5,FALSE))))))</f>
        <v>1</v>
      </c>
      <c r="S630" s="183">
        <f>T629</f>
        <v>0.65</v>
      </c>
      <c r="T630" s="183"/>
      <c r="U630" s="252"/>
      <c r="V630" s="183"/>
      <c r="W630" s="183"/>
      <c r="X630" s="183"/>
      <c r="Y630" s="183"/>
      <c r="Z630" s="252"/>
      <c r="AA630" s="236"/>
      <c r="AC630" s="235"/>
      <c r="AD630" s="235"/>
      <c r="AE630" s="183"/>
      <c r="AF630" s="183"/>
    </row>
    <row r="631" spans="1:32" x14ac:dyDescent="0.3">
      <c r="A631" s="235"/>
      <c r="C631" s="528" t="str">
        <f>'RSD (DEA)'!Z218</f>
        <v>T_SOL_04</v>
      </c>
      <c r="D631" s="512" t="str">
        <f>RSD_HeatingDemand!N631&amp;"_"&amp;LEFT(C631,LEN(C631)-2)&amp;"01"</f>
        <v>RHAPC_T_SOL_01</v>
      </c>
      <c r="E631" s="512" t="str">
        <f>"R"&amp;LEFT('RSD (DEA)'!AD218,2)&amp;IF(ISNUMBER(IFERROR(FIND("HTH",'RSD (DEA)'!Z218),IFERROR(FIND("HP",'RSD (DEA)'!Z218),"C"))),IF(IFERROR(FIND("HTH",'RSD (DEA)'!Z218),100)=100,"B","A"),"C")</f>
        <v>RAPC</v>
      </c>
      <c r="F631" s="515"/>
      <c r="G631" s="515"/>
      <c r="H631" s="540" t="str">
        <f t="shared" si="15"/>
        <v>RHAPC_T_SOL_01</v>
      </c>
      <c r="I631" s="512" t="str">
        <f>'RSD (DEA)'!AA218</f>
        <v>Solar heating</v>
      </c>
      <c r="J631" s="242" t="s">
        <v>239</v>
      </c>
      <c r="K631" s="242" t="s">
        <v>240</v>
      </c>
      <c r="L631" s="512" t="str">
        <f>'RSD (DEA)'!AH218</f>
        <v>RSDSOL</v>
      </c>
      <c r="M631" s="252"/>
      <c r="N631" s="235" t="str">
        <f>LEFT('RSD (DEA)'!AJ218,2)&amp;RIGHT(E631,3)</f>
        <v>RHAPC</v>
      </c>
      <c r="O631" s="252"/>
      <c r="P631" s="182">
        <f>IF('RSD (DEA)'!P218&lt;RSD_HeatingDemand!$AH$15,RSD_HeatingDemand!$AH$15,'RSD (DEA)'!P218)</f>
        <v>2019</v>
      </c>
      <c r="Q631" s="182">
        <f>IF('RSD (DEA)'!X218&lt;RSD_HeatingDemand!$AH$15,RSD_HeatingDemand!$AH$15,'RSD (DEA)'!X218)</f>
        <v>2019</v>
      </c>
      <c r="R631" s="525">
        <f>IF(ISBLANK(I631),IF(MID(N631,2,2)="HA",VLOOKUP(I630,KEY_RSD_AF!$C$5:$G$52,2,FALSE),IF(MID(N631,2,2)="WA",VLOOKUP(I630,KEY_RSD_AF!$C$5:$G$52,3,FALSE),IF(MID(N631,2,2)="HH",VLOOKUP(I630,KEY_RSD_AF!$C$5:$G$52,4,FALSE),IF(MID(N631,2,2)="WH",VLOOKUP(I630,KEY_RSD_AF!$C$5:$G$52,5,FALSE))))),IF(MID(N631,2,2)="HA",VLOOKUP(I631,KEY_RSD_AF!$C$5:$G$52,2,FALSE),IF(MID(N631,2,2)="WA",VLOOKUP(I631,KEY_RSD_AF!$C$5:$G$52,3,FALSE),IF(MID(N631,2,2)="HH",VLOOKUP(I631,KEY_RSD_AF!$C$5:$G$52,4,FALSE),IF(MID(N631,2,2)="WH",VLOOKUP(I631,KEY_RSD_AF!$C$5:$G$52,5,FALSE))))))</f>
        <v>1</v>
      </c>
      <c r="S631" s="183">
        <f>$AJ$7</f>
        <v>0.65</v>
      </c>
      <c r="T631" s="183">
        <f>$AJ$7</f>
        <v>0.65</v>
      </c>
      <c r="U631" s="252">
        <v>0.5</v>
      </c>
      <c r="V631" s="183">
        <f>'RSD (DEA)'!BR218/'RSD (DEA)'!S218</f>
        <v>2.7785714285714285</v>
      </c>
      <c r="W631" s="183">
        <f>'RSD (DEA)'!BS218/RSD_HeatingDemand!$AH$9</f>
        <v>0</v>
      </c>
      <c r="X631" s="183">
        <f>'RSD (DEA)'!BK218*RSD_HeatingDemand!$AH$10/'RSD (DEA)'!S218</f>
        <v>613.61457334611691</v>
      </c>
      <c r="Y631" s="183">
        <f>'RSD (DEA)'!BI218</f>
        <v>20</v>
      </c>
      <c r="Z631" s="252"/>
      <c r="AA631" s="236">
        <f>'RSD (DEA)'!AM218</f>
        <v>31.536000000000001</v>
      </c>
      <c r="AC631" s="235">
        <f>'RSD (DEA)'!S218</f>
        <v>140</v>
      </c>
      <c r="AD631" s="235" t="str">
        <f>LEFT('RSD (DEA)'!AK218,2)&amp;RIGHT(E631,3)</f>
        <v>RWAPC</v>
      </c>
      <c r="AE631" s="183">
        <f>$AJ$7</f>
        <v>0.65</v>
      </c>
      <c r="AF631" s="183"/>
    </row>
    <row r="632" spans="1:32" x14ac:dyDescent="0.3">
      <c r="A632" s="235"/>
      <c r="D632" s="512"/>
      <c r="E632" s="512"/>
      <c r="F632" s="515"/>
      <c r="G632" s="515"/>
      <c r="H632" s="540"/>
      <c r="I632" s="512"/>
      <c r="J632" s="242"/>
      <c r="K632" s="242"/>
      <c r="L632" s="512"/>
      <c r="M632" s="252"/>
      <c r="N632" s="235" t="str">
        <f>AD631</f>
        <v>RWAPC</v>
      </c>
      <c r="O632" s="252"/>
      <c r="P632" s="182"/>
      <c r="Q632" s="182"/>
      <c r="R632" s="525">
        <f>IF(ISBLANK(I632),IF(MID(N632,2,2)="HA",VLOOKUP(I631,KEY_RSD_AF!$C$5:$G$52,2,FALSE),IF(MID(N632,2,2)="WA",VLOOKUP(I631,KEY_RSD_AF!$C$5:$G$52,3,FALSE),IF(MID(N632,2,2)="HH",VLOOKUP(I631,KEY_RSD_AF!$C$5:$G$52,4,FALSE),IF(MID(N632,2,2)="WH",VLOOKUP(I631,KEY_RSD_AF!$C$5:$G$52,5,FALSE))))),IF(MID(N632,2,2)="HA",VLOOKUP(I632,KEY_RSD_AF!$C$5:$G$52,2,FALSE),IF(MID(N632,2,2)="WA",VLOOKUP(I632,KEY_RSD_AF!$C$5:$G$52,3,FALSE),IF(MID(N632,2,2)="HH",VLOOKUP(I632,KEY_RSD_AF!$C$5:$G$52,4,FALSE),IF(MID(N632,2,2)="WH",VLOOKUP(I632,KEY_RSD_AF!$C$5:$G$52,5,FALSE))))))</f>
        <v>1</v>
      </c>
      <c r="S632" s="183">
        <f>T631</f>
        <v>0.65</v>
      </c>
      <c r="T632" s="183"/>
      <c r="U632" s="252"/>
      <c r="V632" s="183"/>
      <c r="W632" s="183"/>
      <c r="X632" s="183"/>
      <c r="Y632" s="183"/>
      <c r="Z632" s="252"/>
      <c r="AA632" s="236"/>
      <c r="AC632" s="235"/>
      <c r="AD632" s="235"/>
      <c r="AE632" s="183"/>
      <c r="AF632" s="183"/>
    </row>
    <row r="633" spans="1:32" x14ac:dyDescent="0.3">
      <c r="A633" s="235"/>
      <c r="C633" s="528" t="str">
        <f>'RSD (DEA)'!Z219</f>
        <v>T_SOL_04</v>
      </c>
      <c r="D633" s="512" t="str">
        <f>RSD_HeatingDemand!N633&amp;"_"&amp;LEFT(C633,LEN(C633)-2)&amp;"01"</f>
        <v>RHAPC_T_SOL_01</v>
      </c>
      <c r="E633" s="512" t="str">
        <f>"R"&amp;LEFT('RSD (DEA)'!AD219,2)&amp;IF(ISNUMBER(IFERROR(FIND("HTH",'RSD (DEA)'!Z219),IFERROR(FIND("HP",'RSD (DEA)'!Z219),"C"))),IF(IFERROR(FIND("HTH",'RSD (DEA)'!Z219),100)=100,"B","A"),"C")</f>
        <v>RAPC</v>
      </c>
      <c r="F633" s="515"/>
      <c r="G633" s="515"/>
      <c r="H633" s="540" t="str">
        <f t="shared" si="15"/>
        <v>RHAPC_T_SOL_02</v>
      </c>
      <c r="I633" s="512" t="str">
        <f>'RSD (DEA)'!AA219</f>
        <v>Solar heating</v>
      </c>
      <c r="J633" s="242" t="s">
        <v>239</v>
      </c>
      <c r="K633" s="242" t="s">
        <v>240</v>
      </c>
      <c r="L633" s="512" t="str">
        <f>'RSD (DEA)'!AH219</f>
        <v>RSDSOL</v>
      </c>
      <c r="M633" s="252"/>
      <c r="N633" s="235" t="str">
        <f>LEFT('RSD (DEA)'!AJ219,2)&amp;RIGHT(E633,3)</f>
        <v>RHAPC</v>
      </c>
      <c r="O633" s="252"/>
      <c r="P633" s="182">
        <f>IF('RSD (DEA)'!P219&lt;RSD_HeatingDemand!$AH$15,RSD_HeatingDemand!$AH$15,'RSD (DEA)'!P219)</f>
        <v>2019</v>
      </c>
      <c r="Q633" s="182">
        <f>IF('RSD (DEA)'!X219&lt;RSD_HeatingDemand!$AH$15,RSD_HeatingDemand!$AH$15,'RSD (DEA)'!X219)</f>
        <v>2020</v>
      </c>
      <c r="R633" s="525">
        <f>IF(ISBLANK(I633),IF(MID(N633,2,2)="HA",VLOOKUP(I632,KEY_RSD_AF!$C$5:$G$52,2,FALSE),IF(MID(N633,2,2)="WA",VLOOKUP(I632,KEY_RSD_AF!$C$5:$G$52,3,FALSE),IF(MID(N633,2,2)="HH",VLOOKUP(I632,KEY_RSD_AF!$C$5:$G$52,4,FALSE),IF(MID(N633,2,2)="WH",VLOOKUP(I632,KEY_RSD_AF!$C$5:$G$52,5,FALSE))))),IF(MID(N633,2,2)="HA",VLOOKUP(I633,KEY_RSD_AF!$C$5:$G$52,2,FALSE),IF(MID(N633,2,2)="WA",VLOOKUP(I633,KEY_RSD_AF!$C$5:$G$52,3,FALSE),IF(MID(N633,2,2)="HH",VLOOKUP(I633,KEY_RSD_AF!$C$5:$G$52,4,FALSE),IF(MID(N633,2,2)="WH",VLOOKUP(I633,KEY_RSD_AF!$C$5:$G$52,5,FALSE))))))</f>
        <v>1</v>
      </c>
      <c r="S633" s="183">
        <f>$AJ$7</f>
        <v>0.65</v>
      </c>
      <c r="T633" s="183">
        <f>$AJ$7</f>
        <v>0.65</v>
      </c>
      <c r="U633" s="252">
        <v>0.5</v>
      </c>
      <c r="V633" s="183">
        <f>'RSD (DEA)'!BR219/'RSD (DEA)'!S219</f>
        <v>2.7714285714285714</v>
      </c>
      <c r="W633" s="183">
        <f>'RSD (DEA)'!BS219/RSD_HeatingDemand!$AH$9</f>
        <v>0</v>
      </c>
      <c r="X633" s="183">
        <f>'RSD (DEA)'!BK219*RSD_HeatingDemand!$AH$10/'RSD (DEA)'!S219</f>
        <v>578.57142857142856</v>
      </c>
      <c r="Y633" s="183">
        <f>'RSD (DEA)'!BI219</f>
        <v>25</v>
      </c>
      <c r="Z633" s="252"/>
      <c r="AA633" s="236">
        <f>'RSD (DEA)'!AM219</f>
        <v>31.536000000000001</v>
      </c>
      <c r="AC633" s="235">
        <f>'RSD (DEA)'!S219</f>
        <v>140</v>
      </c>
      <c r="AD633" s="235" t="str">
        <f>LEFT('RSD (DEA)'!AK219,2)&amp;RIGHT(E633,3)</f>
        <v>RWAPC</v>
      </c>
      <c r="AE633" s="183">
        <f>$AJ$7</f>
        <v>0.65</v>
      </c>
      <c r="AF633" s="183"/>
    </row>
    <row r="634" spans="1:32" x14ac:dyDescent="0.3">
      <c r="A634" s="235"/>
      <c r="D634" s="512"/>
      <c r="E634" s="512"/>
      <c r="F634" s="515"/>
      <c r="G634" s="515"/>
      <c r="H634" s="540"/>
      <c r="I634" s="512"/>
      <c r="J634" s="242"/>
      <c r="K634" s="242"/>
      <c r="L634" s="512"/>
      <c r="M634" s="252"/>
      <c r="N634" s="235" t="str">
        <f>AD633</f>
        <v>RWAPC</v>
      </c>
      <c r="O634" s="252"/>
      <c r="P634" s="182"/>
      <c r="Q634" s="182"/>
      <c r="R634" s="525">
        <f>IF(ISBLANK(I634),IF(MID(N634,2,2)="HA",VLOOKUP(I633,KEY_RSD_AF!$C$5:$G$52,2,FALSE),IF(MID(N634,2,2)="WA",VLOOKUP(I633,KEY_RSD_AF!$C$5:$G$52,3,FALSE),IF(MID(N634,2,2)="HH",VLOOKUP(I633,KEY_RSD_AF!$C$5:$G$52,4,FALSE),IF(MID(N634,2,2)="WH",VLOOKUP(I633,KEY_RSD_AF!$C$5:$G$52,5,FALSE))))),IF(MID(N634,2,2)="HA",VLOOKUP(I634,KEY_RSD_AF!$C$5:$G$52,2,FALSE),IF(MID(N634,2,2)="WA",VLOOKUP(I634,KEY_RSD_AF!$C$5:$G$52,3,FALSE),IF(MID(N634,2,2)="HH",VLOOKUP(I634,KEY_RSD_AF!$C$5:$G$52,4,FALSE),IF(MID(N634,2,2)="WH",VLOOKUP(I634,KEY_RSD_AF!$C$5:$G$52,5,FALSE))))))</f>
        <v>1</v>
      </c>
      <c r="S634" s="183">
        <f>T633</f>
        <v>0.65</v>
      </c>
      <c r="T634" s="183"/>
      <c r="U634" s="252"/>
      <c r="V634" s="183"/>
      <c r="W634" s="183"/>
      <c r="X634" s="183"/>
      <c r="Y634" s="183"/>
      <c r="Z634" s="252"/>
      <c r="AA634" s="236"/>
      <c r="AC634" s="235"/>
      <c r="AD634" s="235"/>
      <c r="AE634" s="183"/>
      <c r="AF634" s="183"/>
    </row>
    <row r="635" spans="1:32" x14ac:dyDescent="0.3">
      <c r="A635" s="235"/>
      <c r="C635" s="528" t="str">
        <f>'RSD (DEA)'!Z220</f>
        <v>T_SOL_04</v>
      </c>
      <c r="D635" s="512" t="str">
        <f>RSD_HeatingDemand!N635&amp;"_"&amp;LEFT(C635,LEN(C635)-2)&amp;"01"</f>
        <v>RHAPC_T_SOL_01</v>
      </c>
      <c r="E635" s="512" t="str">
        <f>"R"&amp;LEFT('RSD (DEA)'!AD220,2)&amp;IF(ISNUMBER(IFERROR(FIND("HTH",'RSD (DEA)'!Z220),IFERROR(FIND("HP",'RSD (DEA)'!Z220),"C"))),IF(IFERROR(FIND("HTH",'RSD (DEA)'!Z220),100)=100,"B","A"),"C")</f>
        <v>RAPC</v>
      </c>
      <c r="F635" s="515"/>
      <c r="G635" s="515"/>
      <c r="H635" s="540" t="str">
        <f t="shared" si="15"/>
        <v>RHAPC_T_SOL_03</v>
      </c>
      <c r="I635" s="512" t="str">
        <f>'RSD (DEA)'!AA220</f>
        <v>Solar heating</v>
      </c>
      <c r="J635" s="242" t="s">
        <v>239</v>
      </c>
      <c r="K635" s="242" t="s">
        <v>240</v>
      </c>
      <c r="L635" s="512" t="str">
        <f>'RSD (DEA)'!AH220</f>
        <v>RSDSOL</v>
      </c>
      <c r="M635" s="252"/>
      <c r="N635" s="235" t="str">
        <f>LEFT('RSD (DEA)'!AJ220,2)&amp;RIGHT(E635,3)</f>
        <v>RHAPC</v>
      </c>
      <c r="O635" s="252"/>
      <c r="P635" s="182">
        <f>IF('RSD (DEA)'!P220&lt;RSD_HeatingDemand!$AH$15,RSD_HeatingDemand!$AH$15,'RSD (DEA)'!P220)</f>
        <v>2019</v>
      </c>
      <c r="Q635" s="182">
        <f>IF('RSD (DEA)'!X220&lt;RSD_HeatingDemand!$AH$15,RSD_HeatingDemand!$AH$15,'RSD (DEA)'!X220)</f>
        <v>2030</v>
      </c>
      <c r="R635" s="525">
        <f>IF(ISBLANK(I635),IF(MID(N635,2,2)="HA",VLOOKUP(I634,KEY_RSD_AF!$C$5:$G$52,2,FALSE),IF(MID(N635,2,2)="WA",VLOOKUP(I634,KEY_RSD_AF!$C$5:$G$52,3,FALSE),IF(MID(N635,2,2)="HH",VLOOKUP(I634,KEY_RSD_AF!$C$5:$G$52,4,FALSE),IF(MID(N635,2,2)="WH",VLOOKUP(I634,KEY_RSD_AF!$C$5:$G$52,5,FALSE))))),IF(MID(N635,2,2)="HA",VLOOKUP(I635,KEY_RSD_AF!$C$5:$G$52,2,FALSE),IF(MID(N635,2,2)="WA",VLOOKUP(I635,KEY_RSD_AF!$C$5:$G$52,3,FALSE),IF(MID(N635,2,2)="HH",VLOOKUP(I635,KEY_RSD_AF!$C$5:$G$52,4,FALSE),IF(MID(N635,2,2)="WH",VLOOKUP(I635,KEY_RSD_AF!$C$5:$G$52,5,FALSE))))))</f>
        <v>1</v>
      </c>
      <c r="S635" s="183">
        <f>$AJ$7</f>
        <v>0.65</v>
      </c>
      <c r="T635" s="183">
        <f>$AJ$7</f>
        <v>0.65</v>
      </c>
      <c r="U635" s="252">
        <v>0.5</v>
      </c>
      <c r="V635" s="183">
        <f>'RSD (DEA)'!BR220/'RSD (DEA)'!S220</f>
        <v>3.1285714285714286</v>
      </c>
      <c r="W635" s="183">
        <f>'RSD (DEA)'!BS220/RSD_HeatingDemand!$AH$9</f>
        <v>0</v>
      </c>
      <c r="X635" s="183">
        <f>'RSD (DEA)'!BK220*RSD_HeatingDemand!$AH$10/'RSD (DEA)'!S220</f>
        <v>528.57142857142856</v>
      </c>
      <c r="Y635" s="183">
        <f>'RSD (DEA)'!BI220</f>
        <v>30</v>
      </c>
      <c r="Z635" s="252"/>
      <c r="AA635" s="236">
        <f>'RSD (DEA)'!AM220</f>
        <v>31.536000000000001</v>
      </c>
      <c r="AC635" s="235">
        <f>'RSD (DEA)'!S220</f>
        <v>140</v>
      </c>
      <c r="AD635" s="235" t="str">
        <f>LEFT('RSD (DEA)'!AK220,2)&amp;RIGHT(E635,3)</f>
        <v>RWAPC</v>
      </c>
      <c r="AE635" s="183">
        <f>$AJ$7</f>
        <v>0.65</v>
      </c>
      <c r="AF635" s="183"/>
    </row>
    <row r="636" spans="1:32" x14ac:dyDescent="0.3">
      <c r="A636" s="235"/>
      <c r="D636" s="512"/>
      <c r="E636" s="512"/>
      <c r="F636" s="515"/>
      <c r="G636" s="515"/>
      <c r="H636" s="540"/>
      <c r="I636" s="512"/>
      <c r="J636" s="242"/>
      <c r="K636" s="242"/>
      <c r="L636" s="512"/>
      <c r="M636" s="252"/>
      <c r="N636" s="235" t="str">
        <f>AD635</f>
        <v>RWAPC</v>
      </c>
      <c r="O636" s="252"/>
      <c r="P636" s="182"/>
      <c r="Q636" s="182"/>
      <c r="R636" s="525">
        <f>IF(ISBLANK(I636),IF(MID(N636,2,2)="HA",VLOOKUP(I635,KEY_RSD_AF!$C$5:$G$52,2,FALSE),IF(MID(N636,2,2)="WA",VLOOKUP(I635,KEY_RSD_AF!$C$5:$G$52,3,FALSE),IF(MID(N636,2,2)="HH",VLOOKUP(I635,KEY_RSD_AF!$C$5:$G$52,4,FALSE),IF(MID(N636,2,2)="WH",VLOOKUP(I635,KEY_RSD_AF!$C$5:$G$52,5,FALSE))))),IF(MID(N636,2,2)="HA",VLOOKUP(I636,KEY_RSD_AF!$C$5:$G$52,2,FALSE),IF(MID(N636,2,2)="WA",VLOOKUP(I636,KEY_RSD_AF!$C$5:$G$52,3,FALSE),IF(MID(N636,2,2)="HH",VLOOKUP(I636,KEY_RSD_AF!$C$5:$G$52,4,FALSE),IF(MID(N636,2,2)="WH",VLOOKUP(I636,KEY_RSD_AF!$C$5:$G$52,5,FALSE))))))</f>
        <v>1</v>
      </c>
      <c r="S636" s="183">
        <f>T635</f>
        <v>0.65</v>
      </c>
      <c r="T636" s="183"/>
      <c r="U636" s="252"/>
      <c r="V636" s="183"/>
      <c r="W636" s="183"/>
      <c r="X636" s="183"/>
      <c r="Y636" s="183"/>
      <c r="Z636" s="252"/>
      <c r="AA636" s="236"/>
      <c r="AC636" s="235"/>
      <c r="AD636" s="235"/>
      <c r="AE636" s="183"/>
      <c r="AF636" s="183"/>
    </row>
    <row r="637" spans="1:32" x14ac:dyDescent="0.3">
      <c r="A637" s="235"/>
      <c r="C637" s="528" t="str">
        <f>'RSD (DEA)'!Z221</f>
        <v>T_SOL_04</v>
      </c>
      <c r="D637" s="512" t="str">
        <f>RSD_HeatingDemand!N637&amp;"_"&amp;LEFT(C637,LEN(C637)-2)&amp;"01"</f>
        <v>RHAPC_T_SOL_01</v>
      </c>
      <c r="E637" s="512" t="str">
        <f>"R"&amp;LEFT('RSD (DEA)'!AD221,2)&amp;IF(ISNUMBER(IFERROR(FIND("HTH",'RSD (DEA)'!Z221),IFERROR(FIND("HP",'RSD (DEA)'!Z221),"C"))),IF(IFERROR(FIND("HTH",'RSD (DEA)'!Z221),100)=100,"B","A"),"C")</f>
        <v>RAPC</v>
      </c>
      <c r="F637" s="515"/>
      <c r="G637" s="515"/>
      <c r="H637" s="540" t="str">
        <f t="shared" si="15"/>
        <v>RHAPC_T_SOL_04</v>
      </c>
      <c r="I637" s="512" t="str">
        <f>'RSD (DEA)'!AA221</f>
        <v>Solar heating</v>
      </c>
      <c r="J637" s="242" t="s">
        <v>239</v>
      </c>
      <c r="K637" s="242" t="s">
        <v>240</v>
      </c>
      <c r="L637" s="512" t="str">
        <f>'RSD (DEA)'!AH221</f>
        <v>RSDSOL</v>
      </c>
      <c r="M637" s="252"/>
      <c r="N637" s="235" t="str">
        <f>LEFT('RSD (DEA)'!AJ221,2)&amp;RIGHT(E637,3)</f>
        <v>RHAPC</v>
      </c>
      <c r="O637" s="252"/>
      <c r="P637" s="182">
        <f>IF('RSD (DEA)'!P221&lt;RSD_HeatingDemand!$AH$15,RSD_HeatingDemand!$AH$15,'RSD (DEA)'!P221)</f>
        <v>2019</v>
      </c>
      <c r="Q637" s="182">
        <f>IF('RSD (DEA)'!X221&lt;RSD_HeatingDemand!$AH$15,RSD_HeatingDemand!$AH$15,'RSD (DEA)'!X221)</f>
        <v>2050</v>
      </c>
      <c r="R637" s="525">
        <f>IF(ISBLANK(I637),IF(MID(N637,2,2)="HA",VLOOKUP(I636,KEY_RSD_AF!$C$5:$G$52,2,FALSE),IF(MID(N637,2,2)="WA",VLOOKUP(I636,KEY_RSD_AF!$C$5:$G$52,3,FALSE),IF(MID(N637,2,2)="HH",VLOOKUP(I636,KEY_RSD_AF!$C$5:$G$52,4,FALSE),IF(MID(N637,2,2)="WH",VLOOKUP(I636,KEY_RSD_AF!$C$5:$G$52,5,FALSE))))),IF(MID(N637,2,2)="HA",VLOOKUP(I637,KEY_RSD_AF!$C$5:$G$52,2,FALSE),IF(MID(N637,2,2)="WA",VLOOKUP(I637,KEY_RSD_AF!$C$5:$G$52,3,FALSE),IF(MID(N637,2,2)="HH",VLOOKUP(I637,KEY_RSD_AF!$C$5:$G$52,4,FALSE),IF(MID(N637,2,2)="WH",VLOOKUP(I637,KEY_RSD_AF!$C$5:$G$52,5,FALSE))))))</f>
        <v>1</v>
      </c>
      <c r="S637" s="183">
        <f>$AJ$7</f>
        <v>0.65</v>
      </c>
      <c r="T637" s="183">
        <f>$AJ$7</f>
        <v>0.65</v>
      </c>
      <c r="U637" s="252">
        <v>0.5</v>
      </c>
      <c r="V637" s="183">
        <f>'RSD (DEA)'!BR221/'RSD (DEA)'!S221</f>
        <v>2.8857142857142857</v>
      </c>
      <c r="W637" s="183">
        <f>'RSD (DEA)'!BS221/RSD_HeatingDemand!$AH$9</f>
        <v>0</v>
      </c>
      <c r="X637" s="183">
        <f>'RSD (DEA)'!BK221*RSD_HeatingDemand!$AH$10/'RSD (DEA)'!S221</f>
        <v>478.57142857142856</v>
      </c>
      <c r="Y637" s="183">
        <f>'RSD (DEA)'!BI221</f>
        <v>30</v>
      </c>
      <c r="Z637" s="252"/>
      <c r="AA637" s="236">
        <f>'RSD (DEA)'!AM221</f>
        <v>31.536000000000001</v>
      </c>
      <c r="AC637" s="235">
        <f>'RSD (DEA)'!S221</f>
        <v>140</v>
      </c>
      <c r="AD637" s="235" t="str">
        <f>LEFT('RSD (DEA)'!AK221,2)&amp;RIGHT(E637,3)</f>
        <v>RWAPC</v>
      </c>
      <c r="AE637" s="183">
        <f>$AJ$7</f>
        <v>0.65</v>
      </c>
      <c r="AF637" s="183"/>
    </row>
    <row r="638" spans="1:32" x14ac:dyDescent="0.3">
      <c r="A638" s="235"/>
      <c r="D638" s="512"/>
      <c r="E638" s="512"/>
      <c r="F638" s="515"/>
      <c r="G638" s="515"/>
      <c r="H638" s="540"/>
      <c r="I638" s="512"/>
      <c r="J638" s="242"/>
      <c r="K638" s="242"/>
      <c r="L638" s="512"/>
      <c r="M638" s="252"/>
      <c r="N638" s="235" t="str">
        <f>AD637</f>
        <v>RWAPC</v>
      </c>
      <c r="O638" s="252"/>
      <c r="P638" s="182"/>
      <c r="Q638" s="182"/>
      <c r="R638" s="525">
        <f>IF(ISBLANK(I638),IF(MID(N638,2,2)="HA",VLOOKUP(I637,KEY_RSD_AF!$C$5:$G$52,2,FALSE),IF(MID(N638,2,2)="WA",VLOOKUP(I637,KEY_RSD_AF!$C$5:$G$52,3,FALSE),IF(MID(N638,2,2)="HH",VLOOKUP(I637,KEY_RSD_AF!$C$5:$G$52,4,FALSE),IF(MID(N638,2,2)="WH",VLOOKUP(I637,KEY_RSD_AF!$C$5:$G$52,5,FALSE))))),IF(MID(N638,2,2)="HA",VLOOKUP(I638,KEY_RSD_AF!$C$5:$G$52,2,FALSE),IF(MID(N638,2,2)="WA",VLOOKUP(I638,KEY_RSD_AF!$C$5:$G$52,3,FALSE),IF(MID(N638,2,2)="HH",VLOOKUP(I638,KEY_RSD_AF!$C$5:$G$52,4,FALSE),IF(MID(N638,2,2)="WH",VLOOKUP(I638,KEY_RSD_AF!$C$5:$G$52,5,FALSE))))))</f>
        <v>1</v>
      </c>
      <c r="S638" s="183">
        <f>T637</f>
        <v>0.65</v>
      </c>
      <c r="T638" s="183"/>
      <c r="U638" s="252"/>
      <c r="V638" s="183"/>
      <c r="W638" s="183"/>
      <c r="X638" s="183"/>
      <c r="Y638" s="183"/>
      <c r="Z638" s="252"/>
      <c r="AA638" s="236"/>
      <c r="AC638" s="235"/>
      <c r="AD638" s="235"/>
      <c r="AE638" s="183"/>
      <c r="AF638" s="183"/>
    </row>
    <row r="639" spans="1:32" x14ac:dyDescent="0.3">
      <c r="A639" s="235"/>
      <c r="C639" s="528" t="str">
        <f>'RSD (DEA)'!Z222</f>
        <v>T_SOL_05</v>
      </c>
      <c r="D639" s="512" t="str">
        <f>RSD_HeatingDemand!N639&amp;"_"&amp;LEFT(C639,LEN(C639)-2)&amp;"02"</f>
        <v>RHAPC_T_SOL_02</v>
      </c>
      <c r="E639" s="512" t="str">
        <f>"R"&amp;LEFT('RSD (DEA)'!AD222,2)&amp;IF(ISNUMBER(IFERROR(FIND("HTH",'RSD (DEA)'!Z222),IFERROR(FIND("HP",'RSD (DEA)'!Z222),"C"))),IF(IFERROR(FIND("HTH",'RSD (DEA)'!Z222),100)=100,"B","A"),"C")</f>
        <v>RAPC</v>
      </c>
      <c r="F639" s="515"/>
      <c r="G639" s="515"/>
      <c r="H639" s="540" t="str">
        <f t="shared" si="15"/>
        <v>RHAPC_T_SOL_05</v>
      </c>
      <c r="I639" s="512" t="str">
        <f>'RSD (DEA)'!AA222</f>
        <v>Solar heating</v>
      </c>
      <c r="J639" s="242" t="s">
        <v>239</v>
      </c>
      <c r="K639" s="242" t="s">
        <v>240</v>
      </c>
      <c r="L639" s="512" t="str">
        <f>'RSD (DEA)'!AH222</f>
        <v>RSDSOL</v>
      </c>
      <c r="M639" s="252"/>
      <c r="N639" s="235" t="str">
        <f>LEFT('RSD (DEA)'!AJ222,2)&amp;RIGHT(E639,3)</f>
        <v>RHAPC</v>
      </c>
      <c r="O639" s="252"/>
      <c r="P639" s="182">
        <f>IF('RSD (DEA)'!P222&lt;RSD_HeatingDemand!$AH$15,RSD_HeatingDemand!$AH$15,'RSD (DEA)'!P222)</f>
        <v>2019</v>
      </c>
      <c r="Q639" s="182">
        <f>IF('RSD (DEA)'!X222&lt;RSD_HeatingDemand!$AH$15,RSD_HeatingDemand!$AH$15,'RSD (DEA)'!X222)</f>
        <v>2019</v>
      </c>
      <c r="R639" s="525">
        <f>IF(ISBLANK(I639),IF(MID(N639,2,2)="HA",VLOOKUP(I638,KEY_RSD_AF!$C$5:$G$52,2,FALSE),IF(MID(N639,2,2)="WA",VLOOKUP(I638,KEY_RSD_AF!$C$5:$G$52,3,FALSE),IF(MID(N639,2,2)="HH",VLOOKUP(I638,KEY_RSD_AF!$C$5:$G$52,4,FALSE),IF(MID(N639,2,2)="WH",VLOOKUP(I638,KEY_RSD_AF!$C$5:$G$52,5,FALSE))))),IF(MID(N639,2,2)="HA",VLOOKUP(I639,KEY_RSD_AF!$C$5:$G$52,2,FALSE),IF(MID(N639,2,2)="WA",VLOOKUP(I639,KEY_RSD_AF!$C$5:$G$52,3,FALSE),IF(MID(N639,2,2)="HH",VLOOKUP(I639,KEY_RSD_AF!$C$5:$G$52,4,FALSE),IF(MID(N639,2,2)="WH",VLOOKUP(I639,KEY_RSD_AF!$C$5:$G$52,5,FALSE))))))</f>
        <v>1</v>
      </c>
      <c r="S639" s="183">
        <f>$AJ$7</f>
        <v>0.65</v>
      </c>
      <c r="T639" s="183">
        <f>$AJ$7</f>
        <v>0.65</v>
      </c>
      <c r="U639" s="252">
        <v>0.5</v>
      </c>
      <c r="V639" s="183">
        <f>'RSD (DEA)'!BR222/'RSD (DEA)'!S222</f>
        <v>2.7785714285714285</v>
      </c>
      <c r="W639" s="183">
        <f>'RSD (DEA)'!BS222/RSD_HeatingDemand!$AH$9</f>
        <v>0</v>
      </c>
      <c r="X639" s="183">
        <f>'RSD (DEA)'!BK222*RSD_HeatingDemand!$AH$10/'RSD (DEA)'!S222</f>
        <v>575.26366251198465</v>
      </c>
      <c r="Y639" s="183">
        <f>'RSD (DEA)'!BI222</f>
        <v>20</v>
      </c>
      <c r="Z639" s="252"/>
      <c r="AA639" s="236">
        <f>'RSD (DEA)'!AM222</f>
        <v>31.536000000000001</v>
      </c>
      <c r="AC639" s="235">
        <f>'RSD (DEA)'!S222</f>
        <v>140</v>
      </c>
      <c r="AD639" s="235" t="str">
        <f>LEFT('RSD (DEA)'!AK222,2)&amp;RIGHT(E639,3)</f>
        <v>RWAPC</v>
      </c>
      <c r="AE639" s="183">
        <f>$AJ$7</f>
        <v>0.65</v>
      </c>
      <c r="AF639" s="183"/>
    </row>
    <row r="640" spans="1:32" x14ac:dyDescent="0.3">
      <c r="A640" s="235"/>
      <c r="D640" s="512"/>
      <c r="E640" s="512"/>
      <c r="F640" s="515"/>
      <c r="G640" s="515"/>
      <c r="H640" s="540"/>
      <c r="I640" s="512"/>
      <c r="J640" s="242"/>
      <c r="K640" s="242"/>
      <c r="L640" s="512"/>
      <c r="M640" s="252"/>
      <c r="N640" s="235" t="str">
        <f>AD639</f>
        <v>RWAPC</v>
      </c>
      <c r="O640" s="252"/>
      <c r="P640" s="182"/>
      <c r="Q640" s="182"/>
      <c r="R640" s="525">
        <f>IF(ISBLANK(I640),IF(MID(N640,2,2)="HA",VLOOKUP(I639,KEY_RSD_AF!$C$5:$G$52,2,FALSE),IF(MID(N640,2,2)="WA",VLOOKUP(I639,KEY_RSD_AF!$C$5:$G$52,3,FALSE),IF(MID(N640,2,2)="HH",VLOOKUP(I639,KEY_RSD_AF!$C$5:$G$52,4,FALSE),IF(MID(N640,2,2)="WH",VLOOKUP(I639,KEY_RSD_AF!$C$5:$G$52,5,FALSE))))),IF(MID(N640,2,2)="HA",VLOOKUP(I640,KEY_RSD_AF!$C$5:$G$52,2,FALSE),IF(MID(N640,2,2)="WA",VLOOKUP(I640,KEY_RSD_AF!$C$5:$G$52,3,FALSE),IF(MID(N640,2,2)="HH",VLOOKUP(I640,KEY_RSD_AF!$C$5:$G$52,4,FALSE),IF(MID(N640,2,2)="WH",VLOOKUP(I640,KEY_RSD_AF!$C$5:$G$52,5,FALSE))))))</f>
        <v>1</v>
      </c>
      <c r="S640" s="183">
        <f>T639</f>
        <v>0.65</v>
      </c>
      <c r="T640" s="183"/>
      <c r="U640" s="252"/>
      <c r="V640" s="183"/>
      <c r="W640" s="183"/>
      <c r="X640" s="183"/>
      <c r="Y640" s="183"/>
      <c r="Z640" s="252"/>
      <c r="AA640" s="236"/>
      <c r="AC640" s="235"/>
      <c r="AD640" s="235"/>
      <c r="AE640" s="183"/>
      <c r="AF640" s="183"/>
    </row>
    <row r="641" spans="1:32" x14ac:dyDescent="0.3">
      <c r="A641" s="235"/>
      <c r="C641" s="528" t="str">
        <f>'RSD (DEA)'!Z223</f>
        <v>T_SOL_05</v>
      </c>
      <c r="D641" s="512" t="str">
        <f>RSD_HeatingDemand!N641&amp;"_"&amp;LEFT(C641,LEN(C641)-2)&amp;"02"</f>
        <v>RHAPC_T_SOL_02</v>
      </c>
      <c r="E641" s="512" t="str">
        <f>"R"&amp;LEFT('RSD (DEA)'!AD223,2)&amp;IF(ISNUMBER(IFERROR(FIND("HTH",'RSD (DEA)'!Z223),IFERROR(FIND("HP",'RSD (DEA)'!Z223),"C"))),IF(IFERROR(FIND("HTH",'RSD (DEA)'!Z223),100)=100,"B","A"),"C")</f>
        <v>RAPC</v>
      </c>
      <c r="F641" s="515"/>
      <c r="G641" s="515"/>
      <c r="H641" s="540" t="str">
        <f t="shared" si="15"/>
        <v>RHAPC_T_SOL_06</v>
      </c>
      <c r="I641" s="512" t="str">
        <f>'RSD (DEA)'!AA223</f>
        <v>Solar heating</v>
      </c>
      <c r="J641" s="242" t="s">
        <v>239</v>
      </c>
      <c r="K641" s="242" t="s">
        <v>240</v>
      </c>
      <c r="L641" s="512" t="str">
        <f>'RSD (DEA)'!AH223</f>
        <v>RSDSOL</v>
      </c>
      <c r="M641" s="252"/>
      <c r="N641" s="235" t="str">
        <f>LEFT('RSD (DEA)'!AJ223,2)&amp;RIGHT(E641,3)</f>
        <v>RHAPC</v>
      </c>
      <c r="O641" s="252"/>
      <c r="P641" s="182">
        <f>IF('RSD (DEA)'!P223&lt;RSD_HeatingDemand!$AH$15,RSD_HeatingDemand!$AH$15,'RSD (DEA)'!P223)</f>
        <v>2019</v>
      </c>
      <c r="Q641" s="182">
        <f>IF('RSD (DEA)'!X223&lt;RSD_HeatingDemand!$AH$15,RSD_HeatingDemand!$AH$15,'RSD (DEA)'!X223)</f>
        <v>2020</v>
      </c>
      <c r="R641" s="525">
        <f>IF(ISBLANK(I641),IF(MID(N641,2,2)="HA",VLOOKUP(I640,KEY_RSD_AF!$C$5:$G$52,2,FALSE),IF(MID(N641,2,2)="WA",VLOOKUP(I640,KEY_RSD_AF!$C$5:$G$52,3,FALSE),IF(MID(N641,2,2)="HH",VLOOKUP(I640,KEY_RSD_AF!$C$5:$G$52,4,FALSE),IF(MID(N641,2,2)="WH",VLOOKUP(I640,KEY_RSD_AF!$C$5:$G$52,5,FALSE))))),IF(MID(N641,2,2)="HA",VLOOKUP(I641,KEY_RSD_AF!$C$5:$G$52,2,FALSE),IF(MID(N641,2,2)="WA",VLOOKUP(I641,KEY_RSD_AF!$C$5:$G$52,3,FALSE),IF(MID(N641,2,2)="HH",VLOOKUP(I641,KEY_RSD_AF!$C$5:$G$52,4,FALSE),IF(MID(N641,2,2)="WH",VLOOKUP(I641,KEY_RSD_AF!$C$5:$G$52,5,FALSE))))))</f>
        <v>1</v>
      </c>
      <c r="S641" s="183">
        <f>$AJ$7</f>
        <v>0.65</v>
      </c>
      <c r="T641" s="183">
        <f>$AJ$7</f>
        <v>0.65</v>
      </c>
      <c r="U641" s="252">
        <v>0.5</v>
      </c>
      <c r="V641" s="183">
        <f>'RSD (DEA)'!BR223/'RSD (DEA)'!S223</f>
        <v>2.7714285714285714</v>
      </c>
      <c r="W641" s="183">
        <f>'RSD (DEA)'!BS223/RSD_HeatingDemand!$AH$9</f>
        <v>0</v>
      </c>
      <c r="X641" s="183">
        <f>'RSD (DEA)'!BK223*RSD_HeatingDemand!$AH$10/'RSD (DEA)'!S223</f>
        <v>528.57142857142856</v>
      </c>
      <c r="Y641" s="183">
        <f>'RSD (DEA)'!BI223</f>
        <v>25</v>
      </c>
      <c r="Z641" s="252"/>
      <c r="AA641" s="236">
        <f>'RSD (DEA)'!AM223</f>
        <v>31.536000000000001</v>
      </c>
      <c r="AC641" s="235">
        <f>'RSD (DEA)'!S223</f>
        <v>140</v>
      </c>
      <c r="AD641" s="235" t="str">
        <f>LEFT('RSD (DEA)'!AK223,2)&amp;RIGHT(E641,3)</f>
        <v>RWAPC</v>
      </c>
      <c r="AE641" s="183">
        <f>$AJ$7</f>
        <v>0.65</v>
      </c>
      <c r="AF641" s="183"/>
    </row>
    <row r="642" spans="1:32" x14ac:dyDescent="0.3">
      <c r="A642" s="235"/>
      <c r="D642" s="512"/>
      <c r="E642" s="512"/>
      <c r="F642" s="515"/>
      <c r="G642" s="515"/>
      <c r="H642" s="540"/>
      <c r="I642" s="512"/>
      <c r="J642" s="242"/>
      <c r="K642" s="242"/>
      <c r="L642" s="512"/>
      <c r="M642" s="252"/>
      <c r="N642" s="235" t="str">
        <f>AD641</f>
        <v>RWAPC</v>
      </c>
      <c r="O642" s="252"/>
      <c r="P642" s="182"/>
      <c r="Q642" s="182"/>
      <c r="R642" s="525">
        <f>IF(ISBLANK(I642),IF(MID(N642,2,2)="HA",VLOOKUP(I641,KEY_RSD_AF!$C$5:$G$52,2,FALSE),IF(MID(N642,2,2)="WA",VLOOKUP(I641,KEY_RSD_AF!$C$5:$G$52,3,FALSE),IF(MID(N642,2,2)="HH",VLOOKUP(I641,KEY_RSD_AF!$C$5:$G$52,4,FALSE),IF(MID(N642,2,2)="WH",VLOOKUP(I641,KEY_RSD_AF!$C$5:$G$52,5,FALSE))))),IF(MID(N642,2,2)="HA",VLOOKUP(I642,KEY_RSD_AF!$C$5:$G$52,2,FALSE),IF(MID(N642,2,2)="WA",VLOOKUP(I642,KEY_RSD_AF!$C$5:$G$52,3,FALSE),IF(MID(N642,2,2)="HH",VLOOKUP(I642,KEY_RSD_AF!$C$5:$G$52,4,FALSE),IF(MID(N642,2,2)="WH",VLOOKUP(I642,KEY_RSD_AF!$C$5:$G$52,5,FALSE))))))</f>
        <v>1</v>
      </c>
      <c r="S642" s="183">
        <f>T641</f>
        <v>0.65</v>
      </c>
      <c r="T642" s="183"/>
      <c r="U642" s="252"/>
      <c r="V642" s="183"/>
      <c r="W642" s="183"/>
      <c r="X642" s="183"/>
      <c r="Y642" s="183"/>
      <c r="Z642" s="252"/>
      <c r="AA642" s="236"/>
      <c r="AC642" s="235"/>
      <c r="AD642" s="235"/>
      <c r="AE642" s="183"/>
      <c r="AF642" s="183"/>
    </row>
    <row r="643" spans="1:32" x14ac:dyDescent="0.3">
      <c r="A643" s="235"/>
      <c r="C643" s="528" t="str">
        <f>'RSD (DEA)'!Z224</f>
        <v>T_SOL_05</v>
      </c>
      <c r="D643" s="512" t="str">
        <f>RSD_HeatingDemand!N643&amp;"_"&amp;LEFT(C643,LEN(C643)-2)&amp;"02"</f>
        <v>RHAPC_T_SOL_02</v>
      </c>
      <c r="E643" s="512" t="str">
        <f>"R"&amp;LEFT('RSD (DEA)'!AD224,2)&amp;IF(ISNUMBER(IFERROR(FIND("HTH",'RSD (DEA)'!Z224),IFERROR(FIND("HP",'RSD (DEA)'!Z224),"C"))),IF(IFERROR(FIND("HTH",'RSD (DEA)'!Z224),100)=100,"B","A"),"C")</f>
        <v>RAPC</v>
      </c>
      <c r="F643" s="515"/>
      <c r="G643" s="515"/>
      <c r="H643" s="540" t="str">
        <f t="shared" si="15"/>
        <v>RHAPC_T_SOL_07</v>
      </c>
      <c r="I643" s="512" t="str">
        <f>'RSD (DEA)'!AA224</f>
        <v>Solar heating</v>
      </c>
      <c r="J643" s="242" t="s">
        <v>239</v>
      </c>
      <c r="K643" s="242" t="s">
        <v>240</v>
      </c>
      <c r="L643" s="512" t="str">
        <f>'RSD (DEA)'!AH224</f>
        <v>RSDSOL</v>
      </c>
      <c r="M643" s="252"/>
      <c r="N643" s="235" t="str">
        <f>LEFT('RSD (DEA)'!AJ224,2)&amp;RIGHT(E643,3)</f>
        <v>RHAPC</v>
      </c>
      <c r="O643" s="252"/>
      <c r="P643" s="182">
        <f>IF('RSD (DEA)'!P224&lt;RSD_HeatingDemand!$AH$15,RSD_HeatingDemand!$AH$15,'RSD (DEA)'!P224)</f>
        <v>2019</v>
      </c>
      <c r="Q643" s="182">
        <f>IF('RSD (DEA)'!X224&lt;RSD_HeatingDemand!$AH$15,RSD_HeatingDemand!$AH$15,'RSD (DEA)'!X224)</f>
        <v>2030</v>
      </c>
      <c r="R643" s="525">
        <f>IF(ISBLANK(I643),IF(MID(N643,2,2)="HA",VLOOKUP(I642,KEY_RSD_AF!$C$5:$G$52,2,FALSE),IF(MID(N643,2,2)="WA",VLOOKUP(I642,KEY_RSD_AF!$C$5:$G$52,3,FALSE),IF(MID(N643,2,2)="HH",VLOOKUP(I642,KEY_RSD_AF!$C$5:$G$52,4,FALSE),IF(MID(N643,2,2)="WH",VLOOKUP(I642,KEY_RSD_AF!$C$5:$G$52,5,FALSE))))),IF(MID(N643,2,2)="HA",VLOOKUP(I643,KEY_RSD_AF!$C$5:$G$52,2,FALSE),IF(MID(N643,2,2)="WA",VLOOKUP(I643,KEY_RSD_AF!$C$5:$G$52,3,FALSE),IF(MID(N643,2,2)="HH",VLOOKUP(I643,KEY_RSD_AF!$C$5:$G$52,4,FALSE),IF(MID(N643,2,2)="WH",VLOOKUP(I643,KEY_RSD_AF!$C$5:$G$52,5,FALSE))))))</f>
        <v>1</v>
      </c>
      <c r="S643" s="183">
        <f>$AJ$7</f>
        <v>0.65</v>
      </c>
      <c r="T643" s="183">
        <f>$AJ$7</f>
        <v>0.65</v>
      </c>
      <c r="U643" s="252">
        <v>0.5</v>
      </c>
      <c r="V643" s="183">
        <f>'RSD (DEA)'!BR224/'RSD (DEA)'!S224</f>
        <v>3.1285714285714286</v>
      </c>
      <c r="W643" s="183">
        <f>'RSD (DEA)'!BS224/RSD_HeatingDemand!$AH$9</f>
        <v>0</v>
      </c>
      <c r="X643" s="183">
        <f>'RSD (DEA)'!BK224*RSD_HeatingDemand!$AH$10/'RSD (DEA)'!S224</f>
        <v>478.57142857142856</v>
      </c>
      <c r="Y643" s="183">
        <f>'RSD (DEA)'!BI224</f>
        <v>30</v>
      </c>
      <c r="Z643" s="252"/>
      <c r="AA643" s="236">
        <f>'RSD (DEA)'!AM224</f>
        <v>31.536000000000001</v>
      </c>
      <c r="AC643" s="235">
        <f>'RSD (DEA)'!S224</f>
        <v>140</v>
      </c>
      <c r="AD643" s="235" t="str">
        <f>LEFT('RSD (DEA)'!AK224,2)&amp;RIGHT(E643,3)</f>
        <v>RWAPC</v>
      </c>
      <c r="AE643" s="183">
        <f>$AJ$7</f>
        <v>0.65</v>
      </c>
      <c r="AF643" s="183"/>
    </row>
    <row r="644" spans="1:32" x14ac:dyDescent="0.3">
      <c r="A644" s="235"/>
      <c r="D644" s="512"/>
      <c r="E644" s="512"/>
      <c r="F644" s="515"/>
      <c r="G644" s="515"/>
      <c r="H644" s="540"/>
      <c r="I644" s="512"/>
      <c r="J644" s="242"/>
      <c r="K644" s="242"/>
      <c r="L644" s="512"/>
      <c r="M644" s="252"/>
      <c r="N644" s="235" t="str">
        <f>AD643</f>
        <v>RWAPC</v>
      </c>
      <c r="O644" s="252"/>
      <c r="P644" s="182"/>
      <c r="Q644" s="182"/>
      <c r="R644" s="525">
        <f>IF(ISBLANK(I644),IF(MID(N644,2,2)="HA",VLOOKUP(I643,KEY_RSD_AF!$C$5:$G$52,2,FALSE),IF(MID(N644,2,2)="WA",VLOOKUP(I643,KEY_RSD_AF!$C$5:$G$52,3,FALSE),IF(MID(N644,2,2)="HH",VLOOKUP(I643,KEY_RSD_AF!$C$5:$G$52,4,FALSE),IF(MID(N644,2,2)="WH",VLOOKUP(I643,KEY_RSD_AF!$C$5:$G$52,5,FALSE))))),IF(MID(N644,2,2)="HA",VLOOKUP(I644,KEY_RSD_AF!$C$5:$G$52,2,FALSE),IF(MID(N644,2,2)="WA",VLOOKUP(I644,KEY_RSD_AF!$C$5:$G$52,3,FALSE),IF(MID(N644,2,2)="HH",VLOOKUP(I644,KEY_RSD_AF!$C$5:$G$52,4,FALSE),IF(MID(N644,2,2)="WH",VLOOKUP(I644,KEY_RSD_AF!$C$5:$G$52,5,FALSE))))))</f>
        <v>1</v>
      </c>
      <c r="S644" s="183">
        <f>T643</f>
        <v>0.65</v>
      </c>
      <c r="T644" s="183"/>
      <c r="U644" s="252"/>
      <c r="V644" s="183"/>
      <c r="W644" s="183"/>
      <c r="X644" s="183"/>
      <c r="Y644" s="183"/>
      <c r="Z644" s="252"/>
      <c r="AA644" s="236"/>
      <c r="AC644" s="235"/>
      <c r="AD644" s="235"/>
      <c r="AE644" s="183"/>
      <c r="AF644" s="183"/>
    </row>
    <row r="645" spans="1:32" x14ac:dyDescent="0.3">
      <c r="A645" s="235"/>
      <c r="C645" s="528" t="str">
        <f>'RSD (DEA)'!Z225</f>
        <v>T_SOL_05</v>
      </c>
      <c r="D645" s="512" t="str">
        <f>RSD_HeatingDemand!N645&amp;"_"&amp;LEFT(C645,LEN(C645)-2)&amp;"02"</f>
        <v>RHAPC_T_SOL_02</v>
      </c>
      <c r="E645" s="512" t="str">
        <f>"R"&amp;LEFT('RSD (DEA)'!AD225,2)&amp;IF(ISNUMBER(IFERROR(FIND("HTH",'RSD (DEA)'!Z225),IFERROR(FIND("HP",'RSD (DEA)'!Z225),"C"))),IF(IFERROR(FIND("HTH",'RSD (DEA)'!Z225),100)=100,"B","A"),"C")</f>
        <v>RAPC</v>
      </c>
      <c r="F645" s="515"/>
      <c r="G645" s="515"/>
      <c r="H645" s="540" t="str">
        <f t="shared" si="15"/>
        <v>RHAPC_T_SOL_08</v>
      </c>
      <c r="I645" s="512" t="str">
        <f>'RSD (DEA)'!AA225</f>
        <v>Solar heating</v>
      </c>
      <c r="J645" s="242" t="s">
        <v>239</v>
      </c>
      <c r="K645" s="242" t="s">
        <v>240</v>
      </c>
      <c r="L645" s="512" t="str">
        <f>'RSD (DEA)'!AH225</f>
        <v>RSDSOL</v>
      </c>
      <c r="M645" s="252"/>
      <c r="N645" s="235" t="str">
        <f>LEFT('RSD (DEA)'!AJ225,2)&amp;RIGHT(E645,3)</f>
        <v>RHAPC</v>
      </c>
      <c r="O645" s="252"/>
      <c r="P645" s="182">
        <f>IF('RSD (DEA)'!P225&lt;RSD_HeatingDemand!$AH$15,RSD_HeatingDemand!$AH$15,'RSD (DEA)'!P225)</f>
        <v>2019</v>
      </c>
      <c r="Q645" s="182">
        <f>IF('RSD (DEA)'!X225&lt;RSD_HeatingDemand!$AH$15,RSD_HeatingDemand!$AH$15,'RSD (DEA)'!X225)</f>
        <v>2050</v>
      </c>
      <c r="R645" s="525">
        <f>IF(ISBLANK(I645),IF(MID(N645,2,2)="HA",VLOOKUP(I644,KEY_RSD_AF!$C$5:$G$52,2,FALSE),IF(MID(N645,2,2)="WA",VLOOKUP(I644,KEY_RSD_AF!$C$5:$G$52,3,FALSE),IF(MID(N645,2,2)="HH",VLOOKUP(I644,KEY_RSD_AF!$C$5:$G$52,4,FALSE),IF(MID(N645,2,2)="WH",VLOOKUP(I644,KEY_RSD_AF!$C$5:$G$52,5,FALSE))))),IF(MID(N645,2,2)="HA",VLOOKUP(I645,KEY_RSD_AF!$C$5:$G$52,2,FALSE),IF(MID(N645,2,2)="WA",VLOOKUP(I645,KEY_RSD_AF!$C$5:$G$52,3,FALSE),IF(MID(N645,2,2)="HH",VLOOKUP(I645,KEY_RSD_AF!$C$5:$G$52,4,FALSE),IF(MID(N645,2,2)="WH",VLOOKUP(I645,KEY_RSD_AF!$C$5:$G$52,5,FALSE))))))</f>
        <v>1</v>
      </c>
      <c r="S645" s="183">
        <f>$AJ$7</f>
        <v>0.65</v>
      </c>
      <c r="T645" s="183">
        <f>$AJ$7</f>
        <v>0.65</v>
      </c>
      <c r="U645" s="252">
        <v>0.5</v>
      </c>
      <c r="V645" s="183">
        <f>'RSD (DEA)'!BR225/'RSD (DEA)'!S225</f>
        <v>2.8857142857142857</v>
      </c>
      <c r="W645" s="183">
        <f>'RSD (DEA)'!BS225/RSD_HeatingDemand!$AH$9</f>
        <v>0</v>
      </c>
      <c r="X645" s="183">
        <f>'RSD (DEA)'!BK225*RSD_HeatingDemand!$AH$10/'RSD (DEA)'!S225</f>
        <v>428.57142857142856</v>
      </c>
      <c r="Y645" s="183">
        <f>'RSD (DEA)'!BI225</f>
        <v>30</v>
      </c>
      <c r="Z645" s="252"/>
      <c r="AA645" s="236">
        <f>'RSD (DEA)'!AM225</f>
        <v>31.536000000000001</v>
      </c>
      <c r="AC645" s="235">
        <f>'RSD (DEA)'!S225</f>
        <v>140</v>
      </c>
      <c r="AD645" s="235" t="str">
        <f>LEFT('RSD (DEA)'!AK225,2)&amp;RIGHT(E645,3)</f>
        <v>RWAPC</v>
      </c>
      <c r="AE645" s="183">
        <f>$AJ$7</f>
        <v>0.65</v>
      </c>
      <c r="AF645" s="183"/>
    </row>
    <row r="646" spans="1:32" x14ac:dyDescent="0.3">
      <c r="A646" s="235"/>
      <c r="D646" s="512"/>
      <c r="E646" s="512"/>
      <c r="F646" s="515"/>
      <c r="G646" s="515"/>
      <c r="H646" s="540"/>
      <c r="I646" s="512"/>
      <c r="J646" s="242"/>
      <c r="K646" s="242"/>
      <c r="L646" s="512"/>
      <c r="M646" s="252"/>
      <c r="N646" s="235" t="str">
        <f>AD645</f>
        <v>RWAPC</v>
      </c>
      <c r="O646" s="252"/>
      <c r="P646" s="182"/>
      <c r="Q646" s="182"/>
      <c r="R646" s="525">
        <f>IF(ISBLANK(I646),IF(MID(N646,2,2)="HA",VLOOKUP(I645,KEY_RSD_AF!$C$5:$G$52,2,FALSE),IF(MID(N646,2,2)="WA",VLOOKUP(I645,KEY_RSD_AF!$C$5:$G$52,3,FALSE),IF(MID(N646,2,2)="HH",VLOOKUP(I645,KEY_RSD_AF!$C$5:$G$52,4,FALSE),IF(MID(N646,2,2)="WH",VLOOKUP(I645,KEY_RSD_AF!$C$5:$G$52,5,FALSE))))),IF(MID(N646,2,2)="HA",VLOOKUP(I646,KEY_RSD_AF!$C$5:$G$52,2,FALSE),IF(MID(N646,2,2)="WA",VLOOKUP(I646,KEY_RSD_AF!$C$5:$G$52,3,FALSE),IF(MID(N646,2,2)="HH",VLOOKUP(I646,KEY_RSD_AF!$C$5:$G$52,4,FALSE),IF(MID(N646,2,2)="WH",VLOOKUP(I646,KEY_RSD_AF!$C$5:$G$52,5,FALSE))))))</f>
        <v>1</v>
      </c>
      <c r="S646" s="183">
        <f>T645</f>
        <v>0.65</v>
      </c>
      <c r="T646" s="183"/>
      <c r="U646" s="252"/>
      <c r="V646" s="183"/>
      <c r="W646" s="183"/>
      <c r="X646" s="183"/>
      <c r="Y646" s="183"/>
      <c r="Z646" s="252"/>
      <c r="AA646" s="236"/>
      <c r="AC646" s="235"/>
      <c r="AD646" s="235"/>
      <c r="AE646" s="183"/>
      <c r="AF646" s="183"/>
    </row>
    <row r="647" spans="1:32" x14ac:dyDescent="0.3">
      <c r="A647" s="235"/>
      <c r="C647" s="528" t="str">
        <f>'RSD (DEA)'!Z226</f>
        <v>R_ELC_01</v>
      </c>
      <c r="D647" s="512" t="str">
        <f>RSD_HeatingDemand!N647&amp;"_"&amp;C647</f>
        <v>RHHSC_R_ELC_01</v>
      </c>
      <c r="E647" s="512" t="str">
        <f>"R"&amp;LEFT('RSD (DEA)'!AD226,2)&amp;IF(ISNUMBER(IFERROR(FIND("HTH",'RSD (DEA)'!Z226),IFERROR(FIND("HP",'RSD (DEA)'!Z226),"C"))),IF(IFERROR(FIND("HTH",'RSD (DEA)'!Z226),100)=100,"B","A"),"C")</f>
        <v>RHSC</v>
      </c>
      <c r="F647" s="515"/>
      <c r="G647" s="515"/>
      <c r="H647" s="540" t="str">
        <f t="shared" ref="H647:H663" si="16">IF(LEFT(D647,LEN(D647)-2)=LEFT(D645,LEN(D647)-2),LEFT(D647,LEN(D647)-2)&amp;IF(RIGHT(H645,2)+1&lt;=9,"0"&amp;RIGHT(H645)+1,RIGHT(H645,2)+1),D647)</f>
        <v>RHHSC_R_ELC_01</v>
      </c>
      <c r="I647" s="512" t="str">
        <f>'RSD (DEA)'!AA226</f>
        <v>Electric heating</v>
      </c>
      <c r="J647" s="242" t="s">
        <v>239</v>
      </c>
      <c r="K647" s="242" t="s">
        <v>240</v>
      </c>
      <c r="L647" s="512" t="str">
        <f>'RSD (DEA)'!AH226</f>
        <v>RSDELC</v>
      </c>
      <c r="M647" s="252"/>
      <c r="N647" s="235" t="str">
        <f>LEFT('RSD (DEA)'!AJ226,2)&amp;RIGHT(E647,3)</f>
        <v>RHHSC</v>
      </c>
      <c r="O647" s="252"/>
      <c r="P647" s="182">
        <f>IF('RSD (DEA)'!P226&lt;RSD_HeatingDemand!$AH$15,RSD_HeatingDemand!$AH$15,'RSD (DEA)'!P226)</f>
        <v>2019</v>
      </c>
      <c r="Q647" s="182">
        <f>IF('RSD (DEA)'!X226&lt;RSD_HeatingDemand!$AH$15,RSD_HeatingDemand!$AH$15,'RSD (DEA)'!X226)</f>
        <v>2019</v>
      </c>
      <c r="R647" s="525">
        <f>IF(ISBLANK(I647),IF(MID(N647,2,2)="HA",VLOOKUP(I646,KEY_RSD_AF!$C$5:$G$52,2,FALSE),IF(MID(N647,2,2)="WA",VLOOKUP(I646,KEY_RSD_AF!$C$5:$G$52,3,FALSE),IF(MID(N647,2,2)="HH",VLOOKUP(I646,KEY_RSD_AF!$C$5:$G$52,4,FALSE),IF(MID(N647,2,2)="WH",VLOOKUP(I646,KEY_RSD_AF!$C$5:$G$52,5,FALSE))))),IF(MID(N647,2,2)="HA",VLOOKUP(I647,KEY_RSD_AF!$C$5:$G$52,2,FALSE),IF(MID(N647,2,2)="WA",VLOOKUP(I647,KEY_RSD_AF!$C$5:$G$52,3,FALSE),IF(MID(N647,2,2)="HH",VLOOKUP(I647,KEY_RSD_AF!$C$5:$G$52,4,FALSE),IF(MID(N647,2,2)="WH",VLOOKUP(I647,KEY_RSD_AF!$C$5:$G$52,5,FALSE))))))</f>
        <v>1</v>
      </c>
      <c r="S647" s="183">
        <f>'RSD (DEA)'!AZ226</f>
        <v>1</v>
      </c>
      <c r="T647" s="183">
        <f>'RSD (DEA)'!BA226</f>
        <v>1</v>
      </c>
      <c r="U647" s="252">
        <v>0.5</v>
      </c>
      <c r="V647" s="183">
        <f>'RSD (DEA)'!BR226/'RSD (DEA)'!S226</f>
        <v>8.3333333333333339</v>
      </c>
      <c r="W647" s="183">
        <f>'RSD (DEA)'!BS226/RSD_HeatingDemand!$AH$9</f>
        <v>0</v>
      </c>
      <c r="X647" s="183">
        <f>'RSD (DEA)'!BK226*RSD_HeatingDemand!$AH$10/'RSD (DEA)'!S226</f>
        <v>1000</v>
      </c>
      <c r="Y647" s="183">
        <f>'RSD (DEA)'!BI226</f>
        <v>30</v>
      </c>
      <c r="Z647" s="252"/>
      <c r="AA647" s="236">
        <f>'RSD (DEA)'!AM226</f>
        <v>31.536000000000001</v>
      </c>
      <c r="AC647" s="235">
        <f>'RSD (DEA)'!S226</f>
        <v>3</v>
      </c>
      <c r="AD647" s="235" t="str">
        <f>LEFT('RSD (DEA)'!AK226,2)&amp;RIGHT(E647,3)</f>
        <v>RWHSC</v>
      </c>
      <c r="AE647" s="183">
        <f>'RSD (DEA)'!BA226</f>
        <v>1</v>
      </c>
      <c r="AF647" s="183"/>
    </row>
    <row r="648" spans="1:32" x14ac:dyDescent="0.3">
      <c r="A648" s="235"/>
      <c r="D648" s="512"/>
      <c r="E648" s="512"/>
      <c r="F648" s="515"/>
      <c r="G648" s="515"/>
      <c r="H648" s="540"/>
      <c r="I648" s="512"/>
      <c r="J648" s="242"/>
      <c r="K648" s="242"/>
      <c r="L648" s="512"/>
      <c r="M648" s="252"/>
      <c r="N648" s="235" t="str">
        <f>AD647</f>
        <v>RWHSC</v>
      </c>
      <c r="O648" s="252"/>
      <c r="P648" s="182"/>
      <c r="Q648" s="182"/>
      <c r="R648" s="525">
        <f>IF(ISBLANK(I648),IF(MID(N648,2,2)="HA",VLOOKUP(I647,KEY_RSD_AF!$C$5:$G$52,2,FALSE),IF(MID(N648,2,2)="WA",VLOOKUP(I647,KEY_RSD_AF!$C$5:$G$52,3,FALSE),IF(MID(N648,2,2)="HH",VLOOKUP(I647,KEY_RSD_AF!$C$5:$G$52,4,FALSE),IF(MID(N648,2,2)="WH",VLOOKUP(I647,KEY_RSD_AF!$C$5:$G$52,5,FALSE))))),IF(MID(N648,2,2)="HA",VLOOKUP(I648,KEY_RSD_AF!$C$5:$G$52,2,FALSE),IF(MID(N648,2,2)="WA",VLOOKUP(I648,KEY_RSD_AF!$C$5:$G$52,3,FALSE),IF(MID(N648,2,2)="HH",VLOOKUP(I648,KEY_RSD_AF!$C$5:$G$52,4,FALSE),IF(MID(N648,2,2)="WH",VLOOKUP(I648,KEY_RSD_AF!$C$5:$G$52,5,FALSE))))))</f>
        <v>1</v>
      </c>
      <c r="S648" s="183">
        <f>T647</f>
        <v>1</v>
      </c>
      <c r="T648" s="183"/>
      <c r="U648" s="252"/>
      <c r="V648" s="183"/>
      <c r="W648" s="183"/>
      <c r="X648" s="183"/>
      <c r="Y648" s="183"/>
      <c r="Z648" s="252"/>
      <c r="AA648" s="236"/>
      <c r="AC648" s="235"/>
      <c r="AD648" s="235"/>
      <c r="AE648" s="183"/>
      <c r="AF648" s="183"/>
    </row>
    <row r="649" spans="1:32" x14ac:dyDescent="0.3">
      <c r="A649" s="235"/>
      <c r="C649" s="528" t="str">
        <f>'RSD (DEA)'!Z227</f>
        <v>R_ELC_02</v>
      </c>
      <c r="D649" s="512" t="str">
        <f>RSD_HeatingDemand!N649&amp;"_"&amp;LEFT(C649,LEN(C649)-2)&amp;"01"</f>
        <v>RHAPC_R_ELC_01</v>
      </c>
      <c r="E649" s="512" t="str">
        <f>"R"&amp;LEFT('RSD (DEA)'!AD227,2)&amp;IF(ISNUMBER(IFERROR(FIND("HTH",'RSD (DEA)'!Z227),IFERROR(FIND("HP",'RSD (DEA)'!Z227),"C"))),IF(IFERROR(FIND("HTH",'RSD (DEA)'!Z227),100)=100,"B","A"),"C")</f>
        <v>RAPC</v>
      </c>
      <c r="F649" s="515"/>
      <c r="G649" s="515"/>
      <c r="H649" s="540" t="str">
        <f t="shared" si="16"/>
        <v>RHAPC_R_ELC_01</v>
      </c>
      <c r="I649" s="512" t="str">
        <f>'RSD (DEA)'!AA227</f>
        <v>Electric heating</v>
      </c>
      <c r="J649" s="242" t="s">
        <v>239</v>
      </c>
      <c r="K649" s="242" t="s">
        <v>240</v>
      </c>
      <c r="L649" s="512" t="str">
        <f>'RSD (DEA)'!AH227</f>
        <v>RSDELC</v>
      </c>
      <c r="M649" s="252"/>
      <c r="N649" s="235" t="str">
        <f>LEFT('RSD (DEA)'!AJ227,2)&amp;RIGHT(E649,3)</f>
        <v>RHAPC</v>
      </c>
      <c r="O649" s="252"/>
      <c r="P649" s="182">
        <f>IF('RSD (DEA)'!P227&lt;RSD_HeatingDemand!$AH$15,RSD_HeatingDemand!$AH$15,'RSD (DEA)'!P227)</f>
        <v>2019</v>
      </c>
      <c r="Q649" s="182">
        <f>IF('RSD (DEA)'!X227&lt;RSD_HeatingDemand!$AH$15,RSD_HeatingDemand!$AH$15,'RSD (DEA)'!X227)</f>
        <v>2019</v>
      </c>
      <c r="R649" s="525">
        <f>IF(ISBLANK(I649),IF(MID(N649,2,2)="HA",VLOOKUP(I648,KEY_RSD_AF!$C$5:$G$52,2,FALSE),IF(MID(N649,2,2)="WA",VLOOKUP(I648,KEY_RSD_AF!$C$5:$G$52,3,FALSE),IF(MID(N649,2,2)="HH",VLOOKUP(I648,KEY_RSD_AF!$C$5:$G$52,4,FALSE),IF(MID(N649,2,2)="WH",VLOOKUP(I648,KEY_RSD_AF!$C$5:$G$52,5,FALSE))))),IF(MID(N649,2,2)="HA",VLOOKUP(I649,KEY_RSD_AF!$C$5:$G$52,2,FALSE),IF(MID(N649,2,2)="WA",VLOOKUP(I649,KEY_RSD_AF!$C$5:$G$52,3,FALSE),IF(MID(N649,2,2)="HH",VLOOKUP(I649,KEY_RSD_AF!$C$5:$G$52,4,FALSE),IF(MID(N649,2,2)="WH",VLOOKUP(I649,KEY_RSD_AF!$C$5:$G$52,5,FALSE))))))</f>
        <v>1</v>
      </c>
      <c r="S649" s="183">
        <f>'RSD (DEA)'!AZ227</f>
        <v>1</v>
      </c>
      <c r="T649" s="183">
        <f>'RSD (DEA)'!BA227</f>
        <v>1</v>
      </c>
      <c r="U649" s="252">
        <v>0.5</v>
      </c>
      <c r="V649" s="183">
        <f>'RSD (DEA)'!BR227/'RSD (DEA)'!S227</f>
        <v>0.3125</v>
      </c>
      <c r="W649" s="183">
        <f>'RSD (DEA)'!BS227/RSD_HeatingDemand!$AH$9</f>
        <v>0</v>
      </c>
      <c r="X649" s="183">
        <f>'RSD (DEA)'!BK227*RSD_HeatingDemand!$AH$10/'RSD (DEA)'!S227</f>
        <v>662.5</v>
      </c>
      <c r="Y649" s="183">
        <f>'RSD (DEA)'!BI227</f>
        <v>30</v>
      </c>
      <c r="Z649" s="252"/>
      <c r="AA649" s="236">
        <f>'RSD (DEA)'!AM227</f>
        <v>31.536000000000001</v>
      </c>
      <c r="AC649" s="235">
        <f>'RSD (DEA)'!S227</f>
        <v>160</v>
      </c>
      <c r="AD649" s="235" t="str">
        <f>LEFT('RSD (DEA)'!AK227,2)&amp;RIGHT(E649,3)</f>
        <v>RWAPC</v>
      </c>
      <c r="AE649" s="183">
        <f>'RSD (DEA)'!BA227</f>
        <v>1</v>
      </c>
      <c r="AF649" s="183"/>
    </row>
    <row r="650" spans="1:32" x14ac:dyDescent="0.3">
      <c r="A650" s="235"/>
      <c r="D650" s="512"/>
      <c r="E650" s="512"/>
      <c r="F650" s="515"/>
      <c r="G650" s="515"/>
      <c r="H650" s="540"/>
      <c r="I650" s="512"/>
      <c r="J650" s="242"/>
      <c r="K650" s="242"/>
      <c r="L650" s="512"/>
      <c r="M650" s="252"/>
      <c r="N650" s="235" t="str">
        <f>AD649</f>
        <v>RWAPC</v>
      </c>
      <c r="O650" s="252"/>
      <c r="P650" s="182"/>
      <c r="Q650" s="182"/>
      <c r="R650" s="525">
        <f>IF(ISBLANK(I650),IF(MID(N650,2,2)="HA",VLOOKUP(I649,KEY_RSD_AF!$C$5:$G$52,2,FALSE),IF(MID(N650,2,2)="WA",VLOOKUP(I649,KEY_RSD_AF!$C$5:$G$52,3,FALSE),IF(MID(N650,2,2)="HH",VLOOKUP(I649,KEY_RSD_AF!$C$5:$G$52,4,FALSE),IF(MID(N650,2,2)="WH",VLOOKUP(I649,KEY_RSD_AF!$C$5:$G$52,5,FALSE))))),IF(MID(N650,2,2)="HA",VLOOKUP(I650,KEY_RSD_AF!$C$5:$G$52,2,FALSE),IF(MID(N650,2,2)="WA",VLOOKUP(I650,KEY_RSD_AF!$C$5:$G$52,3,FALSE),IF(MID(N650,2,2)="HH",VLOOKUP(I650,KEY_RSD_AF!$C$5:$G$52,4,FALSE),IF(MID(N650,2,2)="WH",VLOOKUP(I650,KEY_RSD_AF!$C$5:$G$52,5,FALSE))))))</f>
        <v>1</v>
      </c>
      <c r="S650" s="183">
        <f>T649</f>
        <v>1</v>
      </c>
      <c r="T650" s="183"/>
      <c r="U650" s="252"/>
      <c r="V650" s="183"/>
      <c r="W650" s="183"/>
      <c r="X650" s="183"/>
      <c r="Y650" s="183"/>
      <c r="Z650" s="252"/>
      <c r="AA650" s="236"/>
      <c r="AC650" s="235"/>
      <c r="AD650" s="235"/>
      <c r="AE650" s="183"/>
      <c r="AF650" s="183"/>
    </row>
    <row r="651" spans="1:32" x14ac:dyDescent="0.3">
      <c r="A651" s="235"/>
      <c r="C651" s="528" t="str">
        <f>'RSD (DEA)'!Z228</f>
        <v>R_ELC_02</v>
      </c>
      <c r="D651" s="512" t="str">
        <f>RSD_HeatingDemand!N651&amp;"_"&amp;LEFT(C651,LEN(C651)-2)&amp;"01"</f>
        <v>RHAPC_R_ELC_01</v>
      </c>
      <c r="E651" s="512" t="str">
        <f>"R"&amp;LEFT('RSD (DEA)'!AD228,2)&amp;IF(ISNUMBER(IFERROR(FIND("HTH",'RSD (DEA)'!Z228),IFERROR(FIND("HP",'RSD (DEA)'!Z228),"C"))),IF(IFERROR(FIND("HTH",'RSD (DEA)'!Z228),100)=100,"B","A"),"C")</f>
        <v>RAPC</v>
      </c>
      <c r="F651" s="515"/>
      <c r="G651" s="515"/>
      <c r="H651" s="540" t="str">
        <f t="shared" si="16"/>
        <v>RHAPC_R_ELC_02</v>
      </c>
      <c r="I651" s="512" t="str">
        <f>'RSD (DEA)'!AA228</f>
        <v>Electric heating</v>
      </c>
      <c r="J651" s="242" t="s">
        <v>239</v>
      </c>
      <c r="K651" s="242" t="s">
        <v>240</v>
      </c>
      <c r="L651" s="512" t="str">
        <f>'RSD (DEA)'!AH228</f>
        <v>RSDELC</v>
      </c>
      <c r="M651" s="252"/>
      <c r="N651" s="235" t="str">
        <f>LEFT('RSD (DEA)'!AJ228,2)&amp;RIGHT(E651,3)</f>
        <v>RHAPC</v>
      </c>
      <c r="O651" s="252"/>
      <c r="P651" s="182">
        <f>IF('RSD (DEA)'!P228&lt;RSD_HeatingDemand!$AH$15,RSD_HeatingDemand!$AH$15,'RSD (DEA)'!P228)</f>
        <v>2019</v>
      </c>
      <c r="Q651" s="182">
        <f>IF('RSD (DEA)'!X228&lt;RSD_HeatingDemand!$AH$15,RSD_HeatingDemand!$AH$15,'RSD (DEA)'!X228)</f>
        <v>2020</v>
      </c>
      <c r="R651" s="525">
        <f>IF(ISBLANK(I651),IF(MID(N651,2,2)="HA",VLOOKUP(I650,KEY_RSD_AF!$C$5:$G$52,2,FALSE),IF(MID(N651,2,2)="WA",VLOOKUP(I650,KEY_RSD_AF!$C$5:$G$52,3,FALSE),IF(MID(N651,2,2)="HH",VLOOKUP(I650,KEY_RSD_AF!$C$5:$G$52,4,FALSE),IF(MID(N651,2,2)="WH",VLOOKUP(I650,KEY_RSD_AF!$C$5:$G$52,5,FALSE))))),IF(MID(N651,2,2)="HA",VLOOKUP(I651,KEY_RSD_AF!$C$5:$G$52,2,FALSE),IF(MID(N651,2,2)="WA",VLOOKUP(I651,KEY_RSD_AF!$C$5:$G$52,3,FALSE),IF(MID(N651,2,2)="HH",VLOOKUP(I651,KEY_RSD_AF!$C$5:$G$52,4,FALSE),IF(MID(N651,2,2)="WH",VLOOKUP(I651,KEY_RSD_AF!$C$5:$G$52,5,FALSE))))))</f>
        <v>1</v>
      </c>
      <c r="S651" s="183">
        <f>'RSD (DEA)'!AZ228</f>
        <v>1</v>
      </c>
      <c r="T651" s="183">
        <f>'RSD (DEA)'!BA228</f>
        <v>1</v>
      </c>
      <c r="U651" s="252">
        <v>0.5</v>
      </c>
      <c r="V651" s="183">
        <f>'RSD (DEA)'!BR228/'RSD (DEA)'!S228</f>
        <v>0.30625000000000002</v>
      </c>
      <c r="W651" s="183">
        <f>'RSD (DEA)'!BS228/RSD_HeatingDemand!$AH$9</f>
        <v>0</v>
      </c>
      <c r="X651" s="183">
        <f>'RSD (DEA)'!BK228*RSD_HeatingDemand!$AH$10/'RSD (DEA)'!S228</f>
        <v>643.75</v>
      </c>
      <c r="Y651" s="183">
        <f>'RSD (DEA)'!BI228</f>
        <v>30</v>
      </c>
      <c r="Z651" s="252"/>
      <c r="AA651" s="236">
        <f>'RSD (DEA)'!AM228</f>
        <v>31.536000000000001</v>
      </c>
      <c r="AC651" s="235">
        <f>'RSD (DEA)'!S228</f>
        <v>160</v>
      </c>
      <c r="AD651" s="235" t="str">
        <f>LEFT('RSD (DEA)'!AK228,2)&amp;RIGHT(E651,3)</f>
        <v>RWAPC</v>
      </c>
      <c r="AE651" s="183">
        <f>'RSD (DEA)'!BA228</f>
        <v>1</v>
      </c>
      <c r="AF651" s="183"/>
    </row>
    <row r="652" spans="1:32" x14ac:dyDescent="0.3">
      <c r="A652" s="235"/>
      <c r="D652" s="512"/>
      <c r="E652" s="512"/>
      <c r="F652" s="515"/>
      <c r="G652" s="515"/>
      <c r="H652" s="540"/>
      <c r="I652" s="512"/>
      <c r="J652" s="242"/>
      <c r="K652" s="242"/>
      <c r="L652" s="512"/>
      <c r="M652" s="252"/>
      <c r="N652" s="235" t="str">
        <f>AD651</f>
        <v>RWAPC</v>
      </c>
      <c r="O652" s="252"/>
      <c r="P652" s="182"/>
      <c r="Q652" s="182"/>
      <c r="R652" s="525">
        <f>IF(ISBLANK(I652),IF(MID(N652,2,2)="HA",VLOOKUP(I651,KEY_RSD_AF!$C$5:$G$52,2,FALSE),IF(MID(N652,2,2)="WA",VLOOKUP(I651,KEY_RSD_AF!$C$5:$G$52,3,FALSE),IF(MID(N652,2,2)="HH",VLOOKUP(I651,KEY_RSD_AF!$C$5:$G$52,4,FALSE),IF(MID(N652,2,2)="WH",VLOOKUP(I651,KEY_RSD_AF!$C$5:$G$52,5,FALSE))))),IF(MID(N652,2,2)="HA",VLOOKUP(I652,KEY_RSD_AF!$C$5:$G$52,2,FALSE),IF(MID(N652,2,2)="WA",VLOOKUP(I652,KEY_RSD_AF!$C$5:$G$52,3,FALSE),IF(MID(N652,2,2)="HH",VLOOKUP(I652,KEY_RSD_AF!$C$5:$G$52,4,FALSE),IF(MID(N652,2,2)="WH",VLOOKUP(I652,KEY_RSD_AF!$C$5:$G$52,5,FALSE))))))</f>
        <v>1</v>
      </c>
      <c r="S652" s="183">
        <f>T651</f>
        <v>1</v>
      </c>
      <c r="T652" s="183"/>
      <c r="U652" s="252"/>
      <c r="V652" s="183"/>
      <c r="W652" s="183"/>
      <c r="X652" s="183"/>
      <c r="Y652" s="183"/>
      <c r="Z652" s="252"/>
      <c r="AA652" s="236"/>
      <c r="AC652" s="235"/>
      <c r="AD652" s="235"/>
      <c r="AE652" s="183"/>
      <c r="AF652" s="183"/>
    </row>
    <row r="653" spans="1:32" x14ac:dyDescent="0.3">
      <c r="A653" s="235"/>
      <c r="C653" s="528" t="str">
        <f>'RSD (DEA)'!Z229</f>
        <v>R_ELC_02</v>
      </c>
      <c r="D653" s="512" t="str">
        <f>RSD_HeatingDemand!N653&amp;"_"&amp;C653</f>
        <v>RHAPC_R_ELC_02</v>
      </c>
      <c r="E653" s="512" t="str">
        <f>"R"&amp;LEFT('RSD (DEA)'!AD229,2)&amp;IF(ISNUMBER(IFERROR(FIND("HTH",'RSD (DEA)'!Z229),IFERROR(FIND("HP",'RSD (DEA)'!Z229),"C"))),IF(IFERROR(FIND("HTH",'RSD (DEA)'!Z229),100)=100,"B","A"),"C")</f>
        <v>RAPC</v>
      </c>
      <c r="F653" s="515"/>
      <c r="G653" s="515"/>
      <c r="H653" s="540" t="str">
        <f t="shared" si="16"/>
        <v>RHAPC_R_ELC_03</v>
      </c>
      <c r="I653" s="512" t="str">
        <f>'RSD (DEA)'!AA229</f>
        <v>Electric heating</v>
      </c>
      <c r="J653" s="242" t="s">
        <v>239</v>
      </c>
      <c r="K653" s="242" t="s">
        <v>240</v>
      </c>
      <c r="L653" s="512" t="str">
        <f>'RSD (DEA)'!AH229</f>
        <v>RSDELC</v>
      </c>
      <c r="M653" s="252"/>
      <c r="N653" s="235" t="str">
        <f>LEFT('RSD (DEA)'!AJ229,2)&amp;RIGHT(E653,3)</f>
        <v>RHAPC</v>
      </c>
      <c r="O653" s="252"/>
      <c r="P653" s="182">
        <f>IF('RSD (DEA)'!P229&lt;RSD_HeatingDemand!$AH$15,RSD_HeatingDemand!$AH$15,'RSD (DEA)'!P229)</f>
        <v>2019</v>
      </c>
      <c r="Q653" s="182">
        <f>IF('RSD (DEA)'!X229&lt;RSD_HeatingDemand!$AH$15,RSD_HeatingDemand!$AH$15,'RSD (DEA)'!X229)</f>
        <v>2030</v>
      </c>
      <c r="R653" s="525">
        <f>IF(ISBLANK(I653),IF(MID(N653,2,2)="HA",VLOOKUP(I652,KEY_RSD_AF!$C$5:$G$52,2,FALSE),IF(MID(N653,2,2)="WA",VLOOKUP(I652,KEY_RSD_AF!$C$5:$G$52,3,FALSE),IF(MID(N653,2,2)="HH",VLOOKUP(I652,KEY_RSD_AF!$C$5:$G$52,4,FALSE),IF(MID(N653,2,2)="WH",VLOOKUP(I652,KEY_RSD_AF!$C$5:$G$52,5,FALSE))))),IF(MID(N653,2,2)="HA",VLOOKUP(I653,KEY_RSD_AF!$C$5:$G$52,2,FALSE),IF(MID(N653,2,2)="WA",VLOOKUP(I653,KEY_RSD_AF!$C$5:$G$52,3,FALSE),IF(MID(N653,2,2)="HH",VLOOKUP(I653,KEY_RSD_AF!$C$5:$G$52,4,FALSE),IF(MID(N653,2,2)="WH",VLOOKUP(I653,KEY_RSD_AF!$C$5:$G$52,5,FALSE))))))</f>
        <v>1</v>
      </c>
      <c r="S653" s="183">
        <f>'RSD (DEA)'!AZ229</f>
        <v>1</v>
      </c>
      <c r="T653" s="183">
        <f>'RSD (DEA)'!BA229</f>
        <v>1</v>
      </c>
      <c r="U653" s="252">
        <v>0.5</v>
      </c>
      <c r="V653" s="183">
        <f>'RSD (DEA)'!BR229/'RSD (DEA)'!S229</f>
        <v>0.28749999999999998</v>
      </c>
      <c r="W653" s="183">
        <f>'RSD (DEA)'!BS229/RSD_HeatingDemand!$AH$9</f>
        <v>0</v>
      </c>
      <c r="X653" s="183">
        <f>'RSD (DEA)'!BK229*RSD_HeatingDemand!$AH$10/'RSD (DEA)'!S229</f>
        <v>612.5</v>
      </c>
      <c r="Y653" s="183">
        <f>'RSD (DEA)'!BI229</f>
        <v>30</v>
      </c>
      <c r="Z653" s="252"/>
      <c r="AA653" s="236">
        <f>'RSD (DEA)'!AM229</f>
        <v>31.536000000000001</v>
      </c>
      <c r="AC653" s="235">
        <f>'RSD (DEA)'!S229</f>
        <v>160</v>
      </c>
      <c r="AD653" s="235" t="str">
        <f>LEFT('RSD (DEA)'!AK229,2)&amp;RIGHT(E653,3)</f>
        <v>RWAPC</v>
      </c>
      <c r="AE653" s="183">
        <f>'RSD (DEA)'!BA229</f>
        <v>1</v>
      </c>
      <c r="AF653" s="183"/>
    </row>
    <row r="654" spans="1:32" x14ac:dyDescent="0.3">
      <c r="A654" s="235"/>
      <c r="D654" s="512"/>
      <c r="E654" s="512"/>
      <c r="F654" s="515"/>
      <c r="G654" s="515"/>
      <c r="H654" s="540"/>
      <c r="I654" s="512"/>
      <c r="J654" s="242"/>
      <c r="K654" s="242"/>
      <c r="L654" s="512"/>
      <c r="M654" s="252"/>
      <c r="N654" s="235" t="str">
        <f>AD653</f>
        <v>RWAPC</v>
      </c>
      <c r="O654" s="252"/>
      <c r="P654" s="182"/>
      <c r="Q654" s="182"/>
      <c r="R654" s="525">
        <f>IF(ISBLANK(I654),IF(MID(N654,2,2)="HA",VLOOKUP(I653,KEY_RSD_AF!$C$5:$G$52,2,FALSE),IF(MID(N654,2,2)="WA",VLOOKUP(I653,KEY_RSD_AF!$C$5:$G$52,3,FALSE),IF(MID(N654,2,2)="HH",VLOOKUP(I653,KEY_RSD_AF!$C$5:$G$52,4,FALSE),IF(MID(N654,2,2)="WH",VLOOKUP(I653,KEY_RSD_AF!$C$5:$G$52,5,FALSE))))),IF(MID(N654,2,2)="HA",VLOOKUP(I654,KEY_RSD_AF!$C$5:$G$52,2,FALSE),IF(MID(N654,2,2)="WA",VLOOKUP(I654,KEY_RSD_AF!$C$5:$G$52,3,FALSE),IF(MID(N654,2,2)="HH",VLOOKUP(I654,KEY_RSD_AF!$C$5:$G$52,4,FALSE),IF(MID(N654,2,2)="WH",VLOOKUP(I654,KEY_RSD_AF!$C$5:$G$52,5,FALSE))))))</f>
        <v>1</v>
      </c>
      <c r="S654" s="183">
        <f>T653</f>
        <v>1</v>
      </c>
      <c r="T654" s="183"/>
      <c r="U654" s="252"/>
      <c r="V654" s="183"/>
      <c r="W654" s="183"/>
      <c r="X654" s="183"/>
      <c r="Y654" s="183"/>
      <c r="Z654" s="252"/>
      <c r="AA654" s="236"/>
      <c r="AC654" s="235"/>
      <c r="AD654" s="235"/>
      <c r="AE654" s="183"/>
      <c r="AF654" s="183"/>
    </row>
    <row r="655" spans="1:32" x14ac:dyDescent="0.3">
      <c r="A655" s="235"/>
      <c r="C655" s="528" t="str">
        <f>'RSD (DEA)'!Z230</f>
        <v>R_ELC_02</v>
      </c>
      <c r="D655" s="512" t="str">
        <f>RSD_HeatingDemand!N655&amp;"_"&amp;C655</f>
        <v>RHAPC_R_ELC_02</v>
      </c>
      <c r="E655" s="512" t="str">
        <f>"R"&amp;LEFT('RSD (DEA)'!AD230,2)&amp;IF(ISNUMBER(IFERROR(FIND("HTH",'RSD (DEA)'!Z230),IFERROR(FIND("HP",'RSD (DEA)'!Z230),"C"))),IF(IFERROR(FIND("HTH",'RSD (DEA)'!Z230),100)=100,"B","A"),"C")</f>
        <v>RAPC</v>
      </c>
      <c r="F655" s="515"/>
      <c r="G655" s="515"/>
      <c r="H655" s="540" t="str">
        <f t="shared" si="16"/>
        <v>RHAPC_R_ELC_04</v>
      </c>
      <c r="I655" s="512" t="str">
        <f>'RSD (DEA)'!AA230</f>
        <v>Electric heating</v>
      </c>
      <c r="J655" s="242" t="s">
        <v>239</v>
      </c>
      <c r="K655" s="242" t="s">
        <v>240</v>
      </c>
      <c r="L655" s="512" t="str">
        <f>'RSD (DEA)'!AH230</f>
        <v>RSDELC</v>
      </c>
      <c r="M655" s="252"/>
      <c r="N655" s="235" t="str">
        <f>LEFT('RSD (DEA)'!AJ230,2)&amp;RIGHT(E655,3)</f>
        <v>RHAPC</v>
      </c>
      <c r="O655" s="252"/>
      <c r="P655" s="182">
        <f>IF('RSD (DEA)'!P230&lt;RSD_HeatingDemand!$AH$15,RSD_HeatingDemand!$AH$15,'RSD (DEA)'!P230)</f>
        <v>2019</v>
      </c>
      <c r="Q655" s="182">
        <f>IF('RSD (DEA)'!X230&lt;RSD_HeatingDemand!$AH$15,RSD_HeatingDemand!$AH$15,'RSD (DEA)'!X230)</f>
        <v>2050</v>
      </c>
      <c r="R655" s="525">
        <f>IF(ISBLANK(I655),IF(MID(N655,2,2)="HA",VLOOKUP(I654,KEY_RSD_AF!$C$5:$G$52,2,FALSE),IF(MID(N655,2,2)="WA",VLOOKUP(I654,KEY_RSD_AF!$C$5:$G$52,3,FALSE),IF(MID(N655,2,2)="HH",VLOOKUP(I654,KEY_RSD_AF!$C$5:$G$52,4,FALSE),IF(MID(N655,2,2)="WH",VLOOKUP(I654,KEY_RSD_AF!$C$5:$G$52,5,FALSE))))),IF(MID(N655,2,2)="HA",VLOOKUP(I655,KEY_RSD_AF!$C$5:$G$52,2,FALSE),IF(MID(N655,2,2)="WA",VLOOKUP(I655,KEY_RSD_AF!$C$5:$G$52,3,FALSE),IF(MID(N655,2,2)="HH",VLOOKUP(I655,KEY_RSD_AF!$C$5:$G$52,4,FALSE),IF(MID(N655,2,2)="WH",VLOOKUP(I655,KEY_RSD_AF!$C$5:$G$52,5,FALSE))))))</f>
        <v>1</v>
      </c>
      <c r="S655" s="183">
        <f>'RSD (DEA)'!AZ230</f>
        <v>1</v>
      </c>
      <c r="T655" s="183">
        <f>'RSD (DEA)'!BA230</f>
        <v>1</v>
      </c>
      <c r="U655" s="252">
        <v>0.5</v>
      </c>
      <c r="V655" s="183">
        <f>'RSD (DEA)'!BR230/'RSD (DEA)'!S230</f>
        <v>0.26250000000000001</v>
      </c>
      <c r="W655" s="183">
        <f>'RSD (DEA)'!BS230/RSD_HeatingDemand!$AH$9</f>
        <v>0</v>
      </c>
      <c r="X655" s="183">
        <f>'RSD (DEA)'!BK230*RSD_HeatingDemand!$AH$10/'RSD (DEA)'!S230</f>
        <v>556.25</v>
      </c>
      <c r="Y655" s="183">
        <f>'RSD (DEA)'!BI230</f>
        <v>30</v>
      </c>
      <c r="Z655" s="252"/>
      <c r="AA655" s="236">
        <f>'RSD (DEA)'!AM230</f>
        <v>31.536000000000001</v>
      </c>
      <c r="AC655" s="235">
        <f>'RSD (DEA)'!S230</f>
        <v>160</v>
      </c>
      <c r="AD655" s="235" t="str">
        <f>LEFT('RSD (DEA)'!AK230,2)&amp;RIGHT(E655,3)</f>
        <v>RWAPC</v>
      </c>
      <c r="AE655" s="183">
        <f>'RSD (DEA)'!BA230</f>
        <v>1</v>
      </c>
      <c r="AF655" s="183"/>
    </row>
    <row r="656" spans="1:32" x14ac:dyDescent="0.3">
      <c r="A656" s="235"/>
      <c r="D656" s="512"/>
      <c r="E656" s="512"/>
      <c r="F656" s="515"/>
      <c r="G656" s="515"/>
      <c r="H656" s="540"/>
      <c r="I656" s="512"/>
      <c r="J656" s="242"/>
      <c r="K656" s="242"/>
      <c r="L656" s="512"/>
      <c r="M656" s="252"/>
      <c r="N656" s="235" t="str">
        <f>AD655</f>
        <v>RWAPC</v>
      </c>
      <c r="O656" s="252"/>
      <c r="P656" s="182"/>
      <c r="Q656" s="182"/>
      <c r="R656" s="525">
        <f>IF(ISBLANK(I656),IF(MID(N656,2,2)="HA",VLOOKUP(I655,KEY_RSD_AF!$C$5:$G$52,2,FALSE),IF(MID(N656,2,2)="WA",VLOOKUP(I655,KEY_RSD_AF!$C$5:$G$52,3,FALSE),IF(MID(N656,2,2)="HH",VLOOKUP(I655,KEY_RSD_AF!$C$5:$G$52,4,FALSE),IF(MID(N656,2,2)="WH",VLOOKUP(I655,KEY_RSD_AF!$C$5:$G$52,5,FALSE))))),IF(MID(N656,2,2)="HA",VLOOKUP(I656,KEY_RSD_AF!$C$5:$G$52,2,FALSE),IF(MID(N656,2,2)="WA",VLOOKUP(I656,KEY_RSD_AF!$C$5:$G$52,3,FALSE),IF(MID(N656,2,2)="HH",VLOOKUP(I656,KEY_RSD_AF!$C$5:$G$52,4,FALSE),IF(MID(N656,2,2)="WH",VLOOKUP(I656,KEY_RSD_AF!$C$5:$G$52,5,FALSE))))))</f>
        <v>1</v>
      </c>
      <c r="S656" s="183">
        <f>T655</f>
        <v>1</v>
      </c>
      <c r="T656" s="183"/>
      <c r="U656" s="252"/>
      <c r="V656" s="183"/>
      <c r="W656" s="183"/>
      <c r="X656" s="183"/>
      <c r="Y656" s="183"/>
      <c r="Z656" s="252"/>
      <c r="AA656" s="236"/>
      <c r="AC656" s="235"/>
      <c r="AD656" s="235"/>
      <c r="AE656" s="183"/>
      <c r="AF656" s="183"/>
    </row>
    <row r="657" spans="1:36" x14ac:dyDescent="0.3">
      <c r="A657" s="235"/>
      <c r="C657" s="528" t="str">
        <f>'RSD (DEA)'!Z231</f>
        <v>FC_mCHP_01</v>
      </c>
      <c r="D657" s="512" t="str">
        <f>RSD_HeatingDemand!N657&amp;"_"&amp;C657</f>
        <v>RHHSB_FC_mCHP_01</v>
      </c>
      <c r="E657" s="512" t="str">
        <f>"R"&amp;LEFT('RSD (DEA)'!AD231,2)&amp;IF(ISNUMBER(IFERROR(FIND("HTH",'RSD (DEA)'!Z231),IFERROR(FIND("HP",'RSD (DEA)'!Z231),"C"))),IF(IFERROR(FIND("HTH",'RSD (DEA)'!Z231),100)=100,"B","A"),"C")</f>
        <v>RHSB</v>
      </c>
      <c r="F657" s="515"/>
      <c r="G657" s="515"/>
      <c r="H657" s="540" t="str">
        <f t="shared" si="16"/>
        <v>RHHSB_FC_mCHP_01</v>
      </c>
      <c r="I657" s="512" t="str">
        <f>'RSD (DEA)'!AA231</f>
        <v>SOFC mCHP</v>
      </c>
      <c r="J657" s="242" t="s">
        <v>239</v>
      </c>
      <c r="K657" s="242" t="s">
        <v>240</v>
      </c>
      <c r="L657" s="512" t="str">
        <f>'RSD (DEA)'!AH231</f>
        <v>RSDGAS</v>
      </c>
      <c r="M657" s="252"/>
      <c r="N657" s="235" t="str">
        <f>LEFT('RSD (DEA)'!AJ231,2)&amp;RIGHT(E657,3)</f>
        <v>RHHSB</v>
      </c>
      <c r="O657" s="252"/>
      <c r="P657" s="182">
        <f>IF('RSD (DEA)'!P231&lt;RSD_HeatingDemand!$AH$15,RSD_HeatingDemand!$AH$15,'RSD (DEA)'!P231)</f>
        <v>2019</v>
      </c>
      <c r="Q657" s="182">
        <f>IF('RSD (DEA)'!X231&lt;RSD_HeatingDemand!$AH$15,RSD_HeatingDemand!$AH$15,'RSD (DEA)'!X231)</f>
        <v>2019</v>
      </c>
      <c r="R657" s="525">
        <f>IF(ISBLANK(I657),IF(MID(N657,2,2)="HA",VLOOKUP(I656,KEY_RSD_AF!$C$5:$G$52,2,FALSE),IF(MID(N657,2,2)="WA",VLOOKUP(I656,KEY_RSD_AF!$C$5:$G$52,3,FALSE),IF(MID(N657,2,2)="HH",VLOOKUP(I656,KEY_RSD_AF!$C$5:$G$52,4,FALSE),IF(MID(N657,2,2)="WH",VLOOKUP(I656,KEY_RSD_AF!$C$5:$G$52,5,FALSE))))),IF(MID(N657,2,2)="HA",VLOOKUP(I657,KEY_RSD_AF!$C$5:$G$52,2,FALSE),IF(MID(N657,2,2)="WA",VLOOKUP(I657,KEY_RSD_AF!$C$5:$G$52,3,FALSE),IF(MID(N657,2,2)="HH",VLOOKUP(I657,KEY_RSD_AF!$C$5:$G$52,4,FALSE),IF(MID(N657,2,2)="WH",VLOOKUP(I657,KEY_RSD_AF!$C$5:$G$52,5,FALSE))))))</f>
        <v>1</v>
      </c>
      <c r="S657" s="183">
        <f>'RSD (DEA)'!AZ231</f>
        <v>0.9</v>
      </c>
      <c r="T657" s="183">
        <f>'RSD (DEA)'!BA231</f>
        <v>0.44</v>
      </c>
      <c r="U657" s="252">
        <v>0.5</v>
      </c>
      <c r="V657" s="183">
        <f>'RSD (DEA)'!BR231/'RSD (DEA)'!S231</f>
        <v>2016.2337662337666</v>
      </c>
      <c r="W657" s="183">
        <f>'RSD (DEA)'!BS231/RSD_HeatingDemand!$AH$9</f>
        <v>0</v>
      </c>
      <c r="X657" s="183">
        <f>'RSD (DEA)'!BK231*RSD_HeatingDemand!$AH$10/'RSD (DEA)'!S231</f>
        <v>40324.675324675329</v>
      </c>
      <c r="Y657" s="183">
        <f>'RSD (DEA)'!BI231</f>
        <v>10</v>
      </c>
      <c r="Z657" s="252"/>
      <c r="AA657" s="236">
        <f>'RSD (DEA)'!AM231</f>
        <v>31.536000000000001</v>
      </c>
      <c r="AC657" s="235">
        <f>'RSD (DEA)'!S231</f>
        <v>0.66956521739130426</v>
      </c>
      <c r="AD657" s="235" t="str">
        <f>LEFT('RSD (DEA)'!AK231,2)&amp;RIGHT(E657,3)</f>
        <v>RWHSB</v>
      </c>
      <c r="AE657" s="183">
        <f>'RSD (DEA)'!BA231</f>
        <v>0.44</v>
      </c>
      <c r="AF657" s="183"/>
    </row>
    <row r="658" spans="1:36" x14ac:dyDescent="0.3">
      <c r="A658" s="235"/>
      <c r="D658" s="512"/>
      <c r="E658" s="512"/>
      <c r="F658" s="515"/>
      <c r="G658" s="515"/>
      <c r="H658" s="540"/>
      <c r="I658" s="512"/>
      <c r="J658" s="242"/>
      <c r="K658" s="242"/>
      <c r="L658" s="512"/>
      <c r="M658" s="252"/>
      <c r="N658" s="235" t="str">
        <f>AD657</f>
        <v>RWHSB</v>
      </c>
      <c r="O658" s="252"/>
      <c r="P658" s="182"/>
      <c r="Q658" s="182"/>
      <c r="R658" s="525">
        <f>IF(ISBLANK(I658),IF(MID(N658,2,2)="HA",VLOOKUP(I657,KEY_RSD_AF!$C$5:$G$52,2,FALSE),IF(MID(N658,2,2)="WA",VLOOKUP(I657,KEY_RSD_AF!$C$5:$G$52,3,FALSE),IF(MID(N658,2,2)="HH",VLOOKUP(I657,KEY_RSD_AF!$C$5:$G$52,4,FALSE),IF(MID(N658,2,2)="WH",VLOOKUP(I657,KEY_RSD_AF!$C$5:$G$52,5,FALSE))))),IF(MID(N658,2,2)="HA",VLOOKUP(I658,KEY_RSD_AF!$C$5:$G$52,2,FALSE),IF(MID(N658,2,2)="WA",VLOOKUP(I658,KEY_RSD_AF!$C$5:$G$52,3,FALSE),IF(MID(N658,2,2)="HH",VLOOKUP(I658,KEY_RSD_AF!$C$5:$G$52,4,FALSE),IF(MID(N658,2,2)="WH",VLOOKUP(I658,KEY_RSD_AF!$C$5:$G$52,5,FALSE))))))</f>
        <v>1</v>
      </c>
      <c r="S658" s="183">
        <f>T657</f>
        <v>0.44</v>
      </c>
      <c r="T658" s="183"/>
      <c r="U658" s="252"/>
      <c r="V658" s="183"/>
      <c r="W658" s="183"/>
      <c r="X658" s="183"/>
      <c r="Y658" s="183"/>
      <c r="Z658" s="252"/>
      <c r="AA658" s="236"/>
      <c r="AC658" s="235"/>
      <c r="AD658" s="235"/>
      <c r="AE658" s="183"/>
      <c r="AF658" s="183"/>
    </row>
    <row r="659" spans="1:36" x14ac:dyDescent="0.3">
      <c r="A659" s="235"/>
      <c r="C659" s="528" t="str">
        <f>'RSD (DEA)'!Z232</f>
        <v>FC_mCHP_01</v>
      </c>
      <c r="D659" s="512" t="str">
        <f>RSD_HeatingDemand!N659&amp;"_"&amp;C659</f>
        <v>RHHSB_FC_mCHP_01</v>
      </c>
      <c r="E659" s="512" t="str">
        <f>"R"&amp;LEFT('RSD (DEA)'!AD232,2)&amp;IF(ISNUMBER(IFERROR(FIND("HTH",'RSD (DEA)'!Z232),IFERROR(FIND("HP",'RSD (DEA)'!Z232),"C"))),IF(IFERROR(FIND("HTH",'RSD (DEA)'!Z232),100)=100,"B","A"),"C")</f>
        <v>RHSB</v>
      </c>
      <c r="F659" s="515"/>
      <c r="G659" s="515"/>
      <c r="H659" s="540" t="str">
        <f t="shared" si="16"/>
        <v>RHHSB_FC_mCHP_02</v>
      </c>
      <c r="I659" s="512" t="str">
        <f>'RSD (DEA)'!AA232</f>
        <v>SOFC mCHP</v>
      </c>
      <c r="J659" s="242" t="s">
        <v>239</v>
      </c>
      <c r="K659" s="242" t="s">
        <v>240</v>
      </c>
      <c r="L659" s="512" t="str">
        <f>'RSD (DEA)'!AH232</f>
        <v>RSDGAS</v>
      </c>
      <c r="M659" s="252"/>
      <c r="N659" s="235" t="str">
        <f>LEFT('RSD (DEA)'!AJ232,2)&amp;RIGHT(E659,3)</f>
        <v>RHHSB</v>
      </c>
      <c r="O659" s="252"/>
      <c r="P659" s="182">
        <f>IF('RSD (DEA)'!P232&lt;RSD_HeatingDemand!$AH$15,RSD_HeatingDemand!$AH$15,'RSD (DEA)'!P232)</f>
        <v>2019</v>
      </c>
      <c r="Q659" s="182">
        <f>IF('RSD (DEA)'!X232&lt;RSD_HeatingDemand!$AH$15,RSD_HeatingDemand!$AH$15,'RSD (DEA)'!X232)</f>
        <v>2020</v>
      </c>
      <c r="R659" s="525">
        <f>IF(ISBLANK(I659),IF(MID(N659,2,2)="HA",VLOOKUP(I658,KEY_RSD_AF!$C$5:$G$52,2,FALSE),IF(MID(N659,2,2)="WA",VLOOKUP(I658,KEY_RSD_AF!$C$5:$G$52,3,FALSE),IF(MID(N659,2,2)="HH",VLOOKUP(I658,KEY_RSD_AF!$C$5:$G$52,4,FALSE),IF(MID(N659,2,2)="WH",VLOOKUP(I658,KEY_RSD_AF!$C$5:$G$52,5,FALSE))))),IF(MID(N659,2,2)="HA",VLOOKUP(I659,KEY_RSD_AF!$C$5:$G$52,2,FALSE),IF(MID(N659,2,2)="WA",VLOOKUP(I659,KEY_RSD_AF!$C$5:$G$52,3,FALSE),IF(MID(N659,2,2)="HH",VLOOKUP(I659,KEY_RSD_AF!$C$5:$G$52,4,FALSE),IF(MID(N659,2,2)="WH",VLOOKUP(I659,KEY_RSD_AF!$C$5:$G$52,5,FALSE))))))</f>
        <v>1</v>
      </c>
      <c r="S659" s="183">
        <f>'RSD (DEA)'!AZ232</f>
        <v>0.9</v>
      </c>
      <c r="T659" s="183">
        <f>'RSD (DEA)'!BA232</f>
        <v>0.4</v>
      </c>
      <c r="U659" s="252">
        <v>0.5</v>
      </c>
      <c r="V659" s="183">
        <f>'RSD (DEA)'!BR232/'RSD (DEA)'!S232</f>
        <v>1874.9999999999998</v>
      </c>
      <c r="W659" s="183">
        <f>'RSD (DEA)'!BS232/RSD_HeatingDemand!$AH$9</f>
        <v>0</v>
      </c>
      <c r="X659" s="183">
        <f>'RSD (DEA)'!BK232*RSD_HeatingDemand!$AH$10/'RSD (DEA)'!S232</f>
        <v>37500</v>
      </c>
      <c r="Y659" s="183">
        <f>'RSD (DEA)'!BI232</f>
        <v>20</v>
      </c>
      <c r="Z659" s="252"/>
      <c r="AA659" s="236">
        <f>'RSD (DEA)'!AM232</f>
        <v>31.536000000000001</v>
      </c>
      <c r="AC659" s="235">
        <f>'RSD (DEA)'!S232</f>
        <v>0.56000000000000005</v>
      </c>
      <c r="AD659" s="235" t="str">
        <f>LEFT('RSD (DEA)'!AK232,2)&amp;RIGHT(E659,3)</f>
        <v>RWHSB</v>
      </c>
      <c r="AE659" s="183">
        <f>'RSD (DEA)'!BA232</f>
        <v>0.4</v>
      </c>
      <c r="AF659" s="183"/>
    </row>
    <row r="660" spans="1:36" x14ac:dyDescent="0.3">
      <c r="A660" s="235"/>
      <c r="D660" s="512"/>
      <c r="E660" s="512"/>
      <c r="F660" s="515"/>
      <c r="G660" s="515"/>
      <c r="H660" s="540"/>
      <c r="I660" s="512"/>
      <c r="J660" s="242"/>
      <c r="K660" s="242"/>
      <c r="L660" s="512"/>
      <c r="M660" s="252"/>
      <c r="N660" s="235" t="str">
        <f>AD659</f>
        <v>RWHSB</v>
      </c>
      <c r="O660" s="252"/>
      <c r="P660" s="182"/>
      <c r="Q660" s="182"/>
      <c r="R660" s="525">
        <f>IF(ISBLANK(I660),IF(MID(N660,2,2)="HA",VLOOKUP(I659,KEY_RSD_AF!$C$5:$G$52,2,FALSE),IF(MID(N660,2,2)="WA",VLOOKUP(I659,KEY_RSD_AF!$C$5:$G$52,3,FALSE),IF(MID(N660,2,2)="HH",VLOOKUP(I659,KEY_RSD_AF!$C$5:$G$52,4,FALSE),IF(MID(N660,2,2)="WH",VLOOKUP(I659,KEY_RSD_AF!$C$5:$G$52,5,FALSE))))),IF(MID(N660,2,2)="HA",VLOOKUP(I660,KEY_RSD_AF!$C$5:$G$52,2,FALSE),IF(MID(N660,2,2)="WA",VLOOKUP(I660,KEY_RSD_AF!$C$5:$G$52,3,FALSE),IF(MID(N660,2,2)="HH",VLOOKUP(I660,KEY_RSD_AF!$C$5:$G$52,4,FALSE),IF(MID(N660,2,2)="WH",VLOOKUP(I660,KEY_RSD_AF!$C$5:$G$52,5,FALSE))))))</f>
        <v>1</v>
      </c>
      <c r="S660" s="183">
        <f>T659</f>
        <v>0.4</v>
      </c>
      <c r="T660" s="183"/>
      <c r="U660" s="252"/>
      <c r="V660" s="183"/>
      <c r="W660" s="183"/>
      <c r="X660" s="183"/>
      <c r="Y660" s="183"/>
      <c r="Z660" s="252"/>
      <c r="AA660" s="236"/>
      <c r="AC660" s="235"/>
      <c r="AD660" s="235"/>
      <c r="AE660" s="183"/>
      <c r="AF660" s="183"/>
    </row>
    <row r="661" spans="1:36" x14ac:dyDescent="0.3">
      <c r="A661" s="235"/>
      <c r="C661" s="528" t="str">
        <f>'RSD (DEA)'!Z233</f>
        <v>FC_mCHP_01</v>
      </c>
      <c r="D661" s="512" t="str">
        <f>RSD_HeatingDemand!N661&amp;"_"&amp;C661</f>
        <v>RHHSB_FC_mCHP_01</v>
      </c>
      <c r="E661" s="512" t="str">
        <f>"R"&amp;LEFT('RSD (DEA)'!AD233,2)&amp;IF(ISNUMBER(IFERROR(FIND("HTH",'RSD (DEA)'!Z233),IFERROR(FIND("HP",'RSD (DEA)'!Z233),"C"))),IF(IFERROR(FIND("HTH",'RSD (DEA)'!Z233),100)=100,"B","A"),"C")</f>
        <v>RHSB</v>
      </c>
      <c r="F661" s="515"/>
      <c r="G661" s="515"/>
      <c r="H661" s="540" t="str">
        <f t="shared" si="16"/>
        <v>RHHSB_FC_mCHP_03</v>
      </c>
      <c r="I661" s="512" t="str">
        <f>'RSD (DEA)'!AA233</f>
        <v>SOFC mCHP</v>
      </c>
      <c r="J661" s="242" t="s">
        <v>239</v>
      </c>
      <c r="K661" s="242" t="s">
        <v>240</v>
      </c>
      <c r="L661" s="512" t="str">
        <f>'RSD (DEA)'!AH233</f>
        <v>RSDGAS</v>
      </c>
      <c r="M661" s="252"/>
      <c r="N661" s="235" t="str">
        <f>LEFT('RSD (DEA)'!AJ233,2)&amp;RIGHT(E661,3)</f>
        <v>RHHSB</v>
      </c>
      <c r="O661" s="252"/>
      <c r="P661" s="182">
        <f>IF('RSD (DEA)'!P233&lt;RSD_HeatingDemand!$AH$15,RSD_HeatingDemand!$AH$15,'RSD (DEA)'!P233)</f>
        <v>2019</v>
      </c>
      <c r="Q661" s="182">
        <f>IF('RSD (DEA)'!X233&lt;RSD_HeatingDemand!$AH$15,RSD_HeatingDemand!$AH$15,'RSD (DEA)'!X233)</f>
        <v>2030</v>
      </c>
      <c r="R661" s="525">
        <f>IF(ISBLANK(I661),IF(MID(N661,2,2)="HA",VLOOKUP(I660,KEY_RSD_AF!$C$5:$G$52,2,FALSE),IF(MID(N661,2,2)="WA",VLOOKUP(I660,KEY_RSD_AF!$C$5:$G$52,3,FALSE),IF(MID(N661,2,2)="HH",VLOOKUP(I660,KEY_RSD_AF!$C$5:$G$52,4,FALSE),IF(MID(N661,2,2)="WH",VLOOKUP(I660,KEY_RSD_AF!$C$5:$G$52,5,FALSE))))),IF(MID(N661,2,2)="HA",VLOOKUP(I661,KEY_RSD_AF!$C$5:$G$52,2,FALSE),IF(MID(N661,2,2)="WA",VLOOKUP(I661,KEY_RSD_AF!$C$5:$G$52,3,FALSE),IF(MID(N661,2,2)="HH",VLOOKUP(I661,KEY_RSD_AF!$C$5:$G$52,4,FALSE),IF(MID(N661,2,2)="WH",VLOOKUP(I661,KEY_RSD_AF!$C$5:$G$52,5,FALSE))))))</f>
        <v>1</v>
      </c>
      <c r="S661" s="183">
        <f>'RSD (DEA)'!AZ233</f>
        <v>0.9</v>
      </c>
      <c r="T661" s="183">
        <f>'RSD (DEA)'!BA233</f>
        <v>0.4</v>
      </c>
      <c r="U661" s="252">
        <v>0.5</v>
      </c>
      <c r="V661" s="183">
        <f>'RSD (DEA)'!BR233/'RSD (DEA)'!S233</f>
        <v>1428.5714285714284</v>
      </c>
      <c r="W661" s="183">
        <f>'RSD (DEA)'!BS233/RSD_HeatingDemand!$AH$9</f>
        <v>0</v>
      </c>
      <c r="X661" s="183">
        <f>'RSD (DEA)'!BK233*RSD_HeatingDemand!$AH$10/'RSD (DEA)'!S233</f>
        <v>28571.428571428569</v>
      </c>
      <c r="Y661" s="183">
        <f>'RSD (DEA)'!BI233</f>
        <v>20</v>
      </c>
      <c r="Z661" s="252"/>
      <c r="AA661" s="236">
        <f>'RSD (DEA)'!AM233</f>
        <v>31.536000000000001</v>
      </c>
      <c r="AC661" s="235">
        <f>'RSD (DEA)'!S233</f>
        <v>0.56000000000000005</v>
      </c>
      <c r="AD661" s="235" t="str">
        <f>LEFT('RSD (DEA)'!AK233,2)&amp;RIGHT(E661,3)</f>
        <v>RWHSB</v>
      </c>
      <c r="AE661" s="183">
        <f>'RSD (DEA)'!BA233</f>
        <v>0.4</v>
      </c>
      <c r="AF661" s="183"/>
    </row>
    <row r="662" spans="1:36" x14ac:dyDescent="0.3">
      <c r="A662" s="235"/>
      <c r="D662" s="512"/>
      <c r="E662" s="512"/>
      <c r="F662" s="515"/>
      <c r="G662" s="515"/>
      <c r="H662" s="540"/>
      <c r="I662" s="512"/>
      <c r="J662" s="242"/>
      <c r="K662" s="242"/>
      <c r="L662" s="512"/>
      <c r="M662" s="252"/>
      <c r="N662" s="235" t="str">
        <f>AD661</f>
        <v>RWHSB</v>
      </c>
      <c r="O662" s="252"/>
      <c r="P662" s="182"/>
      <c r="Q662" s="182"/>
      <c r="R662" s="525">
        <f>IF(ISBLANK(I662),IF(MID(N662,2,2)="HA",VLOOKUP(I661,KEY_RSD_AF!$C$5:$G$52,2,FALSE),IF(MID(N662,2,2)="WA",VLOOKUP(I661,KEY_RSD_AF!$C$5:$G$52,3,FALSE),IF(MID(N662,2,2)="HH",VLOOKUP(I661,KEY_RSD_AF!$C$5:$G$52,4,FALSE),IF(MID(N662,2,2)="WH",VLOOKUP(I661,KEY_RSD_AF!$C$5:$G$52,5,FALSE))))),IF(MID(N662,2,2)="HA",VLOOKUP(I662,KEY_RSD_AF!$C$5:$G$52,2,FALSE),IF(MID(N662,2,2)="WA",VLOOKUP(I662,KEY_RSD_AF!$C$5:$G$52,3,FALSE),IF(MID(N662,2,2)="HH",VLOOKUP(I662,KEY_RSD_AF!$C$5:$G$52,4,FALSE),IF(MID(N662,2,2)="WH",VLOOKUP(I662,KEY_RSD_AF!$C$5:$G$52,5,FALSE))))))</f>
        <v>1</v>
      </c>
      <c r="S662" s="183">
        <f>T661</f>
        <v>0.4</v>
      </c>
      <c r="T662" s="183"/>
      <c r="U662" s="252"/>
      <c r="V662" s="183"/>
      <c r="W662" s="183"/>
      <c r="X662" s="183"/>
      <c r="Y662" s="183"/>
      <c r="Z662" s="252"/>
      <c r="AA662" s="236"/>
      <c r="AC662" s="235"/>
      <c r="AD662" s="235"/>
      <c r="AE662" s="183"/>
      <c r="AF662" s="183"/>
    </row>
    <row r="663" spans="1:36" x14ac:dyDescent="0.3">
      <c r="A663" s="235"/>
      <c r="C663" s="528" t="str">
        <f>'RSD (DEA)'!Z234</f>
        <v>FC_mCHP_01</v>
      </c>
      <c r="D663" s="512" t="str">
        <f>RSD_HeatingDemand!N663&amp;"_"&amp;C663</f>
        <v>RHHSB_FC_mCHP_01</v>
      </c>
      <c r="E663" s="512" t="str">
        <f>"R"&amp;LEFT('RSD (DEA)'!AD234,2)&amp;IF(ISNUMBER(IFERROR(FIND("HTH",'RSD (DEA)'!Z234),IFERROR(FIND("HP",'RSD (DEA)'!Z234),"C"))),IF(IFERROR(FIND("HTH",'RSD (DEA)'!Z234),100)=100,"B","A"),"C")</f>
        <v>RHSB</v>
      </c>
      <c r="F663" s="515"/>
      <c r="G663" s="515"/>
      <c r="H663" s="540" t="str">
        <f t="shared" si="16"/>
        <v>RHHSB_FC_mCHP_04</v>
      </c>
      <c r="I663" s="512" t="str">
        <f>'RSD (DEA)'!AA234</f>
        <v>SOFC mCHP</v>
      </c>
      <c r="J663" s="242" t="s">
        <v>239</v>
      </c>
      <c r="K663" s="242" t="s">
        <v>240</v>
      </c>
      <c r="L663" s="512" t="str">
        <f>'RSD (DEA)'!AH234</f>
        <v>RSDGAS</v>
      </c>
      <c r="M663" s="252"/>
      <c r="N663" s="235" t="str">
        <f>LEFT('RSD (DEA)'!AJ234,2)&amp;RIGHT(E663,3)</f>
        <v>RHHSB</v>
      </c>
      <c r="O663" s="252"/>
      <c r="P663" s="182">
        <f>IF('RSD (DEA)'!P234&lt;RSD_HeatingDemand!$AH$15,RSD_HeatingDemand!$AH$15,'RSD (DEA)'!P234)</f>
        <v>2019</v>
      </c>
      <c r="Q663" s="182">
        <f>IF('RSD (DEA)'!X234&lt;RSD_HeatingDemand!$AH$15,RSD_HeatingDemand!$AH$15,'RSD (DEA)'!X234)</f>
        <v>2050</v>
      </c>
      <c r="R663" s="525">
        <f>IF(ISBLANK(I663),IF(MID(N663,2,2)="HA",VLOOKUP(I662,KEY_RSD_AF!$C$5:$G$52,2,FALSE),IF(MID(N663,2,2)="WA",VLOOKUP(I662,KEY_RSD_AF!$C$5:$G$52,3,FALSE),IF(MID(N663,2,2)="HH",VLOOKUP(I662,KEY_RSD_AF!$C$5:$G$52,4,FALSE),IF(MID(N663,2,2)="WH",VLOOKUP(I662,KEY_RSD_AF!$C$5:$G$52,5,FALSE))))),IF(MID(N663,2,2)="HA",VLOOKUP(I663,KEY_RSD_AF!$C$5:$G$52,2,FALSE),IF(MID(N663,2,2)="WA",VLOOKUP(I663,KEY_RSD_AF!$C$5:$G$52,3,FALSE),IF(MID(N663,2,2)="HH",VLOOKUP(I663,KEY_RSD_AF!$C$5:$G$52,4,FALSE),IF(MID(N663,2,2)="WH",VLOOKUP(I663,KEY_RSD_AF!$C$5:$G$52,5,FALSE))))))</f>
        <v>1</v>
      </c>
      <c r="S663" s="183">
        <f>'RSD (DEA)'!AZ234</f>
        <v>0.9</v>
      </c>
      <c r="T663" s="183">
        <f>'RSD (DEA)'!BA234</f>
        <v>0.4</v>
      </c>
      <c r="U663" s="252">
        <v>0.5</v>
      </c>
      <c r="V663" s="183">
        <f>'RSD (DEA)'!BR234/'RSD (DEA)'!S234</f>
        <v>982.142857142857</v>
      </c>
      <c r="W663" s="183">
        <f>'RSD (DEA)'!BS234/RSD_HeatingDemand!$AH$9</f>
        <v>0</v>
      </c>
      <c r="X663" s="183">
        <f>'RSD (DEA)'!BK234*RSD_HeatingDemand!$AH$10/'RSD (DEA)'!S234</f>
        <v>19642.857142857141</v>
      </c>
      <c r="Y663" s="183">
        <f>'RSD (DEA)'!BI234</f>
        <v>20</v>
      </c>
      <c r="Z663" s="252"/>
      <c r="AA663" s="236">
        <f>'RSD (DEA)'!AM234</f>
        <v>31.536000000000001</v>
      </c>
      <c r="AC663" s="235">
        <f>'RSD (DEA)'!S234</f>
        <v>0.56000000000000005</v>
      </c>
      <c r="AD663" s="235" t="str">
        <f>LEFT('RSD (DEA)'!AK234,2)&amp;RIGHT(E663,3)</f>
        <v>RWHSB</v>
      </c>
      <c r="AE663" s="183">
        <f>'RSD (DEA)'!BA234</f>
        <v>0.4</v>
      </c>
      <c r="AF663" s="183"/>
    </row>
    <row r="664" spans="1:36" x14ac:dyDescent="0.3">
      <c r="A664" s="235"/>
      <c r="D664" s="512"/>
      <c r="E664" s="512"/>
      <c r="F664" s="515"/>
      <c r="G664" s="515"/>
      <c r="H664" s="540"/>
      <c r="I664" s="512"/>
      <c r="J664" s="242"/>
      <c r="K664" s="242"/>
      <c r="L664" s="512"/>
      <c r="M664" s="252"/>
      <c r="N664" s="235" t="str">
        <f>AD663</f>
        <v>RWHSB</v>
      </c>
      <c r="O664" s="252"/>
      <c r="P664" s="182"/>
      <c r="Q664" s="182"/>
      <c r="R664" s="525">
        <f>IF(ISBLANK(I664),IF(MID(N664,2,2)="HA",VLOOKUP(I663,KEY_RSD_AF!$C$5:$G$52,2,FALSE),IF(MID(N664,2,2)="WA",VLOOKUP(I663,KEY_RSD_AF!$C$5:$G$52,3,FALSE),IF(MID(N664,2,2)="HH",VLOOKUP(I663,KEY_RSD_AF!$C$5:$G$52,4,FALSE),IF(MID(N664,2,2)="WH",VLOOKUP(I663,KEY_RSD_AF!$C$5:$G$52,5,FALSE))))),IF(MID(N664,2,2)="HA",VLOOKUP(I664,KEY_RSD_AF!$C$5:$G$52,2,FALSE),IF(MID(N664,2,2)="WA",VLOOKUP(I664,KEY_RSD_AF!$C$5:$G$52,3,FALSE),IF(MID(N664,2,2)="HH",VLOOKUP(I664,KEY_RSD_AF!$C$5:$G$52,4,FALSE),IF(MID(N664,2,2)="WH",VLOOKUP(I664,KEY_RSD_AF!$C$5:$G$52,5,FALSE))))))</f>
        <v>1</v>
      </c>
      <c r="S664" s="183">
        <f t="shared" ref="S664" si="17">T663</f>
        <v>0.4</v>
      </c>
      <c r="T664" s="183"/>
      <c r="U664" s="252"/>
      <c r="V664" s="183"/>
      <c r="W664" s="183"/>
      <c r="X664" s="183"/>
      <c r="Y664" s="183"/>
      <c r="Z664" s="252"/>
      <c r="AA664" s="236"/>
      <c r="AC664" s="235"/>
      <c r="AD664" s="252"/>
      <c r="AE664" s="183"/>
      <c r="AF664" s="183"/>
    </row>
    <row r="665" spans="1:36" s="617" customFormat="1" x14ac:dyDescent="0.3">
      <c r="A665" s="607"/>
      <c r="B665" s="608"/>
      <c r="C665" s="609" t="s">
        <v>469</v>
      </c>
      <c r="D665" s="610" t="s">
        <v>1269</v>
      </c>
      <c r="E665" s="610" t="s">
        <v>1270</v>
      </c>
      <c r="F665" s="611"/>
      <c r="G665" s="611"/>
      <c r="H665" s="612" t="s">
        <v>1269</v>
      </c>
      <c r="I665" s="610" t="s">
        <v>146</v>
      </c>
      <c r="J665" s="613" t="s">
        <v>239</v>
      </c>
      <c r="K665" s="613" t="s">
        <v>240</v>
      </c>
      <c r="L665" s="610" t="s">
        <v>1252</v>
      </c>
      <c r="M665" s="614"/>
      <c r="N665" s="607" t="s">
        <v>1180</v>
      </c>
      <c r="O665" s="607"/>
      <c r="P665" s="614">
        <v>2019</v>
      </c>
      <c r="Q665" s="614">
        <v>2019</v>
      </c>
      <c r="R665" s="614">
        <v>1</v>
      </c>
      <c r="S665" s="615">
        <v>0.92</v>
      </c>
      <c r="T665" s="615">
        <v>0.92</v>
      </c>
      <c r="U665" s="615">
        <v>0.5</v>
      </c>
      <c r="V665" s="615">
        <v>16.63</v>
      </c>
      <c r="W665" s="615">
        <v>0</v>
      </c>
      <c r="X665" s="615">
        <v>400</v>
      </c>
      <c r="Y665" s="615">
        <v>20</v>
      </c>
      <c r="Z665" s="615"/>
      <c r="AA665" s="616">
        <v>31.536000000000001</v>
      </c>
      <c r="AC665" s="607">
        <v>15</v>
      </c>
      <c r="AD665" s="607" t="s">
        <v>1253</v>
      </c>
      <c r="AE665" s="615">
        <v>0.92</v>
      </c>
      <c r="AF665" s="615"/>
      <c r="AG665" s="617" t="s">
        <v>1129</v>
      </c>
      <c r="AH665" s="617" t="s">
        <v>1130</v>
      </c>
      <c r="AJ665" s="608">
        <v>0.65</v>
      </c>
    </row>
    <row r="666" spans="1:36" x14ac:dyDescent="0.3">
      <c r="A666" s="235"/>
      <c r="D666" s="512"/>
      <c r="E666" s="512"/>
      <c r="F666" s="515"/>
      <c r="G666" s="515"/>
      <c r="H666" s="540"/>
      <c r="I666" s="512"/>
      <c r="J666" s="242"/>
      <c r="K666" s="242"/>
      <c r="L666" s="512"/>
      <c r="M666" s="182"/>
      <c r="N666" s="235" t="s">
        <v>1319</v>
      </c>
      <c r="O666" s="244"/>
      <c r="P666" s="182"/>
      <c r="Q666" s="182"/>
      <c r="R666" s="182">
        <v>1</v>
      </c>
      <c r="S666" s="183">
        <v>0.92</v>
      </c>
      <c r="T666" s="183"/>
      <c r="U666" s="183"/>
      <c r="V666" s="183"/>
      <c r="W666" s="183"/>
      <c r="X666" s="183"/>
      <c r="Y666" s="183"/>
      <c r="Z666" s="256"/>
      <c r="AA666" s="236"/>
      <c r="AB666" s="239"/>
      <c r="AC666" s="235"/>
      <c r="AD666" s="235"/>
      <c r="AE666" s="183"/>
      <c r="AF666" s="183"/>
    </row>
    <row r="667" spans="1:36" x14ac:dyDescent="0.3">
      <c r="C667" s="528" t="s">
        <v>469</v>
      </c>
      <c r="D667" s="514" t="s">
        <v>1269</v>
      </c>
      <c r="E667" s="514" t="s">
        <v>1270</v>
      </c>
      <c r="H667" s="544" t="s">
        <v>1283</v>
      </c>
      <c r="I667" s="514" t="s">
        <v>146</v>
      </c>
      <c r="J667" s="248" t="s">
        <v>239</v>
      </c>
      <c r="K667" s="248" t="s">
        <v>240</v>
      </c>
      <c r="L667" s="514" t="s">
        <v>1252</v>
      </c>
      <c r="M667" s="248"/>
      <c r="N667" s="528" t="s">
        <v>1180</v>
      </c>
      <c r="O667" s="248"/>
      <c r="P667" s="248">
        <v>2019</v>
      </c>
      <c r="Q667" s="248">
        <v>2020</v>
      </c>
      <c r="R667" s="248">
        <v>1</v>
      </c>
      <c r="S667" s="248">
        <v>0.92</v>
      </c>
      <c r="T667" s="248">
        <v>0.92</v>
      </c>
      <c r="U667" s="248">
        <v>0.5</v>
      </c>
      <c r="V667" s="503">
        <v>16.266666666666666</v>
      </c>
      <c r="W667" s="503">
        <v>0</v>
      </c>
      <c r="X667" s="503">
        <v>400</v>
      </c>
      <c r="Y667" s="503">
        <v>20</v>
      </c>
      <c r="Z667" s="503"/>
      <c r="AA667" s="503">
        <v>31.536000000000001</v>
      </c>
      <c r="AB667" s="239"/>
      <c r="AC667" s="248">
        <v>15</v>
      </c>
      <c r="AD667" s="528" t="s">
        <v>1253</v>
      </c>
      <c r="AE667" s="248">
        <v>0.92</v>
      </c>
      <c r="AF667" s="248"/>
      <c r="AG667" s="239" t="s">
        <v>1131</v>
      </c>
      <c r="AH667" s="239">
        <v>3.6</v>
      </c>
      <c r="AI667" s="239" t="s">
        <v>1132</v>
      </c>
    </row>
    <row r="668" spans="1:36" x14ac:dyDescent="0.3">
      <c r="D668" s="514"/>
      <c r="E668" s="514"/>
      <c r="H668" s="544"/>
      <c r="I668" s="514"/>
      <c r="J668" s="248"/>
      <c r="K668" s="248"/>
      <c r="L668" s="514"/>
      <c r="M668" s="248"/>
      <c r="N668" s="528" t="s">
        <v>1319</v>
      </c>
      <c r="O668" s="248"/>
      <c r="P668" s="248"/>
      <c r="Q668" s="248"/>
      <c r="R668" s="248">
        <v>1</v>
      </c>
      <c r="S668" s="248">
        <v>0.92</v>
      </c>
      <c r="T668" s="248"/>
      <c r="U668" s="248"/>
      <c r="V668" s="503"/>
      <c r="W668" s="503"/>
      <c r="X668" s="503"/>
      <c r="Y668" s="503"/>
      <c r="Z668" s="503"/>
      <c r="AA668" s="503"/>
      <c r="AB668" s="239"/>
      <c r="AC668" s="248"/>
      <c r="AD668" s="528"/>
      <c r="AE668" s="248"/>
      <c r="AF668" s="248"/>
      <c r="AG668" s="239" t="s">
        <v>136</v>
      </c>
      <c r="AH668" s="239">
        <v>1000</v>
      </c>
      <c r="AI668" s="239" t="s">
        <v>1133</v>
      </c>
    </row>
    <row r="669" spans="1:36" x14ac:dyDescent="0.3">
      <c r="C669" s="528" t="s">
        <v>469</v>
      </c>
      <c r="D669" s="514" t="s">
        <v>1269</v>
      </c>
      <c r="E669" s="514" t="s">
        <v>1270</v>
      </c>
      <c r="H669" s="544" t="s">
        <v>1284</v>
      </c>
      <c r="I669" s="514" t="s">
        <v>146</v>
      </c>
      <c r="J669" s="248" t="s">
        <v>239</v>
      </c>
      <c r="K669" s="248" t="s">
        <v>240</v>
      </c>
      <c r="L669" s="514" t="s">
        <v>1252</v>
      </c>
      <c r="M669" s="248"/>
      <c r="N669" s="528" t="s">
        <v>1180</v>
      </c>
      <c r="O669" s="248"/>
      <c r="P669" s="248">
        <v>2019</v>
      </c>
      <c r="Q669" s="248">
        <v>2030</v>
      </c>
      <c r="R669" s="248">
        <v>1</v>
      </c>
      <c r="S669" s="248">
        <v>0.93</v>
      </c>
      <c r="T669" s="248">
        <v>0.93</v>
      </c>
      <c r="U669" s="248">
        <v>0.5</v>
      </c>
      <c r="V669" s="503">
        <v>15.733333333333333</v>
      </c>
      <c r="W669" s="503">
        <v>0</v>
      </c>
      <c r="X669" s="503">
        <v>400</v>
      </c>
      <c r="Y669" s="503">
        <v>20</v>
      </c>
      <c r="Z669" s="503"/>
      <c r="AA669" s="503">
        <v>31.536000000000001</v>
      </c>
      <c r="AB669" s="239"/>
      <c r="AC669" s="248">
        <v>15</v>
      </c>
      <c r="AD669" s="528" t="s">
        <v>1253</v>
      </c>
      <c r="AE669" s="248">
        <v>0.93</v>
      </c>
      <c r="AF669" s="248"/>
    </row>
    <row r="670" spans="1:36" x14ac:dyDescent="0.3">
      <c r="D670" s="514"/>
      <c r="E670" s="514"/>
      <c r="H670" s="544"/>
      <c r="I670" s="514"/>
      <c r="J670" s="248"/>
      <c r="K670" s="248"/>
      <c r="L670" s="514"/>
      <c r="M670" s="248"/>
      <c r="N670" s="528" t="s">
        <v>1319</v>
      </c>
      <c r="O670" s="248"/>
      <c r="P670" s="248"/>
      <c r="Q670" s="248"/>
      <c r="R670" s="248">
        <v>1</v>
      </c>
      <c r="S670" s="248">
        <v>0.93</v>
      </c>
      <c r="T670" s="248"/>
      <c r="U670" s="248"/>
      <c r="V670" s="503"/>
      <c r="W670" s="503"/>
      <c r="X670" s="503"/>
      <c r="Y670" s="503"/>
      <c r="Z670" s="503"/>
      <c r="AA670" s="503"/>
      <c r="AB670" s="239"/>
      <c r="AC670" s="248"/>
      <c r="AD670" s="528"/>
      <c r="AE670" s="248"/>
      <c r="AF670" s="248"/>
      <c r="AG670" s="239" t="s">
        <v>1136</v>
      </c>
      <c r="AH670" s="239" t="s">
        <v>1135</v>
      </c>
    </row>
    <row r="671" spans="1:36" x14ac:dyDescent="0.3">
      <c r="C671" s="528" t="s">
        <v>469</v>
      </c>
      <c r="D671" s="514" t="s">
        <v>1269</v>
      </c>
      <c r="E671" s="514" t="s">
        <v>1270</v>
      </c>
      <c r="H671" s="544" t="s">
        <v>1285</v>
      </c>
      <c r="I671" s="514" t="s">
        <v>146</v>
      </c>
      <c r="J671" s="248" t="s">
        <v>239</v>
      </c>
      <c r="K671" s="248" t="s">
        <v>240</v>
      </c>
      <c r="L671" s="514" t="s">
        <v>1252</v>
      </c>
      <c r="M671" s="248"/>
      <c r="N671" s="528" t="s">
        <v>1180</v>
      </c>
      <c r="O671" s="248"/>
      <c r="P671" s="248">
        <v>2019</v>
      </c>
      <c r="Q671" s="248">
        <v>2050</v>
      </c>
      <c r="R671" s="248">
        <v>1</v>
      </c>
      <c r="S671" s="248">
        <v>0.95</v>
      </c>
      <c r="T671" s="248">
        <v>0.95</v>
      </c>
      <c r="U671" s="248">
        <v>0.5</v>
      </c>
      <c r="V671" s="503">
        <v>14.266666666666667</v>
      </c>
      <c r="W671" s="503">
        <v>0</v>
      </c>
      <c r="X671" s="503">
        <v>666.66666666666663</v>
      </c>
      <c r="Y671" s="503">
        <v>20</v>
      </c>
      <c r="Z671" s="503"/>
      <c r="AA671" s="503">
        <v>31.536000000000001</v>
      </c>
      <c r="AB671" s="239"/>
      <c r="AC671" s="248">
        <v>15</v>
      </c>
      <c r="AD671" s="528" t="s">
        <v>1253</v>
      </c>
      <c r="AE671" s="248">
        <v>0.95</v>
      </c>
      <c r="AF671" s="248"/>
      <c r="AG671" s="239" t="s">
        <v>1137</v>
      </c>
    </row>
    <row r="672" spans="1:36" x14ac:dyDescent="0.3">
      <c r="D672" s="514"/>
      <c r="E672" s="514"/>
      <c r="H672" s="544"/>
      <c r="I672" s="514"/>
      <c r="J672" s="248"/>
      <c r="K672" s="248"/>
      <c r="L672" s="514"/>
      <c r="M672" s="248"/>
      <c r="N672" s="528" t="s">
        <v>1319</v>
      </c>
      <c r="O672" s="248"/>
      <c r="P672" s="248"/>
      <c r="Q672" s="248"/>
      <c r="R672" s="248">
        <v>1</v>
      </c>
      <c r="S672" s="248">
        <v>0.95</v>
      </c>
      <c r="T672" s="248"/>
      <c r="U672" s="248"/>
      <c r="V672" s="503"/>
      <c r="W672" s="503"/>
      <c r="X672" s="503"/>
      <c r="Y672" s="503"/>
      <c r="Z672" s="503"/>
      <c r="AA672" s="503"/>
      <c r="AB672" s="239"/>
      <c r="AC672" s="248"/>
      <c r="AD672" s="528"/>
      <c r="AE672" s="248"/>
      <c r="AF672" s="248"/>
    </row>
    <row r="673" spans="3:35" x14ac:dyDescent="0.3">
      <c r="C673" s="528" t="s">
        <v>1230</v>
      </c>
      <c r="D673" s="514" t="s">
        <v>1271</v>
      </c>
      <c r="E673" s="514" t="s">
        <v>1270</v>
      </c>
      <c r="H673" s="544" t="s">
        <v>1271</v>
      </c>
      <c r="I673" s="514" t="s">
        <v>146</v>
      </c>
      <c r="J673" s="248" t="s">
        <v>239</v>
      </c>
      <c r="K673" s="248" t="s">
        <v>240</v>
      </c>
      <c r="L673" s="514" t="s">
        <v>1254</v>
      </c>
      <c r="M673" s="248"/>
      <c r="N673" s="528" t="s">
        <v>1180</v>
      </c>
      <c r="O673" s="248"/>
      <c r="P673" s="248">
        <v>2019</v>
      </c>
      <c r="Q673" s="248">
        <v>2019</v>
      </c>
      <c r="R673" s="248">
        <v>1</v>
      </c>
      <c r="S673" s="248">
        <v>0.88</v>
      </c>
      <c r="T673" s="248">
        <v>0.88</v>
      </c>
      <c r="U673" s="248">
        <v>0.5</v>
      </c>
      <c r="V673" s="503">
        <v>16.420000000000002</v>
      </c>
      <c r="W673" s="503">
        <v>0</v>
      </c>
      <c r="X673" s="503">
        <v>666.66666666666663</v>
      </c>
      <c r="Y673" s="503">
        <v>20</v>
      </c>
      <c r="Z673" s="503"/>
      <c r="AA673" s="503">
        <v>31.536000000000001</v>
      </c>
      <c r="AB673" s="239"/>
      <c r="AC673" s="248">
        <v>15</v>
      </c>
      <c r="AD673" s="528" t="s">
        <v>1253</v>
      </c>
      <c r="AE673" s="248">
        <v>0.88</v>
      </c>
      <c r="AF673" s="248"/>
      <c r="AG673" s="239" t="s">
        <v>42</v>
      </c>
      <c r="AH673" s="239">
        <v>2019</v>
      </c>
    </row>
    <row r="674" spans="3:35" x14ac:dyDescent="0.3">
      <c r="D674" s="514"/>
      <c r="E674" s="514"/>
      <c r="H674" s="544"/>
      <c r="I674" s="514"/>
      <c r="J674" s="248"/>
      <c r="K674" s="248"/>
      <c r="L674" s="514"/>
      <c r="M674" s="248"/>
      <c r="N674" s="528" t="s">
        <v>1319</v>
      </c>
      <c r="O674" s="248"/>
      <c r="P674" s="248"/>
      <c r="Q674" s="248"/>
      <c r="R674" s="248">
        <v>1</v>
      </c>
      <c r="S674" s="248">
        <v>0.88</v>
      </c>
      <c r="T674" s="248"/>
      <c r="U674" s="248"/>
      <c r="V674" s="503"/>
      <c r="W674" s="503"/>
      <c r="X674" s="503"/>
      <c r="Y674" s="503"/>
      <c r="Z674" s="503"/>
      <c r="AA674" s="503"/>
      <c r="AB674" s="239"/>
      <c r="AC674" s="248"/>
      <c r="AD674" s="528"/>
      <c r="AE674" s="248"/>
      <c r="AF674" s="248"/>
    </row>
    <row r="675" spans="3:35" x14ac:dyDescent="0.3">
      <c r="C675" s="528" t="s">
        <v>1230</v>
      </c>
      <c r="D675" s="514" t="s">
        <v>1271</v>
      </c>
      <c r="E675" s="514" t="s">
        <v>1270</v>
      </c>
      <c r="H675" s="544" t="s">
        <v>1286</v>
      </c>
      <c r="I675" s="514" t="s">
        <v>146</v>
      </c>
      <c r="J675" s="248" t="s">
        <v>239</v>
      </c>
      <c r="K675" s="248" t="s">
        <v>240</v>
      </c>
      <c r="L675" s="514" t="s">
        <v>1254</v>
      </c>
      <c r="M675" s="248"/>
      <c r="N675" s="528" t="s">
        <v>1180</v>
      </c>
      <c r="O675" s="248"/>
      <c r="P675" s="248">
        <v>2019</v>
      </c>
      <c r="Q675" s="248">
        <v>2020</v>
      </c>
      <c r="R675" s="248">
        <v>1</v>
      </c>
      <c r="S675" s="248">
        <v>0.88</v>
      </c>
      <c r="T675" s="248">
        <v>0.88</v>
      </c>
      <c r="U675" s="248">
        <v>0.5</v>
      </c>
      <c r="V675" s="503">
        <v>16.066666666666666</v>
      </c>
      <c r="W675" s="503">
        <v>0</v>
      </c>
      <c r="X675" s="503">
        <v>666.66666666666663</v>
      </c>
      <c r="Y675" s="503">
        <v>20</v>
      </c>
      <c r="Z675" s="503"/>
      <c r="AA675" s="503">
        <v>31.536000000000001</v>
      </c>
      <c r="AB675" s="239"/>
      <c r="AC675" s="248">
        <v>15</v>
      </c>
      <c r="AD675" s="528" t="s">
        <v>1253</v>
      </c>
      <c r="AE675" s="248">
        <v>0.88</v>
      </c>
      <c r="AF675" s="248"/>
    </row>
    <row r="676" spans="3:35" x14ac:dyDescent="0.3">
      <c r="D676" s="514"/>
      <c r="E676" s="514"/>
      <c r="H676" s="544"/>
      <c r="I676" s="514"/>
      <c r="J676" s="248"/>
      <c r="K676" s="248"/>
      <c r="L676" s="514"/>
      <c r="M676" s="248"/>
      <c r="N676" s="528" t="s">
        <v>1319</v>
      </c>
      <c r="O676" s="248"/>
      <c r="P676" s="248"/>
      <c r="Q676" s="248"/>
      <c r="R676" s="248">
        <v>1</v>
      </c>
      <c r="S676" s="248">
        <v>0.88</v>
      </c>
      <c r="T676" s="248"/>
      <c r="U676" s="248"/>
      <c r="V676" s="503"/>
      <c r="W676" s="503"/>
      <c r="X676" s="503"/>
      <c r="Y676" s="503"/>
      <c r="Z676" s="503"/>
      <c r="AA676" s="503"/>
      <c r="AB676" s="239"/>
      <c r="AC676" s="248"/>
      <c r="AD676" s="528"/>
      <c r="AE676" s="248"/>
      <c r="AF676" s="248"/>
      <c r="AG676" s="239" t="s">
        <v>1195</v>
      </c>
    </row>
    <row r="677" spans="3:35" x14ac:dyDescent="0.3">
      <c r="C677" s="528" t="s">
        <v>1230</v>
      </c>
      <c r="D677" s="514" t="s">
        <v>1271</v>
      </c>
      <c r="E677" s="514" t="s">
        <v>1270</v>
      </c>
      <c r="H677" s="544" t="s">
        <v>1287</v>
      </c>
      <c r="I677" s="514" t="s">
        <v>146</v>
      </c>
      <c r="J677" s="248" t="s">
        <v>239</v>
      </c>
      <c r="K677" s="248" t="s">
        <v>240</v>
      </c>
      <c r="L677" s="514" t="s">
        <v>1254</v>
      </c>
      <c r="M677" s="248"/>
      <c r="N677" s="528" t="s">
        <v>1180</v>
      </c>
      <c r="O677" s="248"/>
      <c r="P677" s="248">
        <v>2019</v>
      </c>
      <c r="Q677" s="248">
        <v>2030</v>
      </c>
      <c r="R677" s="248">
        <v>1</v>
      </c>
      <c r="S677" s="248">
        <v>0.92</v>
      </c>
      <c r="T677" s="248">
        <v>0.92</v>
      </c>
      <c r="U677" s="248">
        <v>0.5</v>
      </c>
      <c r="V677" s="503">
        <v>15.466666666666667</v>
      </c>
      <c r="W677" s="503">
        <v>0</v>
      </c>
      <c r="X677" s="503">
        <v>600</v>
      </c>
      <c r="Y677" s="503">
        <v>20</v>
      </c>
      <c r="Z677" s="503"/>
      <c r="AA677" s="503">
        <v>31.536000000000001</v>
      </c>
      <c r="AB677" s="239"/>
      <c r="AC677" s="248">
        <v>15</v>
      </c>
      <c r="AD677" s="528" t="s">
        <v>1253</v>
      </c>
      <c r="AE677" s="248">
        <v>0.92</v>
      </c>
      <c r="AF677" s="248"/>
    </row>
    <row r="678" spans="3:35" x14ac:dyDescent="0.3">
      <c r="D678" s="514"/>
      <c r="E678" s="514"/>
      <c r="H678" s="544"/>
      <c r="I678" s="514"/>
      <c r="J678" s="248"/>
      <c r="K678" s="248"/>
      <c r="L678" s="514"/>
      <c r="M678" s="248"/>
      <c r="N678" s="528" t="s">
        <v>1319</v>
      </c>
      <c r="O678" s="248"/>
      <c r="P678" s="248"/>
      <c r="Q678" s="248"/>
      <c r="R678" s="248">
        <v>1</v>
      </c>
      <c r="S678" s="248">
        <v>0.92</v>
      </c>
      <c r="T678" s="248"/>
      <c r="U678" s="248"/>
      <c r="V678" s="503"/>
      <c r="W678" s="503"/>
      <c r="X678" s="503"/>
      <c r="Y678" s="503"/>
      <c r="Z678" s="503"/>
      <c r="AA678" s="503"/>
      <c r="AB678" s="239"/>
      <c r="AC678" s="248"/>
      <c r="AD678" s="528"/>
      <c r="AE678" s="248"/>
      <c r="AF678" s="248"/>
      <c r="AG678" s="239" t="s">
        <v>244</v>
      </c>
      <c r="AH678" s="239" t="s">
        <v>1196</v>
      </c>
      <c r="AI678" s="239" t="s">
        <v>1197</v>
      </c>
    </row>
    <row r="679" spans="3:35" x14ac:dyDescent="0.3">
      <c r="C679" s="528" t="s">
        <v>1230</v>
      </c>
      <c r="D679" s="514" t="s">
        <v>1271</v>
      </c>
      <c r="E679" s="514" t="s">
        <v>1270</v>
      </c>
      <c r="H679" s="544" t="s">
        <v>1288</v>
      </c>
      <c r="I679" s="514" t="s">
        <v>146</v>
      </c>
      <c r="J679" s="248" t="s">
        <v>239</v>
      </c>
      <c r="K679" s="248" t="s">
        <v>240</v>
      </c>
      <c r="L679" s="514" t="s">
        <v>1254</v>
      </c>
      <c r="M679" s="248"/>
      <c r="N679" s="528" t="s">
        <v>1180</v>
      </c>
      <c r="O679" s="248"/>
      <c r="P679" s="248">
        <v>2019</v>
      </c>
      <c r="Q679" s="248">
        <v>2050</v>
      </c>
      <c r="R679" s="248">
        <v>1</v>
      </c>
      <c r="S679" s="248">
        <v>0.94</v>
      </c>
      <c r="T679" s="248">
        <v>0.94</v>
      </c>
      <c r="U679" s="248">
        <v>0.5</v>
      </c>
      <c r="V679" s="503">
        <v>14</v>
      </c>
      <c r="W679" s="503">
        <v>0</v>
      </c>
      <c r="X679" s="503">
        <v>1133.3333333333333</v>
      </c>
      <c r="Y679" s="503">
        <v>20</v>
      </c>
      <c r="Z679" s="503"/>
      <c r="AA679" s="503">
        <v>31.536000000000001</v>
      </c>
      <c r="AB679" s="239"/>
      <c r="AC679" s="248">
        <v>15</v>
      </c>
      <c r="AD679" s="528" t="s">
        <v>1253</v>
      </c>
      <c r="AE679" s="248">
        <v>0.94</v>
      </c>
      <c r="AF679" s="248"/>
      <c r="AG679" s="239" t="s">
        <v>244</v>
      </c>
      <c r="AH679" s="239" t="s">
        <v>754</v>
      </c>
      <c r="AI679" s="239" t="s">
        <v>750</v>
      </c>
    </row>
    <row r="680" spans="3:35" x14ac:dyDescent="0.3">
      <c r="D680" s="514"/>
      <c r="E680" s="514"/>
      <c r="H680" s="544"/>
      <c r="I680" s="514"/>
      <c r="J680" s="248"/>
      <c r="K680" s="248"/>
      <c r="L680" s="514"/>
      <c r="M680" s="248"/>
      <c r="N680" s="528" t="s">
        <v>1319</v>
      </c>
      <c r="O680" s="248"/>
      <c r="P680" s="248"/>
      <c r="Q680" s="248"/>
      <c r="R680" s="248">
        <v>1</v>
      </c>
      <c r="S680" s="248">
        <v>0.94</v>
      </c>
      <c r="T680" s="248"/>
      <c r="U680" s="248"/>
      <c r="V680" s="503"/>
      <c r="W680" s="503"/>
      <c r="X680" s="503"/>
      <c r="Y680" s="503"/>
      <c r="Z680" s="503"/>
      <c r="AA680" s="503"/>
      <c r="AB680" s="239"/>
      <c r="AC680" s="248"/>
      <c r="AD680" s="528"/>
      <c r="AE680" s="248"/>
      <c r="AF680" s="248"/>
      <c r="AG680" s="239" t="s">
        <v>244</v>
      </c>
      <c r="AH680" s="239" t="s">
        <v>1198</v>
      </c>
      <c r="AI680" s="239" t="s">
        <v>1199</v>
      </c>
    </row>
    <row r="681" spans="3:35" x14ac:dyDescent="0.3">
      <c r="C681" s="528" t="s">
        <v>471</v>
      </c>
      <c r="D681" s="514" t="s">
        <v>1258</v>
      </c>
      <c r="E681" s="514" t="s">
        <v>1259</v>
      </c>
      <c r="H681" s="544" t="s">
        <v>1258</v>
      </c>
      <c r="I681" s="514" t="s">
        <v>146</v>
      </c>
      <c r="J681" s="248" t="s">
        <v>239</v>
      </c>
      <c r="K681" s="248" t="s">
        <v>240</v>
      </c>
      <c r="L681" s="514" t="s">
        <v>1252</v>
      </c>
      <c r="M681" s="248"/>
      <c r="N681" s="528" t="s">
        <v>1184</v>
      </c>
      <c r="O681" s="248"/>
      <c r="P681" s="248">
        <v>2019</v>
      </c>
      <c r="Q681" s="248">
        <v>2019</v>
      </c>
      <c r="R681" s="248">
        <v>1</v>
      </c>
      <c r="S681" s="248">
        <v>0.92</v>
      </c>
      <c r="T681" s="248">
        <v>0.92</v>
      </c>
      <c r="U681" s="248">
        <v>0.5</v>
      </c>
      <c r="V681" s="503">
        <v>2.13625</v>
      </c>
      <c r="W681" s="503">
        <v>6.5483360815438685</v>
      </c>
      <c r="X681" s="503">
        <v>87.5</v>
      </c>
      <c r="Y681" s="503">
        <v>20</v>
      </c>
      <c r="Z681" s="503"/>
      <c r="AA681" s="503">
        <v>31.536000000000001</v>
      </c>
      <c r="AB681" s="239"/>
      <c r="AC681" s="248">
        <v>400</v>
      </c>
      <c r="AD681" s="528" t="s">
        <v>1255</v>
      </c>
      <c r="AE681" s="248">
        <v>0.92</v>
      </c>
      <c r="AF681" s="248"/>
      <c r="AG681" s="239" t="s">
        <v>754</v>
      </c>
      <c r="AH681" s="239" t="s">
        <v>1196</v>
      </c>
      <c r="AI681" s="239" t="s">
        <v>1197</v>
      </c>
    </row>
    <row r="682" spans="3:35" x14ac:dyDescent="0.3">
      <c r="D682" s="514"/>
      <c r="E682" s="514"/>
      <c r="H682" s="544"/>
      <c r="I682" s="514"/>
      <c r="J682" s="248"/>
      <c r="K682" s="248"/>
      <c r="L682" s="514"/>
      <c r="M682" s="248"/>
      <c r="N682" s="528" t="s">
        <v>1320</v>
      </c>
      <c r="O682" s="248"/>
      <c r="P682" s="248"/>
      <c r="Q682" s="248"/>
      <c r="R682" s="248">
        <v>1</v>
      </c>
      <c r="S682" s="248">
        <v>0.92</v>
      </c>
      <c r="T682" s="248"/>
      <c r="U682" s="248"/>
      <c r="V682" s="503"/>
      <c r="W682" s="503"/>
      <c r="X682" s="503"/>
      <c r="Y682" s="503"/>
      <c r="Z682" s="503"/>
      <c r="AA682" s="503"/>
      <c r="AB682" s="239"/>
      <c r="AC682" s="248"/>
      <c r="AD682" s="528"/>
      <c r="AE682" s="248"/>
      <c r="AF682" s="248"/>
      <c r="AG682" s="239" t="s">
        <v>754</v>
      </c>
      <c r="AH682" s="239" t="s">
        <v>754</v>
      </c>
      <c r="AI682" s="239" t="s">
        <v>750</v>
      </c>
    </row>
    <row r="683" spans="3:35" x14ac:dyDescent="0.3">
      <c r="C683" s="528" t="s">
        <v>471</v>
      </c>
      <c r="D683" s="514" t="s">
        <v>1258</v>
      </c>
      <c r="E683" s="514" t="s">
        <v>1259</v>
      </c>
      <c r="H683" s="544" t="s">
        <v>1321</v>
      </c>
      <c r="I683" s="514" t="s">
        <v>146</v>
      </c>
      <c r="J683" s="248" t="s">
        <v>239</v>
      </c>
      <c r="K683" s="248" t="s">
        <v>240</v>
      </c>
      <c r="L683" s="514" t="s">
        <v>1252</v>
      </c>
      <c r="M683" s="248"/>
      <c r="N683" s="528" t="s">
        <v>1184</v>
      </c>
      <c r="O683" s="248"/>
      <c r="P683" s="248">
        <v>2019</v>
      </c>
      <c r="Q683" s="248">
        <v>2020</v>
      </c>
      <c r="R683" s="248">
        <v>1</v>
      </c>
      <c r="S683" s="248">
        <v>0.92</v>
      </c>
      <c r="T683" s="248">
        <v>0.92</v>
      </c>
      <c r="U683" s="248">
        <v>0.5</v>
      </c>
      <c r="V683" s="503">
        <v>2.0950000000000002</v>
      </c>
      <c r="W683" s="503">
        <v>6.5483360815438685</v>
      </c>
      <c r="X683" s="503">
        <v>85</v>
      </c>
      <c r="Y683" s="503">
        <v>20</v>
      </c>
      <c r="Z683" s="503"/>
      <c r="AA683" s="503">
        <v>31.536000000000001</v>
      </c>
      <c r="AB683" s="239"/>
      <c r="AC683" s="248">
        <v>400</v>
      </c>
      <c r="AD683" s="528" t="s">
        <v>1255</v>
      </c>
      <c r="AE683" s="248">
        <v>0.92</v>
      </c>
      <c r="AF683" s="248"/>
      <c r="AG683" s="239" t="s">
        <v>754</v>
      </c>
      <c r="AH683" s="239" t="s">
        <v>1198</v>
      </c>
      <c r="AI683" s="239" t="s">
        <v>1199</v>
      </c>
    </row>
    <row r="684" spans="3:35" x14ac:dyDescent="0.3">
      <c r="D684" s="514"/>
      <c r="E684" s="514"/>
      <c r="H684" s="544"/>
      <c r="I684" s="514"/>
      <c r="J684" s="248"/>
      <c r="K684" s="248"/>
      <c r="L684" s="514"/>
      <c r="M684" s="248"/>
      <c r="N684" s="528" t="s">
        <v>1320</v>
      </c>
      <c r="O684" s="248"/>
      <c r="P684" s="248"/>
      <c r="Q684" s="248"/>
      <c r="R684" s="248">
        <v>1</v>
      </c>
      <c r="S684" s="248">
        <v>0.92</v>
      </c>
      <c r="T684" s="248"/>
      <c r="U684" s="248"/>
      <c r="V684" s="503"/>
      <c r="W684" s="503"/>
      <c r="X684" s="503"/>
      <c r="Y684" s="503"/>
      <c r="Z684" s="503"/>
      <c r="AA684" s="503"/>
      <c r="AB684" s="239"/>
      <c r="AC684" s="248"/>
      <c r="AD684" s="528"/>
      <c r="AE684" s="248"/>
      <c r="AF684" s="248"/>
    </row>
    <row r="685" spans="3:35" x14ac:dyDescent="0.3">
      <c r="C685" s="528" t="s">
        <v>471</v>
      </c>
      <c r="D685" s="514" t="s">
        <v>1258</v>
      </c>
      <c r="E685" s="514" t="s">
        <v>1259</v>
      </c>
      <c r="H685" s="544" t="s">
        <v>1322</v>
      </c>
      <c r="I685" s="514" t="s">
        <v>146</v>
      </c>
      <c r="J685" s="248" t="s">
        <v>239</v>
      </c>
      <c r="K685" s="248" t="s">
        <v>240</v>
      </c>
      <c r="L685" s="514" t="s">
        <v>1252</v>
      </c>
      <c r="M685" s="248"/>
      <c r="N685" s="528" t="s">
        <v>1184</v>
      </c>
      <c r="O685" s="248"/>
      <c r="P685" s="248">
        <v>2019</v>
      </c>
      <c r="Q685" s="248">
        <v>2030</v>
      </c>
      <c r="R685" s="248">
        <v>1</v>
      </c>
      <c r="S685" s="248">
        <v>0.93</v>
      </c>
      <c r="T685" s="248">
        <v>0.93</v>
      </c>
      <c r="U685" s="248">
        <v>0.5</v>
      </c>
      <c r="V685" s="503">
        <v>2.09</v>
      </c>
      <c r="W685" s="503">
        <v>6.5483360815438685</v>
      </c>
      <c r="X685" s="503">
        <v>80</v>
      </c>
      <c r="Y685" s="503">
        <v>20</v>
      </c>
      <c r="Z685" s="503"/>
      <c r="AA685" s="503">
        <v>31.536000000000001</v>
      </c>
      <c r="AB685" s="239"/>
      <c r="AC685" s="248">
        <v>400</v>
      </c>
      <c r="AD685" s="528" t="s">
        <v>1255</v>
      </c>
      <c r="AE685" s="248">
        <v>0.93</v>
      </c>
      <c r="AF685" s="248"/>
    </row>
    <row r="686" spans="3:35" x14ac:dyDescent="0.3">
      <c r="D686" s="514"/>
      <c r="E686" s="514"/>
      <c r="H686" s="544"/>
      <c r="I686" s="514"/>
      <c r="J686" s="248"/>
      <c r="K686" s="248"/>
      <c r="L686" s="514"/>
      <c r="M686" s="248"/>
      <c r="N686" s="528" t="s">
        <v>1320</v>
      </c>
      <c r="O686" s="248"/>
      <c r="P686" s="248"/>
      <c r="Q686" s="248"/>
      <c r="R686" s="248">
        <v>1</v>
      </c>
      <c r="S686" s="248">
        <v>0.93</v>
      </c>
      <c r="T686" s="248"/>
      <c r="U686" s="248"/>
      <c r="V686" s="503"/>
      <c r="W686" s="503"/>
      <c r="X686" s="503"/>
      <c r="Y686" s="503"/>
      <c r="Z686" s="503"/>
      <c r="AA686" s="503"/>
      <c r="AB686" s="239"/>
      <c r="AC686" s="248"/>
      <c r="AD686" s="528"/>
      <c r="AE686" s="248"/>
      <c r="AF686" s="248"/>
    </row>
    <row r="687" spans="3:35" x14ac:dyDescent="0.3">
      <c r="C687" s="528" t="s">
        <v>471</v>
      </c>
      <c r="D687" s="514" t="s">
        <v>1258</v>
      </c>
      <c r="E687" s="514" t="s">
        <v>1259</v>
      </c>
      <c r="H687" s="544" t="s">
        <v>1323</v>
      </c>
      <c r="I687" s="514" t="s">
        <v>146</v>
      </c>
      <c r="J687" s="248" t="s">
        <v>239</v>
      </c>
      <c r="K687" s="248" t="s">
        <v>240</v>
      </c>
      <c r="L687" s="514" t="s">
        <v>1252</v>
      </c>
      <c r="M687" s="248"/>
      <c r="N687" s="528" t="s">
        <v>1184</v>
      </c>
      <c r="O687" s="248"/>
      <c r="P687" s="248">
        <v>2019</v>
      </c>
      <c r="Q687" s="248">
        <v>2050</v>
      </c>
      <c r="R687" s="248">
        <v>1</v>
      </c>
      <c r="S687" s="248">
        <v>0.95</v>
      </c>
      <c r="T687" s="248">
        <v>0.95</v>
      </c>
      <c r="U687" s="248">
        <v>0.5</v>
      </c>
      <c r="V687" s="503">
        <v>1.9450000000000001</v>
      </c>
      <c r="W687" s="503">
        <v>6.5483360815438685</v>
      </c>
      <c r="X687" s="503">
        <v>147.5</v>
      </c>
      <c r="Y687" s="503">
        <v>20</v>
      </c>
      <c r="Z687" s="503"/>
      <c r="AA687" s="503">
        <v>31.536000000000001</v>
      </c>
      <c r="AB687" s="239"/>
      <c r="AC687" s="248">
        <v>400</v>
      </c>
      <c r="AD687" s="528" t="s">
        <v>1255</v>
      </c>
      <c r="AE687" s="248">
        <v>0.95</v>
      </c>
      <c r="AF687" s="248"/>
    </row>
    <row r="688" spans="3:35" x14ac:dyDescent="0.3">
      <c r="D688" s="514"/>
      <c r="E688" s="514"/>
      <c r="H688" s="544"/>
      <c r="I688" s="514"/>
      <c r="J688" s="248"/>
      <c r="K688" s="248"/>
      <c r="L688" s="514"/>
      <c r="M688" s="248"/>
      <c r="N688" s="528" t="s">
        <v>1320</v>
      </c>
      <c r="O688" s="248"/>
      <c r="P688" s="248"/>
      <c r="Q688" s="248"/>
      <c r="R688" s="248">
        <v>1</v>
      </c>
      <c r="S688" s="248">
        <v>0.95</v>
      </c>
      <c r="T688" s="248"/>
      <c r="U688" s="248"/>
      <c r="V688" s="503"/>
      <c r="W688" s="503"/>
      <c r="X688" s="503"/>
      <c r="Y688" s="503"/>
      <c r="Z688" s="503"/>
      <c r="AA688" s="503"/>
      <c r="AB688" s="239"/>
      <c r="AC688" s="248"/>
      <c r="AD688" s="528"/>
      <c r="AE688" s="248"/>
      <c r="AF688" s="248"/>
    </row>
    <row r="689" spans="3:32" x14ac:dyDescent="0.3">
      <c r="C689" s="528" t="s">
        <v>1231</v>
      </c>
      <c r="D689" s="514" t="s">
        <v>1260</v>
      </c>
      <c r="E689" s="514" t="s">
        <v>1259</v>
      </c>
      <c r="H689" s="544" t="s">
        <v>1260</v>
      </c>
      <c r="I689" s="514" t="s">
        <v>146</v>
      </c>
      <c r="J689" s="248" t="s">
        <v>239</v>
      </c>
      <c r="K689" s="248" t="s">
        <v>240</v>
      </c>
      <c r="L689" s="514" t="s">
        <v>1254</v>
      </c>
      <c r="M689" s="248"/>
      <c r="N689" s="528" t="s">
        <v>1184</v>
      </c>
      <c r="O689" s="248"/>
      <c r="P689" s="248">
        <v>2019</v>
      </c>
      <c r="Q689" s="248">
        <v>2019</v>
      </c>
      <c r="R689" s="248">
        <v>1</v>
      </c>
      <c r="S689" s="248">
        <v>0.88</v>
      </c>
      <c r="T689" s="248">
        <v>0.88</v>
      </c>
      <c r="U689" s="248">
        <v>0.5</v>
      </c>
      <c r="V689" s="503">
        <v>3.5187499999999998</v>
      </c>
      <c r="W689" s="503">
        <v>6.5483360815438685</v>
      </c>
      <c r="X689" s="503">
        <v>175</v>
      </c>
      <c r="Y689" s="503">
        <v>20</v>
      </c>
      <c r="Z689" s="503"/>
      <c r="AA689" s="503">
        <v>31.536000000000001</v>
      </c>
      <c r="AB689" s="239"/>
      <c r="AC689" s="248">
        <v>160</v>
      </c>
      <c r="AD689" s="528" t="s">
        <v>1255</v>
      </c>
      <c r="AE689" s="248">
        <v>0.88</v>
      </c>
      <c r="AF689" s="248"/>
    </row>
    <row r="690" spans="3:32" x14ac:dyDescent="0.3">
      <c r="D690" s="514"/>
      <c r="E690" s="514"/>
      <c r="H690" s="544"/>
      <c r="I690" s="514"/>
      <c r="J690" s="248"/>
      <c r="K690" s="248"/>
      <c r="L690" s="514"/>
      <c r="M690" s="248"/>
      <c r="N690" s="528" t="s">
        <v>1320</v>
      </c>
      <c r="O690" s="248"/>
      <c r="P690" s="248"/>
      <c r="Q690" s="248"/>
      <c r="R690" s="248">
        <v>1</v>
      </c>
      <c r="S690" s="248">
        <v>0.88</v>
      </c>
      <c r="T690" s="248"/>
      <c r="U690" s="248"/>
      <c r="V690" s="503"/>
      <c r="W690" s="503"/>
      <c r="X690" s="503"/>
      <c r="Y690" s="503"/>
      <c r="Z690" s="503"/>
      <c r="AA690" s="503"/>
      <c r="AB690" s="239"/>
      <c r="AC690" s="248"/>
      <c r="AD690" s="528"/>
      <c r="AE690" s="248"/>
      <c r="AF690" s="248"/>
    </row>
    <row r="691" spans="3:32" x14ac:dyDescent="0.3">
      <c r="C691" s="528" t="s">
        <v>1231</v>
      </c>
      <c r="D691" s="514" t="s">
        <v>1260</v>
      </c>
      <c r="E691" s="514" t="s">
        <v>1259</v>
      </c>
      <c r="H691" s="544" t="s">
        <v>1324</v>
      </c>
      <c r="I691" s="514" t="s">
        <v>146</v>
      </c>
      <c r="J691" s="248" t="s">
        <v>239</v>
      </c>
      <c r="K691" s="248" t="s">
        <v>240</v>
      </c>
      <c r="L691" s="514" t="s">
        <v>1254</v>
      </c>
      <c r="M691" s="248"/>
      <c r="N691" s="528" t="s">
        <v>1184</v>
      </c>
      <c r="O691" s="248"/>
      <c r="P691" s="248">
        <v>2019</v>
      </c>
      <c r="Q691" s="248">
        <v>2020</v>
      </c>
      <c r="R691" s="248">
        <v>1</v>
      </c>
      <c r="S691" s="248">
        <v>0.88</v>
      </c>
      <c r="T691" s="248">
        <v>0.88</v>
      </c>
      <c r="U691" s="248">
        <v>0.5</v>
      </c>
      <c r="V691" s="503">
        <v>3.4375</v>
      </c>
      <c r="W691" s="503">
        <v>6.5483360815438685</v>
      </c>
      <c r="X691" s="503">
        <v>168.75</v>
      </c>
      <c r="Y691" s="503">
        <v>20</v>
      </c>
      <c r="Z691" s="503"/>
      <c r="AA691" s="503">
        <v>31.536000000000001</v>
      </c>
      <c r="AB691" s="239"/>
      <c r="AC691" s="248">
        <v>160</v>
      </c>
      <c r="AD691" s="528" t="s">
        <v>1255</v>
      </c>
      <c r="AE691" s="248">
        <v>0.88</v>
      </c>
      <c r="AF691" s="248"/>
    </row>
    <row r="692" spans="3:32" x14ac:dyDescent="0.3">
      <c r="D692" s="514"/>
      <c r="E692" s="514"/>
      <c r="H692" s="544"/>
      <c r="I692" s="514"/>
      <c r="J692" s="248"/>
      <c r="K692" s="248"/>
      <c r="L692" s="514"/>
      <c r="M692" s="248"/>
      <c r="N692" s="528" t="s">
        <v>1320</v>
      </c>
      <c r="O692" s="248"/>
      <c r="P692" s="248"/>
      <c r="Q692" s="248"/>
      <c r="R692" s="248">
        <v>1</v>
      </c>
      <c r="S692" s="248">
        <v>0.88</v>
      </c>
      <c r="T692" s="248"/>
      <c r="U692" s="248"/>
      <c r="V692" s="503"/>
      <c r="W692" s="503"/>
      <c r="X692" s="503"/>
      <c r="Y692" s="503"/>
      <c r="Z692" s="503"/>
      <c r="AA692" s="503"/>
      <c r="AB692" s="239"/>
      <c r="AC692" s="248"/>
      <c r="AD692" s="528"/>
      <c r="AE692" s="248"/>
      <c r="AF692" s="248"/>
    </row>
    <row r="693" spans="3:32" x14ac:dyDescent="0.3">
      <c r="C693" s="528" t="s">
        <v>1231</v>
      </c>
      <c r="D693" s="514" t="s">
        <v>1260</v>
      </c>
      <c r="E693" s="514" t="s">
        <v>1259</v>
      </c>
      <c r="H693" s="544" t="s">
        <v>1325</v>
      </c>
      <c r="I693" s="514" t="s">
        <v>146</v>
      </c>
      <c r="J693" s="248" t="s">
        <v>239</v>
      </c>
      <c r="K693" s="248" t="s">
        <v>240</v>
      </c>
      <c r="L693" s="514" t="s">
        <v>1254</v>
      </c>
      <c r="M693" s="248"/>
      <c r="N693" s="528" t="s">
        <v>1184</v>
      </c>
      <c r="O693" s="248"/>
      <c r="P693" s="248">
        <v>2019</v>
      </c>
      <c r="Q693" s="248">
        <v>2030</v>
      </c>
      <c r="R693" s="248">
        <v>1</v>
      </c>
      <c r="S693" s="248">
        <v>0.92</v>
      </c>
      <c r="T693" s="248">
        <v>0.92</v>
      </c>
      <c r="U693" s="248">
        <v>0.5</v>
      </c>
      <c r="V693" s="503">
        <v>3.2250000000000001</v>
      </c>
      <c r="W693" s="503">
        <v>6.5483360815438685</v>
      </c>
      <c r="X693" s="503">
        <v>162.5</v>
      </c>
      <c r="Y693" s="503">
        <v>20</v>
      </c>
      <c r="Z693" s="503"/>
      <c r="AA693" s="503">
        <v>31.536000000000001</v>
      </c>
      <c r="AB693" s="239"/>
      <c r="AC693" s="248">
        <v>160</v>
      </c>
      <c r="AD693" s="528" t="s">
        <v>1255</v>
      </c>
      <c r="AE693" s="248">
        <v>0.92</v>
      </c>
      <c r="AF693" s="248"/>
    </row>
    <row r="694" spans="3:32" x14ac:dyDescent="0.3">
      <c r="D694" s="514"/>
      <c r="E694" s="514"/>
      <c r="H694" s="544"/>
      <c r="I694" s="514"/>
      <c r="J694" s="248"/>
      <c r="K694" s="248"/>
      <c r="L694" s="514"/>
      <c r="M694" s="248"/>
      <c r="N694" s="528" t="s">
        <v>1320</v>
      </c>
      <c r="O694" s="248"/>
      <c r="P694" s="248"/>
      <c r="Q694" s="248"/>
      <c r="R694" s="248">
        <v>1</v>
      </c>
      <c r="S694" s="248">
        <v>0.92</v>
      </c>
      <c r="T694" s="248"/>
      <c r="U694" s="248"/>
      <c r="V694" s="503"/>
      <c r="W694" s="503"/>
      <c r="X694" s="503"/>
      <c r="Y694" s="503"/>
      <c r="Z694" s="503"/>
      <c r="AA694" s="503"/>
      <c r="AC694" s="248"/>
      <c r="AD694" s="528"/>
      <c r="AE694" s="248"/>
      <c r="AF694" s="248"/>
    </row>
    <row r="695" spans="3:32" x14ac:dyDescent="0.3">
      <c r="C695" s="528" t="s">
        <v>1231</v>
      </c>
      <c r="D695" s="514" t="s">
        <v>1260</v>
      </c>
      <c r="E695" s="514" t="s">
        <v>1259</v>
      </c>
      <c r="H695" s="544" t="s">
        <v>1326</v>
      </c>
      <c r="I695" s="514" t="s">
        <v>146</v>
      </c>
      <c r="J695" s="248" t="s">
        <v>239</v>
      </c>
      <c r="K695" s="248" t="s">
        <v>240</v>
      </c>
      <c r="L695" s="514" t="s">
        <v>1254</v>
      </c>
      <c r="M695" s="248"/>
      <c r="N695" s="528" t="s">
        <v>1184</v>
      </c>
      <c r="O695" s="248"/>
      <c r="P695" s="248">
        <v>2019</v>
      </c>
      <c r="Q695" s="248">
        <v>2050</v>
      </c>
      <c r="R695" s="248">
        <v>1</v>
      </c>
      <c r="S695" s="248">
        <v>0.94</v>
      </c>
      <c r="T695" s="248">
        <v>0.94</v>
      </c>
      <c r="U695" s="248">
        <v>0.5</v>
      </c>
      <c r="V695" s="503">
        <v>2.9750000000000001</v>
      </c>
      <c r="W695" s="503">
        <v>6.5483360815438685</v>
      </c>
      <c r="X695" s="503">
        <v>293.75</v>
      </c>
      <c r="Y695" s="503">
        <v>20</v>
      </c>
      <c r="Z695" s="503"/>
      <c r="AA695" s="503">
        <v>31.536000000000001</v>
      </c>
      <c r="AC695" s="248">
        <v>160</v>
      </c>
      <c r="AD695" s="528" t="s">
        <v>1255</v>
      </c>
      <c r="AE695" s="248">
        <v>0.94</v>
      </c>
      <c r="AF695" s="248"/>
    </row>
    <row r="696" spans="3:32" x14ac:dyDescent="0.3">
      <c r="D696" s="514"/>
      <c r="E696" s="514"/>
      <c r="H696" s="544"/>
      <c r="I696" s="514"/>
      <c r="J696" s="248"/>
      <c r="K696" s="248"/>
      <c r="L696" s="514"/>
      <c r="M696" s="248"/>
      <c r="N696" s="528" t="s">
        <v>1320</v>
      </c>
      <c r="O696" s="248"/>
      <c r="P696" s="248"/>
      <c r="Q696" s="248"/>
      <c r="R696" s="248">
        <v>1</v>
      </c>
      <c r="S696" s="248">
        <v>0.94</v>
      </c>
      <c r="T696" s="248"/>
      <c r="U696" s="248"/>
      <c r="V696" s="503"/>
      <c r="W696" s="503"/>
      <c r="X696" s="503"/>
      <c r="Y696" s="503"/>
      <c r="Z696" s="503"/>
      <c r="AA696" s="503"/>
      <c r="AC696" s="248"/>
      <c r="AD696" s="528"/>
      <c r="AE696" s="248"/>
      <c r="AF696" s="248"/>
    </row>
    <row r="697" spans="3:32" x14ac:dyDescent="0.3">
      <c r="C697" s="528" t="s">
        <v>473</v>
      </c>
      <c r="D697" s="514" t="s">
        <v>1272</v>
      </c>
      <c r="E697" s="514" t="s">
        <v>1270</v>
      </c>
      <c r="H697" s="544" t="s">
        <v>1272</v>
      </c>
      <c r="I697" s="514" t="s">
        <v>162</v>
      </c>
      <c r="J697" s="248" t="s">
        <v>239</v>
      </c>
      <c r="K697" s="248" t="s">
        <v>240</v>
      </c>
      <c r="L697" s="514" t="s">
        <v>1144</v>
      </c>
      <c r="M697" s="248"/>
      <c r="N697" s="528" t="s">
        <v>1180</v>
      </c>
      <c r="O697" s="248"/>
      <c r="P697" s="248">
        <v>2019</v>
      </c>
      <c r="Q697" s="248">
        <v>2019</v>
      </c>
      <c r="R697" s="248">
        <v>1</v>
      </c>
      <c r="S697" s="248">
        <v>0.97</v>
      </c>
      <c r="T697" s="248">
        <v>0.97</v>
      </c>
      <c r="U697" s="248">
        <v>0.5</v>
      </c>
      <c r="V697" s="503">
        <v>20.945</v>
      </c>
      <c r="W697" s="503">
        <v>0</v>
      </c>
      <c r="X697" s="503">
        <v>520</v>
      </c>
      <c r="Y697" s="503">
        <v>20</v>
      </c>
      <c r="Z697" s="503"/>
      <c r="AA697" s="503">
        <v>31.536000000000001</v>
      </c>
      <c r="AC697" s="248">
        <v>10</v>
      </c>
      <c r="AD697" s="528" t="s">
        <v>1253</v>
      </c>
      <c r="AE697" s="248">
        <v>0.97</v>
      </c>
      <c r="AF697" s="248"/>
    </row>
    <row r="698" spans="3:32" x14ac:dyDescent="0.3">
      <c r="D698" s="514"/>
      <c r="E698" s="514"/>
      <c r="H698" s="544"/>
      <c r="I698" s="514"/>
      <c r="J698" s="248"/>
      <c r="K698" s="248"/>
      <c r="L698" s="514"/>
      <c r="M698" s="248"/>
      <c r="N698" s="528" t="s">
        <v>1319</v>
      </c>
      <c r="O698" s="248"/>
      <c r="P698" s="248"/>
      <c r="Q698" s="248"/>
      <c r="R698" s="248">
        <v>1</v>
      </c>
      <c r="S698" s="248">
        <v>0.97</v>
      </c>
      <c r="T698" s="248"/>
      <c r="U698" s="248"/>
      <c r="V698" s="503"/>
      <c r="W698" s="503"/>
      <c r="X698" s="503"/>
      <c r="Y698" s="503"/>
      <c r="Z698" s="503"/>
      <c r="AA698" s="503"/>
      <c r="AC698" s="248"/>
      <c r="AD698" s="528"/>
      <c r="AE698" s="248"/>
      <c r="AF698" s="248"/>
    </row>
    <row r="699" spans="3:32" x14ac:dyDescent="0.3">
      <c r="C699" s="528" t="s">
        <v>473</v>
      </c>
      <c r="D699" s="514" t="s">
        <v>1272</v>
      </c>
      <c r="E699" s="514" t="s">
        <v>1270</v>
      </c>
      <c r="H699" s="544" t="s">
        <v>1273</v>
      </c>
      <c r="I699" s="514" t="s">
        <v>162</v>
      </c>
      <c r="J699" s="248" t="s">
        <v>239</v>
      </c>
      <c r="K699" s="248" t="s">
        <v>240</v>
      </c>
      <c r="L699" s="514" t="s">
        <v>1144</v>
      </c>
      <c r="M699" s="248"/>
      <c r="N699" s="528" t="s">
        <v>1180</v>
      </c>
      <c r="O699" s="248"/>
      <c r="P699" s="248">
        <v>2019</v>
      </c>
      <c r="Q699" s="248">
        <v>2020</v>
      </c>
      <c r="R699" s="248">
        <v>1</v>
      </c>
      <c r="S699" s="248">
        <v>0.97</v>
      </c>
      <c r="T699" s="248">
        <v>0.97</v>
      </c>
      <c r="U699" s="248">
        <v>0.5</v>
      </c>
      <c r="V699" s="503">
        <v>20.5</v>
      </c>
      <c r="W699" s="503">
        <v>0</v>
      </c>
      <c r="X699" s="503">
        <v>520</v>
      </c>
      <c r="Y699" s="503">
        <v>20</v>
      </c>
      <c r="Z699" s="503"/>
      <c r="AA699" s="503">
        <v>31.536000000000001</v>
      </c>
      <c r="AC699" s="248">
        <v>10</v>
      </c>
      <c r="AD699" s="528" t="s">
        <v>1253</v>
      </c>
      <c r="AE699" s="248">
        <v>0.97</v>
      </c>
      <c r="AF699" s="248"/>
    </row>
    <row r="700" spans="3:32" x14ac:dyDescent="0.3">
      <c r="D700" s="514"/>
      <c r="E700" s="514"/>
      <c r="H700" s="544"/>
      <c r="I700" s="514"/>
      <c r="J700" s="248"/>
      <c r="K700" s="248"/>
      <c r="L700" s="514"/>
      <c r="M700" s="248"/>
      <c r="N700" s="528" t="s">
        <v>1319</v>
      </c>
      <c r="O700" s="248"/>
      <c r="P700" s="248"/>
      <c r="Q700" s="248"/>
      <c r="R700" s="248">
        <v>1</v>
      </c>
      <c r="S700" s="248">
        <v>0.97</v>
      </c>
      <c r="T700" s="248"/>
      <c r="U700" s="248"/>
      <c r="V700" s="503"/>
      <c r="W700" s="503"/>
      <c r="X700" s="503"/>
      <c r="Y700" s="503"/>
      <c r="Z700" s="503"/>
      <c r="AA700" s="503"/>
      <c r="AC700" s="248"/>
      <c r="AD700" s="528"/>
      <c r="AE700" s="248"/>
      <c r="AF700" s="248"/>
    </row>
    <row r="701" spans="3:32" x14ac:dyDescent="0.3">
      <c r="C701" s="528" t="s">
        <v>473</v>
      </c>
      <c r="D701" s="514" t="s">
        <v>1272</v>
      </c>
      <c r="E701" s="514" t="s">
        <v>1270</v>
      </c>
      <c r="H701" s="544" t="s">
        <v>1289</v>
      </c>
      <c r="I701" s="514" t="s">
        <v>162</v>
      </c>
      <c r="J701" s="248" t="s">
        <v>239</v>
      </c>
      <c r="K701" s="248" t="s">
        <v>240</v>
      </c>
      <c r="L701" s="514" t="s">
        <v>1144</v>
      </c>
      <c r="M701" s="248"/>
      <c r="N701" s="528" t="s">
        <v>1180</v>
      </c>
      <c r="O701" s="248"/>
      <c r="P701" s="248">
        <v>2019</v>
      </c>
      <c r="Q701" s="248">
        <v>2030</v>
      </c>
      <c r="R701" s="248">
        <v>1</v>
      </c>
      <c r="S701" s="248">
        <v>0.98</v>
      </c>
      <c r="T701" s="248">
        <v>0.98</v>
      </c>
      <c r="U701" s="248">
        <v>0.5</v>
      </c>
      <c r="V701" s="503">
        <v>19.899999999999999</v>
      </c>
      <c r="W701" s="503">
        <v>0</v>
      </c>
      <c r="X701" s="503">
        <v>520</v>
      </c>
      <c r="Y701" s="503">
        <v>20</v>
      </c>
      <c r="Z701" s="503"/>
      <c r="AA701" s="503">
        <v>31.536000000000001</v>
      </c>
      <c r="AC701" s="248">
        <v>10</v>
      </c>
      <c r="AD701" s="528" t="s">
        <v>1253</v>
      </c>
      <c r="AE701" s="248">
        <v>0.98</v>
      </c>
      <c r="AF701" s="248"/>
    </row>
    <row r="702" spans="3:32" x14ac:dyDescent="0.3">
      <c r="D702" s="514"/>
      <c r="E702" s="514"/>
      <c r="H702" s="544"/>
      <c r="I702" s="514"/>
      <c r="J702" s="248"/>
      <c r="K702" s="248"/>
      <c r="L702" s="514"/>
      <c r="M702" s="248"/>
      <c r="N702" s="528" t="s">
        <v>1319</v>
      </c>
      <c r="O702" s="248"/>
      <c r="P702" s="248"/>
      <c r="Q702" s="248"/>
      <c r="R702" s="248">
        <v>1</v>
      </c>
      <c r="S702" s="248">
        <v>0.98</v>
      </c>
      <c r="T702" s="248"/>
      <c r="U702" s="248"/>
      <c r="V702" s="503"/>
      <c r="W702" s="503"/>
      <c r="X702" s="503"/>
      <c r="Y702" s="503"/>
      <c r="Z702" s="503"/>
      <c r="AA702" s="503"/>
      <c r="AC702" s="248"/>
      <c r="AD702" s="528"/>
      <c r="AE702" s="248"/>
      <c r="AF702" s="248"/>
    </row>
    <row r="703" spans="3:32" x14ac:dyDescent="0.3">
      <c r="C703" s="528" t="s">
        <v>473</v>
      </c>
      <c r="D703" s="514" t="s">
        <v>1272</v>
      </c>
      <c r="E703" s="514" t="s">
        <v>1270</v>
      </c>
      <c r="H703" s="544" t="s">
        <v>1290</v>
      </c>
      <c r="I703" s="514" t="s">
        <v>162</v>
      </c>
      <c r="J703" s="248" t="s">
        <v>239</v>
      </c>
      <c r="K703" s="248" t="s">
        <v>240</v>
      </c>
      <c r="L703" s="514" t="s">
        <v>1144</v>
      </c>
      <c r="M703" s="248"/>
      <c r="N703" s="528" t="s">
        <v>1180</v>
      </c>
      <c r="O703" s="248"/>
      <c r="P703" s="248">
        <v>2019</v>
      </c>
      <c r="Q703" s="248">
        <v>2050</v>
      </c>
      <c r="R703" s="248">
        <v>1</v>
      </c>
      <c r="S703" s="248">
        <v>0.99</v>
      </c>
      <c r="T703" s="248">
        <v>0.99</v>
      </c>
      <c r="U703" s="248">
        <v>0.5</v>
      </c>
      <c r="V703" s="503">
        <v>18.100000000000001</v>
      </c>
      <c r="W703" s="503">
        <v>0</v>
      </c>
      <c r="X703" s="503">
        <v>520</v>
      </c>
      <c r="Y703" s="503">
        <v>20</v>
      </c>
      <c r="Z703" s="503"/>
      <c r="AA703" s="503">
        <v>31.536000000000001</v>
      </c>
      <c r="AC703" s="248">
        <v>10</v>
      </c>
      <c r="AD703" s="528" t="s">
        <v>1253</v>
      </c>
      <c r="AE703" s="248">
        <v>0.99</v>
      </c>
      <c r="AF703" s="248"/>
    </row>
    <row r="704" spans="3:32" x14ac:dyDescent="0.3">
      <c r="D704" s="514"/>
      <c r="E704" s="514"/>
      <c r="H704" s="544"/>
      <c r="I704" s="514"/>
      <c r="J704" s="248"/>
      <c r="K704" s="248"/>
      <c r="L704" s="514"/>
      <c r="M704" s="248"/>
      <c r="N704" s="528" t="s">
        <v>1319</v>
      </c>
      <c r="O704" s="248"/>
      <c r="P704" s="248"/>
      <c r="Q704" s="248"/>
      <c r="R704" s="248">
        <v>1</v>
      </c>
      <c r="S704" s="248">
        <v>0.99</v>
      </c>
      <c r="T704" s="248"/>
      <c r="U704" s="248"/>
      <c r="V704" s="503"/>
      <c r="W704" s="503"/>
      <c r="X704" s="503"/>
      <c r="Y704" s="503"/>
      <c r="Z704" s="503"/>
      <c r="AA704" s="503"/>
      <c r="AC704" s="248"/>
      <c r="AD704" s="528"/>
      <c r="AE704" s="248"/>
      <c r="AF704" s="248"/>
    </row>
    <row r="705" spans="3:32" x14ac:dyDescent="0.3">
      <c r="C705" s="528" t="s">
        <v>474</v>
      </c>
      <c r="D705" s="514" t="s">
        <v>1273</v>
      </c>
      <c r="E705" s="514" t="s">
        <v>1270</v>
      </c>
      <c r="H705" s="544" t="s">
        <v>1291</v>
      </c>
      <c r="I705" s="514" t="s">
        <v>162</v>
      </c>
      <c r="J705" s="248" t="s">
        <v>239</v>
      </c>
      <c r="K705" s="248" t="s">
        <v>240</v>
      </c>
      <c r="L705" s="514" t="s">
        <v>1144</v>
      </c>
      <c r="M705" s="248"/>
      <c r="N705" s="528" t="s">
        <v>1180</v>
      </c>
      <c r="O705" s="248"/>
      <c r="P705" s="248">
        <v>2019</v>
      </c>
      <c r="Q705" s="248">
        <v>2019</v>
      </c>
      <c r="R705" s="248">
        <v>1</v>
      </c>
      <c r="S705" s="248">
        <v>0.95</v>
      </c>
      <c r="T705" s="248">
        <v>0.95</v>
      </c>
      <c r="U705" s="248">
        <v>0.5</v>
      </c>
      <c r="V705" s="503">
        <v>20.945</v>
      </c>
      <c r="W705" s="503">
        <v>0</v>
      </c>
      <c r="X705" s="503">
        <v>520</v>
      </c>
      <c r="Y705" s="503">
        <v>20</v>
      </c>
      <c r="Z705" s="503"/>
      <c r="AA705" s="503">
        <v>31.536000000000001</v>
      </c>
      <c r="AC705" s="248">
        <v>10</v>
      </c>
      <c r="AD705" s="528" t="s">
        <v>1253</v>
      </c>
      <c r="AE705" s="248">
        <v>0.95</v>
      </c>
      <c r="AF705" s="248"/>
    </row>
    <row r="706" spans="3:32" x14ac:dyDescent="0.3">
      <c r="D706" s="514"/>
      <c r="E706" s="514"/>
      <c r="H706" s="544"/>
      <c r="I706" s="514"/>
      <c r="J706" s="248"/>
      <c r="K706" s="248"/>
      <c r="L706" s="514"/>
      <c r="M706" s="248"/>
      <c r="N706" s="528" t="s">
        <v>1319</v>
      </c>
      <c r="O706" s="248"/>
      <c r="P706" s="248"/>
      <c r="Q706" s="248"/>
      <c r="R706" s="248">
        <v>1</v>
      </c>
      <c r="S706" s="248">
        <v>0.95</v>
      </c>
      <c r="T706" s="248"/>
      <c r="U706" s="248"/>
      <c r="V706" s="503"/>
      <c r="W706" s="503"/>
      <c r="X706" s="503"/>
      <c r="Y706" s="503"/>
      <c r="Z706" s="503"/>
      <c r="AA706" s="503"/>
      <c r="AC706" s="248"/>
      <c r="AD706" s="528"/>
      <c r="AE706" s="248"/>
      <c r="AF706" s="248"/>
    </row>
    <row r="707" spans="3:32" x14ac:dyDescent="0.3">
      <c r="C707" s="528" t="s">
        <v>474</v>
      </c>
      <c r="D707" s="514" t="s">
        <v>1273</v>
      </c>
      <c r="E707" s="514" t="s">
        <v>1270</v>
      </c>
      <c r="H707" s="544" t="s">
        <v>1292</v>
      </c>
      <c r="I707" s="514" t="s">
        <v>162</v>
      </c>
      <c r="J707" s="248" t="s">
        <v>239</v>
      </c>
      <c r="K707" s="248" t="s">
        <v>240</v>
      </c>
      <c r="L707" s="514" t="s">
        <v>1144</v>
      </c>
      <c r="M707" s="248"/>
      <c r="N707" s="528" t="s">
        <v>1180</v>
      </c>
      <c r="O707" s="248"/>
      <c r="P707" s="248">
        <v>2019</v>
      </c>
      <c r="Q707" s="248">
        <v>2020</v>
      </c>
      <c r="R707" s="248">
        <v>1</v>
      </c>
      <c r="S707" s="248">
        <v>0.95</v>
      </c>
      <c r="T707" s="248">
        <v>0.95</v>
      </c>
      <c r="U707" s="248">
        <v>0.5</v>
      </c>
      <c r="V707" s="503">
        <v>20.5</v>
      </c>
      <c r="W707" s="503">
        <v>0</v>
      </c>
      <c r="X707" s="503">
        <v>520</v>
      </c>
      <c r="Y707" s="503">
        <v>20</v>
      </c>
      <c r="Z707" s="503"/>
      <c r="AA707" s="503">
        <v>31.536000000000001</v>
      </c>
      <c r="AC707" s="248">
        <v>10</v>
      </c>
      <c r="AD707" s="528" t="s">
        <v>1253</v>
      </c>
      <c r="AE707" s="248">
        <v>0.95</v>
      </c>
      <c r="AF707" s="248"/>
    </row>
    <row r="708" spans="3:32" x14ac:dyDescent="0.3">
      <c r="D708" s="514"/>
      <c r="E708" s="514"/>
      <c r="H708" s="544"/>
      <c r="I708" s="514"/>
      <c r="J708" s="248"/>
      <c r="K708" s="248"/>
      <c r="L708" s="514"/>
      <c r="M708" s="248"/>
      <c r="N708" s="528" t="s">
        <v>1319</v>
      </c>
      <c r="O708" s="248"/>
      <c r="P708" s="248"/>
      <c r="Q708" s="248"/>
      <c r="R708" s="248">
        <v>1</v>
      </c>
      <c r="S708" s="248">
        <v>0.95</v>
      </c>
      <c r="T708" s="248"/>
      <c r="U708" s="248"/>
      <c r="V708" s="503"/>
      <c r="W708" s="503"/>
      <c r="X708" s="503"/>
      <c r="Y708" s="503"/>
      <c r="Z708" s="503"/>
      <c r="AA708" s="503"/>
      <c r="AC708" s="248"/>
      <c r="AD708" s="528"/>
      <c r="AE708" s="248"/>
      <c r="AF708" s="248"/>
    </row>
    <row r="709" spans="3:32" x14ac:dyDescent="0.3">
      <c r="C709" s="528" t="s">
        <v>474</v>
      </c>
      <c r="D709" s="514" t="s">
        <v>1273</v>
      </c>
      <c r="E709" s="514" t="s">
        <v>1270</v>
      </c>
      <c r="H709" s="544" t="s">
        <v>1293</v>
      </c>
      <c r="I709" s="514" t="s">
        <v>162</v>
      </c>
      <c r="J709" s="248" t="s">
        <v>239</v>
      </c>
      <c r="K709" s="248" t="s">
        <v>240</v>
      </c>
      <c r="L709" s="514" t="s">
        <v>1144</v>
      </c>
      <c r="M709" s="248"/>
      <c r="N709" s="528" t="s">
        <v>1180</v>
      </c>
      <c r="O709" s="248"/>
      <c r="P709" s="248">
        <v>2019</v>
      </c>
      <c r="Q709" s="248">
        <v>2030</v>
      </c>
      <c r="R709" s="248">
        <v>1</v>
      </c>
      <c r="S709" s="248">
        <v>0.96</v>
      </c>
      <c r="T709" s="248">
        <v>0.96</v>
      </c>
      <c r="U709" s="248">
        <v>0.5</v>
      </c>
      <c r="V709" s="503">
        <v>19.899999999999999</v>
      </c>
      <c r="W709" s="503">
        <v>0</v>
      </c>
      <c r="X709" s="503">
        <v>520</v>
      </c>
      <c r="Y709" s="503">
        <v>20</v>
      </c>
      <c r="Z709" s="503"/>
      <c r="AA709" s="503">
        <v>31.536000000000001</v>
      </c>
      <c r="AC709" s="248">
        <v>10</v>
      </c>
      <c r="AD709" s="528" t="s">
        <v>1253</v>
      </c>
      <c r="AE709" s="248">
        <v>0.96</v>
      </c>
      <c r="AF709" s="248"/>
    </row>
    <row r="710" spans="3:32" x14ac:dyDescent="0.3">
      <c r="D710" s="514"/>
      <c r="E710" s="514"/>
      <c r="H710" s="544"/>
      <c r="I710" s="514"/>
      <c r="J710" s="248"/>
      <c r="K710" s="248"/>
      <c r="L710" s="514"/>
      <c r="M710" s="248"/>
      <c r="N710" s="528" t="s">
        <v>1319</v>
      </c>
      <c r="O710" s="248"/>
      <c r="P710" s="248"/>
      <c r="Q710" s="248"/>
      <c r="R710" s="248">
        <v>1</v>
      </c>
      <c r="S710" s="248">
        <v>0.96</v>
      </c>
      <c r="T710" s="248"/>
      <c r="U710" s="248"/>
      <c r="V710" s="503"/>
      <c r="W710" s="503"/>
      <c r="X710" s="503"/>
      <c r="Y710" s="503"/>
      <c r="Z710" s="503"/>
      <c r="AA710" s="503"/>
      <c r="AC710" s="248"/>
      <c r="AD710" s="528"/>
      <c r="AE710" s="248"/>
      <c r="AF710" s="248"/>
    </row>
    <row r="711" spans="3:32" x14ac:dyDescent="0.3">
      <c r="C711" s="528" t="s">
        <v>474</v>
      </c>
      <c r="D711" s="514" t="s">
        <v>1273</v>
      </c>
      <c r="E711" s="514" t="s">
        <v>1270</v>
      </c>
      <c r="H711" s="544" t="s">
        <v>1294</v>
      </c>
      <c r="I711" s="514" t="s">
        <v>162</v>
      </c>
      <c r="J711" s="248" t="s">
        <v>239</v>
      </c>
      <c r="K711" s="248" t="s">
        <v>240</v>
      </c>
      <c r="L711" s="514" t="s">
        <v>1144</v>
      </c>
      <c r="M711" s="248"/>
      <c r="N711" s="528" t="s">
        <v>1180</v>
      </c>
      <c r="O711" s="248"/>
      <c r="P711" s="248">
        <v>2019</v>
      </c>
      <c r="Q711" s="248">
        <v>2050</v>
      </c>
      <c r="R711" s="248">
        <v>1</v>
      </c>
      <c r="S711" s="248">
        <v>0.97</v>
      </c>
      <c r="T711" s="248">
        <v>0.97</v>
      </c>
      <c r="U711" s="248">
        <v>0.5</v>
      </c>
      <c r="V711" s="503">
        <v>18.100000000000001</v>
      </c>
      <c r="W711" s="503">
        <v>0</v>
      </c>
      <c r="X711" s="503">
        <v>520</v>
      </c>
      <c r="Y711" s="503">
        <v>20</v>
      </c>
      <c r="Z711" s="503"/>
      <c r="AA711" s="503">
        <v>31.536000000000001</v>
      </c>
      <c r="AC711" s="248">
        <v>10</v>
      </c>
      <c r="AD711" s="528" t="s">
        <v>1253</v>
      </c>
      <c r="AE711" s="248">
        <v>0.97</v>
      </c>
      <c r="AF711" s="248"/>
    </row>
    <row r="712" spans="3:32" x14ac:dyDescent="0.3">
      <c r="D712" s="514"/>
      <c r="E712" s="514"/>
      <c r="H712" s="544"/>
      <c r="I712" s="514"/>
      <c r="J712" s="248"/>
      <c r="K712" s="248"/>
      <c r="L712" s="514"/>
      <c r="M712" s="248"/>
      <c r="N712" s="528" t="s">
        <v>1319</v>
      </c>
      <c r="O712" s="248"/>
      <c r="P712" s="248"/>
      <c r="Q712" s="248"/>
      <c r="R712" s="248">
        <v>1</v>
      </c>
      <c r="S712" s="248">
        <v>0.97</v>
      </c>
      <c r="T712" s="248"/>
      <c r="U712" s="248"/>
      <c r="V712" s="503"/>
      <c r="W712" s="503"/>
      <c r="X712" s="503"/>
      <c r="Y712" s="503"/>
      <c r="Z712" s="503"/>
      <c r="AA712" s="503"/>
      <c r="AC712" s="248"/>
      <c r="AD712" s="528"/>
      <c r="AE712" s="248"/>
      <c r="AF712" s="248"/>
    </row>
    <row r="713" spans="3:32" x14ac:dyDescent="0.3">
      <c r="C713" s="528" t="s">
        <v>475</v>
      </c>
      <c r="D713" s="514" t="s">
        <v>1261</v>
      </c>
      <c r="E713" s="514" t="s">
        <v>1259</v>
      </c>
      <c r="H713" s="544" t="s">
        <v>1261</v>
      </c>
      <c r="I713" s="514" t="s">
        <v>162</v>
      </c>
      <c r="J713" s="248" t="s">
        <v>239</v>
      </c>
      <c r="K713" s="248" t="s">
        <v>240</v>
      </c>
      <c r="L713" s="514" t="s">
        <v>1144</v>
      </c>
      <c r="M713" s="248"/>
      <c r="N713" s="528" t="s">
        <v>1184</v>
      </c>
      <c r="O713" s="248"/>
      <c r="P713" s="248">
        <v>2019</v>
      </c>
      <c r="Q713" s="248">
        <v>2019</v>
      </c>
      <c r="R713" s="248">
        <v>1</v>
      </c>
      <c r="S713" s="248">
        <v>1.01</v>
      </c>
      <c r="T713" s="248">
        <v>1.01</v>
      </c>
      <c r="U713" s="248">
        <v>0.5</v>
      </c>
      <c r="V713" s="503">
        <v>1.7081249999999999</v>
      </c>
      <c r="W713" s="503">
        <v>0</v>
      </c>
      <c r="X713" s="503">
        <v>68.000000000000014</v>
      </c>
      <c r="Y713" s="503">
        <v>25</v>
      </c>
      <c r="Z713" s="503"/>
      <c r="AA713" s="503">
        <v>31.536000000000001</v>
      </c>
      <c r="AC713" s="248">
        <v>400</v>
      </c>
      <c r="AD713" s="528" t="s">
        <v>1255</v>
      </c>
      <c r="AE713" s="248">
        <v>1.01</v>
      </c>
      <c r="AF713" s="248"/>
    </row>
    <row r="714" spans="3:32" x14ac:dyDescent="0.3">
      <c r="D714" s="514"/>
      <c r="E714" s="514"/>
      <c r="H714" s="544"/>
      <c r="I714" s="514"/>
      <c r="J714" s="248"/>
      <c r="K714" s="248"/>
      <c r="L714" s="514"/>
      <c r="M714" s="248"/>
      <c r="N714" s="528" t="s">
        <v>1320</v>
      </c>
      <c r="O714" s="248"/>
      <c r="P714" s="248"/>
      <c r="Q714" s="248"/>
      <c r="R714" s="248">
        <v>1</v>
      </c>
      <c r="S714" s="248">
        <v>1.01</v>
      </c>
      <c r="T714" s="248"/>
      <c r="U714" s="248"/>
      <c r="V714" s="503"/>
      <c r="W714" s="503"/>
      <c r="X714" s="503"/>
      <c r="Y714" s="503"/>
      <c r="Z714" s="503"/>
      <c r="AA714" s="503"/>
      <c r="AC714" s="248"/>
      <c r="AD714" s="528"/>
      <c r="AE714" s="248"/>
      <c r="AF714" s="248"/>
    </row>
    <row r="715" spans="3:32" x14ac:dyDescent="0.3">
      <c r="C715" s="528" t="s">
        <v>475</v>
      </c>
      <c r="D715" s="514" t="s">
        <v>1261</v>
      </c>
      <c r="E715" s="514" t="s">
        <v>1259</v>
      </c>
      <c r="H715" s="544" t="s">
        <v>1262</v>
      </c>
      <c r="I715" s="514" t="s">
        <v>162</v>
      </c>
      <c r="J715" s="248" t="s">
        <v>239</v>
      </c>
      <c r="K715" s="248" t="s">
        <v>240</v>
      </c>
      <c r="L715" s="514" t="s">
        <v>1144</v>
      </c>
      <c r="M715" s="248"/>
      <c r="N715" s="528" t="s">
        <v>1184</v>
      </c>
      <c r="O715" s="248"/>
      <c r="P715" s="248">
        <v>2019</v>
      </c>
      <c r="Q715" s="248">
        <v>2020</v>
      </c>
      <c r="R715" s="248">
        <v>1</v>
      </c>
      <c r="S715" s="248">
        <v>1.01</v>
      </c>
      <c r="T715" s="248">
        <v>1.01</v>
      </c>
      <c r="U715" s="248">
        <v>0.5</v>
      </c>
      <c r="V715" s="503">
        <v>1.6725000000000001</v>
      </c>
      <c r="W715" s="503">
        <v>0</v>
      </c>
      <c r="X715" s="503">
        <v>68.000000000000014</v>
      </c>
      <c r="Y715" s="503">
        <v>25</v>
      </c>
      <c r="Z715" s="503"/>
      <c r="AA715" s="503">
        <v>31.536000000000001</v>
      </c>
      <c r="AC715" s="248">
        <v>400</v>
      </c>
      <c r="AD715" s="528" t="s">
        <v>1255</v>
      </c>
      <c r="AE715" s="248">
        <v>1.01</v>
      </c>
      <c r="AF715" s="248"/>
    </row>
    <row r="716" spans="3:32" x14ac:dyDescent="0.3">
      <c r="D716" s="514"/>
      <c r="E716" s="514"/>
      <c r="H716" s="544"/>
      <c r="I716" s="514"/>
      <c r="J716" s="248"/>
      <c r="K716" s="248"/>
      <c r="L716" s="514"/>
      <c r="M716" s="248"/>
      <c r="N716" s="528" t="s">
        <v>1320</v>
      </c>
      <c r="O716" s="248"/>
      <c r="P716" s="248"/>
      <c r="Q716" s="248"/>
      <c r="R716" s="248">
        <v>1</v>
      </c>
      <c r="S716" s="248">
        <v>1.01</v>
      </c>
      <c r="T716" s="248"/>
      <c r="U716" s="248"/>
      <c r="V716" s="503"/>
      <c r="W716" s="503"/>
      <c r="X716" s="503"/>
      <c r="Y716" s="503"/>
      <c r="Z716" s="503"/>
      <c r="AA716" s="503"/>
      <c r="AC716" s="248"/>
      <c r="AD716" s="528"/>
      <c r="AE716" s="248"/>
      <c r="AF716" s="248"/>
    </row>
    <row r="717" spans="3:32" x14ac:dyDescent="0.3">
      <c r="C717" s="528" t="s">
        <v>475</v>
      </c>
      <c r="D717" s="514" t="s">
        <v>1261</v>
      </c>
      <c r="E717" s="514" t="s">
        <v>1259</v>
      </c>
      <c r="H717" s="544" t="s">
        <v>1327</v>
      </c>
      <c r="I717" s="514" t="s">
        <v>162</v>
      </c>
      <c r="J717" s="248" t="s">
        <v>239</v>
      </c>
      <c r="K717" s="248" t="s">
        <v>240</v>
      </c>
      <c r="L717" s="514" t="s">
        <v>1144</v>
      </c>
      <c r="M717" s="248"/>
      <c r="N717" s="528" t="s">
        <v>1184</v>
      </c>
      <c r="O717" s="248"/>
      <c r="P717" s="248">
        <v>2019</v>
      </c>
      <c r="Q717" s="248">
        <v>2030</v>
      </c>
      <c r="R717" s="248">
        <v>1</v>
      </c>
      <c r="S717" s="248">
        <v>1.02</v>
      </c>
      <c r="T717" s="248">
        <v>1.02</v>
      </c>
      <c r="U717" s="248">
        <v>0.5</v>
      </c>
      <c r="V717" s="503">
        <v>1.6274999999999999</v>
      </c>
      <c r="W717" s="503">
        <v>0</v>
      </c>
      <c r="X717" s="503">
        <v>62.5</v>
      </c>
      <c r="Y717" s="503">
        <v>25</v>
      </c>
      <c r="Z717" s="503"/>
      <c r="AA717" s="503">
        <v>31.536000000000001</v>
      </c>
      <c r="AC717" s="248">
        <v>400</v>
      </c>
      <c r="AD717" s="528" t="s">
        <v>1255</v>
      </c>
      <c r="AE717" s="248">
        <v>1.02</v>
      </c>
      <c r="AF717" s="248"/>
    </row>
    <row r="718" spans="3:32" x14ac:dyDescent="0.3">
      <c r="D718" s="514"/>
      <c r="E718" s="514"/>
      <c r="H718" s="544"/>
      <c r="I718" s="514"/>
      <c r="J718" s="248"/>
      <c r="K718" s="248"/>
      <c r="L718" s="514"/>
      <c r="M718" s="248"/>
      <c r="N718" s="528" t="s">
        <v>1320</v>
      </c>
      <c r="O718" s="248"/>
      <c r="P718" s="248"/>
      <c r="Q718" s="248"/>
      <c r="R718" s="248">
        <v>1</v>
      </c>
      <c r="S718" s="248">
        <v>1.02</v>
      </c>
      <c r="T718" s="248"/>
      <c r="U718" s="248"/>
      <c r="V718" s="503"/>
      <c r="W718" s="503"/>
      <c r="X718" s="503"/>
      <c r="Y718" s="503"/>
      <c r="Z718" s="503"/>
      <c r="AA718" s="503"/>
      <c r="AC718" s="248"/>
      <c r="AD718" s="528"/>
      <c r="AE718" s="248"/>
      <c r="AF718" s="248"/>
    </row>
    <row r="719" spans="3:32" x14ac:dyDescent="0.3">
      <c r="C719" s="528" t="s">
        <v>475</v>
      </c>
      <c r="D719" s="514" t="s">
        <v>1261</v>
      </c>
      <c r="E719" s="514" t="s">
        <v>1259</v>
      </c>
      <c r="H719" s="544" t="s">
        <v>1328</v>
      </c>
      <c r="I719" s="514" t="s">
        <v>162</v>
      </c>
      <c r="J719" s="248" t="s">
        <v>239</v>
      </c>
      <c r="K719" s="248" t="s">
        <v>240</v>
      </c>
      <c r="L719" s="514" t="s">
        <v>1144</v>
      </c>
      <c r="M719" s="248"/>
      <c r="N719" s="528" t="s">
        <v>1184</v>
      </c>
      <c r="O719" s="248"/>
      <c r="P719" s="248">
        <v>2019</v>
      </c>
      <c r="Q719" s="248">
        <v>2050</v>
      </c>
      <c r="R719" s="248">
        <v>1</v>
      </c>
      <c r="S719" s="248">
        <v>1.02</v>
      </c>
      <c r="T719" s="248">
        <v>1.02</v>
      </c>
      <c r="U719" s="248">
        <v>0.5</v>
      </c>
      <c r="V719" s="503">
        <v>1.55</v>
      </c>
      <c r="W719" s="503">
        <v>0</v>
      </c>
      <c r="X719" s="503">
        <v>57.5</v>
      </c>
      <c r="Y719" s="503">
        <v>25</v>
      </c>
      <c r="Z719" s="503"/>
      <c r="AA719" s="503">
        <v>31.536000000000001</v>
      </c>
      <c r="AC719" s="248">
        <v>400</v>
      </c>
      <c r="AD719" s="528" t="s">
        <v>1255</v>
      </c>
      <c r="AE719" s="248">
        <v>1.02</v>
      </c>
      <c r="AF719" s="248"/>
    </row>
    <row r="720" spans="3:32" x14ac:dyDescent="0.3">
      <c r="D720" s="514"/>
      <c r="E720" s="514"/>
      <c r="H720" s="544"/>
      <c r="I720" s="514"/>
      <c r="J720" s="248"/>
      <c r="K720" s="248"/>
      <c r="L720" s="514"/>
      <c r="M720" s="248"/>
      <c r="N720" s="528" t="s">
        <v>1320</v>
      </c>
      <c r="O720" s="248"/>
      <c r="P720" s="248"/>
      <c r="Q720" s="248"/>
      <c r="R720" s="248">
        <v>1</v>
      </c>
      <c r="S720" s="248">
        <v>1.02</v>
      </c>
      <c r="T720" s="248"/>
      <c r="U720" s="248"/>
      <c r="V720" s="503"/>
      <c r="W720" s="503"/>
      <c r="X720" s="503"/>
      <c r="Y720" s="503"/>
      <c r="Z720" s="503"/>
      <c r="AA720" s="503"/>
      <c r="AC720" s="248"/>
      <c r="AD720" s="528"/>
      <c r="AE720" s="248"/>
      <c r="AF720" s="248"/>
    </row>
    <row r="721" spans="3:32" x14ac:dyDescent="0.3">
      <c r="C721" s="528" t="s">
        <v>476</v>
      </c>
      <c r="D721" s="514" t="s">
        <v>1262</v>
      </c>
      <c r="E721" s="514" t="s">
        <v>1259</v>
      </c>
      <c r="H721" s="544" t="s">
        <v>1329</v>
      </c>
      <c r="I721" s="514" t="s">
        <v>162</v>
      </c>
      <c r="J721" s="248" t="s">
        <v>239</v>
      </c>
      <c r="K721" s="248" t="s">
        <v>240</v>
      </c>
      <c r="L721" s="514" t="s">
        <v>1144</v>
      </c>
      <c r="M721" s="248"/>
      <c r="N721" s="528" t="s">
        <v>1184</v>
      </c>
      <c r="O721" s="248"/>
      <c r="P721" s="248">
        <v>2019</v>
      </c>
      <c r="Q721" s="248">
        <v>2019</v>
      </c>
      <c r="R721" s="248">
        <v>1</v>
      </c>
      <c r="S721" s="248">
        <v>1.01</v>
      </c>
      <c r="T721" s="248">
        <v>1.01</v>
      </c>
      <c r="U721" s="248">
        <v>0.5</v>
      </c>
      <c r="V721" s="503">
        <v>2.7976562500000002</v>
      </c>
      <c r="W721" s="503">
        <v>0</v>
      </c>
      <c r="X721" s="503">
        <v>125</v>
      </c>
      <c r="Y721" s="503">
        <v>25</v>
      </c>
      <c r="Z721" s="503"/>
      <c r="AA721" s="503">
        <v>31.536000000000001</v>
      </c>
      <c r="AC721" s="248">
        <v>160</v>
      </c>
      <c r="AD721" s="528" t="s">
        <v>1255</v>
      </c>
      <c r="AE721" s="248">
        <v>1.01</v>
      </c>
      <c r="AF721" s="248"/>
    </row>
    <row r="722" spans="3:32" x14ac:dyDescent="0.3">
      <c r="D722" s="514"/>
      <c r="E722" s="514"/>
      <c r="H722" s="544"/>
      <c r="I722" s="514"/>
      <c r="J722" s="248"/>
      <c r="K722" s="248"/>
      <c r="L722" s="514"/>
      <c r="M722" s="248"/>
      <c r="N722" s="528" t="s">
        <v>1320</v>
      </c>
      <c r="O722" s="248"/>
      <c r="P722" s="248"/>
      <c r="Q722" s="248"/>
      <c r="R722" s="248">
        <v>1</v>
      </c>
      <c r="S722" s="248">
        <v>1.01</v>
      </c>
      <c r="T722" s="248"/>
      <c r="U722" s="248"/>
      <c r="V722" s="503"/>
      <c r="W722" s="503"/>
      <c r="X722" s="503"/>
      <c r="Y722" s="503"/>
      <c r="Z722" s="503"/>
      <c r="AA722" s="503"/>
      <c r="AC722" s="248"/>
      <c r="AD722" s="528"/>
      <c r="AE722" s="248"/>
      <c r="AF722" s="248"/>
    </row>
    <row r="723" spans="3:32" x14ac:dyDescent="0.3">
      <c r="C723" s="528" t="s">
        <v>476</v>
      </c>
      <c r="D723" s="514" t="s">
        <v>1262</v>
      </c>
      <c r="E723" s="514" t="s">
        <v>1259</v>
      </c>
      <c r="H723" s="544" t="s">
        <v>1330</v>
      </c>
      <c r="I723" s="514" t="s">
        <v>162</v>
      </c>
      <c r="J723" s="248" t="s">
        <v>239</v>
      </c>
      <c r="K723" s="248" t="s">
        <v>240</v>
      </c>
      <c r="L723" s="514" t="s">
        <v>1144</v>
      </c>
      <c r="M723" s="248"/>
      <c r="N723" s="528" t="s">
        <v>1184</v>
      </c>
      <c r="O723" s="248"/>
      <c r="P723" s="248">
        <v>2019</v>
      </c>
      <c r="Q723" s="248">
        <v>2020</v>
      </c>
      <c r="R723" s="248">
        <v>1</v>
      </c>
      <c r="S723" s="248">
        <v>1.01</v>
      </c>
      <c r="T723" s="248">
        <v>1.01</v>
      </c>
      <c r="U723" s="248">
        <v>0.5</v>
      </c>
      <c r="V723" s="503">
        <v>2.7374999999999998</v>
      </c>
      <c r="W723" s="503">
        <v>0</v>
      </c>
      <c r="X723" s="503">
        <v>125</v>
      </c>
      <c r="Y723" s="503">
        <v>25</v>
      </c>
      <c r="Z723" s="503"/>
      <c r="AA723" s="503">
        <v>31.536000000000001</v>
      </c>
      <c r="AC723" s="248">
        <v>160</v>
      </c>
      <c r="AD723" s="528" t="s">
        <v>1255</v>
      </c>
      <c r="AE723" s="248">
        <v>1.01</v>
      </c>
      <c r="AF723" s="248"/>
    </row>
    <row r="724" spans="3:32" x14ac:dyDescent="0.3">
      <c r="D724" s="514"/>
      <c r="E724" s="514"/>
      <c r="H724" s="544"/>
      <c r="I724" s="514"/>
      <c r="J724" s="248"/>
      <c r="K724" s="248"/>
      <c r="L724" s="514"/>
      <c r="M724" s="248"/>
      <c r="N724" s="528" t="s">
        <v>1320</v>
      </c>
      <c r="O724" s="248"/>
      <c r="P724" s="248"/>
      <c r="Q724" s="248"/>
      <c r="R724" s="248">
        <v>1</v>
      </c>
      <c r="S724" s="248">
        <v>1.01</v>
      </c>
      <c r="T724" s="248"/>
      <c r="U724" s="248"/>
      <c r="V724" s="503"/>
      <c r="W724" s="503"/>
      <c r="X724" s="503"/>
      <c r="Y724" s="503"/>
      <c r="Z724" s="503"/>
      <c r="AA724" s="503"/>
      <c r="AC724" s="248"/>
      <c r="AD724" s="528"/>
      <c r="AE724" s="248"/>
      <c r="AF724" s="248"/>
    </row>
    <row r="725" spans="3:32" x14ac:dyDescent="0.3">
      <c r="C725" s="528" t="s">
        <v>476</v>
      </c>
      <c r="D725" s="514" t="s">
        <v>1262</v>
      </c>
      <c r="E725" s="514" t="s">
        <v>1259</v>
      </c>
      <c r="H725" s="544" t="s">
        <v>1331</v>
      </c>
      <c r="I725" s="514" t="s">
        <v>162</v>
      </c>
      <c r="J725" s="248" t="s">
        <v>239</v>
      </c>
      <c r="K725" s="248" t="s">
        <v>240</v>
      </c>
      <c r="L725" s="514" t="s">
        <v>1144</v>
      </c>
      <c r="M725" s="248"/>
      <c r="N725" s="528" t="s">
        <v>1184</v>
      </c>
      <c r="O725" s="248"/>
      <c r="P725" s="248">
        <v>2019</v>
      </c>
      <c r="Q725" s="248">
        <v>2030</v>
      </c>
      <c r="R725" s="248">
        <v>1</v>
      </c>
      <c r="S725" s="248">
        <v>1.02</v>
      </c>
      <c r="T725" s="248">
        <v>1.02</v>
      </c>
      <c r="U725" s="248">
        <v>0.5</v>
      </c>
      <c r="V725" s="503">
        <v>2.65</v>
      </c>
      <c r="W725" s="503">
        <v>0</v>
      </c>
      <c r="X725" s="503">
        <v>118.75</v>
      </c>
      <c r="Y725" s="503">
        <v>25</v>
      </c>
      <c r="Z725" s="503"/>
      <c r="AA725" s="503">
        <v>31.536000000000001</v>
      </c>
      <c r="AC725" s="248">
        <v>160</v>
      </c>
      <c r="AD725" s="528" t="s">
        <v>1255</v>
      </c>
      <c r="AE725" s="248">
        <v>1.02</v>
      </c>
      <c r="AF725" s="248"/>
    </row>
    <row r="726" spans="3:32" x14ac:dyDescent="0.3">
      <c r="D726" s="514"/>
      <c r="E726" s="514"/>
      <c r="H726" s="544"/>
      <c r="I726" s="514"/>
      <c r="J726" s="248"/>
      <c r="K726" s="248"/>
      <c r="L726" s="514"/>
      <c r="M726" s="248"/>
      <c r="N726" s="528" t="s">
        <v>1320</v>
      </c>
      <c r="O726" s="248"/>
      <c r="P726" s="248"/>
      <c r="Q726" s="248"/>
      <c r="R726" s="248">
        <v>1</v>
      </c>
      <c r="S726" s="248">
        <v>1.02</v>
      </c>
      <c r="T726" s="248"/>
      <c r="U726" s="248"/>
      <c r="V726" s="503"/>
      <c r="W726" s="503"/>
      <c r="X726" s="503"/>
      <c r="Y726" s="503"/>
      <c r="Z726" s="503"/>
      <c r="AA726" s="503"/>
      <c r="AC726" s="248"/>
      <c r="AD726" s="528"/>
      <c r="AE726" s="248"/>
      <c r="AF726" s="248"/>
    </row>
    <row r="727" spans="3:32" x14ac:dyDescent="0.3">
      <c r="C727" s="528" t="s">
        <v>476</v>
      </c>
      <c r="D727" s="514" t="s">
        <v>1262</v>
      </c>
      <c r="E727" s="514" t="s">
        <v>1259</v>
      </c>
      <c r="H727" s="544" t="s">
        <v>1332</v>
      </c>
      <c r="I727" s="514" t="s">
        <v>162</v>
      </c>
      <c r="J727" s="248" t="s">
        <v>239</v>
      </c>
      <c r="K727" s="248" t="s">
        <v>240</v>
      </c>
      <c r="L727" s="514" t="s">
        <v>1144</v>
      </c>
      <c r="M727" s="248"/>
      <c r="N727" s="528" t="s">
        <v>1184</v>
      </c>
      <c r="O727" s="248"/>
      <c r="P727" s="248">
        <v>2019</v>
      </c>
      <c r="Q727" s="248">
        <v>2050</v>
      </c>
      <c r="R727" s="248">
        <v>1</v>
      </c>
      <c r="S727" s="248">
        <v>1.02</v>
      </c>
      <c r="T727" s="248">
        <v>1.02</v>
      </c>
      <c r="U727" s="248">
        <v>0.5</v>
      </c>
      <c r="V727" s="503">
        <v>2.5187499999999998</v>
      </c>
      <c r="W727" s="503">
        <v>0</v>
      </c>
      <c r="X727" s="503">
        <v>106.25</v>
      </c>
      <c r="Y727" s="503">
        <v>25</v>
      </c>
      <c r="Z727" s="503"/>
      <c r="AA727" s="503">
        <v>31.536000000000001</v>
      </c>
      <c r="AC727" s="248">
        <v>160</v>
      </c>
      <c r="AD727" s="528" t="s">
        <v>1255</v>
      </c>
      <c r="AE727" s="248">
        <v>1.02</v>
      </c>
      <c r="AF727" s="248"/>
    </row>
    <row r="728" spans="3:32" x14ac:dyDescent="0.3">
      <c r="D728" s="514"/>
      <c r="E728" s="514"/>
      <c r="H728" s="544"/>
      <c r="I728" s="514"/>
      <c r="J728" s="248"/>
      <c r="K728" s="248"/>
      <c r="L728" s="514"/>
      <c r="M728" s="248"/>
      <c r="N728" s="528" t="s">
        <v>1320</v>
      </c>
      <c r="O728" s="248"/>
      <c r="P728" s="248"/>
      <c r="Q728" s="248"/>
      <c r="R728" s="248">
        <v>1</v>
      </c>
      <c r="S728" s="248">
        <v>1.02</v>
      </c>
      <c r="T728" s="248"/>
      <c r="U728" s="248"/>
      <c r="V728" s="503"/>
      <c r="W728" s="503"/>
      <c r="X728" s="503"/>
      <c r="Y728" s="503"/>
      <c r="Z728" s="503"/>
      <c r="AA728" s="503"/>
      <c r="AC728" s="248"/>
      <c r="AD728" s="528"/>
      <c r="AE728" s="248"/>
      <c r="AF728" s="248"/>
    </row>
    <row r="729" spans="3:32" x14ac:dyDescent="0.3">
      <c r="C729" s="528" t="s">
        <v>1232</v>
      </c>
      <c r="D729" s="514" t="s">
        <v>1274</v>
      </c>
      <c r="E729" s="514" t="s">
        <v>1270</v>
      </c>
      <c r="H729" s="544" t="s">
        <v>1274</v>
      </c>
      <c r="I729" s="514" t="s">
        <v>486</v>
      </c>
      <c r="J729" s="248" t="s">
        <v>239</v>
      </c>
      <c r="K729" s="248" t="s">
        <v>240</v>
      </c>
      <c r="L729" s="514" t="s">
        <v>1256</v>
      </c>
      <c r="M729" s="248"/>
      <c r="N729" s="528" t="s">
        <v>1180</v>
      </c>
      <c r="O729" s="248"/>
      <c r="P729" s="248">
        <v>2019</v>
      </c>
      <c r="Q729" s="248">
        <v>2019</v>
      </c>
      <c r="R729" s="248">
        <v>1</v>
      </c>
      <c r="S729" s="248">
        <v>0.8</v>
      </c>
      <c r="T729" s="248">
        <v>0.8</v>
      </c>
      <c r="U729" s="248">
        <v>0.5</v>
      </c>
      <c r="V729" s="503">
        <v>42.979166666666664</v>
      </c>
      <c r="W729" s="503">
        <v>0</v>
      </c>
      <c r="X729" s="503">
        <v>716.66666666666663</v>
      </c>
      <c r="Y729" s="503">
        <v>20</v>
      </c>
      <c r="Z729" s="503"/>
      <c r="AA729" s="503">
        <v>31.536000000000001</v>
      </c>
      <c r="AC729" s="248">
        <v>12</v>
      </c>
      <c r="AD729" s="528" t="s">
        <v>1253</v>
      </c>
      <c r="AE729" s="248">
        <v>0.8</v>
      </c>
      <c r="AF729" s="248"/>
    </row>
    <row r="730" spans="3:32" x14ac:dyDescent="0.3">
      <c r="D730" s="514"/>
      <c r="E730" s="514"/>
      <c r="H730" s="544"/>
      <c r="I730" s="514"/>
      <c r="J730" s="248"/>
      <c r="K730" s="248"/>
      <c r="L730" s="514"/>
      <c r="M730" s="248"/>
      <c r="N730" s="528" t="s">
        <v>1319</v>
      </c>
      <c r="O730" s="248"/>
      <c r="P730" s="248"/>
      <c r="Q730" s="248"/>
      <c r="R730" s="248">
        <v>1</v>
      </c>
      <c r="S730" s="248">
        <v>0.8</v>
      </c>
      <c r="T730" s="248"/>
      <c r="U730" s="248"/>
      <c r="V730" s="503"/>
      <c r="W730" s="503"/>
      <c r="X730" s="503"/>
      <c r="Y730" s="503"/>
      <c r="Z730" s="503"/>
      <c r="AA730" s="503"/>
      <c r="AC730" s="248"/>
      <c r="AD730" s="528"/>
      <c r="AE730" s="248"/>
      <c r="AF730" s="248"/>
    </row>
    <row r="731" spans="3:32" x14ac:dyDescent="0.3">
      <c r="C731" s="528" t="s">
        <v>1232</v>
      </c>
      <c r="D731" s="514" t="s">
        <v>1274</v>
      </c>
      <c r="E731" s="514" t="s">
        <v>1270</v>
      </c>
      <c r="H731" s="544" t="s">
        <v>1275</v>
      </c>
      <c r="I731" s="514" t="s">
        <v>486</v>
      </c>
      <c r="J731" s="248" t="s">
        <v>239</v>
      </c>
      <c r="K731" s="248" t="s">
        <v>240</v>
      </c>
      <c r="L731" s="514" t="s">
        <v>1256</v>
      </c>
      <c r="M731" s="248"/>
      <c r="N731" s="528" t="s">
        <v>1180</v>
      </c>
      <c r="O731" s="248"/>
      <c r="P731" s="248">
        <v>2019</v>
      </c>
      <c r="Q731" s="248">
        <v>2020</v>
      </c>
      <c r="R731" s="248">
        <v>1</v>
      </c>
      <c r="S731" s="248">
        <v>0.82</v>
      </c>
      <c r="T731" s="248">
        <v>0.82</v>
      </c>
      <c r="U731" s="248">
        <v>0.5</v>
      </c>
      <c r="V731" s="503">
        <v>50.4</v>
      </c>
      <c r="W731" s="503">
        <v>0</v>
      </c>
      <c r="X731" s="503">
        <v>800</v>
      </c>
      <c r="Y731" s="503">
        <v>20</v>
      </c>
      <c r="Z731" s="503"/>
      <c r="AA731" s="503">
        <v>31.536000000000001</v>
      </c>
      <c r="AC731" s="248">
        <v>10</v>
      </c>
      <c r="AD731" s="528" t="s">
        <v>1253</v>
      </c>
      <c r="AE731" s="248">
        <v>0.82</v>
      </c>
      <c r="AF731" s="248"/>
    </row>
    <row r="732" spans="3:32" x14ac:dyDescent="0.3">
      <c r="D732" s="514"/>
      <c r="E732" s="514"/>
      <c r="H732" s="544"/>
      <c r="I732" s="514"/>
      <c r="J732" s="248"/>
      <c r="K732" s="248"/>
      <c r="L732" s="514"/>
      <c r="M732" s="248"/>
      <c r="N732" s="528" t="s">
        <v>1319</v>
      </c>
      <c r="O732" s="248"/>
      <c r="P732" s="248"/>
      <c r="Q732" s="248"/>
      <c r="R732" s="248">
        <v>1</v>
      </c>
      <c r="S732" s="248">
        <v>0.82</v>
      </c>
      <c r="T732" s="248"/>
      <c r="U732" s="248"/>
      <c r="V732" s="503"/>
      <c r="W732" s="503"/>
      <c r="X732" s="503"/>
      <c r="Y732" s="503"/>
      <c r="Z732" s="503"/>
      <c r="AA732" s="503"/>
      <c r="AC732" s="248"/>
      <c r="AD732" s="528"/>
      <c r="AE732" s="248"/>
      <c r="AF732" s="248"/>
    </row>
    <row r="733" spans="3:32" x14ac:dyDescent="0.3">
      <c r="C733" s="528" t="s">
        <v>1232</v>
      </c>
      <c r="D733" s="514" t="s">
        <v>1274</v>
      </c>
      <c r="E733" s="514" t="s">
        <v>1270</v>
      </c>
      <c r="H733" s="544" t="s">
        <v>1276</v>
      </c>
      <c r="I733" s="514" t="s">
        <v>486</v>
      </c>
      <c r="J733" s="248" t="s">
        <v>239</v>
      </c>
      <c r="K733" s="248" t="s">
        <v>240</v>
      </c>
      <c r="L733" s="514" t="s">
        <v>1256</v>
      </c>
      <c r="M733" s="248"/>
      <c r="N733" s="528" t="s">
        <v>1180</v>
      </c>
      <c r="O733" s="248"/>
      <c r="P733" s="248">
        <v>2019</v>
      </c>
      <c r="Q733" s="248">
        <v>2030</v>
      </c>
      <c r="R733" s="248">
        <v>1</v>
      </c>
      <c r="S733" s="248">
        <v>0.86</v>
      </c>
      <c r="T733" s="248">
        <v>0.86</v>
      </c>
      <c r="U733" s="248">
        <v>0.5</v>
      </c>
      <c r="V733" s="503">
        <v>48.6</v>
      </c>
      <c r="W733" s="503">
        <v>0</v>
      </c>
      <c r="X733" s="503">
        <v>800</v>
      </c>
      <c r="Y733" s="503">
        <v>20</v>
      </c>
      <c r="Z733" s="503"/>
      <c r="AA733" s="503">
        <v>31.536000000000001</v>
      </c>
      <c r="AC733" s="248">
        <v>10</v>
      </c>
      <c r="AD733" s="528" t="s">
        <v>1253</v>
      </c>
      <c r="AE733" s="248">
        <v>0.86</v>
      </c>
      <c r="AF733" s="248"/>
    </row>
    <row r="734" spans="3:32" x14ac:dyDescent="0.3">
      <c r="D734" s="514"/>
      <c r="E734" s="514"/>
      <c r="H734" s="544"/>
      <c r="I734" s="514"/>
      <c r="J734" s="248"/>
      <c r="K734" s="248"/>
      <c r="L734" s="514"/>
      <c r="M734" s="248"/>
      <c r="N734" s="528" t="s">
        <v>1319</v>
      </c>
      <c r="O734" s="248"/>
      <c r="P734" s="248"/>
      <c r="Q734" s="248"/>
      <c r="R734" s="248">
        <v>1</v>
      </c>
      <c r="S734" s="248">
        <v>0.86</v>
      </c>
      <c r="T734" s="248"/>
      <c r="U734" s="248"/>
      <c r="V734" s="503"/>
      <c r="W734" s="503"/>
      <c r="X734" s="503"/>
      <c r="Y734" s="503"/>
      <c r="Z734" s="503"/>
      <c r="AA734" s="503"/>
      <c r="AC734" s="248"/>
      <c r="AD734" s="528"/>
      <c r="AE734" s="248"/>
      <c r="AF734" s="248"/>
    </row>
    <row r="735" spans="3:32" x14ac:dyDescent="0.3">
      <c r="C735" s="528" t="s">
        <v>1232</v>
      </c>
      <c r="D735" s="514" t="s">
        <v>1274</v>
      </c>
      <c r="E735" s="514" t="s">
        <v>1270</v>
      </c>
      <c r="H735" s="544" t="s">
        <v>1295</v>
      </c>
      <c r="I735" s="514" t="s">
        <v>486</v>
      </c>
      <c r="J735" s="248" t="s">
        <v>239</v>
      </c>
      <c r="K735" s="248" t="s">
        <v>240</v>
      </c>
      <c r="L735" s="514" t="s">
        <v>1256</v>
      </c>
      <c r="M735" s="248"/>
      <c r="N735" s="528" t="s">
        <v>1180</v>
      </c>
      <c r="O735" s="248"/>
      <c r="P735" s="248">
        <v>2019</v>
      </c>
      <c r="Q735" s="248">
        <v>2050</v>
      </c>
      <c r="R735" s="248">
        <v>1</v>
      </c>
      <c r="S735" s="248">
        <v>0.88</v>
      </c>
      <c r="T735" s="248">
        <v>0.88</v>
      </c>
      <c r="U735" s="248">
        <v>0.5</v>
      </c>
      <c r="V735" s="503">
        <v>44.3</v>
      </c>
      <c r="W735" s="503">
        <v>0</v>
      </c>
      <c r="X735" s="503">
        <v>700</v>
      </c>
      <c r="Y735" s="503">
        <v>20</v>
      </c>
      <c r="Z735" s="503"/>
      <c r="AA735" s="503">
        <v>31.536000000000001</v>
      </c>
      <c r="AC735" s="248">
        <v>10</v>
      </c>
      <c r="AD735" s="528" t="s">
        <v>1253</v>
      </c>
      <c r="AE735" s="248">
        <v>0.88</v>
      </c>
      <c r="AF735" s="248"/>
    </row>
    <row r="736" spans="3:32" x14ac:dyDescent="0.3">
      <c r="D736" s="514"/>
      <c r="E736" s="514"/>
      <c r="H736" s="544"/>
      <c r="I736" s="514"/>
      <c r="J736" s="248"/>
      <c r="K736" s="248"/>
      <c r="L736" s="514"/>
      <c r="M736" s="248"/>
      <c r="N736" s="528" t="s">
        <v>1319</v>
      </c>
      <c r="O736" s="248"/>
      <c r="P736" s="248"/>
      <c r="Q736" s="248"/>
      <c r="R736" s="248">
        <v>1</v>
      </c>
      <c r="S736" s="248">
        <v>0.88</v>
      </c>
      <c r="T736" s="248"/>
      <c r="U736" s="248"/>
      <c r="V736" s="503"/>
      <c r="W736" s="503"/>
      <c r="X736" s="503"/>
      <c r="Y736" s="503"/>
      <c r="Z736" s="503"/>
      <c r="AA736" s="503"/>
      <c r="AC736" s="248"/>
      <c r="AD736" s="528"/>
      <c r="AE736" s="248"/>
      <c r="AF736" s="248"/>
    </row>
    <row r="737" spans="3:32" x14ac:dyDescent="0.3">
      <c r="C737" s="528" t="s">
        <v>1233</v>
      </c>
      <c r="D737" s="514" t="s">
        <v>1275</v>
      </c>
      <c r="E737" s="514" t="s">
        <v>1270</v>
      </c>
      <c r="H737" s="544" t="s">
        <v>1296</v>
      </c>
      <c r="I737" s="514" t="s">
        <v>486</v>
      </c>
      <c r="J737" s="248" t="s">
        <v>239</v>
      </c>
      <c r="K737" s="248" t="s">
        <v>240</v>
      </c>
      <c r="L737" s="514" t="s">
        <v>1256</v>
      </c>
      <c r="M737" s="248"/>
      <c r="N737" s="528" t="s">
        <v>1180</v>
      </c>
      <c r="O737" s="248"/>
      <c r="P737" s="248">
        <v>2019</v>
      </c>
      <c r="Q737" s="248">
        <v>2019</v>
      </c>
      <c r="R737" s="248">
        <v>1</v>
      </c>
      <c r="S737" s="248">
        <v>0.75</v>
      </c>
      <c r="T737" s="248">
        <v>0.75</v>
      </c>
      <c r="U737" s="248">
        <v>0.5</v>
      </c>
      <c r="V737" s="503">
        <v>42.716666666666669</v>
      </c>
      <c r="W737" s="503">
        <v>0</v>
      </c>
      <c r="X737" s="503">
        <v>691.66666666666663</v>
      </c>
      <c r="Y737" s="503">
        <v>20</v>
      </c>
      <c r="Z737" s="503"/>
      <c r="AA737" s="503">
        <v>31.536000000000001</v>
      </c>
      <c r="AC737" s="248">
        <v>12</v>
      </c>
      <c r="AD737" s="528" t="s">
        <v>1253</v>
      </c>
      <c r="AE737" s="248">
        <v>0.75</v>
      </c>
      <c r="AF737" s="248"/>
    </row>
    <row r="738" spans="3:32" x14ac:dyDescent="0.3">
      <c r="D738" s="514"/>
      <c r="E738" s="514"/>
      <c r="H738" s="544"/>
      <c r="I738" s="514"/>
      <c r="J738" s="248"/>
      <c r="K738" s="248"/>
      <c r="L738" s="514"/>
      <c r="M738" s="248"/>
      <c r="N738" s="528" t="s">
        <v>1319</v>
      </c>
      <c r="O738" s="248"/>
      <c r="P738" s="248"/>
      <c r="Q738" s="248"/>
      <c r="R738" s="248">
        <v>1</v>
      </c>
      <c r="S738" s="248">
        <v>0.75</v>
      </c>
      <c r="T738" s="248"/>
      <c r="U738" s="248"/>
      <c r="V738" s="503"/>
      <c r="W738" s="503"/>
      <c r="X738" s="503"/>
      <c r="Y738" s="503"/>
      <c r="Z738" s="503"/>
      <c r="AA738" s="503"/>
      <c r="AC738" s="248"/>
      <c r="AD738" s="528"/>
      <c r="AE738" s="248"/>
      <c r="AF738" s="248"/>
    </row>
    <row r="739" spans="3:32" x14ac:dyDescent="0.3">
      <c r="C739" s="528" t="s">
        <v>1233</v>
      </c>
      <c r="D739" s="514" t="s">
        <v>1275</v>
      </c>
      <c r="E739" s="514" t="s">
        <v>1270</v>
      </c>
      <c r="H739" s="544" t="s">
        <v>1297</v>
      </c>
      <c r="I739" s="514" t="s">
        <v>486</v>
      </c>
      <c r="J739" s="248" t="s">
        <v>239</v>
      </c>
      <c r="K739" s="248" t="s">
        <v>240</v>
      </c>
      <c r="L739" s="514" t="s">
        <v>1256</v>
      </c>
      <c r="M739" s="248"/>
      <c r="N739" s="528" t="s">
        <v>1180</v>
      </c>
      <c r="O739" s="248"/>
      <c r="P739" s="248">
        <v>2019</v>
      </c>
      <c r="Q739" s="248">
        <v>2020</v>
      </c>
      <c r="R739" s="248">
        <v>1</v>
      </c>
      <c r="S739" s="248">
        <v>0.78</v>
      </c>
      <c r="T739" s="248">
        <v>0.78</v>
      </c>
      <c r="U739" s="248">
        <v>0.5</v>
      </c>
      <c r="V739" s="503">
        <v>50.1</v>
      </c>
      <c r="W739" s="503">
        <v>0</v>
      </c>
      <c r="X739" s="503">
        <v>830</v>
      </c>
      <c r="Y739" s="503">
        <v>20</v>
      </c>
      <c r="Z739" s="503"/>
      <c r="AA739" s="503">
        <v>31.536000000000001</v>
      </c>
      <c r="AC739" s="248">
        <v>10</v>
      </c>
      <c r="AD739" s="528" t="s">
        <v>1253</v>
      </c>
      <c r="AE739" s="248">
        <v>0.78</v>
      </c>
      <c r="AF739" s="248"/>
    </row>
    <row r="740" spans="3:32" x14ac:dyDescent="0.3">
      <c r="D740" s="514"/>
      <c r="E740" s="514"/>
      <c r="H740" s="544"/>
      <c r="I740" s="514"/>
      <c r="J740" s="248"/>
      <c r="K740" s="248"/>
      <c r="L740" s="514"/>
      <c r="M740" s="248"/>
      <c r="N740" s="528" t="s">
        <v>1319</v>
      </c>
      <c r="O740" s="248"/>
      <c r="P740" s="248"/>
      <c r="Q740" s="248"/>
      <c r="R740" s="248">
        <v>1</v>
      </c>
      <c r="S740" s="248">
        <v>0.78</v>
      </c>
      <c r="T740" s="248"/>
      <c r="U740" s="248"/>
      <c r="V740" s="503"/>
      <c r="W740" s="503"/>
      <c r="X740" s="503"/>
      <c r="Y740" s="503"/>
      <c r="Z740" s="503"/>
      <c r="AA740" s="503"/>
      <c r="AC740" s="248"/>
      <c r="AD740" s="528"/>
      <c r="AE740" s="248"/>
      <c r="AF740" s="248"/>
    </row>
    <row r="741" spans="3:32" x14ac:dyDescent="0.3">
      <c r="C741" s="528" t="s">
        <v>1233</v>
      </c>
      <c r="D741" s="514" t="s">
        <v>1275</v>
      </c>
      <c r="E741" s="514" t="s">
        <v>1270</v>
      </c>
      <c r="H741" s="544" t="s">
        <v>1298</v>
      </c>
      <c r="I741" s="514" t="s">
        <v>486</v>
      </c>
      <c r="J741" s="248" t="s">
        <v>239</v>
      </c>
      <c r="K741" s="248" t="s">
        <v>240</v>
      </c>
      <c r="L741" s="514" t="s">
        <v>1256</v>
      </c>
      <c r="M741" s="248"/>
      <c r="N741" s="528" t="s">
        <v>1180</v>
      </c>
      <c r="O741" s="248"/>
      <c r="P741" s="248">
        <v>2019</v>
      </c>
      <c r="Q741" s="248">
        <v>2030</v>
      </c>
      <c r="R741" s="248">
        <v>1</v>
      </c>
      <c r="S741" s="248">
        <v>0.8</v>
      </c>
      <c r="T741" s="248">
        <v>0.8</v>
      </c>
      <c r="U741" s="248">
        <v>0.5</v>
      </c>
      <c r="V741" s="503">
        <v>60.25</v>
      </c>
      <c r="W741" s="503">
        <v>0</v>
      </c>
      <c r="X741" s="503">
        <v>1037.5</v>
      </c>
      <c r="Y741" s="503">
        <v>20</v>
      </c>
      <c r="Z741" s="503"/>
      <c r="AA741" s="503">
        <v>31.536000000000001</v>
      </c>
      <c r="AC741" s="248">
        <v>8</v>
      </c>
      <c r="AD741" s="528" t="s">
        <v>1253</v>
      </c>
      <c r="AE741" s="248">
        <v>0.8</v>
      </c>
      <c r="AF741" s="248"/>
    </row>
    <row r="742" spans="3:32" x14ac:dyDescent="0.3">
      <c r="D742" s="514"/>
      <c r="E742" s="514"/>
      <c r="H742" s="544"/>
      <c r="I742" s="514"/>
      <c r="J742" s="248"/>
      <c r="K742" s="248"/>
      <c r="L742" s="514"/>
      <c r="M742" s="248"/>
      <c r="N742" s="528" t="s">
        <v>1319</v>
      </c>
      <c r="O742" s="248"/>
      <c r="P742" s="248"/>
      <c r="Q742" s="248"/>
      <c r="R742" s="248">
        <v>1</v>
      </c>
      <c r="S742" s="248">
        <v>0.8</v>
      </c>
      <c r="T742" s="248"/>
      <c r="U742" s="248"/>
      <c r="V742" s="503"/>
      <c r="W742" s="503"/>
      <c r="X742" s="503"/>
      <c r="Y742" s="503"/>
      <c r="Z742" s="503"/>
      <c r="AA742" s="503"/>
      <c r="AC742" s="248"/>
      <c r="AD742" s="528"/>
      <c r="AE742" s="248"/>
      <c r="AF742" s="248"/>
    </row>
    <row r="743" spans="3:32" x14ac:dyDescent="0.3">
      <c r="C743" s="528" t="s">
        <v>1233</v>
      </c>
      <c r="D743" s="514" t="s">
        <v>1275</v>
      </c>
      <c r="E743" s="514" t="s">
        <v>1270</v>
      </c>
      <c r="H743" s="544" t="s">
        <v>1299</v>
      </c>
      <c r="I743" s="514" t="s">
        <v>486</v>
      </c>
      <c r="J743" s="248" t="s">
        <v>239</v>
      </c>
      <c r="K743" s="248" t="s">
        <v>240</v>
      </c>
      <c r="L743" s="514" t="s">
        <v>1256</v>
      </c>
      <c r="M743" s="248"/>
      <c r="N743" s="528" t="s">
        <v>1180</v>
      </c>
      <c r="O743" s="248"/>
      <c r="P743" s="248">
        <v>2019</v>
      </c>
      <c r="Q743" s="248">
        <v>2050</v>
      </c>
      <c r="R743" s="248">
        <v>1</v>
      </c>
      <c r="S743" s="248">
        <v>0.85</v>
      </c>
      <c r="T743" s="248">
        <v>0.85</v>
      </c>
      <c r="U743" s="248">
        <v>0.5</v>
      </c>
      <c r="V743" s="503">
        <v>54.75</v>
      </c>
      <c r="W743" s="503">
        <v>0</v>
      </c>
      <c r="X743" s="503">
        <v>875</v>
      </c>
      <c r="Y743" s="503">
        <v>20</v>
      </c>
      <c r="Z743" s="503"/>
      <c r="AA743" s="503">
        <v>31.536000000000001</v>
      </c>
      <c r="AC743" s="248">
        <v>8</v>
      </c>
      <c r="AD743" s="528" t="s">
        <v>1253</v>
      </c>
      <c r="AE743" s="248">
        <v>0.85</v>
      </c>
      <c r="AF743" s="248"/>
    </row>
    <row r="744" spans="3:32" x14ac:dyDescent="0.3">
      <c r="D744" s="514"/>
      <c r="E744" s="514"/>
      <c r="H744" s="544"/>
      <c r="I744" s="514"/>
      <c r="J744" s="248"/>
      <c r="K744" s="248"/>
      <c r="L744" s="514"/>
      <c r="M744" s="248"/>
      <c r="N744" s="528" t="s">
        <v>1319</v>
      </c>
      <c r="O744" s="248"/>
      <c r="P744" s="248"/>
      <c r="Q744" s="248"/>
      <c r="R744" s="248">
        <v>1</v>
      </c>
      <c r="S744" s="248">
        <v>0.85</v>
      </c>
      <c r="T744" s="248"/>
      <c r="U744" s="248"/>
      <c r="V744" s="503"/>
      <c r="W744" s="503"/>
      <c r="X744" s="503"/>
      <c r="Y744" s="503"/>
      <c r="Z744" s="503"/>
      <c r="AA744" s="503"/>
      <c r="AC744" s="248"/>
      <c r="AD744" s="528"/>
      <c r="AE744" s="248"/>
      <c r="AF744" s="248"/>
    </row>
    <row r="745" spans="3:32" x14ac:dyDescent="0.3">
      <c r="C745" s="528" t="s">
        <v>1234</v>
      </c>
      <c r="D745" s="514" t="s">
        <v>1263</v>
      </c>
      <c r="E745" s="514" t="s">
        <v>1259</v>
      </c>
      <c r="H745" s="544" t="s">
        <v>1263</v>
      </c>
      <c r="I745" s="514" t="s">
        <v>486</v>
      </c>
      <c r="J745" s="248" t="s">
        <v>239</v>
      </c>
      <c r="K745" s="248" t="s">
        <v>240</v>
      </c>
      <c r="L745" s="514" t="s">
        <v>1256</v>
      </c>
      <c r="M745" s="248"/>
      <c r="N745" s="528" t="s">
        <v>1184</v>
      </c>
      <c r="O745" s="248"/>
      <c r="P745" s="248">
        <v>2019</v>
      </c>
      <c r="Q745" s="248">
        <v>2019</v>
      </c>
      <c r="R745" s="248">
        <v>1</v>
      </c>
      <c r="S745" s="248">
        <v>0.8</v>
      </c>
      <c r="T745" s="248">
        <v>0.8</v>
      </c>
      <c r="U745" s="248">
        <v>0.5</v>
      </c>
      <c r="V745" s="503">
        <v>4.3937499999999998</v>
      </c>
      <c r="W745" s="503">
        <v>0</v>
      </c>
      <c r="X745" s="503">
        <v>262.5</v>
      </c>
      <c r="Y745" s="503">
        <v>20</v>
      </c>
      <c r="Z745" s="503"/>
      <c r="AA745" s="503">
        <v>31.536000000000001</v>
      </c>
      <c r="AC745" s="248">
        <v>400</v>
      </c>
      <c r="AD745" s="528" t="s">
        <v>1255</v>
      </c>
      <c r="AE745" s="248">
        <v>0.8</v>
      </c>
      <c r="AF745" s="248"/>
    </row>
    <row r="746" spans="3:32" x14ac:dyDescent="0.3">
      <c r="D746" s="514"/>
      <c r="E746" s="514"/>
      <c r="H746" s="544"/>
      <c r="I746" s="514"/>
      <c r="J746" s="248"/>
      <c r="K746" s="248"/>
      <c r="L746" s="514"/>
      <c r="M746" s="248"/>
      <c r="N746" s="528" t="s">
        <v>1320</v>
      </c>
      <c r="O746" s="248"/>
      <c r="P746" s="248"/>
      <c r="Q746" s="248"/>
      <c r="R746" s="248">
        <v>1</v>
      </c>
      <c r="S746" s="248">
        <v>0.8</v>
      </c>
      <c r="T746" s="248"/>
      <c r="U746" s="248"/>
      <c r="V746" s="503"/>
      <c r="W746" s="503"/>
      <c r="X746" s="503"/>
      <c r="Y746" s="503"/>
      <c r="Z746" s="503"/>
      <c r="AA746" s="503"/>
      <c r="AC746" s="248"/>
      <c r="AD746" s="528"/>
      <c r="AE746" s="248"/>
      <c r="AF746" s="248"/>
    </row>
    <row r="747" spans="3:32" x14ac:dyDescent="0.3">
      <c r="C747" s="528" t="s">
        <v>1234</v>
      </c>
      <c r="D747" s="514" t="s">
        <v>1263</v>
      </c>
      <c r="E747" s="514" t="s">
        <v>1259</v>
      </c>
      <c r="H747" s="544" t="s">
        <v>1264</v>
      </c>
      <c r="I747" s="514" t="s">
        <v>486</v>
      </c>
      <c r="J747" s="248" t="s">
        <v>239</v>
      </c>
      <c r="K747" s="248" t="s">
        <v>240</v>
      </c>
      <c r="L747" s="514" t="s">
        <v>1256</v>
      </c>
      <c r="M747" s="248"/>
      <c r="N747" s="528" t="s">
        <v>1184</v>
      </c>
      <c r="O747" s="248"/>
      <c r="P747" s="248">
        <v>2019</v>
      </c>
      <c r="Q747" s="248">
        <v>2020</v>
      </c>
      <c r="R747" s="248">
        <v>1</v>
      </c>
      <c r="S747" s="248">
        <v>0.85</v>
      </c>
      <c r="T747" s="248">
        <v>0.85</v>
      </c>
      <c r="U747" s="248">
        <v>0.5</v>
      </c>
      <c r="V747" s="503">
        <v>4.3150000000000004</v>
      </c>
      <c r="W747" s="503">
        <v>0</v>
      </c>
      <c r="X747" s="503">
        <v>255</v>
      </c>
      <c r="Y747" s="503">
        <v>20</v>
      </c>
      <c r="Z747" s="503"/>
      <c r="AA747" s="503">
        <v>31.536000000000001</v>
      </c>
      <c r="AC747" s="248">
        <v>400</v>
      </c>
      <c r="AD747" s="528" t="s">
        <v>1255</v>
      </c>
      <c r="AE747" s="248">
        <v>0.85</v>
      </c>
      <c r="AF747" s="248"/>
    </row>
    <row r="748" spans="3:32" x14ac:dyDescent="0.3">
      <c r="D748" s="514"/>
      <c r="E748" s="514"/>
      <c r="H748" s="544"/>
      <c r="I748" s="514"/>
      <c r="J748" s="248"/>
      <c r="K748" s="248"/>
      <c r="L748" s="514"/>
      <c r="M748" s="248"/>
      <c r="N748" s="528" t="s">
        <v>1320</v>
      </c>
      <c r="O748" s="248"/>
      <c r="P748" s="248"/>
      <c r="Q748" s="248"/>
      <c r="R748" s="248">
        <v>1</v>
      </c>
      <c r="S748" s="248">
        <v>0.85</v>
      </c>
      <c r="T748" s="248"/>
      <c r="U748" s="248"/>
      <c r="V748" s="503"/>
      <c r="W748" s="503"/>
      <c r="X748" s="503"/>
      <c r="Y748" s="503"/>
      <c r="Z748" s="503"/>
      <c r="AA748" s="503"/>
      <c r="AC748" s="248"/>
      <c r="AD748" s="528"/>
      <c r="AE748" s="248"/>
      <c r="AF748" s="248"/>
    </row>
    <row r="749" spans="3:32" x14ac:dyDescent="0.3">
      <c r="C749" s="528" t="s">
        <v>1234</v>
      </c>
      <c r="D749" s="514" t="s">
        <v>1263</v>
      </c>
      <c r="E749" s="514" t="s">
        <v>1259</v>
      </c>
      <c r="H749" s="544" t="s">
        <v>1333</v>
      </c>
      <c r="I749" s="514" t="s">
        <v>486</v>
      </c>
      <c r="J749" s="248" t="s">
        <v>239</v>
      </c>
      <c r="K749" s="248" t="s">
        <v>240</v>
      </c>
      <c r="L749" s="514" t="s">
        <v>1256</v>
      </c>
      <c r="M749" s="248"/>
      <c r="N749" s="528" t="s">
        <v>1184</v>
      </c>
      <c r="O749" s="248"/>
      <c r="P749" s="248">
        <v>2019</v>
      </c>
      <c r="Q749" s="248">
        <v>2030</v>
      </c>
      <c r="R749" s="248">
        <v>1</v>
      </c>
      <c r="S749" s="248">
        <v>0.9</v>
      </c>
      <c r="T749" s="248">
        <v>0.9</v>
      </c>
      <c r="U749" s="248">
        <v>0.5</v>
      </c>
      <c r="V749" s="503">
        <v>4.2649999999999997</v>
      </c>
      <c r="W749" s="503">
        <v>0</v>
      </c>
      <c r="X749" s="503">
        <v>242.5</v>
      </c>
      <c r="Y749" s="503">
        <v>20</v>
      </c>
      <c r="Z749" s="503"/>
      <c r="AA749" s="503">
        <v>31.536000000000001</v>
      </c>
      <c r="AC749" s="248">
        <v>400</v>
      </c>
      <c r="AD749" s="528" t="s">
        <v>1255</v>
      </c>
      <c r="AE749" s="248">
        <v>0.9</v>
      </c>
      <c r="AF749" s="248"/>
    </row>
    <row r="750" spans="3:32" x14ac:dyDescent="0.3">
      <c r="D750" s="514"/>
      <c r="E750" s="514"/>
      <c r="H750" s="544"/>
      <c r="I750" s="514"/>
      <c r="J750" s="248"/>
      <c r="K750" s="248"/>
      <c r="L750" s="514"/>
      <c r="M750" s="248"/>
      <c r="N750" s="528" t="s">
        <v>1320</v>
      </c>
      <c r="O750" s="248"/>
      <c r="P750" s="248"/>
      <c r="Q750" s="248"/>
      <c r="R750" s="248">
        <v>1</v>
      </c>
      <c r="S750" s="248">
        <v>0.9</v>
      </c>
      <c r="T750" s="248"/>
      <c r="U750" s="248"/>
      <c r="V750" s="503"/>
      <c r="W750" s="503"/>
      <c r="X750" s="503"/>
      <c r="Y750" s="503"/>
      <c r="Z750" s="503"/>
      <c r="AA750" s="503"/>
      <c r="AC750" s="248"/>
      <c r="AD750" s="528"/>
      <c r="AE750" s="248"/>
      <c r="AF750" s="248"/>
    </row>
    <row r="751" spans="3:32" x14ac:dyDescent="0.3">
      <c r="C751" s="528" t="s">
        <v>1234</v>
      </c>
      <c r="D751" s="514" t="s">
        <v>1263</v>
      </c>
      <c r="E751" s="514" t="s">
        <v>1259</v>
      </c>
      <c r="H751" s="544" t="s">
        <v>1334</v>
      </c>
      <c r="I751" s="514" t="s">
        <v>486</v>
      </c>
      <c r="J751" s="248" t="s">
        <v>239</v>
      </c>
      <c r="K751" s="248" t="s">
        <v>240</v>
      </c>
      <c r="L751" s="514" t="s">
        <v>1256</v>
      </c>
      <c r="M751" s="248"/>
      <c r="N751" s="528" t="s">
        <v>1184</v>
      </c>
      <c r="O751" s="248"/>
      <c r="P751" s="248">
        <v>2019</v>
      </c>
      <c r="Q751" s="248">
        <v>2050</v>
      </c>
      <c r="R751" s="248">
        <v>1</v>
      </c>
      <c r="S751" s="248">
        <v>0.9</v>
      </c>
      <c r="T751" s="248">
        <v>0.9</v>
      </c>
      <c r="U751" s="248">
        <v>0.5</v>
      </c>
      <c r="V751" s="503">
        <v>3.9424999999999999</v>
      </c>
      <c r="W751" s="503">
        <v>0</v>
      </c>
      <c r="X751" s="503">
        <v>220</v>
      </c>
      <c r="Y751" s="503">
        <v>20</v>
      </c>
      <c r="Z751" s="503"/>
      <c r="AA751" s="503">
        <v>31.536000000000001</v>
      </c>
      <c r="AC751" s="248">
        <v>400</v>
      </c>
      <c r="AD751" s="528" t="s">
        <v>1255</v>
      </c>
      <c r="AE751" s="248">
        <v>0.9</v>
      </c>
      <c r="AF751" s="248"/>
    </row>
    <row r="752" spans="3:32" x14ac:dyDescent="0.3">
      <c r="D752" s="514"/>
      <c r="E752" s="514"/>
      <c r="H752" s="544"/>
      <c r="I752" s="514"/>
      <c r="J752" s="248"/>
      <c r="K752" s="248"/>
      <c r="L752" s="514"/>
      <c r="M752" s="248"/>
      <c r="N752" s="528" t="s">
        <v>1320</v>
      </c>
      <c r="O752" s="248"/>
      <c r="P752" s="248"/>
      <c r="Q752" s="248"/>
      <c r="R752" s="248">
        <v>1</v>
      </c>
      <c r="S752" s="248">
        <v>0.9</v>
      </c>
      <c r="T752" s="248"/>
      <c r="U752" s="248"/>
      <c r="V752" s="503"/>
      <c r="W752" s="503"/>
      <c r="X752" s="503"/>
      <c r="Y752" s="503"/>
      <c r="Z752" s="503"/>
      <c r="AA752" s="503"/>
      <c r="AC752" s="248"/>
      <c r="AD752" s="528"/>
      <c r="AE752" s="248"/>
      <c r="AF752" s="248"/>
    </row>
    <row r="753" spans="3:32" x14ac:dyDescent="0.3">
      <c r="C753" s="528" t="s">
        <v>1235</v>
      </c>
      <c r="D753" s="514" t="s">
        <v>1264</v>
      </c>
      <c r="E753" s="514" t="s">
        <v>1259</v>
      </c>
      <c r="H753" s="544" t="s">
        <v>1335</v>
      </c>
      <c r="I753" s="514" t="s">
        <v>486</v>
      </c>
      <c r="J753" s="248" t="s">
        <v>239</v>
      </c>
      <c r="K753" s="248" t="s">
        <v>240</v>
      </c>
      <c r="L753" s="514" t="s">
        <v>1256</v>
      </c>
      <c r="M753" s="248"/>
      <c r="N753" s="528" t="s">
        <v>1184</v>
      </c>
      <c r="O753" s="248"/>
      <c r="P753" s="248">
        <v>2019</v>
      </c>
      <c r="Q753" s="248">
        <v>2019</v>
      </c>
      <c r="R753" s="248">
        <v>1</v>
      </c>
      <c r="S753" s="248">
        <v>0.8</v>
      </c>
      <c r="T753" s="248">
        <v>0.8</v>
      </c>
      <c r="U753" s="248">
        <v>0.5</v>
      </c>
      <c r="V753" s="503">
        <v>7.2156250000000002</v>
      </c>
      <c r="W753" s="503">
        <v>0</v>
      </c>
      <c r="X753" s="503">
        <v>393.75</v>
      </c>
      <c r="Y753" s="503">
        <v>20</v>
      </c>
      <c r="Z753" s="503"/>
      <c r="AA753" s="503">
        <v>31.536000000000001</v>
      </c>
      <c r="AC753" s="248">
        <v>160</v>
      </c>
      <c r="AD753" s="528" t="s">
        <v>1255</v>
      </c>
      <c r="AE753" s="248">
        <v>0.8</v>
      </c>
      <c r="AF753" s="248"/>
    </row>
    <row r="754" spans="3:32" x14ac:dyDescent="0.3">
      <c r="D754" s="514"/>
      <c r="E754" s="514"/>
      <c r="H754" s="544"/>
      <c r="I754" s="514"/>
      <c r="J754" s="248"/>
      <c r="K754" s="248"/>
      <c r="L754" s="514"/>
      <c r="M754" s="248"/>
      <c r="N754" s="528" t="s">
        <v>1320</v>
      </c>
      <c r="O754" s="248"/>
      <c r="P754" s="248"/>
      <c r="Q754" s="248"/>
      <c r="R754" s="248">
        <v>1</v>
      </c>
      <c r="S754" s="248">
        <v>0.8</v>
      </c>
      <c r="T754" s="248"/>
      <c r="U754" s="248"/>
      <c r="V754" s="503"/>
      <c r="W754" s="503"/>
      <c r="X754" s="503"/>
      <c r="Y754" s="503"/>
      <c r="Z754" s="503"/>
      <c r="AA754" s="503"/>
      <c r="AC754" s="248"/>
      <c r="AD754" s="528"/>
      <c r="AE754" s="248"/>
      <c r="AF754" s="248"/>
    </row>
    <row r="755" spans="3:32" x14ac:dyDescent="0.3">
      <c r="C755" s="528" t="s">
        <v>1235</v>
      </c>
      <c r="D755" s="514" t="s">
        <v>1264</v>
      </c>
      <c r="E755" s="514" t="s">
        <v>1259</v>
      </c>
      <c r="H755" s="544" t="s">
        <v>1336</v>
      </c>
      <c r="I755" s="514" t="s">
        <v>486</v>
      </c>
      <c r="J755" s="248" t="s">
        <v>239</v>
      </c>
      <c r="K755" s="248" t="s">
        <v>240</v>
      </c>
      <c r="L755" s="514" t="s">
        <v>1256</v>
      </c>
      <c r="M755" s="248"/>
      <c r="N755" s="528" t="s">
        <v>1184</v>
      </c>
      <c r="O755" s="248"/>
      <c r="P755" s="248">
        <v>2019</v>
      </c>
      <c r="Q755" s="248">
        <v>2020</v>
      </c>
      <c r="R755" s="248">
        <v>1</v>
      </c>
      <c r="S755" s="248">
        <v>0.85</v>
      </c>
      <c r="T755" s="248">
        <v>0.85</v>
      </c>
      <c r="U755" s="248">
        <v>0.5</v>
      </c>
      <c r="V755" s="503">
        <v>7.0625</v>
      </c>
      <c r="W755" s="503">
        <v>0</v>
      </c>
      <c r="X755" s="503">
        <v>381.25</v>
      </c>
      <c r="Y755" s="503">
        <v>20</v>
      </c>
      <c r="Z755" s="503"/>
      <c r="AA755" s="503">
        <v>31.536000000000001</v>
      </c>
      <c r="AC755" s="248">
        <v>160</v>
      </c>
      <c r="AD755" s="528" t="s">
        <v>1255</v>
      </c>
      <c r="AE755" s="248">
        <v>0.85</v>
      </c>
      <c r="AF755" s="248"/>
    </row>
    <row r="756" spans="3:32" x14ac:dyDescent="0.3">
      <c r="D756" s="514"/>
      <c r="E756" s="514"/>
      <c r="H756" s="544"/>
      <c r="I756" s="514"/>
      <c r="J756" s="248"/>
      <c r="K756" s="248"/>
      <c r="L756" s="514"/>
      <c r="M756" s="248"/>
      <c r="N756" s="528" t="s">
        <v>1320</v>
      </c>
      <c r="O756" s="248"/>
      <c r="P756" s="248"/>
      <c r="Q756" s="248"/>
      <c r="R756" s="248">
        <v>1</v>
      </c>
      <c r="S756" s="248">
        <v>0.85</v>
      </c>
      <c r="T756" s="248"/>
      <c r="U756" s="248"/>
      <c r="V756" s="503"/>
      <c r="W756" s="503"/>
      <c r="X756" s="503"/>
      <c r="Y756" s="503"/>
      <c r="Z756" s="503"/>
      <c r="AA756" s="503"/>
      <c r="AC756" s="248"/>
      <c r="AD756" s="528"/>
      <c r="AE756" s="248"/>
      <c r="AF756" s="248"/>
    </row>
    <row r="757" spans="3:32" x14ac:dyDescent="0.3">
      <c r="C757" s="528" t="s">
        <v>1235</v>
      </c>
      <c r="D757" s="514" t="s">
        <v>1264</v>
      </c>
      <c r="E757" s="514" t="s">
        <v>1259</v>
      </c>
      <c r="H757" s="544" t="s">
        <v>1337</v>
      </c>
      <c r="I757" s="514" t="s">
        <v>486</v>
      </c>
      <c r="J757" s="248" t="s">
        <v>239</v>
      </c>
      <c r="K757" s="248" t="s">
        <v>240</v>
      </c>
      <c r="L757" s="514" t="s">
        <v>1256</v>
      </c>
      <c r="M757" s="248"/>
      <c r="N757" s="528" t="s">
        <v>1184</v>
      </c>
      <c r="O757" s="248"/>
      <c r="P757" s="248">
        <v>2019</v>
      </c>
      <c r="Q757" s="248">
        <v>2030</v>
      </c>
      <c r="R757" s="248">
        <v>1</v>
      </c>
      <c r="S757" s="248">
        <v>0.9</v>
      </c>
      <c r="T757" s="248">
        <v>0.9</v>
      </c>
      <c r="U757" s="248">
        <v>0.5</v>
      </c>
      <c r="V757" s="503">
        <v>6.9812500000000002</v>
      </c>
      <c r="W757" s="503">
        <v>0</v>
      </c>
      <c r="X757" s="503">
        <v>362.5</v>
      </c>
      <c r="Y757" s="503">
        <v>20</v>
      </c>
      <c r="Z757" s="503"/>
      <c r="AA757" s="503">
        <v>31.536000000000001</v>
      </c>
      <c r="AC757" s="248">
        <v>160</v>
      </c>
      <c r="AD757" s="528" t="s">
        <v>1255</v>
      </c>
      <c r="AE757" s="248">
        <v>0.9</v>
      </c>
      <c r="AF757" s="248"/>
    </row>
    <row r="758" spans="3:32" x14ac:dyDescent="0.3">
      <c r="D758" s="514"/>
      <c r="E758" s="514"/>
      <c r="H758" s="544"/>
      <c r="I758" s="514"/>
      <c r="J758" s="248"/>
      <c r="K758" s="248"/>
      <c r="L758" s="514"/>
      <c r="M758" s="248"/>
      <c r="N758" s="528" t="s">
        <v>1320</v>
      </c>
      <c r="O758" s="248"/>
      <c r="P758" s="248"/>
      <c r="Q758" s="248"/>
      <c r="R758" s="248">
        <v>1</v>
      </c>
      <c r="S758" s="248">
        <v>0.9</v>
      </c>
      <c r="T758" s="248"/>
      <c r="U758" s="248"/>
      <c r="V758" s="503"/>
      <c r="W758" s="503"/>
      <c r="X758" s="503"/>
      <c r="Y758" s="503"/>
      <c r="Z758" s="503"/>
      <c r="AA758" s="503"/>
      <c r="AC758" s="248"/>
      <c r="AD758" s="528"/>
      <c r="AE758" s="248"/>
      <c r="AF758" s="248"/>
    </row>
    <row r="759" spans="3:32" x14ac:dyDescent="0.3">
      <c r="C759" s="528" t="s">
        <v>1235</v>
      </c>
      <c r="D759" s="514" t="s">
        <v>1264</v>
      </c>
      <c r="E759" s="514" t="s">
        <v>1259</v>
      </c>
      <c r="H759" s="544" t="s">
        <v>1338</v>
      </c>
      <c r="I759" s="514" t="s">
        <v>486</v>
      </c>
      <c r="J759" s="248" t="s">
        <v>239</v>
      </c>
      <c r="K759" s="248" t="s">
        <v>240</v>
      </c>
      <c r="L759" s="514" t="s">
        <v>1256</v>
      </c>
      <c r="M759" s="248"/>
      <c r="N759" s="528" t="s">
        <v>1184</v>
      </c>
      <c r="O759" s="248"/>
      <c r="P759" s="248">
        <v>2019</v>
      </c>
      <c r="Q759" s="248">
        <v>2050</v>
      </c>
      <c r="R759" s="248">
        <v>1</v>
      </c>
      <c r="S759" s="248">
        <v>0.9</v>
      </c>
      <c r="T759" s="248">
        <v>0.9</v>
      </c>
      <c r="U759" s="248">
        <v>0.5</v>
      </c>
      <c r="V759" s="503">
        <v>6.4749999999999996</v>
      </c>
      <c r="W759" s="503">
        <v>0</v>
      </c>
      <c r="X759" s="503">
        <v>331.25</v>
      </c>
      <c r="Y759" s="503">
        <v>20</v>
      </c>
      <c r="Z759" s="503"/>
      <c r="AA759" s="503">
        <v>31.536000000000001</v>
      </c>
      <c r="AC759" s="248">
        <v>160</v>
      </c>
      <c r="AD759" s="528" t="s">
        <v>1255</v>
      </c>
      <c r="AE759" s="248">
        <v>0.9</v>
      </c>
      <c r="AF759" s="248"/>
    </row>
    <row r="760" spans="3:32" x14ac:dyDescent="0.3">
      <c r="D760" s="514"/>
      <c r="E760" s="514"/>
      <c r="H760" s="544"/>
      <c r="I760" s="514"/>
      <c r="J760" s="248"/>
      <c r="K760" s="248"/>
      <c r="L760" s="514"/>
      <c r="M760" s="248"/>
      <c r="N760" s="528" t="s">
        <v>1320</v>
      </c>
      <c r="O760" s="248"/>
      <c r="P760" s="248"/>
      <c r="Q760" s="248"/>
      <c r="R760" s="248">
        <v>1</v>
      </c>
      <c r="S760" s="248">
        <v>0.9</v>
      </c>
      <c r="T760" s="248"/>
      <c r="U760" s="248"/>
      <c r="V760" s="503"/>
      <c r="W760" s="503"/>
      <c r="X760" s="503"/>
      <c r="Y760" s="503"/>
      <c r="Z760" s="503"/>
      <c r="AA760" s="503"/>
      <c r="AC760" s="248"/>
      <c r="AD760" s="528"/>
      <c r="AE760" s="248"/>
      <c r="AF760" s="248"/>
    </row>
    <row r="761" spans="3:32" x14ac:dyDescent="0.3">
      <c r="C761" s="528" t="s">
        <v>1236</v>
      </c>
      <c r="D761" s="514" t="s">
        <v>1276</v>
      </c>
      <c r="E761" s="514" t="s">
        <v>1270</v>
      </c>
      <c r="H761" s="544" t="s">
        <v>1300</v>
      </c>
      <c r="I761" s="514" t="s">
        <v>488</v>
      </c>
      <c r="J761" s="248" t="s">
        <v>239</v>
      </c>
      <c r="K761" s="248" t="s">
        <v>240</v>
      </c>
      <c r="L761" s="514" t="s">
        <v>1256</v>
      </c>
      <c r="M761" s="248"/>
      <c r="N761" s="528" t="s">
        <v>1180</v>
      </c>
      <c r="O761" s="248"/>
      <c r="P761" s="248">
        <v>2019</v>
      </c>
      <c r="Q761" s="248">
        <v>2019</v>
      </c>
      <c r="R761" s="248">
        <v>1</v>
      </c>
      <c r="S761" s="248">
        <v>0.8</v>
      </c>
      <c r="T761" s="248">
        <v>0.8</v>
      </c>
      <c r="U761" s="248">
        <v>0.5</v>
      </c>
      <c r="V761" s="503">
        <v>13.307142857142857</v>
      </c>
      <c r="W761" s="503">
        <v>0</v>
      </c>
      <c r="X761" s="503">
        <v>288.57142857142856</v>
      </c>
      <c r="Y761" s="503">
        <v>20</v>
      </c>
      <c r="Z761" s="503"/>
      <c r="AA761" s="503">
        <v>31.536000000000001</v>
      </c>
      <c r="AC761" s="248">
        <v>35</v>
      </c>
      <c r="AD761" s="528" t="s">
        <v>1253</v>
      </c>
      <c r="AE761" s="248">
        <v>0.8</v>
      </c>
      <c r="AF761" s="248"/>
    </row>
    <row r="762" spans="3:32" x14ac:dyDescent="0.3">
      <c r="D762" s="514"/>
      <c r="E762" s="514"/>
      <c r="H762" s="544"/>
      <c r="I762" s="514"/>
      <c r="J762" s="248"/>
      <c r="K762" s="248"/>
      <c r="L762" s="514"/>
      <c r="M762" s="248"/>
      <c r="N762" s="528" t="s">
        <v>1319</v>
      </c>
      <c r="O762" s="248"/>
      <c r="P762" s="248"/>
      <c r="Q762" s="248"/>
      <c r="R762" s="248">
        <v>1</v>
      </c>
      <c r="S762" s="248">
        <v>0.8</v>
      </c>
      <c r="T762" s="248"/>
      <c r="U762" s="248"/>
      <c r="V762" s="503"/>
      <c r="W762" s="503"/>
      <c r="X762" s="503"/>
      <c r="Y762" s="503"/>
      <c r="Z762" s="503"/>
      <c r="AA762" s="503"/>
      <c r="AC762" s="248"/>
      <c r="AD762" s="528"/>
      <c r="AE762" s="248"/>
      <c r="AF762" s="248"/>
    </row>
    <row r="763" spans="3:32" x14ac:dyDescent="0.3">
      <c r="C763" s="528" t="s">
        <v>1236</v>
      </c>
      <c r="D763" s="514" t="s">
        <v>1276</v>
      </c>
      <c r="E763" s="514" t="s">
        <v>1270</v>
      </c>
      <c r="H763" s="544" t="s">
        <v>1301</v>
      </c>
      <c r="I763" s="514" t="s">
        <v>488</v>
      </c>
      <c r="J763" s="248" t="s">
        <v>239</v>
      </c>
      <c r="K763" s="248" t="s">
        <v>240</v>
      </c>
      <c r="L763" s="514" t="s">
        <v>1256</v>
      </c>
      <c r="M763" s="248"/>
      <c r="N763" s="528" t="s">
        <v>1180</v>
      </c>
      <c r="O763" s="248"/>
      <c r="P763" s="248">
        <v>2019</v>
      </c>
      <c r="Q763" s="248">
        <v>2020</v>
      </c>
      <c r="R763" s="248">
        <v>1</v>
      </c>
      <c r="S763" s="248">
        <v>0.82</v>
      </c>
      <c r="T763" s="248">
        <v>0.82</v>
      </c>
      <c r="U763" s="248">
        <v>0.5</v>
      </c>
      <c r="V763" s="503">
        <v>15.166666666666666</v>
      </c>
      <c r="W763" s="503">
        <v>0</v>
      </c>
      <c r="X763" s="503">
        <v>336.66666666666669</v>
      </c>
      <c r="Y763" s="503">
        <v>20</v>
      </c>
      <c r="Z763" s="503"/>
      <c r="AA763" s="503">
        <v>31.536000000000001</v>
      </c>
      <c r="AC763" s="248">
        <v>30</v>
      </c>
      <c r="AD763" s="528" t="s">
        <v>1253</v>
      </c>
      <c r="AE763" s="248">
        <v>0.82</v>
      </c>
      <c r="AF763" s="248"/>
    </row>
    <row r="764" spans="3:32" x14ac:dyDescent="0.3">
      <c r="D764" s="514"/>
      <c r="E764" s="514"/>
      <c r="H764" s="544"/>
      <c r="I764" s="514"/>
      <c r="J764" s="248"/>
      <c r="K764" s="248"/>
      <c r="L764" s="514"/>
      <c r="M764" s="248"/>
      <c r="N764" s="528" t="s">
        <v>1319</v>
      </c>
      <c r="O764" s="248"/>
      <c r="P764" s="248"/>
      <c r="Q764" s="248"/>
      <c r="R764" s="248">
        <v>1</v>
      </c>
      <c r="S764" s="248">
        <v>0.82</v>
      </c>
      <c r="T764" s="248"/>
      <c r="U764" s="248"/>
      <c r="V764" s="503"/>
      <c r="W764" s="503"/>
      <c r="X764" s="503"/>
      <c r="Y764" s="503"/>
      <c r="Z764" s="503"/>
      <c r="AA764" s="503"/>
      <c r="AC764" s="248"/>
      <c r="AD764" s="528"/>
      <c r="AE764" s="248"/>
      <c r="AF764" s="248"/>
    </row>
    <row r="765" spans="3:32" x14ac:dyDescent="0.3">
      <c r="C765" s="528" t="s">
        <v>1236</v>
      </c>
      <c r="D765" s="514" t="s">
        <v>1276</v>
      </c>
      <c r="E765" s="514" t="s">
        <v>1270</v>
      </c>
      <c r="H765" s="544" t="s">
        <v>1302</v>
      </c>
      <c r="I765" s="514" t="s">
        <v>488</v>
      </c>
      <c r="J765" s="248" t="s">
        <v>239</v>
      </c>
      <c r="K765" s="248" t="s">
        <v>240</v>
      </c>
      <c r="L765" s="514" t="s">
        <v>1256</v>
      </c>
      <c r="M765" s="248"/>
      <c r="N765" s="528" t="s">
        <v>1180</v>
      </c>
      <c r="O765" s="248"/>
      <c r="P765" s="248">
        <v>2019</v>
      </c>
      <c r="Q765" s="248">
        <v>2030</v>
      </c>
      <c r="R765" s="248">
        <v>1</v>
      </c>
      <c r="S765" s="248">
        <v>0.86</v>
      </c>
      <c r="T765" s="248">
        <v>0.86</v>
      </c>
      <c r="U765" s="248">
        <v>0.5</v>
      </c>
      <c r="V765" s="503">
        <v>17.600000000000001</v>
      </c>
      <c r="W765" s="503">
        <v>0</v>
      </c>
      <c r="X765" s="503">
        <v>360</v>
      </c>
      <c r="Y765" s="503">
        <v>20</v>
      </c>
      <c r="Z765" s="503"/>
      <c r="AA765" s="503">
        <v>31.536000000000001</v>
      </c>
      <c r="AC765" s="248">
        <v>25</v>
      </c>
      <c r="AD765" s="528" t="s">
        <v>1253</v>
      </c>
      <c r="AE765" s="248">
        <v>0.86</v>
      </c>
      <c r="AF765" s="248"/>
    </row>
    <row r="766" spans="3:32" x14ac:dyDescent="0.3">
      <c r="D766" s="514"/>
      <c r="E766" s="514"/>
      <c r="H766" s="544"/>
      <c r="I766" s="514"/>
      <c r="J766" s="248"/>
      <c r="K766" s="248"/>
      <c r="L766" s="514"/>
      <c r="M766" s="248"/>
      <c r="N766" s="528" t="s">
        <v>1319</v>
      </c>
      <c r="O766" s="248"/>
      <c r="P766" s="248"/>
      <c r="Q766" s="248"/>
      <c r="R766" s="248">
        <v>1</v>
      </c>
      <c r="S766" s="248">
        <v>0.86</v>
      </c>
      <c r="T766" s="248"/>
      <c r="U766" s="248"/>
      <c r="V766" s="503"/>
      <c r="W766" s="503"/>
      <c r="X766" s="503"/>
      <c r="Y766" s="503"/>
      <c r="Z766" s="503"/>
      <c r="AA766" s="503"/>
      <c r="AC766" s="248"/>
      <c r="AD766" s="528"/>
      <c r="AE766" s="248"/>
      <c r="AF766" s="248"/>
    </row>
    <row r="767" spans="3:32" x14ac:dyDescent="0.3">
      <c r="C767" s="528" t="s">
        <v>1236</v>
      </c>
      <c r="D767" s="514" t="s">
        <v>1276</v>
      </c>
      <c r="E767" s="514" t="s">
        <v>1270</v>
      </c>
      <c r="H767" s="544" t="s">
        <v>1303</v>
      </c>
      <c r="I767" s="514" t="s">
        <v>488</v>
      </c>
      <c r="J767" s="248" t="s">
        <v>239</v>
      </c>
      <c r="K767" s="248" t="s">
        <v>240</v>
      </c>
      <c r="L767" s="514" t="s">
        <v>1256</v>
      </c>
      <c r="M767" s="248"/>
      <c r="N767" s="528" t="s">
        <v>1180</v>
      </c>
      <c r="O767" s="248"/>
      <c r="P767" s="248">
        <v>2019</v>
      </c>
      <c r="Q767" s="248">
        <v>2050</v>
      </c>
      <c r="R767" s="248">
        <v>1</v>
      </c>
      <c r="S767" s="248">
        <v>0.88</v>
      </c>
      <c r="T767" s="248">
        <v>0.88</v>
      </c>
      <c r="U767" s="248">
        <v>0.5</v>
      </c>
      <c r="V767" s="503">
        <v>16.04</v>
      </c>
      <c r="W767" s="503">
        <v>0</v>
      </c>
      <c r="X767" s="503">
        <v>320</v>
      </c>
      <c r="Y767" s="503">
        <v>20</v>
      </c>
      <c r="Z767" s="503"/>
      <c r="AA767" s="503">
        <v>31.536000000000001</v>
      </c>
      <c r="AC767" s="248">
        <v>25</v>
      </c>
      <c r="AD767" s="528" t="s">
        <v>1253</v>
      </c>
      <c r="AE767" s="248">
        <v>0.88</v>
      </c>
      <c r="AF767" s="248"/>
    </row>
    <row r="768" spans="3:32" x14ac:dyDescent="0.3">
      <c r="D768" s="514"/>
      <c r="E768" s="514"/>
      <c r="H768" s="544"/>
      <c r="I768" s="514"/>
      <c r="J768" s="248"/>
      <c r="K768" s="248"/>
      <c r="L768" s="514"/>
      <c r="M768" s="248"/>
      <c r="N768" s="528" t="s">
        <v>1319</v>
      </c>
      <c r="O768" s="248"/>
      <c r="P768" s="248"/>
      <c r="Q768" s="248"/>
      <c r="R768" s="248">
        <v>1</v>
      </c>
      <c r="S768" s="248">
        <v>0.88</v>
      </c>
      <c r="T768" s="248"/>
      <c r="U768" s="248"/>
      <c r="V768" s="503"/>
      <c r="W768" s="503"/>
      <c r="X768" s="503"/>
      <c r="Y768" s="503"/>
      <c r="Z768" s="503"/>
      <c r="AA768" s="503"/>
      <c r="AC768" s="248"/>
      <c r="AD768" s="528"/>
      <c r="AE768" s="248"/>
      <c r="AF768" s="248"/>
    </row>
    <row r="769" spans="3:32" x14ac:dyDescent="0.3">
      <c r="C769" s="528" t="s">
        <v>1237</v>
      </c>
      <c r="D769" s="514" t="s">
        <v>1277</v>
      </c>
      <c r="E769" s="514" t="s">
        <v>1270</v>
      </c>
      <c r="H769" s="544" t="s">
        <v>1277</v>
      </c>
      <c r="I769" s="514" t="s">
        <v>184</v>
      </c>
      <c r="J769" s="248" t="s">
        <v>239</v>
      </c>
      <c r="K769" s="248" t="s">
        <v>240</v>
      </c>
      <c r="L769" s="514" t="s">
        <v>1256</v>
      </c>
      <c r="M769" s="248"/>
      <c r="N769" s="528" t="s">
        <v>1180</v>
      </c>
      <c r="O769" s="248"/>
      <c r="P769" s="248">
        <v>2019</v>
      </c>
      <c r="Q769" s="248">
        <v>2019</v>
      </c>
      <c r="R769" s="248">
        <v>1</v>
      </c>
      <c r="S769" s="248">
        <v>0.65</v>
      </c>
      <c r="T769" s="248">
        <v>0.65</v>
      </c>
      <c r="U769" s="248">
        <v>0.5</v>
      </c>
      <c r="V769" s="503">
        <v>25</v>
      </c>
      <c r="W769" s="503">
        <v>0</v>
      </c>
      <c r="X769" s="503">
        <v>683.33333333333337</v>
      </c>
      <c r="Y769" s="503">
        <v>20</v>
      </c>
      <c r="Z769" s="503"/>
      <c r="AA769" s="503">
        <v>31.536000000000001</v>
      </c>
      <c r="AC769" s="248">
        <v>6</v>
      </c>
      <c r="AD769" s="528"/>
      <c r="AE769" s="248">
        <v>0.65</v>
      </c>
      <c r="AF769" s="248"/>
    </row>
    <row r="770" spans="3:32" x14ac:dyDescent="0.3">
      <c r="C770" s="528" t="s">
        <v>1237</v>
      </c>
      <c r="D770" s="514" t="s">
        <v>1277</v>
      </c>
      <c r="E770" s="514" t="s">
        <v>1270</v>
      </c>
      <c r="H770" s="544" t="s">
        <v>1278</v>
      </c>
      <c r="I770" s="514" t="s">
        <v>184</v>
      </c>
      <c r="J770" s="248" t="s">
        <v>239</v>
      </c>
      <c r="K770" s="248" t="s">
        <v>240</v>
      </c>
      <c r="L770" s="514" t="s">
        <v>1256</v>
      </c>
      <c r="M770" s="248"/>
      <c r="N770" s="528" t="s">
        <v>1180</v>
      </c>
      <c r="O770" s="248"/>
      <c r="P770" s="248">
        <v>2019</v>
      </c>
      <c r="Q770" s="248">
        <v>2020</v>
      </c>
      <c r="R770" s="248">
        <v>1</v>
      </c>
      <c r="S770" s="248">
        <v>0.7</v>
      </c>
      <c r="T770" s="248">
        <v>0.7</v>
      </c>
      <c r="U770" s="248">
        <v>0.5</v>
      </c>
      <c r="V770" s="503">
        <v>29</v>
      </c>
      <c r="W770" s="503">
        <v>0</v>
      </c>
      <c r="X770" s="503">
        <v>820</v>
      </c>
      <c r="Y770" s="503">
        <v>20</v>
      </c>
      <c r="Z770" s="503"/>
      <c r="AA770" s="503">
        <v>31.536000000000001</v>
      </c>
      <c r="AC770" s="248">
        <v>5</v>
      </c>
      <c r="AD770" s="528"/>
      <c r="AE770" s="248">
        <v>0.7</v>
      </c>
      <c r="AF770" s="248"/>
    </row>
    <row r="771" spans="3:32" x14ac:dyDescent="0.3">
      <c r="C771" s="528" t="s">
        <v>1237</v>
      </c>
      <c r="D771" s="514" t="s">
        <v>1277</v>
      </c>
      <c r="E771" s="514" t="s">
        <v>1270</v>
      </c>
      <c r="H771" s="544" t="s">
        <v>1304</v>
      </c>
      <c r="I771" s="514" t="s">
        <v>184</v>
      </c>
      <c r="J771" s="248" t="s">
        <v>239</v>
      </c>
      <c r="K771" s="248" t="s">
        <v>240</v>
      </c>
      <c r="L771" s="514" t="s">
        <v>1256</v>
      </c>
      <c r="M771" s="248"/>
      <c r="N771" s="528" t="s">
        <v>1180</v>
      </c>
      <c r="O771" s="248"/>
      <c r="P771" s="248">
        <v>2019</v>
      </c>
      <c r="Q771" s="248">
        <v>2030</v>
      </c>
      <c r="R771" s="248">
        <v>1</v>
      </c>
      <c r="S771" s="248">
        <v>0.75</v>
      </c>
      <c r="T771" s="248">
        <v>0.75</v>
      </c>
      <c r="U771" s="248">
        <v>0.5</v>
      </c>
      <c r="V771" s="503">
        <v>50</v>
      </c>
      <c r="W771" s="503">
        <v>0</v>
      </c>
      <c r="X771" s="503">
        <v>1250</v>
      </c>
      <c r="Y771" s="503">
        <v>20</v>
      </c>
      <c r="Z771" s="503"/>
      <c r="AA771" s="503">
        <v>31.536000000000001</v>
      </c>
      <c r="AC771" s="248">
        <v>4</v>
      </c>
      <c r="AD771" s="528"/>
      <c r="AE771" s="248">
        <v>0.75</v>
      </c>
      <c r="AF771" s="248"/>
    </row>
    <row r="772" spans="3:32" x14ac:dyDescent="0.3">
      <c r="C772" s="528" t="s">
        <v>1237</v>
      </c>
      <c r="D772" s="514" t="s">
        <v>1277</v>
      </c>
      <c r="E772" s="514" t="s">
        <v>1270</v>
      </c>
      <c r="H772" s="544" t="s">
        <v>1305</v>
      </c>
      <c r="I772" s="514" t="s">
        <v>184</v>
      </c>
      <c r="J772" s="248" t="s">
        <v>239</v>
      </c>
      <c r="K772" s="248" t="s">
        <v>240</v>
      </c>
      <c r="L772" s="514" t="s">
        <v>1256</v>
      </c>
      <c r="M772" s="248"/>
      <c r="N772" s="528" t="s">
        <v>1180</v>
      </c>
      <c r="O772" s="248"/>
      <c r="P772" s="248">
        <v>2019</v>
      </c>
      <c r="Q772" s="248">
        <v>2050</v>
      </c>
      <c r="R772" s="248">
        <v>1</v>
      </c>
      <c r="S772" s="248">
        <v>0.75</v>
      </c>
      <c r="T772" s="248">
        <v>0.75</v>
      </c>
      <c r="U772" s="248">
        <v>0.5</v>
      </c>
      <c r="V772" s="503">
        <v>47.5</v>
      </c>
      <c r="W772" s="503">
        <v>0</v>
      </c>
      <c r="X772" s="503">
        <v>1000</v>
      </c>
      <c r="Y772" s="503">
        <v>20</v>
      </c>
      <c r="Z772" s="503"/>
      <c r="AA772" s="503">
        <v>31.536000000000001</v>
      </c>
      <c r="AC772" s="248">
        <v>4</v>
      </c>
      <c r="AD772" s="528"/>
      <c r="AE772" s="248">
        <v>0.75</v>
      </c>
      <c r="AF772" s="248"/>
    </row>
    <row r="773" spans="3:32" x14ac:dyDescent="0.3">
      <c r="C773" s="528" t="s">
        <v>1238</v>
      </c>
      <c r="D773" s="514" t="s">
        <v>1278</v>
      </c>
      <c r="E773" s="514" t="s">
        <v>1270</v>
      </c>
      <c r="H773" s="544" t="s">
        <v>1306</v>
      </c>
      <c r="I773" s="514" t="s">
        <v>184</v>
      </c>
      <c r="J773" s="248" t="s">
        <v>239</v>
      </c>
      <c r="K773" s="248" t="s">
        <v>240</v>
      </c>
      <c r="L773" s="514" t="s">
        <v>1256</v>
      </c>
      <c r="M773" s="248"/>
      <c r="N773" s="528" t="s">
        <v>1180</v>
      </c>
      <c r="O773" s="248"/>
      <c r="P773" s="248">
        <v>2019</v>
      </c>
      <c r="Q773" s="248">
        <v>2019</v>
      </c>
      <c r="R773" s="248">
        <v>1</v>
      </c>
      <c r="S773" s="248">
        <v>0.65</v>
      </c>
      <c r="T773" s="248">
        <v>0.65</v>
      </c>
      <c r="U773" s="248">
        <v>0.5</v>
      </c>
      <c r="V773" s="503">
        <v>13.963333333333333</v>
      </c>
      <c r="W773" s="503">
        <v>0</v>
      </c>
      <c r="X773" s="503">
        <v>373.33333333333331</v>
      </c>
      <c r="Y773" s="503">
        <v>20</v>
      </c>
      <c r="Z773" s="503"/>
      <c r="AA773" s="503">
        <v>31.536000000000001</v>
      </c>
      <c r="AC773" s="248">
        <v>15</v>
      </c>
      <c r="AD773" s="528" t="s">
        <v>1253</v>
      </c>
      <c r="AE773" s="248">
        <v>0.65</v>
      </c>
      <c r="AF773" s="248"/>
    </row>
    <row r="774" spans="3:32" x14ac:dyDescent="0.3">
      <c r="D774" s="514"/>
      <c r="E774" s="514"/>
      <c r="H774" s="544"/>
      <c r="I774" s="514"/>
      <c r="J774" s="248"/>
      <c r="K774" s="248"/>
      <c r="L774" s="514"/>
      <c r="M774" s="248"/>
      <c r="N774" s="528" t="s">
        <v>1319</v>
      </c>
      <c r="O774" s="248"/>
      <c r="P774" s="248"/>
      <c r="Q774" s="248"/>
      <c r="R774" s="248">
        <v>1</v>
      </c>
      <c r="S774" s="248">
        <v>0.65</v>
      </c>
      <c r="T774" s="248"/>
      <c r="U774" s="248"/>
      <c r="V774" s="503"/>
      <c r="W774" s="503"/>
      <c r="X774" s="503"/>
      <c r="Y774" s="503"/>
      <c r="Z774" s="503"/>
      <c r="AA774" s="503"/>
      <c r="AC774" s="248"/>
      <c r="AD774" s="528"/>
      <c r="AE774" s="248"/>
      <c r="AF774" s="248"/>
    </row>
    <row r="775" spans="3:32" x14ac:dyDescent="0.3">
      <c r="C775" s="528" t="s">
        <v>1238</v>
      </c>
      <c r="D775" s="514" t="s">
        <v>1278</v>
      </c>
      <c r="E775" s="514" t="s">
        <v>1270</v>
      </c>
      <c r="H775" s="544" t="s">
        <v>1307</v>
      </c>
      <c r="I775" s="514" t="s">
        <v>184</v>
      </c>
      <c r="J775" s="248" t="s">
        <v>239</v>
      </c>
      <c r="K775" s="248" t="s">
        <v>240</v>
      </c>
      <c r="L775" s="514" t="s">
        <v>1256</v>
      </c>
      <c r="M775" s="248"/>
      <c r="N775" s="528" t="s">
        <v>1180</v>
      </c>
      <c r="O775" s="248"/>
      <c r="P775" s="248">
        <v>2019</v>
      </c>
      <c r="Q775" s="248">
        <v>2020</v>
      </c>
      <c r="R775" s="248">
        <v>1</v>
      </c>
      <c r="S775" s="248">
        <v>0.7</v>
      </c>
      <c r="T775" s="248">
        <v>0.7</v>
      </c>
      <c r="U775" s="248">
        <v>0.5</v>
      </c>
      <c r="V775" s="503">
        <v>17.083333333333332</v>
      </c>
      <c r="W775" s="503">
        <v>0</v>
      </c>
      <c r="X775" s="503">
        <v>466.66666666666669</v>
      </c>
      <c r="Y775" s="503">
        <v>20</v>
      </c>
      <c r="Z775" s="503"/>
      <c r="AA775" s="503">
        <v>31.536000000000001</v>
      </c>
      <c r="AC775" s="248">
        <v>12</v>
      </c>
      <c r="AD775" s="528" t="s">
        <v>1253</v>
      </c>
      <c r="AE775" s="248">
        <v>0.7</v>
      </c>
      <c r="AF775" s="248"/>
    </row>
    <row r="776" spans="3:32" x14ac:dyDescent="0.3">
      <c r="D776" s="514"/>
      <c r="E776" s="514"/>
      <c r="H776" s="544"/>
      <c r="I776" s="514"/>
      <c r="J776" s="248"/>
      <c r="K776" s="248"/>
      <c r="L776" s="514"/>
      <c r="M776" s="248"/>
      <c r="N776" s="528" t="s">
        <v>1319</v>
      </c>
      <c r="O776" s="248"/>
      <c r="P776" s="248"/>
      <c r="Q776" s="248"/>
      <c r="R776" s="248">
        <v>1</v>
      </c>
      <c r="S776" s="248">
        <v>0.7</v>
      </c>
      <c r="T776" s="248"/>
      <c r="U776" s="248"/>
      <c r="V776" s="503"/>
      <c r="W776" s="503"/>
      <c r="X776" s="503"/>
      <c r="Y776" s="503"/>
      <c r="Z776" s="503"/>
      <c r="AA776" s="503"/>
      <c r="AC776" s="248"/>
      <c r="AD776" s="528"/>
      <c r="AE776" s="248"/>
      <c r="AF776" s="248"/>
    </row>
    <row r="777" spans="3:32" x14ac:dyDescent="0.3">
      <c r="C777" s="528" t="s">
        <v>1238</v>
      </c>
      <c r="D777" s="514" t="s">
        <v>1278</v>
      </c>
      <c r="E777" s="514" t="s">
        <v>1270</v>
      </c>
      <c r="H777" s="544" t="s">
        <v>1308</v>
      </c>
      <c r="I777" s="514" t="s">
        <v>184</v>
      </c>
      <c r="J777" s="248" t="s">
        <v>239</v>
      </c>
      <c r="K777" s="248" t="s">
        <v>240</v>
      </c>
      <c r="L777" s="514" t="s">
        <v>1256</v>
      </c>
      <c r="M777" s="248"/>
      <c r="N777" s="528" t="s">
        <v>1180</v>
      </c>
      <c r="O777" s="248"/>
      <c r="P777" s="248">
        <v>2019</v>
      </c>
      <c r="Q777" s="248">
        <v>2030</v>
      </c>
      <c r="R777" s="248">
        <v>1</v>
      </c>
      <c r="S777" s="248">
        <v>0.75</v>
      </c>
      <c r="T777" s="248">
        <v>0.75</v>
      </c>
      <c r="U777" s="248">
        <v>0.5</v>
      </c>
      <c r="V777" s="503">
        <v>26.3</v>
      </c>
      <c r="W777" s="503">
        <v>0</v>
      </c>
      <c r="X777" s="503">
        <v>560</v>
      </c>
      <c r="Y777" s="503">
        <v>20</v>
      </c>
      <c r="Z777" s="503"/>
      <c r="AA777" s="503">
        <v>31.536000000000001</v>
      </c>
      <c r="AC777" s="248">
        <v>10</v>
      </c>
      <c r="AD777" s="528" t="s">
        <v>1253</v>
      </c>
      <c r="AE777" s="248">
        <v>0.75</v>
      </c>
      <c r="AF777" s="248"/>
    </row>
    <row r="778" spans="3:32" x14ac:dyDescent="0.3">
      <c r="D778" s="514"/>
      <c r="E778" s="514"/>
      <c r="H778" s="544"/>
      <c r="I778" s="514"/>
      <c r="J778" s="248"/>
      <c r="K778" s="248"/>
      <c r="L778" s="514"/>
      <c r="M778" s="248"/>
      <c r="N778" s="528" t="s">
        <v>1319</v>
      </c>
      <c r="O778" s="248"/>
      <c r="P778" s="248"/>
      <c r="Q778" s="248"/>
      <c r="R778" s="248">
        <v>1</v>
      </c>
      <c r="S778" s="248">
        <v>0.75</v>
      </c>
      <c r="T778" s="248"/>
      <c r="U778" s="248"/>
      <c r="V778" s="503"/>
      <c r="W778" s="503"/>
      <c r="X778" s="503"/>
      <c r="Y778" s="503"/>
      <c r="Z778" s="503"/>
      <c r="AA778" s="503"/>
      <c r="AC778" s="248"/>
      <c r="AD778" s="528"/>
      <c r="AE778" s="248"/>
      <c r="AF778" s="248"/>
    </row>
    <row r="779" spans="3:32" x14ac:dyDescent="0.3">
      <c r="C779" s="528" t="s">
        <v>1238</v>
      </c>
      <c r="D779" s="514" t="s">
        <v>1278</v>
      </c>
      <c r="E779" s="514" t="s">
        <v>1270</v>
      </c>
      <c r="H779" s="544" t="s">
        <v>1309</v>
      </c>
      <c r="I779" s="514" t="s">
        <v>184</v>
      </c>
      <c r="J779" s="248" t="s">
        <v>239</v>
      </c>
      <c r="K779" s="248" t="s">
        <v>240</v>
      </c>
      <c r="L779" s="514" t="s">
        <v>1256</v>
      </c>
      <c r="M779" s="248"/>
      <c r="N779" s="528" t="s">
        <v>1180</v>
      </c>
      <c r="O779" s="248"/>
      <c r="P779" s="248">
        <v>2019</v>
      </c>
      <c r="Q779" s="248">
        <v>2050</v>
      </c>
      <c r="R779" s="248">
        <v>1</v>
      </c>
      <c r="S779" s="248">
        <v>0.75</v>
      </c>
      <c r="T779" s="248">
        <v>0.75</v>
      </c>
      <c r="U779" s="248">
        <v>0.5</v>
      </c>
      <c r="V779" s="503">
        <v>25.3</v>
      </c>
      <c r="W779" s="503">
        <v>0</v>
      </c>
      <c r="X779" s="503">
        <v>560</v>
      </c>
      <c r="Y779" s="503">
        <v>20</v>
      </c>
      <c r="Z779" s="503"/>
      <c r="AA779" s="503">
        <v>31.536000000000001</v>
      </c>
      <c r="AC779" s="248">
        <v>10</v>
      </c>
      <c r="AD779" s="528" t="s">
        <v>1253</v>
      </c>
      <c r="AE779" s="248">
        <v>0.75</v>
      </c>
      <c r="AF779" s="248"/>
    </row>
    <row r="780" spans="3:32" x14ac:dyDescent="0.3">
      <c r="D780" s="514"/>
      <c r="E780" s="514"/>
      <c r="H780" s="544"/>
      <c r="I780" s="514"/>
      <c r="J780" s="248"/>
      <c r="K780" s="248"/>
      <c r="L780" s="514"/>
      <c r="M780" s="248"/>
      <c r="N780" s="528" t="s">
        <v>1319</v>
      </c>
      <c r="O780" s="248"/>
      <c r="P780" s="248"/>
      <c r="Q780" s="248"/>
      <c r="R780" s="248">
        <v>1</v>
      </c>
      <c r="S780" s="248">
        <v>0.75</v>
      </c>
      <c r="T780" s="248"/>
      <c r="U780" s="248"/>
      <c r="V780" s="503"/>
      <c r="W780" s="503"/>
      <c r="X780" s="503"/>
      <c r="Y780" s="503"/>
      <c r="Z780" s="503"/>
      <c r="AA780" s="503"/>
      <c r="AC780" s="248"/>
      <c r="AD780" s="528"/>
      <c r="AE780" s="248"/>
      <c r="AF780" s="248"/>
    </row>
    <row r="781" spans="3:32" x14ac:dyDescent="0.3">
      <c r="C781" s="528" t="s">
        <v>521</v>
      </c>
      <c r="D781" s="514" t="s">
        <v>1279</v>
      </c>
      <c r="E781" s="514" t="s">
        <v>1270</v>
      </c>
      <c r="H781" s="544" t="s">
        <v>1279</v>
      </c>
      <c r="I781" s="514" t="s">
        <v>217</v>
      </c>
      <c r="J781" s="248" t="s">
        <v>239</v>
      </c>
      <c r="K781" s="248" t="s">
        <v>240</v>
      </c>
      <c r="L781" s="514" t="s">
        <v>1257</v>
      </c>
      <c r="M781" s="248"/>
      <c r="N781" s="528" t="s">
        <v>1180</v>
      </c>
      <c r="O781" s="248"/>
      <c r="P781" s="248">
        <v>2019</v>
      </c>
      <c r="Q781" s="248">
        <v>2019</v>
      </c>
      <c r="R781" s="248">
        <v>1</v>
      </c>
      <c r="S781" s="248">
        <v>0.65</v>
      </c>
      <c r="T781" s="248">
        <v>0.65</v>
      </c>
      <c r="U781" s="248">
        <v>1</v>
      </c>
      <c r="V781" s="503">
        <v>16.535714285714285</v>
      </c>
      <c r="W781" s="503">
        <v>0</v>
      </c>
      <c r="X781" s="503">
        <v>958.77277085330763</v>
      </c>
      <c r="Y781" s="503">
        <v>20</v>
      </c>
      <c r="Z781" s="503"/>
      <c r="AA781" s="503">
        <v>31.536000000000001</v>
      </c>
      <c r="AC781" s="248">
        <v>4.2</v>
      </c>
      <c r="AD781" s="528" t="s">
        <v>1253</v>
      </c>
      <c r="AE781" s="248">
        <v>0.65</v>
      </c>
      <c r="AF781" s="248"/>
    </row>
    <row r="782" spans="3:32" x14ac:dyDescent="0.3">
      <c r="D782" s="514"/>
      <c r="E782" s="514"/>
      <c r="H782" s="544"/>
      <c r="I782" s="514"/>
      <c r="J782" s="248"/>
      <c r="K782" s="248"/>
      <c r="L782" s="514"/>
      <c r="M782" s="248"/>
      <c r="N782" s="528" t="s">
        <v>1319</v>
      </c>
      <c r="O782" s="248"/>
      <c r="P782" s="248"/>
      <c r="Q782" s="248"/>
      <c r="R782" s="248">
        <v>1</v>
      </c>
      <c r="S782" s="248">
        <v>0.65</v>
      </c>
      <c r="T782" s="248"/>
      <c r="U782" s="248"/>
      <c r="V782" s="503"/>
      <c r="W782" s="503"/>
      <c r="X782" s="503"/>
      <c r="Y782" s="503"/>
      <c r="Z782" s="503"/>
      <c r="AA782" s="503"/>
      <c r="AC782" s="248"/>
      <c r="AD782" s="528"/>
      <c r="AE782" s="248"/>
      <c r="AF782" s="248"/>
    </row>
    <row r="783" spans="3:32" x14ac:dyDescent="0.3">
      <c r="C783" s="528" t="s">
        <v>521</v>
      </c>
      <c r="D783" s="514" t="s">
        <v>1279</v>
      </c>
      <c r="E783" s="514" t="s">
        <v>1270</v>
      </c>
      <c r="H783" s="544" t="s">
        <v>1280</v>
      </c>
      <c r="I783" s="514" t="s">
        <v>217</v>
      </c>
      <c r="J783" s="248" t="s">
        <v>239</v>
      </c>
      <c r="K783" s="248" t="s">
        <v>240</v>
      </c>
      <c r="L783" s="514" t="s">
        <v>1257</v>
      </c>
      <c r="M783" s="248"/>
      <c r="N783" s="528" t="s">
        <v>1180</v>
      </c>
      <c r="O783" s="248"/>
      <c r="P783" s="248">
        <v>2019</v>
      </c>
      <c r="Q783" s="248">
        <v>2020</v>
      </c>
      <c r="R783" s="248">
        <v>1</v>
      </c>
      <c r="S783" s="248">
        <v>0.65</v>
      </c>
      <c r="T783" s="248">
        <v>0.65</v>
      </c>
      <c r="U783" s="248">
        <v>0.5</v>
      </c>
      <c r="V783" s="503">
        <v>16.19047619047619</v>
      </c>
      <c r="W783" s="503">
        <v>0</v>
      </c>
      <c r="X783" s="503">
        <v>958.77277085330763</v>
      </c>
      <c r="Y783" s="503">
        <v>25</v>
      </c>
      <c r="Z783" s="503"/>
      <c r="AA783" s="503">
        <v>31.536000000000001</v>
      </c>
      <c r="AC783" s="248">
        <v>4.2</v>
      </c>
      <c r="AD783" s="528" t="s">
        <v>1253</v>
      </c>
      <c r="AE783" s="248">
        <v>0.65</v>
      </c>
      <c r="AF783" s="248"/>
    </row>
    <row r="784" spans="3:32" x14ac:dyDescent="0.3">
      <c r="D784" s="514"/>
      <c r="E784" s="514"/>
      <c r="H784" s="544"/>
      <c r="I784" s="514"/>
      <c r="J784" s="248"/>
      <c r="K784" s="248"/>
      <c r="L784" s="514"/>
      <c r="M784" s="248"/>
      <c r="N784" s="528" t="s">
        <v>1319</v>
      </c>
      <c r="O784" s="248"/>
      <c r="P784" s="248"/>
      <c r="Q784" s="248"/>
      <c r="R784" s="248">
        <v>1</v>
      </c>
      <c r="S784" s="248">
        <v>0.65</v>
      </c>
      <c r="T784" s="248"/>
      <c r="U784" s="248"/>
      <c r="V784" s="503"/>
      <c r="W784" s="503"/>
      <c r="X784" s="503"/>
      <c r="Y784" s="503"/>
      <c r="Z784" s="503"/>
      <c r="AA784" s="503"/>
      <c r="AC784" s="248"/>
      <c r="AD784" s="528"/>
      <c r="AE784" s="248"/>
      <c r="AF784" s="248"/>
    </row>
    <row r="785" spans="3:32" x14ac:dyDescent="0.3">
      <c r="C785" s="528" t="s">
        <v>521</v>
      </c>
      <c r="D785" s="514" t="s">
        <v>1279</v>
      </c>
      <c r="E785" s="514" t="s">
        <v>1270</v>
      </c>
      <c r="H785" s="544" t="s">
        <v>1281</v>
      </c>
      <c r="I785" s="514" t="s">
        <v>217</v>
      </c>
      <c r="J785" s="248" t="s">
        <v>239</v>
      </c>
      <c r="K785" s="248" t="s">
        <v>240</v>
      </c>
      <c r="L785" s="514" t="s">
        <v>1257</v>
      </c>
      <c r="M785" s="248"/>
      <c r="N785" s="528" t="s">
        <v>1180</v>
      </c>
      <c r="O785" s="248"/>
      <c r="P785" s="248">
        <v>2019</v>
      </c>
      <c r="Q785" s="248">
        <v>2030</v>
      </c>
      <c r="R785" s="248">
        <v>1</v>
      </c>
      <c r="S785" s="248">
        <v>0.65</v>
      </c>
      <c r="T785" s="248">
        <v>0.65</v>
      </c>
      <c r="U785" s="248">
        <v>0.5</v>
      </c>
      <c r="V785" s="503">
        <v>16.535714285714285</v>
      </c>
      <c r="W785" s="503">
        <v>0</v>
      </c>
      <c r="X785" s="503">
        <v>714.28571428571422</v>
      </c>
      <c r="Y785" s="503">
        <v>30</v>
      </c>
      <c r="Z785" s="503"/>
      <c r="AA785" s="503">
        <v>31.536000000000001</v>
      </c>
      <c r="AC785" s="248">
        <v>4.2</v>
      </c>
      <c r="AD785" s="528" t="s">
        <v>1253</v>
      </c>
      <c r="AE785" s="248">
        <v>0.65</v>
      </c>
      <c r="AF785" s="248"/>
    </row>
    <row r="786" spans="3:32" x14ac:dyDescent="0.3">
      <c r="D786" s="514"/>
      <c r="E786" s="514"/>
      <c r="H786" s="544"/>
      <c r="I786" s="514"/>
      <c r="J786" s="248"/>
      <c r="K786" s="248"/>
      <c r="L786" s="514"/>
      <c r="M786" s="248"/>
      <c r="N786" s="528" t="s">
        <v>1319</v>
      </c>
      <c r="O786" s="248"/>
      <c r="P786" s="248"/>
      <c r="Q786" s="248"/>
      <c r="R786" s="248">
        <v>1</v>
      </c>
      <c r="S786" s="248">
        <v>0.65</v>
      </c>
      <c r="T786" s="248"/>
      <c r="U786" s="248"/>
      <c r="V786" s="503"/>
      <c r="W786" s="503"/>
      <c r="X786" s="503"/>
      <c r="Y786" s="503"/>
      <c r="Z786" s="503"/>
      <c r="AA786" s="503"/>
      <c r="AC786" s="248"/>
      <c r="AD786" s="528"/>
      <c r="AE786" s="248"/>
      <c r="AF786" s="248"/>
    </row>
    <row r="787" spans="3:32" x14ac:dyDescent="0.3">
      <c r="C787" s="528" t="s">
        <v>521</v>
      </c>
      <c r="D787" s="514" t="s">
        <v>1279</v>
      </c>
      <c r="E787" s="514" t="s">
        <v>1270</v>
      </c>
      <c r="H787" s="544" t="s">
        <v>1310</v>
      </c>
      <c r="I787" s="514" t="s">
        <v>217</v>
      </c>
      <c r="J787" s="248" t="s">
        <v>239</v>
      </c>
      <c r="K787" s="248" t="s">
        <v>240</v>
      </c>
      <c r="L787" s="514" t="s">
        <v>1257</v>
      </c>
      <c r="M787" s="248"/>
      <c r="N787" s="528" t="s">
        <v>1180</v>
      </c>
      <c r="O787" s="248"/>
      <c r="P787" s="248">
        <v>2019</v>
      </c>
      <c r="Q787" s="248">
        <v>2050</v>
      </c>
      <c r="R787" s="248">
        <v>1</v>
      </c>
      <c r="S787" s="248">
        <v>0.65</v>
      </c>
      <c r="T787" s="248">
        <v>0.65</v>
      </c>
      <c r="U787" s="248">
        <v>0.5</v>
      </c>
      <c r="V787" s="503">
        <v>15</v>
      </c>
      <c r="W787" s="503">
        <v>0</v>
      </c>
      <c r="X787" s="503">
        <v>714.28571428571422</v>
      </c>
      <c r="Y787" s="503">
        <v>30</v>
      </c>
      <c r="Z787" s="503"/>
      <c r="AA787" s="503">
        <v>31.536000000000001</v>
      </c>
      <c r="AC787" s="248">
        <v>4.2</v>
      </c>
      <c r="AD787" s="528" t="s">
        <v>1253</v>
      </c>
      <c r="AE787" s="248">
        <v>0.65</v>
      </c>
      <c r="AF787" s="248"/>
    </row>
    <row r="788" spans="3:32" x14ac:dyDescent="0.3">
      <c r="D788" s="514"/>
      <c r="E788" s="514"/>
      <c r="H788" s="544"/>
      <c r="I788" s="514"/>
      <c r="J788" s="248"/>
      <c r="K788" s="248"/>
      <c r="L788" s="514"/>
      <c r="M788" s="248"/>
      <c r="N788" s="528" t="s">
        <v>1319</v>
      </c>
      <c r="O788" s="248"/>
      <c r="P788" s="248"/>
      <c r="Q788" s="248"/>
      <c r="R788" s="248">
        <v>1</v>
      </c>
      <c r="S788" s="248">
        <v>0.65</v>
      </c>
      <c r="T788" s="248"/>
      <c r="U788" s="248"/>
      <c r="V788" s="503"/>
      <c r="W788" s="503"/>
      <c r="X788" s="503"/>
      <c r="Y788" s="503"/>
      <c r="Z788" s="503"/>
      <c r="AA788" s="503"/>
      <c r="AC788" s="248"/>
      <c r="AD788" s="528"/>
      <c r="AE788" s="248"/>
      <c r="AF788" s="248"/>
    </row>
    <row r="789" spans="3:32" x14ac:dyDescent="0.3">
      <c r="C789" s="528" t="s">
        <v>522</v>
      </c>
      <c r="D789" s="514" t="s">
        <v>1280</v>
      </c>
      <c r="E789" s="514" t="s">
        <v>1270</v>
      </c>
      <c r="H789" s="544" t="s">
        <v>1311</v>
      </c>
      <c r="I789" s="514" t="s">
        <v>217</v>
      </c>
      <c r="J789" s="248" t="s">
        <v>239</v>
      </c>
      <c r="K789" s="248" t="s">
        <v>240</v>
      </c>
      <c r="L789" s="514" t="s">
        <v>1257</v>
      </c>
      <c r="M789" s="248"/>
      <c r="N789" s="528" t="s">
        <v>1180</v>
      </c>
      <c r="O789" s="248"/>
      <c r="P789" s="248">
        <v>2019</v>
      </c>
      <c r="Q789" s="248">
        <v>2019</v>
      </c>
      <c r="R789" s="248">
        <v>1</v>
      </c>
      <c r="S789" s="248">
        <v>0.65</v>
      </c>
      <c r="T789" s="248">
        <v>0.65</v>
      </c>
      <c r="U789" s="248">
        <v>0.5</v>
      </c>
      <c r="V789" s="503">
        <v>16.535714285714285</v>
      </c>
      <c r="W789" s="503">
        <v>0</v>
      </c>
      <c r="X789" s="503">
        <v>798.97730904442312</v>
      </c>
      <c r="Y789" s="503">
        <v>20</v>
      </c>
      <c r="Z789" s="503"/>
      <c r="AA789" s="503">
        <v>31.536000000000001</v>
      </c>
      <c r="AC789" s="248">
        <v>4.2</v>
      </c>
      <c r="AD789" s="528" t="s">
        <v>1253</v>
      </c>
      <c r="AE789" s="248">
        <v>0.65</v>
      </c>
      <c r="AF789" s="248"/>
    </row>
    <row r="790" spans="3:32" x14ac:dyDescent="0.3">
      <c r="D790" s="514"/>
      <c r="E790" s="514"/>
      <c r="H790" s="544"/>
      <c r="I790" s="514"/>
      <c r="J790" s="248"/>
      <c r="K790" s="248"/>
      <c r="L790" s="514"/>
      <c r="M790" s="248"/>
      <c r="N790" s="528" t="s">
        <v>1319</v>
      </c>
      <c r="O790" s="248"/>
      <c r="P790" s="248"/>
      <c r="Q790" s="248"/>
      <c r="R790" s="248">
        <v>1</v>
      </c>
      <c r="S790" s="248">
        <v>0.65</v>
      </c>
      <c r="T790" s="248"/>
      <c r="U790" s="248"/>
      <c r="V790" s="503"/>
      <c r="W790" s="503"/>
      <c r="X790" s="503"/>
      <c r="Y790" s="503"/>
      <c r="Z790" s="503"/>
      <c r="AA790" s="503"/>
      <c r="AC790" s="248"/>
      <c r="AD790" s="528"/>
      <c r="AE790" s="248"/>
      <c r="AF790" s="248"/>
    </row>
    <row r="791" spans="3:32" x14ac:dyDescent="0.3">
      <c r="C791" s="528" t="s">
        <v>522</v>
      </c>
      <c r="D791" s="514" t="s">
        <v>1280</v>
      </c>
      <c r="E791" s="514" t="s">
        <v>1270</v>
      </c>
      <c r="H791" s="544" t="s">
        <v>1312</v>
      </c>
      <c r="I791" s="514" t="s">
        <v>217</v>
      </c>
      <c r="J791" s="248" t="s">
        <v>239</v>
      </c>
      <c r="K791" s="248" t="s">
        <v>240</v>
      </c>
      <c r="L791" s="514" t="s">
        <v>1257</v>
      </c>
      <c r="M791" s="248"/>
      <c r="N791" s="528" t="s">
        <v>1180</v>
      </c>
      <c r="O791" s="248"/>
      <c r="P791" s="248">
        <v>2019</v>
      </c>
      <c r="Q791" s="248">
        <v>2020</v>
      </c>
      <c r="R791" s="248">
        <v>1</v>
      </c>
      <c r="S791" s="248">
        <v>0.65</v>
      </c>
      <c r="T791" s="248">
        <v>0.65</v>
      </c>
      <c r="U791" s="248">
        <v>0.5</v>
      </c>
      <c r="V791" s="503">
        <v>16.19047619047619</v>
      </c>
      <c r="W791" s="503">
        <v>0</v>
      </c>
      <c r="X791" s="503">
        <v>798.97730904442312</v>
      </c>
      <c r="Y791" s="503">
        <v>25</v>
      </c>
      <c r="Z791" s="503"/>
      <c r="AA791" s="503">
        <v>31.536000000000001</v>
      </c>
      <c r="AC791" s="248">
        <v>4.2</v>
      </c>
      <c r="AD791" s="528" t="s">
        <v>1253</v>
      </c>
      <c r="AE791" s="248">
        <v>0.65</v>
      </c>
      <c r="AF791" s="248"/>
    </row>
    <row r="792" spans="3:32" x14ac:dyDescent="0.3">
      <c r="D792" s="514"/>
      <c r="E792" s="514"/>
      <c r="H792" s="544"/>
      <c r="I792" s="514"/>
      <c r="J792" s="248"/>
      <c r="K792" s="248"/>
      <c r="L792" s="514"/>
      <c r="M792" s="248"/>
      <c r="N792" s="528" t="s">
        <v>1319</v>
      </c>
      <c r="O792" s="248"/>
      <c r="P792" s="248"/>
      <c r="Q792" s="248"/>
      <c r="R792" s="248">
        <v>1</v>
      </c>
      <c r="S792" s="248">
        <v>0.65</v>
      </c>
      <c r="T792" s="248"/>
      <c r="U792" s="248"/>
      <c r="V792" s="503"/>
      <c r="W792" s="503"/>
      <c r="X792" s="503"/>
      <c r="Y792" s="503"/>
      <c r="Z792" s="503"/>
      <c r="AA792" s="503"/>
      <c r="AC792" s="248"/>
      <c r="AD792" s="528"/>
      <c r="AE792" s="248"/>
      <c r="AF792" s="248"/>
    </row>
    <row r="793" spans="3:32" x14ac:dyDescent="0.3">
      <c r="C793" s="528" t="s">
        <v>522</v>
      </c>
      <c r="D793" s="514" t="s">
        <v>1280</v>
      </c>
      <c r="E793" s="514" t="s">
        <v>1270</v>
      </c>
      <c r="H793" s="544" t="s">
        <v>1313</v>
      </c>
      <c r="I793" s="514" t="s">
        <v>217</v>
      </c>
      <c r="J793" s="248" t="s">
        <v>239</v>
      </c>
      <c r="K793" s="248" t="s">
        <v>240</v>
      </c>
      <c r="L793" s="514" t="s">
        <v>1257</v>
      </c>
      <c r="M793" s="248"/>
      <c r="N793" s="528" t="s">
        <v>1180</v>
      </c>
      <c r="O793" s="248"/>
      <c r="P793" s="248">
        <v>2019</v>
      </c>
      <c r="Q793" s="248">
        <v>2030</v>
      </c>
      <c r="R793" s="248">
        <v>1</v>
      </c>
      <c r="S793" s="248">
        <v>0.65</v>
      </c>
      <c r="T793" s="248">
        <v>0.65</v>
      </c>
      <c r="U793" s="248">
        <v>0.5</v>
      </c>
      <c r="V793" s="503">
        <v>16.535714285714285</v>
      </c>
      <c r="W793" s="503">
        <v>0</v>
      </c>
      <c r="X793" s="503">
        <v>798.97730904442312</v>
      </c>
      <c r="Y793" s="503">
        <v>30</v>
      </c>
      <c r="Z793" s="503"/>
      <c r="AA793" s="503">
        <v>31.536000000000001</v>
      </c>
      <c r="AC793" s="248">
        <v>4.2</v>
      </c>
      <c r="AD793" s="528" t="s">
        <v>1253</v>
      </c>
      <c r="AE793" s="248">
        <v>0.65</v>
      </c>
      <c r="AF793" s="248"/>
    </row>
    <row r="794" spans="3:32" x14ac:dyDescent="0.3">
      <c r="D794" s="514"/>
      <c r="E794" s="514"/>
      <c r="H794" s="544"/>
      <c r="I794" s="514"/>
      <c r="J794" s="248"/>
      <c r="K794" s="248"/>
      <c r="L794" s="514"/>
      <c r="M794" s="248"/>
      <c r="N794" s="528" t="s">
        <v>1319</v>
      </c>
      <c r="O794" s="248"/>
      <c r="P794" s="248"/>
      <c r="Q794" s="248"/>
      <c r="R794" s="248">
        <v>1</v>
      </c>
      <c r="S794" s="248">
        <v>0.65</v>
      </c>
      <c r="T794" s="248"/>
      <c r="U794" s="248"/>
      <c r="V794" s="503"/>
      <c r="W794" s="503"/>
      <c r="X794" s="503"/>
      <c r="Y794" s="503"/>
      <c r="Z794" s="503"/>
      <c r="AA794" s="503"/>
      <c r="AC794" s="248"/>
      <c r="AD794" s="528"/>
      <c r="AE794" s="248"/>
      <c r="AF794" s="248"/>
    </row>
    <row r="795" spans="3:32" x14ac:dyDescent="0.3">
      <c r="C795" s="528" t="s">
        <v>522</v>
      </c>
      <c r="D795" s="514" t="s">
        <v>1280</v>
      </c>
      <c r="E795" s="514" t="s">
        <v>1270</v>
      </c>
      <c r="H795" s="544" t="s">
        <v>1314</v>
      </c>
      <c r="I795" s="514" t="s">
        <v>217</v>
      </c>
      <c r="J795" s="248" t="s">
        <v>239</v>
      </c>
      <c r="K795" s="248" t="s">
        <v>240</v>
      </c>
      <c r="L795" s="514" t="s">
        <v>1257</v>
      </c>
      <c r="M795" s="248"/>
      <c r="N795" s="528" t="s">
        <v>1180</v>
      </c>
      <c r="O795" s="248"/>
      <c r="P795" s="248">
        <v>2019</v>
      </c>
      <c r="Q795" s="248">
        <v>2050</v>
      </c>
      <c r="R795" s="248">
        <v>1</v>
      </c>
      <c r="S795" s="248">
        <v>0.65</v>
      </c>
      <c r="T795" s="248">
        <v>0.65</v>
      </c>
      <c r="U795" s="248">
        <v>0.5</v>
      </c>
      <c r="V795" s="503">
        <v>15</v>
      </c>
      <c r="W795" s="503">
        <v>0</v>
      </c>
      <c r="X795" s="503">
        <v>476.19047619047615</v>
      </c>
      <c r="Y795" s="503">
        <v>30</v>
      </c>
      <c r="Z795" s="503"/>
      <c r="AA795" s="503">
        <v>31.536000000000001</v>
      </c>
      <c r="AC795" s="248">
        <v>4.2</v>
      </c>
      <c r="AD795" s="528" t="s">
        <v>1253</v>
      </c>
      <c r="AE795" s="248">
        <v>0.65</v>
      </c>
      <c r="AF795" s="248"/>
    </row>
    <row r="796" spans="3:32" x14ac:dyDescent="0.3">
      <c r="D796" s="514"/>
      <c r="E796" s="514"/>
      <c r="H796" s="544"/>
      <c r="I796" s="514"/>
      <c r="J796" s="248"/>
      <c r="K796" s="248"/>
      <c r="L796" s="514"/>
      <c r="M796" s="248"/>
      <c r="N796" s="528" t="s">
        <v>1319</v>
      </c>
      <c r="O796" s="248"/>
      <c r="P796" s="248"/>
      <c r="Q796" s="248"/>
      <c r="R796" s="248">
        <v>1</v>
      </c>
      <c r="S796" s="248">
        <v>0.65</v>
      </c>
      <c r="T796" s="248"/>
      <c r="U796" s="248"/>
      <c r="V796" s="503"/>
      <c r="W796" s="503"/>
      <c r="X796" s="503"/>
      <c r="Y796" s="503"/>
      <c r="Z796" s="503"/>
      <c r="AA796" s="503"/>
      <c r="AC796" s="248"/>
      <c r="AD796" s="528"/>
      <c r="AE796" s="248"/>
      <c r="AF796" s="248"/>
    </row>
    <row r="797" spans="3:32" x14ac:dyDescent="0.3">
      <c r="C797" s="528" t="s">
        <v>523</v>
      </c>
      <c r="D797" s="514" t="s">
        <v>1281</v>
      </c>
      <c r="E797" s="514" t="s">
        <v>1270</v>
      </c>
      <c r="H797" s="544" t="s">
        <v>1315</v>
      </c>
      <c r="I797" s="514" t="s">
        <v>217</v>
      </c>
      <c r="J797" s="248" t="s">
        <v>239</v>
      </c>
      <c r="K797" s="248" t="s">
        <v>240</v>
      </c>
      <c r="L797" s="514" t="s">
        <v>1257</v>
      </c>
      <c r="M797" s="248"/>
      <c r="N797" s="528" t="s">
        <v>1180</v>
      </c>
      <c r="O797" s="248"/>
      <c r="P797" s="248">
        <v>2019</v>
      </c>
      <c r="Q797" s="248">
        <v>2019</v>
      </c>
      <c r="R797" s="248">
        <v>1</v>
      </c>
      <c r="S797" s="248">
        <v>0.65</v>
      </c>
      <c r="T797" s="248">
        <v>0.65</v>
      </c>
      <c r="U797" s="248">
        <v>0.5</v>
      </c>
      <c r="V797" s="503">
        <v>16.535714285714285</v>
      </c>
      <c r="W797" s="503">
        <v>0</v>
      </c>
      <c r="X797" s="503">
        <v>639.1818472355385</v>
      </c>
      <c r="Y797" s="503">
        <v>20</v>
      </c>
      <c r="Z797" s="503"/>
      <c r="AA797" s="503">
        <v>31.536000000000001</v>
      </c>
      <c r="AC797" s="248">
        <v>4.2</v>
      </c>
      <c r="AD797" s="528" t="s">
        <v>1253</v>
      </c>
      <c r="AE797" s="248">
        <v>0.65</v>
      </c>
      <c r="AF797" s="248"/>
    </row>
    <row r="798" spans="3:32" x14ac:dyDescent="0.3">
      <c r="D798" s="514"/>
      <c r="E798" s="514"/>
      <c r="H798" s="544"/>
      <c r="I798" s="514"/>
      <c r="J798" s="248"/>
      <c r="K798" s="248"/>
      <c r="L798" s="514"/>
      <c r="M798" s="248"/>
      <c r="N798" s="528" t="s">
        <v>1319</v>
      </c>
      <c r="O798" s="248"/>
      <c r="P798" s="248"/>
      <c r="Q798" s="248"/>
      <c r="R798" s="248">
        <v>1</v>
      </c>
      <c r="S798" s="248">
        <v>0.65</v>
      </c>
      <c r="T798" s="248"/>
      <c r="U798" s="248"/>
      <c r="V798" s="503"/>
      <c r="W798" s="503"/>
      <c r="X798" s="503"/>
      <c r="Y798" s="503"/>
      <c r="Z798" s="503"/>
      <c r="AA798" s="503"/>
      <c r="AC798" s="248"/>
      <c r="AD798" s="528"/>
      <c r="AE798" s="248"/>
      <c r="AF798" s="248"/>
    </row>
    <row r="799" spans="3:32" x14ac:dyDescent="0.3">
      <c r="C799" s="528" t="s">
        <v>523</v>
      </c>
      <c r="D799" s="514" t="s">
        <v>1281</v>
      </c>
      <c r="E799" s="514" t="s">
        <v>1270</v>
      </c>
      <c r="H799" s="544" t="s">
        <v>1316</v>
      </c>
      <c r="I799" s="514" t="s">
        <v>217</v>
      </c>
      <c r="J799" s="248" t="s">
        <v>239</v>
      </c>
      <c r="K799" s="248" t="s">
        <v>240</v>
      </c>
      <c r="L799" s="514" t="s">
        <v>1257</v>
      </c>
      <c r="M799" s="248"/>
      <c r="N799" s="528" t="s">
        <v>1180</v>
      </c>
      <c r="O799" s="248"/>
      <c r="P799" s="248">
        <v>2019</v>
      </c>
      <c r="Q799" s="248">
        <v>2020</v>
      </c>
      <c r="R799" s="248">
        <v>1</v>
      </c>
      <c r="S799" s="248">
        <v>0.65</v>
      </c>
      <c r="T799" s="248">
        <v>0.65</v>
      </c>
      <c r="U799" s="248">
        <v>0.5</v>
      </c>
      <c r="V799" s="503">
        <v>16.19047619047619</v>
      </c>
      <c r="W799" s="503">
        <v>0</v>
      </c>
      <c r="X799" s="503">
        <v>476.19047619047615</v>
      </c>
      <c r="Y799" s="503">
        <v>25</v>
      </c>
      <c r="Z799" s="503"/>
      <c r="AA799" s="503">
        <v>31.536000000000001</v>
      </c>
      <c r="AC799" s="248">
        <v>4.2</v>
      </c>
      <c r="AD799" s="528" t="s">
        <v>1253</v>
      </c>
      <c r="AE799" s="248">
        <v>0.65</v>
      </c>
      <c r="AF799" s="248"/>
    </row>
    <row r="800" spans="3:32" x14ac:dyDescent="0.3">
      <c r="D800" s="514"/>
      <c r="E800" s="514"/>
      <c r="H800" s="544"/>
      <c r="I800" s="514"/>
      <c r="J800" s="248"/>
      <c r="K800" s="248"/>
      <c r="L800" s="514"/>
      <c r="M800" s="248"/>
      <c r="N800" s="528" t="s">
        <v>1319</v>
      </c>
      <c r="O800" s="248"/>
      <c r="P800" s="248"/>
      <c r="Q800" s="248"/>
      <c r="R800" s="248">
        <v>1</v>
      </c>
      <c r="S800" s="248">
        <v>0.65</v>
      </c>
      <c r="T800" s="248"/>
      <c r="U800" s="248"/>
      <c r="V800" s="503"/>
      <c r="W800" s="503"/>
      <c r="X800" s="503"/>
      <c r="Y800" s="503"/>
      <c r="Z800" s="503"/>
      <c r="AA800" s="503"/>
      <c r="AC800" s="248"/>
      <c r="AD800" s="528"/>
      <c r="AE800" s="248"/>
      <c r="AF800" s="248"/>
    </row>
    <row r="801" spans="3:32" x14ac:dyDescent="0.3">
      <c r="C801" s="528" t="s">
        <v>523</v>
      </c>
      <c r="D801" s="514" t="s">
        <v>1281</v>
      </c>
      <c r="E801" s="514" t="s">
        <v>1270</v>
      </c>
      <c r="H801" s="544" t="s">
        <v>1317</v>
      </c>
      <c r="I801" s="514" t="s">
        <v>217</v>
      </c>
      <c r="J801" s="248" t="s">
        <v>239</v>
      </c>
      <c r="K801" s="248" t="s">
        <v>240</v>
      </c>
      <c r="L801" s="514" t="s">
        <v>1257</v>
      </c>
      <c r="M801" s="248"/>
      <c r="N801" s="528" t="s">
        <v>1180</v>
      </c>
      <c r="O801" s="248"/>
      <c r="P801" s="248">
        <v>2019</v>
      </c>
      <c r="Q801" s="248">
        <v>2030</v>
      </c>
      <c r="R801" s="248">
        <v>1</v>
      </c>
      <c r="S801" s="248">
        <v>0.65</v>
      </c>
      <c r="T801" s="248">
        <v>0.65</v>
      </c>
      <c r="U801" s="248">
        <v>0.5</v>
      </c>
      <c r="V801" s="503">
        <v>16.535714285714285</v>
      </c>
      <c r="W801" s="503">
        <v>0</v>
      </c>
      <c r="X801" s="503">
        <v>476.19047619047615</v>
      </c>
      <c r="Y801" s="503">
        <v>30</v>
      </c>
      <c r="Z801" s="503"/>
      <c r="AA801" s="503">
        <v>31.536000000000001</v>
      </c>
      <c r="AC801" s="248">
        <v>4.2</v>
      </c>
      <c r="AD801" s="528" t="s">
        <v>1253</v>
      </c>
      <c r="AE801" s="248">
        <v>0.65</v>
      </c>
      <c r="AF801" s="248"/>
    </row>
    <row r="802" spans="3:32" x14ac:dyDescent="0.3">
      <c r="D802" s="514"/>
      <c r="E802" s="514"/>
      <c r="H802" s="544"/>
      <c r="I802" s="514"/>
      <c r="J802" s="248"/>
      <c r="K802" s="248"/>
      <c r="L802" s="514"/>
      <c r="M802" s="248"/>
      <c r="N802" s="528" t="s">
        <v>1319</v>
      </c>
      <c r="O802" s="248"/>
      <c r="P802" s="248"/>
      <c r="Q802" s="248"/>
      <c r="R802" s="248">
        <v>1</v>
      </c>
      <c r="S802" s="248">
        <v>0.65</v>
      </c>
      <c r="T802" s="248"/>
      <c r="U802" s="248"/>
      <c r="V802" s="503"/>
      <c r="W802" s="503"/>
      <c r="X802" s="503"/>
      <c r="Y802" s="503"/>
      <c r="Z802" s="503"/>
      <c r="AA802" s="503"/>
      <c r="AC802" s="248"/>
      <c r="AD802" s="528"/>
      <c r="AE802" s="248"/>
      <c r="AF802" s="248"/>
    </row>
    <row r="803" spans="3:32" x14ac:dyDescent="0.3">
      <c r="C803" s="528" t="s">
        <v>523</v>
      </c>
      <c r="D803" s="514" t="s">
        <v>1281</v>
      </c>
      <c r="E803" s="514" t="s">
        <v>1270</v>
      </c>
      <c r="H803" s="544" t="s">
        <v>1318</v>
      </c>
      <c r="I803" s="514" t="s">
        <v>217</v>
      </c>
      <c r="J803" s="248" t="s">
        <v>239</v>
      </c>
      <c r="K803" s="248" t="s">
        <v>240</v>
      </c>
      <c r="L803" s="514" t="s">
        <v>1257</v>
      </c>
      <c r="M803" s="248"/>
      <c r="N803" s="528" t="s">
        <v>1180</v>
      </c>
      <c r="O803" s="248"/>
      <c r="P803" s="248">
        <v>2019</v>
      </c>
      <c r="Q803" s="248">
        <v>2050</v>
      </c>
      <c r="R803" s="248">
        <v>1</v>
      </c>
      <c r="S803" s="248">
        <v>0.65</v>
      </c>
      <c r="T803" s="248">
        <v>0.65</v>
      </c>
      <c r="U803" s="248">
        <v>0.5</v>
      </c>
      <c r="V803" s="503">
        <v>15</v>
      </c>
      <c r="W803" s="503">
        <v>0</v>
      </c>
      <c r="X803" s="503">
        <v>476.19047619047615</v>
      </c>
      <c r="Y803" s="503">
        <v>30</v>
      </c>
      <c r="Z803" s="503"/>
      <c r="AA803" s="503">
        <v>31.536000000000001</v>
      </c>
      <c r="AC803" s="248">
        <v>4.2</v>
      </c>
      <c r="AD803" s="528" t="s">
        <v>1253</v>
      </c>
      <c r="AE803" s="248">
        <v>0.65</v>
      </c>
      <c r="AF803" s="248"/>
    </row>
    <row r="804" spans="3:32" x14ac:dyDescent="0.3">
      <c r="D804" s="514"/>
      <c r="E804" s="514"/>
      <c r="H804" s="544"/>
      <c r="I804" s="514"/>
      <c r="J804" s="248"/>
      <c r="K804" s="248"/>
      <c r="L804" s="514"/>
      <c r="M804" s="248"/>
      <c r="N804" s="528" t="s">
        <v>1319</v>
      </c>
      <c r="O804" s="248"/>
      <c r="P804" s="248"/>
      <c r="Q804" s="248"/>
      <c r="R804" s="248">
        <v>1</v>
      </c>
      <c r="S804" s="248">
        <v>0.65</v>
      </c>
      <c r="T804" s="248"/>
      <c r="U804" s="248"/>
      <c r="V804" s="503"/>
      <c r="W804" s="503"/>
      <c r="X804" s="503"/>
      <c r="Y804" s="503"/>
      <c r="Z804" s="503"/>
      <c r="AA804" s="503"/>
      <c r="AC804" s="248"/>
      <c r="AD804" s="528"/>
      <c r="AE804" s="248"/>
      <c r="AF804" s="248"/>
    </row>
    <row r="805" spans="3:32" x14ac:dyDescent="0.3">
      <c r="C805" s="528" t="s">
        <v>524</v>
      </c>
      <c r="D805" s="514" t="s">
        <v>1265</v>
      </c>
      <c r="E805" s="514" t="s">
        <v>1259</v>
      </c>
      <c r="H805" s="544" t="s">
        <v>1265</v>
      </c>
      <c r="I805" s="514" t="s">
        <v>217</v>
      </c>
      <c r="J805" s="248" t="s">
        <v>239</v>
      </c>
      <c r="K805" s="248" t="s">
        <v>240</v>
      </c>
      <c r="L805" s="514" t="s">
        <v>1257</v>
      </c>
      <c r="M805" s="248"/>
      <c r="N805" s="528" t="s">
        <v>1184</v>
      </c>
      <c r="O805" s="248"/>
      <c r="P805" s="248">
        <v>2019</v>
      </c>
      <c r="Q805" s="248">
        <v>2019</v>
      </c>
      <c r="R805" s="248">
        <v>1</v>
      </c>
      <c r="S805" s="248">
        <v>0.65</v>
      </c>
      <c r="T805" s="248">
        <v>0.65</v>
      </c>
      <c r="U805" s="248">
        <v>0.5</v>
      </c>
      <c r="V805" s="503">
        <v>2.7785714285714285</v>
      </c>
      <c r="W805" s="503">
        <v>0</v>
      </c>
      <c r="X805" s="503">
        <v>613.61457334611691</v>
      </c>
      <c r="Y805" s="503">
        <v>20</v>
      </c>
      <c r="Z805" s="503"/>
      <c r="AA805" s="503">
        <v>31.536000000000001</v>
      </c>
      <c r="AC805" s="248">
        <v>140</v>
      </c>
      <c r="AD805" s="528" t="s">
        <v>1255</v>
      </c>
      <c r="AE805" s="248">
        <v>0.65</v>
      </c>
      <c r="AF805" s="248"/>
    </row>
    <row r="806" spans="3:32" x14ac:dyDescent="0.3">
      <c r="D806" s="514"/>
      <c r="E806" s="514"/>
      <c r="H806" s="544"/>
      <c r="I806" s="514"/>
      <c r="J806" s="248"/>
      <c r="K806" s="248"/>
      <c r="L806" s="514"/>
      <c r="M806" s="248"/>
      <c r="N806" s="528" t="s">
        <v>1320</v>
      </c>
      <c r="O806" s="248"/>
      <c r="P806" s="248"/>
      <c r="Q806" s="248"/>
      <c r="R806" s="248">
        <v>1</v>
      </c>
      <c r="S806" s="248">
        <v>0.65</v>
      </c>
      <c r="T806" s="248"/>
      <c r="U806" s="248"/>
      <c r="V806" s="503"/>
      <c r="W806" s="503"/>
      <c r="X806" s="503"/>
      <c r="Y806" s="503"/>
      <c r="Z806" s="503"/>
      <c r="AA806" s="503"/>
      <c r="AC806" s="248"/>
      <c r="AD806" s="528"/>
      <c r="AE806" s="248"/>
      <c r="AF806" s="248"/>
    </row>
    <row r="807" spans="3:32" x14ac:dyDescent="0.3">
      <c r="C807" s="528" t="s">
        <v>524</v>
      </c>
      <c r="D807" s="514" t="s">
        <v>1265</v>
      </c>
      <c r="E807" s="514" t="s">
        <v>1259</v>
      </c>
      <c r="H807" s="544" t="s">
        <v>1266</v>
      </c>
      <c r="I807" s="514" t="s">
        <v>217</v>
      </c>
      <c r="J807" s="248" t="s">
        <v>239</v>
      </c>
      <c r="K807" s="248" t="s">
        <v>240</v>
      </c>
      <c r="L807" s="514" t="s">
        <v>1257</v>
      </c>
      <c r="M807" s="248"/>
      <c r="N807" s="528" t="s">
        <v>1184</v>
      </c>
      <c r="O807" s="248"/>
      <c r="P807" s="248">
        <v>2019</v>
      </c>
      <c r="Q807" s="248">
        <v>2020</v>
      </c>
      <c r="R807" s="248">
        <v>1</v>
      </c>
      <c r="S807" s="248">
        <v>0.65</v>
      </c>
      <c r="T807" s="248">
        <v>0.65</v>
      </c>
      <c r="U807" s="248">
        <v>0.5</v>
      </c>
      <c r="V807" s="503">
        <v>2.7714285714285714</v>
      </c>
      <c r="W807" s="503">
        <v>0</v>
      </c>
      <c r="X807" s="503">
        <v>578.57142857142856</v>
      </c>
      <c r="Y807" s="503">
        <v>25</v>
      </c>
      <c r="Z807" s="503"/>
      <c r="AA807" s="503">
        <v>31.536000000000001</v>
      </c>
      <c r="AC807" s="248">
        <v>140</v>
      </c>
      <c r="AD807" s="528" t="s">
        <v>1255</v>
      </c>
      <c r="AE807" s="248">
        <v>0.65</v>
      </c>
      <c r="AF807" s="248"/>
    </row>
    <row r="808" spans="3:32" x14ac:dyDescent="0.3">
      <c r="D808" s="514"/>
      <c r="E808" s="514"/>
      <c r="H808" s="544"/>
      <c r="I808" s="514"/>
      <c r="J808" s="248"/>
      <c r="K808" s="248"/>
      <c r="L808" s="514"/>
      <c r="M808" s="248"/>
      <c r="N808" s="528" t="s">
        <v>1320</v>
      </c>
      <c r="O808" s="248"/>
      <c r="P808" s="248"/>
      <c r="Q808" s="248"/>
      <c r="R808" s="248">
        <v>1</v>
      </c>
      <c r="S808" s="248">
        <v>0.65</v>
      </c>
      <c r="T808" s="248"/>
      <c r="U808" s="248"/>
      <c r="V808" s="503"/>
      <c r="W808" s="503"/>
      <c r="X808" s="503"/>
      <c r="Y808" s="503"/>
      <c r="Z808" s="503"/>
      <c r="AA808" s="503"/>
      <c r="AC808" s="248"/>
      <c r="AD808" s="528"/>
      <c r="AE808" s="248"/>
      <c r="AF808" s="248"/>
    </row>
    <row r="809" spans="3:32" x14ac:dyDescent="0.3">
      <c r="C809" s="528" t="s">
        <v>524</v>
      </c>
      <c r="D809" s="514" t="s">
        <v>1265</v>
      </c>
      <c r="E809" s="514" t="s">
        <v>1259</v>
      </c>
      <c r="H809" s="544" t="s">
        <v>1339</v>
      </c>
      <c r="I809" s="514" t="s">
        <v>217</v>
      </c>
      <c r="J809" s="248" t="s">
        <v>239</v>
      </c>
      <c r="K809" s="248" t="s">
        <v>240</v>
      </c>
      <c r="L809" s="514" t="s">
        <v>1257</v>
      </c>
      <c r="M809" s="248"/>
      <c r="N809" s="528" t="s">
        <v>1184</v>
      </c>
      <c r="O809" s="248"/>
      <c r="P809" s="248">
        <v>2019</v>
      </c>
      <c r="Q809" s="248">
        <v>2030</v>
      </c>
      <c r="R809" s="248">
        <v>1</v>
      </c>
      <c r="S809" s="248">
        <v>0.65</v>
      </c>
      <c r="T809" s="248">
        <v>0.65</v>
      </c>
      <c r="U809" s="248">
        <v>0.5</v>
      </c>
      <c r="V809" s="503">
        <v>3.1285714285714286</v>
      </c>
      <c r="W809" s="503">
        <v>0</v>
      </c>
      <c r="X809" s="503">
        <v>528.57142857142856</v>
      </c>
      <c r="Y809" s="503">
        <v>30</v>
      </c>
      <c r="Z809" s="503"/>
      <c r="AA809" s="503">
        <v>31.536000000000001</v>
      </c>
      <c r="AC809" s="248">
        <v>140</v>
      </c>
      <c r="AD809" s="528" t="s">
        <v>1255</v>
      </c>
      <c r="AE809" s="248">
        <v>0.65</v>
      </c>
      <c r="AF809" s="248"/>
    </row>
    <row r="810" spans="3:32" x14ac:dyDescent="0.3">
      <c r="D810" s="514"/>
      <c r="E810" s="514"/>
      <c r="H810" s="544"/>
      <c r="I810" s="514"/>
      <c r="J810" s="248"/>
      <c r="K810" s="248"/>
      <c r="L810" s="514"/>
      <c r="M810" s="248"/>
      <c r="N810" s="528" t="s">
        <v>1320</v>
      </c>
      <c r="O810" s="248"/>
      <c r="P810" s="248"/>
      <c r="Q810" s="248"/>
      <c r="R810" s="248">
        <v>1</v>
      </c>
      <c r="S810" s="248">
        <v>0.65</v>
      </c>
      <c r="T810" s="248"/>
      <c r="U810" s="248"/>
      <c r="V810" s="503"/>
      <c r="W810" s="503"/>
      <c r="X810" s="503"/>
      <c r="Y810" s="503"/>
      <c r="Z810" s="503"/>
      <c r="AA810" s="503"/>
      <c r="AC810" s="248"/>
      <c r="AD810" s="528"/>
      <c r="AE810" s="248"/>
      <c r="AF810" s="248"/>
    </row>
    <row r="811" spans="3:32" x14ac:dyDescent="0.3">
      <c r="C811" s="528" t="s">
        <v>524</v>
      </c>
      <c r="D811" s="514" t="s">
        <v>1265</v>
      </c>
      <c r="E811" s="514" t="s">
        <v>1259</v>
      </c>
      <c r="H811" s="544" t="s">
        <v>1340</v>
      </c>
      <c r="I811" s="514" t="s">
        <v>217</v>
      </c>
      <c r="J811" s="248" t="s">
        <v>239</v>
      </c>
      <c r="K811" s="248" t="s">
        <v>240</v>
      </c>
      <c r="L811" s="514" t="s">
        <v>1257</v>
      </c>
      <c r="M811" s="248"/>
      <c r="N811" s="528" t="s">
        <v>1184</v>
      </c>
      <c r="O811" s="248"/>
      <c r="P811" s="248">
        <v>2019</v>
      </c>
      <c r="Q811" s="248">
        <v>2050</v>
      </c>
      <c r="R811" s="248">
        <v>1</v>
      </c>
      <c r="S811" s="248">
        <v>0.65</v>
      </c>
      <c r="T811" s="248">
        <v>0.65</v>
      </c>
      <c r="U811" s="248">
        <v>0.5</v>
      </c>
      <c r="V811" s="503">
        <v>2.8857142857142857</v>
      </c>
      <c r="W811" s="503">
        <v>0</v>
      </c>
      <c r="X811" s="503">
        <v>478.57142857142856</v>
      </c>
      <c r="Y811" s="503">
        <v>30</v>
      </c>
      <c r="Z811" s="503"/>
      <c r="AA811" s="503">
        <v>31.536000000000001</v>
      </c>
      <c r="AC811" s="248">
        <v>140</v>
      </c>
      <c r="AD811" s="528" t="s">
        <v>1255</v>
      </c>
      <c r="AE811" s="248">
        <v>0.65</v>
      </c>
      <c r="AF811" s="248"/>
    </row>
    <row r="812" spans="3:32" x14ac:dyDescent="0.3">
      <c r="D812" s="514"/>
      <c r="E812" s="514"/>
      <c r="H812" s="544"/>
      <c r="I812" s="514"/>
      <c r="J812" s="248"/>
      <c r="K812" s="248"/>
      <c r="L812" s="514"/>
      <c r="M812" s="248"/>
      <c r="N812" s="528" t="s">
        <v>1320</v>
      </c>
      <c r="O812" s="248"/>
      <c r="P812" s="248"/>
      <c r="Q812" s="248"/>
      <c r="R812" s="248">
        <v>1</v>
      </c>
      <c r="S812" s="248">
        <v>0.65</v>
      </c>
      <c r="T812" s="248"/>
      <c r="U812" s="248"/>
      <c r="V812" s="503"/>
      <c r="W812" s="503"/>
      <c r="X812" s="503"/>
      <c r="Y812" s="503"/>
      <c r="Z812" s="503"/>
      <c r="AA812" s="503"/>
      <c r="AC812" s="248"/>
      <c r="AD812" s="528"/>
      <c r="AE812" s="248"/>
      <c r="AF812" s="248"/>
    </row>
    <row r="813" spans="3:32" x14ac:dyDescent="0.3">
      <c r="C813" s="528" t="s">
        <v>525</v>
      </c>
      <c r="D813" s="514" t="s">
        <v>1266</v>
      </c>
      <c r="E813" s="514" t="s">
        <v>1259</v>
      </c>
      <c r="H813" s="544" t="s">
        <v>1341</v>
      </c>
      <c r="I813" s="514" t="s">
        <v>217</v>
      </c>
      <c r="J813" s="248" t="s">
        <v>239</v>
      </c>
      <c r="K813" s="248" t="s">
        <v>240</v>
      </c>
      <c r="L813" s="514" t="s">
        <v>1257</v>
      </c>
      <c r="M813" s="248"/>
      <c r="N813" s="528" t="s">
        <v>1184</v>
      </c>
      <c r="O813" s="248"/>
      <c r="P813" s="248">
        <v>2019</v>
      </c>
      <c r="Q813" s="248">
        <v>2019</v>
      </c>
      <c r="R813" s="248">
        <v>1</v>
      </c>
      <c r="S813" s="248">
        <v>0.65</v>
      </c>
      <c r="T813" s="248">
        <v>0.65</v>
      </c>
      <c r="U813" s="248">
        <v>0.5</v>
      </c>
      <c r="V813" s="503">
        <v>2.7785714285714285</v>
      </c>
      <c r="W813" s="503">
        <v>0</v>
      </c>
      <c r="X813" s="503">
        <v>575.26366251198465</v>
      </c>
      <c r="Y813" s="503">
        <v>20</v>
      </c>
      <c r="Z813" s="503"/>
      <c r="AA813" s="503">
        <v>31.536000000000001</v>
      </c>
      <c r="AC813" s="248">
        <v>140</v>
      </c>
      <c r="AD813" s="528" t="s">
        <v>1255</v>
      </c>
      <c r="AE813" s="248">
        <v>0.65</v>
      </c>
      <c r="AF813" s="248"/>
    </row>
    <row r="814" spans="3:32" x14ac:dyDescent="0.3">
      <c r="D814" s="514"/>
      <c r="E814" s="514"/>
      <c r="H814" s="544"/>
      <c r="I814" s="514"/>
      <c r="J814" s="248"/>
      <c r="K814" s="248"/>
      <c r="L814" s="514"/>
      <c r="M814" s="248"/>
      <c r="N814" s="528" t="s">
        <v>1320</v>
      </c>
      <c r="O814" s="248"/>
      <c r="P814" s="248"/>
      <c r="Q814" s="248"/>
      <c r="R814" s="248">
        <v>1</v>
      </c>
      <c r="S814" s="248">
        <v>0.65</v>
      </c>
      <c r="T814" s="248"/>
      <c r="U814" s="248"/>
      <c r="V814" s="503"/>
      <c r="W814" s="503"/>
      <c r="X814" s="503"/>
      <c r="Y814" s="503"/>
      <c r="Z814" s="503"/>
      <c r="AA814" s="503"/>
      <c r="AC814" s="248"/>
      <c r="AD814" s="528"/>
      <c r="AE814" s="248"/>
      <c r="AF814" s="248"/>
    </row>
    <row r="815" spans="3:32" x14ac:dyDescent="0.3">
      <c r="C815" s="528" t="s">
        <v>525</v>
      </c>
      <c r="D815" s="514" t="s">
        <v>1266</v>
      </c>
      <c r="E815" s="514" t="s">
        <v>1259</v>
      </c>
      <c r="H815" s="544" t="s">
        <v>1342</v>
      </c>
      <c r="I815" s="514" t="s">
        <v>217</v>
      </c>
      <c r="J815" s="248" t="s">
        <v>239</v>
      </c>
      <c r="K815" s="248" t="s">
        <v>240</v>
      </c>
      <c r="L815" s="514" t="s">
        <v>1257</v>
      </c>
      <c r="M815" s="248"/>
      <c r="N815" s="528" t="s">
        <v>1184</v>
      </c>
      <c r="O815" s="248"/>
      <c r="P815" s="248">
        <v>2019</v>
      </c>
      <c r="Q815" s="248">
        <v>2020</v>
      </c>
      <c r="R815" s="248">
        <v>1</v>
      </c>
      <c r="S815" s="248">
        <v>0.65</v>
      </c>
      <c r="T815" s="248">
        <v>0.65</v>
      </c>
      <c r="U815" s="248">
        <v>0.5</v>
      </c>
      <c r="V815" s="503">
        <v>2.7714285714285714</v>
      </c>
      <c r="W815" s="503">
        <v>0</v>
      </c>
      <c r="X815" s="503">
        <v>528.57142857142856</v>
      </c>
      <c r="Y815" s="503">
        <v>25</v>
      </c>
      <c r="Z815" s="503"/>
      <c r="AA815" s="503">
        <v>31.536000000000001</v>
      </c>
      <c r="AC815" s="248">
        <v>140</v>
      </c>
      <c r="AD815" s="528" t="s">
        <v>1255</v>
      </c>
      <c r="AE815" s="248">
        <v>0.65</v>
      </c>
      <c r="AF815" s="248"/>
    </row>
    <row r="816" spans="3:32" x14ac:dyDescent="0.3">
      <c r="D816" s="514"/>
      <c r="E816" s="514"/>
      <c r="H816" s="544"/>
      <c r="I816" s="514"/>
      <c r="J816" s="248"/>
      <c r="K816" s="248"/>
      <c r="L816" s="514"/>
      <c r="M816" s="248"/>
      <c r="N816" s="528" t="s">
        <v>1320</v>
      </c>
      <c r="O816" s="248"/>
      <c r="P816" s="248"/>
      <c r="Q816" s="248"/>
      <c r="R816" s="248">
        <v>1</v>
      </c>
      <c r="S816" s="248">
        <v>0.65</v>
      </c>
      <c r="T816" s="248"/>
      <c r="U816" s="248"/>
      <c r="V816" s="503"/>
      <c r="W816" s="503"/>
      <c r="X816" s="503"/>
      <c r="Y816" s="503"/>
      <c r="Z816" s="503"/>
      <c r="AA816" s="503"/>
      <c r="AC816" s="248"/>
      <c r="AD816" s="528"/>
      <c r="AE816" s="248"/>
      <c r="AF816" s="248"/>
    </row>
    <row r="817" spans="3:32" x14ac:dyDescent="0.3">
      <c r="C817" s="528" t="s">
        <v>525</v>
      </c>
      <c r="D817" s="514" t="s">
        <v>1266</v>
      </c>
      <c r="E817" s="514" t="s">
        <v>1259</v>
      </c>
      <c r="H817" s="544" t="s">
        <v>1343</v>
      </c>
      <c r="I817" s="514" t="s">
        <v>217</v>
      </c>
      <c r="J817" s="248" t="s">
        <v>239</v>
      </c>
      <c r="K817" s="248" t="s">
        <v>240</v>
      </c>
      <c r="L817" s="514" t="s">
        <v>1257</v>
      </c>
      <c r="M817" s="248"/>
      <c r="N817" s="528" t="s">
        <v>1184</v>
      </c>
      <c r="O817" s="248"/>
      <c r="P817" s="248">
        <v>2019</v>
      </c>
      <c r="Q817" s="248">
        <v>2030</v>
      </c>
      <c r="R817" s="248">
        <v>1</v>
      </c>
      <c r="S817" s="248">
        <v>0.65</v>
      </c>
      <c r="T817" s="248">
        <v>0.65</v>
      </c>
      <c r="U817" s="248">
        <v>0.5</v>
      </c>
      <c r="V817" s="503">
        <v>3.1285714285714286</v>
      </c>
      <c r="W817" s="503">
        <v>0</v>
      </c>
      <c r="X817" s="503">
        <v>478.57142857142856</v>
      </c>
      <c r="Y817" s="503">
        <v>30</v>
      </c>
      <c r="Z817" s="503"/>
      <c r="AA817" s="503">
        <v>31.536000000000001</v>
      </c>
      <c r="AC817" s="248">
        <v>140</v>
      </c>
      <c r="AD817" s="528" t="s">
        <v>1255</v>
      </c>
      <c r="AE817" s="248">
        <v>0.65</v>
      </c>
      <c r="AF817" s="248"/>
    </row>
    <row r="818" spans="3:32" x14ac:dyDescent="0.3">
      <c r="D818" s="514"/>
      <c r="E818" s="514"/>
      <c r="H818" s="544"/>
      <c r="I818" s="514"/>
      <c r="J818" s="248"/>
      <c r="K818" s="248"/>
      <c r="L818" s="514"/>
      <c r="M818" s="248"/>
      <c r="N818" s="528" t="s">
        <v>1320</v>
      </c>
      <c r="O818" s="248"/>
      <c r="P818" s="248"/>
      <c r="Q818" s="248"/>
      <c r="R818" s="248">
        <v>1</v>
      </c>
      <c r="S818" s="248">
        <v>0.65</v>
      </c>
      <c r="T818" s="248"/>
      <c r="U818" s="248"/>
      <c r="V818" s="503"/>
      <c r="W818" s="503"/>
      <c r="X818" s="503"/>
      <c r="Y818" s="503"/>
      <c r="Z818" s="503"/>
      <c r="AA818" s="503"/>
      <c r="AC818" s="248"/>
      <c r="AD818" s="528"/>
      <c r="AE818" s="248"/>
      <c r="AF818" s="248"/>
    </row>
    <row r="819" spans="3:32" x14ac:dyDescent="0.3">
      <c r="C819" s="528" t="s">
        <v>525</v>
      </c>
      <c r="D819" s="514" t="s">
        <v>1266</v>
      </c>
      <c r="E819" s="514" t="s">
        <v>1259</v>
      </c>
      <c r="H819" s="544" t="s">
        <v>1344</v>
      </c>
      <c r="I819" s="514" t="s">
        <v>217</v>
      </c>
      <c r="J819" s="248" t="s">
        <v>239</v>
      </c>
      <c r="K819" s="248" t="s">
        <v>240</v>
      </c>
      <c r="L819" s="514" t="s">
        <v>1257</v>
      </c>
      <c r="M819" s="248"/>
      <c r="N819" s="528" t="s">
        <v>1184</v>
      </c>
      <c r="O819" s="248"/>
      <c r="P819" s="248">
        <v>2019</v>
      </c>
      <c r="Q819" s="248">
        <v>2050</v>
      </c>
      <c r="R819" s="248">
        <v>1</v>
      </c>
      <c r="S819" s="248">
        <v>0.65</v>
      </c>
      <c r="T819" s="248">
        <v>0.65</v>
      </c>
      <c r="U819" s="248">
        <v>0.5</v>
      </c>
      <c r="V819" s="503">
        <v>2.8857142857142857</v>
      </c>
      <c r="W819" s="503">
        <v>0</v>
      </c>
      <c r="X819" s="503">
        <v>428.57142857142856</v>
      </c>
      <c r="Y819" s="503">
        <v>30</v>
      </c>
      <c r="Z819" s="503"/>
      <c r="AA819" s="503">
        <v>31.536000000000001</v>
      </c>
      <c r="AC819" s="248">
        <v>140</v>
      </c>
      <c r="AD819" s="528" t="s">
        <v>1255</v>
      </c>
      <c r="AE819" s="248">
        <v>0.65</v>
      </c>
      <c r="AF819" s="248"/>
    </row>
    <row r="820" spans="3:32" x14ac:dyDescent="0.3">
      <c r="D820" s="514"/>
      <c r="E820" s="514"/>
      <c r="H820" s="544"/>
      <c r="I820" s="514"/>
      <c r="J820" s="248"/>
      <c r="K820" s="248"/>
      <c r="L820" s="514"/>
      <c r="M820" s="248"/>
      <c r="N820" s="528" t="s">
        <v>1320</v>
      </c>
      <c r="O820" s="248"/>
      <c r="P820" s="248"/>
      <c r="Q820" s="248"/>
      <c r="R820" s="248">
        <v>1</v>
      </c>
      <c r="S820" s="248">
        <v>0.65</v>
      </c>
      <c r="T820" s="248"/>
      <c r="U820" s="248"/>
      <c r="V820" s="503"/>
      <c r="W820" s="503"/>
      <c r="X820" s="503"/>
      <c r="Y820" s="503"/>
      <c r="Z820" s="503"/>
      <c r="AA820" s="503"/>
      <c r="AC820" s="248"/>
      <c r="AD820" s="528"/>
      <c r="AE820" s="248"/>
      <c r="AF820" s="248"/>
    </row>
    <row r="821" spans="3:32" x14ac:dyDescent="0.3">
      <c r="C821" s="528" t="s">
        <v>527</v>
      </c>
      <c r="D821" s="514" t="s">
        <v>1282</v>
      </c>
      <c r="E821" s="514" t="s">
        <v>1270</v>
      </c>
      <c r="H821" s="544" t="s">
        <v>1282</v>
      </c>
      <c r="I821" s="514" t="s">
        <v>225</v>
      </c>
      <c r="J821" s="248" t="s">
        <v>239</v>
      </c>
      <c r="K821" s="248" t="s">
        <v>240</v>
      </c>
      <c r="L821" s="514" t="s">
        <v>1145</v>
      </c>
      <c r="M821" s="248"/>
      <c r="N821" s="528" t="s">
        <v>1180</v>
      </c>
      <c r="O821" s="248"/>
      <c r="P821" s="248">
        <v>2019</v>
      </c>
      <c r="Q821" s="248">
        <v>2019</v>
      </c>
      <c r="R821" s="248">
        <v>1</v>
      </c>
      <c r="S821" s="248">
        <v>1</v>
      </c>
      <c r="T821" s="248">
        <v>1</v>
      </c>
      <c r="U821" s="248">
        <v>0.5</v>
      </c>
      <c r="V821" s="503">
        <v>8.3333333333333339</v>
      </c>
      <c r="W821" s="503">
        <v>0</v>
      </c>
      <c r="X821" s="503">
        <v>1000</v>
      </c>
      <c r="Y821" s="503">
        <v>30</v>
      </c>
      <c r="Z821" s="503"/>
      <c r="AA821" s="503">
        <v>31.536000000000001</v>
      </c>
      <c r="AC821" s="248">
        <v>3</v>
      </c>
      <c r="AD821" s="528" t="s">
        <v>1253</v>
      </c>
      <c r="AE821" s="248">
        <v>1</v>
      </c>
      <c r="AF821" s="248"/>
    </row>
    <row r="822" spans="3:32" x14ac:dyDescent="0.3">
      <c r="D822" s="514"/>
      <c r="E822" s="514"/>
      <c r="H822" s="544"/>
      <c r="I822" s="514"/>
      <c r="J822" s="248"/>
      <c r="K822" s="248"/>
      <c r="L822" s="514"/>
      <c r="M822" s="248"/>
      <c r="N822" s="528" t="s">
        <v>1319</v>
      </c>
      <c r="O822" s="248"/>
      <c r="P822" s="248"/>
      <c r="Q822" s="248"/>
      <c r="R822" s="248">
        <v>1</v>
      </c>
      <c r="S822" s="248">
        <v>1</v>
      </c>
      <c r="T822" s="248"/>
      <c r="U822" s="248"/>
      <c r="V822" s="503"/>
      <c r="W822" s="503"/>
      <c r="X822" s="503"/>
      <c r="Y822" s="503"/>
      <c r="Z822" s="503"/>
      <c r="AA822" s="503"/>
      <c r="AC822" s="248"/>
      <c r="AD822" s="528"/>
      <c r="AE822" s="248"/>
      <c r="AF822" s="248"/>
    </row>
    <row r="823" spans="3:32" x14ac:dyDescent="0.3">
      <c r="C823" s="528" t="s">
        <v>528</v>
      </c>
      <c r="D823" s="514" t="s">
        <v>1267</v>
      </c>
      <c r="E823" s="514" t="s">
        <v>1259</v>
      </c>
      <c r="H823" s="544" t="s">
        <v>1267</v>
      </c>
      <c r="I823" s="514" t="s">
        <v>225</v>
      </c>
      <c r="J823" s="248" t="s">
        <v>239</v>
      </c>
      <c r="K823" s="248" t="s">
        <v>240</v>
      </c>
      <c r="L823" s="514" t="s">
        <v>1145</v>
      </c>
      <c r="M823" s="248"/>
      <c r="N823" s="528" t="s">
        <v>1184</v>
      </c>
      <c r="O823" s="248"/>
      <c r="P823" s="248">
        <v>2019</v>
      </c>
      <c r="Q823" s="248">
        <v>2019</v>
      </c>
      <c r="R823" s="248">
        <v>1</v>
      </c>
      <c r="S823" s="248">
        <v>1</v>
      </c>
      <c r="T823" s="248">
        <v>1</v>
      </c>
      <c r="U823" s="248">
        <v>0.5</v>
      </c>
      <c r="V823" s="503">
        <v>0.3125</v>
      </c>
      <c r="W823" s="503">
        <v>0</v>
      </c>
      <c r="X823" s="503">
        <v>662.5</v>
      </c>
      <c r="Y823" s="503">
        <v>30</v>
      </c>
      <c r="Z823" s="503"/>
      <c r="AA823" s="503">
        <v>31.536000000000001</v>
      </c>
      <c r="AC823" s="248">
        <v>160</v>
      </c>
      <c r="AD823" s="528" t="s">
        <v>1255</v>
      </c>
      <c r="AE823" s="248">
        <v>1</v>
      </c>
      <c r="AF823" s="248"/>
    </row>
    <row r="824" spans="3:32" x14ac:dyDescent="0.3">
      <c r="D824" s="514"/>
      <c r="E824" s="514"/>
      <c r="H824" s="544"/>
      <c r="I824" s="514"/>
      <c r="J824" s="248"/>
      <c r="K824" s="248"/>
      <c r="L824" s="514"/>
      <c r="M824" s="248"/>
      <c r="N824" s="528" t="s">
        <v>1320</v>
      </c>
      <c r="O824" s="248"/>
      <c r="P824" s="248"/>
      <c r="Q824" s="248"/>
      <c r="R824" s="248">
        <v>1</v>
      </c>
      <c r="S824" s="248">
        <v>1</v>
      </c>
      <c r="T824" s="248"/>
      <c r="U824" s="248"/>
      <c r="V824" s="503"/>
      <c r="W824" s="503"/>
      <c r="X824" s="503"/>
      <c r="Y824" s="503"/>
      <c r="Z824" s="503"/>
      <c r="AA824" s="503"/>
      <c r="AC824" s="248"/>
      <c r="AD824" s="528"/>
      <c r="AE824" s="248"/>
      <c r="AF824" s="248"/>
    </row>
    <row r="825" spans="3:32" x14ac:dyDescent="0.3">
      <c r="C825" s="528" t="s">
        <v>528</v>
      </c>
      <c r="D825" s="514" t="s">
        <v>1267</v>
      </c>
      <c r="E825" s="514" t="s">
        <v>1259</v>
      </c>
      <c r="H825" s="544" t="s">
        <v>1268</v>
      </c>
      <c r="I825" s="514" t="s">
        <v>225</v>
      </c>
      <c r="J825" s="248" t="s">
        <v>239</v>
      </c>
      <c r="K825" s="248" t="s">
        <v>240</v>
      </c>
      <c r="L825" s="514" t="s">
        <v>1145</v>
      </c>
      <c r="M825" s="248"/>
      <c r="N825" s="528" t="s">
        <v>1184</v>
      </c>
      <c r="O825" s="248"/>
      <c r="P825" s="248">
        <v>2019</v>
      </c>
      <c r="Q825" s="248">
        <v>2020</v>
      </c>
      <c r="R825" s="248">
        <v>1</v>
      </c>
      <c r="S825" s="248">
        <v>1</v>
      </c>
      <c r="T825" s="248">
        <v>1</v>
      </c>
      <c r="U825" s="248">
        <v>0.5</v>
      </c>
      <c r="V825" s="503">
        <v>0.30625000000000002</v>
      </c>
      <c r="W825" s="503">
        <v>0</v>
      </c>
      <c r="X825" s="503">
        <v>643.75</v>
      </c>
      <c r="Y825" s="503">
        <v>30</v>
      </c>
      <c r="Z825" s="503"/>
      <c r="AA825" s="503">
        <v>31.536000000000001</v>
      </c>
      <c r="AC825" s="248">
        <v>160</v>
      </c>
      <c r="AD825" s="528" t="s">
        <v>1255</v>
      </c>
      <c r="AE825" s="248">
        <v>1</v>
      </c>
      <c r="AF825" s="248"/>
    </row>
    <row r="826" spans="3:32" x14ac:dyDescent="0.3">
      <c r="D826" s="514"/>
      <c r="E826" s="514"/>
      <c r="H826" s="544"/>
      <c r="I826" s="514"/>
      <c r="J826" s="248"/>
      <c r="K826" s="248"/>
      <c r="L826" s="514"/>
      <c r="M826" s="248"/>
      <c r="N826" s="528" t="s">
        <v>1320</v>
      </c>
      <c r="O826" s="248"/>
      <c r="P826" s="248"/>
      <c r="Q826" s="248"/>
      <c r="R826" s="248">
        <v>1</v>
      </c>
      <c r="S826" s="248">
        <v>1</v>
      </c>
      <c r="T826" s="248"/>
      <c r="U826" s="248"/>
      <c r="V826" s="503"/>
      <c r="W826" s="503"/>
      <c r="X826" s="503"/>
      <c r="Y826" s="503"/>
      <c r="Z826" s="503"/>
      <c r="AA826" s="503"/>
      <c r="AC826" s="248"/>
      <c r="AD826" s="528"/>
      <c r="AE826" s="248"/>
      <c r="AF826" s="248"/>
    </row>
    <row r="827" spans="3:32" x14ac:dyDescent="0.3">
      <c r="C827" s="528" t="s">
        <v>528</v>
      </c>
      <c r="D827" s="514" t="s">
        <v>1268</v>
      </c>
      <c r="E827" s="514" t="s">
        <v>1259</v>
      </c>
      <c r="H827" s="544" t="s">
        <v>1345</v>
      </c>
      <c r="I827" s="514" t="s">
        <v>225</v>
      </c>
      <c r="J827" s="248" t="s">
        <v>239</v>
      </c>
      <c r="K827" s="248" t="s">
        <v>240</v>
      </c>
      <c r="L827" s="514" t="s">
        <v>1145</v>
      </c>
      <c r="M827" s="248"/>
      <c r="N827" s="528" t="s">
        <v>1184</v>
      </c>
      <c r="O827" s="248"/>
      <c r="P827" s="248">
        <v>2019</v>
      </c>
      <c r="Q827" s="248">
        <v>2030</v>
      </c>
      <c r="R827" s="248">
        <v>1</v>
      </c>
      <c r="S827" s="248">
        <v>1</v>
      </c>
      <c r="T827" s="248">
        <v>1</v>
      </c>
      <c r="U827" s="248">
        <v>0.5</v>
      </c>
      <c r="V827" s="503">
        <v>0.28749999999999998</v>
      </c>
      <c r="W827" s="503">
        <v>0</v>
      </c>
      <c r="X827" s="503">
        <v>612.5</v>
      </c>
      <c r="Y827" s="503">
        <v>30</v>
      </c>
      <c r="Z827" s="503"/>
      <c r="AA827" s="503">
        <v>31.536000000000001</v>
      </c>
      <c r="AC827" s="248">
        <v>160</v>
      </c>
      <c r="AD827" s="528" t="s">
        <v>1255</v>
      </c>
      <c r="AE827" s="248">
        <v>1</v>
      </c>
      <c r="AF827" s="248"/>
    </row>
    <row r="828" spans="3:32" x14ac:dyDescent="0.3">
      <c r="D828" s="514"/>
      <c r="E828" s="514"/>
      <c r="H828" s="544"/>
      <c r="I828" s="514"/>
      <c r="J828" s="248"/>
      <c r="K828" s="248"/>
      <c r="L828" s="514"/>
      <c r="M828" s="248"/>
      <c r="N828" s="528" t="s">
        <v>1320</v>
      </c>
      <c r="O828" s="248"/>
      <c r="P828" s="248"/>
      <c r="Q828" s="248"/>
      <c r="R828" s="248">
        <v>1</v>
      </c>
      <c r="S828" s="248">
        <v>1</v>
      </c>
      <c r="T828" s="248"/>
      <c r="U828" s="248"/>
      <c r="V828" s="503"/>
      <c r="W828" s="503"/>
      <c r="X828" s="503"/>
      <c r="Y828" s="503"/>
      <c r="Z828" s="503"/>
      <c r="AA828" s="503"/>
      <c r="AC828" s="248"/>
      <c r="AD828" s="528"/>
      <c r="AE828" s="248"/>
      <c r="AF828" s="248"/>
    </row>
    <row r="829" spans="3:32" x14ac:dyDescent="0.3">
      <c r="C829" s="528" t="s">
        <v>528</v>
      </c>
      <c r="D829" s="514" t="s">
        <v>1268</v>
      </c>
      <c r="E829" s="514" t="s">
        <v>1259</v>
      </c>
      <c r="H829" s="544" t="s">
        <v>1346</v>
      </c>
      <c r="I829" s="514" t="s">
        <v>225</v>
      </c>
      <c r="J829" s="248" t="s">
        <v>239</v>
      </c>
      <c r="K829" s="248" t="s">
        <v>240</v>
      </c>
      <c r="L829" s="514" t="s">
        <v>1145</v>
      </c>
      <c r="M829" s="248"/>
      <c r="N829" s="528" t="s">
        <v>1184</v>
      </c>
      <c r="O829" s="248"/>
      <c r="P829" s="248">
        <v>2019</v>
      </c>
      <c r="Q829" s="248">
        <v>2050</v>
      </c>
      <c r="R829" s="248">
        <v>1</v>
      </c>
      <c r="S829" s="248">
        <v>1</v>
      </c>
      <c r="T829" s="248">
        <v>1</v>
      </c>
      <c r="U829" s="248">
        <v>0.5</v>
      </c>
      <c r="V829" s="503">
        <v>0.26250000000000001</v>
      </c>
      <c r="W829" s="503">
        <v>0</v>
      </c>
      <c r="X829" s="503">
        <v>556.25</v>
      </c>
      <c r="Y829" s="503">
        <v>30</v>
      </c>
      <c r="Z829" s="503"/>
      <c r="AA829" s="503">
        <v>31.536000000000001</v>
      </c>
      <c r="AC829" s="248">
        <v>160</v>
      </c>
      <c r="AD829" s="528" t="s">
        <v>1255</v>
      </c>
      <c r="AE829" s="248">
        <v>1</v>
      </c>
      <c r="AF829" s="248"/>
    </row>
    <row r="830" spans="3:32" x14ac:dyDescent="0.3">
      <c r="D830" s="514"/>
      <c r="E830" s="514"/>
      <c r="H830" s="544"/>
      <c r="I830" s="514"/>
      <c r="J830" s="248"/>
      <c r="K830" s="248"/>
      <c r="L830" s="514"/>
      <c r="M830" s="248"/>
      <c r="N830" s="528" t="s">
        <v>1320</v>
      </c>
      <c r="O830" s="248"/>
      <c r="P830" s="248"/>
      <c r="Q830" s="248"/>
      <c r="R830" s="248">
        <v>1</v>
      </c>
      <c r="S830" s="248">
        <v>1</v>
      </c>
      <c r="T830" s="248"/>
      <c r="U830" s="248"/>
      <c r="V830" s="503"/>
      <c r="W830" s="503"/>
      <c r="X830" s="503"/>
      <c r="Y830" s="503"/>
      <c r="Z830" s="503"/>
      <c r="AA830" s="503"/>
      <c r="AC830" s="248"/>
      <c r="AD830" s="528"/>
      <c r="AE830" s="248"/>
      <c r="AF830" s="248"/>
    </row>
    <row r="831" spans="3:32" x14ac:dyDescent="0.3">
      <c r="D831" s="514"/>
      <c r="E831" s="514"/>
      <c r="H831" s="544"/>
      <c r="I831" s="514"/>
      <c r="J831" s="248"/>
      <c r="K831" s="248"/>
      <c r="L831" s="514"/>
      <c r="M831" s="248"/>
      <c r="N831" s="528"/>
      <c r="O831" s="248"/>
      <c r="P831" s="248"/>
      <c r="Q831" s="248"/>
      <c r="R831" s="248"/>
      <c r="S831" s="248"/>
      <c r="T831" s="248"/>
      <c r="U831" s="248"/>
      <c r="V831" s="503"/>
      <c r="W831" s="503"/>
      <c r="X831" s="503"/>
      <c r="Y831" s="503"/>
      <c r="Z831" s="503"/>
      <c r="AA831" s="503"/>
      <c r="AC831" s="248"/>
      <c r="AD831" s="528"/>
      <c r="AE831" s="248"/>
      <c r="AF831" s="248"/>
    </row>
    <row r="832" spans="3:32" x14ac:dyDescent="0.3">
      <c r="D832" s="514"/>
      <c r="E832" s="514"/>
      <c r="H832" s="544"/>
      <c r="I832" s="514"/>
      <c r="J832" s="248"/>
      <c r="K832" s="248"/>
      <c r="L832" s="514"/>
      <c r="M832" s="248"/>
      <c r="N832" s="528"/>
      <c r="O832" s="248"/>
      <c r="P832" s="248"/>
      <c r="Q832" s="248"/>
      <c r="R832" s="248"/>
      <c r="S832" s="248"/>
      <c r="T832" s="248"/>
      <c r="U832" s="248"/>
      <c r="V832" s="503"/>
      <c r="W832" s="503"/>
      <c r="X832" s="503"/>
      <c r="Y832" s="503"/>
      <c r="Z832" s="503"/>
      <c r="AA832" s="503"/>
      <c r="AC832" s="248"/>
      <c r="AD832" s="528"/>
      <c r="AE832" s="248"/>
      <c r="AF832" s="248"/>
    </row>
    <row r="833" spans="4:32" x14ac:dyDescent="0.3">
      <c r="D833" s="514"/>
      <c r="E833" s="514"/>
      <c r="H833" s="544"/>
      <c r="I833" s="514"/>
      <c r="J833" s="248"/>
      <c r="K833" s="248"/>
      <c r="L833" s="514"/>
      <c r="M833" s="248"/>
      <c r="N833" s="528"/>
      <c r="O833" s="248"/>
      <c r="P833" s="248"/>
      <c r="Q833" s="248"/>
      <c r="R833" s="248"/>
      <c r="S833" s="248"/>
      <c r="T833" s="248"/>
      <c r="U833" s="248"/>
      <c r="V833" s="503"/>
      <c r="W833" s="503"/>
      <c r="X833" s="503"/>
      <c r="Y833" s="503"/>
      <c r="Z833" s="503"/>
      <c r="AA833" s="503"/>
      <c r="AC833" s="248"/>
      <c r="AD833" s="528"/>
      <c r="AE833" s="248"/>
      <c r="AF833" s="248"/>
    </row>
    <row r="834" spans="4:32" x14ac:dyDescent="0.3">
      <c r="D834" s="514"/>
      <c r="E834" s="514"/>
      <c r="H834" s="544"/>
      <c r="I834" s="514"/>
      <c r="J834" s="248"/>
      <c r="K834" s="248"/>
      <c r="L834" s="514"/>
      <c r="M834" s="248"/>
      <c r="N834" s="528"/>
      <c r="O834" s="248"/>
      <c r="P834" s="248"/>
      <c r="Q834" s="248"/>
      <c r="R834" s="248"/>
      <c r="S834" s="248"/>
      <c r="T834" s="248"/>
      <c r="U834" s="248"/>
      <c r="V834" s="503"/>
      <c r="W834" s="503"/>
      <c r="X834" s="503"/>
      <c r="Y834" s="503"/>
      <c r="Z834" s="503"/>
      <c r="AA834" s="503"/>
      <c r="AC834" s="248"/>
      <c r="AD834" s="528"/>
      <c r="AE834" s="248"/>
      <c r="AF834" s="248"/>
    </row>
    <row r="835" spans="4:32" x14ac:dyDescent="0.3">
      <c r="D835" s="514"/>
      <c r="E835" s="514"/>
      <c r="H835" s="544"/>
      <c r="I835" s="514"/>
      <c r="J835" s="248"/>
      <c r="K835" s="248"/>
      <c r="L835" s="514"/>
      <c r="M835" s="248"/>
      <c r="N835" s="528"/>
      <c r="O835" s="248"/>
      <c r="P835" s="248"/>
      <c r="Q835" s="248"/>
      <c r="R835" s="248"/>
      <c r="S835" s="248"/>
      <c r="T835" s="248"/>
      <c r="U835" s="248"/>
      <c r="V835" s="503"/>
      <c r="W835" s="503"/>
      <c r="X835" s="503"/>
      <c r="Y835" s="503"/>
      <c r="Z835" s="503"/>
      <c r="AA835" s="503"/>
      <c r="AC835" s="248"/>
      <c r="AD835" s="528"/>
      <c r="AE835" s="248"/>
      <c r="AF835" s="248"/>
    </row>
    <row r="836" spans="4:32" x14ac:dyDescent="0.3">
      <c r="D836" s="514"/>
      <c r="E836" s="514"/>
      <c r="H836" s="544"/>
      <c r="I836" s="514"/>
      <c r="J836" s="248"/>
      <c r="K836" s="248"/>
      <c r="L836" s="514"/>
      <c r="M836" s="248"/>
      <c r="N836" s="528"/>
      <c r="O836" s="248"/>
      <c r="P836" s="248"/>
      <c r="Q836" s="248"/>
      <c r="R836" s="248"/>
      <c r="S836" s="248"/>
      <c r="T836" s="248"/>
      <c r="U836" s="248"/>
      <c r="V836" s="503"/>
      <c r="W836" s="503"/>
      <c r="X836" s="503"/>
      <c r="Y836" s="503"/>
      <c r="Z836" s="503"/>
      <c r="AA836" s="503"/>
      <c r="AC836" s="248"/>
      <c r="AD836" s="528"/>
      <c r="AE836" s="248"/>
      <c r="AF836" s="248"/>
    </row>
    <row r="837" spans="4:32" x14ac:dyDescent="0.3">
      <c r="D837" s="514"/>
      <c r="E837" s="514"/>
      <c r="H837" s="544"/>
      <c r="I837" s="514"/>
      <c r="J837" s="248"/>
      <c r="K837" s="248"/>
      <c r="L837" s="514"/>
      <c r="M837" s="248"/>
      <c r="N837" s="528"/>
      <c r="O837" s="248"/>
      <c r="P837" s="248"/>
      <c r="Q837" s="248"/>
      <c r="R837" s="248"/>
      <c r="S837" s="248"/>
      <c r="T837" s="248"/>
      <c r="U837" s="248"/>
      <c r="V837" s="503"/>
      <c r="W837" s="503"/>
      <c r="X837" s="503"/>
      <c r="Y837" s="503"/>
      <c r="Z837" s="503"/>
      <c r="AA837" s="503"/>
      <c r="AC837" s="248"/>
      <c r="AD837" s="528"/>
      <c r="AE837" s="248"/>
      <c r="AF837" s="248"/>
    </row>
    <row r="838" spans="4:32" x14ac:dyDescent="0.3">
      <c r="D838" s="514"/>
      <c r="E838" s="514"/>
      <c r="H838" s="544"/>
      <c r="I838" s="514"/>
      <c r="J838" s="248"/>
      <c r="K838" s="248"/>
      <c r="L838" s="514"/>
      <c r="M838" s="248"/>
      <c r="N838" s="528"/>
      <c r="O838" s="248"/>
      <c r="P838" s="248"/>
      <c r="Q838" s="248"/>
      <c r="R838" s="248"/>
      <c r="S838" s="248"/>
      <c r="T838" s="248"/>
      <c r="U838" s="248"/>
      <c r="V838" s="503"/>
      <c r="W838" s="503"/>
      <c r="X838" s="503"/>
      <c r="Y838" s="503"/>
      <c r="Z838" s="503"/>
      <c r="AA838" s="503"/>
      <c r="AC838" s="248"/>
      <c r="AD838" s="528"/>
      <c r="AE838" s="248"/>
      <c r="AF838" s="248"/>
    </row>
    <row r="839" spans="4:32" x14ac:dyDescent="0.3">
      <c r="D839" s="514"/>
      <c r="E839" s="514"/>
      <c r="H839" s="544"/>
      <c r="I839" s="514"/>
      <c r="J839" s="248"/>
      <c r="K839" s="248"/>
      <c r="L839" s="514"/>
      <c r="M839" s="248"/>
      <c r="N839" s="528"/>
      <c r="O839" s="248"/>
      <c r="P839" s="248"/>
      <c r="Q839" s="248"/>
      <c r="R839" s="248"/>
      <c r="S839" s="248"/>
      <c r="T839" s="248"/>
      <c r="U839" s="248"/>
      <c r="V839" s="503"/>
      <c r="W839" s="503"/>
      <c r="X839" s="503"/>
      <c r="Y839" s="503"/>
      <c r="Z839" s="503"/>
      <c r="AA839" s="503"/>
      <c r="AC839" s="248"/>
      <c r="AD839" s="528"/>
      <c r="AE839" s="248"/>
      <c r="AF839" s="248"/>
    </row>
    <row r="840" spans="4:32" x14ac:dyDescent="0.3">
      <c r="D840" s="514"/>
      <c r="E840" s="514"/>
      <c r="H840" s="544"/>
      <c r="I840" s="514"/>
      <c r="J840" s="248"/>
      <c r="K840" s="248"/>
      <c r="L840" s="514"/>
      <c r="M840" s="248"/>
      <c r="N840" s="528"/>
      <c r="O840" s="248"/>
      <c r="P840" s="248"/>
      <c r="Q840" s="248"/>
      <c r="R840" s="248"/>
      <c r="S840" s="248"/>
      <c r="T840" s="248"/>
      <c r="U840" s="248"/>
      <c r="V840" s="503"/>
      <c r="W840" s="503"/>
      <c r="X840" s="503"/>
      <c r="Y840" s="503"/>
      <c r="Z840" s="503"/>
      <c r="AA840" s="503"/>
      <c r="AC840" s="248"/>
      <c r="AD840" s="528"/>
      <c r="AE840" s="248"/>
      <c r="AF840" s="248"/>
    </row>
    <row r="841" spans="4:32" x14ac:dyDescent="0.3">
      <c r="D841" s="514"/>
      <c r="E841" s="514"/>
      <c r="H841" s="544"/>
      <c r="I841" s="514"/>
      <c r="J841" s="248"/>
      <c r="K841" s="248"/>
      <c r="L841" s="514"/>
      <c r="M841" s="248"/>
      <c r="N841" s="528"/>
      <c r="O841" s="248"/>
      <c r="P841" s="248"/>
      <c r="Q841" s="248"/>
      <c r="R841" s="248"/>
      <c r="S841" s="248"/>
      <c r="T841" s="248"/>
      <c r="U841" s="248"/>
      <c r="V841" s="503"/>
      <c r="W841" s="503"/>
      <c r="X841" s="503"/>
      <c r="Y841" s="503"/>
      <c r="Z841" s="503"/>
      <c r="AA841" s="503"/>
      <c r="AC841" s="248"/>
      <c r="AD841" s="528"/>
      <c r="AE841" s="248"/>
      <c r="AF841" s="248"/>
    </row>
    <row r="842" spans="4:32" x14ac:dyDescent="0.3">
      <c r="D842" s="514"/>
      <c r="E842" s="514"/>
      <c r="H842" s="544"/>
      <c r="I842" s="514"/>
      <c r="J842" s="248"/>
      <c r="K842" s="248"/>
      <c r="L842" s="514"/>
      <c r="M842" s="248"/>
      <c r="N842" s="528"/>
      <c r="O842" s="248"/>
      <c r="P842" s="248"/>
      <c r="Q842" s="248"/>
      <c r="R842" s="248"/>
      <c r="S842" s="248"/>
      <c r="T842" s="248"/>
      <c r="U842" s="248"/>
      <c r="V842" s="503"/>
      <c r="W842" s="503"/>
      <c r="X842" s="503"/>
      <c r="Y842" s="503"/>
      <c r="Z842" s="503"/>
      <c r="AA842" s="503"/>
      <c r="AC842" s="248"/>
      <c r="AD842" s="528"/>
      <c r="AE842" s="248"/>
      <c r="AF842" s="248"/>
    </row>
    <row r="843" spans="4:32" x14ac:dyDescent="0.3">
      <c r="D843" s="514"/>
      <c r="E843" s="514"/>
      <c r="H843" s="544"/>
      <c r="I843" s="514"/>
      <c r="J843" s="248"/>
      <c r="K843" s="248"/>
      <c r="L843" s="514"/>
      <c r="M843" s="248"/>
      <c r="N843" s="528"/>
      <c r="O843" s="248"/>
      <c r="P843" s="248"/>
      <c r="Q843" s="248"/>
      <c r="R843" s="248"/>
      <c r="S843" s="248"/>
      <c r="T843" s="248"/>
      <c r="U843" s="248"/>
      <c r="V843" s="503"/>
      <c r="W843" s="503"/>
      <c r="X843" s="503"/>
      <c r="Y843" s="503"/>
      <c r="Z843" s="503"/>
      <c r="AA843" s="503"/>
      <c r="AC843" s="248"/>
      <c r="AD843" s="528"/>
      <c r="AE843" s="248"/>
      <c r="AF843" s="248"/>
    </row>
    <row r="844" spans="4:32" x14ac:dyDescent="0.3">
      <c r="D844" s="514"/>
      <c r="E844" s="514"/>
      <c r="H844" s="544"/>
      <c r="I844" s="514"/>
      <c r="J844" s="248"/>
      <c r="K844" s="248"/>
      <c r="L844" s="514"/>
      <c r="M844" s="248"/>
      <c r="N844" s="528"/>
      <c r="O844" s="248"/>
      <c r="P844" s="248"/>
      <c r="Q844" s="248"/>
      <c r="R844" s="248"/>
      <c r="S844" s="248"/>
      <c r="T844" s="248"/>
      <c r="U844" s="248"/>
      <c r="V844" s="503"/>
      <c r="W844" s="503"/>
      <c r="X844" s="503"/>
      <c r="Y844" s="503"/>
      <c r="Z844" s="503"/>
      <c r="AA844" s="503"/>
      <c r="AC844" s="248"/>
      <c r="AD844" s="528"/>
      <c r="AE844" s="248"/>
      <c r="AF844" s="248"/>
    </row>
    <row r="845" spans="4:32" x14ac:dyDescent="0.3">
      <c r="D845" s="514"/>
      <c r="E845" s="514"/>
      <c r="H845" s="544"/>
      <c r="I845" s="514"/>
      <c r="J845" s="248"/>
      <c r="K845" s="248"/>
      <c r="L845" s="514"/>
      <c r="M845" s="248"/>
      <c r="N845" s="528"/>
      <c r="O845" s="248"/>
      <c r="P845" s="248"/>
      <c r="Q845" s="248"/>
      <c r="R845" s="248"/>
      <c r="S845" s="248"/>
      <c r="T845" s="248"/>
      <c r="U845" s="248"/>
      <c r="V845" s="503"/>
      <c r="W845" s="503"/>
      <c r="X845" s="503"/>
      <c r="Y845" s="503"/>
      <c r="Z845" s="503"/>
      <c r="AA845" s="503"/>
      <c r="AC845" s="248"/>
      <c r="AD845" s="528"/>
      <c r="AE845" s="248"/>
      <c r="AF845" s="248"/>
    </row>
    <row r="846" spans="4:32" x14ac:dyDescent="0.3">
      <c r="D846" s="514"/>
      <c r="E846" s="514"/>
      <c r="H846" s="544"/>
      <c r="I846" s="514"/>
      <c r="J846" s="248"/>
      <c r="K846" s="248"/>
      <c r="L846" s="514"/>
      <c r="M846" s="248"/>
      <c r="N846" s="528"/>
      <c r="O846" s="248"/>
      <c r="P846" s="248"/>
      <c r="Q846" s="248"/>
      <c r="R846" s="248"/>
      <c r="S846" s="248"/>
      <c r="T846" s="248"/>
      <c r="U846" s="248"/>
      <c r="V846" s="503"/>
      <c r="W846" s="503"/>
      <c r="X846" s="503"/>
      <c r="Y846" s="503"/>
      <c r="Z846" s="503"/>
      <c r="AA846" s="503"/>
      <c r="AC846" s="248"/>
      <c r="AD846" s="528"/>
      <c r="AE846" s="248"/>
      <c r="AF846" s="248"/>
    </row>
    <row r="847" spans="4:32" x14ac:dyDescent="0.3">
      <c r="D847" s="514"/>
      <c r="E847" s="514"/>
      <c r="H847" s="544"/>
      <c r="I847" s="514"/>
      <c r="J847" s="248"/>
      <c r="K847" s="248"/>
      <c r="L847" s="514"/>
      <c r="M847" s="248"/>
      <c r="N847" s="528"/>
      <c r="O847" s="248"/>
      <c r="P847" s="248"/>
      <c r="Q847" s="248"/>
      <c r="R847" s="248"/>
      <c r="S847" s="248"/>
      <c r="T847" s="248"/>
      <c r="U847" s="248"/>
      <c r="V847" s="503"/>
      <c r="W847" s="503"/>
      <c r="X847" s="503"/>
      <c r="Y847" s="503"/>
      <c r="Z847" s="503"/>
      <c r="AA847" s="503"/>
      <c r="AC847" s="248"/>
      <c r="AD847" s="528"/>
      <c r="AE847" s="248"/>
      <c r="AF847" s="248"/>
    </row>
    <row r="848" spans="4:32" x14ac:dyDescent="0.3">
      <c r="D848" s="514"/>
      <c r="E848" s="514"/>
      <c r="H848" s="544"/>
      <c r="I848" s="514"/>
      <c r="J848" s="248"/>
      <c r="K848" s="248"/>
      <c r="L848" s="514"/>
      <c r="M848" s="248"/>
      <c r="N848" s="528"/>
      <c r="O848" s="248"/>
      <c r="P848" s="248"/>
      <c r="Q848" s="248"/>
      <c r="R848" s="248"/>
      <c r="S848" s="248"/>
      <c r="T848" s="248"/>
      <c r="U848" s="248"/>
      <c r="V848" s="503"/>
      <c r="W848" s="503"/>
      <c r="X848" s="503"/>
      <c r="Y848" s="503"/>
      <c r="Z848" s="503"/>
      <c r="AA848" s="503"/>
      <c r="AC848" s="248"/>
      <c r="AD848" s="528"/>
      <c r="AE848" s="248"/>
      <c r="AF848" s="248"/>
    </row>
    <row r="849" spans="4:36" x14ac:dyDescent="0.3">
      <c r="D849" s="514"/>
      <c r="E849" s="514"/>
      <c r="H849" s="544"/>
      <c r="I849" s="514"/>
      <c r="J849" s="248"/>
      <c r="K849" s="248"/>
      <c r="L849" s="514"/>
      <c r="M849" s="248"/>
      <c r="N849" s="528"/>
      <c r="O849" s="248"/>
      <c r="P849" s="248"/>
      <c r="Q849" s="248"/>
      <c r="R849" s="248"/>
      <c r="S849" s="248"/>
      <c r="T849" s="248"/>
      <c r="U849" s="248"/>
      <c r="V849" s="503"/>
      <c r="W849" s="503"/>
      <c r="X849" s="503"/>
      <c r="Y849" s="503"/>
      <c r="Z849" s="503"/>
      <c r="AA849" s="503"/>
      <c r="AC849" s="248"/>
      <c r="AD849" s="528"/>
      <c r="AE849" s="248"/>
      <c r="AF849" s="248"/>
    </row>
    <row r="850" spans="4:36" x14ac:dyDescent="0.3">
      <c r="D850" s="514"/>
      <c r="E850" s="514"/>
      <c r="H850" s="544"/>
      <c r="I850" s="514"/>
      <c r="J850" s="248"/>
      <c r="K850" s="248"/>
      <c r="L850" s="514"/>
      <c r="M850" s="248"/>
      <c r="N850" s="528"/>
      <c r="O850" s="248"/>
      <c r="P850" s="248"/>
      <c r="Q850" s="248"/>
      <c r="R850" s="248"/>
      <c r="S850" s="248"/>
      <c r="T850" s="248"/>
      <c r="U850" s="248"/>
      <c r="V850" s="503"/>
      <c r="W850" s="503"/>
      <c r="X850" s="503"/>
      <c r="Y850" s="503"/>
      <c r="Z850" s="503"/>
      <c r="AA850" s="503"/>
      <c r="AC850" s="248"/>
      <c r="AD850" s="528"/>
      <c r="AE850" s="248"/>
      <c r="AF850" s="248"/>
    </row>
    <row r="851" spans="4:36" x14ac:dyDescent="0.3">
      <c r="D851" s="514"/>
      <c r="E851" s="514"/>
      <c r="H851" s="544"/>
      <c r="I851" s="514"/>
      <c r="J851" s="248"/>
      <c r="K851" s="248"/>
      <c r="L851" s="514"/>
      <c r="M851" s="248"/>
      <c r="N851" s="528"/>
      <c r="O851" s="248"/>
      <c r="P851" s="248"/>
      <c r="Q851" s="248"/>
      <c r="R851" s="248"/>
      <c r="S851" s="248"/>
      <c r="T851" s="248"/>
      <c r="U851" s="248"/>
      <c r="V851" s="503"/>
      <c r="W851" s="503"/>
      <c r="X851" s="503"/>
      <c r="Y851" s="503"/>
      <c r="Z851" s="503"/>
      <c r="AA851" s="503"/>
      <c r="AC851" s="248"/>
      <c r="AD851" s="528"/>
      <c r="AE851" s="248"/>
      <c r="AF851" s="248"/>
    </row>
    <row r="852" spans="4:36" x14ac:dyDescent="0.3">
      <c r="D852" s="514"/>
      <c r="E852" s="514"/>
      <c r="H852" s="544"/>
      <c r="I852" s="514"/>
      <c r="J852" s="248"/>
      <c r="K852" s="248"/>
      <c r="L852" s="514"/>
      <c r="M852" s="248"/>
      <c r="N852" s="528"/>
      <c r="O852" s="248"/>
      <c r="P852" s="248"/>
      <c r="Q852" s="248"/>
      <c r="R852" s="248"/>
      <c r="S852" s="248"/>
      <c r="T852" s="248"/>
      <c r="U852" s="248"/>
      <c r="V852" s="503"/>
      <c r="W852" s="503"/>
      <c r="X852" s="503"/>
      <c r="Y852" s="503"/>
      <c r="Z852" s="503"/>
      <c r="AA852" s="503"/>
      <c r="AC852" s="248"/>
      <c r="AD852" s="528"/>
      <c r="AE852" s="248"/>
      <c r="AF852" s="248"/>
    </row>
    <row r="853" spans="4:36" x14ac:dyDescent="0.3">
      <c r="D853" s="514"/>
      <c r="E853" s="514"/>
      <c r="H853" s="544"/>
      <c r="I853" s="514"/>
      <c r="J853" s="248"/>
      <c r="K853" s="248"/>
      <c r="L853" s="514"/>
      <c r="M853" s="248"/>
      <c r="N853" s="528"/>
      <c r="O853" s="248"/>
      <c r="P853" s="248"/>
      <c r="Q853" s="248"/>
      <c r="R853" s="248"/>
      <c r="S853" s="248"/>
      <c r="T853" s="248"/>
      <c r="U853" s="248"/>
      <c r="V853" s="503"/>
      <c r="W853" s="503"/>
      <c r="X853" s="503"/>
      <c r="Y853" s="503"/>
      <c r="Z853" s="503"/>
      <c r="AA853" s="503"/>
      <c r="AC853" s="248"/>
      <c r="AD853" s="528"/>
      <c r="AE853" s="248"/>
      <c r="AF853" s="248"/>
    </row>
    <row r="854" spans="4:36" x14ac:dyDescent="0.3">
      <c r="D854" s="514"/>
      <c r="E854" s="514"/>
      <c r="H854" s="544"/>
      <c r="I854" s="514"/>
      <c r="J854" s="248"/>
      <c r="K854" s="248"/>
      <c r="L854" s="514"/>
      <c r="M854" s="248"/>
      <c r="N854" s="528"/>
      <c r="O854" s="248"/>
      <c r="P854" s="248"/>
      <c r="Q854" s="248"/>
      <c r="R854" s="248"/>
      <c r="S854" s="248"/>
      <c r="T854" s="248"/>
      <c r="U854" s="248"/>
      <c r="V854" s="503"/>
      <c r="W854" s="503"/>
      <c r="X854" s="503"/>
      <c r="Y854" s="503"/>
      <c r="Z854" s="503"/>
      <c r="AA854" s="503"/>
      <c r="AC854" s="248"/>
      <c r="AD854" s="528"/>
      <c r="AE854" s="248"/>
      <c r="AF854" s="248"/>
      <c r="AJ854" s="239"/>
    </row>
    <row r="855" spans="4:36" x14ac:dyDescent="0.3">
      <c r="D855" s="514"/>
      <c r="E855" s="514"/>
      <c r="H855" s="544"/>
      <c r="I855" s="514"/>
      <c r="J855" s="248"/>
      <c r="K855" s="248"/>
      <c r="L855" s="514"/>
      <c r="M855" s="248"/>
      <c r="N855" s="528"/>
      <c r="O855" s="248"/>
      <c r="P855" s="248"/>
      <c r="Q855" s="248"/>
      <c r="R855" s="248"/>
      <c r="S855" s="248"/>
      <c r="T855" s="248"/>
      <c r="U855" s="248"/>
      <c r="V855" s="503"/>
      <c r="W855" s="503"/>
      <c r="X855" s="503"/>
      <c r="Y855" s="503"/>
      <c r="Z855" s="503"/>
      <c r="AA855" s="503"/>
      <c r="AC855" s="248"/>
      <c r="AD855" s="528"/>
      <c r="AE855" s="248"/>
      <c r="AF855" s="248"/>
    </row>
    <row r="856" spans="4:36" x14ac:dyDescent="0.3">
      <c r="D856" s="514"/>
      <c r="E856" s="514"/>
      <c r="H856" s="544"/>
      <c r="I856" s="514"/>
      <c r="J856" s="248"/>
      <c r="K856" s="248"/>
      <c r="L856" s="514"/>
      <c r="M856" s="248"/>
      <c r="N856" s="528"/>
      <c r="O856" s="248"/>
      <c r="P856" s="248"/>
      <c r="Q856" s="248"/>
      <c r="R856" s="248"/>
      <c r="S856" s="248"/>
      <c r="T856" s="248"/>
      <c r="U856" s="248"/>
      <c r="V856" s="503"/>
      <c r="W856" s="503"/>
      <c r="X856" s="503"/>
      <c r="Y856" s="503"/>
      <c r="Z856" s="503"/>
      <c r="AA856" s="503"/>
      <c r="AC856" s="248"/>
      <c r="AD856" s="528"/>
      <c r="AE856" s="248"/>
      <c r="AF856" s="248"/>
    </row>
    <row r="857" spans="4:36" x14ac:dyDescent="0.3">
      <c r="D857" s="514"/>
      <c r="E857" s="514"/>
      <c r="H857" s="544"/>
      <c r="I857" s="514"/>
      <c r="J857" s="248"/>
      <c r="K857" s="248"/>
      <c r="L857" s="514"/>
      <c r="M857" s="248"/>
      <c r="N857" s="528"/>
      <c r="O857" s="248"/>
      <c r="P857" s="248"/>
      <c r="Q857" s="248"/>
      <c r="R857" s="248"/>
      <c r="S857" s="248"/>
      <c r="T857" s="248"/>
      <c r="U857" s="248"/>
      <c r="V857" s="503"/>
      <c r="W857" s="503"/>
      <c r="X857" s="503"/>
      <c r="Y857" s="503"/>
      <c r="Z857" s="503"/>
      <c r="AA857" s="503"/>
      <c r="AC857" s="248"/>
      <c r="AD857" s="528"/>
      <c r="AE857" s="248"/>
      <c r="AF857" s="248"/>
    </row>
    <row r="858" spans="4:36" x14ac:dyDescent="0.3">
      <c r="D858" s="514"/>
      <c r="E858" s="514"/>
      <c r="H858" s="544"/>
      <c r="I858" s="514"/>
      <c r="J858" s="248"/>
      <c r="K858" s="248"/>
      <c r="L858" s="514"/>
      <c r="M858" s="248"/>
      <c r="N858" s="528"/>
      <c r="O858" s="248"/>
      <c r="P858" s="248"/>
      <c r="Q858" s="248"/>
      <c r="R858" s="248"/>
      <c r="S858" s="248"/>
      <c r="T858" s="248"/>
      <c r="U858" s="248"/>
      <c r="V858" s="503"/>
      <c r="W858" s="503"/>
      <c r="X858" s="503"/>
      <c r="Y858" s="503"/>
      <c r="Z858" s="503"/>
      <c r="AA858" s="503"/>
      <c r="AC858" s="248"/>
      <c r="AD858" s="528"/>
      <c r="AE858" s="248"/>
      <c r="AF858" s="248"/>
    </row>
    <row r="859" spans="4:36" x14ac:dyDescent="0.3">
      <c r="D859" s="514"/>
      <c r="E859" s="514"/>
      <c r="H859" s="544"/>
      <c r="I859" s="514"/>
      <c r="J859" s="248"/>
      <c r="K859" s="248"/>
      <c r="L859" s="514"/>
      <c r="M859" s="248"/>
      <c r="N859" s="528"/>
      <c r="O859" s="248"/>
      <c r="P859" s="248"/>
      <c r="Q859" s="248"/>
      <c r="R859" s="248"/>
      <c r="S859" s="248"/>
      <c r="T859" s="248"/>
      <c r="U859" s="248"/>
      <c r="V859" s="503"/>
      <c r="W859" s="503"/>
      <c r="X859" s="503"/>
      <c r="Y859" s="503"/>
      <c r="Z859" s="503"/>
      <c r="AA859" s="503"/>
      <c r="AC859" s="248"/>
      <c r="AD859" s="528"/>
      <c r="AE859" s="248"/>
      <c r="AF859" s="248"/>
    </row>
    <row r="860" spans="4:36" x14ac:dyDescent="0.3">
      <c r="D860" s="514"/>
      <c r="E860" s="514"/>
      <c r="H860" s="544"/>
      <c r="I860" s="514"/>
      <c r="J860" s="248"/>
      <c r="K860" s="248"/>
      <c r="L860" s="514"/>
      <c r="M860" s="248"/>
      <c r="N860" s="528"/>
      <c r="O860" s="248"/>
      <c r="P860" s="248"/>
      <c r="Q860" s="248"/>
      <c r="R860" s="248"/>
      <c r="S860" s="248"/>
      <c r="T860" s="248"/>
      <c r="U860" s="248"/>
      <c r="V860" s="503"/>
      <c r="W860" s="503"/>
      <c r="X860" s="503"/>
      <c r="Y860" s="503"/>
      <c r="Z860" s="503"/>
      <c r="AA860" s="503"/>
      <c r="AC860" s="248"/>
      <c r="AD860" s="528"/>
      <c r="AE860" s="248"/>
      <c r="AF860" s="248"/>
    </row>
    <row r="861" spans="4:36" x14ac:dyDescent="0.3">
      <c r="D861" s="514"/>
      <c r="E861" s="514"/>
      <c r="H861" s="544"/>
      <c r="I861" s="514"/>
      <c r="J861" s="248"/>
      <c r="K861" s="248"/>
      <c r="L861" s="514"/>
      <c r="M861" s="248"/>
      <c r="N861" s="528"/>
      <c r="O861" s="248"/>
      <c r="P861" s="248"/>
      <c r="Q861" s="248"/>
      <c r="R861" s="248"/>
      <c r="S861" s="248"/>
      <c r="T861" s="248"/>
      <c r="U861" s="248"/>
      <c r="V861" s="503"/>
      <c r="W861" s="503"/>
      <c r="X861" s="503"/>
      <c r="Y861" s="503"/>
      <c r="Z861" s="503"/>
      <c r="AA861" s="503"/>
      <c r="AC861" s="248"/>
      <c r="AD861" s="528"/>
      <c r="AE861" s="248"/>
      <c r="AF861" s="248"/>
    </row>
    <row r="862" spans="4:36" x14ac:dyDescent="0.3">
      <c r="D862" s="514"/>
      <c r="E862" s="514"/>
      <c r="H862" s="544"/>
      <c r="I862" s="514"/>
      <c r="J862" s="248"/>
      <c r="K862" s="248"/>
      <c r="L862" s="514"/>
      <c r="M862" s="248"/>
      <c r="N862" s="528"/>
      <c r="O862" s="248"/>
      <c r="P862" s="248"/>
      <c r="Q862" s="248"/>
      <c r="R862" s="248"/>
      <c r="S862" s="248"/>
      <c r="T862" s="248"/>
      <c r="U862" s="248"/>
      <c r="V862" s="503"/>
      <c r="W862" s="503"/>
      <c r="X862" s="503"/>
      <c r="Y862" s="503"/>
      <c r="Z862" s="503"/>
      <c r="AA862" s="503"/>
      <c r="AC862" s="248"/>
      <c r="AD862" s="528"/>
      <c r="AE862" s="248"/>
      <c r="AF862" s="248"/>
    </row>
    <row r="863" spans="4:36" x14ac:dyDescent="0.3">
      <c r="D863" s="514"/>
      <c r="E863" s="514"/>
      <c r="H863" s="544"/>
      <c r="I863" s="514"/>
      <c r="J863" s="248"/>
      <c r="K863" s="248"/>
      <c r="L863" s="514"/>
      <c r="M863" s="248"/>
      <c r="N863" s="528"/>
      <c r="O863" s="248"/>
      <c r="P863" s="248"/>
      <c r="Q863" s="248"/>
      <c r="R863" s="248"/>
      <c r="S863" s="248"/>
      <c r="T863" s="248"/>
      <c r="U863" s="248"/>
      <c r="V863" s="503"/>
      <c r="W863" s="503"/>
      <c r="X863" s="503"/>
      <c r="Y863" s="503"/>
      <c r="Z863" s="503"/>
      <c r="AA863" s="503"/>
      <c r="AC863" s="248"/>
      <c r="AD863" s="528"/>
      <c r="AE863" s="248"/>
      <c r="AF863" s="248"/>
    </row>
    <row r="864" spans="4:36" x14ac:dyDescent="0.3">
      <c r="D864" s="514"/>
      <c r="E864" s="514"/>
      <c r="H864" s="544"/>
      <c r="I864" s="514"/>
      <c r="J864" s="248"/>
      <c r="K864" s="248"/>
      <c r="L864" s="514"/>
      <c r="M864" s="248"/>
      <c r="N864" s="528"/>
      <c r="O864" s="248"/>
      <c r="P864" s="248"/>
      <c r="Q864" s="248"/>
      <c r="R864" s="248"/>
      <c r="S864" s="248"/>
      <c r="T864" s="248"/>
      <c r="U864" s="248"/>
      <c r="V864" s="503"/>
      <c r="W864" s="503"/>
      <c r="X864" s="503"/>
      <c r="Y864" s="503"/>
      <c r="Z864" s="503"/>
      <c r="AA864" s="503"/>
      <c r="AC864" s="248"/>
      <c r="AD864" s="528"/>
      <c r="AE864" s="248"/>
      <c r="AF864" s="248"/>
    </row>
    <row r="865" spans="4:32" x14ac:dyDescent="0.3">
      <c r="D865" s="514"/>
      <c r="E865" s="514"/>
      <c r="H865" s="544"/>
      <c r="I865" s="514"/>
      <c r="J865" s="248"/>
      <c r="K865" s="248"/>
      <c r="L865" s="514"/>
      <c r="M865" s="248"/>
      <c r="N865" s="528"/>
      <c r="O865" s="248"/>
      <c r="P865" s="248"/>
      <c r="Q865" s="248"/>
      <c r="R865" s="248"/>
      <c r="S865" s="248"/>
      <c r="T865" s="248"/>
      <c r="U865" s="248"/>
      <c r="V865" s="503"/>
      <c r="W865" s="503"/>
      <c r="X865" s="503"/>
      <c r="Y865" s="503"/>
      <c r="Z865" s="503"/>
      <c r="AA865" s="503"/>
      <c r="AC865" s="248"/>
      <c r="AD865" s="528"/>
      <c r="AE865" s="248"/>
      <c r="AF865" s="248"/>
    </row>
    <row r="866" spans="4:32" x14ac:dyDescent="0.3">
      <c r="D866" s="514"/>
      <c r="E866" s="514"/>
      <c r="H866" s="544"/>
      <c r="I866" s="514"/>
      <c r="J866" s="248"/>
      <c r="K866" s="248"/>
      <c r="L866" s="514"/>
      <c r="M866" s="248"/>
      <c r="N866" s="528"/>
      <c r="O866" s="248"/>
      <c r="P866" s="248"/>
      <c r="Q866" s="248"/>
      <c r="R866" s="248"/>
      <c r="S866" s="248"/>
      <c r="T866" s="248"/>
      <c r="U866" s="248"/>
      <c r="V866" s="503"/>
      <c r="W866" s="503"/>
      <c r="X866" s="503"/>
      <c r="Y866" s="503"/>
      <c r="Z866" s="503"/>
      <c r="AA866" s="503"/>
      <c r="AC866" s="248"/>
      <c r="AD866" s="528"/>
      <c r="AE866" s="248"/>
      <c r="AF866" s="248"/>
    </row>
    <row r="867" spans="4:32" x14ac:dyDescent="0.3">
      <c r="D867" s="514"/>
      <c r="E867" s="514"/>
      <c r="H867" s="544"/>
      <c r="I867" s="514"/>
      <c r="J867" s="248"/>
      <c r="K867" s="248"/>
      <c r="L867" s="514"/>
      <c r="M867" s="248"/>
      <c r="N867" s="528"/>
      <c r="O867" s="248"/>
      <c r="P867" s="248"/>
      <c r="Q867" s="248"/>
      <c r="R867" s="248"/>
      <c r="S867" s="248"/>
      <c r="T867" s="248"/>
      <c r="U867" s="248"/>
      <c r="V867" s="503"/>
      <c r="W867" s="503"/>
      <c r="X867" s="503"/>
      <c r="Y867" s="503"/>
      <c r="Z867" s="503"/>
      <c r="AA867" s="503"/>
      <c r="AC867" s="248"/>
      <c r="AD867" s="528"/>
      <c r="AE867" s="248"/>
      <c r="AF867" s="248"/>
    </row>
    <row r="868" spans="4:32" x14ac:dyDescent="0.3">
      <c r="D868" s="514"/>
      <c r="E868" s="514"/>
      <c r="H868" s="544"/>
      <c r="I868" s="514"/>
      <c r="J868" s="248"/>
      <c r="K868" s="248"/>
      <c r="L868" s="514"/>
      <c r="M868" s="248"/>
      <c r="N868" s="528"/>
      <c r="O868" s="248"/>
      <c r="P868" s="248"/>
      <c r="Q868" s="248"/>
      <c r="R868" s="248"/>
      <c r="S868" s="248"/>
      <c r="T868" s="248"/>
      <c r="U868" s="248"/>
      <c r="V868" s="503"/>
      <c r="W868" s="503"/>
      <c r="X868" s="503"/>
      <c r="Y868" s="503"/>
      <c r="Z868" s="503"/>
      <c r="AA868" s="503"/>
      <c r="AC868" s="248"/>
      <c r="AD868" s="528"/>
      <c r="AE868" s="248"/>
      <c r="AF868" s="248"/>
    </row>
    <row r="869" spans="4:32" x14ac:dyDescent="0.3">
      <c r="D869" s="514"/>
      <c r="E869" s="514"/>
      <c r="H869" s="544"/>
      <c r="I869" s="514"/>
      <c r="J869" s="248"/>
      <c r="K869" s="248"/>
      <c r="L869" s="514"/>
      <c r="M869" s="248"/>
      <c r="N869" s="528"/>
      <c r="O869" s="248"/>
      <c r="P869" s="248"/>
      <c r="Q869" s="248"/>
      <c r="R869" s="248"/>
      <c r="S869" s="248"/>
      <c r="T869" s="248"/>
      <c r="U869" s="248"/>
      <c r="V869" s="503"/>
      <c r="W869" s="503"/>
      <c r="X869" s="503"/>
      <c r="Y869" s="503"/>
      <c r="Z869" s="503"/>
      <c r="AA869" s="503"/>
      <c r="AC869" s="248"/>
      <c r="AD869" s="528"/>
      <c r="AE869" s="248"/>
      <c r="AF869" s="248"/>
    </row>
    <row r="870" spans="4:32" x14ac:dyDescent="0.3">
      <c r="D870" s="514"/>
      <c r="E870" s="514"/>
      <c r="H870" s="544"/>
      <c r="I870" s="514"/>
      <c r="J870" s="248"/>
      <c r="K870" s="248"/>
      <c r="L870" s="514"/>
      <c r="M870" s="248"/>
      <c r="N870" s="528"/>
      <c r="O870" s="248"/>
      <c r="P870" s="248"/>
      <c r="Q870" s="248"/>
      <c r="R870" s="248"/>
      <c r="S870" s="248"/>
      <c r="T870" s="248"/>
      <c r="U870" s="248"/>
      <c r="V870" s="503"/>
      <c r="W870" s="503"/>
      <c r="X870" s="503"/>
      <c r="Y870" s="503"/>
      <c r="Z870" s="503"/>
      <c r="AA870" s="503"/>
      <c r="AC870" s="248"/>
      <c r="AD870" s="528"/>
      <c r="AE870" s="248"/>
      <c r="AF870" s="248"/>
    </row>
    <row r="871" spans="4:32" x14ac:dyDescent="0.3">
      <c r="D871" s="514"/>
      <c r="E871" s="514"/>
      <c r="H871" s="544"/>
      <c r="I871" s="514"/>
      <c r="J871" s="248"/>
      <c r="K871" s="248"/>
      <c r="L871" s="514"/>
      <c r="M871" s="248"/>
      <c r="N871" s="528"/>
      <c r="O871" s="248"/>
      <c r="P871" s="248"/>
      <c r="Q871" s="248"/>
      <c r="R871" s="248"/>
      <c r="S871" s="248"/>
      <c r="T871" s="248"/>
      <c r="U871" s="248"/>
      <c r="V871" s="503"/>
      <c r="W871" s="503"/>
      <c r="X871" s="503"/>
      <c r="Y871" s="503"/>
      <c r="Z871" s="503"/>
      <c r="AA871" s="503"/>
      <c r="AC871" s="248"/>
      <c r="AD871" s="528"/>
      <c r="AE871" s="248"/>
      <c r="AF871" s="248"/>
    </row>
    <row r="872" spans="4:32" x14ac:dyDescent="0.3">
      <c r="D872" s="514"/>
      <c r="E872" s="514"/>
      <c r="H872" s="544"/>
      <c r="I872" s="514"/>
      <c r="J872" s="248"/>
      <c r="K872" s="248"/>
      <c r="L872" s="514"/>
      <c r="M872" s="248"/>
      <c r="N872" s="528"/>
      <c r="O872" s="248"/>
      <c r="P872" s="248"/>
      <c r="Q872" s="248"/>
      <c r="R872" s="248"/>
      <c r="S872" s="248"/>
      <c r="T872" s="248"/>
      <c r="U872" s="248"/>
      <c r="V872" s="503"/>
      <c r="W872" s="503"/>
      <c r="X872" s="503"/>
      <c r="Y872" s="503"/>
      <c r="Z872" s="503"/>
      <c r="AA872" s="503"/>
      <c r="AC872" s="248"/>
      <c r="AD872" s="528"/>
      <c r="AE872" s="248"/>
      <c r="AF872" s="248"/>
    </row>
    <row r="873" spans="4:32" x14ac:dyDescent="0.3">
      <c r="D873" s="514"/>
      <c r="E873" s="514"/>
      <c r="H873" s="544"/>
      <c r="I873" s="514"/>
      <c r="J873" s="248"/>
      <c r="K873" s="248"/>
      <c r="L873" s="514"/>
      <c r="M873" s="248"/>
      <c r="N873" s="528"/>
      <c r="O873" s="248"/>
      <c r="P873" s="248"/>
      <c r="Q873" s="248"/>
      <c r="R873" s="248"/>
      <c r="S873" s="248"/>
      <c r="T873" s="248"/>
      <c r="U873" s="248"/>
      <c r="V873" s="503"/>
      <c r="W873" s="503"/>
      <c r="X873" s="503"/>
      <c r="Y873" s="503"/>
      <c r="Z873" s="503"/>
      <c r="AA873" s="503"/>
      <c r="AC873" s="248"/>
      <c r="AD873" s="528"/>
      <c r="AE873" s="248"/>
      <c r="AF873" s="248"/>
    </row>
    <row r="874" spans="4:32" x14ac:dyDescent="0.3">
      <c r="D874" s="514"/>
      <c r="E874" s="514"/>
      <c r="H874" s="544"/>
      <c r="I874" s="514"/>
      <c r="J874" s="248"/>
      <c r="K874" s="248"/>
      <c r="L874" s="514"/>
      <c r="M874" s="248"/>
      <c r="N874" s="528"/>
      <c r="O874" s="248"/>
      <c r="P874" s="248"/>
      <c r="Q874" s="248"/>
      <c r="R874" s="248"/>
      <c r="S874" s="248"/>
      <c r="T874" s="248"/>
      <c r="U874" s="248"/>
      <c r="V874" s="503"/>
      <c r="W874" s="503"/>
      <c r="X874" s="503"/>
      <c r="Y874" s="503"/>
      <c r="Z874" s="503"/>
      <c r="AA874" s="503"/>
      <c r="AC874" s="248"/>
      <c r="AD874" s="528"/>
      <c r="AE874" s="248"/>
      <c r="AF874" s="248"/>
    </row>
    <row r="875" spans="4:32" x14ac:dyDescent="0.3">
      <c r="D875" s="514"/>
      <c r="E875" s="514"/>
      <c r="H875" s="544"/>
      <c r="I875" s="514"/>
      <c r="J875" s="248"/>
      <c r="K875" s="248"/>
      <c r="L875" s="514"/>
      <c r="M875" s="248"/>
      <c r="N875" s="528"/>
      <c r="O875" s="248"/>
      <c r="P875" s="248"/>
      <c r="Q875" s="248"/>
      <c r="R875" s="248"/>
      <c r="S875" s="248"/>
      <c r="T875" s="248"/>
      <c r="U875" s="248"/>
      <c r="V875" s="503"/>
      <c r="W875" s="503"/>
      <c r="X875" s="503"/>
      <c r="Y875" s="503"/>
      <c r="Z875" s="503"/>
      <c r="AA875" s="503"/>
      <c r="AC875" s="248"/>
      <c r="AD875" s="528"/>
      <c r="AE875" s="248"/>
      <c r="AF875" s="248"/>
    </row>
    <row r="876" spans="4:32" x14ac:dyDescent="0.3">
      <c r="D876" s="514"/>
      <c r="E876" s="514"/>
      <c r="H876" s="544"/>
      <c r="I876" s="514"/>
      <c r="J876" s="248"/>
      <c r="K876" s="248"/>
      <c r="L876" s="514"/>
      <c r="M876" s="248"/>
      <c r="N876" s="528"/>
      <c r="O876" s="248"/>
      <c r="P876" s="248"/>
      <c r="Q876" s="248"/>
      <c r="R876" s="248"/>
      <c r="S876" s="248"/>
      <c r="T876" s="248"/>
      <c r="U876" s="248"/>
      <c r="V876" s="503"/>
      <c r="W876" s="503"/>
      <c r="X876" s="503"/>
      <c r="Y876" s="503"/>
      <c r="Z876" s="503"/>
      <c r="AA876" s="503"/>
      <c r="AC876" s="248"/>
      <c r="AD876" s="528"/>
      <c r="AE876" s="248"/>
      <c r="AF876" s="248"/>
    </row>
    <row r="877" spans="4:32" x14ac:dyDescent="0.3">
      <c r="D877" s="514"/>
      <c r="E877" s="514"/>
      <c r="H877" s="544"/>
      <c r="I877" s="514"/>
      <c r="J877" s="248"/>
      <c r="K877" s="248"/>
      <c r="L877" s="514"/>
      <c r="M877" s="248"/>
      <c r="N877" s="528"/>
      <c r="O877" s="248"/>
      <c r="P877" s="248"/>
      <c r="Q877" s="248"/>
      <c r="R877" s="248"/>
      <c r="S877" s="248"/>
      <c r="T877" s="248"/>
      <c r="U877" s="248"/>
      <c r="V877" s="503"/>
      <c r="W877" s="503"/>
      <c r="X877" s="503"/>
      <c r="Y877" s="503"/>
      <c r="Z877" s="503"/>
      <c r="AA877" s="503"/>
      <c r="AC877" s="248"/>
      <c r="AD877" s="528"/>
      <c r="AE877" s="248"/>
      <c r="AF877" s="248"/>
    </row>
    <row r="878" spans="4:32" x14ac:dyDescent="0.3">
      <c r="D878" s="514"/>
      <c r="E878" s="514"/>
      <c r="H878" s="544"/>
      <c r="I878" s="514"/>
      <c r="J878" s="248"/>
      <c r="K878" s="248"/>
      <c r="L878" s="514"/>
      <c r="M878" s="248"/>
      <c r="N878" s="528"/>
      <c r="O878" s="248"/>
      <c r="P878" s="248"/>
      <c r="Q878" s="248"/>
      <c r="R878" s="248"/>
      <c r="S878" s="248"/>
      <c r="T878" s="248"/>
      <c r="U878" s="248"/>
      <c r="V878" s="503"/>
      <c r="W878" s="503"/>
      <c r="X878" s="503"/>
      <c r="Y878" s="503"/>
      <c r="Z878" s="503"/>
      <c r="AA878" s="503"/>
      <c r="AC878" s="248"/>
      <c r="AD878" s="528"/>
      <c r="AE878" s="248"/>
      <c r="AF878" s="248"/>
    </row>
    <row r="879" spans="4:32" x14ac:dyDescent="0.3">
      <c r="D879" s="514"/>
      <c r="E879" s="514"/>
      <c r="H879" s="544"/>
      <c r="I879" s="514"/>
      <c r="J879" s="248"/>
      <c r="K879" s="248"/>
      <c r="L879" s="514"/>
      <c r="M879" s="248"/>
      <c r="N879" s="528"/>
      <c r="O879" s="248"/>
      <c r="P879" s="248"/>
      <c r="Q879" s="248"/>
      <c r="R879" s="248"/>
      <c r="S879" s="248"/>
      <c r="T879" s="248"/>
      <c r="U879" s="248"/>
      <c r="V879" s="503"/>
      <c r="W879" s="503"/>
      <c r="X879" s="503"/>
      <c r="Y879" s="503"/>
      <c r="Z879" s="503"/>
      <c r="AA879" s="503"/>
      <c r="AC879" s="248"/>
      <c r="AD879" s="528"/>
      <c r="AE879" s="248"/>
      <c r="AF879" s="248"/>
    </row>
    <row r="880" spans="4:32" x14ac:dyDescent="0.3">
      <c r="D880" s="514"/>
      <c r="E880" s="514"/>
      <c r="H880" s="544"/>
      <c r="I880" s="514"/>
      <c r="J880" s="248"/>
      <c r="K880" s="248"/>
      <c r="L880" s="514"/>
      <c r="M880" s="248"/>
      <c r="N880" s="528"/>
      <c r="O880" s="248"/>
      <c r="P880" s="248"/>
      <c r="Q880" s="248"/>
      <c r="R880" s="248"/>
      <c r="S880" s="248"/>
      <c r="T880" s="248"/>
      <c r="U880" s="248"/>
      <c r="V880" s="503"/>
      <c r="W880" s="503"/>
      <c r="X880" s="503"/>
      <c r="Y880" s="503"/>
      <c r="Z880" s="503"/>
      <c r="AA880" s="503"/>
      <c r="AC880" s="248"/>
      <c r="AD880" s="528"/>
      <c r="AE880" s="248"/>
      <c r="AF880" s="248"/>
    </row>
    <row r="881" spans="4:32" x14ac:dyDescent="0.3">
      <c r="D881" s="514"/>
      <c r="E881" s="514"/>
      <c r="H881" s="544"/>
      <c r="I881" s="514"/>
      <c r="J881" s="248"/>
      <c r="K881" s="248"/>
      <c r="L881" s="514"/>
      <c r="M881" s="248"/>
      <c r="N881" s="528"/>
      <c r="O881" s="248"/>
      <c r="P881" s="248"/>
      <c r="Q881" s="248"/>
      <c r="R881" s="248"/>
      <c r="S881" s="248"/>
      <c r="T881" s="248"/>
      <c r="U881" s="248"/>
      <c r="V881" s="503"/>
      <c r="W881" s="503"/>
      <c r="X881" s="503"/>
      <c r="Y881" s="503"/>
      <c r="Z881" s="503"/>
      <c r="AA881" s="503"/>
      <c r="AC881" s="248"/>
      <c r="AD881" s="528"/>
      <c r="AE881" s="248"/>
      <c r="AF881" s="248"/>
    </row>
    <row r="882" spans="4:32" x14ac:dyDescent="0.3">
      <c r="D882" s="514"/>
      <c r="E882" s="514"/>
      <c r="H882" s="544"/>
      <c r="I882" s="514"/>
      <c r="J882" s="248"/>
      <c r="K882" s="248"/>
      <c r="L882" s="514"/>
      <c r="M882" s="248"/>
      <c r="N882" s="528"/>
      <c r="O882" s="248"/>
      <c r="P882" s="248"/>
      <c r="Q882" s="248"/>
      <c r="R882" s="248"/>
      <c r="S882" s="248"/>
      <c r="T882" s="248"/>
      <c r="U882" s="248"/>
      <c r="V882" s="503"/>
      <c r="W882" s="503"/>
      <c r="X882" s="503"/>
      <c r="Y882" s="503"/>
      <c r="Z882" s="503"/>
      <c r="AA882" s="503"/>
      <c r="AC882" s="248"/>
      <c r="AD882" s="528"/>
      <c r="AE882" s="248"/>
      <c r="AF882" s="248"/>
    </row>
    <row r="883" spans="4:32" x14ac:dyDescent="0.3">
      <c r="D883" s="514"/>
      <c r="E883" s="514"/>
      <c r="H883" s="544"/>
      <c r="I883" s="514"/>
      <c r="J883" s="248"/>
      <c r="K883" s="248"/>
      <c r="L883" s="514"/>
      <c r="M883" s="248"/>
      <c r="N883" s="528"/>
      <c r="O883" s="248"/>
      <c r="P883" s="248"/>
      <c r="Q883" s="248"/>
      <c r="R883" s="248"/>
      <c r="S883" s="248"/>
      <c r="T883" s="248"/>
      <c r="U883" s="248"/>
      <c r="V883" s="503"/>
      <c r="W883" s="503"/>
      <c r="X883" s="503"/>
      <c r="Y883" s="503"/>
      <c r="Z883" s="503"/>
      <c r="AA883" s="503"/>
      <c r="AB883" s="239"/>
      <c r="AC883" s="248"/>
      <c r="AD883" s="528"/>
      <c r="AE883" s="248"/>
      <c r="AF883" s="248"/>
    </row>
    <row r="884" spans="4:32" x14ac:dyDescent="0.3">
      <c r="D884" s="514"/>
      <c r="E884" s="514"/>
      <c r="H884" s="544"/>
      <c r="I884" s="514"/>
      <c r="J884" s="248"/>
      <c r="K884" s="248"/>
      <c r="L884" s="514"/>
      <c r="M884" s="248"/>
      <c r="N884" s="528"/>
      <c r="O884" s="248"/>
      <c r="P884" s="248"/>
      <c r="Q884" s="248"/>
      <c r="R884" s="248"/>
      <c r="S884" s="248"/>
      <c r="T884" s="248"/>
      <c r="U884" s="248"/>
      <c r="V884" s="503"/>
      <c r="W884" s="503"/>
      <c r="X884" s="503"/>
      <c r="Y884" s="503"/>
      <c r="Z884" s="503"/>
      <c r="AA884" s="503"/>
      <c r="AC884" s="248"/>
      <c r="AD884" s="528"/>
      <c r="AE884" s="248"/>
      <c r="AF884" s="248"/>
    </row>
    <row r="885" spans="4:32" x14ac:dyDescent="0.3">
      <c r="D885" s="514"/>
      <c r="E885" s="514"/>
      <c r="H885" s="544"/>
      <c r="I885" s="514"/>
      <c r="J885" s="248"/>
      <c r="K885" s="248"/>
      <c r="L885" s="514"/>
      <c r="M885" s="248"/>
      <c r="N885" s="528"/>
      <c r="O885" s="248"/>
      <c r="P885" s="248"/>
      <c r="Q885" s="248"/>
      <c r="R885" s="248"/>
      <c r="S885" s="248"/>
      <c r="T885" s="248"/>
      <c r="U885" s="248"/>
      <c r="V885" s="503"/>
      <c r="W885" s="503"/>
      <c r="X885" s="503"/>
      <c r="Y885" s="503"/>
      <c r="Z885" s="503"/>
      <c r="AA885" s="503"/>
      <c r="AC885" s="248"/>
      <c r="AD885" s="528"/>
      <c r="AE885" s="248"/>
      <c r="AF885" s="248"/>
    </row>
    <row r="886" spans="4:32" x14ac:dyDescent="0.3">
      <c r="D886" s="514"/>
      <c r="E886" s="514"/>
      <c r="H886" s="544"/>
      <c r="I886" s="514"/>
      <c r="J886" s="248"/>
      <c r="K886" s="248"/>
      <c r="L886" s="514"/>
      <c r="M886" s="248"/>
      <c r="N886" s="528"/>
      <c r="O886" s="248"/>
      <c r="P886" s="248"/>
      <c r="Q886" s="248"/>
      <c r="R886" s="248"/>
      <c r="S886" s="248"/>
      <c r="T886" s="248"/>
      <c r="U886" s="248"/>
      <c r="V886" s="503"/>
      <c r="W886" s="503"/>
      <c r="X886" s="503"/>
      <c r="Y886" s="503"/>
      <c r="Z886" s="503"/>
      <c r="AA886" s="503"/>
      <c r="AC886" s="248"/>
      <c r="AD886" s="528"/>
      <c r="AE886" s="248"/>
      <c r="AF886" s="248"/>
    </row>
    <row r="887" spans="4:32" x14ac:dyDescent="0.3">
      <c r="D887" s="514"/>
      <c r="E887" s="514"/>
      <c r="H887" s="544"/>
      <c r="I887" s="514"/>
      <c r="J887" s="248"/>
      <c r="K887" s="248"/>
      <c r="L887" s="514"/>
      <c r="M887" s="248"/>
      <c r="N887" s="528"/>
      <c r="O887" s="248"/>
      <c r="P887" s="248"/>
      <c r="Q887" s="248"/>
      <c r="R887" s="248"/>
      <c r="S887" s="248"/>
      <c r="T887" s="248"/>
      <c r="U887" s="248"/>
      <c r="V887" s="503"/>
      <c r="W887" s="503"/>
      <c r="X887" s="503"/>
      <c r="Y887" s="503"/>
      <c r="Z887" s="503"/>
      <c r="AA887" s="503"/>
      <c r="AC887" s="248"/>
      <c r="AD887" s="528"/>
      <c r="AE887" s="248"/>
      <c r="AF887" s="248"/>
    </row>
    <row r="888" spans="4:32" x14ac:dyDescent="0.3">
      <c r="D888" s="514"/>
      <c r="E888" s="514"/>
      <c r="H888" s="544"/>
      <c r="I888" s="514"/>
      <c r="J888" s="248"/>
      <c r="K888" s="248"/>
      <c r="L888" s="514"/>
      <c r="M888" s="248"/>
      <c r="N888" s="528"/>
      <c r="O888" s="248"/>
      <c r="P888" s="248"/>
      <c r="Q888" s="248"/>
      <c r="R888" s="248"/>
      <c r="S888" s="248"/>
      <c r="T888" s="248"/>
      <c r="U888" s="248"/>
      <c r="V888" s="503"/>
      <c r="W888" s="503"/>
      <c r="X888" s="503"/>
      <c r="Y888" s="503"/>
      <c r="Z888" s="503"/>
      <c r="AA888" s="503"/>
      <c r="AC888" s="248"/>
      <c r="AD888" s="528"/>
      <c r="AE888" s="248"/>
      <c r="AF888" s="248"/>
    </row>
    <row r="889" spans="4:32" x14ac:dyDescent="0.3">
      <c r="D889" s="514"/>
      <c r="E889" s="514"/>
      <c r="H889" s="544"/>
      <c r="I889" s="514"/>
      <c r="J889" s="248"/>
      <c r="K889" s="248"/>
      <c r="L889" s="514"/>
      <c r="M889" s="248"/>
      <c r="N889" s="528"/>
      <c r="O889" s="248"/>
      <c r="P889" s="248"/>
      <c r="Q889" s="248"/>
      <c r="R889" s="248"/>
      <c r="S889" s="248"/>
      <c r="T889" s="248"/>
      <c r="U889" s="248"/>
      <c r="V889" s="503"/>
      <c r="W889" s="503"/>
      <c r="X889" s="503"/>
      <c r="Y889" s="503"/>
      <c r="Z889" s="503"/>
      <c r="AA889" s="503"/>
      <c r="AC889" s="248"/>
      <c r="AD889" s="528"/>
      <c r="AE889" s="248"/>
      <c r="AF889" s="248"/>
    </row>
    <row r="890" spans="4:32" x14ac:dyDescent="0.3">
      <c r="D890" s="514"/>
      <c r="E890" s="514"/>
      <c r="H890" s="544"/>
      <c r="I890" s="514"/>
      <c r="J890" s="248"/>
      <c r="K890" s="248"/>
      <c r="L890" s="514"/>
      <c r="M890" s="248"/>
      <c r="N890" s="528"/>
      <c r="O890" s="248"/>
      <c r="P890" s="248"/>
      <c r="Q890" s="248"/>
      <c r="R890" s="248"/>
      <c r="S890" s="248"/>
      <c r="T890" s="248"/>
      <c r="U890" s="248"/>
      <c r="V890" s="503"/>
      <c r="W890" s="503"/>
      <c r="X890" s="503"/>
      <c r="Y890" s="503"/>
      <c r="Z890" s="503"/>
      <c r="AA890" s="503"/>
      <c r="AC890" s="248"/>
      <c r="AD890" s="528"/>
      <c r="AE890" s="248"/>
      <c r="AF890" s="248"/>
    </row>
    <row r="891" spans="4:32" x14ac:dyDescent="0.3">
      <c r="D891" s="514"/>
      <c r="E891" s="514"/>
      <c r="H891" s="544"/>
      <c r="I891" s="514"/>
      <c r="J891" s="248"/>
      <c r="K891" s="248"/>
      <c r="L891" s="514"/>
      <c r="M891" s="248"/>
      <c r="N891" s="528"/>
      <c r="O891" s="248"/>
      <c r="P891" s="248"/>
      <c r="Q891" s="248"/>
      <c r="R891" s="248"/>
      <c r="S891" s="248"/>
      <c r="T891" s="248"/>
      <c r="U891" s="248"/>
      <c r="V891" s="503"/>
      <c r="W891" s="503"/>
      <c r="X891" s="503"/>
      <c r="Y891" s="503"/>
      <c r="Z891" s="503"/>
      <c r="AA891" s="503"/>
      <c r="AC891" s="248"/>
      <c r="AD891" s="528"/>
      <c r="AE891" s="248"/>
      <c r="AF891" s="248"/>
    </row>
    <row r="892" spans="4:32" x14ac:dyDescent="0.3">
      <c r="D892" s="514"/>
      <c r="E892" s="514"/>
      <c r="H892" s="544"/>
      <c r="I892" s="514"/>
      <c r="J892" s="248"/>
      <c r="K892" s="248"/>
      <c r="L892" s="514"/>
      <c r="M892" s="248"/>
      <c r="N892" s="528"/>
      <c r="O892" s="248"/>
      <c r="P892" s="248"/>
      <c r="Q892" s="248"/>
      <c r="R892" s="248"/>
      <c r="S892" s="248"/>
      <c r="T892" s="248"/>
      <c r="U892" s="248"/>
      <c r="V892" s="503"/>
      <c r="W892" s="503"/>
      <c r="X892" s="503"/>
      <c r="Y892" s="503"/>
      <c r="Z892" s="503"/>
      <c r="AA892" s="503"/>
      <c r="AC892" s="248"/>
      <c r="AD892" s="528"/>
      <c r="AE892" s="248"/>
      <c r="AF892" s="248"/>
    </row>
    <row r="893" spans="4:32" x14ac:dyDescent="0.3">
      <c r="D893" s="514"/>
      <c r="E893" s="514"/>
      <c r="H893" s="544"/>
      <c r="I893" s="514"/>
      <c r="J893" s="248"/>
      <c r="K893" s="248"/>
      <c r="L893" s="514"/>
      <c r="M893" s="248"/>
      <c r="N893" s="528"/>
      <c r="O893" s="248"/>
      <c r="P893" s="248"/>
      <c r="Q893" s="248"/>
      <c r="R893" s="248"/>
      <c r="S893" s="248"/>
      <c r="T893" s="248"/>
      <c r="U893" s="248"/>
      <c r="V893" s="503"/>
      <c r="W893" s="503"/>
      <c r="X893" s="503"/>
      <c r="Y893" s="503"/>
      <c r="Z893" s="503"/>
      <c r="AA893" s="503"/>
      <c r="AC893" s="248"/>
      <c r="AD893" s="528"/>
      <c r="AE893" s="248"/>
      <c r="AF893" s="248"/>
    </row>
    <row r="894" spans="4:32" x14ac:dyDescent="0.3">
      <c r="D894" s="514"/>
      <c r="E894" s="514"/>
      <c r="H894" s="544"/>
      <c r="I894" s="514"/>
      <c r="J894" s="248"/>
      <c r="K894" s="248"/>
      <c r="L894" s="514"/>
      <c r="M894" s="248"/>
      <c r="N894" s="528"/>
      <c r="O894" s="248"/>
      <c r="P894" s="248"/>
      <c r="Q894" s="248"/>
      <c r="R894" s="248"/>
      <c r="S894" s="248"/>
      <c r="T894" s="248"/>
      <c r="U894" s="248"/>
      <c r="V894" s="503"/>
      <c r="W894" s="503"/>
      <c r="X894" s="503"/>
      <c r="Y894" s="503"/>
      <c r="Z894" s="503"/>
      <c r="AA894" s="503"/>
      <c r="AC894" s="248"/>
      <c r="AD894" s="528"/>
      <c r="AE894" s="248"/>
      <c r="AF894" s="248"/>
    </row>
    <row r="895" spans="4:32" x14ac:dyDescent="0.3">
      <c r="D895" s="514"/>
      <c r="E895" s="514"/>
      <c r="H895" s="544"/>
      <c r="I895" s="514"/>
      <c r="J895" s="248"/>
      <c r="K895" s="248"/>
      <c r="L895" s="514"/>
      <c r="M895" s="248"/>
      <c r="N895" s="528"/>
      <c r="O895" s="248"/>
      <c r="P895" s="248"/>
      <c r="Q895" s="248"/>
      <c r="R895" s="248"/>
      <c r="S895" s="248"/>
      <c r="T895" s="248"/>
      <c r="U895" s="248"/>
      <c r="V895" s="503"/>
      <c r="W895" s="503"/>
      <c r="X895" s="503"/>
      <c r="Y895" s="503"/>
      <c r="Z895" s="503"/>
      <c r="AA895" s="503"/>
      <c r="AC895" s="248"/>
      <c r="AD895" s="528"/>
      <c r="AE895" s="248"/>
      <c r="AF895" s="248"/>
    </row>
    <row r="896" spans="4:32" x14ac:dyDescent="0.3">
      <c r="D896" s="514"/>
      <c r="E896" s="514"/>
      <c r="H896" s="544"/>
      <c r="I896" s="514"/>
      <c r="J896" s="248"/>
      <c r="K896" s="248"/>
      <c r="L896" s="514"/>
      <c r="M896" s="248"/>
      <c r="N896" s="528"/>
      <c r="O896" s="248"/>
      <c r="P896" s="248"/>
      <c r="Q896" s="248"/>
      <c r="R896" s="248"/>
      <c r="S896" s="248"/>
      <c r="T896" s="248"/>
      <c r="U896" s="248"/>
      <c r="V896" s="503"/>
      <c r="W896" s="503"/>
      <c r="X896" s="503"/>
      <c r="Y896" s="503"/>
      <c r="Z896" s="503"/>
      <c r="AA896" s="503"/>
      <c r="AC896" s="248"/>
      <c r="AD896" s="528"/>
      <c r="AE896" s="248"/>
      <c r="AF896" s="248"/>
    </row>
    <row r="897" spans="4:32" x14ac:dyDescent="0.3">
      <c r="D897" s="514"/>
      <c r="E897" s="514"/>
      <c r="H897" s="544"/>
      <c r="I897" s="514"/>
      <c r="J897" s="248"/>
      <c r="K897" s="248"/>
      <c r="L897" s="514"/>
      <c r="M897" s="248"/>
      <c r="N897" s="528"/>
      <c r="O897" s="248"/>
      <c r="P897" s="248"/>
      <c r="Q897" s="248"/>
      <c r="R897" s="248"/>
      <c r="S897" s="248"/>
      <c r="T897" s="248"/>
      <c r="U897" s="248"/>
      <c r="V897" s="503"/>
      <c r="W897" s="503"/>
      <c r="X897" s="503"/>
      <c r="Y897" s="503"/>
      <c r="Z897" s="503"/>
      <c r="AA897" s="503"/>
      <c r="AC897" s="248"/>
      <c r="AD897" s="528"/>
      <c r="AE897" s="248"/>
      <c r="AF897" s="248"/>
    </row>
    <row r="898" spans="4:32" x14ac:dyDescent="0.3">
      <c r="D898" s="514"/>
      <c r="E898" s="514"/>
      <c r="H898" s="544"/>
      <c r="I898" s="514"/>
      <c r="J898" s="248"/>
      <c r="K898" s="248"/>
      <c r="L898" s="514"/>
      <c r="M898" s="248"/>
      <c r="N898" s="528"/>
      <c r="O898" s="248"/>
      <c r="P898" s="248"/>
      <c r="Q898" s="248"/>
      <c r="R898" s="248"/>
      <c r="S898" s="248"/>
      <c r="T898" s="248"/>
      <c r="U898" s="248"/>
      <c r="V898" s="503"/>
      <c r="W898" s="503"/>
      <c r="X898" s="503"/>
      <c r="Y898" s="503"/>
      <c r="Z898" s="503"/>
      <c r="AA898" s="503"/>
      <c r="AC898" s="248"/>
      <c r="AD898" s="528"/>
      <c r="AE898" s="248"/>
      <c r="AF898" s="248"/>
    </row>
    <row r="899" spans="4:32" x14ac:dyDescent="0.3">
      <c r="D899" s="514"/>
      <c r="E899" s="514"/>
      <c r="H899" s="544"/>
      <c r="I899" s="514"/>
      <c r="J899" s="248"/>
      <c r="K899" s="248"/>
      <c r="L899" s="514"/>
      <c r="M899" s="248"/>
      <c r="N899" s="528"/>
      <c r="O899" s="248"/>
      <c r="P899" s="248"/>
      <c r="Q899" s="248"/>
      <c r="R899" s="248"/>
      <c r="S899" s="248"/>
      <c r="T899" s="248"/>
      <c r="U899" s="248"/>
      <c r="V899" s="503"/>
      <c r="W899" s="503"/>
      <c r="X899" s="503"/>
      <c r="Y899" s="503"/>
      <c r="Z899" s="503"/>
      <c r="AA899" s="503"/>
      <c r="AC899" s="248"/>
      <c r="AD899" s="528"/>
      <c r="AE899" s="248"/>
      <c r="AF899" s="248"/>
    </row>
    <row r="900" spans="4:32" x14ac:dyDescent="0.3">
      <c r="D900" s="514"/>
      <c r="E900" s="514"/>
      <c r="H900" s="544"/>
      <c r="I900" s="514"/>
      <c r="J900" s="248"/>
      <c r="K900" s="248"/>
      <c r="L900" s="514"/>
      <c r="M900" s="248"/>
      <c r="N900" s="528"/>
      <c r="O900" s="248"/>
      <c r="P900" s="248"/>
      <c r="Q900" s="248"/>
      <c r="R900" s="248"/>
      <c r="S900" s="248"/>
      <c r="T900" s="248"/>
      <c r="U900" s="248"/>
      <c r="V900" s="503"/>
      <c r="W900" s="503"/>
      <c r="X900" s="503"/>
      <c r="Y900" s="503"/>
      <c r="Z900" s="503"/>
      <c r="AA900" s="503"/>
      <c r="AC900" s="248"/>
      <c r="AD900" s="528"/>
      <c r="AE900" s="248"/>
      <c r="AF900" s="248"/>
    </row>
    <row r="901" spans="4:32" x14ac:dyDescent="0.3">
      <c r="D901" s="514"/>
      <c r="E901" s="514"/>
      <c r="H901" s="544"/>
      <c r="I901" s="514"/>
      <c r="J901" s="248"/>
      <c r="K901" s="248"/>
      <c r="L901" s="514"/>
      <c r="M901" s="248"/>
      <c r="N901" s="528"/>
      <c r="O901" s="248"/>
      <c r="P901" s="248"/>
      <c r="Q901" s="248"/>
      <c r="R901" s="248"/>
      <c r="S901" s="248"/>
      <c r="T901" s="248"/>
      <c r="U901" s="248"/>
      <c r="V901" s="503"/>
      <c r="W901" s="503"/>
      <c r="X901" s="503"/>
      <c r="Y901" s="503"/>
      <c r="Z901" s="503"/>
      <c r="AA901" s="503"/>
      <c r="AC901" s="248"/>
      <c r="AD901" s="528"/>
      <c r="AE901" s="248"/>
      <c r="AF901" s="248"/>
    </row>
    <row r="902" spans="4:32" x14ac:dyDescent="0.3">
      <c r="D902" s="514"/>
      <c r="E902" s="514"/>
      <c r="H902" s="544"/>
      <c r="I902" s="514"/>
      <c r="J902" s="248"/>
      <c r="K902" s="248"/>
      <c r="L902" s="514"/>
      <c r="M902" s="248"/>
      <c r="N902" s="528"/>
      <c r="O902" s="248"/>
      <c r="P902" s="248"/>
      <c r="Q902" s="248"/>
      <c r="R902" s="248"/>
      <c r="S902" s="248"/>
      <c r="T902" s="248"/>
      <c r="U902" s="248"/>
      <c r="V902" s="503"/>
      <c r="W902" s="503"/>
      <c r="X902" s="503"/>
      <c r="Y902" s="503"/>
      <c r="Z902" s="503"/>
      <c r="AA902" s="503"/>
      <c r="AC902" s="248"/>
      <c r="AD902" s="528"/>
      <c r="AE902" s="248"/>
      <c r="AF902" s="248"/>
    </row>
    <row r="903" spans="4:32" x14ac:dyDescent="0.3">
      <c r="D903" s="514"/>
      <c r="E903" s="514"/>
      <c r="H903" s="544"/>
      <c r="I903" s="514"/>
      <c r="J903" s="248"/>
      <c r="K903" s="248"/>
      <c r="L903" s="514"/>
      <c r="M903" s="248"/>
      <c r="N903" s="528"/>
      <c r="O903" s="248"/>
      <c r="P903" s="248"/>
      <c r="Q903" s="248"/>
      <c r="R903" s="248"/>
      <c r="S903" s="248"/>
      <c r="T903" s="248"/>
      <c r="U903" s="248"/>
      <c r="V903" s="503"/>
      <c r="W903" s="503"/>
      <c r="X903" s="503"/>
      <c r="Y903" s="503"/>
      <c r="Z903" s="503"/>
      <c r="AA903" s="503"/>
      <c r="AC903" s="248"/>
      <c r="AD903" s="528"/>
      <c r="AE903" s="248"/>
      <c r="AF903" s="248"/>
    </row>
    <row r="904" spans="4:32" x14ac:dyDescent="0.3">
      <c r="D904" s="514"/>
      <c r="E904" s="514"/>
      <c r="H904" s="544"/>
      <c r="I904" s="514"/>
      <c r="J904" s="248"/>
      <c r="K904" s="248"/>
      <c r="L904" s="514"/>
      <c r="M904" s="248"/>
      <c r="N904" s="528"/>
      <c r="O904" s="248"/>
      <c r="P904" s="248"/>
      <c r="Q904" s="248"/>
      <c r="R904" s="248"/>
      <c r="S904" s="248"/>
      <c r="T904" s="248"/>
      <c r="U904" s="248"/>
      <c r="V904" s="503"/>
      <c r="W904" s="503"/>
      <c r="X904" s="503"/>
      <c r="Y904" s="503"/>
      <c r="Z904" s="503"/>
      <c r="AA904" s="503"/>
      <c r="AC904" s="248"/>
      <c r="AD904" s="528"/>
      <c r="AE904" s="248"/>
      <c r="AF904" s="248"/>
    </row>
    <row r="905" spans="4:32" x14ac:dyDescent="0.3">
      <c r="D905" s="514"/>
      <c r="E905" s="514"/>
      <c r="H905" s="544"/>
      <c r="I905" s="514"/>
      <c r="J905" s="248"/>
      <c r="K905" s="248"/>
      <c r="L905" s="514"/>
      <c r="M905" s="248"/>
      <c r="N905" s="528"/>
      <c r="O905" s="248"/>
      <c r="P905" s="248"/>
      <c r="Q905" s="248"/>
      <c r="R905" s="248"/>
      <c r="S905" s="248"/>
      <c r="T905" s="248"/>
      <c r="U905" s="248"/>
      <c r="V905" s="503"/>
      <c r="W905" s="503"/>
      <c r="X905" s="503"/>
      <c r="Y905" s="503"/>
      <c r="Z905" s="503"/>
      <c r="AA905" s="503"/>
      <c r="AC905" s="248"/>
      <c r="AD905" s="528"/>
      <c r="AE905" s="248"/>
      <c r="AF905" s="248"/>
    </row>
    <row r="906" spans="4:32" x14ac:dyDescent="0.3">
      <c r="D906" s="514"/>
      <c r="E906" s="514"/>
      <c r="H906" s="544"/>
      <c r="I906" s="514"/>
      <c r="J906" s="248"/>
      <c r="K906" s="248"/>
      <c r="L906" s="514"/>
      <c r="M906" s="248"/>
      <c r="N906" s="528"/>
      <c r="O906" s="248"/>
      <c r="P906" s="248"/>
      <c r="Q906" s="248"/>
      <c r="R906" s="248"/>
      <c r="S906" s="248"/>
      <c r="T906" s="248"/>
      <c r="U906" s="248"/>
      <c r="V906" s="503"/>
      <c r="W906" s="503"/>
      <c r="X906" s="503"/>
      <c r="Y906" s="503"/>
      <c r="Z906" s="503"/>
      <c r="AA906" s="503"/>
      <c r="AC906" s="248"/>
      <c r="AD906" s="528"/>
      <c r="AE906" s="248"/>
      <c r="AF906" s="248"/>
    </row>
    <row r="907" spans="4:32" x14ac:dyDescent="0.3">
      <c r="D907" s="514"/>
      <c r="E907" s="514"/>
      <c r="H907" s="544"/>
      <c r="I907" s="514"/>
      <c r="J907" s="248"/>
      <c r="K907" s="248"/>
      <c r="L907" s="514"/>
      <c r="M907" s="248"/>
      <c r="N907" s="528"/>
      <c r="O907" s="248"/>
      <c r="P907" s="248"/>
      <c r="Q907" s="248"/>
      <c r="R907" s="248"/>
      <c r="S907" s="248"/>
      <c r="T907" s="248"/>
      <c r="U907" s="248"/>
      <c r="V907" s="503"/>
      <c r="W907" s="503"/>
      <c r="X907" s="503"/>
      <c r="Y907" s="503"/>
      <c r="Z907" s="503"/>
      <c r="AA907" s="503"/>
      <c r="AC907" s="248"/>
      <c r="AD907" s="528"/>
      <c r="AE907" s="248"/>
      <c r="AF907" s="248"/>
    </row>
    <row r="908" spans="4:32" x14ac:dyDescent="0.3">
      <c r="D908" s="514"/>
      <c r="E908" s="514"/>
      <c r="H908" s="544"/>
      <c r="I908" s="514"/>
      <c r="J908" s="248"/>
      <c r="K908" s="248"/>
      <c r="L908" s="514"/>
      <c r="M908" s="248"/>
      <c r="N908" s="528"/>
      <c r="O908" s="248"/>
      <c r="P908" s="248"/>
      <c r="Q908" s="248"/>
      <c r="R908" s="248"/>
      <c r="S908" s="248"/>
      <c r="T908" s="248"/>
      <c r="U908" s="248"/>
      <c r="V908" s="503"/>
      <c r="W908" s="503"/>
      <c r="X908" s="503"/>
      <c r="Y908" s="503"/>
      <c r="Z908" s="503"/>
      <c r="AA908" s="503"/>
      <c r="AC908" s="248"/>
      <c r="AD908" s="528"/>
      <c r="AE908" s="248"/>
      <c r="AF908" s="248"/>
    </row>
    <row r="909" spans="4:32" x14ac:dyDescent="0.3">
      <c r="D909" s="514"/>
      <c r="E909" s="514"/>
      <c r="H909" s="544"/>
      <c r="I909" s="514"/>
      <c r="J909" s="248"/>
      <c r="K909" s="248"/>
      <c r="L909" s="514"/>
      <c r="M909" s="248"/>
      <c r="N909" s="528"/>
      <c r="O909" s="248"/>
      <c r="P909" s="248"/>
      <c r="Q909" s="248"/>
      <c r="R909" s="248"/>
      <c r="S909" s="248"/>
      <c r="T909" s="248"/>
      <c r="U909" s="248"/>
      <c r="V909" s="503"/>
      <c r="W909" s="503"/>
      <c r="X909" s="503"/>
      <c r="Y909" s="503"/>
      <c r="Z909" s="503"/>
      <c r="AA909" s="503"/>
      <c r="AC909" s="248"/>
      <c r="AD909" s="528"/>
      <c r="AE909" s="248"/>
      <c r="AF909" s="248"/>
    </row>
    <row r="910" spans="4:32" x14ac:dyDescent="0.3">
      <c r="D910" s="514"/>
      <c r="E910" s="514"/>
      <c r="H910" s="544"/>
      <c r="I910" s="514"/>
      <c r="J910" s="248"/>
      <c r="K910" s="248"/>
      <c r="L910" s="514"/>
      <c r="M910" s="248"/>
      <c r="N910" s="528"/>
      <c r="O910" s="248"/>
      <c r="P910" s="248"/>
      <c r="Q910" s="248"/>
      <c r="R910" s="248"/>
      <c r="S910" s="248"/>
      <c r="T910" s="248"/>
      <c r="U910" s="248"/>
      <c r="V910" s="503"/>
      <c r="W910" s="503"/>
      <c r="X910" s="503"/>
      <c r="Y910" s="503"/>
      <c r="Z910" s="503"/>
      <c r="AA910" s="503"/>
      <c r="AC910" s="248"/>
      <c r="AD910" s="528"/>
      <c r="AE910" s="248"/>
      <c r="AF910" s="248"/>
    </row>
    <row r="911" spans="4:32" x14ac:dyDescent="0.3">
      <c r="D911" s="514"/>
      <c r="E911" s="514"/>
      <c r="H911" s="544"/>
      <c r="I911" s="514"/>
      <c r="J911" s="248"/>
      <c r="K911" s="248"/>
      <c r="L911" s="514"/>
      <c r="M911" s="248"/>
      <c r="N911" s="528"/>
      <c r="O911" s="248"/>
      <c r="P911" s="248"/>
      <c r="Q911" s="248"/>
      <c r="R911" s="248"/>
      <c r="S911" s="248"/>
      <c r="T911" s="248"/>
      <c r="U911" s="248"/>
      <c r="V911" s="503"/>
      <c r="W911" s="503"/>
      <c r="X911" s="503"/>
      <c r="Y911" s="503"/>
      <c r="Z911" s="503"/>
      <c r="AA911" s="503"/>
      <c r="AC911" s="248"/>
      <c r="AD911" s="528"/>
      <c r="AE911" s="248"/>
      <c r="AF911" s="248"/>
    </row>
    <row r="912" spans="4:32" x14ac:dyDescent="0.3">
      <c r="D912" s="514"/>
      <c r="E912" s="514"/>
      <c r="H912" s="544"/>
      <c r="I912" s="514"/>
      <c r="J912" s="248"/>
      <c r="K912" s="248"/>
      <c r="L912" s="514"/>
      <c r="M912" s="248"/>
      <c r="N912" s="528"/>
      <c r="O912" s="248"/>
      <c r="P912" s="248"/>
      <c r="Q912" s="248"/>
      <c r="R912" s="248"/>
      <c r="S912" s="248"/>
      <c r="T912" s="248"/>
      <c r="U912" s="248"/>
      <c r="V912" s="503"/>
      <c r="W912" s="503"/>
      <c r="X912" s="503"/>
      <c r="Y912" s="503"/>
      <c r="Z912" s="503"/>
      <c r="AA912" s="503"/>
      <c r="AC912" s="248"/>
      <c r="AD912" s="528"/>
      <c r="AE912" s="248"/>
      <c r="AF912" s="248"/>
    </row>
    <row r="913" spans="4:32" x14ac:dyDescent="0.3">
      <c r="D913" s="514"/>
      <c r="E913" s="514"/>
      <c r="H913" s="544"/>
      <c r="I913" s="514"/>
      <c r="J913" s="248"/>
      <c r="K913" s="248"/>
      <c r="L913" s="514"/>
      <c r="M913" s="248"/>
      <c r="N913" s="528"/>
      <c r="O913" s="248"/>
      <c r="P913" s="248"/>
      <c r="Q913" s="248"/>
      <c r="R913" s="248"/>
      <c r="S913" s="248"/>
      <c r="T913" s="248"/>
      <c r="U913" s="248"/>
      <c r="V913" s="503"/>
      <c r="W913" s="503"/>
      <c r="X913" s="503"/>
      <c r="Y913" s="503"/>
      <c r="Z913" s="503"/>
      <c r="AA913" s="503"/>
      <c r="AC913" s="248"/>
      <c r="AD913" s="528"/>
      <c r="AE913" s="248"/>
      <c r="AF913" s="248"/>
    </row>
    <row r="914" spans="4:32" x14ac:dyDescent="0.3">
      <c r="D914" s="514"/>
      <c r="E914" s="514"/>
      <c r="H914" s="544"/>
      <c r="I914" s="514"/>
      <c r="J914" s="248"/>
      <c r="K914" s="248"/>
      <c r="L914" s="514"/>
      <c r="M914" s="248"/>
      <c r="N914" s="528"/>
      <c r="O914" s="248"/>
      <c r="P914" s="248"/>
      <c r="Q914" s="248"/>
      <c r="R914" s="248"/>
      <c r="S914" s="248"/>
      <c r="T914" s="248"/>
      <c r="U914" s="248"/>
      <c r="V914" s="503"/>
      <c r="W914" s="503"/>
      <c r="X914" s="503"/>
      <c r="Y914" s="503"/>
      <c r="Z914" s="503"/>
      <c r="AA914" s="503"/>
      <c r="AC914" s="248"/>
      <c r="AD914" s="528"/>
      <c r="AE914" s="248"/>
      <c r="AF914" s="248"/>
    </row>
    <row r="915" spans="4:32" x14ac:dyDescent="0.3">
      <c r="D915" s="514"/>
      <c r="E915" s="514"/>
      <c r="H915" s="544"/>
      <c r="I915" s="514"/>
      <c r="J915" s="248"/>
      <c r="K915" s="248"/>
      <c r="L915" s="514"/>
      <c r="M915" s="248"/>
      <c r="N915" s="528"/>
      <c r="O915" s="248"/>
      <c r="P915" s="248"/>
      <c r="Q915" s="248"/>
      <c r="R915" s="248"/>
      <c r="S915" s="248"/>
      <c r="T915" s="248"/>
      <c r="U915" s="248"/>
      <c r="V915" s="503"/>
      <c r="W915" s="503"/>
      <c r="X915" s="503"/>
      <c r="Y915" s="503"/>
      <c r="Z915" s="503"/>
      <c r="AA915" s="503"/>
      <c r="AC915" s="248"/>
      <c r="AD915" s="528"/>
      <c r="AE915" s="248"/>
      <c r="AF915" s="248"/>
    </row>
    <row r="916" spans="4:32" x14ac:dyDescent="0.3">
      <c r="D916" s="514"/>
      <c r="E916" s="514"/>
      <c r="H916" s="544"/>
      <c r="I916" s="514"/>
      <c r="J916" s="248"/>
      <c r="K916" s="248"/>
      <c r="L916" s="514"/>
      <c r="M916" s="248"/>
      <c r="N916" s="528"/>
      <c r="O916" s="248"/>
      <c r="P916" s="248"/>
      <c r="Q916" s="248"/>
      <c r="R916" s="248"/>
      <c r="S916" s="248"/>
      <c r="T916" s="248"/>
      <c r="U916" s="248"/>
      <c r="V916" s="503"/>
      <c r="W916" s="503"/>
      <c r="X916" s="503"/>
      <c r="Y916" s="503"/>
      <c r="Z916" s="503"/>
      <c r="AA916" s="503"/>
      <c r="AC916" s="248"/>
      <c r="AD916" s="528"/>
      <c r="AE916" s="248"/>
      <c r="AF916" s="248"/>
    </row>
    <row r="917" spans="4:32" x14ac:dyDescent="0.3">
      <c r="D917" s="514"/>
      <c r="E917" s="514"/>
      <c r="H917" s="544"/>
      <c r="I917" s="514"/>
      <c r="J917" s="248"/>
      <c r="K917" s="248"/>
      <c r="L917" s="514"/>
      <c r="M917" s="248"/>
      <c r="N917" s="528"/>
      <c r="O917" s="248"/>
      <c r="P917" s="248"/>
      <c r="Q917" s="248"/>
      <c r="R917" s="248"/>
      <c r="S917" s="248"/>
      <c r="T917" s="248"/>
      <c r="U917" s="248"/>
      <c r="V917" s="503"/>
      <c r="W917" s="503"/>
      <c r="X917" s="503"/>
      <c r="Y917" s="503"/>
      <c r="Z917" s="503"/>
      <c r="AA917" s="503"/>
      <c r="AC917" s="248"/>
      <c r="AD917" s="528"/>
      <c r="AE917" s="248"/>
      <c r="AF917" s="248"/>
    </row>
    <row r="918" spans="4:32" x14ac:dyDescent="0.3">
      <c r="D918" s="514"/>
      <c r="E918" s="514"/>
      <c r="H918" s="544"/>
      <c r="I918" s="514"/>
      <c r="J918" s="248"/>
      <c r="K918" s="248"/>
      <c r="L918" s="514"/>
      <c r="M918" s="248"/>
      <c r="N918" s="528"/>
      <c r="O918" s="248"/>
      <c r="P918" s="248"/>
      <c r="Q918" s="248"/>
      <c r="R918" s="248"/>
      <c r="S918" s="248"/>
      <c r="T918" s="248"/>
      <c r="U918" s="248"/>
      <c r="V918" s="503"/>
      <c r="W918" s="503"/>
      <c r="X918" s="503"/>
      <c r="Y918" s="503"/>
      <c r="Z918" s="503"/>
      <c r="AA918" s="503"/>
      <c r="AC918" s="248"/>
      <c r="AD918" s="528"/>
      <c r="AE918" s="248"/>
      <c r="AF918" s="248"/>
    </row>
    <row r="919" spans="4:32" x14ac:dyDescent="0.3">
      <c r="D919" s="514"/>
      <c r="E919" s="514"/>
      <c r="H919" s="544"/>
      <c r="I919" s="514"/>
      <c r="J919" s="248"/>
      <c r="K919" s="248"/>
      <c r="L919" s="514"/>
      <c r="M919" s="248"/>
      <c r="N919" s="528"/>
      <c r="O919" s="248"/>
      <c r="P919" s="248"/>
      <c r="Q919" s="248"/>
      <c r="R919" s="248"/>
      <c r="S919" s="248"/>
      <c r="T919" s="248"/>
      <c r="U919" s="248"/>
      <c r="V919" s="503"/>
      <c r="W919" s="503"/>
      <c r="X919" s="503"/>
      <c r="Y919" s="503"/>
      <c r="Z919" s="503"/>
      <c r="AA919" s="503"/>
      <c r="AC919" s="248"/>
      <c r="AD919" s="528"/>
      <c r="AE919" s="248"/>
      <c r="AF919" s="248"/>
    </row>
    <row r="920" spans="4:32" x14ac:dyDescent="0.3">
      <c r="D920" s="514"/>
      <c r="E920" s="514"/>
      <c r="H920" s="544"/>
      <c r="I920" s="514"/>
      <c r="J920" s="248"/>
      <c r="K920" s="248"/>
      <c r="L920" s="514"/>
      <c r="M920" s="248"/>
      <c r="N920" s="528"/>
      <c r="O920" s="248"/>
      <c r="P920" s="248"/>
      <c r="Q920" s="248"/>
      <c r="R920" s="248"/>
      <c r="S920" s="248"/>
      <c r="T920" s="248"/>
      <c r="U920" s="248"/>
      <c r="V920" s="503"/>
      <c r="W920" s="503"/>
      <c r="X920" s="503"/>
      <c r="Y920" s="503"/>
      <c r="Z920" s="503"/>
      <c r="AA920" s="503"/>
      <c r="AC920" s="248"/>
      <c r="AD920" s="528"/>
      <c r="AE920" s="248"/>
      <c r="AF920" s="248"/>
    </row>
    <row r="921" spans="4:32" x14ac:dyDescent="0.3">
      <c r="D921" s="514"/>
      <c r="E921" s="514"/>
      <c r="H921" s="544"/>
      <c r="I921" s="514"/>
      <c r="J921" s="248"/>
      <c r="K921" s="248"/>
      <c r="L921" s="514"/>
      <c r="M921" s="248"/>
      <c r="N921" s="528"/>
      <c r="O921" s="248"/>
      <c r="P921" s="248"/>
      <c r="Q921" s="248"/>
      <c r="R921" s="248"/>
      <c r="S921" s="248"/>
      <c r="T921" s="248"/>
      <c r="U921" s="248"/>
      <c r="V921" s="503"/>
      <c r="W921" s="503"/>
      <c r="X921" s="503"/>
      <c r="Y921" s="503"/>
      <c r="Z921" s="503"/>
      <c r="AA921" s="503"/>
      <c r="AC921" s="248"/>
      <c r="AD921" s="528"/>
      <c r="AE921" s="248"/>
      <c r="AF921" s="248"/>
    </row>
    <row r="922" spans="4:32" x14ac:dyDescent="0.3">
      <c r="D922" s="514"/>
      <c r="E922" s="514"/>
      <c r="H922" s="544"/>
      <c r="I922" s="514"/>
      <c r="J922" s="248"/>
      <c r="K922" s="248"/>
      <c r="L922" s="514"/>
      <c r="M922" s="248"/>
      <c r="N922" s="528"/>
      <c r="O922" s="248"/>
      <c r="P922" s="248"/>
      <c r="Q922" s="248"/>
      <c r="R922" s="248"/>
      <c r="S922" s="248"/>
      <c r="T922" s="248"/>
      <c r="U922" s="248"/>
      <c r="V922" s="503"/>
      <c r="W922" s="503"/>
      <c r="X922" s="503"/>
      <c r="Y922" s="503"/>
      <c r="Z922" s="503"/>
      <c r="AA922" s="503"/>
      <c r="AC922" s="248"/>
      <c r="AD922" s="528"/>
      <c r="AE922" s="248"/>
      <c r="AF922" s="248"/>
    </row>
    <row r="923" spans="4:32" x14ac:dyDescent="0.3">
      <c r="D923" s="514"/>
      <c r="E923" s="514"/>
      <c r="H923" s="544"/>
      <c r="I923" s="514"/>
      <c r="J923" s="248"/>
      <c r="K923" s="248"/>
      <c r="L923" s="514"/>
      <c r="M923" s="248"/>
      <c r="N923" s="528"/>
      <c r="O923" s="248"/>
      <c r="P923" s="248"/>
      <c r="Q923" s="248"/>
      <c r="R923" s="248"/>
      <c r="S923" s="248"/>
      <c r="T923" s="248"/>
      <c r="U923" s="248"/>
      <c r="V923" s="503"/>
      <c r="W923" s="503"/>
      <c r="X923" s="503"/>
      <c r="Y923" s="503"/>
      <c r="Z923" s="503"/>
      <c r="AA923" s="503"/>
      <c r="AC923" s="248"/>
      <c r="AD923" s="528"/>
      <c r="AE923" s="248"/>
      <c r="AF923" s="248"/>
    </row>
    <row r="924" spans="4:32" x14ac:dyDescent="0.3">
      <c r="D924" s="514"/>
      <c r="E924" s="514"/>
      <c r="H924" s="544"/>
      <c r="I924" s="514"/>
      <c r="J924" s="248"/>
      <c r="K924" s="248"/>
      <c r="L924" s="514"/>
      <c r="M924" s="248"/>
      <c r="N924" s="528"/>
      <c r="O924" s="248"/>
      <c r="P924" s="248"/>
      <c r="Q924" s="248"/>
      <c r="R924" s="248"/>
      <c r="S924" s="248"/>
      <c r="T924" s="248"/>
      <c r="U924" s="248"/>
      <c r="V924" s="503"/>
      <c r="W924" s="503"/>
      <c r="X924" s="503"/>
      <c r="Y924" s="503"/>
      <c r="Z924" s="503"/>
      <c r="AA924" s="503"/>
      <c r="AC924" s="248"/>
      <c r="AD924" s="528"/>
      <c r="AE924" s="248"/>
      <c r="AF924" s="248"/>
    </row>
    <row r="925" spans="4:32" x14ac:dyDescent="0.3">
      <c r="D925" s="514"/>
      <c r="E925" s="514"/>
      <c r="H925" s="544"/>
      <c r="I925" s="514"/>
      <c r="J925" s="248"/>
      <c r="K925" s="248"/>
      <c r="L925" s="514"/>
      <c r="M925" s="248"/>
      <c r="N925" s="528"/>
      <c r="O925" s="248"/>
      <c r="P925" s="248"/>
      <c r="Q925" s="248"/>
      <c r="R925" s="248"/>
      <c r="S925" s="248"/>
      <c r="T925" s="248"/>
      <c r="U925" s="248"/>
      <c r="V925" s="503"/>
      <c r="W925" s="503"/>
      <c r="X925" s="503"/>
      <c r="Y925" s="503"/>
      <c r="Z925" s="503"/>
      <c r="AA925" s="503"/>
      <c r="AC925" s="248"/>
      <c r="AD925" s="528"/>
      <c r="AE925" s="248"/>
      <c r="AF925" s="248"/>
    </row>
    <row r="926" spans="4:32" x14ac:dyDescent="0.3">
      <c r="D926" s="514"/>
      <c r="E926" s="514"/>
      <c r="H926" s="544"/>
      <c r="I926" s="514"/>
      <c r="J926" s="248"/>
      <c r="K926" s="248"/>
      <c r="L926" s="514"/>
      <c r="M926" s="248"/>
      <c r="N926" s="528"/>
      <c r="O926" s="248"/>
      <c r="P926" s="248"/>
      <c r="Q926" s="248"/>
      <c r="R926" s="248"/>
      <c r="S926" s="248"/>
      <c r="T926" s="248"/>
      <c r="U926" s="248"/>
      <c r="V926" s="503"/>
      <c r="W926" s="503"/>
      <c r="X926" s="503"/>
      <c r="Y926" s="503"/>
      <c r="Z926" s="503"/>
      <c r="AA926" s="503"/>
      <c r="AC926" s="248"/>
      <c r="AD926" s="528"/>
      <c r="AE926" s="248"/>
      <c r="AF926" s="248"/>
    </row>
    <row r="927" spans="4:32" x14ac:dyDescent="0.3">
      <c r="D927" s="514"/>
      <c r="E927" s="514"/>
      <c r="H927" s="544"/>
      <c r="I927" s="514"/>
      <c r="J927" s="248"/>
      <c r="K927" s="248"/>
      <c r="L927" s="514"/>
      <c r="M927" s="248"/>
      <c r="N927" s="528"/>
      <c r="O927" s="248"/>
      <c r="P927" s="248"/>
      <c r="Q927" s="248"/>
      <c r="R927" s="248"/>
      <c r="S927" s="248"/>
      <c r="T927" s="248"/>
      <c r="U927" s="248"/>
      <c r="V927" s="503"/>
      <c r="W927" s="503"/>
      <c r="X927" s="503"/>
      <c r="Y927" s="503"/>
      <c r="Z927" s="503"/>
      <c r="AA927" s="503"/>
      <c r="AC927" s="248"/>
      <c r="AD927" s="528"/>
      <c r="AE927" s="248"/>
      <c r="AF927" s="248"/>
    </row>
    <row r="928" spans="4:32" x14ac:dyDescent="0.3">
      <c r="D928" s="514"/>
      <c r="E928" s="514"/>
      <c r="H928" s="544"/>
      <c r="I928" s="514"/>
      <c r="J928" s="248"/>
      <c r="K928" s="248"/>
      <c r="L928" s="514"/>
      <c r="M928" s="248"/>
      <c r="N928" s="528"/>
      <c r="O928" s="248"/>
      <c r="P928" s="248"/>
      <c r="Q928" s="248"/>
      <c r="R928" s="248"/>
      <c r="S928" s="248"/>
      <c r="T928" s="248"/>
      <c r="U928" s="248"/>
      <c r="V928" s="503"/>
      <c r="W928" s="503"/>
      <c r="X928" s="503"/>
      <c r="Y928" s="503"/>
      <c r="Z928" s="503"/>
      <c r="AA928" s="503"/>
      <c r="AC928" s="248"/>
      <c r="AD928" s="528"/>
      <c r="AE928" s="248"/>
      <c r="AF928" s="248"/>
    </row>
    <row r="929" spans="4:32" x14ac:dyDescent="0.3">
      <c r="D929" s="514"/>
      <c r="E929" s="514"/>
      <c r="H929" s="544"/>
      <c r="I929" s="514"/>
      <c r="J929" s="248"/>
      <c r="K929" s="248"/>
      <c r="L929" s="514"/>
      <c r="M929" s="248"/>
      <c r="N929" s="528"/>
      <c r="O929" s="248"/>
      <c r="P929" s="248"/>
      <c r="Q929" s="248"/>
      <c r="R929" s="248"/>
      <c r="S929" s="248"/>
      <c r="T929" s="248"/>
      <c r="U929" s="248"/>
      <c r="V929" s="503"/>
      <c r="W929" s="503"/>
      <c r="X929" s="503"/>
      <c r="Y929" s="503"/>
      <c r="Z929" s="503"/>
      <c r="AA929" s="503"/>
      <c r="AC929" s="248"/>
      <c r="AD929" s="528"/>
      <c r="AE929" s="248"/>
      <c r="AF929" s="248"/>
    </row>
    <row r="930" spans="4:32" x14ac:dyDescent="0.3">
      <c r="D930" s="514"/>
      <c r="E930" s="514"/>
      <c r="H930" s="544"/>
      <c r="I930" s="514"/>
      <c r="J930" s="248"/>
      <c r="K930" s="248"/>
      <c r="L930" s="514"/>
      <c r="M930" s="248"/>
      <c r="N930" s="528"/>
      <c r="O930" s="248"/>
      <c r="P930" s="248"/>
      <c r="Q930" s="248"/>
      <c r="R930" s="248"/>
      <c r="S930" s="248"/>
      <c r="T930" s="248"/>
      <c r="U930" s="248"/>
      <c r="V930" s="503"/>
      <c r="W930" s="503"/>
      <c r="X930" s="503"/>
      <c r="Y930" s="503"/>
      <c r="Z930" s="503"/>
      <c r="AA930" s="503"/>
      <c r="AC930" s="248"/>
      <c r="AD930" s="528"/>
      <c r="AE930" s="248"/>
      <c r="AF930" s="248"/>
    </row>
    <row r="931" spans="4:32" x14ac:dyDescent="0.3">
      <c r="D931" s="514"/>
      <c r="E931" s="514"/>
      <c r="H931" s="544"/>
      <c r="I931" s="514"/>
      <c r="J931" s="248"/>
      <c r="K931" s="248"/>
      <c r="L931" s="514"/>
      <c r="M931" s="248"/>
      <c r="N931" s="528"/>
      <c r="O931" s="248"/>
      <c r="P931" s="248"/>
      <c r="Q931" s="248"/>
      <c r="R931" s="248"/>
      <c r="S931" s="248"/>
      <c r="T931" s="248"/>
      <c r="U931" s="248"/>
      <c r="V931" s="503"/>
      <c r="W931" s="503"/>
      <c r="X931" s="503"/>
      <c r="Y931" s="503"/>
      <c r="Z931" s="503"/>
      <c r="AA931" s="503"/>
      <c r="AC931" s="248"/>
      <c r="AD931" s="528"/>
      <c r="AE931" s="248"/>
      <c r="AF931" s="248"/>
    </row>
    <row r="932" spans="4:32" x14ac:dyDescent="0.3">
      <c r="D932" s="514"/>
      <c r="E932" s="514"/>
      <c r="H932" s="544"/>
      <c r="I932" s="514"/>
      <c r="J932" s="248"/>
      <c r="K932" s="248"/>
      <c r="L932" s="514"/>
      <c r="M932" s="248"/>
      <c r="N932" s="528"/>
      <c r="O932" s="248"/>
      <c r="P932" s="248"/>
      <c r="Q932" s="248"/>
      <c r="R932" s="248"/>
      <c r="S932" s="248"/>
      <c r="T932" s="248"/>
      <c r="U932" s="248"/>
      <c r="V932" s="503"/>
      <c r="W932" s="503"/>
      <c r="X932" s="503"/>
      <c r="Y932" s="503"/>
      <c r="Z932" s="503"/>
      <c r="AA932" s="503"/>
      <c r="AC932" s="248"/>
      <c r="AD932" s="528"/>
      <c r="AE932" s="248"/>
      <c r="AF932" s="248"/>
    </row>
    <row r="933" spans="4:32" x14ac:dyDescent="0.3">
      <c r="D933" s="514"/>
      <c r="E933" s="514"/>
      <c r="H933" s="544"/>
      <c r="I933" s="514"/>
      <c r="J933" s="248"/>
      <c r="K933" s="248"/>
      <c r="L933" s="514"/>
      <c r="M933" s="248"/>
      <c r="N933" s="528"/>
      <c r="O933" s="248"/>
      <c r="P933" s="248"/>
      <c r="Q933" s="248"/>
      <c r="R933" s="248"/>
      <c r="S933" s="248"/>
      <c r="T933" s="248"/>
      <c r="U933" s="248"/>
      <c r="V933" s="503"/>
      <c r="W933" s="503"/>
      <c r="X933" s="503"/>
      <c r="Y933" s="503"/>
      <c r="Z933" s="503"/>
      <c r="AA933" s="503"/>
      <c r="AC933" s="248"/>
      <c r="AD933" s="528"/>
      <c r="AE933" s="248"/>
      <c r="AF933" s="248"/>
    </row>
    <row r="934" spans="4:32" x14ac:dyDescent="0.3">
      <c r="D934" s="514"/>
      <c r="E934" s="514"/>
      <c r="H934" s="544"/>
      <c r="I934" s="514"/>
      <c r="J934" s="248"/>
      <c r="K934" s="248"/>
      <c r="L934" s="514"/>
      <c r="M934" s="248"/>
      <c r="N934" s="528"/>
      <c r="O934" s="248"/>
      <c r="P934" s="248"/>
      <c r="Q934" s="248"/>
      <c r="R934" s="248"/>
      <c r="S934" s="248"/>
      <c r="T934" s="248"/>
      <c r="U934" s="248"/>
      <c r="V934" s="503"/>
      <c r="W934" s="503"/>
      <c r="X934" s="503"/>
      <c r="Y934" s="503"/>
      <c r="Z934" s="503"/>
      <c r="AA934" s="503"/>
      <c r="AC934" s="248"/>
      <c r="AD934" s="528"/>
      <c r="AE934" s="248"/>
      <c r="AF934" s="248"/>
    </row>
    <row r="935" spans="4:32" x14ac:dyDescent="0.3">
      <c r="D935" s="514"/>
      <c r="E935" s="514"/>
      <c r="H935" s="544"/>
      <c r="I935" s="514"/>
      <c r="J935" s="248"/>
      <c r="K935" s="248"/>
      <c r="L935" s="514"/>
      <c r="M935" s="248"/>
      <c r="N935" s="528"/>
      <c r="O935" s="248"/>
      <c r="P935" s="248"/>
      <c r="Q935" s="248"/>
      <c r="R935" s="248"/>
      <c r="S935" s="248"/>
      <c r="T935" s="248"/>
      <c r="U935" s="248"/>
      <c r="V935" s="503"/>
      <c r="W935" s="503"/>
      <c r="X935" s="503"/>
      <c r="Y935" s="503"/>
      <c r="Z935" s="503"/>
      <c r="AA935" s="503"/>
      <c r="AC935" s="248"/>
      <c r="AD935" s="528"/>
      <c r="AE935" s="248"/>
      <c r="AF935" s="248"/>
    </row>
    <row r="936" spans="4:32" x14ac:dyDescent="0.3">
      <c r="D936" s="514"/>
      <c r="E936" s="514"/>
      <c r="H936" s="544"/>
      <c r="I936" s="514"/>
      <c r="J936" s="248"/>
      <c r="K936" s="248"/>
      <c r="L936" s="514"/>
      <c r="M936" s="248"/>
      <c r="N936" s="528"/>
      <c r="O936" s="248"/>
      <c r="P936" s="248"/>
      <c r="Q936" s="248"/>
      <c r="R936" s="248"/>
      <c r="S936" s="248"/>
      <c r="T936" s="248"/>
      <c r="U936" s="248"/>
      <c r="V936" s="503"/>
      <c r="W936" s="503"/>
      <c r="X936" s="503"/>
      <c r="Y936" s="503"/>
      <c r="Z936" s="503"/>
      <c r="AA936" s="503"/>
      <c r="AC936" s="248"/>
      <c r="AD936" s="528"/>
      <c r="AE936" s="248"/>
      <c r="AF936" s="248"/>
    </row>
    <row r="937" spans="4:32" x14ac:dyDescent="0.3">
      <c r="D937" s="514"/>
      <c r="E937" s="514"/>
      <c r="H937" s="544"/>
      <c r="I937" s="514"/>
      <c r="J937" s="248"/>
      <c r="K937" s="248"/>
      <c r="L937" s="514"/>
      <c r="M937" s="248"/>
      <c r="N937" s="528"/>
      <c r="O937" s="248"/>
      <c r="P937" s="248"/>
      <c r="Q937" s="248"/>
      <c r="R937" s="248"/>
      <c r="S937" s="248"/>
      <c r="T937" s="248"/>
      <c r="U937" s="248"/>
      <c r="V937" s="503"/>
      <c r="W937" s="503"/>
      <c r="X937" s="503"/>
      <c r="Y937" s="503"/>
      <c r="Z937" s="503"/>
      <c r="AA937" s="503"/>
      <c r="AC937" s="248"/>
      <c r="AD937" s="528"/>
      <c r="AE937" s="248"/>
      <c r="AF937" s="248"/>
    </row>
    <row r="938" spans="4:32" x14ac:dyDescent="0.3">
      <c r="D938" s="514"/>
      <c r="E938" s="514"/>
      <c r="H938" s="544"/>
      <c r="I938" s="514"/>
      <c r="J938" s="248"/>
      <c r="K938" s="248"/>
      <c r="L938" s="514"/>
      <c r="M938" s="248"/>
      <c r="N938" s="528"/>
      <c r="O938" s="248"/>
      <c r="P938" s="248"/>
      <c r="Q938" s="248"/>
      <c r="R938" s="248"/>
      <c r="S938" s="248"/>
      <c r="T938" s="248"/>
      <c r="U938" s="248"/>
      <c r="V938" s="503"/>
      <c r="W938" s="503"/>
      <c r="X938" s="503"/>
      <c r="Y938" s="503"/>
      <c r="Z938" s="503"/>
      <c r="AA938" s="503"/>
      <c r="AC938" s="248"/>
      <c r="AD938" s="528"/>
      <c r="AE938" s="248"/>
      <c r="AF938" s="248"/>
    </row>
    <row r="939" spans="4:32" x14ac:dyDescent="0.3">
      <c r="D939" s="514"/>
      <c r="E939" s="514"/>
      <c r="H939" s="544"/>
      <c r="I939" s="514"/>
      <c r="J939" s="248"/>
      <c r="K939" s="248"/>
      <c r="L939" s="514"/>
      <c r="M939" s="248"/>
      <c r="N939" s="528"/>
      <c r="O939" s="248"/>
      <c r="P939" s="248"/>
      <c r="Q939" s="248"/>
      <c r="R939" s="248"/>
      <c r="S939" s="248"/>
      <c r="T939" s="248"/>
      <c r="U939" s="248"/>
      <c r="V939" s="503"/>
      <c r="W939" s="503"/>
      <c r="X939" s="503"/>
      <c r="Y939" s="503"/>
      <c r="Z939" s="503"/>
      <c r="AA939" s="503"/>
      <c r="AC939" s="248"/>
      <c r="AD939" s="528"/>
      <c r="AE939" s="248"/>
      <c r="AF939" s="248"/>
    </row>
    <row r="940" spans="4:32" x14ac:dyDescent="0.3">
      <c r="D940" s="514"/>
      <c r="E940" s="514"/>
      <c r="H940" s="544"/>
      <c r="I940" s="514"/>
      <c r="J940" s="248"/>
      <c r="K940" s="248"/>
      <c r="L940" s="514"/>
      <c r="M940" s="248"/>
      <c r="N940" s="528"/>
      <c r="O940" s="248"/>
      <c r="P940" s="248"/>
      <c r="Q940" s="248"/>
      <c r="R940" s="248"/>
      <c r="S940" s="248"/>
      <c r="T940" s="248"/>
      <c r="U940" s="248"/>
      <c r="V940" s="503"/>
      <c r="W940" s="503"/>
      <c r="X940" s="503"/>
      <c r="Y940" s="503"/>
      <c r="Z940" s="503"/>
      <c r="AA940" s="503"/>
      <c r="AC940" s="248"/>
      <c r="AD940" s="528"/>
      <c r="AE940" s="248"/>
      <c r="AF940" s="248"/>
    </row>
    <row r="941" spans="4:32" x14ac:dyDescent="0.3">
      <c r="D941" s="514"/>
      <c r="E941" s="514"/>
      <c r="H941" s="544"/>
      <c r="I941" s="514"/>
      <c r="J941" s="248"/>
      <c r="K941" s="248"/>
      <c r="L941" s="514"/>
      <c r="M941" s="248"/>
      <c r="N941" s="528"/>
      <c r="O941" s="248"/>
      <c r="P941" s="248"/>
      <c r="Q941" s="248"/>
      <c r="R941" s="248"/>
      <c r="S941" s="248"/>
      <c r="T941" s="248"/>
      <c r="U941" s="248"/>
      <c r="V941" s="503"/>
      <c r="W941" s="503"/>
      <c r="X941" s="503"/>
      <c r="Y941" s="503"/>
      <c r="Z941" s="503"/>
      <c r="AA941" s="503"/>
      <c r="AC941" s="248"/>
      <c r="AD941" s="528"/>
      <c r="AE941" s="248"/>
      <c r="AF941" s="248"/>
    </row>
    <row r="942" spans="4:32" x14ac:dyDescent="0.3">
      <c r="D942" s="514"/>
      <c r="E942" s="514"/>
      <c r="H942" s="544"/>
      <c r="I942" s="514"/>
      <c r="J942" s="248"/>
      <c r="K942" s="248"/>
      <c r="L942" s="514"/>
      <c r="M942" s="248"/>
      <c r="N942" s="528"/>
      <c r="O942" s="248"/>
      <c r="P942" s="248"/>
      <c r="Q942" s="248"/>
      <c r="R942" s="248"/>
      <c r="S942" s="248"/>
      <c r="T942" s="248"/>
      <c r="U942" s="248"/>
      <c r="V942" s="503"/>
      <c r="W942" s="503"/>
      <c r="X942" s="503"/>
      <c r="Y942" s="503"/>
      <c r="Z942" s="503"/>
      <c r="AA942" s="503"/>
      <c r="AC942" s="248"/>
      <c r="AD942" s="528"/>
      <c r="AE942" s="248"/>
      <c r="AF942" s="248"/>
    </row>
    <row r="943" spans="4:32" x14ac:dyDescent="0.3">
      <c r="D943" s="514"/>
      <c r="E943" s="514"/>
      <c r="H943" s="544"/>
      <c r="I943" s="514"/>
      <c r="J943" s="248"/>
      <c r="K943" s="248"/>
      <c r="L943" s="514"/>
      <c r="M943" s="248"/>
      <c r="N943" s="528"/>
      <c r="O943" s="248"/>
      <c r="P943" s="248"/>
      <c r="Q943" s="248"/>
      <c r="R943" s="248"/>
      <c r="S943" s="248"/>
      <c r="T943" s="248"/>
      <c r="U943" s="248"/>
      <c r="V943" s="503"/>
      <c r="W943" s="503"/>
      <c r="X943" s="503"/>
      <c r="Y943" s="503"/>
      <c r="Z943" s="503"/>
      <c r="AA943" s="503"/>
      <c r="AC943" s="248"/>
      <c r="AD943" s="528"/>
      <c r="AE943" s="248"/>
      <c r="AF943" s="248"/>
    </row>
    <row r="944" spans="4:32" x14ac:dyDescent="0.3">
      <c r="D944" s="514"/>
      <c r="E944" s="514"/>
      <c r="H944" s="544"/>
      <c r="I944" s="514"/>
      <c r="J944" s="248"/>
      <c r="K944" s="248"/>
      <c r="L944" s="514"/>
      <c r="M944" s="248"/>
      <c r="N944" s="528"/>
      <c r="O944" s="248"/>
      <c r="P944" s="248"/>
      <c r="Q944" s="248"/>
      <c r="R944" s="248"/>
      <c r="S944" s="248"/>
      <c r="T944" s="248"/>
      <c r="U944" s="248"/>
      <c r="V944" s="503"/>
      <c r="W944" s="503"/>
      <c r="X944" s="503"/>
      <c r="Y944" s="503"/>
      <c r="Z944" s="503"/>
      <c r="AA944" s="503"/>
      <c r="AC944" s="248"/>
      <c r="AD944" s="528"/>
      <c r="AE944" s="248"/>
      <c r="AF944" s="248"/>
    </row>
    <row r="945" spans="4:32" x14ac:dyDescent="0.3">
      <c r="D945" s="514"/>
      <c r="E945" s="514"/>
      <c r="H945" s="544"/>
      <c r="I945" s="514"/>
      <c r="J945" s="248"/>
      <c r="K945" s="248"/>
      <c r="L945" s="514"/>
      <c r="M945" s="248"/>
      <c r="N945" s="528"/>
      <c r="O945" s="248"/>
      <c r="P945" s="248"/>
      <c r="Q945" s="248"/>
      <c r="R945" s="248"/>
      <c r="S945" s="248"/>
      <c r="T945" s="248"/>
      <c r="U945" s="248"/>
      <c r="V945" s="503"/>
      <c r="W945" s="503"/>
      <c r="X945" s="503"/>
      <c r="Y945" s="503"/>
      <c r="Z945" s="503"/>
      <c r="AA945" s="503"/>
      <c r="AC945" s="248"/>
      <c r="AD945" s="528"/>
      <c r="AE945" s="248"/>
      <c r="AF945" s="248"/>
    </row>
    <row r="946" spans="4:32" x14ac:dyDescent="0.3">
      <c r="D946" s="514"/>
      <c r="E946" s="514"/>
      <c r="H946" s="544"/>
      <c r="I946" s="514"/>
      <c r="J946" s="248"/>
      <c r="K946" s="248"/>
      <c r="L946" s="514"/>
      <c r="M946" s="248"/>
      <c r="N946" s="528"/>
      <c r="O946" s="248"/>
      <c r="P946" s="248"/>
      <c r="Q946" s="248"/>
      <c r="R946" s="248"/>
      <c r="S946" s="248"/>
      <c r="T946" s="248"/>
      <c r="U946" s="248"/>
      <c r="V946" s="503"/>
      <c r="W946" s="503"/>
      <c r="X946" s="503"/>
      <c r="Y946" s="503"/>
      <c r="Z946" s="503"/>
      <c r="AA946" s="503"/>
      <c r="AC946" s="248"/>
      <c r="AD946" s="528"/>
      <c r="AE946" s="248"/>
      <c r="AF946" s="248"/>
    </row>
    <row r="947" spans="4:32" x14ac:dyDescent="0.3">
      <c r="D947" s="514"/>
      <c r="E947" s="514"/>
      <c r="H947" s="544"/>
      <c r="I947" s="514"/>
      <c r="J947" s="248"/>
      <c r="K947" s="248"/>
      <c r="L947" s="514"/>
      <c r="M947" s="248"/>
      <c r="N947" s="528"/>
      <c r="O947" s="248"/>
      <c r="P947" s="248"/>
      <c r="Q947" s="248"/>
      <c r="R947" s="248"/>
      <c r="S947" s="248"/>
      <c r="T947" s="248"/>
      <c r="U947" s="248"/>
      <c r="V947" s="503"/>
      <c r="W947" s="503"/>
      <c r="X947" s="503"/>
      <c r="Y947" s="503"/>
      <c r="Z947" s="503"/>
      <c r="AA947" s="503"/>
      <c r="AC947" s="248"/>
      <c r="AD947" s="528"/>
      <c r="AE947" s="248"/>
      <c r="AF947" s="248"/>
    </row>
    <row r="948" spans="4:32" x14ac:dyDescent="0.3">
      <c r="D948" s="514"/>
      <c r="E948" s="514"/>
      <c r="H948" s="544"/>
      <c r="I948" s="514"/>
      <c r="J948" s="248"/>
      <c r="K948" s="248"/>
      <c r="L948" s="514"/>
      <c r="M948" s="248"/>
      <c r="N948" s="528"/>
      <c r="O948" s="248"/>
      <c r="P948" s="248"/>
      <c r="Q948" s="248"/>
      <c r="R948" s="248"/>
      <c r="S948" s="248"/>
      <c r="T948" s="248"/>
      <c r="U948" s="248"/>
      <c r="V948" s="503"/>
      <c r="W948" s="503"/>
      <c r="X948" s="503"/>
      <c r="Y948" s="503"/>
      <c r="Z948" s="503"/>
      <c r="AA948" s="503"/>
      <c r="AC948" s="248"/>
      <c r="AD948" s="528"/>
      <c r="AE948" s="248"/>
      <c r="AF948" s="248"/>
    </row>
    <row r="949" spans="4:32" x14ac:dyDescent="0.3">
      <c r="D949" s="514"/>
      <c r="E949" s="514"/>
      <c r="H949" s="544"/>
      <c r="I949" s="514"/>
      <c r="J949" s="248"/>
      <c r="K949" s="248"/>
      <c r="L949" s="514"/>
      <c r="M949" s="248"/>
      <c r="N949" s="528"/>
      <c r="O949" s="248"/>
      <c r="P949" s="248"/>
      <c r="Q949" s="248"/>
      <c r="R949" s="248"/>
      <c r="S949" s="248"/>
      <c r="T949" s="248"/>
      <c r="U949" s="248"/>
      <c r="V949" s="503"/>
      <c r="W949" s="503"/>
      <c r="X949" s="503"/>
      <c r="Y949" s="503"/>
      <c r="Z949" s="503"/>
      <c r="AA949" s="503"/>
      <c r="AC949" s="248"/>
      <c r="AD949" s="528"/>
      <c r="AE949" s="248"/>
      <c r="AF949" s="248"/>
    </row>
    <row r="950" spans="4:32" x14ac:dyDescent="0.3">
      <c r="D950" s="514"/>
      <c r="E950" s="514"/>
      <c r="H950" s="544"/>
      <c r="I950" s="514"/>
      <c r="J950" s="248"/>
      <c r="K950" s="248"/>
      <c r="L950" s="514"/>
      <c r="M950" s="248"/>
      <c r="N950" s="528"/>
      <c r="O950" s="248"/>
      <c r="P950" s="248"/>
      <c r="Q950" s="248"/>
      <c r="R950" s="248"/>
      <c r="S950" s="248"/>
      <c r="T950" s="248"/>
      <c r="U950" s="248"/>
      <c r="V950" s="503"/>
      <c r="W950" s="503"/>
      <c r="X950" s="503"/>
      <c r="Y950" s="503"/>
      <c r="Z950" s="503"/>
      <c r="AA950" s="503"/>
      <c r="AC950" s="248"/>
      <c r="AD950" s="528"/>
      <c r="AE950" s="248"/>
      <c r="AF950" s="248"/>
    </row>
    <row r="951" spans="4:32" x14ac:dyDescent="0.3">
      <c r="D951" s="514"/>
      <c r="E951" s="514"/>
      <c r="H951" s="544"/>
      <c r="I951" s="514"/>
      <c r="J951" s="248"/>
      <c r="K951" s="248"/>
      <c r="L951" s="514"/>
      <c r="M951" s="248"/>
      <c r="N951" s="528"/>
      <c r="O951" s="248"/>
      <c r="P951" s="248"/>
      <c r="Q951" s="248"/>
      <c r="R951" s="248"/>
      <c r="S951" s="248"/>
      <c r="T951" s="248"/>
      <c r="U951" s="248"/>
      <c r="V951" s="503"/>
      <c r="W951" s="503"/>
      <c r="X951" s="503"/>
      <c r="Y951" s="503"/>
      <c r="Z951" s="503"/>
      <c r="AA951" s="503"/>
      <c r="AC951" s="248"/>
      <c r="AD951" s="528"/>
      <c r="AE951" s="248"/>
      <c r="AF951" s="248"/>
    </row>
    <row r="952" spans="4:32" x14ac:dyDescent="0.3">
      <c r="D952" s="514"/>
      <c r="E952" s="514"/>
      <c r="H952" s="544"/>
      <c r="I952" s="514"/>
      <c r="J952" s="248"/>
      <c r="K952" s="248"/>
      <c r="L952" s="514"/>
      <c r="M952" s="248"/>
      <c r="N952" s="528"/>
      <c r="O952" s="248"/>
      <c r="P952" s="248"/>
      <c r="Q952" s="248"/>
      <c r="R952" s="248"/>
      <c r="S952" s="248"/>
      <c r="T952" s="248"/>
      <c r="U952" s="248"/>
      <c r="V952" s="503"/>
      <c r="W952" s="503"/>
      <c r="X952" s="503"/>
      <c r="Y952" s="503"/>
      <c r="Z952" s="503"/>
      <c r="AA952" s="503"/>
      <c r="AC952" s="248"/>
      <c r="AD952" s="528"/>
      <c r="AE952" s="248"/>
      <c r="AF952" s="248"/>
    </row>
    <row r="953" spans="4:32" x14ac:dyDescent="0.3">
      <c r="D953" s="514"/>
      <c r="E953" s="514"/>
      <c r="H953" s="544"/>
      <c r="I953" s="514"/>
      <c r="J953" s="248"/>
      <c r="K953" s="248"/>
      <c r="L953" s="514"/>
      <c r="M953" s="248"/>
      <c r="N953" s="528"/>
      <c r="O953" s="248"/>
      <c r="P953" s="248"/>
      <c r="Q953" s="248"/>
      <c r="R953" s="248"/>
      <c r="S953" s="248"/>
      <c r="T953" s="248"/>
      <c r="U953" s="248"/>
      <c r="V953" s="503"/>
      <c r="W953" s="503"/>
      <c r="X953" s="503"/>
      <c r="Y953" s="503"/>
      <c r="Z953" s="503"/>
      <c r="AA953" s="503"/>
      <c r="AC953" s="248"/>
      <c r="AD953" s="528"/>
      <c r="AE953" s="248"/>
      <c r="AF953" s="248"/>
    </row>
    <row r="954" spans="4:32" x14ac:dyDescent="0.3">
      <c r="D954" s="514"/>
      <c r="E954" s="514"/>
      <c r="H954" s="544"/>
      <c r="I954" s="514"/>
      <c r="J954" s="248"/>
      <c r="K954" s="248"/>
      <c r="L954" s="514"/>
      <c r="M954" s="248"/>
      <c r="N954" s="528"/>
      <c r="O954" s="248"/>
      <c r="P954" s="248"/>
      <c r="Q954" s="248"/>
      <c r="R954" s="248"/>
      <c r="S954" s="248"/>
      <c r="T954" s="248"/>
      <c r="U954" s="248"/>
      <c r="V954" s="503"/>
      <c r="W954" s="503"/>
      <c r="X954" s="503"/>
      <c r="Y954" s="503"/>
      <c r="Z954" s="503"/>
      <c r="AA954" s="503"/>
      <c r="AC954" s="248"/>
      <c r="AD954" s="528"/>
      <c r="AE954" s="248"/>
      <c r="AF954" s="248"/>
    </row>
    <row r="955" spans="4:32" x14ac:dyDescent="0.3">
      <c r="D955" s="514"/>
      <c r="E955" s="514"/>
      <c r="H955" s="544"/>
      <c r="I955" s="514"/>
      <c r="J955" s="248"/>
      <c r="K955" s="248"/>
      <c r="L955" s="514"/>
      <c r="M955" s="248"/>
      <c r="N955" s="528"/>
      <c r="O955" s="248"/>
      <c r="P955" s="248"/>
      <c r="Q955" s="248"/>
      <c r="R955" s="248"/>
      <c r="S955" s="248"/>
      <c r="T955" s="248"/>
      <c r="U955" s="248"/>
      <c r="V955" s="503"/>
      <c r="W955" s="503"/>
      <c r="X955" s="503"/>
      <c r="Y955" s="503"/>
      <c r="Z955" s="503"/>
      <c r="AA955" s="503"/>
      <c r="AC955" s="248"/>
      <c r="AD955" s="528"/>
      <c r="AE955" s="248"/>
      <c r="AF955" s="248"/>
    </row>
    <row r="956" spans="4:32" x14ac:dyDescent="0.3">
      <c r="D956" s="514"/>
      <c r="E956" s="514"/>
      <c r="H956" s="544"/>
      <c r="I956" s="514"/>
      <c r="J956" s="248"/>
      <c r="K956" s="248"/>
      <c r="L956" s="514"/>
      <c r="M956" s="248"/>
      <c r="N956" s="528"/>
      <c r="O956" s="248"/>
      <c r="P956" s="248"/>
      <c r="Q956" s="248"/>
      <c r="R956" s="248"/>
      <c r="S956" s="248"/>
      <c r="T956" s="248"/>
      <c r="U956" s="248"/>
      <c r="V956" s="503"/>
      <c r="W956" s="503"/>
      <c r="X956" s="503"/>
      <c r="Y956" s="503"/>
      <c r="Z956" s="503"/>
      <c r="AA956" s="503"/>
      <c r="AC956" s="248"/>
      <c r="AD956" s="528"/>
      <c r="AE956" s="248"/>
      <c r="AF956" s="248"/>
    </row>
    <row r="957" spans="4:32" x14ac:dyDescent="0.3">
      <c r="D957" s="514"/>
      <c r="E957" s="514"/>
      <c r="H957" s="544"/>
      <c r="I957" s="514"/>
      <c r="J957" s="248"/>
      <c r="K957" s="248"/>
      <c r="L957" s="514"/>
      <c r="M957" s="248"/>
      <c r="N957" s="528"/>
      <c r="O957" s="248"/>
      <c r="P957" s="248"/>
      <c r="Q957" s="248"/>
      <c r="R957" s="248"/>
      <c r="S957" s="248"/>
      <c r="T957" s="248"/>
      <c r="U957" s="248"/>
      <c r="V957" s="503"/>
      <c r="W957" s="503"/>
      <c r="X957" s="503"/>
      <c r="Y957" s="503"/>
      <c r="Z957" s="503"/>
      <c r="AA957" s="503"/>
      <c r="AC957" s="248"/>
      <c r="AD957" s="528"/>
      <c r="AE957" s="248"/>
      <c r="AF957" s="248"/>
    </row>
    <row r="958" spans="4:32" x14ac:dyDescent="0.3">
      <c r="D958" s="514"/>
      <c r="E958" s="514"/>
      <c r="H958" s="544"/>
      <c r="I958" s="514"/>
      <c r="J958" s="248"/>
      <c r="K958" s="248"/>
      <c r="L958" s="514"/>
      <c r="M958" s="248"/>
      <c r="N958" s="528"/>
      <c r="O958" s="248"/>
      <c r="P958" s="248"/>
      <c r="Q958" s="248"/>
      <c r="R958" s="248"/>
      <c r="S958" s="248"/>
      <c r="T958" s="248"/>
      <c r="U958" s="248"/>
      <c r="V958" s="503"/>
      <c r="W958" s="503"/>
      <c r="X958" s="503"/>
      <c r="Y958" s="503"/>
      <c r="Z958" s="503"/>
      <c r="AA958" s="503"/>
      <c r="AC958" s="248"/>
      <c r="AD958" s="528"/>
      <c r="AE958" s="248"/>
      <c r="AF958" s="248"/>
    </row>
    <row r="959" spans="4:32" x14ac:dyDescent="0.3">
      <c r="D959" s="514"/>
      <c r="E959" s="514"/>
      <c r="H959" s="544"/>
      <c r="I959" s="514"/>
      <c r="J959" s="248"/>
      <c r="K959" s="248"/>
      <c r="L959" s="514"/>
      <c r="M959" s="248"/>
      <c r="N959" s="528"/>
      <c r="O959" s="248"/>
      <c r="P959" s="248"/>
      <c r="Q959" s="248"/>
      <c r="R959" s="248"/>
      <c r="S959" s="248"/>
      <c r="T959" s="248"/>
      <c r="U959" s="248"/>
      <c r="V959" s="503"/>
      <c r="W959" s="503"/>
      <c r="X959" s="503"/>
      <c r="Y959" s="503"/>
      <c r="Z959" s="503"/>
      <c r="AA959" s="503"/>
      <c r="AC959" s="248"/>
      <c r="AD959" s="528"/>
      <c r="AE959" s="248"/>
      <c r="AF959" s="248"/>
    </row>
    <row r="960" spans="4:32" x14ac:dyDescent="0.3">
      <c r="D960" s="514"/>
      <c r="E960" s="514"/>
      <c r="H960" s="544"/>
      <c r="I960" s="514"/>
      <c r="J960" s="248"/>
      <c r="K960" s="248"/>
      <c r="L960" s="514"/>
      <c r="M960" s="248"/>
      <c r="N960" s="528"/>
      <c r="O960" s="248"/>
      <c r="P960" s="248"/>
      <c r="Q960" s="248"/>
      <c r="R960" s="248"/>
      <c r="S960" s="248"/>
      <c r="T960" s="248"/>
      <c r="U960" s="248"/>
      <c r="V960" s="503"/>
      <c r="W960" s="503"/>
      <c r="X960" s="503"/>
      <c r="Y960" s="503"/>
      <c r="Z960" s="503"/>
      <c r="AA960" s="503"/>
      <c r="AC960" s="248"/>
      <c r="AD960" s="528"/>
      <c r="AE960" s="248"/>
      <c r="AF960" s="248"/>
    </row>
    <row r="961" spans="4:32" x14ac:dyDescent="0.3">
      <c r="D961" s="514"/>
      <c r="E961" s="514"/>
      <c r="H961" s="544"/>
      <c r="I961" s="514"/>
      <c r="J961" s="248"/>
      <c r="K961" s="248"/>
      <c r="L961" s="514"/>
      <c r="M961" s="248"/>
      <c r="N961" s="528"/>
      <c r="O961" s="248"/>
      <c r="P961" s="248"/>
      <c r="Q961" s="248"/>
      <c r="R961" s="248"/>
      <c r="S961" s="248"/>
      <c r="T961" s="248"/>
      <c r="U961" s="248"/>
      <c r="V961" s="503"/>
      <c r="W961" s="503"/>
      <c r="X961" s="503"/>
      <c r="Y961" s="503"/>
      <c r="Z961" s="503"/>
      <c r="AA961" s="503"/>
      <c r="AC961" s="248"/>
      <c r="AD961" s="528"/>
      <c r="AE961" s="248"/>
      <c r="AF961" s="248"/>
    </row>
    <row r="962" spans="4:32" x14ac:dyDescent="0.3">
      <c r="D962" s="514"/>
      <c r="E962" s="514"/>
      <c r="H962" s="544"/>
      <c r="I962" s="514"/>
      <c r="J962" s="248"/>
      <c r="K962" s="248"/>
      <c r="L962" s="514"/>
      <c r="M962" s="248"/>
      <c r="N962" s="528"/>
      <c r="O962" s="248"/>
      <c r="P962" s="248"/>
      <c r="Q962" s="248"/>
      <c r="R962" s="248"/>
      <c r="S962" s="248"/>
      <c r="T962" s="248"/>
      <c r="U962" s="248"/>
      <c r="V962" s="503"/>
      <c r="W962" s="503"/>
      <c r="X962" s="503"/>
      <c r="Y962" s="503"/>
      <c r="Z962" s="503"/>
      <c r="AA962" s="503"/>
      <c r="AC962" s="248"/>
      <c r="AD962" s="528"/>
      <c r="AE962" s="248"/>
      <c r="AF962" s="248"/>
    </row>
    <row r="963" spans="4:32" x14ac:dyDescent="0.3">
      <c r="D963" s="514"/>
      <c r="E963" s="514"/>
      <c r="H963" s="544"/>
      <c r="I963" s="514"/>
      <c r="J963" s="248"/>
      <c r="K963" s="248"/>
      <c r="L963" s="514"/>
      <c r="M963" s="248"/>
      <c r="N963" s="528"/>
      <c r="O963" s="248"/>
      <c r="P963" s="248"/>
      <c r="Q963" s="248"/>
      <c r="R963" s="248"/>
      <c r="S963" s="248"/>
      <c r="T963" s="248"/>
      <c r="U963" s="248"/>
      <c r="V963" s="503"/>
      <c r="W963" s="503"/>
      <c r="X963" s="503"/>
      <c r="Y963" s="503"/>
      <c r="Z963" s="503"/>
      <c r="AA963" s="503"/>
      <c r="AC963" s="248"/>
      <c r="AD963" s="528"/>
      <c r="AE963" s="248"/>
      <c r="AF963" s="248"/>
    </row>
    <row r="964" spans="4:32" x14ac:dyDescent="0.3">
      <c r="D964" s="514"/>
      <c r="E964" s="514"/>
      <c r="H964" s="544"/>
      <c r="I964" s="514"/>
      <c r="J964" s="248"/>
      <c r="K964" s="248"/>
      <c r="L964" s="514"/>
      <c r="M964" s="248"/>
      <c r="N964" s="528"/>
      <c r="O964" s="248"/>
      <c r="P964" s="248"/>
      <c r="Q964" s="248"/>
      <c r="R964" s="248"/>
      <c r="S964" s="248"/>
      <c r="T964" s="248"/>
      <c r="U964" s="248"/>
      <c r="V964" s="503"/>
      <c r="W964" s="503"/>
      <c r="X964" s="503"/>
      <c r="Y964" s="503"/>
      <c r="Z964" s="503"/>
      <c r="AA964" s="503"/>
      <c r="AC964" s="248"/>
      <c r="AD964" s="528"/>
      <c r="AE964" s="248"/>
      <c r="AF964" s="248"/>
    </row>
    <row r="965" spans="4:32" x14ac:dyDescent="0.3">
      <c r="D965" s="514"/>
      <c r="E965" s="514"/>
      <c r="H965" s="544"/>
      <c r="I965" s="514"/>
      <c r="J965" s="248"/>
      <c r="K965" s="248"/>
      <c r="L965" s="514"/>
      <c r="M965" s="248"/>
      <c r="N965" s="528"/>
      <c r="O965" s="248"/>
      <c r="P965" s="248"/>
      <c r="Q965" s="248"/>
      <c r="R965" s="248"/>
      <c r="S965" s="248"/>
      <c r="T965" s="248"/>
      <c r="U965" s="248"/>
      <c r="V965" s="503"/>
      <c r="W965" s="503"/>
      <c r="X965" s="503"/>
      <c r="Y965" s="503"/>
      <c r="Z965" s="503"/>
      <c r="AA965" s="503"/>
      <c r="AC965" s="248"/>
      <c r="AD965" s="528"/>
      <c r="AE965" s="248"/>
      <c r="AF965" s="248"/>
    </row>
    <row r="966" spans="4:32" x14ac:dyDescent="0.3">
      <c r="D966" s="514"/>
      <c r="E966" s="514"/>
      <c r="H966" s="544"/>
      <c r="I966" s="514"/>
      <c r="J966" s="248"/>
      <c r="K966" s="248"/>
      <c r="L966" s="514"/>
      <c r="M966" s="248"/>
      <c r="N966" s="528"/>
      <c r="O966" s="248"/>
      <c r="P966" s="248"/>
      <c r="Q966" s="248"/>
      <c r="R966" s="248"/>
      <c r="S966" s="248"/>
      <c r="T966" s="248"/>
      <c r="U966" s="248"/>
      <c r="V966" s="503"/>
      <c r="W966" s="503"/>
      <c r="X966" s="503"/>
      <c r="Y966" s="503"/>
      <c r="Z966" s="503"/>
      <c r="AA966" s="503"/>
      <c r="AC966" s="248"/>
      <c r="AD966" s="528"/>
      <c r="AE966" s="248"/>
      <c r="AF966" s="248"/>
    </row>
    <row r="967" spans="4:32" x14ac:dyDescent="0.3">
      <c r="D967" s="514"/>
      <c r="E967" s="514"/>
      <c r="H967" s="544"/>
      <c r="I967" s="514"/>
      <c r="J967" s="248"/>
      <c r="K967" s="248"/>
      <c r="L967" s="514"/>
      <c r="M967" s="248"/>
      <c r="N967" s="528"/>
      <c r="O967" s="248"/>
      <c r="P967" s="248"/>
      <c r="Q967" s="248"/>
      <c r="R967" s="248"/>
      <c r="S967" s="248"/>
      <c r="T967" s="248"/>
      <c r="U967" s="248"/>
      <c r="V967" s="503"/>
      <c r="W967" s="503"/>
      <c r="X967" s="503"/>
      <c r="Y967" s="503"/>
      <c r="Z967" s="503"/>
      <c r="AA967" s="503"/>
      <c r="AC967" s="248"/>
      <c r="AD967" s="528"/>
      <c r="AE967" s="248"/>
      <c r="AF967" s="248"/>
    </row>
    <row r="968" spans="4:32" x14ac:dyDescent="0.3">
      <c r="D968" s="514"/>
      <c r="E968" s="514"/>
      <c r="H968" s="544"/>
      <c r="I968" s="514"/>
      <c r="J968" s="248"/>
      <c r="K968" s="248"/>
      <c r="L968" s="514"/>
      <c r="M968" s="248"/>
      <c r="N968" s="528"/>
      <c r="O968" s="248"/>
      <c r="P968" s="248"/>
      <c r="Q968" s="248"/>
      <c r="R968" s="248"/>
      <c r="S968" s="248"/>
      <c r="T968" s="248"/>
      <c r="U968" s="248"/>
      <c r="V968" s="503"/>
      <c r="W968" s="503"/>
      <c r="X968" s="503"/>
      <c r="Y968" s="503"/>
      <c r="Z968" s="503"/>
      <c r="AA968" s="503"/>
      <c r="AC968" s="248"/>
      <c r="AD968" s="528"/>
      <c r="AE968" s="248"/>
      <c r="AF968" s="248"/>
    </row>
    <row r="969" spans="4:32" x14ac:dyDescent="0.3">
      <c r="D969" s="514"/>
      <c r="E969" s="514"/>
      <c r="H969" s="544"/>
      <c r="I969" s="514"/>
      <c r="J969" s="248"/>
      <c r="K969" s="248"/>
      <c r="L969" s="514"/>
      <c r="M969" s="248"/>
      <c r="N969" s="528"/>
      <c r="O969" s="248"/>
      <c r="P969" s="248"/>
      <c r="Q969" s="248"/>
      <c r="R969" s="248"/>
      <c r="S969" s="248"/>
      <c r="T969" s="248"/>
      <c r="U969" s="248"/>
      <c r="V969" s="503"/>
      <c r="W969" s="503"/>
      <c r="X969" s="503"/>
      <c r="Y969" s="503"/>
      <c r="Z969" s="503"/>
      <c r="AA969" s="503"/>
      <c r="AC969" s="248"/>
      <c r="AD969" s="528"/>
      <c r="AE969" s="248"/>
      <c r="AF969" s="248"/>
    </row>
    <row r="970" spans="4:32" x14ac:dyDescent="0.3">
      <c r="D970" s="514"/>
      <c r="E970" s="514"/>
      <c r="H970" s="544"/>
      <c r="I970" s="514"/>
      <c r="J970" s="248"/>
      <c r="K970" s="248"/>
      <c r="L970" s="514"/>
      <c r="M970" s="248"/>
      <c r="N970" s="528"/>
      <c r="O970" s="248"/>
      <c r="P970" s="248"/>
      <c r="Q970" s="248"/>
      <c r="R970" s="248"/>
      <c r="S970" s="248"/>
      <c r="T970" s="248"/>
      <c r="U970" s="248"/>
      <c r="V970" s="503"/>
      <c r="W970" s="503"/>
      <c r="X970" s="503"/>
      <c r="Y970" s="503"/>
      <c r="Z970" s="503"/>
      <c r="AA970" s="503"/>
      <c r="AC970" s="248"/>
      <c r="AD970" s="528"/>
      <c r="AE970" s="248"/>
      <c r="AF970" s="248"/>
    </row>
    <row r="971" spans="4:32" x14ac:dyDescent="0.3">
      <c r="D971" s="514"/>
      <c r="E971" s="514"/>
      <c r="H971" s="544"/>
      <c r="I971" s="514"/>
      <c r="J971" s="248"/>
      <c r="K971" s="248"/>
      <c r="L971" s="514"/>
      <c r="M971" s="248"/>
      <c r="N971" s="528"/>
      <c r="O971" s="248"/>
      <c r="P971" s="248"/>
      <c r="Q971" s="248"/>
      <c r="R971" s="248"/>
      <c r="S971" s="248"/>
      <c r="T971" s="248"/>
      <c r="U971" s="248"/>
      <c r="V971" s="503"/>
      <c r="W971" s="503"/>
      <c r="X971" s="503"/>
      <c r="Y971" s="503"/>
      <c r="Z971" s="503"/>
      <c r="AA971" s="503"/>
      <c r="AC971" s="248"/>
      <c r="AD971" s="528"/>
      <c r="AE971" s="248"/>
      <c r="AF971" s="248"/>
    </row>
    <row r="972" spans="4:32" x14ac:dyDescent="0.3">
      <c r="D972" s="514"/>
      <c r="E972" s="514"/>
      <c r="H972" s="544"/>
      <c r="I972" s="514"/>
      <c r="J972" s="248"/>
      <c r="K972" s="248"/>
      <c r="L972" s="514"/>
      <c r="M972" s="248"/>
      <c r="N972" s="528"/>
      <c r="O972" s="248"/>
      <c r="P972" s="248"/>
      <c r="Q972" s="248"/>
      <c r="R972" s="248"/>
      <c r="S972" s="248"/>
      <c r="T972" s="248"/>
      <c r="U972" s="248"/>
      <c r="V972" s="503"/>
      <c r="W972" s="503"/>
      <c r="X972" s="503"/>
      <c r="Y972" s="503"/>
      <c r="Z972" s="503"/>
      <c r="AA972" s="503"/>
      <c r="AC972" s="248"/>
      <c r="AD972" s="528"/>
      <c r="AE972" s="248"/>
      <c r="AF972" s="248"/>
    </row>
    <row r="973" spans="4:32" x14ac:dyDescent="0.3">
      <c r="D973" s="514"/>
      <c r="E973" s="514"/>
      <c r="H973" s="544"/>
      <c r="I973" s="514"/>
      <c r="J973" s="248"/>
      <c r="K973" s="248"/>
      <c r="L973" s="514"/>
      <c r="M973" s="248"/>
      <c r="N973" s="528"/>
      <c r="O973" s="248"/>
      <c r="P973" s="248"/>
      <c r="Q973" s="248"/>
      <c r="R973" s="248"/>
      <c r="S973" s="248"/>
      <c r="T973" s="248"/>
      <c r="U973" s="248"/>
      <c r="V973" s="503"/>
      <c r="W973" s="503"/>
      <c r="X973" s="503"/>
      <c r="Y973" s="503"/>
      <c r="Z973" s="503"/>
      <c r="AA973" s="503"/>
      <c r="AC973" s="248"/>
      <c r="AD973" s="528"/>
      <c r="AE973" s="248"/>
      <c r="AF973" s="248"/>
    </row>
    <row r="974" spans="4:32" x14ac:dyDescent="0.3">
      <c r="D974" s="514"/>
      <c r="E974" s="514"/>
      <c r="H974" s="544"/>
      <c r="I974" s="514"/>
      <c r="J974" s="248"/>
      <c r="K974" s="248"/>
      <c r="L974" s="514"/>
      <c r="M974" s="248"/>
      <c r="N974" s="528"/>
      <c r="O974" s="248"/>
      <c r="P974" s="248"/>
      <c r="Q974" s="248"/>
      <c r="R974" s="248"/>
      <c r="S974" s="248"/>
      <c r="T974" s="248"/>
      <c r="U974" s="248"/>
      <c r="V974" s="503"/>
      <c r="W974" s="503"/>
      <c r="X974" s="503"/>
      <c r="Y974" s="503"/>
      <c r="Z974" s="503"/>
      <c r="AA974" s="503"/>
      <c r="AC974" s="248"/>
      <c r="AD974" s="528"/>
      <c r="AE974" s="248"/>
      <c r="AF974" s="248"/>
    </row>
    <row r="975" spans="4:32" x14ac:dyDescent="0.3">
      <c r="D975" s="514"/>
      <c r="E975" s="514"/>
      <c r="H975" s="544"/>
      <c r="I975" s="514"/>
      <c r="J975" s="248"/>
      <c r="K975" s="248"/>
      <c r="L975" s="514"/>
      <c r="M975" s="248"/>
      <c r="N975" s="528"/>
      <c r="O975" s="248"/>
      <c r="P975" s="248"/>
      <c r="Q975" s="248"/>
      <c r="R975" s="248"/>
      <c r="S975" s="248"/>
      <c r="T975" s="248"/>
      <c r="U975" s="248"/>
      <c r="V975" s="503"/>
      <c r="W975" s="503"/>
      <c r="X975" s="503"/>
      <c r="Y975" s="503"/>
      <c r="Z975" s="503"/>
      <c r="AA975" s="503"/>
      <c r="AC975" s="248"/>
      <c r="AD975" s="528"/>
      <c r="AE975" s="248"/>
      <c r="AF975" s="248"/>
    </row>
    <row r="976" spans="4:32" x14ac:dyDescent="0.3">
      <c r="D976" s="514"/>
      <c r="E976" s="514"/>
      <c r="H976" s="544"/>
      <c r="I976" s="514"/>
      <c r="J976" s="248"/>
      <c r="K976" s="248"/>
      <c r="L976" s="514"/>
      <c r="M976" s="248"/>
      <c r="N976" s="528"/>
      <c r="O976" s="248"/>
      <c r="P976" s="248"/>
      <c r="Q976" s="248"/>
      <c r="R976" s="248"/>
      <c r="S976" s="248"/>
      <c r="T976" s="248"/>
      <c r="U976" s="248"/>
      <c r="V976" s="503"/>
      <c r="W976" s="503"/>
      <c r="X976" s="503"/>
      <c r="Y976" s="503"/>
      <c r="Z976" s="503"/>
      <c r="AA976" s="503"/>
      <c r="AC976" s="248"/>
      <c r="AD976" s="528"/>
      <c r="AE976" s="248"/>
      <c r="AF976" s="248"/>
    </row>
    <row r="977" spans="4:32" x14ac:dyDescent="0.3">
      <c r="D977" s="514"/>
      <c r="E977" s="514"/>
      <c r="H977" s="544"/>
      <c r="I977" s="514"/>
      <c r="J977" s="248"/>
      <c r="K977" s="248"/>
      <c r="L977" s="514"/>
      <c r="M977" s="248"/>
      <c r="N977" s="528"/>
      <c r="O977" s="248"/>
      <c r="P977" s="248"/>
      <c r="Q977" s="248"/>
      <c r="R977" s="248"/>
      <c r="S977" s="248"/>
      <c r="T977" s="248"/>
      <c r="U977" s="248"/>
      <c r="V977" s="503"/>
      <c r="W977" s="503"/>
      <c r="X977" s="503"/>
      <c r="Y977" s="503"/>
      <c r="Z977" s="503"/>
      <c r="AA977" s="503"/>
      <c r="AC977" s="248"/>
      <c r="AD977" s="528"/>
      <c r="AE977" s="248"/>
      <c r="AF977" s="248"/>
    </row>
    <row r="978" spans="4:32" x14ac:dyDescent="0.3">
      <c r="D978" s="514"/>
      <c r="E978" s="514"/>
      <c r="H978" s="544"/>
      <c r="I978" s="514"/>
      <c r="J978" s="248"/>
      <c r="K978" s="248"/>
      <c r="L978" s="514"/>
      <c r="M978" s="248"/>
      <c r="N978" s="528"/>
      <c r="O978" s="248"/>
      <c r="P978" s="248"/>
      <c r="Q978" s="248"/>
      <c r="R978" s="248"/>
      <c r="S978" s="248"/>
      <c r="T978" s="248"/>
      <c r="U978" s="248"/>
      <c r="V978" s="503"/>
      <c r="W978" s="503"/>
      <c r="X978" s="503"/>
      <c r="Y978" s="503"/>
      <c r="Z978" s="503"/>
      <c r="AA978" s="503"/>
      <c r="AC978" s="248"/>
      <c r="AD978" s="528"/>
      <c r="AE978" s="248"/>
      <c r="AF978" s="248"/>
    </row>
    <row r="979" spans="4:32" x14ac:dyDescent="0.3">
      <c r="D979" s="514"/>
      <c r="E979" s="514"/>
      <c r="H979" s="544"/>
      <c r="I979" s="514"/>
      <c r="J979" s="248"/>
      <c r="K979" s="248"/>
      <c r="L979" s="514"/>
      <c r="M979" s="248"/>
      <c r="N979" s="528"/>
      <c r="O979" s="248"/>
      <c r="P979" s="248"/>
      <c r="Q979" s="248"/>
      <c r="R979" s="248"/>
      <c r="S979" s="248"/>
      <c r="T979" s="248"/>
      <c r="U979" s="248"/>
      <c r="V979" s="503"/>
      <c r="W979" s="503"/>
      <c r="X979" s="503"/>
      <c r="Y979" s="503"/>
      <c r="Z979" s="503"/>
      <c r="AA979" s="503"/>
      <c r="AC979" s="248"/>
      <c r="AD979" s="528"/>
      <c r="AE979" s="248"/>
      <c r="AF979" s="248"/>
    </row>
    <row r="980" spans="4:32" x14ac:dyDescent="0.3">
      <c r="D980" s="514"/>
      <c r="E980" s="514"/>
      <c r="H980" s="544"/>
      <c r="I980" s="514"/>
      <c r="J980" s="248"/>
      <c r="K980" s="248"/>
      <c r="L980" s="514"/>
      <c r="M980" s="248"/>
      <c r="N980" s="528"/>
      <c r="O980" s="248"/>
      <c r="P980" s="248"/>
      <c r="Q980" s="248"/>
      <c r="R980" s="248"/>
      <c r="S980" s="248"/>
      <c r="T980" s="248"/>
      <c r="U980" s="248"/>
      <c r="V980" s="503"/>
      <c r="W980" s="503"/>
      <c r="X980" s="503"/>
      <c r="Y980" s="503"/>
      <c r="Z980" s="503"/>
      <c r="AA980" s="503"/>
      <c r="AC980" s="248"/>
      <c r="AD980" s="528"/>
      <c r="AE980" s="248"/>
      <c r="AF980" s="248"/>
    </row>
    <row r="981" spans="4:32" x14ac:dyDescent="0.3">
      <c r="D981" s="514"/>
      <c r="E981" s="514"/>
      <c r="H981" s="544"/>
      <c r="I981" s="514"/>
      <c r="J981" s="248"/>
      <c r="K981" s="248"/>
      <c r="L981" s="514"/>
      <c r="M981" s="248"/>
      <c r="N981" s="528"/>
      <c r="O981" s="248"/>
      <c r="P981" s="248"/>
      <c r="Q981" s="248"/>
      <c r="R981" s="248"/>
      <c r="S981" s="248"/>
      <c r="T981" s="248"/>
      <c r="U981" s="248"/>
      <c r="V981" s="503"/>
      <c r="W981" s="503"/>
      <c r="X981" s="503"/>
      <c r="Y981" s="503"/>
      <c r="Z981" s="503"/>
      <c r="AA981" s="503"/>
      <c r="AC981" s="248"/>
      <c r="AD981" s="528"/>
      <c r="AE981" s="248"/>
      <c r="AF981" s="248"/>
    </row>
    <row r="982" spans="4:32" x14ac:dyDescent="0.3">
      <c r="D982" s="514"/>
      <c r="E982" s="514"/>
      <c r="H982" s="544"/>
      <c r="I982" s="514"/>
      <c r="J982" s="248"/>
      <c r="K982" s="248"/>
      <c r="L982" s="514"/>
      <c r="M982" s="248"/>
      <c r="N982" s="528"/>
      <c r="O982" s="248"/>
      <c r="P982" s="248"/>
      <c r="Q982" s="248"/>
      <c r="R982" s="248"/>
      <c r="S982" s="248"/>
      <c r="T982" s="248"/>
      <c r="U982" s="248"/>
      <c r="V982" s="503"/>
      <c r="W982" s="503"/>
      <c r="X982" s="503"/>
      <c r="Y982" s="503"/>
      <c r="Z982" s="503"/>
      <c r="AA982" s="503"/>
      <c r="AC982" s="248"/>
      <c r="AD982" s="528"/>
      <c r="AE982" s="248"/>
      <c r="AF982" s="248"/>
    </row>
    <row r="983" spans="4:32" x14ac:dyDescent="0.3">
      <c r="D983" s="514"/>
      <c r="E983" s="514"/>
      <c r="H983" s="544"/>
      <c r="I983" s="514"/>
      <c r="J983" s="248"/>
      <c r="K983" s="248"/>
      <c r="L983" s="514"/>
      <c r="M983" s="248"/>
      <c r="N983" s="528"/>
      <c r="O983" s="248"/>
      <c r="P983" s="248"/>
      <c r="Q983" s="248"/>
      <c r="R983" s="248"/>
      <c r="S983" s="248"/>
      <c r="T983" s="248"/>
      <c r="U983" s="248"/>
      <c r="V983" s="503"/>
      <c r="W983" s="503"/>
      <c r="X983" s="503"/>
      <c r="Y983" s="503"/>
      <c r="Z983" s="503"/>
      <c r="AA983" s="503"/>
      <c r="AC983" s="248"/>
      <c r="AD983" s="528"/>
      <c r="AE983" s="248"/>
      <c r="AF983" s="248"/>
    </row>
    <row r="984" spans="4:32" x14ac:dyDescent="0.3">
      <c r="D984" s="514"/>
      <c r="E984" s="514"/>
      <c r="H984" s="544"/>
      <c r="I984" s="514"/>
      <c r="J984" s="248"/>
      <c r="K984" s="248"/>
      <c r="L984" s="514"/>
      <c r="M984" s="248"/>
      <c r="N984" s="528"/>
      <c r="O984" s="248"/>
      <c r="P984" s="248"/>
      <c r="Q984" s="248"/>
      <c r="R984" s="248"/>
      <c r="S984" s="248"/>
      <c r="T984" s="248"/>
      <c r="U984" s="248"/>
      <c r="V984" s="503"/>
      <c r="W984" s="503"/>
      <c r="X984" s="503"/>
      <c r="Y984" s="503"/>
      <c r="Z984" s="503"/>
      <c r="AA984" s="503"/>
      <c r="AC984" s="248"/>
      <c r="AD984" s="528"/>
      <c r="AE984" s="248"/>
      <c r="AF984" s="248"/>
    </row>
    <row r="985" spans="4:32" x14ac:dyDescent="0.3">
      <c r="D985" s="514"/>
      <c r="E985" s="514"/>
      <c r="H985" s="544"/>
      <c r="I985" s="514"/>
      <c r="J985" s="248"/>
      <c r="K985" s="248"/>
      <c r="L985" s="514"/>
      <c r="M985" s="248"/>
      <c r="N985" s="528"/>
      <c r="O985" s="248"/>
      <c r="P985" s="248"/>
      <c r="Q985" s="248"/>
      <c r="R985" s="248"/>
      <c r="S985" s="248"/>
      <c r="T985" s="248"/>
      <c r="U985" s="248"/>
      <c r="V985" s="503"/>
      <c r="W985" s="503"/>
      <c r="X985" s="503"/>
      <c r="Y985" s="503"/>
      <c r="Z985" s="503"/>
      <c r="AA985" s="503"/>
      <c r="AC985" s="248"/>
      <c r="AD985" s="528"/>
      <c r="AE985" s="248"/>
      <c r="AF985" s="248"/>
    </row>
    <row r="986" spans="4:32" x14ac:dyDescent="0.3">
      <c r="D986" s="514"/>
      <c r="E986" s="514"/>
      <c r="H986" s="544"/>
      <c r="I986" s="514"/>
      <c r="J986" s="248"/>
      <c r="K986" s="248"/>
      <c r="L986" s="514"/>
      <c r="M986" s="248"/>
      <c r="N986" s="528"/>
      <c r="O986" s="248"/>
      <c r="P986" s="248"/>
      <c r="Q986" s="248"/>
      <c r="R986" s="248"/>
      <c r="S986" s="248"/>
      <c r="T986" s="248"/>
      <c r="U986" s="248"/>
      <c r="V986" s="503"/>
      <c r="W986" s="503"/>
      <c r="X986" s="503"/>
      <c r="Y986" s="503"/>
      <c r="Z986" s="503"/>
      <c r="AA986" s="503"/>
      <c r="AC986" s="248"/>
      <c r="AD986" s="528"/>
      <c r="AE986" s="248"/>
      <c r="AF986" s="248"/>
    </row>
    <row r="987" spans="4:32" x14ac:dyDescent="0.3">
      <c r="D987" s="514"/>
      <c r="E987" s="514"/>
      <c r="H987" s="544"/>
      <c r="I987" s="514"/>
      <c r="J987" s="248"/>
      <c r="K987" s="248"/>
      <c r="L987" s="514"/>
      <c r="M987" s="248"/>
      <c r="N987" s="528"/>
      <c r="O987" s="248"/>
      <c r="P987" s="248"/>
      <c r="Q987" s="248"/>
      <c r="R987" s="248"/>
      <c r="S987" s="248"/>
      <c r="T987" s="248"/>
      <c r="U987" s="248"/>
      <c r="V987" s="503"/>
      <c r="W987" s="503"/>
      <c r="X987" s="503"/>
      <c r="Y987" s="503"/>
      <c r="Z987" s="503"/>
      <c r="AA987" s="503"/>
      <c r="AC987" s="248"/>
      <c r="AD987" s="528"/>
      <c r="AE987" s="248"/>
      <c r="AF987" s="248"/>
    </row>
    <row r="988" spans="4:32" x14ac:dyDescent="0.3">
      <c r="D988" s="514"/>
      <c r="E988" s="514"/>
      <c r="H988" s="544"/>
      <c r="I988" s="514"/>
      <c r="J988" s="248"/>
      <c r="K988" s="248"/>
      <c r="L988" s="514"/>
      <c r="M988" s="248"/>
      <c r="N988" s="528"/>
      <c r="O988" s="248"/>
      <c r="P988" s="248"/>
      <c r="Q988" s="248"/>
      <c r="R988" s="248"/>
      <c r="S988" s="248"/>
      <c r="T988" s="248"/>
      <c r="U988" s="248"/>
      <c r="V988" s="503"/>
      <c r="W988" s="503"/>
      <c r="X988" s="503"/>
      <c r="Y988" s="503"/>
      <c r="Z988" s="503"/>
      <c r="AA988" s="503"/>
      <c r="AC988" s="248"/>
      <c r="AD988" s="528"/>
      <c r="AE988" s="248"/>
      <c r="AF988" s="248"/>
    </row>
    <row r="989" spans="4:32" x14ac:dyDescent="0.3">
      <c r="D989" s="514"/>
      <c r="E989" s="514"/>
      <c r="H989" s="544"/>
      <c r="I989" s="514"/>
      <c r="J989" s="248"/>
      <c r="K989" s="248"/>
      <c r="L989" s="514"/>
      <c r="M989" s="248"/>
      <c r="N989" s="528"/>
      <c r="O989" s="248"/>
      <c r="P989" s="248"/>
      <c r="Q989" s="248"/>
      <c r="R989" s="248"/>
      <c r="S989" s="248"/>
      <c r="T989" s="248"/>
      <c r="U989" s="248"/>
      <c r="V989" s="503"/>
      <c r="W989" s="503"/>
      <c r="X989" s="503"/>
      <c r="Y989" s="503"/>
      <c r="Z989" s="503"/>
      <c r="AA989" s="503"/>
      <c r="AC989" s="248"/>
      <c r="AD989" s="528"/>
      <c r="AE989" s="248"/>
      <c r="AF989" s="248"/>
    </row>
    <row r="990" spans="4:32" x14ac:dyDescent="0.3">
      <c r="D990" s="514"/>
      <c r="E990" s="514"/>
      <c r="H990" s="544"/>
      <c r="I990" s="514"/>
      <c r="J990" s="248"/>
      <c r="K990" s="248"/>
      <c r="L990" s="514"/>
      <c r="M990" s="248"/>
      <c r="N990" s="528"/>
      <c r="O990" s="248"/>
      <c r="P990" s="248"/>
      <c r="Q990" s="248"/>
      <c r="R990" s="248"/>
      <c r="S990" s="248"/>
      <c r="T990" s="248"/>
      <c r="U990" s="248"/>
      <c r="V990" s="503"/>
      <c r="W990" s="503"/>
      <c r="X990" s="503"/>
      <c r="Y990" s="503"/>
      <c r="Z990" s="503"/>
      <c r="AA990" s="503"/>
      <c r="AC990" s="248"/>
      <c r="AD990" s="528"/>
      <c r="AE990" s="248"/>
      <c r="AF990" s="248"/>
    </row>
    <row r="991" spans="4:32" x14ac:dyDescent="0.3">
      <c r="D991" s="514"/>
      <c r="E991" s="514"/>
      <c r="H991" s="544"/>
      <c r="I991" s="514"/>
      <c r="J991" s="248"/>
      <c r="K991" s="248"/>
      <c r="L991" s="514"/>
      <c r="M991" s="248"/>
      <c r="N991" s="528"/>
      <c r="O991" s="248"/>
      <c r="P991" s="248"/>
      <c r="Q991" s="248"/>
      <c r="R991" s="248"/>
      <c r="S991" s="248"/>
      <c r="T991" s="248"/>
      <c r="U991" s="248"/>
      <c r="V991" s="503"/>
      <c r="W991" s="503"/>
      <c r="X991" s="503"/>
      <c r="Y991" s="503"/>
      <c r="Z991" s="503"/>
      <c r="AA991" s="503"/>
      <c r="AC991" s="248"/>
      <c r="AD991" s="528"/>
      <c r="AE991" s="248"/>
      <c r="AF991" s="248"/>
    </row>
    <row r="992" spans="4:32" x14ac:dyDescent="0.3">
      <c r="D992" s="514"/>
      <c r="E992" s="514"/>
      <c r="H992" s="544"/>
      <c r="I992" s="514"/>
      <c r="J992" s="248"/>
      <c r="K992" s="248"/>
      <c r="L992" s="514"/>
      <c r="M992" s="248"/>
      <c r="N992" s="528"/>
      <c r="O992" s="248"/>
      <c r="P992" s="248"/>
      <c r="Q992" s="248"/>
      <c r="R992" s="248"/>
      <c r="S992" s="248"/>
      <c r="T992" s="248"/>
      <c r="U992" s="248"/>
      <c r="V992" s="503"/>
      <c r="W992" s="503"/>
      <c r="X992" s="503"/>
      <c r="Y992" s="503"/>
      <c r="Z992" s="503"/>
      <c r="AA992" s="503"/>
      <c r="AC992" s="248"/>
      <c r="AD992" s="528"/>
      <c r="AE992" s="248"/>
      <c r="AF992" s="248"/>
    </row>
    <row r="993" spans="4:32" x14ac:dyDescent="0.3">
      <c r="D993" s="514"/>
      <c r="E993" s="514"/>
      <c r="H993" s="544"/>
      <c r="I993" s="514"/>
      <c r="J993" s="248"/>
      <c r="K993" s="248"/>
      <c r="L993" s="514"/>
      <c r="M993" s="248"/>
      <c r="N993" s="528"/>
      <c r="O993" s="248"/>
      <c r="P993" s="248"/>
      <c r="Q993" s="248"/>
      <c r="R993" s="248"/>
      <c r="S993" s="248"/>
      <c r="T993" s="248"/>
      <c r="U993" s="248"/>
      <c r="V993" s="503"/>
      <c r="W993" s="503"/>
      <c r="X993" s="503"/>
      <c r="Y993" s="503"/>
      <c r="Z993" s="503"/>
      <c r="AA993" s="503"/>
      <c r="AC993" s="248"/>
      <c r="AD993" s="528"/>
      <c r="AE993" s="248"/>
      <c r="AF993" s="248"/>
    </row>
    <row r="994" spans="4:32" x14ac:dyDescent="0.3">
      <c r="D994" s="514"/>
      <c r="E994" s="514"/>
      <c r="H994" s="544"/>
      <c r="I994" s="514"/>
      <c r="J994" s="248"/>
      <c r="K994" s="248"/>
      <c r="L994" s="514"/>
      <c r="M994" s="248"/>
      <c r="N994" s="528"/>
      <c r="O994" s="248"/>
      <c r="P994" s="248"/>
      <c r="Q994" s="248"/>
      <c r="R994" s="248"/>
      <c r="S994" s="248"/>
      <c r="T994" s="248"/>
      <c r="U994" s="248"/>
      <c r="V994" s="503"/>
      <c r="W994" s="503"/>
      <c r="X994" s="503"/>
      <c r="Y994" s="503"/>
      <c r="Z994" s="503"/>
      <c r="AA994" s="503"/>
      <c r="AC994" s="248"/>
      <c r="AD994" s="528"/>
      <c r="AE994" s="248"/>
      <c r="AF994" s="248"/>
    </row>
    <row r="995" spans="4:32" x14ac:dyDescent="0.3">
      <c r="D995" s="514"/>
      <c r="E995" s="514"/>
      <c r="H995" s="544"/>
      <c r="I995" s="514"/>
      <c r="J995" s="248"/>
      <c r="K995" s="248"/>
      <c r="L995" s="514"/>
      <c r="M995" s="248"/>
      <c r="N995" s="528"/>
      <c r="O995" s="248"/>
      <c r="P995" s="248"/>
      <c r="Q995" s="248"/>
      <c r="R995" s="248"/>
      <c r="S995" s="248"/>
      <c r="T995" s="248"/>
      <c r="U995" s="248"/>
      <c r="V995" s="503"/>
      <c r="W995" s="503"/>
      <c r="X995" s="503"/>
      <c r="Y995" s="503"/>
      <c r="Z995" s="503"/>
      <c r="AA995" s="503"/>
      <c r="AC995" s="248"/>
      <c r="AD995" s="528"/>
      <c r="AE995" s="248"/>
      <c r="AF995" s="248"/>
    </row>
    <row r="996" spans="4:32" x14ac:dyDescent="0.3">
      <c r="D996" s="514"/>
      <c r="E996" s="514"/>
      <c r="H996" s="544"/>
      <c r="I996" s="514"/>
      <c r="J996" s="248"/>
      <c r="K996" s="248"/>
      <c r="L996" s="514"/>
      <c r="M996" s="248"/>
      <c r="N996" s="528"/>
      <c r="O996" s="248"/>
      <c r="P996" s="248"/>
      <c r="Q996" s="248"/>
      <c r="R996" s="248"/>
      <c r="S996" s="248"/>
      <c r="T996" s="248"/>
      <c r="U996" s="248"/>
      <c r="V996" s="503"/>
      <c r="W996" s="503"/>
      <c r="X996" s="503"/>
      <c r="Y996" s="503"/>
      <c r="Z996" s="503"/>
      <c r="AA996" s="503"/>
      <c r="AC996" s="248"/>
      <c r="AD996" s="528"/>
      <c r="AE996" s="248"/>
      <c r="AF996" s="248"/>
    </row>
    <row r="997" spans="4:32" x14ac:dyDescent="0.3">
      <c r="D997" s="514"/>
      <c r="E997" s="514"/>
      <c r="H997" s="544"/>
      <c r="I997" s="514"/>
      <c r="J997" s="248"/>
      <c r="K997" s="248"/>
      <c r="L997" s="514"/>
      <c r="M997" s="248"/>
      <c r="N997" s="528"/>
      <c r="O997" s="248"/>
      <c r="P997" s="248"/>
      <c r="Q997" s="248"/>
      <c r="R997" s="248"/>
      <c r="S997" s="248"/>
      <c r="T997" s="248"/>
      <c r="U997" s="248"/>
      <c r="V997" s="503"/>
      <c r="W997" s="503"/>
      <c r="X997" s="503"/>
      <c r="Y997" s="503"/>
      <c r="Z997" s="503"/>
      <c r="AA997" s="503"/>
      <c r="AC997" s="248"/>
      <c r="AD997" s="528"/>
      <c r="AE997" s="248"/>
      <c r="AF997" s="248"/>
    </row>
    <row r="998" spans="4:32" x14ac:dyDescent="0.3">
      <c r="D998" s="514"/>
      <c r="E998" s="514"/>
      <c r="H998" s="544"/>
      <c r="I998" s="514"/>
      <c r="J998" s="248"/>
      <c r="K998" s="248"/>
      <c r="L998" s="514"/>
      <c r="M998" s="248"/>
      <c r="N998" s="528"/>
      <c r="O998" s="248"/>
      <c r="P998" s="248"/>
      <c r="Q998" s="248"/>
      <c r="R998" s="248"/>
      <c r="S998" s="248"/>
      <c r="T998" s="248"/>
      <c r="U998" s="248"/>
      <c r="V998" s="503"/>
      <c r="W998" s="503"/>
      <c r="X998" s="503"/>
      <c r="Y998" s="503"/>
      <c r="Z998" s="503"/>
      <c r="AA998" s="503"/>
      <c r="AC998" s="248"/>
      <c r="AD998" s="528"/>
      <c r="AE998" s="248"/>
      <c r="AF998" s="248"/>
    </row>
    <row r="999" spans="4:32" x14ac:dyDescent="0.3">
      <c r="D999" s="514"/>
      <c r="E999" s="514"/>
      <c r="H999" s="544"/>
      <c r="I999" s="514"/>
      <c r="J999" s="248"/>
      <c r="K999" s="248"/>
      <c r="L999" s="514"/>
      <c r="M999" s="248"/>
      <c r="N999" s="528"/>
      <c r="O999" s="248"/>
      <c r="P999" s="248"/>
      <c r="Q999" s="248"/>
      <c r="R999" s="248"/>
      <c r="S999" s="248"/>
      <c r="T999" s="248"/>
      <c r="U999" s="248"/>
      <c r="V999" s="503"/>
      <c r="W999" s="503"/>
      <c r="X999" s="503"/>
      <c r="Y999" s="503"/>
      <c r="Z999" s="503"/>
      <c r="AA999" s="503"/>
      <c r="AC999" s="248"/>
      <c r="AD999" s="528"/>
      <c r="AE999" s="248"/>
      <c r="AF999" s="248"/>
    </row>
    <row r="1000" spans="4:32" x14ac:dyDescent="0.3">
      <c r="D1000" s="514"/>
      <c r="E1000" s="514"/>
      <c r="H1000" s="544"/>
      <c r="I1000" s="514"/>
      <c r="J1000" s="248"/>
      <c r="K1000" s="248"/>
      <c r="L1000" s="514"/>
      <c r="M1000" s="248"/>
      <c r="N1000" s="528"/>
      <c r="O1000" s="248"/>
      <c r="P1000" s="248"/>
      <c r="Q1000" s="248"/>
      <c r="R1000" s="248"/>
      <c r="S1000" s="248"/>
      <c r="T1000" s="248"/>
      <c r="U1000" s="248"/>
      <c r="V1000" s="503"/>
      <c r="W1000" s="503"/>
      <c r="X1000" s="503"/>
      <c r="Y1000" s="503"/>
      <c r="Z1000" s="503"/>
      <c r="AA1000" s="503"/>
      <c r="AC1000" s="248"/>
      <c r="AD1000" s="528"/>
      <c r="AE1000" s="248"/>
      <c r="AF1000" s="248"/>
    </row>
    <row r="1001" spans="4:32" x14ac:dyDescent="0.3">
      <c r="D1001" s="514"/>
      <c r="E1001" s="514"/>
      <c r="H1001" s="544"/>
      <c r="I1001" s="514"/>
      <c r="J1001" s="248"/>
      <c r="K1001" s="248"/>
      <c r="L1001" s="514"/>
      <c r="M1001" s="248"/>
      <c r="N1001" s="528"/>
      <c r="O1001" s="248"/>
      <c r="P1001" s="248"/>
      <c r="Q1001" s="248"/>
      <c r="R1001" s="248"/>
      <c r="S1001" s="248"/>
      <c r="T1001" s="248"/>
      <c r="U1001" s="248"/>
      <c r="V1001" s="503"/>
      <c r="W1001" s="503"/>
      <c r="X1001" s="503"/>
      <c r="Y1001" s="503"/>
      <c r="Z1001" s="503"/>
      <c r="AA1001" s="503"/>
      <c r="AC1001" s="248"/>
      <c r="AD1001" s="528"/>
      <c r="AE1001" s="248"/>
      <c r="AF1001" s="248"/>
    </row>
    <row r="1002" spans="4:32" x14ac:dyDescent="0.3">
      <c r="D1002" s="514"/>
      <c r="E1002" s="514"/>
      <c r="H1002" s="544"/>
      <c r="I1002" s="514"/>
      <c r="J1002" s="248"/>
      <c r="K1002" s="248"/>
      <c r="L1002" s="514"/>
      <c r="M1002" s="248"/>
      <c r="N1002" s="528"/>
      <c r="O1002" s="248"/>
      <c r="P1002" s="248"/>
      <c r="Q1002" s="248"/>
      <c r="R1002" s="248"/>
      <c r="S1002" s="248"/>
      <c r="T1002" s="248"/>
      <c r="U1002" s="248"/>
      <c r="V1002" s="503"/>
      <c r="W1002" s="503"/>
      <c r="X1002" s="503"/>
      <c r="Y1002" s="503"/>
      <c r="Z1002" s="503"/>
      <c r="AA1002" s="503"/>
      <c r="AC1002" s="248"/>
      <c r="AD1002" s="528"/>
      <c r="AE1002" s="248"/>
      <c r="AF1002" s="248"/>
    </row>
    <row r="1003" spans="4:32" x14ac:dyDescent="0.3">
      <c r="D1003" s="514"/>
      <c r="E1003" s="514"/>
      <c r="H1003" s="544"/>
      <c r="I1003" s="514"/>
      <c r="J1003" s="248"/>
      <c r="K1003" s="248"/>
      <c r="L1003" s="514"/>
      <c r="M1003" s="248"/>
      <c r="N1003" s="528"/>
      <c r="O1003" s="248"/>
      <c r="P1003" s="248"/>
      <c r="Q1003" s="248"/>
      <c r="R1003" s="248"/>
      <c r="S1003" s="248"/>
      <c r="T1003" s="248"/>
      <c r="U1003" s="248"/>
      <c r="V1003" s="503"/>
      <c r="W1003" s="503"/>
      <c r="X1003" s="503"/>
      <c r="Y1003" s="503"/>
      <c r="Z1003" s="503"/>
      <c r="AA1003" s="503"/>
      <c r="AC1003" s="248"/>
      <c r="AD1003" s="528"/>
      <c r="AE1003" s="248"/>
      <c r="AF1003" s="248"/>
    </row>
    <row r="1004" spans="4:32" x14ac:dyDescent="0.3">
      <c r="D1004" s="514"/>
      <c r="E1004" s="514"/>
      <c r="H1004" s="544"/>
      <c r="I1004" s="514"/>
      <c r="J1004" s="248"/>
      <c r="K1004" s="248"/>
      <c r="L1004" s="514"/>
      <c r="M1004" s="248"/>
      <c r="N1004" s="528"/>
      <c r="O1004" s="248"/>
      <c r="P1004" s="248"/>
      <c r="Q1004" s="248"/>
      <c r="R1004" s="248"/>
      <c r="S1004" s="248"/>
      <c r="T1004" s="248"/>
      <c r="U1004" s="248"/>
      <c r="V1004" s="503"/>
      <c r="W1004" s="503"/>
      <c r="X1004" s="503"/>
      <c r="Y1004" s="503"/>
      <c r="Z1004" s="503"/>
      <c r="AA1004" s="503"/>
      <c r="AC1004" s="248"/>
      <c r="AD1004" s="528"/>
      <c r="AE1004" s="248"/>
      <c r="AF1004" s="248"/>
    </row>
    <row r="1005" spans="4:32" x14ac:dyDescent="0.3">
      <c r="D1005" s="514"/>
      <c r="E1005" s="514"/>
      <c r="H1005" s="544"/>
      <c r="I1005" s="514"/>
      <c r="J1005" s="248"/>
      <c r="K1005" s="248"/>
      <c r="L1005" s="514"/>
      <c r="M1005" s="248"/>
      <c r="N1005" s="528"/>
      <c r="O1005" s="248"/>
      <c r="P1005" s="248"/>
      <c r="Q1005" s="248"/>
      <c r="R1005" s="248"/>
      <c r="S1005" s="248"/>
      <c r="T1005" s="248"/>
      <c r="U1005" s="248"/>
      <c r="V1005" s="503"/>
      <c r="W1005" s="503"/>
      <c r="X1005" s="503"/>
      <c r="Y1005" s="503"/>
      <c r="Z1005" s="503"/>
      <c r="AA1005" s="503"/>
      <c r="AC1005" s="248"/>
      <c r="AD1005" s="528"/>
      <c r="AE1005" s="248"/>
      <c r="AF1005" s="248"/>
    </row>
    <row r="1006" spans="4:32" x14ac:dyDescent="0.3">
      <c r="D1006" s="514"/>
      <c r="E1006" s="514"/>
      <c r="H1006" s="544"/>
      <c r="I1006" s="514"/>
      <c r="J1006" s="248"/>
      <c r="K1006" s="248"/>
      <c r="L1006" s="514"/>
      <c r="M1006" s="248"/>
      <c r="N1006" s="528"/>
      <c r="O1006" s="248"/>
      <c r="P1006" s="248"/>
      <c r="Q1006" s="248"/>
      <c r="R1006" s="248"/>
      <c r="S1006" s="248"/>
      <c r="T1006" s="248"/>
      <c r="U1006" s="248"/>
      <c r="V1006" s="503"/>
      <c r="W1006" s="503"/>
      <c r="X1006" s="503"/>
      <c r="Y1006" s="503"/>
      <c r="Z1006" s="503"/>
      <c r="AA1006" s="503"/>
      <c r="AC1006" s="248"/>
      <c r="AD1006" s="528"/>
      <c r="AE1006" s="248"/>
      <c r="AF1006" s="248"/>
    </row>
    <row r="1007" spans="4:32" x14ac:dyDescent="0.3">
      <c r="D1007" s="514"/>
      <c r="E1007" s="514"/>
      <c r="H1007" s="544"/>
      <c r="I1007" s="514"/>
      <c r="J1007" s="248"/>
      <c r="K1007" s="248"/>
      <c r="L1007" s="514"/>
      <c r="M1007" s="248"/>
      <c r="N1007" s="528"/>
      <c r="O1007" s="248"/>
      <c r="P1007" s="248"/>
      <c r="Q1007" s="248"/>
      <c r="R1007" s="248"/>
      <c r="S1007" s="248"/>
      <c r="T1007" s="248"/>
      <c r="U1007" s="248"/>
      <c r="V1007" s="503"/>
      <c r="W1007" s="503"/>
      <c r="X1007" s="503"/>
      <c r="Y1007" s="503"/>
      <c r="Z1007" s="503"/>
      <c r="AA1007" s="503"/>
      <c r="AC1007" s="248"/>
      <c r="AD1007" s="528"/>
      <c r="AE1007" s="248"/>
      <c r="AF1007" s="248"/>
    </row>
    <row r="1008" spans="4:32" x14ac:dyDescent="0.3">
      <c r="D1008" s="514"/>
      <c r="E1008" s="514"/>
      <c r="H1008" s="544"/>
      <c r="I1008" s="514"/>
      <c r="J1008" s="248"/>
      <c r="K1008" s="248"/>
      <c r="L1008" s="514"/>
      <c r="M1008" s="248"/>
      <c r="N1008" s="528"/>
      <c r="O1008" s="248"/>
      <c r="P1008" s="248"/>
      <c r="Q1008" s="248"/>
      <c r="R1008" s="248"/>
      <c r="S1008" s="248"/>
      <c r="T1008" s="248"/>
      <c r="U1008" s="248"/>
      <c r="V1008" s="503"/>
      <c r="W1008" s="503"/>
      <c r="X1008" s="503"/>
      <c r="Y1008" s="503"/>
      <c r="Z1008" s="503"/>
      <c r="AA1008" s="503"/>
      <c r="AC1008" s="248"/>
      <c r="AD1008" s="528"/>
      <c r="AE1008" s="248"/>
      <c r="AF1008" s="248"/>
    </row>
    <row r="1009" spans="4:32" x14ac:dyDescent="0.3">
      <c r="D1009" s="514"/>
      <c r="E1009" s="514"/>
      <c r="H1009" s="544"/>
      <c r="I1009" s="514"/>
      <c r="J1009" s="248"/>
      <c r="K1009" s="248"/>
      <c r="L1009" s="514"/>
      <c r="M1009" s="248"/>
      <c r="N1009" s="528"/>
      <c r="O1009" s="248"/>
      <c r="P1009" s="248"/>
      <c r="Q1009" s="248"/>
      <c r="R1009" s="248"/>
      <c r="S1009" s="248"/>
      <c r="T1009" s="248"/>
      <c r="U1009" s="248"/>
      <c r="V1009" s="503"/>
      <c r="W1009" s="503"/>
      <c r="X1009" s="503"/>
      <c r="Y1009" s="503"/>
      <c r="Z1009" s="503"/>
      <c r="AA1009" s="503"/>
      <c r="AC1009" s="248"/>
      <c r="AD1009" s="528"/>
      <c r="AE1009" s="248"/>
      <c r="AF1009" s="248"/>
    </row>
    <row r="1010" spans="4:32" x14ac:dyDescent="0.3">
      <c r="D1010" s="514"/>
      <c r="E1010" s="514"/>
      <c r="H1010" s="544"/>
      <c r="I1010" s="514"/>
      <c r="J1010" s="248"/>
      <c r="K1010" s="248"/>
      <c r="L1010" s="514"/>
      <c r="M1010" s="248"/>
      <c r="N1010" s="528"/>
      <c r="O1010" s="248"/>
      <c r="P1010" s="248"/>
      <c r="Q1010" s="248"/>
      <c r="R1010" s="248"/>
      <c r="S1010" s="248"/>
      <c r="T1010" s="248"/>
      <c r="U1010" s="248"/>
      <c r="V1010" s="503"/>
      <c r="W1010" s="503"/>
      <c r="X1010" s="503"/>
      <c r="Y1010" s="503"/>
      <c r="Z1010" s="503"/>
      <c r="AA1010" s="503"/>
      <c r="AC1010" s="248"/>
      <c r="AD1010" s="528"/>
      <c r="AE1010" s="248"/>
      <c r="AF1010" s="248"/>
    </row>
    <row r="1011" spans="4:32" x14ac:dyDescent="0.3">
      <c r="D1011" s="514"/>
      <c r="E1011" s="514"/>
      <c r="H1011" s="544"/>
      <c r="I1011" s="514"/>
      <c r="J1011" s="248"/>
      <c r="K1011" s="248"/>
      <c r="L1011" s="514"/>
      <c r="M1011" s="248"/>
      <c r="N1011" s="528"/>
      <c r="O1011" s="248"/>
      <c r="P1011" s="248"/>
      <c r="Q1011" s="248"/>
      <c r="R1011" s="248"/>
      <c r="S1011" s="248"/>
      <c r="T1011" s="248"/>
      <c r="U1011" s="248"/>
      <c r="V1011" s="503"/>
      <c r="W1011" s="503"/>
      <c r="X1011" s="503"/>
      <c r="Y1011" s="503"/>
      <c r="Z1011" s="503"/>
      <c r="AA1011" s="503"/>
      <c r="AC1011" s="248"/>
      <c r="AD1011" s="528"/>
      <c r="AE1011" s="248"/>
      <c r="AF1011" s="248"/>
    </row>
    <row r="1012" spans="4:32" x14ac:dyDescent="0.3">
      <c r="D1012" s="514"/>
      <c r="E1012" s="514"/>
      <c r="H1012" s="544"/>
      <c r="I1012" s="514"/>
      <c r="J1012" s="248"/>
      <c r="K1012" s="248"/>
      <c r="L1012" s="514"/>
      <c r="M1012" s="248"/>
      <c r="N1012" s="528"/>
      <c r="O1012" s="248"/>
      <c r="P1012" s="248"/>
      <c r="Q1012" s="248"/>
      <c r="R1012" s="248"/>
      <c r="S1012" s="248"/>
      <c r="T1012" s="248"/>
      <c r="U1012" s="248"/>
      <c r="V1012" s="503"/>
      <c r="W1012" s="503"/>
      <c r="X1012" s="503"/>
      <c r="Y1012" s="503"/>
      <c r="Z1012" s="503"/>
      <c r="AA1012" s="503"/>
      <c r="AC1012" s="248"/>
      <c r="AD1012" s="528"/>
      <c r="AE1012" s="248"/>
      <c r="AF1012" s="248"/>
    </row>
    <row r="1013" spans="4:32" x14ac:dyDescent="0.3">
      <c r="D1013" s="514"/>
      <c r="E1013" s="514"/>
      <c r="H1013" s="544"/>
      <c r="I1013" s="514"/>
      <c r="J1013" s="248"/>
      <c r="K1013" s="248"/>
      <c r="L1013" s="514"/>
      <c r="M1013" s="248"/>
      <c r="N1013" s="528"/>
      <c r="O1013" s="248"/>
      <c r="P1013" s="248"/>
      <c r="Q1013" s="248"/>
      <c r="R1013" s="248"/>
      <c r="S1013" s="248"/>
      <c r="T1013" s="248"/>
      <c r="U1013" s="248"/>
      <c r="V1013" s="503"/>
      <c r="W1013" s="503"/>
      <c r="X1013" s="503"/>
      <c r="Y1013" s="503"/>
      <c r="Z1013" s="503"/>
      <c r="AA1013" s="503"/>
      <c r="AC1013" s="248"/>
      <c r="AD1013" s="528"/>
      <c r="AE1013" s="248"/>
      <c r="AF1013" s="248"/>
    </row>
    <row r="1014" spans="4:32" x14ac:dyDescent="0.3">
      <c r="D1014" s="514"/>
      <c r="E1014" s="514"/>
      <c r="H1014" s="544"/>
      <c r="I1014" s="514"/>
      <c r="J1014" s="248"/>
      <c r="K1014" s="248"/>
      <c r="L1014" s="514"/>
      <c r="M1014" s="248"/>
      <c r="N1014" s="528"/>
      <c r="O1014" s="248"/>
      <c r="P1014" s="248"/>
      <c r="Q1014" s="248"/>
      <c r="R1014" s="248"/>
      <c r="S1014" s="248"/>
      <c r="T1014" s="248"/>
      <c r="U1014" s="248"/>
      <c r="V1014" s="503"/>
      <c r="W1014" s="503"/>
      <c r="X1014" s="503"/>
      <c r="Y1014" s="503"/>
      <c r="Z1014" s="503"/>
      <c r="AA1014" s="503"/>
      <c r="AC1014" s="248"/>
      <c r="AD1014" s="528"/>
      <c r="AE1014" s="248"/>
      <c r="AF1014" s="248"/>
    </row>
    <row r="1015" spans="4:32" x14ac:dyDescent="0.3">
      <c r="D1015" s="514"/>
      <c r="E1015" s="514"/>
      <c r="H1015" s="544"/>
      <c r="I1015" s="514"/>
      <c r="J1015" s="248"/>
      <c r="K1015" s="248"/>
      <c r="L1015" s="514"/>
      <c r="M1015" s="248"/>
      <c r="N1015" s="528"/>
      <c r="O1015" s="248"/>
      <c r="P1015" s="248"/>
      <c r="Q1015" s="248"/>
      <c r="R1015" s="248"/>
      <c r="S1015" s="248"/>
      <c r="T1015" s="248"/>
      <c r="U1015" s="248"/>
      <c r="V1015" s="503"/>
      <c r="W1015" s="503"/>
      <c r="X1015" s="503"/>
      <c r="Y1015" s="503"/>
      <c r="Z1015" s="503"/>
      <c r="AA1015" s="503"/>
      <c r="AC1015" s="248"/>
      <c r="AD1015" s="528"/>
      <c r="AE1015" s="248"/>
      <c r="AF1015" s="248"/>
    </row>
    <row r="1016" spans="4:32" x14ac:dyDescent="0.3">
      <c r="D1016" s="514"/>
      <c r="E1016" s="514"/>
      <c r="H1016" s="544"/>
      <c r="I1016" s="514"/>
      <c r="J1016" s="248"/>
      <c r="K1016" s="248"/>
      <c r="L1016" s="514"/>
      <c r="M1016" s="248"/>
      <c r="N1016" s="528"/>
      <c r="O1016" s="248"/>
      <c r="P1016" s="248"/>
      <c r="Q1016" s="248"/>
      <c r="R1016" s="248"/>
      <c r="S1016" s="248"/>
      <c r="T1016" s="248"/>
      <c r="U1016" s="248"/>
      <c r="V1016" s="503"/>
      <c r="W1016" s="503"/>
      <c r="X1016" s="503"/>
      <c r="Y1016" s="503"/>
      <c r="Z1016" s="503"/>
      <c r="AA1016" s="503"/>
      <c r="AC1016" s="248"/>
      <c r="AD1016" s="528"/>
      <c r="AE1016" s="248"/>
      <c r="AF1016" s="248"/>
    </row>
    <row r="1017" spans="4:32" x14ac:dyDescent="0.3">
      <c r="D1017" s="514"/>
      <c r="E1017" s="514"/>
      <c r="H1017" s="544"/>
      <c r="I1017" s="514"/>
      <c r="J1017" s="248"/>
      <c r="K1017" s="248"/>
      <c r="L1017" s="514"/>
      <c r="M1017" s="248"/>
      <c r="N1017" s="528"/>
      <c r="O1017" s="248"/>
      <c r="P1017" s="248"/>
      <c r="Q1017" s="248"/>
      <c r="R1017" s="248"/>
      <c r="S1017" s="248"/>
      <c r="T1017" s="248"/>
      <c r="U1017" s="248"/>
      <c r="V1017" s="503"/>
      <c r="W1017" s="503"/>
      <c r="X1017" s="503"/>
      <c r="Y1017" s="503"/>
      <c r="Z1017" s="503"/>
      <c r="AA1017" s="503"/>
      <c r="AC1017" s="248"/>
      <c r="AD1017" s="528"/>
      <c r="AE1017" s="248"/>
      <c r="AF1017" s="248"/>
    </row>
    <row r="1018" spans="4:32" x14ac:dyDescent="0.3">
      <c r="D1018" s="514"/>
      <c r="E1018" s="514"/>
      <c r="H1018" s="544"/>
      <c r="I1018" s="514"/>
      <c r="J1018" s="248"/>
      <c r="K1018" s="248"/>
      <c r="L1018" s="514"/>
      <c r="M1018" s="248"/>
      <c r="N1018" s="528"/>
      <c r="O1018" s="248"/>
      <c r="P1018" s="248"/>
      <c r="Q1018" s="248"/>
      <c r="R1018" s="248"/>
      <c r="S1018" s="248"/>
      <c r="T1018" s="248"/>
      <c r="U1018" s="248"/>
      <c r="V1018" s="503"/>
      <c r="W1018" s="503"/>
      <c r="X1018" s="503"/>
      <c r="Y1018" s="503"/>
      <c r="Z1018" s="503"/>
      <c r="AA1018" s="503"/>
      <c r="AC1018" s="248"/>
      <c r="AD1018" s="528"/>
      <c r="AE1018" s="248"/>
      <c r="AF1018" s="248"/>
    </row>
    <row r="1019" spans="4:32" x14ac:dyDescent="0.3">
      <c r="D1019" s="514"/>
      <c r="E1019" s="514"/>
      <c r="H1019" s="544"/>
      <c r="I1019" s="514"/>
      <c r="J1019" s="248"/>
      <c r="K1019" s="248"/>
      <c r="L1019" s="514"/>
      <c r="M1019" s="248"/>
      <c r="N1019" s="528"/>
      <c r="O1019" s="248"/>
      <c r="P1019" s="248"/>
      <c r="Q1019" s="248"/>
      <c r="R1019" s="248"/>
      <c r="S1019" s="248"/>
      <c r="T1019" s="248"/>
      <c r="U1019" s="248"/>
      <c r="V1019" s="503"/>
      <c r="W1019" s="503"/>
      <c r="X1019" s="503"/>
      <c r="Y1019" s="503"/>
      <c r="Z1019" s="503"/>
      <c r="AA1019" s="503"/>
      <c r="AC1019" s="248"/>
      <c r="AD1019" s="528"/>
      <c r="AE1019" s="248"/>
      <c r="AF1019" s="248"/>
    </row>
    <row r="1020" spans="4:32" x14ac:dyDescent="0.3">
      <c r="D1020" s="514"/>
      <c r="E1020" s="514"/>
      <c r="H1020" s="544"/>
      <c r="I1020" s="514"/>
      <c r="J1020" s="248"/>
      <c r="K1020" s="248"/>
      <c r="L1020" s="514"/>
      <c r="M1020" s="248"/>
      <c r="N1020" s="528"/>
      <c r="O1020" s="248"/>
      <c r="P1020" s="248"/>
      <c r="Q1020" s="248"/>
      <c r="R1020" s="248"/>
      <c r="S1020" s="248"/>
      <c r="T1020" s="248"/>
      <c r="U1020" s="248"/>
      <c r="V1020" s="503"/>
      <c r="W1020" s="503"/>
      <c r="X1020" s="503"/>
      <c r="Y1020" s="503"/>
      <c r="Z1020" s="503"/>
      <c r="AA1020" s="503"/>
      <c r="AC1020" s="248"/>
      <c r="AD1020" s="528"/>
      <c r="AE1020" s="248"/>
      <c r="AF1020" s="248"/>
    </row>
    <row r="1021" spans="4:32" x14ac:dyDescent="0.3">
      <c r="D1021" s="514"/>
      <c r="E1021" s="514"/>
      <c r="H1021" s="544"/>
      <c r="I1021" s="514"/>
      <c r="J1021" s="248"/>
      <c r="K1021" s="248"/>
      <c r="L1021" s="514"/>
      <c r="M1021" s="248"/>
      <c r="N1021" s="528"/>
      <c r="O1021" s="248"/>
      <c r="P1021" s="248"/>
      <c r="Q1021" s="248"/>
      <c r="R1021" s="248"/>
      <c r="S1021" s="248"/>
      <c r="T1021" s="248"/>
      <c r="U1021" s="248"/>
      <c r="V1021" s="503"/>
      <c r="W1021" s="503"/>
      <c r="X1021" s="503"/>
      <c r="Y1021" s="503"/>
      <c r="Z1021" s="503"/>
      <c r="AA1021" s="503"/>
      <c r="AC1021" s="248"/>
      <c r="AD1021" s="528"/>
      <c r="AE1021" s="248"/>
      <c r="AF1021" s="248"/>
    </row>
    <row r="1022" spans="4:32" x14ac:dyDescent="0.3">
      <c r="D1022" s="514"/>
      <c r="E1022" s="514"/>
      <c r="H1022" s="544"/>
      <c r="I1022" s="514"/>
      <c r="J1022" s="248"/>
      <c r="K1022" s="248"/>
      <c r="L1022" s="514"/>
      <c r="M1022" s="248"/>
      <c r="N1022" s="528"/>
      <c r="O1022" s="248"/>
      <c r="P1022" s="248"/>
      <c r="Q1022" s="248"/>
      <c r="R1022" s="248"/>
      <c r="S1022" s="248"/>
      <c r="T1022" s="248"/>
      <c r="U1022" s="248"/>
      <c r="V1022" s="503"/>
      <c r="W1022" s="503"/>
      <c r="X1022" s="503"/>
      <c r="Y1022" s="503"/>
      <c r="Z1022" s="503"/>
      <c r="AA1022" s="503"/>
      <c r="AC1022" s="248"/>
      <c r="AD1022" s="528"/>
      <c r="AE1022" s="248"/>
      <c r="AF1022" s="248"/>
    </row>
    <row r="1023" spans="4:32" x14ac:dyDescent="0.3">
      <c r="D1023" s="514"/>
      <c r="E1023" s="514"/>
      <c r="H1023" s="544"/>
      <c r="I1023" s="514"/>
      <c r="J1023" s="248"/>
      <c r="K1023" s="248"/>
      <c r="L1023" s="514"/>
      <c r="M1023" s="248"/>
      <c r="N1023" s="528"/>
      <c r="O1023" s="248"/>
      <c r="P1023" s="248"/>
      <c r="Q1023" s="248"/>
      <c r="R1023" s="248"/>
      <c r="S1023" s="248"/>
      <c r="T1023" s="248"/>
      <c r="U1023" s="248"/>
      <c r="V1023" s="503"/>
      <c r="W1023" s="503"/>
      <c r="X1023" s="503"/>
      <c r="Y1023" s="503"/>
      <c r="Z1023" s="503"/>
      <c r="AA1023" s="503"/>
      <c r="AC1023" s="248"/>
      <c r="AD1023" s="528"/>
      <c r="AE1023" s="248"/>
      <c r="AF1023" s="248"/>
    </row>
    <row r="1024" spans="4:32" x14ac:dyDescent="0.3">
      <c r="D1024" s="514"/>
      <c r="E1024" s="514"/>
      <c r="H1024" s="544"/>
      <c r="I1024" s="514"/>
      <c r="J1024" s="248"/>
      <c r="K1024" s="248"/>
      <c r="L1024" s="514"/>
      <c r="M1024" s="248"/>
      <c r="N1024" s="528"/>
      <c r="O1024" s="248"/>
      <c r="P1024" s="248"/>
      <c r="Q1024" s="248"/>
      <c r="R1024" s="248"/>
      <c r="S1024" s="248"/>
      <c r="T1024" s="248"/>
      <c r="U1024" s="248"/>
      <c r="V1024" s="503"/>
      <c r="W1024" s="503"/>
      <c r="X1024" s="503"/>
      <c r="Y1024" s="503"/>
      <c r="Z1024" s="503"/>
      <c r="AA1024" s="503"/>
      <c r="AC1024" s="248"/>
      <c r="AD1024" s="528"/>
      <c r="AE1024" s="248"/>
      <c r="AF1024" s="248"/>
    </row>
    <row r="1025" spans="4:32" x14ac:dyDescent="0.3">
      <c r="D1025" s="514"/>
      <c r="E1025" s="514"/>
      <c r="H1025" s="544"/>
      <c r="I1025" s="514"/>
      <c r="J1025" s="248"/>
      <c r="K1025" s="248"/>
      <c r="L1025" s="514"/>
      <c r="M1025" s="248"/>
      <c r="N1025" s="528"/>
      <c r="O1025" s="248"/>
      <c r="P1025" s="248"/>
      <c r="Q1025" s="248"/>
      <c r="R1025" s="248"/>
      <c r="S1025" s="248"/>
      <c r="T1025" s="248"/>
      <c r="U1025" s="248"/>
      <c r="V1025" s="503"/>
      <c r="W1025" s="503"/>
      <c r="X1025" s="503"/>
      <c r="Y1025" s="503"/>
      <c r="Z1025" s="503"/>
      <c r="AA1025" s="503"/>
      <c r="AC1025" s="248"/>
      <c r="AD1025" s="528"/>
      <c r="AE1025" s="248"/>
      <c r="AF1025" s="248"/>
    </row>
    <row r="1026" spans="4:32" x14ac:dyDescent="0.3">
      <c r="D1026" s="514"/>
      <c r="E1026" s="514"/>
      <c r="H1026" s="544"/>
      <c r="I1026" s="514"/>
      <c r="J1026" s="248"/>
      <c r="K1026" s="248"/>
      <c r="L1026" s="514"/>
      <c r="M1026" s="248"/>
      <c r="N1026" s="528"/>
      <c r="O1026" s="248"/>
      <c r="P1026" s="248"/>
      <c r="Q1026" s="248"/>
      <c r="R1026" s="248"/>
      <c r="S1026" s="248"/>
      <c r="T1026" s="248"/>
      <c r="U1026" s="248"/>
      <c r="V1026" s="503"/>
      <c r="W1026" s="503"/>
      <c r="X1026" s="503"/>
      <c r="Y1026" s="503"/>
      <c r="Z1026" s="503"/>
      <c r="AA1026" s="503"/>
      <c r="AC1026" s="248"/>
      <c r="AD1026" s="528"/>
      <c r="AE1026" s="248"/>
      <c r="AF1026" s="248"/>
    </row>
    <row r="1027" spans="4:32" x14ac:dyDescent="0.3">
      <c r="D1027" s="514"/>
      <c r="E1027" s="514"/>
      <c r="H1027" s="544"/>
      <c r="I1027" s="514"/>
      <c r="J1027" s="248"/>
      <c r="K1027" s="248"/>
      <c r="L1027" s="514"/>
      <c r="M1027" s="248"/>
      <c r="N1027" s="528"/>
      <c r="O1027" s="248"/>
      <c r="P1027" s="248"/>
      <c r="Q1027" s="248"/>
      <c r="R1027" s="248"/>
      <c r="S1027" s="248"/>
      <c r="T1027" s="248"/>
      <c r="U1027" s="248"/>
      <c r="V1027" s="503"/>
      <c r="W1027" s="503"/>
      <c r="X1027" s="503"/>
      <c r="Y1027" s="503"/>
      <c r="Z1027" s="503"/>
      <c r="AA1027" s="503"/>
      <c r="AC1027" s="248"/>
      <c r="AD1027" s="528"/>
      <c r="AE1027" s="248"/>
      <c r="AF1027" s="248"/>
    </row>
    <row r="1028" spans="4:32" x14ac:dyDescent="0.3">
      <c r="D1028" s="514"/>
      <c r="E1028" s="514"/>
      <c r="H1028" s="544"/>
      <c r="I1028" s="514"/>
      <c r="J1028" s="248"/>
      <c r="K1028" s="248"/>
      <c r="L1028" s="514"/>
      <c r="M1028" s="248"/>
      <c r="N1028" s="528"/>
      <c r="O1028" s="248"/>
      <c r="P1028" s="248"/>
      <c r="Q1028" s="248"/>
      <c r="R1028" s="248"/>
      <c r="S1028" s="248"/>
      <c r="T1028" s="248"/>
      <c r="U1028" s="248"/>
      <c r="V1028" s="503"/>
      <c r="W1028" s="503"/>
      <c r="X1028" s="503"/>
      <c r="Y1028" s="503"/>
      <c r="Z1028" s="503"/>
      <c r="AA1028" s="503"/>
      <c r="AC1028" s="248"/>
      <c r="AD1028" s="528"/>
      <c r="AE1028" s="248"/>
      <c r="AF1028" s="248"/>
    </row>
    <row r="1029" spans="4:32" x14ac:dyDescent="0.3">
      <c r="D1029" s="514"/>
      <c r="E1029" s="514"/>
      <c r="H1029" s="544"/>
      <c r="I1029" s="514"/>
      <c r="J1029" s="248"/>
      <c r="K1029" s="248"/>
      <c r="L1029" s="514"/>
      <c r="M1029" s="248"/>
      <c r="N1029" s="528"/>
      <c r="O1029" s="248"/>
      <c r="P1029" s="248"/>
      <c r="Q1029" s="248"/>
      <c r="R1029" s="248"/>
      <c r="S1029" s="248"/>
      <c r="T1029" s="248"/>
      <c r="U1029" s="248"/>
      <c r="V1029" s="503"/>
      <c r="W1029" s="503"/>
      <c r="X1029" s="503"/>
      <c r="Y1029" s="503"/>
      <c r="Z1029" s="503"/>
      <c r="AA1029" s="503"/>
      <c r="AC1029" s="248"/>
      <c r="AD1029" s="528"/>
      <c r="AE1029" s="248"/>
      <c r="AF1029" s="248"/>
    </row>
    <row r="1030" spans="4:32" x14ac:dyDescent="0.3">
      <c r="D1030" s="514"/>
      <c r="E1030" s="514"/>
      <c r="H1030" s="544"/>
      <c r="I1030" s="514"/>
      <c r="J1030" s="248"/>
      <c r="K1030" s="248"/>
      <c r="L1030" s="514"/>
      <c r="M1030" s="248"/>
      <c r="N1030" s="528"/>
      <c r="O1030" s="248"/>
      <c r="P1030" s="248"/>
      <c r="Q1030" s="248"/>
      <c r="R1030" s="248"/>
      <c r="S1030" s="248"/>
      <c r="T1030" s="248"/>
      <c r="U1030" s="248"/>
      <c r="V1030" s="503"/>
      <c r="W1030" s="503"/>
      <c r="X1030" s="503"/>
      <c r="Y1030" s="503"/>
      <c r="Z1030" s="503"/>
      <c r="AA1030" s="503"/>
      <c r="AC1030" s="248"/>
      <c r="AD1030" s="528"/>
      <c r="AE1030" s="248"/>
      <c r="AF1030" s="248"/>
    </row>
    <row r="1031" spans="4:32" x14ac:dyDescent="0.3">
      <c r="D1031" s="514"/>
      <c r="E1031" s="514"/>
      <c r="H1031" s="544"/>
      <c r="I1031" s="514"/>
      <c r="J1031" s="248"/>
      <c r="K1031" s="248"/>
      <c r="L1031" s="514"/>
      <c r="M1031" s="248"/>
      <c r="N1031" s="528"/>
      <c r="O1031" s="248"/>
      <c r="P1031" s="248"/>
      <c r="Q1031" s="248"/>
      <c r="R1031" s="248"/>
      <c r="S1031" s="248"/>
      <c r="T1031" s="248"/>
      <c r="U1031" s="248"/>
      <c r="V1031" s="503"/>
      <c r="W1031" s="503"/>
      <c r="X1031" s="503"/>
      <c r="Y1031" s="503"/>
      <c r="Z1031" s="503"/>
      <c r="AA1031" s="503"/>
      <c r="AC1031" s="248"/>
      <c r="AD1031" s="528"/>
      <c r="AE1031" s="248"/>
      <c r="AF1031" s="248"/>
    </row>
    <row r="1032" spans="4:32" x14ac:dyDescent="0.3">
      <c r="D1032" s="514"/>
      <c r="E1032" s="514"/>
      <c r="H1032" s="544"/>
      <c r="I1032" s="514"/>
      <c r="J1032" s="248"/>
      <c r="K1032" s="248"/>
      <c r="L1032" s="514"/>
      <c r="M1032" s="248"/>
      <c r="N1032" s="528"/>
      <c r="O1032" s="248"/>
      <c r="P1032" s="248"/>
      <c r="Q1032" s="248"/>
      <c r="R1032" s="248"/>
      <c r="S1032" s="248"/>
      <c r="T1032" s="248"/>
      <c r="U1032" s="248"/>
      <c r="V1032" s="503"/>
      <c r="W1032" s="503"/>
      <c r="X1032" s="503"/>
      <c r="Y1032" s="503"/>
      <c r="Z1032" s="503"/>
      <c r="AA1032" s="503"/>
      <c r="AC1032" s="248"/>
      <c r="AD1032" s="528"/>
      <c r="AE1032" s="248"/>
      <c r="AF1032" s="248"/>
    </row>
    <row r="1033" spans="4:32" x14ac:dyDescent="0.3">
      <c r="D1033" s="514"/>
      <c r="E1033" s="514"/>
      <c r="H1033" s="544"/>
      <c r="I1033" s="514"/>
      <c r="J1033" s="248"/>
      <c r="K1033" s="248"/>
      <c r="L1033" s="514"/>
      <c r="M1033" s="248"/>
      <c r="N1033" s="528"/>
      <c r="O1033" s="248"/>
      <c r="P1033" s="248"/>
      <c r="Q1033" s="248"/>
      <c r="R1033" s="248"/>
      <c r="S1033" s="248"/>
      <c r="T1033" s="248"/>
      <c r="U1033" s="248"/>
      <c r="V1033" s="503"/>
      <c r="W1033" s="503"/>
      <c r="X1033" s="503"/>
      <c r="Y1033" s="503"/>
      <c r="Z1033" s="503"/>
      <c r="AA1033" s="503"/>
      <c r="AC1033" s="248"/>
      <c r="AD1033" s="528"/>
      <c r="AE1033" s="248"/>
      <c r="AF1033" s="248"/>
    </row>
    <row r="1034" spans="4:32" x14ac:dyDescent="0.3">
      <c r="D1034" s="514"/>
      <c r="E1034" s="514"/>
      <c r="H1034" s="544"/>
      <c r="I1034" s="514"/>
      <c r="J1034" s="248"/>
      <c r="K1034" s="248"/>
      <c r="L1034" s="514"/>
      <c r="M1034" s="248"/>
      <c r="N1034" s="528"/>
      <c r="O1034" s="248"/>
      <c r="P1034" s="248"/>
      <c r="Q1034" s="248"/>
      <c r="R1034" s="248"/>
      <c r="S1034" s="248"/>
      <c r="T1034" s="248"/>
      <c r="U1034" s="248"/>
      <c r="V1034" s="503"/>
      <c r="W1034" s="503"/>
      <c r="X1034" s="503"/>
      <c r="Y1034" s="503"/>
      <c r="Z1034" s="503"/>
      <c r="AA1034" s="503"/>
      <c r="AC1034" s="248"/>
      <c r="AD1034" s="528"/>
      <c r="AE1034" s="248"/>
      <c r="AF1034" s="248"/>
    </row>
    <row r="1035" spans="4:32" x14ac:dyDescent="0.3">
      <c r="D1035" s="514"/>
      <c r="E1035" s="514"/>
      <c r="H1035" s="544"/>
      <c r="I1035" s="514"/>
      <c r="J1035" s="248"/>
      <c r="K1035" s="248"/>
      <c r="L1035" s="514"/>
      <c r="M1035" s="248"/>
      <c r="N1035" s="528"/>
      <c r="O1035" s="248"/>
      <c r="P1035" s="248"/>
      <c r="Q1035" s="248"/>
      <c r="R1035" s="248"/>
      <c r="S1035" s="248"/>
      <c r="T1035" s="248"/>
      <c r="U1035" s="248"/>
      <c r="V1035" s="503"/>
      <c r="W1035" s="503"/>
      <c r="X1035" s="503"/>
      <c r="Y1035" s="503"/>
      <c r="Z1035" s="503"/>
      <c r="AA1035" s="503"/>
      <c r="AC1035" s="248"/>
      <c r="AD1035" s="528"/>
      <c r="AE1035" s="248"/>
      <c r="AF1035" s="248"/>
    </row>
    <row r="1036" spans="4:32" x14ac:dyDescent="0.3">
      <c r="D1036" s="514"/>
      <c r="E1036" s="514"/>
      <c r="H1036" s="544"/>
      <c r="I1036" s="514"/>
      <c r="J1036" s="248"/>
      <c r="K1036" s="248"/>
      <c r="L1036" s="514"/>
      <c r="M1036" s="248"/>
      <c r="N1036" s="528"/>
      <c r="O1036" s="248"/>
      <c r="P1036" s="248"/>
      <c r="Q1036" s="248"/>
      <c r="R1036" s="248"/>
      <c r="S1036" s="248"/>
      <c r="T1036" s="248"/>
      <c r="U1036" s="248"/>
      <c r="V1036" s="503"/>
      <c r="W1036" s="503"/>
      <c r="X1036" s="503"/>
      <c r="Y1036" s="503"/>
      <c r="Z1036" s="503"/>
      <c r="AA1036" s="503"/>
      <c r="AC1036" s="248"/>
      <c r="AD1036" s="528"/>
      <c r="AE1036" s="248"/>
      <c r="AF1036" s="248"/>
    </row>
    <row r="1037" spans="4:32" x14ac:dyDescent="0.3">
      <c r="D1037" s="514"/>
      <c r="E1037" s="514"/>
      <c r="H1037" s="544"/>
      <c r="I1037" s="514"/>
      <c r="J1037" s="248"/>
      <c r="K1037" s="248"/>
      <c r="L1037" s="514"/>
      <c r="M1037" s="248"/>
      <c r="N1037" s="528"/>
      <c r="O1037" s="248"/>
      <c r="P1037" s="248"/>
      <c r="Q1037" s="248"/>
      <c r="R1037" s="248"/>
      <c r="S1037" s="248"/>
      <c r="T1037" s="248"/>
      <c r="U1037" s="248"/>
      <c r="V1037" s="503"/>
      <c r="W1037" s="503"/>
      <c r="X1037" s="503"/>
      <c r="Y1037" s="503"/>
      <c r="Z1037" s="503"/>
      <c r="AA1037" s="503"/>
      <c r="AC1037" s="248"/>
      <c r="AD1037" s="528"/>
      <c r="AE1037" s="248"/>
      <c r="AF1037" s="248"/>
    </row>
    <row r="1038" spans="4:32" x14ac:dyDescent="0.3">
      <c r="D1038" s="514"/>
      <c r="E1038" s="514"/>
      <c r="H1038" s="544"/>
      <c r="I1038" s="514"/>
      <c r="J1038" s="248"/>
      <c r="K1038" s="248"/>
      <c r="L1038" s="514"/>
      <c r="M1038" s="248"/>
      <c r="N1038" s="528"/>
      <c r="O1038" s="248"/>
      <c r="P1038" s="248"/>
      <c r="Q1038" s="248"/>
      <c r="R1038" s="248"/>
      <c r="S1038" s="248"/>
      <c r="T1038" s="248"/>
      <c r="U1038" s="248"/>
      <c r="V1038" s="503"/>
      <c r="W1038" s="503"/>
      <c r="X1038" s="503"/>
      <c r="Y1038" s="503"/>
      <c r="Z1038" s="503"/>
      <c r="AA1038" s="503"/>
      <c r="AC1038" s="248"/>
      <c r="AD1038" s="528"/>
      <c r="AE1038" s="248"/>
      <c r="AF1038" s="248"/>
    </row>
    <row r="1039" spans="4:32" x14ac:dyDescent="0.3">
      <c r="D1039" s="514"/>
      <c r="E1039" s="514"/>
      <c r="H1039" s="544"/>
      <c r="I1039" s="514"/>
      <c r="J1039" s="248"/>
      <c r="K1039" s="248"/>
      <c r="L1039" s="514"/>
      <c r="M1039" s="248"/>
      <c r="N1039" s="528"/>
      <c r="O1039" s="248"/>
      <c r="P1039" s="248"/>
      <c r="Q1039" s="248"/>
      <c r="R1039" s="248"/>
      <c r="S1039" s="248"/>
      <c r="T1039" s="248"/>
      <c r="U1039" s="248"/>
      <c r="V1039" s="503"/>
      <c r="W1039" s="503"/>
      <c r="X1039" s="503"/>
      <c r="Y1039" s="503"/>
      <c r="Z1039" s="503"/>
      <c r="AA1039" s="503"/>
      <c r="AC1039" s="248"/>
      <c r="AD1039" s="528"/>
      <c r="AE1039" s="248"/>
      <c r="AF1039" s="248"/>
    </row>
    <row r="1040" spans="4:32" x14ac:dyDescent="0.3">
      <c r="D1040" s="514"/>
      <c r="E1040" s="514"/>
      <c r="H1040" s="544"/>
      <c r="I1040" s="514"/>
      <c r="J1040" s="248"/>
      <c r="K1040" s="248"/>
      <c r="L1040" s="514"/>
      <c r="M1040" s="248"/>
      <c r="N1040" s="528"/>
      <c r="O1040" s="248"/>
      <c r="P1040" s="248"/>
      <c r="Q1040" s="248"/>
      <c r="R1040" s="248"/>
      <c r="S1040" s="248"/>
      <c r="T1040" s="248"/>
      <c r="U1040" s="248"/>
      <c r="V1040" s="503"/>
      <c r="W1040" s="503"/>
      <c r="X1040" s="503"/>
      <c r="Y1040" s="503"/>
      <c r="Z1040" s="503"/>
      <c r="AA1040" s="503"/>
      <c r="AC1040" s="248"/>
      <c r="AD1040" s="528"/>
      <c r="AE1040" s="248"/>
      <c r="AF1040" s="248"/>
    </row>
    <row r="1041" spans="4:32" x14ac:dyDescent="0.3">
      <c r="D1041" s="514"/>
      <c r="E1041" s="514"/>
      <c r="H1041" s="544"/>
      <c r="I1041" s="514"/>
      <c r="J1041" s="248"/>
      <c r="K1041" s="248"/>
      <c r="L1041" s="514"/>
      <c r="M1041" s="248"/>
      <c r="N1041" s="528"/>
      <c r="O1041" s="248"/>
      <c r="P1041" s="248"/>
      <c r="Q1041" s="248"/>
      <c r="R1041" s="248"/>
      <c r="S1041" s="248"/>
      <c r="T1041" s="248"/>
      <c r="U1041" s="248"/>
      <c r="V1041" s="503"/>
      <c r="W1041" s="503"/>
      <c r="X1041" s="503"/>
      <c r="Y1041" s="503"/>
      <c r="Z1041" s="503"/>
      <c r="AA1041" s="503"/>
      <c r="AC1041" s="248"/>
      <c r="AD1041" s="528"/>
      <c r="AE1041" s="248"/>
      <c r="AF1041" s="248"/>
    </row>
    <row r="1042" spans="4:32" x14ac:dyDescent="0.3">
      <c r="D1042" s="514"/>
      <c r="E1042" s="514"/>
      <c r="H1042" s="544"/>
      <c r="I1042" s="514"/>
      <c r="J1042" s="248"/>
      <c r="K1042" s="248"/>
      <c r="L1042" s="514"/>
      <c r="M1042" s="248"/>
      <c r="N1042" s="528"/>
      <c r="O1042" s="248"/>
      <c r="P1042" s="248"/>
      <c r="Q1042" s="248"/>
      <c r="R1042" s="248"/>
      <c r="S1042" s="248"/>
      <c r="T1042" s="248"/>
      <c r="U1042" s="248"/>
      <c r="V1042" s="503"/>
      <c r="W1042" s="503"/>
      <c r="X1042" s="503"/>
      <c r="Y1042" s="503"/>
      <c r="Z1042" s="503"/>
      <c r="AA1042" s="503"/>
      <c r="AC1042" s="248"/>
      <c r="AD1042" s="528"/>
      <c r="AE1042" s="248"/>
      <c r="AF1042" s="248"/>
    </row>
    <row r="1043" spans="4:32" x14ac:dyDescent="0.3">
      <c r="D1043" s="514"/>
      <c r="E1043" s="514"/>
      <c r="H1043" s="544"/>
      <c r="I1043" s="514"/>
      <c r="J1043" s="248"/>
      <c r="K1043" s="248"/>
      <c r="L1043" s="514"/>
      <c r="M1043" s="248"/>
      <c r="N1043" s="528"/>
      <c r="O1043" s="248"/>
      <c r="P1043" s="248"/>
      <c r="Q1043" s="248"/>
      <c r="R1043" s="248"/>
      <c r="S1043" s="248"/>
      <c r="T1043" s="248"/>
      <c r="U1043" s="248"/>
      <c r="V1043" s="503"/>
      <c r="W1043" s="503"/>
      <c r="X1043" s="503"/>
      <c r="Y1043" s="503"/>
      <c r="Z1043" s="503"/>
      <c r="AA1043" s="503"/>
      <c r="AC1043" s="248"/>
      <c r="AD1043" s="528"/>
      <c r="AE1043" s="248"/>
      <c r="AF1043" s="248"/>
    </row>
    <row r="1044" spans="4:32" x14ac:dyDescent="0.3">
      <c r="D1044" s="514"/>
      <c r="E1044" s="514"/>
      <c r="H1044" s="544"/>
      <c r="I1044" s="514"/>
      <c r="J1044" s="248"/>
      <c r="K1044" s="248"/>
      <c r="L1044" s="514"/>
      <c r="M1044" s="248"/>
      <c r="N1044" s="528"/>
      <c r="O1044" s="248"/>
      <c r="P1044" s="248"/>
      <c r="Q1044" s="248"/>
      <c r="R1044" s="248"/>
      <c r="S1044" s="248"/>
      <c r="T1044" s="248"/>
      <c r="U1044" s="248"/>
      <c r="V1044" s="503"/>
      <c r="W1044" s="503"/>
      <c r="X1044" s="503"/>
      <c r="Y1044" s="503"/>
      <c r="Z1044" s="503"/>
      <c r="AA1044" s="503"/>
      <c r="AC1044" s="248"/>
      <c r="AD1044" s="528"/>
      <c r="AE1044" s="248"/>
      <c r="AF1044" s="248"/>
    </row>
    <row r="1045" spans="4:32" x14ac:dyDescent="0.3">
      <c r="D1045" s="514"/>
      <c r="E1045" s="514"/>
      <c r="H1045" s="544"/>
      <c r="I1045" s="514"/>
      <c r="J1045" s="248"/>
      <c r="K1045" s="248"/>
      <c r="L1045" s="514"/>
      <c r="M1045" s="248"/>
      <c r="N1045" s="528"/>
      <c r="O1045" s="248"/>
      <c r="P1045" s="248"/>
      <c r="Q1045" s="248"/>
      <c r="R1045" s="248"/>
      <c r="S1045" s="248"/>
      <c r="T1045" s="248"/>
      <c r="U1045" s="248"/>
      <c r="V1045" s="503"/>
      <c r="W1045" s="503"/>
      <c r="X1045" s="503"/>
      <c r="Y1045" s="503"/>
      <c r="Z1045" s="503"/>
      <c r="AA1045" s="503"/>
      <c r="AC1045" s="248"/>
      <c r="AD1045" s="528"/>
      <c r="AE1045" s="248"/>
      <c r="AF1045" s="248"/>
    </row>
    <row r="1046" spans="4:32" x14ac:dyDescent="0.3">
      <c r="D1046" s="514"/>
      <c r="E1046" s="514"/>
      <c r="H1046" s="544"/>
      <c r="I1046" s="514"/>
      <c r="J1046" s="248"/>
      <c r="K1046" s="248"/>
      <c r="L1046" s="514"/>
      <c r="M1046" s="248"/>
      <c r="N1046" s="528"/>
      <c r="O1046" s="248"/>
      <c r="P1046" s="248"/>
      <c r="Q1046" s="248"/>
      <c r="R1046" s="248"/>
      <c r="S1046" s="248"/>
      <c r="T1046" s="248"/>
      <c r="U1046" s="248"/>
      <c r="V1046" s="503"/>
      <c r="W1046" s="503"/>
      <c r="X1046" s="503"/>
      <c r="Y1046" s="503"/>
      <c r="Z1046" s="503"/>
      <c r="AA1046" s="503"/>
      <c r="AC1046" s="248"/>
      <c r="AD1046" s="528"/>
      <c r="AE1046" s="248"/>
      <c r="AF1046" s="248"/>
    </row>
    <row r="1047" spans="4:32" x14ac:dyDescent="0.3">
      <c r="D1047" s="514"/>
      <c r="E1047" s="514"/>
      <c r="H1047" s="544"/>
      <c r="I1047" s="514"/>
      <c r="J1047" s="248"/>
      <c r="K1047" s="248"/>
      <c r="L1047" s="514"/>
      <c r="M1047" s="248"/>
      <c r="N1047" s="528"/>
      <c r="O1047" s="248"/>
      <c r="P1047" s="248"/>
      <c r="Q1047" s="248"/>
      <c r="R1047" s="248"/>
      <c r="S1047" s="248"/>
      <c r="T1047" s="248"/>
      <c r="U1047" s="248"/>
      <c r="V1047" s="503"/>
      <c r="W1047" s="503"/>
      <c r="X1047" s="503"/>
      <c r="Y1047" s="503"/>
      <c r="Z1047" s="503"/>
      <c r="AA1047" s="503"/>
      <c r="AC1047" s="248"/>
      <c r="AD1047" s="528"/>
      <c r="AE1047" s="248"/>
      <c r="AF1047" s="248"/>
    </row>
    <row r="1048" spans="4:32" x14ac:dyDescent="0.3">
      <c r="D1048" s="514"/>
      <c r="E1048" s="514"/>
      <c r="H1048" s="544"/>
      <c r="I1048" s="514"/>
      <c r="J1048" s="248"/>
      <c r="K1048" s="248"/>
      <c r="L1048" s="514"/>
      <c r="M1048" s="248"/>
      <c r="N1048" s="528"/>
      <c r="O1048" s="248"/>
      <c r="P1048" s="248"/>
      <c r="Q1048" s="248"/>
      <c r="R1048" s="248"/>
      <c r="S1048" s="248"/>
      <c r="T1048" s="248"/>
      <c r="U1048" s="248"/>
      <c r="V1048" s="503"/>
      <c r="W1048" s="503"/>
      <c r="X1048" s="503"/>
      <c r="Y1048" s="503"/>
      <c r="Z1048" s="503"/>
      <c r="AA1048" s="503"/>
      <c r="AC1048" s="248"/>
      <c r="AD1048" s="528"/>
      <c r="AE1048" s="248"/>
      <c r="AF1048" s="248"/>
    </row>
    <row r="1049" spans="4:32" x14ac:dyDescent="0.3">
      <c r="D1049" s="514"/>
      <c r="E1049" s="514"/>
      <c r="H1049" s="544"/>
      <c r="I1049" s="514"/>
      <c r="J1049" s="248"/>
      <c r="K1049" s="248"/>
      <c r="L1049" s="514"/>
      <c r="M1049" s="248"/>
      <c r="N1049" s="528"/>
      <c r="O1049" s="248"/>
      <c r="P1049" s="248"/>
      <c r="Q1049" s="248"/>
      <c r="R1049" s="248"/>
      <c r="S1049" s="248"/>
      <c r="T1049" s="248"/>
      <c r="U1049" s="248"/>
      <c r="V1049" s="503"/>
      <c r="W1049" s="503"/>
      <c r="X1049" s="503"/>
      <c r="Y1049" s="503"/>
      <c r="Z1049" s="503"/>
      <c r="AA1049" s="503"/>
      <c r="AC1049" s="248"/>
      <c r="AD1049" s="528"/>
      <c r="AE1049" s="248"/>
      <c r="AF1049" s="248"/>
    </row>
    <row r="1050" spans="4:32" x14ac:dyDescent="0.3">
      <c r="D1050" s="514"/>
      <c r="E1050" s="514"/>
      <c r="H1050" s="544"/>
      <c r="I1050" s="514"/>
      <c r="J1050" s="248"/>
      <c r="K1050" s="248"/>
      <c r="L1050" s="514"/>
      <c r="M1050" s="248"/>
      <c r="N1050" s="528"/>
      <c r="O1050" s="248"/>
      <c r="P1050" s="248"/>
      <c r="Q1050" s="248"/>
      <c r="R1050" s="248"/>
      <c r="S1050" s="248"/>
      <c r="T1050" s="248"/>
      <c r="U1050" s="248"/>
      <c r="V1050" s="503"/>
      <c r="W1050" s="503"/>
      <c r="X1050" s="503"/>
      <c r="Y1050" s="503"/>
      <c r="Z1050" s="503"/>
      <c r="AA1050" s="503"/>
      <c r="AC1050" s="248"/>
      <c r="AD1050" s="528"/>
      <c r="AE1050" s="248"/>
      <c r="AF1050" s="248"/>
    </row>
    <row r="1051" spans="4:32" x14ac:dyDescent="0.3">
      <c r="D1051" s="514"/>
      <c r="E1051" s="514"/>
      <c r="H1051" s="544"/>
      <c r="I1051" s="514"/>
      <c r="J1051" s="248"/>
      <c r="K1051" s="248"/>
      <c r="L1051" s="514"/>
      <c r="M1051" s="248"/>
      <c r="N1051" s="528"/>
      <c r="O1051" s="248"/>
      <c r="P1051" s="248"/>
      <c r="Q1051" s="248"/>
      <c r="R1051" s="248"/>
      <c r="S1051" s="248"/>
      <c r="T1051" s="248"/>
      <c r="U1051" s="248"/>
      <c r="V1051" s="503"/>
      <c r="W1051" s="503"/>
      <c r="X1051" s="503"/>
      <c r="Y1051" s="503"/>
      <c r="Z1051" s="503"/>
      <c r="AA1051" s="503"/>
      <c r="AC1051" s="248"/>
      <c r="AD1051" s="528"/>
      <c r="AE1051" s="248"/>
      <c r="AF1051" s="248"/>
    </row>
    <row r="1052" spans="4:32" x14ac:dyDescent="0.3">
      <c r="D1052" s="514"/>
      <c r="E1052" s="514"/>
      <c r="H1052" s="544"/>
      <c r="I1052" s="514"/>
      <c r="J1052" s="248"/>
      <c r="K1052" s="248"/>
      <c r="L1052" s="514"/>
      <c r="M1052" s="248"/>
      <c r="N1052" s="528"/>
      <c r="O1052" s="248"/>
      <c r="P1052" s="248"/>
      <c r="Q1052" s="248"/>
      <c r="R1052" s="248"/>
      <c r="S1052" s="248"/>
      <c r="T1052" s="248"/>
      <c r="U1052" s="248"/>
      <c r="V1052" s="503"/>
      <c r="W1052" s="503"/>
      <c r="X1052" s="503"/>
      <c r="Y1052" s="503"/>
      <c r="Z1052" s="503"/>
      <c r="AA1052" s="503"/>
      <c r="AC1052" s="248"/>
      <c r="AD1052" s="528"/>
      <c r="AE1052" s="248"/>
      <c r="AF1052" s="248"/>
    </row>
    <row r="1053" spans="4:32" x14ac:dyDescent="0.3">
      <c r="D1053" s="514"/>
      <c r="E1053" s="514"/>
      <c r="H1053" s="544"/>
      <c r="I1053" s="514"/>
      <c r="J1053" s="248"/>
      <c r="K1053" s="248"/>
      <c r="L1053" s="514"/>
      <c r="M1053" s="248"/>
      <c r="N1053" s="528"/>
      <c r="O1053" s="248"/>
      <c r="P1053" s="248"/>
      <c r="Q1053" s="248"/>
      <c r="R1053" s="248"/>
      <c r="S1053" s="248"/>
      <c r="T1053" s="248"/>
      <c r="U1053" s="248"/>
      <c r="V1053" s="503"/>
      <c r="W1053" s="503"/>
      <c r="X1053" s="503"/>
      <c r="Y1053" s="503"/>
      <c r="Z1053" s="503"/>
      <c r="AA1053" s="503"/>
      <c r="AC1053" s="248"/>
      <c r="AD1053" s="528"/>
      <c r="AE1053" s="248"/>
      <c r="AF1053" s="248"/>
    </row>
    <row r="1054" spans="4:32" x14ac:dyDescent="0.3">
      <c r="D1054" s="514"/>
      <c r="E1054" s="514"/>
      <c r="H1054" s="544"/>
      <c r="I1054" s="514"/>
      <c r="J1054" s="248"/>
      <c r="K1054" s="248"/>
      <c r="L1054" s="514"/>
      <c r="M1054" s="248"/>
      <c r="N1054" s="528"/>
      <c r="O1054" s="248"/>
      <c r="P1054" s="248"/>
      <c r="Q1054" s="248"/>
      <c r="R1054" s="248"/>
      <c r="S1054" s="248"/>
      <c r="T1054" s="248"/>
      <c r="U1054" s="248"/>
      <c r="V1054" s="503"/>
      <c r="W1054" s="503"/>
      <c r="X1054" s="503"/>
      <c r="Y1054" s="503"/>
      <c r="Z1054" s="503"/>
      <c r="AA1054" s="503"/>
      <c r="AC1054" s="248"/>
      <c r="AD1054" s="528"/>
      <c r="AE1054" s="248"/>
      <c r="AF1054" s="248"/>
    </row>
    <row r="1055" spans="4:32" x14ac:dyDescent="0.3">
      <c r="D1055" s="514"/>
      <c r="E1055" s="514"/>
      <c r="H1055" s="544"/>
      <c r="I1055" s="514"/>
      <c r="J1055" s="248"/>
      <c r="K1055" s="248"/>
      <c r="L1055" s="514"/>
      <c r="M1055" s="248"/>
      <c r="N1055" s="528"/>
      <c r="O1055" s="248"/>
      <c r="P1055" s="248"/>
      <c r="Q1055" s="248"/>
      <c r="R1055" s="248"/>
      <c r="S1055" s="248"/>
      <c r="T1055" s="248"/>
      <c r="U1055" s="248"/>
      <c r="V1055" s="503"/>
      <c r="W1055" s="503"/>
      <c r="X1055" s="503"/>
      <c r="Y1055" s="503"/>
      <c r="Z1055" s="503"/>
      <c r="AA1055" s="503"/>
      <c r="AC1055" s="248"/>
      <c r="AD1055" s="528"/>
      <c r="AE1055" s="248"/>
      <c r="AF1055" s="248"/>
    </row>
    <row r="1056" spans="4:32" x14ac:dyDescent="0.3">
      <c r="D1056" s="514"/>
      <c r="E1056" s="514"/>
      <c r="H1056" s="544"/>
      <c r="I1056" s="514"/>
      <c r="J1056" s="248"/>
      <c r="K1056" s="248"/>
      <c r="L1056" s="514"/>
      <c r="M1056" s="248"/>
      <c r="N1056" s="528"/>
      <c r="O1056" s="248"/>
      <c r="P1056" s="248"/>
      <c r="Q1056" s="248"/>
      <c r="R1056" s="248"/>
      <c r="S1056" s="248"/>
      <c r="T1056" s="248"/>
      <c r="U1056" s="248"/>
      <c r="V1056" s="503"/>
      <c r="W1056" s="503"/>
      <c r="X1056" s="503"/>
      <c r="Y1056" s="503"/>
      <c r="Z1056" s="503"/>
      <c r="AA1056" s="503"/>
      <c r="AC1056" s="248"/>
      <c r="AD1056" s="528"/>
      <c r="AE1056" s="248"/>
      <c r="AF1056" s="248"/>
    </row>
    <row r="1057" spans="4:32" x14ac:dyDescent="0.3">
      <c r="D1057" s="514"/>
      <c r="E1057" s="514"/>
      <c r="H1057" s="544"/>
      <c r="I1057" s="514"/>
      <c r="J1057" s="248"/>
      <c r="K1057" s="248"/>
      <c r="L1057" s="514"/>
      <c r="M1057" s="248"/>
      <c r="N1057" s="528"/>
      <c r="O1057" s="248"/>
      <c r="P1057" s="248"/>
      <c r="Q1057" s="248"/>
      <c r="R1057" s="248"/>
      <c r="S1057" s="248"/>
      <c r="T1057" s="248"/>
      <c r="U1057" s="248"/>
      <c r="V1057" s="503"/>
      <c r="W1057" s="503"/>
      <c r="X1057" s="503"/>
      <c r="Y1057" s="503"/>
      <c r="Z1057" s="503"/>
      <c r="AA1057" s="503"/>
      <c r="AC1057" s="248"/>
      <c r="AD1057" s="528"/>
      <c r="AE1057" s="248"/>
      <c r="AF1057" s="248"/>
    </row>
    <row r="1058" spans="4:32" x14ac:dyDescent="0.3">
      <c r="D1058" s="514"/>
      <c r="E1058" s="514"/>
      <c r="H1058" s="544"/>
      <c r="I1058" s="514"/>
      <c r="J1058" s="248"/>
      <c r="K1058" s="248"/>
      <c r="L1058" s="514"/>
      <c r="M1058" s="248"/>
      <c r="N1058" s="528"/>
      <c r="O1058" s="248"/>
      <c r="P1058" s="248"/>
      <c r="Q1058" s="248"/>
      <c r="R1058" s="248"/>
      <c r="S1058" s="248"/>
      <c r="T1058" s="248"/>
      <c r="U1058" s="248"/>
      <c r="V1058" s="503"/>
      <c r="W1058" s="503"/>
      <c r="X1058" s="503"/>
      <c r="Y1058" s="503"/>
      <c r="Z1058" s="503"/>
      <c r="AA1058" s="503"/>
      <c r="AC1058" s="248"/>
      <c r="AD1058" s="528"/>
      <c r="AE1058" s="248"/>
      <c r="AF1058" s="248"/>
    </row>
    <row r="1059" spans="4:32" x14ac:dyDescent="0.3">
      <c r="D1059" s="514"/>
      <c r="E1059" s="514"/>
      <c r="H1059" s="544"/>
      <c r="I1059" s="514"/>
      <c r="J1059" s="248"/>
      <c r="K1059" s="248"/>
      <c r="L1059" s="514"/>
      <c r="M1059" s="248"/>
      <c r="N1059" s="528"/>
      <c r="O1059" s="248"/>
      <c r="P1059" s="248"/>
      <c r="Q1059" s="248"/>
      <c r="R1059" s="248"/>
      <c r="S1059" s="248"/>
      <c r="T1059" s="248"/>
      <c r="U1059" s="248"/>
      <c r="V1059" s="503"/>
      <c r="W1059" s="503"/>
      <c r="X1059" s="503"/>
      <c r="Y1059" s="503"/>
      <c r="Z1059" s="503"/>
      <c r="AA1059" s="503"/>
      <c r="AC1059" s="248"/>
      <c r="AD1059" s="528"/>
      <c r="AE1059" s="248"/>
      <c r="AF1059" s="248"/>
    </row>
    <row r="1060" spans="4:32" x14ac:dyDescent="0.3">
      <c r="D1060" s="514"/>
      <c r="E1060" s="514"/>
      <c r="H1060" s="544"/>
      <c r="I1060" s="514"/>
      <c r="J1060" s="248"/>
      <c r="K1060" s="248"/>
      <c r="L1060" s="514"/>
      <c r="M1060" s="248"/>
      <c r="N1060" s="528"/>
      <c r="O1060" s="248"/>
      <c r="P1060" s="248"/>
      <c r="Q1060" s="248"/>
      <c r="R1060" s="248"/>
      <c r="S1060" s="248"/>
      <c r="T1060" s="248"/>
      <c r="U1060" s="248"/>
      <c r="V1060" s="503"/>
      <c r="W1060" s="503"/>
      <c r="X1060" s="503"/>
      <c r="Y1060" s="503"/>
      <c r="Z1060" s="503"/>
      <c r="AA1060" s="503"/>
      <c r="AC1060" s="248"/>
      <c r="AD1060" s="528"/>
      <c r="AE1060" s="248"/>
      <c r="AF1060" s="248"/>
    </row>
    <row r="1061" spans="4:32" x14ac:dyDescent="0.3">
      <c r="D1061" s="514"/>
      <c r="E1061" s="514"/>
      <c r="H1061" s="544"/>
      <c r="I1061" s="514"/>
      <c r="J1061" s="248"/>
      <c r="K1061" s="248"/>
      <c r="L1061" s="514"/>
      <c r="M1061" s="248"/>
      <c r="N1061" s="528"/>
      <c r="O1061" s="248"/>
      <c r="P1061" s="248"/>
      <c r="Q1061" s="248"/>
      <c r="R1061" s="248"/>
      <c r="S1061" s="248"/>
      <c r="T1061" s="248"/>
      <c r="U1061" s="248"/>
      <c r="V1061" s="503"/>
      <c r="W1061" s="503"/>
      <c r="X1061" s="503"/>
      <c r="Y1061" s="503"/>
      <c r="Z1061" s="503"/>
      <c r="AA1061" s="503"/>
      <c r="AC1061" s="248"/>
      <c r="AD1061" s="528"/>
      <c r="AE1061" s="248"/>
      <c r="AF1061" s="248"/>
    </row>
    <row r="1062" spans="4:32" x14ac:dyDescent="0.3">
      <c r="D1062" s="514"/>
      <c r="E1062" s="514"/>
      <c r="H1062" s="544"/>
      <c r="I1062" s="514"/>
      <c r="J1062" s="248"/>
      <c r="K1062" s="248"/>
      <c r="L1062" s="514"/>
      <c r="M1062" s="248"/>
      <c r="N1062" s="528"/>
      <c r="O1062" s="248"/>
      <c r="P1062" s="248"/>
      <c r="Q1062" s="248"/>
      <c r="R1062" s="248"/>
      <c r="S1062" s="248"/>
      <c r="T1062" s="248"/>
      <c r="U1062" s="248"/>
      <c r="V1062" s="503"/>
      <c r="W1062" s="503"/>
      <c r="X1062" s="503"/>
      <c r="Y1062" s="503"/>
      <c r="Z1062" s="503"/>
      <c r="AA1062" s="503"/>
      <c r="AC1062" s="248"/>
      <c r="AD1062" s="528"/>
      <c r="AE1062" s="248"/>
      <c r="AF1062" s="248"/>
    </row>
    <row r="1063" spans="4:32" x14ac:dyDescent="0.3">
      <c r="D1063" s="514"/>
      <c r="E1063" s="514"/>
      <c r="H1063" s="544"/>
      <c r="I1063" s="514"/>
      <c r="J1063" s="248"/>
      <c r="K1063" s="248"/>
      <c r="L1063" s="514"/>
      <c r="M1063" s="248"/>
      <c r="N1063" s="528"/>
      <c r="O1063" s="248"/>
      <c r="P1063" s="248"/>
      <c r="Q1063" s="248"/>
      <c r="R1063" s="248"/>
      <c r="S1063" s="248"/>
      <c r="T1063" s="248"/>
      <c r="U1063" s="248"/>
      <c r="V1063" s="503"/>
      <c r="W1063" s="503"/>
      <c r="X1063" s="503"/>
      <c r="Y1063" s="503"/>
      <c r="Z1063" s="503"/>
      <c r="AA1063" s="503"/>
      <c r="AC1063" s="248"/>
      <c r="AD1063" s="528"/>
      <c r="AE1063" s="248"/>
      <c r="AF1063" s="248"/>
    </row>
    <row r="1064" spans="4:32" x14ac:dyDescent="0.3">
      <c r="D1064" s="514"/>
      <c r="E1064" s="514"/>
      <c r="H1064" s="544"/>
      <c r="I1064" s="514"/>
      <c r="J1064" s="248"/>
      <c r="K1064" s="248"/>
      <c r="L1064" s="514"/>
      <c r="M1064" s="248"/>
      <c r="N1064" s="528"/>
      <c r="O1064" s="248"/>
      <c r="P1064" s="248"/>
      <c r="Q1064" s="248"/>
      <c r="R1064" s="248"/>
      <c r="S1064" s="248"/>
      <c r="T1064" s="248"/>
      <c r="U1064" s="248"/>
      <c r="V1064" s="503"/>
      <c r="W1064" s="503"/>
      <c r="X1064" s="503"/>
      <c r="Y1064" s="503"/>
      <c r="Z1064" s="503"/>
      <c r="AA1064" s="503"/>
      <c r="AC1064" s="248"/>
      <c r="AD1064" s="528"/>
      <c r="AE1064" s="248"/>
      <c r="AF1064" s="248"/>
    </row>
    <row r="1065" spans="4:32" x14ac:dyDescent="0.3">
      <c r="D1065" s="514"/>
      <c r="E1065" s="514"/>
      <c r="H1065" s="544"/>
      <c r="I1065" s="514"/>
      <c r="J1065" s="248"/>
      <c r="K1065" s="248"/>
      <c r="L1065" s="514"/>
      <c r="M1065" s="248"/>
      <c r="N1065" s="528"/>
      <c r="O1065" s="248"/>
      <c r="P1065" s="248"/>
      <c r="Q1065" s="248"/>
      <c r="R1065" s="248"/>
      <c r="S1065" s="248"/>
      <c r="T1065" s="248"/>
      <c r="U1065" s="248"/>
      <c r="V1065" s="503"/>
      <c r="W1065" s="503"/>
      <c r="X1065" s="503"/>
      <c r="Y1065" s="503"/>
      <c r="Z1065" s="503"/>
      <c r="AA1065" s="503"/>
      <c r="AC1065" s="248"/>
      <c r="AD1065" s="528"/>
      <c r="AE1065" s="248"/>
      <c r="AF1065" s="248"/>
    </row>
    <row r="1066" spans="4:32" x14ac:dyDescent="0.3">
      <c r="D1066" s="514"/>
      <c r="E1066" s="514"/>
      <c r="H1066" s="544"/>
      <c r="I1066" s="514"/>
      <c r="J1066" s="248"/>
      <c r="K1066" s="248"/>
      <c r="L1066" s="514"/>
      <c r="M1066" s="248"/>
      <c r="N1066" s="528"/>
      <c r="O1066" s="248"/>
      <c r="P1066" s="248"/>
      <c r="Q1066" s="248"/>
      <c r="R1066" s="248"/>
      <c r="S1066" s="248"/>
      <c r="T1066" s="248"/>
      <c r="U1066" s="248"/>
      <c r="V1066" s="503"/>
      <c r="W1066" s="503"/>
      <c r="X1066" s="503"/>
      <c r="Y1066" s="503"/>
      <c r="Z1066" s="503"/>
      <c r="AA1066" s="503"/>
      <c r="AC1066" s="248"/>
      <c r="AD1066" s="528"/>
      <c r="AE1066" s="248"/>
      <c r="AF1066" s="248"/>
    </row>
    <row r="1067" spans="4:32" x14ac:dyDescent="0.3">
      <c r="D1067" s="514"/>
      <c r="E1067" s="514"/>
      <c r="H1067" s="544"/>
      <c r="I1067" s="514"/>
      <c r="J1067" s="248"/>
      <c r="K1067" s="248"/>
      <c r="L1067" s="514"/>
      <c r="M1067" s="248"/>
      <c r="N1067" s="528"/>
      <c r="O1067" s="248"/>
      <c r="P1067" s="248"/>
      <c r="Q1067" s="248"/>
      <c r="R1067" s="248"/>
      <c r="S1067" s="248"/>
      <c r="T1067" s="248"/>
      <c r="U1067" s="248"/>
      <c r="V1067" s="503"/>
      <c r="W1067" s="503"/>
      <c r="X1067" s="503"/>
      <c r="Y1067" s="503"/>
      <c r="Z1067" s="503"/>
      <c r="AA1067" s="503"/>
      <c r="AC1067" s="248"/>
      <c r="AD1067" s="528"/>
      <c r="AE1067" s="248"/>
      <c r="AF1067" s="248"/>
    </row>
    <row r="1068" spans="4:32" x14ac:dyDescent="0.3">
      <c r="D1068" s="514"/>
      <c r="E1068" s="514"/>
      <c r="H1068" s="544"/>
      <c r="I1068" s="514"/>
      <c r="J1068" s="248"/>
      <c r="K1068" s="248"/>
      <c r="L1068" s="514"/>
      <c r="M1068" s="248"/>
      <c r="N1068" s="528"/>
      <c r="O1068" s="248"/>
      <c r="P1068" s="248"/>
      <c r="Q1068" s="248"/>
      <c r="R1068" s="248"/>
      <c r="S1068" s="248"/>
      <c r="T1068" s="248"/>
      <c r="U1068" s="248"/>
      <c r="V1068" s="503"/>
      <c r="W1068" s="503"/>
      <c r="X1068" s="503"/>
      <c r="Y1068" s="503"/>
      <c r="Z1068" s="503"/>
      <c r="AA1068" s="503"/>
      <c r="AC1068" s="248"/>
      <c r="AD1068" s="528"/>
      <c r="AE1068" s="248"/>
      <c r="AF1068" s="248"/>
    </row>
    <row r="1069" spans="4:32" x14ac:dyDescent="0.3">
      <c r="D1069" s="514"/>
      <c r="E1069" s="514"/>
      <c r="H1069" s="544"/>
      <c r="I1069" s="514"/>
      <c r="J1069" s="248"/>
      <c r="K1069" s="248"/>
      <c r="L1069" s="514"/>
      <c r="M1069" s="248"/>
      <c r="N1069" s="528"/>
      <c r="O1069" s="248"/>
      <c r="P1069" s="248"/>
      <c r="Q1069" s="248"/>
      <c r="R1069" s="248"/>
      <c r="S1069" s="248"/>
      <c r="T1069" s="248"/>
      <c r="U1069" s="248"/>
      <c r="V1069" s="503"/>
      <c r="W1069" s="503"/>
      <c r="X1069" s="503"/>
      <c r="Y1069" s="503"/>
      <c r="Z1069" s="503"/>
      <c r="AA1069" s="503"/>
      <c r="AC1069" s="248"/>
      <c r="AD1069" s="528"/>
      <c r="AE1069" s="248"/>
      <c r="AF1069" s="248"/>
    </row>
    <row r="1070" spans="4:32" x14ac:dyDescent="0.3">
      <c r="D1070" s="514"/>
      <c r="E1070" s="514"/>
      <c r="H1070" s="544"/>
      <c r="I1070" s="514"/>
      <c r="J1070" s="248"/>
      <c r="K1070" s="248"/>
      <c r="L1070" s="514"/>
      <c r="M1070" s="248"/>
      <c r="N1070" s="528"/>
      <c r="O1070" s="248"/>
      <c r="P1070" s="248"/>
      <c r="Q1070" s="248"/>
      <c r="R1070" s="248"/>
      <c r="S1070" s="248"/>
      <c r="T1070" s="248"/>
      <c r="U1070" s="248"/>
      <c r="V1070" s="503"/>
      <c r="W1070" s="503"/>
      <c r="X1070" s="503"/>
      <c r="Y1070" s="503"/>
      <c r="Z1070" s="503"/>
      <c r="AA1070" s="503"/>
      <c r="AC1070" s="248"/>
      <c r="AD1070" s="528"/>
      <c r="AE1070" s="248"/>
      <c r="AF1070" s="248"/>
    </row>
    <row r="1071" spans="4:32" x14ac:dyDescent="0.3">
      <c r="D1071" s="514"/>
      <c r="E1071" s="514"/>
      <c r="H1071" s="544"/>
      <c r="I1071" s="514"/>
      <c r="J1071" s="248"/>
      <c r="K1071" s="248"/>
      <c r="L1071" s="514"/>
      <c r="M1071" s="248"/>
      <c r="N1071" s="528"/>
      <c r="O1071" s="248"/>
      <c r="P1071" s="248"/>
      <c r="Q1071" s="248"/>
      <c r="R1071" s="248"/>
      <c r="S1071" s="248"/>
      <c r="T1071" s="248"/>
      <c r="U1071" s="248"/>
      <c r="V1071" s="503"/>
      <c r="W1071" s="503"/>
      <c r="X1071" s="503"/>
      <c r="Y1071" s="503"/>
      <c r="Z1071" s="503"/>
      <c r="AA1071" s="503"/>
      <c r="AC1071" s="248"/>
      <c r="AD1071" s="528"/>
      <c r="AE1071" s="248"/>
      <c r="AF1071" s="248"/>
    </row>
    <row r="1072" spans="4:32" x14ac:dyDescent="0.3">
      <c r="D1072" s="514"/>
      <c r="E1072" s="514"/>
      <c r="H1072" s="544"/>
      <c r="I1072" s="514"/>
      <c r="J1072" s="248"/>
      <c r="K1072" s="248"/>
      <c r="L1072" s="514"/>
      <c r="M1072" s="248"/>
      <c r="N1072" s="528"/>
      <c r="O1072" s="248"/>
      <c r="P1072" s="248"/>
      <c r="Q1072" s="248"/>
      <c r="R1072" s="248"/>
      <c r="S1072" s="248"/>
      <c r="T1072" s="248"/>
      <c r="U1072" s="248"/>
      <c r="V1072" s="503"/>
      <c r="W1072" s="503"/>
      <c r="X1072" s="503"/>
      <c r="Y1072" s="503"/>
      <c r="Z1072" s="503"/>
      <c r="AA1072" s="503"/>
      <c r="AC1072" s="248"/>
      <c r="AD1072" s="528"/>
      <c r="AE1072" s="248"/>
      <c r="AF1072" s="248"/>
    </row>
    <row r="1073" spans="4:32" x14ac:dyDescent="0.3">
      <c r="D1073" s="514"/>
      <c r="E1073" s="514"/>
      <c r="H1073" s="544"/>
      <c r="I1073" s="514"/>
      <c r="J1073" s="248"/>
      <c r="K1073" s="248"/>
      <c r="L1073" s="514"/>
      <c r="M1073" s="248"/>
      <c r="N1073" s="528"/>
      <c r="O1073" s="248"/>
      <c r="P1073" s="248"/>
      <c r="Q1073" s="248"/>
      <c r="R1073" s="248"/>
      <c r="S1073" s="248"/>
      <c r="T1073" s="248"/>
      <c r="U1073" s="248"/>
      <c r="V1073" s="503"/>
      <c r="W1073" s="503"/>
      <c r="X1073" s="503"/>
      <c r="Y1073" s="503"/>
      <c r="Z1073" s="503"/>
      <c r="AA1073" s="503"/>
      <c r="AC1073" s="248"/>
      <c r="AD1073" s="528"/>
      <c r="AE1073" s="248"/>
      <c r="AF1073" s="248"/>
    </row>
    <row r="1074" spans="4:32" x14ac:dyDescent="0.3">
      <c r="D1074" s="514"/>
      <c r="E1074" s="514"/>
      <c r="H1074" s="544"/>
      <c r="I1074" s="514"/>
      <c r="J1074" s="248"/>
      <c r="K1074" s="248"/>
      <c r="L1074" s="514"/>
      <c r="M1074" s="248"/>
      <c r="N1074" s="528"/>
      <c r="O1074" s="248"/>
      <c r="P1074" s="248"/>
      <c r="Q1074" s="248"/>
      <c r="R1074" s="248"/>
      <c r="S1074" s="248"/>
      <c r="T1074" s="248"/>
      <c r="U1074" s="248"/>
      <c r="V1074" s="503"/>
      <c r="W1074" s="503"/>
      <c r="X1074" s="503"/>
      <c r="Y1074" s="503"/>
      <c r="Z1074" s="503"/>
      <c r="AA1074" s="503"/>
      <c r="AC1074" s="248"/>
      <c r="AD1074" s="528"/>
      <c r="AE1074" s="248"/>
      <c r="AF1074" s="248"/>
    </row>
    <row r="1075" spans="4:32" x14ac:dyDescent="0.3">
      <c r="D1075" s="514"/>
      <c r="E1075" s="514"/>
      <c r="H1075" s="544"/>
      <c r="I1075" s="514"/>
      <c r="J1075" s="248"/>
      <c r="K1075" s="248"/>
      <c r="L1075" s="514"/>
      <c r="M1075" s="248"/>
      <c r="N1075" s="528"/>
      <c r="O1075" s="248"/>
      <c r="P1075" s="248"/>
      <c r="Q1075" s="248"/>
      <c r="R1075" s="248"/>
      <c r="S1075" s="248"/>
      <c r="T1075" s="248"/>
      <c r="U1075" s="248"/>
      <c r="V1075" s="503"/>
      <c r="W1075" s="503"/>
      <c r="X1075" s="503"/>
      <c r="Y1075" s="503"/>
      <c r="Z1075" s="503"/>
      <c r="AA1075" s="503"/>
      <c r="AC1075" s="248"/>
      <c r="AD1075" s="528"/>
      <c r="AE1075" s="248"/>
      <c r="AF1075" s="248"/>
    </row>
    <row r="1076" spans="4:32" x14ac:dyDescent="0.3">
      <c r="D1076" s="514"/>
      <c r="E1076" s="514"/>
      <c r="H1076" s="544"/>
      <c r="I1076" s="514"/>
      <c r="J1076" s="248"/>
      <c r="K1076" s="248"/>
      <c r="L1076" s="514"/>
      <c r="M1076" s="248"/>
      <c r="N1076" s="528"/>
      <c r="O1076" s="248"/>
      <c r="P1076" s="248"/>
      <c r="Q1076" s="248"/>
      <c r="R1076" s="248"/>
      <c r="S1076" s="248"/>
      <c r="T1076" s="248"/>
      <c r="U1076" s="248"/>
      <c r="V1076" s="503"/>
      <c r="W1076" s="503"/>
      <c r="X1076" s="503"/>
      <c r="Y1076" s="503"/>
      <c r="Z1076" s="503"/>
      <c r="AA1076" s="503"/>
      <c r="AC1076" s="248"/>
      <c r="AD1076" s="528"/>
      <c r="AE1076" s="248"/>
      <c r="AF1076" s="248"/>
    </row>
    <row r="1077" spans="4:32" x14ac:dyDescent="0.3">
      <c r="D1077" s="514"/>
      <c r="E1077" s="514"/>
      <c r="H1077" s="544"/>
      <c r="I1077" s="514"/>
      <c r="J1077" s="248"/>
      <c r="K1077" s="248"/>
      <c r="L1077" s="514"/>
      <c r="M1077" s="248"/>
      <c r="N1077" s="528"/>
      <c r="O1077" s="248"/>
      <c r="P1077" s="248"/>
      <c r="Q1077" s="248"/>
      <c r="R1077" s="248"/>
      <c r="S1077" s="248"/>
      <c r="T1077" s="248"/>
      <c r="U1077" s="248"/>
      <c r="V1077" s="503"/>
      <c r="W1077" s="503"/>
      <c r="X1077" s="503"/>
      <c r="Y1077" s="503"/>
      <c r="Z1077" s="503"/>
      <c r="AA1077" s="503"/>
      <c r="AC1077" s="248"/>
      <c r="AD1077" s="528"/>
      <c r="AE1077" s="248"/>
      <c r="AF1077" s="248"/>
    </row>
    <row r="1078" spans="4:32" x14ac:dyDescent="0.3">
      <c r="D1078" s="514"/>
      <c r="E1078" s="514"/>
      <c r="H1078" s="544"/>
      <c r="I1078" s="514"/>
      <c r="J1078" s="248"/>
      <c r="K1078" s="248"/>
      <c r="L1078" s="514"/>
      <c r="M1078" s="248"/>
      <c r="N1078" s="528"/>
      <c r="O1078" s="248"/>
      <c r="P1078" s="248"/>
      <c r="Q1078" s="248"/>
      <c r="R1078" s="248"/>
      <c r="S1078" s="248"/>
      <c r="T1078" s="248"/>
      <c r="U1078" s="248"/>
      <c r="V1078" s="503"/>
      <c r="W1078" s="503"/>
      <c r="X1078" s="503"/>
      <c r="Y1078" s="503"/>
      <c r="Z1078" s="503"/>
      <c r="AA1078" s="503"/>
      <c r="AC1078" s="248"/>
      <c r="AD1078" s="528"/>
      <c r="AE1078" s="248"/>
      <c r="AF1078" s="248"/>
    </row>
    <row r="1079" spans="4:32" x14ac:dyDescent="0.3">
      <c r="D1079" s="514"/>
      <c r="E1079" s="514"/>
      <c r="H1079" s="544"/>
      <c r="I1079" s="514"/>
      <c r="J1079" s="248"/>
      <c r="K1079" s="248"/>
      <c r="L1079" s="514"/>
      <c r="M1079" s="248"/>
      <c r="N1079" s="528"/>
      <c r="O1079" s="248"/>
      <c r="P1079" s="248"/>
      <c r="Q1079" s="248"/>
      <c r="R1079" s="248"/>
      <c r="S1079" s="248"/>
      <c r="T1079" s="248"/>
      <c r="U1079" s="248"/>
      <c r="V1079" s="503"/>
      <c r="W1079" s="503"/>
      <c r="X1079" s="503"/>
      <c r="Y1079" s="503"/>
      <c r="Z1079" s="503"/>
      <c r="AA1079" s="503"/>
      <c r="AC1079" s="248"/>
      <c r="AD1079" s="528"/>
      <c r="AE1079" s="248"/>
      <c r="AF1079" s="248"/>
    </row>
    <row r="1080" spans="4:32" x14ac:dyDescent="0.3">
      <c r="D1080" s="514"/>
      <c r="E1080" s="514"/>
      <c r="H1080" s="544"/>
      <c r="I1080" s="514"/>
      <c r="J1080" s="248"/>
      <c r="K1080" s="248"/>
      <c r="L1080" s="514"/>
      <c r="M1080" s="248"/>
      <c r="N1080" s="528"/>
      <c r="O1080" s="248"/>
      <c r="P1080" s="248"/>
      <c r="Q1080" s="248"/>
      <c r="R1080" s="248"/>
      <c r="S1080" s="248"/>
      <c r="T1080" s="248"/>
      <c r="U1080" s="248"/>
      <c r="V1080" s="503"/>
      <c r="W1080" s="503"/>
      <c r="X1080" s="503"/>
      <c r="Y1080" s="503"/>
      <c r="Z1080" s="503"/>
      <c r="AA1080" s="503"/>
      <c r="AC1080" s="248"/>
      <c r="AD1080" s="528"/>
      <c r="AE1080" s="248"/>
      <c r="AF1080" s="248"/>
    </row>
    <row r="1081" spans="4:32" x14ac:dyDescent="0.3">
      <c r="D1081" s="514"/>
      <c r="E1081" s="514"/>
      <c r="H1081" s="544"/>
      <c r="I1081" s="514"/>
      <c r="J1081" s="248"/>
      <c r="K1081" s="248"/>
      <c r="L1081" s="514"/>
      <c r="M1081" s="248"/>
      <c r="N1081" s="528"/>
      <c r="O1081" s="248"/>
      <c r="P1081" s="248"/>
      <c r="Q1081" s="248"/>
      <c r="R1081" s="248"/>
      <c r="S1081" s="248"/>
      <c r="T1081" s="248"/>
      <c r="U1081" s="248"/>
      <c r="V1081" s="503"/>
      <c r="W1081" s="503"/>
      <c r="X1081" s="503"/>
      <c r="Y1081" s="503"/>
      <c r="Z1081" s="503"/>
      <c r="AA1081" s="503"/>
      <c r="AC1081" s="248"/>
      <c r="AD1081" s="528"/>
      <c r="AE1081" s="248"/>
      <c r="AF1081" s="248"/>
    </row>
    <row r="1082" spans="4:32" x14ac:dyDescent="0.3">
      <c r="D1082" s="514"/>
      <c r="E1082" s="514"/>
      <c r="H1082" s="544"/>
      <c r="I1082" s="514"/>
      <c r="J1082" s="248"/>
      <c r="K1082" s="248"/>
      <c r="L1082" s="514"/>
      <c r="M1082" s="248"/>
      <c r="N1082" s="528"/>
      <c r="O1082" s="248"/>
      <c r="P1082" s="248"/>
      <c r="Q1082" s="248"/>
      <c r="R1082" s="248"/>
      <c r="S1082" s="248"/>
      <c r="T1082" s="248"/>
      <c r="U1082" s="248"/>
      <c r="V1082" s="503"/>
      <c r="W1082" s="503"/>
      <c r="X1082" s="503"/>
      <c r="Y1082" s="503"/>
      <c r="Z1082" s="503"/>
      <c r="AA1082" s="503"/>
      <c r="AC1082" s="248"/>
      <c r="AD1082" s="528"/>
      <c r="AE1082" s="248"/>
      <c r="AF1082" s="248"/>
    </row>
    <row r="1083" spans="4:32" x14ac:dyDescent="0.3">
      <c r="D1083" s="514"/>
      <c r="E1083" s="514"/>
      <c r="H1083" s="544"/>
      <c r="I1083" s="514"/>
      <c r="J1083" s="248"/>
      <c r="K1083" s="248"/>
      <c r="L1083" s="514"/>
      <c r="M1083" s="248"/>
      <c r="N1083" s="528"/>
      <c r="O1083" s="248"/>
      <c r="P1083" s="248"/>
      <c r="Q1083" s="248"/>
      <c r="R1083" s="248"/>
      <c r="S1083" s="248"/>
      <c r="T1083" s="248"/>
      <c r="U1083" s="248"/>
      <c r="V1083" s="503"/>
      <c r="W1083" s="503"/>
      <c r="X1083" s="503"/>
      <c r="Y1083" s="503"/>
      <c r="Z1083" s="503"/>
      <c r="AA1083" s="503"/>
      <c r="AC1083" s="248"/>
      <c r="AD1083" s="528"/>
      <c r="AE1083" s="248"/>
      <c r="AF1083" s="248"/>
    </row>
    <row r="1084" spans="4:32" x14ac:dyDescent="0.3">
      <c r="D1084" s="514"/>
      <c r="E1084" s="514"/>
      <c r="H1084" s="544"/>
      <c r="I1084" s="514"/>
      <c r="J1084" s="248"/>
      <c r="K1084" s="248"/>
      <c r="L1084" s="514"/>
      <c r="M1084" s="248"/>
      <c r="N1084" s="528"/>
      <c r="O1084" s="248"/>
      <c r="P1084" s="248"/>
      <c r="Q1084" s="248"/>
      <c r="R1084" s="248"/>
      <c r="S1084" s="248"/>
      <c r="T1084" s="248"/>
      <c r="U1084" s="248"/>
      <c r="V1084" s="503"/>
      <c r="W1084" s="503"/>
      <c r="X1084" s="503"/>
      <c r="Y1084" s="503"/>
      <c r="Z1084" s="503"/>
      <c r="AA1084" s="503"/>
      <c r="AC1084" s="248"/>
      <c r="AD1084" s="528"/>
      <c r="AE1084" s="248"/>
      <c r="AF1084" s="248"/>
    </row>
    <row r="1085" spans="4:32" x14ac:dyDescent="0.3">
      <c r="D1085" s="514"/>
      <c r="E1085" s="514"/>
      <c r="H1085" s="544"/>
      <c r="I1085" s="514"/>
      <c r="J1085" s="248"/>
      <c r="K1085" s="248"/>
      <c r="L1085" s="514"/>
      <c r="M1085" s="248"/>
      <c r="N1085" s="528"/>
      <c r="O1085" s="248"/>
      <c r="P1085" s="248"/>
      <c r="Q1085" s="248"/>
      <c r="R1085" s="248"/>
      <c r="S1085" s="248"/>
      <c r="T1085" s="248"/>
      <c r="U1085" s="248"/>
      <c r="V1085" s="503"/>
      <c r="W1085" s="503"/>
      <c r="X1085" s="503"/>
      <c r="Y1085" s="503"/>
      <c r="Z1085" s="503"/>
      <c r="AA1085" s="503"/>
      <c r="AC1085" s="248"/>
      <c r="AD1085" s="528"/>
      <c r="AE1085" s="248"/>
      <c r="AF1085" s="248"/>
    </row>
    <row r="1086" spans="4:32" x14ac:dyDescent="0.3">
      <c r="D1086" s="514"/>
      <c r="E1086" s="514"/>
      <c r="H1086" s="544"/>
      <c r="I1086" s="514"/>
      <c r="J1086" s="248"/>
      <c r="K1086" s="248"/>
      <c r="L1086" s="514"/>
      <c r="M1086" s="248"/>
      <c r="N1086" s="528"/>
      <c r="O1086" s="248"/>
      <c r="P1086" s="248"/>
      <c r="Q1086" s="248"/>
      <c r="R1086" s="248"/>
      <c r="S1086" s="248"/>
      <c r="T1086" s="248"/>
      <c r="U1086" s="248"/>
      <c r="V1086" s="503"/>
      <c r="W1086" s="503"/>
      <c r="X1086" s="503"/>
      <c r="Y1086" s="503"/>
      <c r="Z1086" s="503"/>
      <c r="AA1086" s="503"/>
      <c r="AC1086" s="248"/>
      <c r="AD1086" s="528"/>
      <c r="AE1086" s="248"/>
      <c r="AF1086" s="248"/>
    </row>
    <row r="1087" spans="4:32" x14ac:dyDescent="0.3">
      <c r="D1087" s="514"/>
      <c r="E1087" s="514"/>
      <c r="H1087" s="544"/>
      <c r="I1087" s="514"/>
      <c r="J1087" s="248"/>
      <c r="K1087" s="248"/>
      <c r="L1087" s="514"/>
      <c r="M1087" s="248"/>
      <c r="N1087" s="528"/>
      <c r="O1087" s="248"/>
      <c r="P1087" s="248"/>
      <c r="Q1087" s="248"/>
      <c r="R1087" s="248"/>
      <c r="S1087" s="248"/>
      <c r="T1087" s="248"/>
      <c r="U1087" s="248"/>
      <c r="V1087" s="503"/>
      <c r="W1087" s="503"/>
      <c r="X1087" s="503"/>
      <c r="Y1087" s="503"/>
      <c r="Z1087" s="503"/>
      <c r="AA1087" s="503"/>
      <c r="AC1087" s="248"/>
      <c r="AD1087" s="528"/>
      <c r="AE1087" s="248"/>
      <c r="AF1087" s="248"/>
    </row>
    <row r="1088" spans="4:32" x14ac:dyDescent="0.3">
      <c r="D1088" s="514"/>
      <c r="E1088" s="514"/>
      <c r="H1088" s="544"/>
      <c r="I1088" s="514"/>
      <c r="J1088" s="248"/>
      <c r="K1088" s="248"/>
      <c r="L1088" s="514"/>
      <c r="M1088" s="248"/>
      <c r="N1088" s="528"/>
      <c r="O1088" s="248"/>
      <c r="P1088" s="248"/>
      <c r="Q1088" s="248"/>
      <c r="R1088" s="248"/>
      <c r="S1088" s="248"/>
      <c r="T1088" s="248"/>
      <c r="U1088" s="248"/>
      <c r="V1088" s="503"/>
      <c r="W1088" s="503"/>
      <c r="X1088" s="503"/>
      <c r="Y1088" s="503"/>
      <c r="Z1088" s="503"/>
      <c r="AA1088" s="503"/>
      <c r="AC1088" s="248"/>
      <c r="AD1088" s="528"/>
      <c r="AE1088" s="248"/>
      <c r="AF1088" s="248"/>
    </row>
    <row r="1089" spans="4:32" x14ac:dyDescent="0.3">
      <c r="D1089" s="514"/>
      <c r="E1089" s="514"/>
      <c r="H1089" s="544"/>
      <c r="I1089" s="514"/>
      <c r="J1089" s="248"/>
      <c r="K1089" s="248"/>
      <c r="L1089" s="514"/>
      <c r="M1089" s="248"/>
      <c r="N1089" s="528"/>
      <c r="O1089" s="248"/>
      <c r="P1089" s="248"/>
      <c r="Q1089" s="248"/>
      <c r="R1089" s="248"/>
      <c r="S1089" s="248"/>
      <c r="T1089" s="248"/>
      <c r="U1089" s="248"/>
      <c r="V1089" s="503"/>
      <c r="W1089" s="503"/>
      <c r="X1089" s="503"/>
      <c r="Y1089" s="503"/>
      <c r="Z1089" s="503"/>
      <c r="AA1089" s="503"/>
      <c r="AC1089" s="248"/>
      <c r="AD1089" s="528"/>
      <c r="AE1089" s="248"/>
      <c r="AF1089" s="248"/>
    </row>
    <row r="1090" spans="4:32" x14ac:dyDescent="0.3">
      <c r="D1090" s="514"/>
      <c r="E1090" s="514"/>
      <c r="H1090" s="544"/>
      <c r="I1090" s="514"/>
      <c r="J1090" s="248"/>
      <c r="K1090" s="248"/>
      <c r="L1090" s="514"/>
      <c r="M1090" s="248"/>
      <c r="N1090" s="528"/>
      <c r="O1090" s="248"/>
      <c r="P1090" s="248"/>
      <c r="Q1090" s="248"/>
      <c r="R1090" s="248"/>
      <c r="S1090" s="248"/>
      <c r="T1090" s="248"/>
      <c r="U1090" s="248"/>
      <c r="V1090" s="503"/>
      <c r="W1090" s="503"/>
      <c r="X1090" s="503"/>
      <c r="Y1090" s="503"/>
      <c r="Z1090" s="503"/>
      <c r="AA1090" s="503"/>
      <c r="AC1090" s="248"/>
      <c r="AD1090" s="528"/>
      <c r="AE1090" s="248"/>
      <c r="AF1090" s="248"/>
    </row>
    <row r="1091" spans="4:32" x14ac:dyDescent="0.3">
      <c r="D1091" s="514"/>
      <c r="E1091" s="514"/>
      <c r="H1091" s="544"/>
      <c r="I1091" s="514"/>
      <c r="J1091" s="248"/>
      <c r="K1091" s="248"/>
      <c r="L1091" s="514"/>
      <c r="M1091" s="248"/>
      <c r="N1091" s="528"/>
      <c r="O1091" s="248"/>
      <c r="P1091" s="248"/>
      <c r="Q1091" s="248"/>
      <c r="R1091" s="248"/>
      <c r="S1091" s="248"/>
      <c r="T1091" s="248"/>
      <c r="U1091" s="248"/>
      <c r="V1091" s="503"/>
      <c r="W1091" s="503"/>
      <c r="X1091" s="503"/>
      <c r="Y1091" s="503"/>
      <c r="Z1091" s="503"/>
      <c r="AA1091" s="503"/>
      <c r="AC1091" s="248"/>
      <c r="AD1091" s="528"/>
      <c r="AE1091" s="248"/>
      <c r="AF1091" s="248"/>
    </row>
    <row r="1092" spans="4:32" x14ac:dyDescent="0.3">
      <c r="D1092" s="514"/>
      <c r="E1092" s="514"/>
      <c r="H1092" s="544"/>
      <c r="I1092" s="514"/>
      <c r="J1092" s="248"/>
      <c r="K1092" s="248"/>
      <c r="L1092" s="514"/>
      <c r="M1092" s="248"/>
      <c r="N1092" s="528"/>
      <c r="O1092" s="248"/>
      <c r="P1092" s="248"/>
      <c r="Q1092" s="248"/>
      <c r="R1092" s="248"/>
      <c r="S1092" s="248"/>
      <c r="T1092" s="248"/>
      <c r="U1092" s="248"/>
      <c r="V1092" s="503"/>
      <c r="W1092" s="503"/>
      <c r="X1092" s="503"/>
      <c r="Y1092" s="503"/>
      <c r="Z1092" s="503"/>
      <c r="AA1092" s="503"/>
      <c r="AC1092" s="248"/>
      <c r="AD1092" s="528"/>
      <c r="AE1092" s="248"/>
      <c r="AF1092" s="248"/>
    </row>
    <row r="1093" spans="4:32" x14ac:dyDescent="0.3">
      <c r="D1093" s="514"/>
      <c r="E1093" s="514"/>
      <c r="H1093" s="544"/>
      <c r="I1093" s="514"/>
      <c r="J1093" s="248"/>
      <c r="K1093" s="248"/>
      <c r="L1093" s="514"/>
      <c r="M1093" s="248"/>
      <c r="N1093" s="528"/>
      <c r="O1093" s="248"/>
      <c r="P1093" s="248"/>
      <c r="Q1093" s="248"/>
      <c r="R1093" s="248"/>
      <c r="S1093" s="248"/>
      <c r="T1093" s="248"/>
      <c r="U1093" s="248"/>
      <c r="V1093" s="503"/>
      <c r="W1093" s="503"/>
      <c r="X1093" s="503"/>
      <c r="Y1093" s="503"/>
      <c r="Z1093" s="503"/>
      <c r="AA1093" s="503"/>
      <c r="AC1093" s="248"/>
      <c r="AD1093" s="528"/>
      <c r="AE1093" s="248"/>
      <c r="AF1093" s="248"/>
    </row>
    <row r="1094" spans="4:32" x14ac:dyDescent="0.3">
      <c r="D1094" s="514"/>
      <c r="E1094" s="514"/>
      <c r="H1094" s="544"/>
      <c r="I1094" s="514"/>
      <c r="J1094" s="248"/>
      <c r="K1094" s="248"/>
      <c r="L1094" s="514"/>
      <c r="M1094" s="248"/>
      <c r="N1094" s="528"/>
      <c r="O1094" s="248"/>
      <c r="P1094" s="248"/>
      <c r="Q1094" s="248"/>
      <c r="R1094" s="248"/>
      <c r="S1094" s="248"/>
      <c r="T1094" s="248"/>
      <c r="U1094" s="248"/>
      <c r="V1094" s="503"/>
      <c r="W1094" s="503"/>
      <c r="X1094" s="503"/>
      <c r="Y1094" s="503"/>
      <c r="Z1094" s="503"/>
      <c r="AA1094" s="503"/>
      <c r="AC1094" s="248"/>
      <c r="AD1094" s="528"/>
      <c r="AE1094" s="248"/>
      <c r="AF1094" s="248"/>
    </row>
    <row r="1095" spans="4:32" x14ac:dyDescent="0.3">
      <c r="D1095" s="514"/>
      <c r="E1095" s="514"/>
      <c r="H1095" s="544"/>
      <c r="I1095" s="514"/>
      <c r="J1095" s="248"/>
      <c r="K1095" s="248"/>
      <c r="L1095" s="514"/>
      <c r="M1095" s="248"/>
      <c r="N1095" s="528"/>
      <c r="O1095" s="248"/>
      <c r="P1095" s="248"/>
      <c r="Q1095" s="248"/>
      <c r="R1095" s="248"/>
      <c r="S1095" s="248"/>
      <c r="T1095" s="248"/>
      <c r="U1095" s="248"/>
      <c r="V1095" s="503"/>
      <c r="W1095" s="503"/>
      <c r="X1095" s="503"/>
      <c r="Y1095" s="503"/>
      <c r="Z1095" s="503"/>
      <c r="AA1095" s="503"/>
      <c r="AC1095" s="248"/>
      <c r="AD1095" s="528"/>
      <c r="AE1095" s="248"/>
      <c r="AF1095" s="248"/>
    </row>
    <row r="1096" spans="4:32" x14ac:dyDescent="0.3">
      <c r="D1096" s="514"/>
      <c r="E1096" s="514"/>
      <c r="H1096" s="544"/>
      <c r="I1096" s="514"/>
      <c r="J1096" s="248"/>
      <c r="K1096" s="248"/>
      <c r="L1096" s="514"/>
      <c r="M1096" s="248"/>
      <c r="N1096" s="528"/>
      <c r="O1096" s="248"/>
      <c r="P1096" s="248"/>
      <c r="Q1096" s="248"/>
      <c r="R1096" s="248"/>
      <c r="S1096" s="248"/>
      <c r="T1096" s="248"/>
      <c r="U1096" s="248"/>
      <c r="V1096" s="503"/>
      <c r="W1096" s="503"/>
      <c r="X1096" s="503"/>
      <c r="Y1096" s="503"/>
      <c r="Z1096" s="503"/>
      <c r="AA1096" s="503"/>
      <c r="AC1096" s="248"/>
      <c r="AD1096" s="528"/>
      <c r="AE1096" s="248"/>
      <c r="AF1096" s="248"/>
    </row>
    <row r="1097" spans="4:32" x14ac:dyDescent="0.3">
      <c r="D1097" s="514"/>
      <c r="E1097" s="514"/>
      <c r="H1097" s="544"/>
      <c r="I1097" s="514"/>
      <c r="J1097" s="248"/>
      <c r="K1097" s="248"/>
      <c r="L1097" s="514"/>
      <c r="M1097" s="248"/>
      <c r="N1097" s="528"/>
      <c r="O1097" s="248"/>
      <c r="P1097" s="248"/>
      <c r="Q1097" s="248"/>
      <c r="R1097" s="248"/>
      <c r="S1097" s="248"/>
      <c r="T1097" s="248"/>
      <c r="U1097" s="248"/>
      <c r="V1097" s="503"/>
      <c r="W1097" s="503"/>
      <c r="X1097" s="503"/>
      <c r="Y1097" s="503"/>
      <c r="Z1097" s="503"/>
      <c r="AA1097" s="503"/>
      <c r="AC1097" s="248"/>
      <c r="AD1097" s="528"/>
      <c r="AE1097" s="248"/>
      <c r="AF1097" s="248"/>
    </row>
    <row r="1098" spans="4:32" x14ac:dyDescent="0.3">
      <c r="D1098" s="514"/>
      <c r="E1098" s="514"/>
      <c r="H1098" s="544"/>
      <c r="I1098" s="514"/>
      <c r="J1098" s="248"/>
      <c r="K1098" s="248"/>
      <c r="L1098" s="514"/>
      <c r="M1098" s="248"/>
      <c r="N1098" s="528"/>
      <c r="O1098" s="248"/>
      <c r="P1098" s="248"/>
      <c r="Q1098" s="248"/>
      <c r="R1098" s="248"/>
      <c r="S1098" s="248"/>
      <c r="T1098" s="248"/>
      <c r="U1098" s="248"/>
      <c r="V1098" s="503"/>
      <c r="W1098" s="503"/>
      <c r="X1098" s="503"/>
      <c r="Y1098" s="503"/>
      <c r="Z1098" s="503"/>
      <c r="AA1098" s="503"/>
      <c r="AC1098" s="248"/>
      <c r="AD1098" s="528"/>
      <c r="AE1098" s="248"/>
      <c r="AF1098" s="248"/>
    </row>
    <row r="1099" spans="4:32" x14ac:dyDescent="0.3">
      <c r="D1099" s="514"/>
      <c r="E1099" s="514"/>
      <c r="H1099" s="544"/>
      <c r="I1099" s="514"/>
      <c r="J1099" s="248"/>
      <c r="K1099" s="248"/>
      <c r="L1099" s="514"/>
      <c r="M1099" s="248"/>
      <c r="N1099" s="528"/>
      <c r="O1099" s="248"/>
      <c r="P1099" s="248"/>
      <c r="Q1099" s="248"/>
      <c r="R1099" s="248"/>
      <c r="S1099" s="248"/>
      <c r="T1099" s="248"/>
      <c r="U1099" s="248"/>
      <c r="V1099" s="503"/>
      <c r="W1099" s="503"/>
      <c r="X1099" s="503"/>
      <c r="Y1099" s="503"/>
      <c r="Z1099" s="503"/>
      <c r="AA1099" s="503"/>
      <c r="AC1099" s="248"/>
      <c r="AD1099" s="528"/>
      <c r="AE1099" s="248"/>
      <c r="AF1099" s="248"/>
    </row>
    <row r="1100" spans="4:32" x14ac:dyDescent="0.3">
      <c r="D1100" s="514"/>
      <c r="E1100" s="514"/>
      <c r="H1100" s="544"/>
      <c r="I1100" s="514"/>
      <c r="J1100" s="248"/>
      <c r="K1100" s="248"/>
      <c r="L1100" s="514"/>
      <c r="M1100" s="248"/>
      <c r="N1100" s="528"/>
      <c r="O1100" s="248"/>
      <c r="P1100" s="248"/>
      <c r="Q1100" s="248"/>
      <c r="R1100" s="248"/>
      <c r="S1100" s="248"/>
      <c r="T1100" s="248"/>
      <c r="U1100" s="248"/>
      <c r="V1100" s="503"/>
      <c r="W1100" s="503"/>
      <c r="X1100" s="503"/>
      <c r="Y1100" s="503"/>
      <c r="Z1100" s="503"/>
      <c r="AA1100" s="503"/>
      <c r="AC1100" s="248"/>
      <c r="AD1100" s="528"/>
      <c r="AE1100" s="248"/>
      <c r="AF1100" s="248"/>
    </row>
    <row r="1101" spans="4:32" x14ac:dyDescent="0.3">
      <c r="D1101" s="514"/>
      <c r="E1101" s="514"/>
      <c r="H1101" s="544"/>
      <c r="I1101" s="514"/>
      <c r="J1101" s="248"/>
      <c r="K1101" s="248"/>
      <c r="L1101" s="514"/>
      <c r="M1101" s="248"/>
      <c r="N1101" s="528"/>
      <c r="O1101" s="248"/>
      <c r="P1101" s="248"/>
      <c r="Q1101" s="248"/>
      <c r="R1101" s="248"/>
      <c r="S1101" s="248"/>
      <c r="T1101" s="248"/>
      <c r="U1101" s="248"/>
      <c r="V1101" s="503"/>
      <c r="W1101" s="503"/>
      <c r="X1101" s="503"/>
      <c r="Y1101" s="503"/>
      <c r="Z1101" s="503"/>
      <c r="AA1101" s="503"/>
      <c r="AC1101" s="248"/>
      <c r="AD1101" s="528"/>
      <c r="AE1101" s="248"/>
      <c r="AF1101" s="248"/>
    </row>
    <row r="1102" spans="4:32" x14ac:dyDescent="0.3">
      <c r="D1102" s="514"/>
      <c r="E1102" s="514"/>
      <c r="H1102" s="544"/>
      <c r="I1102" s="514"/>
      <c r="J1102" s="248"/>
      <c r="K1102" s="248"/>
      <c r="L1102" s="514"/>
      <c r="M1102" s="248"/>
      <c r="N1102" s="528"/>
      <c r="O1102" s="248"/>
      <c r="P1102" s="248"/>
      <c r="Q1102" s="248"/>
      <c r="R1102" s="248"/>
      <c r="S1102" s="248"/>
      <c r="T1102" s="248"/>
      <c r="U1102" s="248"/>
      <c r="V1102" s="503"/>
      <c r="W1102" s="503"/>
      <c r="X1102" s="503"/>
      <c r="Y1102" s="503"/>
      <c r="Z1102" s="503"/>
      <c r="AA1102" s="503"/>
      <c r="AC1102" s="248"/>
      <c r="AD1102" s="528"/>
      <c r="AE1102" s="248"/>
      <c r="AF1102" s="248"/>
    </row>
    <row r="1103" spans="4:32" x14ac:dyDescent="0.3">
      <c r="D1103" s="514"/>
      <c r="E1103" s="514"/>
      <c r="H1103" s="544"/>
      <c r="I1103" s="514"/>
      <c r="J1103" s="248"/>
      <c r="K1103" s="248"/>
      <c r="L1103" s="514"/>
      <c r="M1103" s="248"/>
      <c r="N1103" s="528"/>
      <c r="O1103" s="248"/>
      <c r="P1103" s="248"/>
      <c r="Q1103" s="248"/>
      <c r="R1103" s="248"/>
      <c r="S1103" s="248"/>
      <c r="T1103" s="248"/>
      <c r="U1103" s="248"/>
      <c r="V1103" s="503"/>
      <c r="W1103" s="503"/>
      <c r="X1103" s="503"/>
      <c r="Y1103" s="503"/>
      <c r="Z1103" s="503"/>
      <c r="AA1103" s="503"/>
      <c r="AC1103" s="248"/>
      <c r="AD1103" s="528"/>
      <c r="AE1103" s="248"/>
      <c r="AF1103" s="248"/>
    </row>
    <row r="1104" spans="4:32" x14ac:dyDescent="0.3">
      <c r="D1104" s="514"/>
      <c r="E1104" s="514"/>
      <c r="H1104" s="544"/>
      <c r="I1104" s="514"/>
      <c r="J1104" s="248"/>
      <c r="K1104" s="248"/>
      <c r="L1104" s="514"/>
      <c r="M1104" s="248"/>
      <c r="N1104" s="528"/>
      <c r="O1104" s="248"/>
      <c r="P1104" s="248"/>
      <c r="Q1104" s="248"/>
      <c r="R1104" s="248"/>
      <c r="S1104" s="248"/>
      <c r="T1104" s="248"/>
      <c r="U1104" s="248"/>
      <c r="V1104" s="503"/>
      <c r="W1104" s="503"/>
      <c r="X1104" s="503"/>
      <c r="Y1104" s="503"/>
      <c r="Z1104" s="503"/>
      <c r="AA1104" s="503"/>
      <c r="AC1104" s="248"/>
      <c r="AD1104" s="528"/>
      <c r="AE1104" s="248"/>
      <c r="AF1104" s="248"/>
    </row>
    <row r="1105" spans="4:32" x14ac:dyDescent="0.3">
      <c r="D1105" s="514"/>
      <c r="E1105" s="514"/>
      <c r="H1105" s="544"/>
      <c r="I1105" s="514"/>
      <c r="J1105" s="248"/>
      <c r="K1105" s="248"/>
      <c r="L1105" s="514"/>
      <c r="M1105" s="248"/>
      <c r="N1105" s="528"/>
      <c r="O1105" s="248"/>
      <c r="P1105" s="248"/>
      <c r="Q1105" s="248"/>
      <c r="R1105" s="248"/>
      <c r="S1105" s="248"/>
      <c r="T1105" s="248"/>
      <c r="U1105" s="248"/>
      <c r="V1105" s="503"/>
      <c r="W1105" s="503"/>
      <c r="X1105" s="503"/>
      <c r="Y1105" s="503"/>
      <c r="Z1105" s="503"/>
      <c r="AA1105" s="503"/>
      <c r="AC1105" s="248"/>
      <c r="AD1105" s="528"/>
      <c r="AE1105" s="248"/>
      <c r="AF1105" s="248"/>
    </row>
    <row r="1106" spans="4:32" x14ac:dyDescent="0.3">
      <c r="D1106" s="514"/>
      <c r="E1106" s="514"/>
      <c r="H1106" s="544"/>
      <c r="I1106" s="514"/>
      <c r="J1106" s="248"/>
      <c r="K1106" s="248"/>
      <c r="L1106" s="514"/>
      <c r="M1106" s="248"/>
      <c r="N1106" s="528"/>
      <c r="O1106" s="248"/>
      <c r="P1106" s="248"/>
      <c r="Q1106" s="248"/>
      <c r="R1106" s="248"/>
      <c r="S1106" s="248"/>
      <c r="T1106" s="248"/>
      <c r="U1106" s="248"/>
      <c r="V1106" s="503"/>
      <c r="W1106" s="503"/>
      <c r="X1106" s="503"/>
      <c r="Y1106" s="503"/>
      <c r="Z1106" s="503"/>
      <c r="AA1106" s="503"/>
      <c r="AC1106" s="248"/>
      <c r="AD1106" s="528"/>
      <c r="AE1106" s="248"/>
      <c r="AF1106" s="248"/>
    </row>
    <row r="1107" spans="4:32" x14ac:dyDescent="0.3">
      <c r="D1107" s="514"/>
      <c r="E1107" s="514"/>
      <c r="H1107" s="544"/>
      <c r="I1107" s="514"/>
      <c r="J1107" s="248"/>
      <c r="K1107" s="248"/>
      <c r="L1107" s="514"/>
      <c r="M1107" s="248"/>
      <c r="N1107" s="528"/>
      <c r="O1107" s="248"/>
      <c r="P1107" s="248"/>
      <c r="Q1107" s="248"/>
      <c r="R1107" s="248"/>
      <c r="S1107" s="248"/>
      <c r="T1107" s="248"/>
      <c r="U1107" s="248"/>
      <c r="V1107" s="503"/>
      <c r="W1107" s="503"/>
      <c r="X1107" s="503"/>
      <c r="Y1107" s="503"/>
      <c r="Z1107" s="503"/>
      <c r="AA1107" s="503"/>
      <c r="AC1107" s="248"/>
      <c r="AD1107" s="528"/>
      <c r="AE1107" s="248"/>
      <c r="AF1107" s="248"/>
    </row>
    <row r="1108" spans="4:32" x14ac:dyDescent="0.3">
      <c r="D1108" s="514"/>
      <c r="E1108" s="514"/>
      <c r="H1108" s="544"/>
      <c r="I1108" s="514"/>
      <c r="J1108" s="248"/>
      <c r="K1108" s="248"/>
      <c r="L1108" s="514"/>
      <c r="M1108" s="248"/>
      <c r="N1108" s="248"/>
      <c r="O1108" s="248"/>
      <c r="P1108" s="248"/>
      <c r="Q1108" s="248"/>
      <c r="R1108" s="248"/>
      <c r="S1108" s="248"/>
      <c r="T1108" s="248"/>
      <c r="U1108" s="248"/>
      <c r="V1108" s="248"/>
      <c r="W1108" s="525"/>
      <c r="X1108" s="503"/>
      <c r="Y1108" s="248"/>
      <c r="Z1108" s="248"/>
      <c r="AA1108" s="248"/>
      <c r="AC1108" s="248"/>
      <c r="AD1108" s="248"/>
      <c r="AE1108" s="248"/>
      <c r="AF1108" s="248"/>
    </row>
    <row r="1109" spans="4:32" x14ac:dyDescent="0.3">
      <c r="D1109" s="514"/>
      <c r="E1109" s="514"/>
      <c r="H1109" s="544"/>
      <c r="I1109" s="514"/>
      <c r="J1109" s="248"/>
      <c r="K1109" s="248"/>
      <c r="L1109" s="514"/>
      <c r="M1109" s="248"/>
      <c r="N1109" s="248"/>
      <c r="O1109" s="248"/>
      <c r="P1109" s="248"/>
      <c r="Q1109" s="248"/>
      <c r="R1109" s="248"/>
      <c r="S1109" s="248"/>
      <c r="T1109" s="248"/>
      <c r="U1109" s="248"/>
      <c r="V1109" s="248"/>
      <c r="W1109" s="525"/>
      <c r="X1109" s="503"/>
      <c r="Y1109" s="248"/>
      <c r="Z1109" s="248"/>
      <c r="AA1109" s="248"/>
      <c r="AC1109" s="248"/>
      <c r="AD1109" s="248"/>
      <c r="AE1109" s="248"/>
      <c r="AF1109" s="248"/>
    </row>
    <row r="1110" spans="4:32" x14ac:dyDescent="0.3">
      <c r="D1110" s="514"/>
      <c r="E1110" s="514"/>
      <c r="H1110" s="544"/>
      <c r="I1110" s="514"/>
      <c r="J1110" s="248"/>
      <c r="K1110" s="248"/>
      <c r="L1110" s="514"/>
      <c r="M1110" s="248"/>
      <c r="N1110" s="248"/>
      <c r="O1110" s="248"/>
      <c r="P1110" s="248"/>
      <c r="Q1110" s="248"/>
      <c r="R1110" s="248"/>
      <c r="S1110" s="248"/>
      <c r="T1110" s="248"/>
      <c r="U1110" s="248"/>
      <c r="V1110" s="248"/>
      <c r="W1110" s="525"/>
      <c r="X1110" s="503"/>
      <c r="Y1110" s="248"/>
      <c r="Z1110" s="248"/>
      <c r="AA1110" s="248"/>
      <c r="AC1110" s="248"/>
      <c r="AD1110" s="248"/>
      <c r="AE1110" s="248"/>
      <c r="AF1110" s="248"/>
    </row>
    <row r="1111" spans="4:32" x14ac:dyDescent="0.3">
      <c r="D1111" s="514"/>
      <c r="E1111" s="514"/>
      <c r="H1111" s="544"/>
      <c r="I1111" s="514"/>
      <c r="J1111" s="248"/>
      <c r="K1111" s="248"/>
      <c r="L1111" s="514"/>
      <c r="M1111" s="248"/>
      <c r="N1111" s="248"/>
      <c r="O1111" s="248"/>
      <c r="P1111" s="248"/>
      <c r="Q1111" s="248"/>
      <c r="R1111" s="248"/>
      <c r="S1111" s="248"/>
      <c r="T1111" s="248"/>
      <c r="U1111" s="248"/>
      <c r="V1111" s="248"/>
      <c r="W1111" s="525"/>
      <c r="X1111" s="503"/>
      <c r="Y1111" s="248"/>
      <c r="Z1111" s="248"/>
      <c r="AA1111" s="248"/>
      <c r="AC1111" s="248"/>
      <c r="AD1111" s="248"/>
      <c r="AE1111" s="248"/>
      <c r="AF1111" s="248"/>
    </row>
    <row r="1112" spans="4:32" x14ac:dyDescent="0.3">
      <c r="D1112" s="514"/>
      <c r="E1112" s="514"/>
      <c r="H1112" s="544"/>
      <c r="I1112" s="514"/>
      <c r="J1112" s="248"/>
      <c r="K1112" s="248"/>
      <c r="L1112" s="514"/>
      <c r="M1112" s="248"/>
      <c r="N1112" s="248"/>
      <c r="O1112" s="248"/>
      <c r="P1112" s="248"/>
      <c r="Q1112" s="248"/>
      <c r="R1112" s="248"/>
      <c r="S1112" s="248"/>
      <c r="T1112" s="248"/>
      <c r="U1112" s="248"/>
      <c r="V1112" s="248"/>
      <c r="W1112" s="525"/>
      <c r="X1112" s="503"/>
      <c r="Y1112" s="248"/>
      <c r="Z1112" s="248"/>
      <c r="AA1112" s="248"/>
      <c r="AC1112" s="248"/>
      <c r="AD1112" s="248"/>
      <c r="AE1112" s="248"/>
      <c r="AF1112" s="248"/>
    </row>
    <row r="1113" spans="4:32" x14ac:dyDescent="0.3">
      <c r="D1113" s="514"/>
      <c r="E1113" s="514"/>
      <c r="H1113" s="544"/>
      <c r="I1113" s="514"/>
      <c r="J1113" s="248"/>
      <c r="K1113" s="248"/>
      <c r="L1113" s="514"/>
      <c r="M1113" s="248"/>
      <c r="N1113" s="248"/>
      <c r="O1113" s="248"/>
      <c r="P1113" s="248"/>
      <c r="Q1113" s="248"/>
      <c r="R1113" s="248"/>
      <c r="S1113" s="248"/>
      <c r="T1113" s="248"/>
      <c r="U1113" s="248"/>
      <c r="V1113" s="248"/>
      <c r="W1113" s="525"/>
      <c r="X1113" s="503"/>
      <c r="Y1113" s="248"/>
      <c r="Z1113" s="248"/>
      <c r="AA1113" s="248"/>
      <c r="AC1113" s="248"/>
      <c r="AD1113" s="248"/>
      <c r="AE1113" s="248"/>
      <c r="AF1113" s="248"/>
    </row>
    <row r="1114" spans="4:32" x14ac:dyDescent="0.3">
      <c r="D1114" s="514"/>
      <c r="E1114" s="514"/>
      <c r="H1114" s="544"/>
      <c r="I1114" s="514"/>
      <c r="J1114" s="248"/>
      <c r="K1114" s="248"/>
      <c r="L1114" s="514"/>
      <c r="M1114" s="248"/>
      <c r="N1114" s="248"/>
      <c r="O1114" s="248"/>
      <c r="P1114" s="248"/>
      <c r="Q1114" s="248"/>
      <c r="R1114" s="248"/>
      <c r="S1114" s="248"/>
      <c r="T1114" s="248"/>
      <c r="U1114" s="248"/>
      <c r="V1114" s="248"/>
      <c r="W1114" s="525"/>
      <c r="X1114" s="503"/>
      <c r="Y1114" s="248"/>
      <c r="Z1114" s="248"/>
      <c r="AA1114" s="248"/>
      <c r="AC1114" s="248"/>
      <c r="AD1114" s="248"/>
      <c r="AE1114" s="248"/>
      <c r="AF1114" s="248"/>
    </row>
    <row r="1115" spans="4:32" x14ac:dyDescent="0.3">
      <c r="D1115" s="514"/>
      <c r="E1115" s="514"/>
      <c r="H1115" s="544"/>
      <c r="I1115" s="514"/>
      <c r="J1115" s="248"/>
      <c r="K1115" s="248"/>
      <c r="L1115" s="514"/>
      <c r="M1115" s="248"/>
      <c r="N1115" s="248"/>
      <c r="O1115" s="248"/>
      <c r="P1115" s="248"/>
      <c r="Q1115" s="248"/>
      <c r="R1115" s="248"/>
      <c r="S1115" s="248"/>
      <c r="T1115" s="248"/>
      <c r="U1115" s="248"/>
      <c r="V1115" s="248"/>
      <c r="W1115" s="525"/>
      <c r="X1115" s="503"/>
      <c r="Y1115" s="248"/>
      <c r="Z1115" s="248"/>
      <c r="AA1115" s="248"/>
      <c r="AC1115" s="248"/>
      <c r="AD1115" s="248"/>
      <c r="AE1115" s="248"/>
      <c r="AF1115" s="248"/>
    </row>
    <row r="1116" spans="4:32" x14ac:dyDescent="0.3">
      <c r="D1116" s="514"/>
      <c r="E1116" s="514"/>
      <c r="H1116" s="544"/>
      <c r="I1116" s="514"/>
      <c r="J1116" s="248"/>
      <c r="K1116" s="248"/>
      <c r="L1116" s="514"/>
      <c r="M1116" s="248"/>
      <c r="N1116" s="248"/>
      <c r="O1116" s="248"/>
      <c r="P1116" s="248"/>
      <c r="Q1116" s="248"/>
      <c r="R1116" s="248"/>
      <c r="S1116" s="248"/>
      <c r="T1116" s="248"/>
      <c r="U1116" s="248"/>
      <c r="V1116" s="248"/>
      <c r="W1116" s="525"/>
      <c r="X1116" s="503"/>
      <c r="Y1116" s="248"/>
      <c r="Z1116" s="248"/>
      <c r="AA1116" s="248"/>
      <c r="AC1116" s="248"/>
      <c r="AD1116" s="248"/>
      <c r="AE1116" s="248"/>
      <c r="AF1116" s="248"/>
    </row>
    <row r="1117" spans="4:32" x14ac:dyDescent="0.3">
      <c r="D1117" s="514"/>
      <c r="E1117" s="514"/>
      <c r="H1117" s="544"/>
      <c r="I1117" s="514"/>
      <c r="J1117" s="248"/>
      <c r="K1117" s="248"/>
      <c r="L1117" s="514"/>
      <c r="M1117" s="248"/>
      <c r="N1117" s="248"/>
      <c r="O1117" s="248"/>
      <c r="P1117" s="248"/>
      <c r="Q1117" s="248"/>
      <c r="R1117" s="248"/>
      <c r="S1117" s="248"/>
      <c r="T1117" s="248"/>
      <c r="U1117" s="248"/>
      <c r="V1117" s="248"/>
      <c r="W1117" s="525"/>
      <c r="X1117" s="503"/>
      <c r="Y1117" s="248"/>
      <c r="Z1117" s="248"/>
      <c r="AA1117" s="248"/>
      <c r="AC1117" s="248"/>
      <c r="AD1117" s="248"/>
      <c r="AE1117" s="248"/>
      <c r="AF1117" s="248"/>
    </row>
    <row r="1118" spans="4:32" x14ac:dyDescent="0.3">
      <c r="D1118" s="514"/>
      <c r="E1118" s="514"/>
      <c r="H1118" s="544"/>
      <c r="I1118" s="514"/>
      <c r="J1118" s="248"/>
      <c r="K1118" s="248"/>
      <c r="L1118" s="514"/>
      <c r="M1118" s="248"/>
      <c r="N1118" s="248"/>
      <c r="O1118" s="248"/>
      <c r="P1118" s="248"/>
      <c r="Q1118" s="248"/>
      <c r="R1118" s="248"/>
      <c r="S1118" s="248"/>
      <c r="T1118" s="248"/>
      <c r="U1118" s="248"/>
      <c r="V1118" s="248"/>
      <c r="W1118" s="525"/>
      <c r="X1118" s="503"/>
      <c r="Y1118" s="248"/>
      <c r="Z1118" s="248"/>
      <c r="AA1118" s="248"/>
      <c r="AC1118" s="248"/>
      <c r="AD1118" s="248"/>
      <c r="AE1118" s="248"/>
      <c r="AF1118" s="248"/>
    </row>
    <row r="1119" spans="4:32" x14ac:dyDescent="0.3">
      <c r="D1119" s="514"/>
      <c r="E1119" s="514"/>
      <c r="H1119" s="544"/>
      <c r="I1119" s="514"/>
      <c r="J1119" s="248"/>
      <c r="K1119" s="248"/>
      <c r="L1119" s="514"/>
      <c r="M1119" s="248"/>
      <c r="N1119" s="248"/>
      <c r="O1119" s="248"/>
      <c r="P1119" s="248"/>
      <c r="Q1119" s="248"/>
      <c r="R1119" s="248"/>
      <c r="S1119" s="248"/>
      <c r="T1119" s="248"/>
      <c r="U1119" s="248"/>
      <c r="V1119" s="248"/>
      <c r="W1119" s="525"/>
      <c r="X1119" s="503"/>
      <c r="Y1119" s="248"/>
      <c r="Z1119" s="248"/>
      <c r="AA1119" s="248"/>
      <c r="AC1119" s="248"/>
      <c r="AD1119" s="248"/>
      <c r="AE1119" s="248"/>
      <c r="AF1119" s="248"/>
    </row>
    <row r="1120" spans="4:32" x14ac:dyDescent="0.3">
      <c r="D1120" s="514"/>
      <c r="E1120" s="514"/>
      <c r="H1120" s="544"/>
      <c r="I1120" s="514"/>
      <c r="J1120" s="248"/>
      <c r="K1120" s="248"/>
      <c r="L1120" s="514"/>
      <c r="M1120" s="248"/>
      <c r="N1120" s="248"/>
      <c r="O1120" s="248"/>
      <c r="P1120" s="248"/>
      <c r="Q1120" s="248"/>
      <c r="R1120" s="248"/>
      <c r="S1120" s="248"/>
      <c r="T1120" s="248"/>
      <c r="U1120" s="248"/>
      <c r="V1120" s="248"/>
      <c r="W1120" s="525"/>
      <c r="X1120" s="503"/>
      <c r="Y1120" s="248"/>
      <c r="Z1120" s="248"/>
      <c r="AA1120" s="248"/>
      <c r="AC1120" s="248"/>
      <c r="AD1120" s="248"/>
      <c r="AE1120" s="248"/>
      <c r="AF1120" s="248"/>
    </row>
    <row r="1121" spans="4:32" x14ac:dyDescent="0.3">
      <c r="D1121" s="514"/>
      <c r="E1121" s="514"/>
      <c r="H1121" s="544"/>
      <c r="I1121" s="514"/>
      <c r="J1121" s="248"/>
      <c r="K1121" s="248"/>
      <c r="L1121" s="514"/>
      <c r="M1121" s="248"/>
      <c r="N1121" s="248"/>
      <c r="O1121" s="248"/>
      <c r="P1121" s="248"/>
      <c r="Q1121" s="248"/>
      <c r="R1121" s="248"/>
      <c r="S1121" s="248"/>
      <c r="T1121" s="248"/>
      <c r="U1121" s="248"/>
      <c r="V1121" s="248"/>
      <c r="W1121" s="525"/>
      <c r="X1121" s="503"/>
      <c r="Y1121" s="248"/>
      <c r="Z1121" s="248"/>
      <c r="AA1121" s="248"/>
      <c r="AC1121" s="248"/>
      <c r="AD1121" s="248"/>
      <c r="AE1121" s="248"/>
      <c r="AF1121" s="248"/>
    </row>
    <row r="1122" spans="4:32" x14ac:dyDescent="0.3">
      <c r="D1122" s="514"/>
      <c r="E1122" s="514"/>
      <c r="H1122" s="544"/>
      <c r="I1122" s="514"/>
      <c r="J1122" s="248"/>
      <c r="K1122" s="248"/>
      <c r="L1122" s="514"/>
      <c r="M1122" s="248"/>
      <c r="N1122" s="248"/>
      <c r="O1122" s="248"/>
      <c r="P1122" s="248"/>
      <c r="Q1122" s="248"/>
      <c r="R1122" s="248"/>
      <c r="S1122" s="248"/>
      <c r="T1122" s="248"/>
      <c r="U1122" s="248"/>
      <c r="V1122" s="248"/>
      <c r="W1122" s="525"/>
      <c r="X1122" s="503"/>
      <c r="Y1122" s="248"/>
      <c r="Z1122" s="248"/>
      <c r="AA1122" s="248"/>
      <c r="AC1122" s="248"/>
      <c r="AD1122" s="248"/>
      <c r="AE1122" s="248"/>
      <c r="AF1122" s="248"/>
    </row>
    <row r="1123" spans="4:32" x14ac:dyDescent="0.3">
      <c r="D1123" s="514"/>
      <c r="E1123" s="514"/>
      <c r="H1123" s="544"/>
      <c r="I1123" s="514"/>
      <c r="J1123" s="248"/>
      <c r="K1123" s="248"/>
      <c r="L1123" s="514"/>
      <c r="M1123" s="248"/>
      <c r="N1123" s="248"/>
      <c r="O1123" s="248"/>
      <c r="P1123" s="248"/>
      <c r="Q1123" s="248"/>
      <c r="R1123" s="248"/>
      <c r="S1123" s="248"/>
      <c r="T1123" s="248"/>
      <c r="U1123" s="248"/>
      <c r="V1123" s="248"/>
      <c r="W1123" s="525"/>
      <c r="X1123" s="503"/>
      <c r="Y1123" s="248"/>
      <c r="Z1123" s="248"/>
      <c r="AA1123" s="248"/>
      <c r="AC1123" s="248"/>
      <c r="AD1123" s="248"/>
      <c r="AE1123" s="248"/>
      <c r="AF1123" s="248"/>
    </row>
    <row r="1124" spans="4:32" x14ac:dyDescent="0.3">
      <c r="D1124" s="514"/>
      <c r="E1124" s="514"/>
      <c r="H1124" s="544"/>
      <c r="I1124" s="514"/>
      <c r="J1124" s="248"/>
      <c r="K1124" s="248"/>
      <c r="L1124" s="514"/>
      <c r="M1124" s="248"/>
      <c r="N1124" s="248"/>
      <c r="O1124" s="248"/>
      <c r="P1124" s="248"/>
      <c r="Q1124" s="248"/>
      <c r="R1124" s="248"/>
      <c r="S1124" s="248"/>
      <c r="T1124" s="248"/>
      <c r="U1124" s="248"/>
      <c r="V1124" s="248"/>
      <c r="W1124" s="525"/>
      <c r="X1124" s="503"/>
      <c r="Y1124" s="248"/>
      <c r="Z1124" s="248"/>
      <c r="AA1124" s="248"/>
      <c r="AC1124" s="248"/>
      <c r="AD1124" s="248"/>
      <c r="AE1124" s="248"/>
      <c r="AF1124" s="248"/>
    </row>
    <row r="1125" spans="4:32" x14ac:dyDescent="0.3">
      <c r="D1125" s="514"/>
      <c r="E1125" s="514"/>
      <c r="H1125" s="544"/>
      <c r="I1125" s="514"/>
      <c r="J1125" s="248"/>
      <c r="K1125" s="248"/>
      <c r="L1125" s="514"/>
      <c r="M1125" s="248"/>
      <c r="N1125" s="248"/>
      <c r="O1125" s="248"/>
      <c r="P1125" s="248"/>
      <c r="Q1125" s="248"/>
      <c r="R1125" s="248"/>
      <c r="S1125" s="248"/>
      <c r="T1125" s="248"/>
      <c r="U1125" s="248"/>
      <c r="V1125" s="248"/>
      <c r="W1125" s="525"/>
      <c r="X1125" s="503"/>
      <c r="Y1125" s="248"/>
      <c r="Z1125" s="248"/>
      <c r="AA1125" s="248"/>
      <c r="AC1125" s="248"/>
      <c r="AD1125" s="248"/>
      <c r="AE1125" s="248"/>
      <c r="AF1125" s="248"/>
    </row>
    <row r="1126" spans="4:32" x14ac:dyDescent="0.3">
      <c r="D1126" s="514"/>
      <c r="E1126" s="514"/>
      <c r="H1126" s="544"/>
      <c r="I1126" s="514"/>
      <c r="J1126" s="248"/>
      <c r="K1126" s="248"/>
      <c r="L1126" s="514"/>
      <c r="M1126" s="248"/>
      <c r="N1126" s="248"/>
      <c r="O1126" s="248"/>
      <c r="P1126" s="248"/>
      <c r="Q1126" s="248"/>
      <c r="R1126" s="248"/>
      <c r="S1126" s="248"/>
      <c r="T1126" s="248"/>
      <c r="U1126" s="248"/>
      <c r="V1126" s="248"/>
      <c r="W1126" s="525"/>
      <c r="X1126" s="503"/>
      <c r="Y1126" s="248"/>
      <c r="Z1126" s="248"/>
      <c r="AA1126" s="248"/>
      <c r="AC1126" s="248"/>
      <c r="AD1126" s="248"/>
      <c r="AE1126" s="248"/>
      <c r="AF1126" s="248"/>
    </row>
    <row r="1127" spans="4:32" x14ac:dyDescent="0.3">
      <c r="D1127" s="514"/>
      <c r="E1127" s="514"/>
      <c r="H1127" s="544"/>
      <c r="I1127" s="514"/>
      <c r="J1127" s="248"/>
      <c r="K1127" s="248"/>
      <c r="L1127" s="514"/>
      <c r="M1127" s="248"/>
      <c r="N1127" s="248"/>
      <c r="O1127" s="248"/>
      <c r="P1127" s="248"/>
      <c r="Q1127" s="248"/>
      <c r="R1127" s="248"/>
      <c r="S1127" s="248"/>
      <c r="T1127" s="248"/>
      <c r="U1127" s="248"/>
      <c r="V1127" s="248"/>
      <c r="W1127" s="525"/>
      <c r="X1127" s="503"/>
      <c r="Y1127" s="248"/>
      <c r="Z1127" s="248"/>
      <c r="AA1127" s="248"/>
      <c r="AC1127" s="248"/>
      <c r="AD1127" s="248"/>
      <c r="AE1127" s="248"/>
      <c r="AF1127" s="248"/>
    </row>
    <row r="1128" spans="4:32" x14ac:dyDescent="0.3">
      <c r="D1128" s="514"/>
      <c r="E1128" s="514"/>
      <c r="H1128" s="544"/>
      <c r="I1128" s="514"/>
      <c r="J1128" s="248"/>
      <c r="K1128" s="248"/>
      <c r="L1128" s="514"/>
      <c r="M1128" s="248"/>
      <c r="N1128" s="248"/>
      <c r="O1128" s="248"/>
      <c r="P1128" s="248"/>
      <c r="Q1128" s="248"/>
      <c r="R1128" s="248"/>
      <c r="S1128" s="248"/>
      <c r="T1128" s="248"/>
      <c r="U1128" s="248"/>
      <c r="V1128" s="248"/>
      <c r="W1128" s="525"/>
      <c r="X1128" s="503"/>
      <c r="Y1128" s="248"/>
      <c r="Z1128" s="248"/>
      <c r="AA1128" s="248"/>
      <c r="AC1128" s="248"/>
      <c r="AD1128" s="248"/>
      <c r="AE1128" s="248"/>
      <c r="AF1128" s="248"/>
    </row>
    <row r="1129" spans="4:32" x14ac:dyDescent="0.3">
      <c r="D1129" s="514"/>
      <c r="E1129" s="514"/>
      <c r="H1129" s="544"/>
      <c r="I1129" s="514"/>
      <c r="J1129" s="248"/>
      <c r="K1129" s="248"/>
      <c r="L1129" s="514"/>
      <c r="M1129" s="248"/>
      <c r="N1129" s="248"/>
      <c r="O1129" s="248"/>
      <c r="P1129" s="248"/>
      <c r="Q1129" s="248"/>
      <c r="R1129" s="248"/>
      <c r="S1129" s="248"/>
      <c r="T1129" s="248"/>
      <c r="U1129" s="248"/>
      <c r="V1129" s="248"/>
      <c r="W1129" s="525"/>
      <c r="X1129" s="503"/>
      <c r="Y1129" s="248"/>
      <c r="Z1129" s="248"/>
      <c r="AA1129" s="248"/>
      <c r="AC1129" s="248"/>
      <c r="AD1129" s="248"/>
      <c r="AE1129" s="248"/>
      <c r="AF1129" s="248"/>
    </row>
    <row r="1130" spans="4:32" x14ac:dyDescent="0.3">
      <c r="D1130" s="514"/>
      <c r="E1130" s="514"/>
      <c r="H1130" s="544"/>
      <c r="I1130" s="514"/>
      <c r="J1130" s="248"/>
      <c r="K1130" s="248"/>
      <c r="L1130" s="514"/>
      <c r="M1130" s="248"/>
      <c r="N1130" s="248"/>
      <c r="O1130" s="248"/>
      <c r="P1130" s="248"/>
      <c r="Q1130" s="248"/>
      <c r="R1130" s="248"/>
      <c r="S1130" s="248"/>
      <c r="T1130" s="248"/>
      <c r="U1130" s="248"/>
      <c r="V1130" s="248"/>
      <c r="W1130" s="525"/>
      <c r="X1130" s="503"/>
      <c r="Y1130" s="248"/>
      <c r="Z1130" s="248"/>
      <c r="AA1130" s="248"/>
      <c r="AC1130" s="248"/>
      <c r="AD1130" s="248"/>
      <c r="AE1130" s="248"/>
      <c r="AF1130" s="248"/>
    </row>
    <row r="1131" spans="4:32" x14ac:dyDescent="0.3">
      <c r="D1131" s="514"/>
      <c r="E1131" s="514"/>
      <c r="H1131" s="544"/>
      <c r="I1131" s="514"/>
      <c r="J1131" s="248"/>
      <c r="K1131" s="248"/>
      <c r="L1131" s="514"/>
      <c r="M1131" s="248"/>
      <c r="N1131" s="248"/>
      <c r="O1131" s="248"/>
      <c r="P1131" s="248"/>
      <c r="Q1131" s="248"/>
      <c r="R1131" s="248"/>
      <c r="S1131" s="248"/>
      <c r="T1131" s="248"/>
      <c r="U1131" s="248"/>
      <c r="V1131" s="248"/>
      <c r="W1131" s="525"/>
      <c r="X1131" s="503"/>
      <c r="Y1131" s="248"/>
      <c r="Z1131" s="248"/>
      <c r="AA1131" s="248"/>
      <c r="AC1131" s="248"/>
      <c r="AD1131" s="248"/>
      <c r="AE1131" s="248"/>
      <c r="AF1131" s="248"/>
    </row>
    <row r="1132" spans="4:32" x14ac:dyDescent="0.3">
      <c r="D1132" s="514"/>
      <c r="E1132" s="514"/>
      <c r="H1132" s="544"/>
      <c r="I1132" s="514"/>
      <c r="J1132" s="248"/>
      <c r="K1132" s="248"/>
      <c r="L1132" s="514"/>
      <c r="M1132" s="248"/>
      <c r="N1132" s="248"/>
      <c r="O1132" s="248"/>
      <c r="P1132" s="248"/>
      <c r="Q1132" s="248"/>
      <c r="R1132" s="248"/>
      <c r="S1132" s="248"/>
      <c r="T1132" s="248"/>
      <c r="U1132" s="248"/>
      <c r="V1132" s="248"/>
      <c r="W1132" s="525"/>
      <c r="X1132" s="503"/>
      <c r="Y1132" s="248"/>
      <c r="Z1132" s="248"/>
      <c r="AA1132" s="248"/>
      <c r="AC1132" s="248"/>
      <c r="AD1132" s="248"/>
      <c r="AE1132" s="248"/>
      <c r="AF1132" s="248"/>
    </row>
    <row r="1133" spans="4:32" x14ac:dyDescent="0.3">
      <c r="D1133" s="514"/>
      <c r="E1133" s="514"/>
      <c r="H1133" s="544"/>
      <c r="I1133" s="514"/>
      <c r="J1133" s="248"/>
      <c r="K1133" s="248"/>
      <c r="L1133" s="514"/>
      <c r="M1133" s="248"/>
      <c r="N1133" s="248"/>
      <c r="O1133" s="248"/>
      <c r="P1133" s="248"/>
      <c r="Q1133" s="248"/>
      <c r="R1133" s="248"/>
      <c r="S1133" s="248"/>
      <c r="T1133" s="248"/>
      <c r="U1133" s="248"/>
      <c r="V1133" s="248"/>
      <c r="W1133" s="525"/>
      <c r="X1133" s="503"/>
      <c r="Y1133" s="248"/>
      <c r="Z1133" s="248"/>
      <c r="AA1133" s="248"/>
      <c r="AC1133" s="248"/>
      <c r="AD1133" s="248"/>
      <c r="AE1133" s="248"/>
      <c r="AF1133" s="248"/>
    </row>
    <row r="1134" spans="4:32" x14ac:dyDescent="0.3">
      <c r="D1134" s="514"/>
      <c r="E1134" s="514"/>
      <c r="H1134" s="544"/>
      <c r="I1134" s="514"/>
      <c r="J1134" s="248"/>
      <c r="K1134" s="248"/>
      <c r="L1134" s="514"/>
      <c r="M1134" s="248"/>
      <c r="N1134" s="248"/>
      <c r="O1134" s="248"/>
      <c r="P1134" s="248"/>
      <c r="Q1134" s="248"/>
      <c r="R1134" s="248"/>
      <c r="S1134" s="248"/>
      <c r="T1134" s="248"/>
      <c r="U1134" s="248"/>
      <c r="V1134" s="248"/>
      <c r="W1134" s="525"/>
      <c r="X1134" s="503"/>
      <c r="Y1134" s="248"/>
      <c r="Z1134" s="248"/>
      <c r="AA1134" s="248"/>
      <c r="AC1134" s="248"/>
      <c r="AD1134" s="248"/>
      <c r="AE1134" s="248"/>
      <c r="AF1134" s="248"/>
    </row>
    <row r="1135" spans="4:32" x14ac:dyDescent="0.3">
      <c r="D1135" s="513"/>
      <c r="E1135" s="513"/>
      <c r="F1135" s="515"/>
      <c r="G1135" s="515"/>
      <c r="I1135" s="513"/>
      <c r="J1135" s="255"/>
      <c r="K1135" s="255"/>
      <c r="L1135" s="514"/>
      <c r="M1135" s="252"/>
      <c r="N1135" s="244"/>
      <c r="O1135" s="244"/>
      <c r="P1135" s="252"/>
      <c r="Q1135" s="248"/>
      <c r="R1135" s="248"/>
      <c r="S1135" s="256"/>
      <c r="T1135" s="256"/>
      <c r="U1135" s="256"/>
      <c r="V1135" s="252"/>
      <c r="W1135" s="524"/>
      <c r="X1135" s="256"/>
      <c r="Y1135" s="252"/>
      <c r="Z1135" s="252"/>
      <c r="AA1135" s="257"/>
      <c r="AC1135" s="244"/>
      <c r="AD1135" s="244"/>
      <c r="AE1135" s="256"/>
      <c r="AF1135" s="256"/>
    </row>
    <row r="1136" spans="4:32" x14ac:dyDescent="0.3">
      <c r="D1136" s="513"/>
      <c r="E1136" s="513"/>
      <c r="F1136" s="515"/>
      <c r="G1136" s="515"/>
      <c r="I1136" s="513"/>
      <c r="J1136" s="255"/>
      <c r="K1136" s="255"/>
      <c r="L1136" s="514"/>
      <c r="M1136" s="252"/>
      <c r="N1136" s="244"/>
      <c r="O1136" s="244"/>
      <c r="P1136" s="252"/>
      <c r="Q1136" s="248"/>
      <c r="R1136" s="248"/>
      <c r="S1136" s="256"/>
      <c r="T1136" s="256"/>
      <c r="U1136" s="256"/>
      <c r="V1136" s="252"/>
      <c r="W1136" s="524"/>
      <c r="X1136" s="256"/>
      <c r="Y1136" s="252"/>
      <c r="Z1136" s="252"/>
      <c r="AA1136" s="257"/>
      <c r="AC1136" s="244"/>
      <c r="AD1136" s="244"/>
      <c r="AE1136" s="256"/>
      <c r="AF1136" s="256"/>
    </row>
    <row r="1137" spans="4:32" x14ac:dyDescent="0.3">
      <c r="D1137" s="513"/>
      <c r="E1137" s="513"/>
      <c r="F1137" s="515"/>
      <c r="G1137" s="515"/>
      <c r="I1137" s="513"/>
      <c r="J1137" s="255"/>
      <c r="K1137" s="255"/>
      <c r="L1137" s="514"/>
      <c r="M1137" s="252"/>
      <c r="N1137" s="244"/>
      <c r="O1137" s="244"/>
      <c r="P1137" s="252"/>
      <c r="Q1137" s="248"/>
      <c r="R1137" s="248"/>
      <c r="S1137" s="256"/>
      <c r="T1137" s="256"/>
      <c r="U1137" s="256"/>
      <c r="V1137" s="252"/>
      <c r="W1137" s="524"/>
      <c r="X1137" s="256"/>
      <c r="Y1137" s="252"/>
      <c r="Z1137" s="252"/>
      <c r="AA1137" s="257"/>
      <c r="AC1137" s="244"/>
      <c r="AD1137" s="244"/>
      <c r="AE1137" s="256"/>
      <c r="AF1137" s="256"/>
    </row>
    <row r="1138" spans="4:32" x14ac:dyDescent="0.3">
      <c r="D1138" s="513"/>
      <c r="E1138" s="513"/>
      <c r="F1138" s="515"/>
      <c r="G1138" s="515"/>
      <c r="I1138" s="513"/>
      <c r="J1138" s="255"/>
      <c r="K1138" s="255"/>
      <c r="L1138" s="514"/>
      <c r="M1138" s="252"/>
      <c r="N1138" s="244"/>
      <c r="O1138" s="244"/>
      <c r="P1138" s="252"/>
      <c r="Q1138" s="248"/>
      <c r="R1138" s="248"/>
      <c r="S1138" s="256"/>
      <c r="T1138" s="256"/>
      <c r="U1138" s="256"/>
      <c r="V1138" s="252"/>
      <c r="W1138" s="524"/>
      <c r="X1138" s="256"/>
      <c r="Y1138" s="252"/>
      <c r="Z1138" s="252"/>
      <c r="AA1138" s="257"/>
      <c r="AC1138" s="244"/>
      <c r="AD1138" s="244"/>
      <c r="AE1138" s="256"/>
      <c r="AF1138" s="256"/>
    </row>
    <row r="1139" spans="4:32" x14ac:dyDescent="0.3">
      <c r="D1139" s="513"/>
      <c r="E1139" s="513"/>
      <c r="F1139" s="515"/>
      <c r="G1139" s="515"/>
      <c r="I1139" s="513"/>
      <c r="J1139" s="255"/>
      <c r="K1139" s="255"/>
      <c r="L1139" s="514"/>
      <c r="M1139" s="252"/>
      <c r="N1139" s="244"/>
      <c r="O1139" s="244"/>
      <c r="P1139" s="252"/>
      <c r="Q1139" s="248"/>
      <c r="R1139" s="248"/>
      <c r="S1139" s="256"/>
      <c r="T1139" s="256"/>
      <c r="U1139" s="256"/>
      <c r="V1139" s="252"/>
      <c r="W1139" s="524"/>
      <c r="X1139" s="256"/>
      <c r="Y1139" s="252"/>
      <c r="Z1139" s="252"/>
      <c r="AA1139" s="257"/>
      <c r="AC1139" s="244"/>
      <c r="AD1139" s="244"/>
      <c r="AE1139" s="256"/>
      <c r="AF1139" s="256"/>
    </row>
    <row r="1140" spans="4:32" x14ac:dyDescent="0.3">
      <c r="D1140" s="513"/>
      <c r="E1140" s="513"/>
      <c r="F1140" s="515"/>
      <c r="G1140" s="515"/>
      <c r="I1140" s="513"/>
      <c r="J1140" s="255"/>
      <c r="K1140" s="255"/>
      <c r="L1140" s="514"/>
      <c r="M1140" s="252"/>
      <c r="N1140" s="244"/>
      <c r="O1140" s="244"/>
      <c r="P1140" s="252"/>
      <c r="Q1140" s="248"/>
      <c r="R1140" s="248"/>
      <c r="S1140" s="256"/>
      <c r="T1140" s="256"/>
      <c r="U1140" s="256"/>
      <c r="V1140" s="252"/>
      <c r="W1140" s="524"/>
      <c r="X1140" s="256"/>
      <c r="Y1140" s="252"/>
      <c r="Z1140" s="252"/>
      <c r="AA1140" s="257"/>
      <c r="AC1140" s="244"/>
      <c r="AD1140" s="244"/>
      <c r="AE1140" s="256"/>
      <c r="AF1140" s="256"/>
    </row>
    <row r="1141" spans="4:32" x14ac:dyDescent="0.3">
      <c r="D1141" s="513"/>
      <c r="E1141" s="513"/>
      <c r="F1141" s="515"/>
      <c r="G1141" s="515"/>
      <c r="I1141" s="513"/>
      <c r="J1141" s="255"/>
      <c r="K1141" s="255"/>
      <c r="L1141" s="514"/>
      <c r="M1141" s="252"/>
      <c r="N1141" s="244"/>
      <c r="O1141" s="244"/>
      <c r="P1141" s="252"/>
      <c r="Q1141" s="248"/>
      <c r="R1141" s="248"/>
      <c r="S1141" s="256"/>
      <c r="T1141" s="256"/>
      <c r="U1141" s="256"/>
      <c r="V1141" s="252"/>
      <c r="W1141" s="524"/>
      <c r="X1141" s="256"/>
      <c r="Y1141" s="252"/>
      <c r="Z1141" s="252"/>
      <c r="AA1141" s="257"/>
      <c r="AC1141" s="244"/>
      <c r="AD1141" s="244"/>
      <c r="AE1141" s="256"/>
      <c r="AF1141" s="256"/>
    </row>
    <row r="1142" spans="4:32" x14ac:dyDescent="0.3">
      <c r="D1142" s="513"/>
      <c r="E1142" s="513"/>
      <c r="F1142" s="515"/>
      <c r="G1142" s="515"/>
      <c r="I1142" s="513"/>
      <c r="J1142" s="255"/>
      <c r="K1142" s="255"/>
      <c r="L1142" s="514"/>
      <c r="M1142" s="252"/>
      <c r="N1142" s="244"/>
      <c r="O1142" s="244"/>
      <c r="P1142" s="252"/>
      <c r="Q1142" s="248"/>
      <c r="R1142" s="248"/>
      <c r="S1142" s="256"/>
      <c r="T1142" s="256"/>
      <c r="U1142" s="256"/>
      <c r="V1142" s="252"/>
      <c r="W1142" s="524"/>
      <c r="X1142" s="256"/>
      <c r="Y1142" s="252"/>
      <c r="Z1142" s="252"/>
      <c r="AA1142" s="257"/>
      <c r="AC1142" s="244"/>
      <c r="AD1142" s="244"/>
      <c r="AE1142" s="256"/>
      <c r="AF1142" s="256"/>
    </row>
    <row r="1143" spans="4:32" x14ac:dyDescent="0.3">
      <c r="D1143" s="513"/>
      <c r="E1143" s="513"/>
      <c r="F1143" s="515"/>
      <c r="G1143" s="515"/>
      <c r="I1143" s="513"/>
      <c r="J1143" s="255"/>
      <c r="K1143" s="255"/>
      <c r="L1143" s="514"/>
      <c r="M1143" s="252"/>
      <c r="N1143" s="244"/>
      <c r="O1143" s="244"/>
      <c r="P1143" s="252"/>
      <c r="Q1143" s="248"/>
      <c r="R1143" s="248"/>
      <c r="S1143" s="256"/>
      <c r="T1143" s="256"/>
      <c r="U1143" s="256"/>
      <c r="V1143" s="252"/>
      <c r="W1143" s="524"/>
      <c r="X1143" s="256"/>
      <c r="Y1143" s="252"/>
      <c r="Z1143" s="252"/>
      <c r="AA1143" s="257"/>
      <c r="AC1143" s="244"/>
      <c r="AD1143" s="244"/>
      <c r="AE1143" s="256"/>
      <c r="AF1143" s="256"/>
    </row>
    <row r="1144" spans="4:32" x14ac:dyDescent="0.3">
      <c r="D1144" s="513"/>
      <c r="E1144" s="513"/>
      <c r="F1144" s="515"/>
      <c r="G1144" s="515"/>
      <c r="I1144" s="513"/>
      <c r="J1144" s="255"/>
      <c r="K1144" s="255"/>
      <c r="L1144" s="514"/>
      <c r="M1144" s="252"/>
      <c r="N1144" s="244"/>
      <c r="O1144" s="244"/>
      <c r="P1144" s="252"/>
      <c r="Q1144" s="248"/>
      <c r="R1144" s="248"/>
      <c r="S1144" s="256"/>
      <c r="T1144" s="256"/>
      <c r="U1144" s="256"/>
      <c r="V1144" s="252"/>
      <c r="W1144" s="524"/>
      <c r="X1144" s="256"/>
      <c r="Y1144" s="252"/>
      <c r="Z1144" s="252"/>
      <c r="AA1144" s="257"/>
      <c r="AC1144" s="244"/>
      <c r="AD1144" s="244"/>
      <c r="AE1144" s="256"/>
      <c r="AF1144" s="256"/>
    </row>
    <row r="1145" spans="4:32" x14ac:dyDescent="0.3">
      <c r="D1145" s="513"/>
      <c r="E1145" s="513"/>
      <c r="F1145" s="515"/>
      <c r="G1145" s="515"/>
      <c r="I1145" s="513"/>
      <c r="J1145" s="255"/>
      <c r="K1145" s="255"/>
      <c r="L1145" s="514"/>
      <c r="M1145" s="252"/>
      <c r="N1145" s="244"/>
      <c r="O1145" s="244"/>
      <c r="P1145" s="252"/>
      <c r="Q1145" s="248"/>
      <c r="R1145" s="248"/>
      <c r="S1145" s="256"/>
      <c r="T1145" s="256"/>
      <c r="U1145" s="256"/>
      <c r="V1145" s="252"/>
      <c r="W1145" s="524"/>
      <c r="X1145" s="256"/>
      <c r="Y1145" s="252"/>
      <c r="Z1145" s="252"/>
      <c r="AA1145" s="257"/>
      <c r="AC1145" s="244"/>
      <c r="AD1145" s="244"/>
      <c r="AE1145" s="256"/>
      <c r="AF1145" s="256"/>
    </row>
    <row r="1146" spans="4:32" x14ac:dyDescent="0.3">
      <c r="D1146" s="513"/>
      <c r="E1146" s="513"/>
      <c r="F1146" s="515"/>
      <c r="G1146" s="515"/>
      <c r="I1146" s="513"/>
      <c r="J1146" s="255"/>
      <c r="K1146" s="255"/>
      <c r="L1146" s="514"/>
      <c r="M1146" s="252"/>
      <c r="N1146" s="244"/>
      <c r="O1146" s="244"/>
      <c r="P1146" s="252"/>
      <c r="Q1146" s="248"/>
      <c r="R1146" s="248"/>
      <c r="S1146" s="256"/>
      <c r="T1146" s="256"/>
      <c r="U1146" s="256"/>
      <c r="V1146" s="252"/>
      <c r="W1146" s="524"/>
      <c r="X1146" s="256"/>
      <c r="Y1146" s="252"/>
      <c r="Z1146" s="252"/>
      <c r="AA1146" s="257"/>
      <c r="AC1146" s="244"/>
      <c r="AD1146" s="244"/>
      <c r="AE1146" s="256"/>
      <c r="AF1146" s="256"/>
    </row>
    <row r="1147" spans="4:32" x14ac:dyDescent="0.3">
      <c r="D1147" s="513"/>
      <c r="E1147" s="513"/>
      <c r="F1147" s="515"/>
      <c r="G1147" s="515"/>
      <c r="I1147" s="513"/>
      <c r="J1147" s="255"/>
      <c r="K1147" s="255"/>
      <c r="L1147" s="514"/>
      <c r="M1147" s="252"/>
      <c r="N1147" s="244"/>
      <c r="O1147" s="244"/>
      <c r="P1147" s="252"/>
      <c r="Q1147" s="248"/>
      <c r="R1147" s="248"/>
      <c r="S1147" s="256"/>
      <c r="T1147" s="256"/>
      <c r="U1147" s="256"/>
      <c r="V1147" s="252"/>
      <c r="W1147" s="524"/>
      <c r="X1147" s="256"/>
      <c r="Y1147" s="252"/>
      <c r="Z1147" s="252"/>
      <c r="AA1147" s="257"/>
      <c r="AC1147" s="244"/>
      <c r="AD1147" s="244"/>
      <c r="AE1147" s="256"/>
      <c r="AF1147" s="256"/>
    </row>
    <row r="1148" spans="4:32" x14ac:dyDescent="0.3">
      <c r="D1148" s="513"/>
      <c r="E1148" s="513"/>
      <c r="F1148" s="515"/>
      <c r="G1148" s="515"/>
      <c r="I1148" s="513"/>
      <c r="J1148" s="255"/>
      <c r="K1148" s="255"/>
      <c r="L1148" s="514"/>
      <c r="M1148" s="252"/>
      <c r="N1148" s="244"/>
      <c r="O1148" s="244"/>
      <c r="P1148" s="252"/>
      <c r="Q1148" s="248"/>
      <c r="R1148" s="248"/>
      <c r="S1148" s="256"/>
      <c r="T1148" s="256"/>
      <c r="U1148" s="256"/>
      <c r="V1148" s="252"/>
      <c r="W1148" s="524"/>
      <c r="X1148" s="256"/>
      <c r="Y1148" s="252"/>
      <c r="Z1148" s="252"/>
      <c r="AA1148" s="257"/>
      <c r="AC1148" s="244"/>
      <c r="AD1148" s="244"/>
      <c r="AE1148" s="256"/>
      <c r="AF1148" s="256"/>
    </row>
    <row r="1149" spans="4:32" x14ac:dyDescent="0.3">
      <c r="D1149" s="513"/>
      <c r="E1149" s="513"/>
      <c r="F1149" s="515"/>
      <c r="G1149" s="515"/>
      <c r="I1149" s="513"/>
      <c r="J1149" s="255"/>
      <c r="K1149" s="255"/>
      <c r="L1149" s="514"/>
      <c r="M1149" s="252"/>
      <c r="N1149" s="244"/>
      <c r="O1149" s="244"/>
      <c r="P1149" s="252"/>
      <c r="Q1149" s="248"/>
      <c r="R1149" s="248"/>
      <c r="S1149" s="256"/>
      <c r="T1149" s="256"/>
      <c r="U1149" s="256"/>
      <c r="V1149" s="252"/>
      <c r="W1149" s="524"/>
      <c r="X1149" s="256"/>
      <c r="Y1149" s="252"/>
      <c r="Z1149" s="252"/>
      <c r="AA1149" s="257"/>
      <c r="AC1149" s="244"/>
      <c r="AD1149" s="244"/>
      <c r="AE1149" s="256"/>
      <c r="AF1149" s="256"/>
    </row>
    <row r="1150" spans="4:32" x14ac:dyDescent="0.3">
      <c r="D1150" s="513"/>
      <c r="E1150" s="513"/>
      <c r="F1150" s="515"/>
      <c r="G1150" s="515"/>
      <c r="I1150" s="513"/>
      <c r="J1150" s="255"/>
      <c r="K1150" s="255"/>
      <c r="L1150" s="514"/>
      <c r="M1150" s="252"/>
      <c r="N1150" s="244"/>
      <c r="O1150" s="244"/>
      <c r="P1150" s="252"/>
      <c r="Q1150" s="248"/>
      <c r="R1150" s="248"/>
      <c r="S1150" s="256"/>
      <c r="T1150" s="256"/>
      <c r="U1150" s="256"/>
      <c r="V1150" s="252"/>
      <c r="W1150" s="524"/>
      <c r="X1150" s="256"/>
      <c r="Y1150" s="252"/>
      <c r="Z1150" s="252"/>
      <c r="AA1150" s="257"/>
      <c r="AC1150" s="244"/>
      <c r="AD1150" s="244"/>
      <c r="AE1150" s="256"/>
      <c r="AF1150" s="256"/>
    </row>
    <row r="1151" spans="4:32" x14ac:dyDescent="0.3">
      <c r="D1151" s="513"/>
      <c r="E1151" s="513"/>
      <c r="F1151" s="515"/>
      <c r="G1151" s="515"/>
      <c r="I1151" s="513"/>
      <c r="J1151" s="255"/>
      <c r="K1151" s="255"/>
      <c r="L1151" s="514"/>
      <c r="M1151" s="252"/>
      <c r="N1151" s="244"/>
      <c r="O1151" s="244"/>
      <c r="P1151" s="252"/>
      <c r="Q1151" s="248"/>
      <c r="R1151" s="248"/>
      <c r="S1151" s="256"/>
      <c r="T1151" s="256"/>
      <c r="U1151" s="256"/>
      <c r="V1151" s="252"/>
      <c r="W1151" s="524"/>
      <c r="X1151" s="256"/>
      <c r="Y1151" s="252"/>
      <c r="Z1151" s="252"/>
      <c r="AA1151" s="257"/>
      <c r="AC1151" s="244"/>
      <c r="AD1151" s="244"/>
      <c r="AE1151" s="256"/>
      <c r="AF1151" s="256"/>
    </row>
    <row r="1152" spans="4:32" x14ac:dyDescent="0.3">
      <c r="D1152" s="513"/>
      <c r="E1152" s="513"/>
      <c r="F1152" s="515"/>
      <c r="G1152" s="515"/>
      <c r="I1152" s="513"/>
      <c r="J1152" s="255"/>
      <c r="K1152" s="255"/>
      <c r="L1152" s="514"/>
      <c r="M1152" s="252"/>
      <c r="N1152" s="244"/>
      <c r="O1152" s="244"/>
      <c r="P1152" s="252"/>
      <c r="Q1152" s="248"/>
      <c r="R1152" s="248"/>
      <c r="S1152" s="256"/>
      <c r="T1152" s="256"/>
      <c r="U1152" s="256"/>
      <c r="V1152" s="252"/>
      <c r="W1152" s="524"/>
      <c r="X1152" s="256"/>
      <c r="Y1152" s="252"/>
      <c r="Z1152" s="252"/>
      <c r="AA1152" s="257"/>
      <c r="AC1152" s="244"/>
      <c r="AD1152" s="244"/>
      <c r="AE1152" s="256"/>
      <c r="AF1152" s="256"/>
    </row>
    <row r="1153" spans="4:32" x14ac:dyDescent="0.3">
      <c r="D1153" s="513"/>
      <c r="E1153" s="513"/>
      <c r="F1153" s="515"/>
      <c r="G1153" s="515"/>
      <c r="I1153" s="513"/>
      <c r="J1153" s="255"/>
      <c r="K1153" s="255"/>
      <c r="L1153" s="514"/>
      <c r="M1153" s="252"/>
      <c r="N1153" s="244"/>
      <c r="O1153" s="244"/>
      <c r="P1153" s="252"/>
      <c r="Q1153" s="248"/>
      <c r="R1153" s="248"/>
      <c r="S1153" s="256"/>
      <c r="T1153" s="256"/>
      <c r="U1153" s="256"/>
      <c r="V1153" s="252"/>
      <c r="W1153" s="524"/>
      <c r="X1153" s="256"/>
      <c r="Y1153" s="252"/>
      <c r="Z1153" s="252"/>
      <c r="AA1153" s="257"/>
      <c r="AC1153" s="244"/>
      <c r="AD1153" s="244"/>
      <c r="AE1153" s="256"/>
      <c r="AF1153" s="256"/>
    </row>
    <row r="1154" spans="4:32" x14ac:dyDescent="0.3">
      <c r="D1154" s="513"/>
      <c r="E1154" s="513"/>
      <c r="F1154" s="515"/>
      <c r="G1154" s="515"/>
      <c r="I1154" s="513"/>
      <c r="J1154" s="255"/>
      <c r="K1154" s="255"/>
      <c r="L1154" s="514"/>
      <c r="M1154" s="252"/>
      <c r="N1154" s="244"/>
      <c r="O1154" s="244"/>
      <c r="P1154" s="252"/>
      <c r="Q1154" s="248"/>
      <c r="R1154" s="248"/>
      <c r="S1154" s="256"/>
      <c r="T1154" s="256"/>
      <c r="U1154" s="256"/>
      <c r="V1154" s="252"/>
      <c r="W1154" s="524"/>
      <c r="X1154" s="256"/>
      <c r="Y1154" s="252"/>
      <c r="Z1154" s="252"/>
      <c r="AA1154" s="257"/>
      <c r="AC1154" s="244"/>
      <c r="AD1154" s="244"/>
      <c r="AE1154" s="256"/>
      <c r="AF1154" s="256"/>
    </row>
    <row r="1155" spans="4:32" x14ac:dyDescent="0.3">
      <c r="D1155" s="513"/>
      <c r="E1155" s="513"/>
      <c r="F1155" s="515"/>
      <c r="G1155" s="515"/>
      <c r="I1155" s="513"/>
      <c r="J1155" s="255"/>
      <c r="K1155" s="255"/>
      <c r="L1155" s="514"/>
      <c r="M1155" s="252"/>
      <c r="N1155" s="244"/>
      <c r="O1155" s="244"/>
      <c r="P1155" s="252"/>
      <c r="Q1155" s="248"/>
      <c r="R1155" s="248"/>
      <c r="S1155" s="256"/>
      <c r="T1155" s="256"/>
      <c r="U1155" s="256"/>
      <c r="V1155" s="252"/>
      <c r="W1155" s="524"/>
      <c r="X1155" s="256"/>
      <c r="Y1155" s="252"/>
      <c r="Z1155" s="252"/>
      <c r="AA1155" s="257"/>
      <c r="AC1155" s="244"/>
      <c r="AD1155" s="244"/>
      <c r="AE1155" s="256"/>
      <c r="AF1155" s="256"/>
    </row>
    <row r="1156" spans="4:32" x14ac:dyDescent="0.3">
      <c r="D1156" s="513"/>
      <c r="E1156" s="513"/>
      <c r="F1156" s="515"/>
      <c r="G1156" s="515"/>
      <c r="I1156" s="513"/>
      <c r="J1156" s="255"/>
      <c r="K1156" s="255"/>
      <c r="L1156" s="514"/>
      <c r="M1156" s="252"/>
      <c r="N1156" s="244"/>
      <c r="O1156" s="244"/>
      <c r="P1156" s="252"/>
      <c r="Q1156" s="248"/>
      <c r="R1156" s="248"/>
      <c r="S1156" s="256"/>
      <c r="T1156" s="256"/>
      <c r="U1156" s="256"/>
      <c r="V1156" s="252"/>
      <c r="W1156" s="524"/>
      <c r="X1156" s="256"/>
      <c r="Y1156" s="252"/>
      <c r="Z1156" s="252"/>
      <c r="AA1156" s="257"/>
      <c r="AC1156" s="244"/>
      <c r="AD1156" s="244"/>
      <c r="AE1156" s="256"/>
      <c r="AF1156" s="256"/>
    </row>
    <row r="1157" spans="4:32" x14ac:dyDescent="0.3">
      <c r="D1157" s="513"/>
      <c r="E1157" s="513"/>
      <c r="F1157" s="515"/>
      <c r="G1157" s="515"/>
      <c r="I1157" s="513"/>
      <c r="J1157" s="255"/>
      <c r="K1157" s="255"/>
      <c r="L1157" s="514"/>
      <c r="M1157" s="252"/>
      <c r="N1157" s="244"/>
      <c r="O1157" s="244"/>
      <c r="P1157" s="252"/>
      <c r="Q1157" s="248"/>
      <c r="R1157" s="248"/>
      <c r="S1157" s="256"/>
      <c r="T1157" s="256"/>
      <c r="U1157" s="256"/>
      <c r="V1157" s="252"/>
      <c r="W1157" s="524"/>
      <c r="X1157" s="256"/>
      <c r="Y1157" s="252"/>
      <c r="Z1157" s="252"/>
      <c r="AA1157" s="257"/>
      <c r="AC1157" s="244"/>
      <c r="AD1157" s="244"/>
      <c r="AE1157" s="256"/>
      <c r="AF1157" s="256"/>
    </row>
    <row r="1158" spans="4:32" x14ac:dyDescent="0.3">
      <c r="D1158" s="513"/>
      <c r="E1158" s="513"/>
      <c r="F1158" s="515"/>
      <c r="G1158" s="515"/>
      <c r="I1158" s="513"/>
      <c r="J1158" s="255"/>
      <c r="K1158" s="255"/>
      <c r="L1158" s="514"/>
      <c r="M1158" s="252"/>
      <c r="N1158" s="244"/>
      <c r="O1158" s="244"/>
      <c r="P1158" s="252"/>
      <c r="Q1158" s="248"/>
      <c r="R1158" s="248"/>
      <c r="S1158" s="256"/>
      <c r="T1158" s="256"/>
      <c r="U1158" s="256"/>
      <c r="V1158" s="252"/>
      <c r="W1158" s="524"/>
      <c r="X1158" s="256"/>
      <c r="Y1158" s="252"/>
      <c r="Z1158" s="252"/>
      <c r="AA1158" s="257"/>
      <c r="AC1158" s="244"/>
      <c r="AD1158" s="244"/>
      <c r="AE1158" s="256"/>
      <c r="AF1158" s="256"/>
    </row>
    <row r="1159" spans="4:32" x14ac:dyDescent="0.3">
      <c r="D1159" s="513"/>
      <c r="E1159" s="513"/>
      <c r="F1159" s="515"/>
      <c r="G1159" s="515"/>
      <c r="I1159" s="513"/>
      <c r="J1159" s="255"/>
      <c r="K1159" s="255"/>
      <c r="L1159" s="514"/>
      <c r="M1159" s="252"/>
      <c r="N1159" s="244"/>
      <c r="O1159" s="244"/>
      <c r="P1159" s="252"/>
      <c r="Q1159" s="248"/>
      <c r="R1159" s="248"/>
      <c r="S1159" s="256"/>
      <c r="T1159" s="256"/>
      <c r="U1159" s="256"/>
      <c r="V1159" s="252"/>
      <c r="W1159" s="524"/>
      <c r="X1159" s="256"/>
      <c r="Y1159" s="252"/>
      <c r="Z1159" s="252"/>
      <c r="AA1159" s="257"/>
      <c r="AC1159" s="244"/>
      <c r="AD1159" s="244"/>
      <c r="AE1159" s="256"/>
      <c r="AF1159" s="256"/>
    </row>
    <row r="1160" spans="4:32" x14ac:dyDescent="0.3">
      <c r="D1160" s="513"/>
      <c r="E1160" s="513"/>
      <c r="F1160" s="515"/>
      <c r="G1160" s="515"/>
      <c r="I1160" s="513"/>
      <c r="J1160" s="255"/>
      <c r="K1160" s="255"/>
      <c r="L1160" s="514"/>
      <c r="M1160" s="252"/>
      <c r="N1160" s="244"/>
      <c r="O1160" s="244"/>
      <c r="P1160" s="252"/>
      <c r="Q1160" s="248"/>
      <c r="R1160" s="248"/>
      <c r="S1160" s="256"/>
      <c r="T1160" s="256"/>
      <c r="U1160" s="256"/>
      <c r="V1160" s="252"/>
      <c r="W1160" s="524"/>
      <c r="X1160" s="256"/>
      <c r="Y1160" s="252"/>
      <c r="Z1160" s="252"/>
      <c r="AA1160" s="257"/>
      <c r="AC1160" s="244"/>
      <c r="AD1160" s="244"/>
      <c r="AE1160" s="256"/>
      <c r="AF1160" s="256"/>
    </row>
    <row r="1161" spans="4:32" x14ac:dyDescent="0.3">
      <c r="D1161" s="513"/>
      <c r="E1161" s="513"/>
      <c r="F1161" s="515"/>
      <c r="G1161" s="515"/>
      <c r="I1161" s="513"/>
      <c r="J1161" s="255"/>
      <c r="K1161" s="255"/>
      <c r="L1161" s="514"/>
      <c r="M1161" s="252"/>
      <c r="N1161" s="244"/>
      <c r="O1161" s="244"/>
      <c r="P1161" s="252"/>
      <c r="Q1161" s="248"/>
      <c r="R1161" s="248"/>
      <c r="S1161" s="256"/>
      <c r="T1161" s="256"/>
      <c r="U1161" s="256"/>
      <c r="V1161" s="252"/>
      <c r="W1161" s="524"/>
      <c r="X1161" s="256"/>
      <c r="Y1161" s="252"/>
      <c r="Z1161" s="252"/>
      <c r="AA1161" s="257"/>
      <c r="AC1161" s="244"/>
      <c r="AD1161" s="244"/>
      <c r="AE1161" s="256"/>
      <c r="AF1161" s="256"/>
    </row>
    <row r="1162" spans="4:32" x14ac:dyDescent="0.3">
      <c r="D1162" s="513"/>
      <c r="E1162" s="513"/>
      <c r="F1162" s="515"/>
      <c r="G1162" s="515"/>
      <c r="I1162" s="513"/>
      <c r="J1162" s="255"/>
      <c r="K1162" s="255"/>
      <c r="L1162" s="514"/>
      <c r="M1162" s="252"/>
      <c r="N1162" s="244"/>
      <c r="O1162" s="244"/>
      <c r="P1162" s="252"/>
      <c r="Q1162" s="248"/>
      <c r="R1162" s="248"/>
      <c r="S1162" s="256"/>
      <c r="T1162" s="256"/>
      <c r="U1162" s="256"/>
      <c r="V1162" s="252"/>
      <c r="W1162" s="524"/>
      <c r="X1162" s="256"/>
      <c r="Y1162" s="252"/>
      <c r="Z1162" s="252"/>
      <c r="AA1162" s="257"/>
      <c r="AC1162" s="244"/>
      <c r="AD1162" s="244"/>
      <c r="AE1162" s="256"/>
      <c r="AF1162" s="256"/>
    </row>
    <row r="1163" spans="4:32" x14ac:dyDescent="0.3">
      <c r="D1163" s="513"/>
      <c r="E1163" s="513"/>
      <c r="F1163" s="515"/>
      <c r="G1163" s="515"/>
      <c r="I1163" s="513"/>
      <c r="J1163" s="255"/>
      <c r="K1163" s="255"/>
      <c r="L1163" s="514"/>
      <c r="M1163" s="252"/>
      <c r="N1163" s="244"/>
      <c r="O1163" s="244"/>
      <c r="P1163" s="252"/>
      <c r="Q1163" s="248"/>
      <c r="R1163" s="248"/>
      <c r="S1163" s="256"/>
      <c r="T1163" s="256"/>
      <c r="U1163" s="256"/>
      <c r="V1163" s="252"/>
      <c r="W1163" s="524"/>
      <c r="X1163" s="256"/>
      <c r="Y1163" s="252"/>
      <c r="Z1163" s="252"/>
      <c r="AA1163" s="257"/>
      <c r="AC1163" s="244"/>
      <c r="AD1163" s="244"/>
      <c r="AE1163" s="256"/>
      <c r="AF1163" s="256"/>
    </row>
    <row r="1164" spans="4:32" x14ac:dyDescent="0.3">
      <c r="D1164" s="513"/>
      <c r="E1164" s="513"/>
      <c r="F1164" s="515"/>
      <c r="G1164" s="515"/>
      <c r="I1164" s="513"/>
      <c r="J1164" s="255"/>
      <c r="K1164" s="255"/>
      <c r="L1164" s="514"/>
      <c r="M1164" s="252"/>
      <c r="N1164" s="244"/>
      <c r="O1164" s="244"/>
      <c r="P1164" s="252"/>
      <c r="Q1164" s="248"/>
      <c r="R1164" s="248"/>
      <c r="S1164" s="256"/>
      <c r="T1164" s="256"/>
      <c r="U1164" s="256"/>
      <c r="V1164" s="252"/>
      <c r="W1164" s="524"/>
      <c r="X1164" s="256"/>
      <c r="Y1164" s="252"/>
      <c r="Z1164" s="252"/>
      <c r="AA1164" s="257"/>
      <c r="AC1164" s="244"/>
      <c r="AD1164" s="244"/>
      <c r="AE1164" s="256"/>
      <c r="AF1164" s="256"/>
    </row>
    <row r="1165" spans="4:32" x14ac:dyDescent="0.3">
      <c r="D1165" s="513"/>
      <c r="E1165" s="513"/>
      <c r="F1165" s="515"/>
      <c r="G1165" s="515"/>
      <c r="I1165" s="513"/>
      <c r="J1165" s="255"/>
      <c r="K1165" s="255"/>
      <c r="L1165" s="514"/>
      <c r="M1165" s="252"/>
      <c r="N1165" s="244"/>
      <c r="O1165" s="244"/>
      <c r="P1165" s="252"/>
      <c r="Q1165" s="248"/>
      <c r="R1165" s="248"/>
      <c r="S1165" s="256"/>
      <c r="T1165" s="256"/>
      <c r="U1165" s="256"/>
      <c r="V1165" s="252"/>
      <c r="W1165" s="524"/>
      <c r="X1165" s="256"/>
      <c r="Y1165" s="252"/>
      <c r="Z1165" s="252"/>
      <c r="AA1165" s="257"/>
      <c r="AC1165" s="244"/>
      <c r="AD1165" s="244"/>
      <c r="AE1165" s="256"/>
      <c r="AF1165" s="256"/>
    </row>
    <row r="1166" spans="4:32" x14ac:dyDescent="0.3">
      <c r="D1166" s="513"/>
      <c r="E1166" s="513"/>
      <c r="F1166" s="515"/>
      <c r="G1166" s="515"/>
      <c r="I1166" s="513"/>
      <c r="J1166" s="255"/>
      <c r="K1166" s="255"/>
      <c r="L1166" s="514"/>
      <c r="M1166" s="252"/>
      <c r="N1166" s="244"/>
      <c r="O1166" s="244"/>
      <c r="P1166" s="252"/>
      <c r="Q1166" s="248"/>
      <c r="R1166" s="248"/>
      <c r="S1166" s="256"/>
      <c r="T1166" s="256"/>
      <c r="U1166" s="256"/>
      <c r="V1166" s="252"/>
      <c r="W1166" s="524"/>
      <c r="X1166" s="256"/>
      <c r="Y1166" s="252"/>
      <c r="Z1166" s="252"/>
      <c r="AA1166" s="257"/>
      <c r="AC1166" s="244"/>
      <c r="AD1166" s="244"/>
      <c r="AE1166" s="256"/>
      <c r="AF1166" s="256"/>
    </row>
    <row r="1167" spans="4:32" x14ac:dyDescent="0.3">
      <c r="D1167" s="513"/>
      <c r="E1167" s="513"/>
      <c r="F1167" s="515"/>
      <c r="G1167" s="515"/>
      <c r="I1167" s="513"/>
      <c r="J1167" s="255"/>
      <c r="K1167" s="255"/>
      <c r="L1167" s="514"/>
      <c r="M1167" s="252"/>
      <c r="N1167" s="244"/>
      <c r="O1167" s="244"/>
      <c r="P1167" s="252"/>
      <c r="Q1167" s="248"/>
      <c r="R1167" s="248"/>
      <c r="S1167" s="256"/>
      <c r="T1167" s="256"/>
      <c r="U1167" s="256"/>
      <c r="V1167" s="252"/>
      <c r="W1167" s="524"/>
      <c r="X1167" s="256"/>
      <c r="Y1167" s="252"/>
      <c r="Z1167" s="252"/>
      <c r="AA1167" s="257"/>
      <c r="AC1167" s="244"/>
      <c r="AD1167" s="244"/>
      <c r="AE1167" s="256"/>
      <c r="AF1167" s="256"/>
    </row>
    <row r="1168" spans="4:32" x14ac:dyDescent="0.3">
      <c r="D1168" s="513"/>
      <c r="E1168" s="513"/>
      <c r="F1168" s="515"/>
      <c r="G1168" s="515"/>
      <c r="I1168" s="513"/>
      <c r="J1168" s="255"/>
      <c r="K1168" s="255"/>
      <c r="L1168" s="514"/>
      <c r="M1168" s="252"/>
      <c r="N1168" s="244"/>
      <c r="O1168" s="244"/>
      <c r="P1168" s="252"/>
      <c r="Q1168" s="248"/>
      <c r="R1168" s="248"/>
      <c r="S1168" s="256"/>
      <c r="T1168" s="256"/>
      <c r="U1168" s="256"/>
      <c r="V1168" s="252"/>
      <c r="W1168" s="524"/>
      <c r="X1168" s="256"/>
      <c r="Y1168" s="252"/>
      <c r="Z1168" s="252"/>
      <c r="AA1168" s="257"/>
      <c r="AC1168" s="244"/>
      <c r="AD1168" s="244"/>
      <c r="AE1168" s="256"/>
      <c r="AF1168" s="256"/>
    </row>
    <row r="1169" spans="4:32" x14ac:dyDescent="0.3">
      <c r="D1169" s="513"/>
      <c r="E1169" s="513"/>
      <c r="F1169" s="515"/>
      <c r="G1169" s="515"/>
      <c r="I1169" s="513"/>
      <c r="J1169" s="255"/>
      <c r="K1169" s="255"/>
      <c r="L1169" s="514"/>
      <c r="M1169" s="252"/>
      <c r="N1169" s="244"/>
      <c r="O1169" s="244"/>
      <c r="P1169" s="252"/>
      <c r="Q1169" s="248"/>
      <c r="R1169" s="248"/>
      <c r="S1169" s="256"/>
      <c r="T1169" s="256"/>
      <c r="U1169" s="256"/>
      <c r="V1169" s="252"/>
      <c r="W1169" s="524"/>
      <c r="X1169" s="256"/>
      <c r="Y1169" s="252"/>
      <c r="Z1169" s="252"/>
      <c r="AA1169" s="257"/>
      <c r="AC1169" s="244"/>
      <c r="AD1169" s="244"/>
      <c r="AE1169" s="256"/>
      <c r="AF1169" s="256"/>
    </row>
    <row r="1170" spans="4:32" x14ac:dyDescent="0.3">
      <c r="D1170" s="513"/>
      <c r="E1170" s="513"/>
      <c r="F1170" s="515"/>
      <c r="G1170" s="515"/>
      <c r="I1170" s="513"/>
      <c r="J1170" s="255"/>
      <c r="K1170" s="255"/>
      <c r="L1170" s="514"/>
      <c r="M1170" s="252"/>
      <c r="N1170" s="244"/>
      <c r="O1170" s="244"/>
      <c r="P1170" s="252"/>
      <c r="Q1170" s="248"/>
      <c r="R1170" s="248"/>
      <c r="S1170" s="256"/>
      <c r="T1170" s="256"/>
      <c r="U1170" s="256"/>
      <c r="V1170" s="252"/>
      <c r="W1170" s="524"/>
      <c r="X1170" s="256"/>
      <c r="Y1170" s="252"/>
      <c r="Z1170" s="252"/>
      <c r="AA1170" s="257"/>
      <c r="AC1170" s="244"/>
      <c r="AD1170" s="244"/>
      <c r="AE1170" s="256"/>
      <c r="AF1170" s="256"/>
    </row>
    <row r="1171" spans="4:32" x14ac:dyDescent="0.3">
      <c r="D1171" s="513"/>
      <c r="E1171" s="513"/>
      <c r="F1171" s="515"/>
      <c r="G1171" s="515"/>
      <c r="I1171" s="513"/>
      <c r="J1171" s="255"/>
      <c r="K1171" s="255"/>
      <c r="L1171" s="514"/>
      <c r="M1171" s="252"/>
      <c r="N1171" s="244"/>
      <c r="O1171" s="244"/>
      <c r="P1171" s="252"/>
      <c r="Q1171" s="248"/>
      <c r="R1171" s="248"/>
      <c r="S1171" s="256"/>
      <c r="T1171" s="256"/>
      <c r="U1171" s="256"/>
      <c r="V1171" s="252"/>
      <c r="W1171" s="524"/>
      <c r="X1171" s="256"/>
      <c r="Y1171" s="252"/>
      <c r="Z1171" s="252"/>
      <c r="AA1171" s="257"/>
      <c r="AC1171" s="244"/>
      <c r="AD1171" s="244"/>
      <c r="AE1171" s="256"/>
      <c r="AF1171" s="256"/>
    </row>
    <row r="1172" spans="4:32" x14ac:dyDescent="0.3">
      <c r="D1172" s="513"/>
      <c r="E1172" s="513"/>
      <c r="F1172" s="515"/>
      <c r="G1172" s="515"/>
      <c r="I1172" s="513"/>
      <c r="J1172" s="255"/>
      <c r="K1172" s="255"/>
      <c r="L1172" s="514"/>
      <c r="M1172" s="252"/>
      <c r="N1172" s="244"/>
      <c r="O1172" s="244"/>
      <c r="P1172" s="252"/>
      <c r="Q1172" s="248"/>
      <c r="R1172" s="248"/>
      <c r="S1172" s="256"/>
      <c r="T1172" s="256"/>
      <c r="U1172" s="256"/>
      <c r="V1172" s="252"/>
      <c r="W1172" s="524"/>
      <c r="X1172" s="256"/>
      <c r="Y1172" s="252"/>
      <c r="Z1172" s="252"/>
      <c r="AA1172" s="257"/>
      <c r="AC1172" s="244"/>
      <c r="AD1172" s="244"/>
      <c r="AE1172" s="256"/>
      <c r="AF1172" s="256"/>
    </row>
    <row r="1173" spans="4:32" x14ac:dyDescent="0.3">
      <c r="D1173" s="513"/>
      <c r="E1173" s="513"/>
      <c r="F1173" s="515"/>
      <c r="G1173" s="515"/>
      <c r="I1173" s="513"/>
      <c r="J1173" s="255"/>
      <c r="K1173" s="255"/>
      <c r="L1173" s="514"/>
      <c r="M1173" s="252"/>
      <c r="N1173" s="244"/>
      <c r="O1173" s="244"/>
      <c r="P1173" s="252"/>
      <c r="Q1173" s="248"/>
      <c r="R1173" s="248"/>
      <c r="S1173" s="256"/>
      <c r="T1173" s="256"/>
      <c r="U1173" s="256"/>
      <c r="V1173" s="252"/>
      <c r="W1173" s="524"/>
      <c r="X1173" s="256"/>
      <c r="Y1173" s="252"/>
      <c r="Z1173" s="252"/>
      <c r="AA1173" s="257"/>
      <c r="AC1173" s="244"/>
      <c r="AD1173" s="244"/>
      <c r="AE1173" s="256"/>
      <c r="AF1173" s="256"/>
    </row>
    <row r="1174" spans="4:32" x14ac:dyDescent="0.3">
      <c r="D1174" s="513"/>
      <c r="E1174" s="513"/>
      <c r="F1174" s="515"/>
      <c r="G1174" s="515"/>
      <c r="I1174" s="513"/>
      <c r="J1174" s="255"/>
      <c r="K1174" s="255"/>
      <c r="L1174" s="514"/>
      <c r="M1174" s="252"/>
      <c r="N1174" s="244"/>
      <c r="O1174" s="244"/>
      <c r="P1174" s="252"/>
      <c r="Q1174" s="248"/>
      <c r="R1174" s="248"/>
      <c r="S1174" s="256"/>
      <c r="T1174" s="256"/>
      <c r="U1174" s="256"/>
      <c r="V1174" s="252"/>
      <c r="W1174" s="524"/>
      <c r="X1174" s="256"/>
      <c r="Y1174" s="252"/>
      <c r="Z1174" s="252"/>
      <c r="AA1174" s="257"/>
      <c r="AC1174" s="244"/>
      <c r="AD1174" s="244"/>
      <c r="AE1174" s="256"/>
      <c r="AF1174" s="256"/>
    </row>
    <row r="1175" spans="4:32" x14ac:dyDescent="0.3">
      <c r="D1175" s="513"/>
      <c r="E1175" s="513"/>
      <c r="F1175" s="515"/>
      <c r="G1175" s="515"/>
      <c r="I1175" s="513"/>
      <c r="J1175" s="255"/>
      <c r="K1175" s="255"/>
      <c r="L1175" s="514"/>
      <c r="M1175" s="252"/>
      <c r="N1175" s="244"/>
      <c r="O1175" s="244"/>
      <c r="P1175" s="252"/>
      <c r="Q1175" s="248"/>
      <c r="R1175" s="248"/>
      <c r="S1175" s="256"/>
      <c r="T1175" s="256"/>
      <c r="U1175" s="256"/>
      <c r="V1175" s="252"/>
      <c r="W1175" s="524"/>
      <c r="X1175" s="256"/>
      <c r="Y1175" s="252"/>
      <c r="Z1175" s="252"/>
      <c r="AA1175" s="257"/>
      <c r="AC1175" s="244"/>
      <c r="AD1175" s="244"/>
      <c r="AE1175" s="256"/>
      <c r="AF1175" s="256"/>
    </row>
    <row r="1176" spans="4:32" x14ac:dyDescent="0.3">
      <c r="D1176" s="513"/>
      <c r="E1176" s="513"/>
      <c r="F1176" s="515"/>
      <c r="G1176" s="515"/>
      <c r="I1176" s="513"/>
      <c r="J1176" s="255"/>
      <c r="K1176" s="255"/>
      <c r="L1176" s="514"/>
      <c r="M1176" s="252"/>
      <c r="N1176" s="244"/>
      <c r="O1176" s="244"/>
      <c r="P1176" s="252"/>
      <c r="Q1176" s="248"/>
      <c r="R1176" s="248"/>
      <c r="S1176" s="256"/>
      <c r="T1176" s="256"/>
      <c r="U1176" s="256"/>
      <c r="V1176" s="252"/>
      <c r="W1176" s="524"/>
      <c r="X1176" s="256"/>
      <c r="Y1176" s="252"/>
      <c r="Z1176" s="252"/>
      <c r="AA1176" s="257"/>
      <c r="AC1176" s="244"/>
      <c r="AD1176" s="244"/>
      <c r="AE1176" s="256"/>
      <c r="AF1176" s="256"/>
    </row>
    <row r="1177" spans="4:32" x14ac:dyDescent="0.3">
      <c r="D1177" s="513"/>
      <c r="E1177" s="513"/>
      <c r="F1177" s="515"/>
      <c r="G1177" s="515"/>
      <c r="I1177" s="513"/>
      <c r="J1177" s="255"/>
      <c r="K1177" s="255"/>
      <c r="L1177" s="514"/>
      <c r="M1177" s="252"/>
      <c r="N1177" s="244"/>
      <c r="O1177" s="244"/>
      <c r="P1177" s="252"/>
      <c r="Q1177" s="248"/>
      <c r="R1177" s="248"/>
      <c r="S1177" s="256"/>
      <c r="T1177" s="256"/>
      <c r="U1177" s="256"/>
      <c r="V1177" s="252"/>
      <c r="W1177" s="524"/>
      <c r="X1177" s="256"/>
      <c r="Y1177" s="252"/>
      <c r="Z1177" s="252"/>
      <c r="AA1177" s="257"/>
      <c r="AC1177" s="244"/>
      <c r="AD1177" s="244"/>
      <c r="AE1177" s="256"/>
      <c r="AF1177" s="256"/>
    </row>
    <row r="1178" spans="4:32" x14ac:dyDescent="0.3">
      <c r="D1178" s="513"/>
      <c r="E1178" s="513"/>
      <c r="F1178" s="515"/>
      <c r="G1178" s="515"/>
      <c r="I1178" s="513"/>
      <c r="J1178" s="255"/>
      <c r="K1178" s="255"/>
      <c r="L1178" s="514"/>
      <c r="M1178" s="252"/>
      <c r="N1178" s="244"/>
      <c r="O1178" s="244"/>
      <c r="P1178" s="252"/>
      <c r="Q1178" s="248"/>
      <c r="R1178" s="248"/>
      <c r="S1178" s="256"/>
      <c r="T1178" s="256"/>
      <c r="U1178" s="256"/>
      <c r="V1178" s="252"/>
      <c r="W1178" s="524"/>
      <c r="X1178" s="256"/>
      <c r="Y1178" s="252"/>
      <c r="Z1178" s="252"/>
      <c r="AA1178" s="257"/>
      <c r="AC1178" s="244"/>
      <c r="AD1178" s="244"/>
      <c r="AE1178" s="256"/>
      <c r="AF1178" s="256"/>
    </row>
    <row r="1179" spans="4:32" x14ac:dyDescent="0.3">
      <c r="D1179" s="513"/>
      <c r="E1179" s="513"/>
      <c r="F1179" s="515"/>
      <c r="G1179" s="515"/>
      <c r="I1179" s="513"/>
      <c r="J1179" s="255"/>
      <c r="K1179" s="255"/>
      <c r="L1179" s="514"/>
      <c r="M1179" s="252"/>
      <c r="N1179" s="244"/>
      <c r="O1179" s="244"/>
      <c r="P1179" s="252"/>
      <c r="Q1179" s="248"/>
      <c r="R1179" s="248"/>
      <c r="S1179" s="256"/>
      <c r="T1179" s="256"/>
      <c r="U1179" s="256"/>
      <c r="V1179" s="252"/>
      <c r="W1179" s="524"/>
      <c r="X1179" s="256"/>
      <c r="Y1179" s="252"/>
      <c r="Z1179" s="252"/>
      <c r="AA1179" s="257"/>
      <c r="AC1179" s="244"/>
      <c r="AD1179" s="244"/>
      <c r="AE1179" s="256"/>
      <c r="AF1179" s="256"/>
    </row>
    <row r="1180" spans="4:32" x14ac:dyDescent="0.3">
      <c r="D1180" s="513"/>
      <c r="E1180" s="513"/>
      <c r="F1180" s="515"/>
      <c r="G1180" s="515"/>
      <c r="I1180" s="513"/>
      <c r="J1180" s="255"/>
      <c r="K1180" s="255"/>
      <c r="L1180" s="514"/>
      <c r="M1180" s="252"/>
      <c r="N1180" s="244"/>
      <c r="O1180" s="244"/>
      <c r="P1180" s="252"/>
      <c r="Q1180" s="248"/>
      <c r="R1180" s="248"/>
      <c r="S1180" s="256"/>
      <c r="T1180" s="256"/>
      <c r="U1180" s="256"/>
      <c r="V1180" s="252"/>
      <c r="W1180" s="524"/>
      <c r="X1180" s="256"/>
      <c r="Y1180" s="252"/>
      <c r="Z1180" s="252"/>
      <c r="AA1180" s="257"/>
      <c r="AC1180" s="244"/>
      <c r="AD1180" s="244"/>
      <c r="AE1180" s="256"/>
      <c r="AF1180" s="256"/>
    </row>
    <row r="1181" spans="4:32" x14ac:dyDescent="0.3">
      <c r="D1181" s="513"/>
      <c r="E1181" s="513"/>
      <c r="F1181" s="515"/>
      <c r="G1181" s="515"/>
      <c r="I1181" s="513"/>
      <c r="J1181" s="255"/>
      <c r="K1181" s="255"/>
      <c r="L1181" s="514"/>
      <c r="M1181" s="252"/>
      <c r="N1181" s="244"/>
      <c r="O1181" s="244"/>
      <c r="P1181" s="252"/>
      <c r="Q1181" s="248"/>
      <c r="R1181" s="248"/>
      <c r="S1181" s="256"/>
      <c r="T1181" s="256"/>
      <c r="U1181" s="256"/>
      <c r="V1181" s="252"/>
      <c r="W1181" s="524"/>
      <c r="X1181" s="256"/>
      <c r="Y1181" s="252"/>
      <c r="Z1181" s="252"/>
      <c r="AA1181" s="257"/>
      <c r="AC1181" s="244"/>
      <c r="AD1181" s="244"/>
      <c r="AE1181" s="256"/>
      <c r="AF1181" s="256"/>
    </row>
    <row r="1182" spans="4:32" x14ac:dyDescent="0.3">
      <c r="D1182" s="513"/>
      <c r="E1182" s="513"/>
      <c r="F1182" s="515"/>
      <c r="G1182" s="515"/>
      <c r="I1182" s="513"/>
      <c r="J1182" s="255"/>
      <c r="K1182" s="255"/>
      <c r="L1182" s="514"/>
      <c r="M1182" s="252"/>
      <c r="N1182" s="244"/>
      <c r="O1182" s="244"/>
      <c r="P1182" s="252"/>
      <c r="Q1182" s="248"/>
      <c r="R1182" s="248"/>
      <c r="S1182" s="256"/>
      <c r="T1182" s="256"/>
      <c r="U1182" s="256"/>
      <c r="V1182" s="252"/>
      <c r="W1182" s="524"/>
      <c r="X1182" s="256"/>
      <c r="Y1182" s="252"/>
      <c r="Z1182" s="252"/>
      <c r="AA1182" s="257"/>
      <c r="AC1182" s="244"/>
      <c r="AD1182" s="244"/>
      <c r="AE1182" s="256"/>
      <c r="AF1182" s="256"/>
    </row>
    <row r="1183" spans="4:32" x14ac:dyDescent="0.3">
      <c r="D1183" s="513"/>
      <c r="E1183" s="513"/>
      <c r="F1183" s="515"/>
      <c r="G1183" s="515"/>
      <c r="I1183" s="513"/>
      <c r="J1183" s="255"/>
      <c r="K1183" s="255"/>
      <c r="L1183" s="514"/>
      <c r="M1183" s="252"/>
      <c r="N1183" s="244"/>
      <c r="O1183" s="244"/>
      <c r="P1183" s="252"/>
      <c r="Q1183" s="248"/>
      <c r="R1183" s="248"/>
      <c r="S1183" s="256"/>
      <c r="T1183" s="256"/>
      <c r="U1183" s="256"/>
      <c r="V1183" s="252"/>
      <c r="W1183" s="524"/>
      <c r="X1183" s="256"/>
      <c r="Y1183" s="252"/>
      <c r="Z1183" s="252"/>
      <c r="AA1183" s="257"/>
      <c r="AC1183" s="244"/>
      <c r="AD1183" s="244"/>
      <c r="AE1183" s="256"/>
      <c r="AF1183" s="256"/>
    </row>
    <row r="1184" spans="4:32" x14ac:dyDescent="0.3">
      <c r="D1184" s="513"/>
      <c r="E1184" s="513"/>
      <c r="F1184" s="515"/>
      <c r="G1184" s="515"/>
      <c r="I1184" s="513"/>
      <c r="J1184" s="255"/>
      <c r="K1184" s="255"/>
      <c r="L1184" s="514"/>
      <c r="M1184" s="252"/>
      <c r="N1184" s="244"/>
      <c r="O1184" s="244"/>
      <c r="P1184" s="252"/>
      <c r="Q1184" s="248"/>
      <c r="R1184" s="248"/>
      <c r="S1184" s="256"/>
      <c r="T1184" s="256"/>
      <c r="U1184" s="256"/>
      <c r="V1184" s="252"/>
      <c r="W1184" s="524"/>
      <c r="X1184" s="256"/>
      <c r="Y1184" s="252"/>
      <c r="Z1184" s="252"/>
      <c r="AA1184" s="257"/>
      <c r="AC1184" s="244"/>
      <c r="AD1184" s="244"/>
      <c r="AE1184" s="256"/>
      <c r="AF1184" s="256"/>
    </row>
    <row r="1185" spans="4:32" x14ac:dyDescent="0.3">
      <c r="D1185" s="513"/>
      <c r="E1185" s="513"/>
      <c r="F1185" s="515"/>
      <c r="G1185" s="515"/>
      <c r="I1185" s="513"/>
      <c r="J1185" s="255"/>
      <c r="K1185" s="255"/>
      <c r="L1185" s="514"/>
      <c r="M1185" s="252"/>
      <c r="N1185" s="244"/>
      <c r="O1185" s="244"/>
      <c r="P1185" s="252"/>
      <c r="Q1185" s="248"/>
      <c r="R1185" s="248"/>
      <c r="S1185" s="256"/>
      <c r="T1185" s="256"/>
      <c r="U1185" s="256"/>
      <c r="V1185" s="252"/>
      <c r="W1185" s="524"/>
      <c r="X1185" s="256"/>
      <c r="Y1185" s="252"/>
      <c r="Z1185" s="252"/>
      <c r="AA1185" s="257"/>
      <c r="AC1185" s="244"/>
      <c r="AD1185" s="244"/>
      <c r="AE1185" s="256"/>
      <c r="AF1185" s="256"/>
    </row>
    <row r="1186" spans="4:32" x14ac:dyDescent="0.3">
      <c r="D1186" s="513"/>
      <c r="E1186" s="513"/>
      <c r="F1186" s="515"/>
      <c r="G1186" s="515"/>
      <c r="I1186" s="513"/>
      <c r="J1186" s="255"/>
      <c r="K1186" s="255"/>
      <c r="L1186" s="514"/>
      <c r="M1186" s="252"/>
      <c r="N1186" s="244"/>
      <c r="O1186" s="244"/>
      <c r="P1186" s="252"/>
      <c r="Q1186" s="248"/>
      <c r="R1186" s="248"/>
      <c r="S1186" s="256"/>
      <c r="T1186" s="256"/>
      <c r="U1186" s="256"/>
      <c r="V1186" s="252"/>
      <c r="W1186" s="524"/>
      <c r="X1186" s="256"/>
      <c r="Y1186" s="252"/>
      <c r="Z1186" s="252"/>
      <c r="AA1186" s="257"/>
      <c r="AC1186" s="244"/>
      <c r="AD1186" s="244"/>
      <c r="AE1186" s="256"/>
      <c r="AF1186" s="256"/>
    </row>
    <row r="1187" spans="4:32" x14ac:dyDescent="0.3">
      <c r="D1187" s="513"/>
      <c r="E1187" s="513"/>
      <c r="F1187" s="515"/>
      <c r="G1187" s="515"/>
      <c r="I1187" s="513"/>
      <c r="J1187" s="255"/>
      <c r="K1187" s="255"/>
      <c r="L1187" s="514"/>
      <c r="M1187" s="252"/>
      <c r="N1187" s="244"/>
      <c r="O1187" s="244"/>
      <c r="P1187" s="252"/>
      <c r="Q1187" s="248"/>
      <c r="R1187" s="248"/>
      <c r="S1187" s="256"/>
      <c r="T1187" s="256"/>
      <c r="U1187" s="256"/>
      <c r="V1187" s="252"/>
      <c r="W1187" s="524"/>
      <c r="X1187" s="256"/>
      <c r="Y1187" s="252"/>
      <c r="Z1187" s="252"/>
      <c r="AA1187" s="257"/>
      <c r="AC1187" s="244"/>
      <c r="AD1187" s="244"/>
      <c r="AE1187" s="256"/>
      <c r="AF1187" s="256"/>
    </row>
    <row r="1188" spans="4:32" x14ac:dyDescent="0.3">
      <c r="D1188" s="513"/>
      <c r="E1188" s="513"/>
      <c r="F1188" s="515"/>
      <c r="G1188" s="515"/>
      <c r="I1188" s="513"/>
      <c r="J1188" s="255"/>
      <c r="K1188" s="255"/>
      <c r="L1188" s="514"/>
      <c r="M1188" s="252"/>
      <c r="N1188" s="244"/>
      <c r="O1188" s="244"/>
      <c r="P1188" s="252"/>
      <c r="Q1188" s="248"/>
      <c r="R1188" s="248"/>
      <c r="S1188" s="256"/>
      <c r="T1188" s="256"/>
      <c r="U1188" s="256"/>
      <c r="V1188" s="252"/>
      <c r="W1188" s="524"/>
      <c r="X1188" s="256"/>
      <c r="Y1188" s="252"/>
      <c r="Z1188" s="252"/>
      <c r="AA1188" s="257"/>
      <c r="AC1188" s="244"/>
      <c r="AD1188" s="244"/>
      <c r="AE1188" s="256"/>
      <c r="AF1188" s="256"/>
    </row>
    <row r="1189" spans="4:32" x14ac:dyDescent="0.3">
      <c r="D1189" s="513"/>
      <c r="E1189" s="513"/>
      <c r="F1189" s="515"/>
      <c r="G1189" s="515"/>
      <c r="I1189" s="513"/>
      <c r="J1189" s="255"/>
      <c r="K1189" s="255"/>
      <c r="L1189" s="514"/>
      <c r="M1189" s="252"/>
      <c r="N1189" s="244"/>
      <c r="O1189" s="244"/>
      <c r="P1189" s="252"/>
      <c r="Q1189" s="248"/>
      <c r="R1189" s="248"/>
      <c r="S1189" s="256"/>
      <c r="T1189" s="256"/>
      <c r="U1189" s="256"/>
      <c r="V1189" s="252"/>
      <c r="W1189" s="524"/>
      <c r="X1189" s="256"/>
      <c r="Y1189" s="252"/>
      <c r="Z1189" s="252"/>
      <c r="AA1189" s="257"/>
      <c r="AC1189" s="244"/>
      <c r="AD1189" s="244"/>
      <c r="AE1189" s="256"/>
      <c r="AF1189" s="256"/>
    </row>
    <row r="1190" spans="4:32" x14ac:dyDescent="0.3">
      <c r="D1190" s="513"/>
      <c r="E1190" s="513"/>
      <c r="F1190" s="515"/>
      <c r="G1190" s="515"/>
      <c r="I1190" s="513"/>
      <c r="J1190" s="255"/>
      <c r="K1190" s="255"/>
      <c r="L1190" s="514"/>
      <c r="M1190" s="252"/>
      <c r="N1190" s="244"/>
      <c r="O1190" s="244"/>
      <c r="P1190" s="252"/>
      <c r="Q1190" s="248"/>
      <c r="R1190" s="248"/>
      <c r="S1190" s="256"/>
      <c r="T1190" s="256"/>
      <c r="U1190" s="256"/>
      <c r="V1190" s="252"/>
      <c r="W1190" s="524"/>
      <c r="X1190" s="256"/>
      <c r="Y1190" s="252"/>
      <c r="Z1190" s="252"/>
      <c r="AA1190" s="257"/>
      <c r="AC1190" s="244"/>
      <c r="AD1190" s="244"/>
      <c r="AE1190" s="256"/>
      <c r="AF1190" s="256"/>
    </row>
    <row r="1191" spans="4:32" x14ac:dyDescent="0.3">
      <c r="D1191" s="513"/>
      <c r="E1191" s="513"/>
      <c r="F1191" s="515"/>
      <c r="G1191" s="515"/>
      <c r="I1191" s="513"/>
      <c r="J1191" s="255"/>
      <c r="K1191" s="255"/>
      <c r="L1191" s="514"/>
      <c r="M1191" s="252"/>
      <c r="N1191" s="244"/>
      <c r="O1191" s="244"/>
      <c r="P1191" s="252"/>
      <c r="Q1191" s="248"/>
      <c r="R1191" s="248"/>
      <c r="S1191" s="256"/>
      <c r="T1191" s="256"/>
      <c r="U1191" s="256"/>
      <c r="V1191" s="252"/>
      <c r="W1191" s="524"/>
      <c r="X1191" s="256"/>
      <c r="Y1191" s="252"/>
      <c r="Z1191" s="252"/>
      <c r="AA1191" s="257"/>
      <c r="AC1191" s="244"/>
      <c r="AD1191" s="244"/>
      <c r="AE1191" s="256"/>
      <c r="AF1191" s="256"/>
    </row>
    <row r="1192" spans="4:32" x14ac:dyDescent="0.3">
      <c r="D1192" s="513"/>
      <c r="E1192" s="513"/>
      <c r="F1192" s="515"/>
      <c r="G1192" s="515"/>
      <c r="I1192" s="513"/>
      <c r="J1192" s="255"/>
      <c r="K1192" s="255"/>
      <c r="L1192" s="514"/>
      <c r="M1192" s="252"/>
      <c r="N1192" s="244"/>
      <c r="O1192" s="244"/>
      <c r="P1192" s="252"/>
      <c r="Q1192" s="248"/>
      <c r="R1192" s="248"/>
      <c r="S1192" s="256"/>
      <c r="T1192" s="256"/>
      <c r="U1192" s="256"/>
      <c r="V1192" s="252"/>
      <c r="W1192" s="524"/>
      <c r="X1192" s="256"/>
      <c r="Y1192" s="252"/>
      <c r="Z1192" s="252"/>
      <c r="AA1192" s="257"/>
      <c r="AC1192" s="244"/>
      <c r="AD1192" s="244"/>
      <c r="AE1192" s="256"/>
      <c r="AF1192" s="256"/>
    </row>
    <row r="1193" spans="4:32" x14ac:dyDescent="0.3">
      <c r="D1193" s="513"/>
      <c r="E1193" s="513"/>
      <c r="F1193" s="515"/>
      <c r="G1193" s="515"/>
      <c r="I1193" s="513"/>
      <c r="J1193" s="255"/>
      <c r="K1193" s="255"/>
      <c r="L1193" s="514"/>
      <c r="M1193" s="252"/>
      <c r="N1193" s="244"/>
      <c r="O1193" s="244"/>
      <c r="P1193" s="252"/>
      <c r="Q1193" s="248"/>
      <c r="R1193" s="248"/>
      <c r="S1193" s="256"/>
      <c r="T1193" s="256"/>
      <c r="U1193" s="256"/>
      <c r="V1193" s="252"/>
      <c r="W1193" s="524"/>
      <c r="X1193" s="256"/>
      <c r="Y1193" s="252"/>
      <c r="Z1193" s="252"/>
      <c r="AA1193" s="257"/>
      <c r="AC1193" s="244"/>
      <c r="AD1193" s="244"/>
      <c r="AE1193" s="256"/>
      <c r="AF1193" s="256"/>
    </row>
    <row r="1194" spans="4:32" x14ac:dyDescent="0.3">
      <c r="D1194" s="513"/>
      <c r="E1194" s="513"/>
      <c r="F1194" s="515"/>
      <c r="G1194" s="515"/>
      <c r="I1194" s="513"/>
      <c r="J1194" s="255"/>
      <c r="K1194" s="255"/>
      <c r="L1194" s="514"/>
      <c r="M1194" s="252"/>
      <c r="N1194" s="244"/>
      <c r="O1194" s="244"/>
      <c r="P1194" s="252"/>
      <c r="Q1194" s="248"/>
      <c r="R1194" s="248"/>
      <c r="S1194" s="256"/>
      <c r="T1194" s="256"/>
      <c r="U1194" s="256"/>
      <c r="V1194" s="252"/>
      <c r="W1194" s="524"/>
      <c r="X1194" s="256"/>
      <c r="Y1194" s="252"/>
      <c r="Z1194" s="252"/>
      <c r="AA1194" s="257"/>
      <c r="AC1194" s="244"/>
      <c r="AD1194" s="244"/>
      <c r="AE1194" s="256"/>
      <c r="AF1194" s="256"/>
    </row>
    <row r="1195" spans="4:32" x14ac:dyDescent="0.3">
      <c r="D1195" s="513"/>
      <c r="E1195" s="513"/>
      <c r="F1195" s="515"/>
      <c r="G1195" s="515"/>
      <c r="I1195" s="513"/>
      <c r="J1195" s="255"/>
      <c r="K1195" s="255"/>
      <c r="L1195" s="514"/>
      <c r="M1195" s="252"/>
      <c r="N1195" s="244"/>
      <c r="O1195" s="244"/>
      <c r="P1195" s="252"/>
      <c r="Q1195" s="248"/>
      <c r="R1195" s="248"/>
      <c r="S1195" s="256"/>
      <c r="T1195" s="256"/>
      <c r="U1195" s="256"/>
      <c r="V1195" s="252"/>
      <c r="W1195" s="524"/>
      <c r="X1195" s="256"/>
      <c r="Y1195" s="252"/>
      <c r="Z1195" s="252"/>
      <c r="AA1195" s="257"/>
      <c r="AC1195" s="244"/>
      <c r="AD1195" s="244"/>
      <c r="AE1195" s="256"/>
      <c r="AF1195" s="256"/>
    </row>
    <row r="1196" spans="4:32" x14ac:dyDescent="0.3">
      <c r="D1196" s="513"/>
      <c r="E1196" s="513"/>
      <c r="F1196" s="515"/>
      <c r="G1196" s="515"/>
      <c r="I1196" s="513"/>
      <c r="J1196" s="255"/>
      <c r="K1196" s="255"/>
      <c r="L1196" s="514"/>
      <c r="M1196" s="252"/>
      <c r="N1196" s="244"/>
      <c r="O1196" s="244"/>
      <c r="P1196" s="252"/>
      <c r="Q1196" s="248"/>
      <c r="R1196" s="248"/>
      <c r="S1196" s="256"/>
      <c r="T1196" s="256"/>
      <c r="U1196" s="256"/>
      <c r="V1196" s="252"/>
      <c r="W1196" s="524"/>
      <c r="X1196" s="256"/>
      <c r="Y1196" s="252"/>
      <c r="Z1196" s="252"/>
      <c r="AA1196" s="257"/>
      <c r="AC1196" s="244"/>
      <c r="AD1196" s="244"/>
      <c r="AE1196" s="256"/>
      <c r="AF1196" s="256"/>
    </row>
    <row r="1197" spans="4:32" x14ac:dyDescent="0.3">
      <c r="D1197" s="513"/>
      <c r="E1197" s="513"/>
      <c r="F1197" s="515"/>
      <c r="G1197" s="515"/>
      <c r="I1197" s="513"/>
      <c r="J1197" s="255"/>
      <c r="K1197" s="255"/>
      <c r="L1197" s="514"/>
      <c r="M1197" s="252"/>
      <c r="N1197" s="244"/>
      <c r="O1197" s="244"/>
      <c r="P1197" s="252"/>
      <c r="Q1197" s="248"/>
      <c r="R1197" s="248"/>
      <c r="S1197" s="256"/>
      <c r="T1197" s="256"/>
      <c r="U1197" s="256"/>
      <c r="V1197" s="252"/>
      <c r="W1197" s="524"/>
      <c r="X1197" s="256"/>
      <c r="Y1197" s="252"/>
      <c r="Z1197" s="252"/>
      <c r="AA1197" s="257"/>
      <c r="AC1197" s="244"/>
      <c r="AD1197" s="244"/>
      <c r="AE1197" s="256"/>
      <c r="AF1197" s="256"/>
    </row>
    <row r="1198" spans="4:32" x14ac:dyDescent="0.3">
      <c r="D1198" s="513"/>
      <c r="E1198" s="513"/>
      <c r="F1198" s="515"/>
      <c r="G1198" s="515"/>
      <c r="I1198" s="513"/>
      <c r="J1198" s="255"/>
      <c r="K1198" s="255"/>
      <c r="L1198" s="514"/>
      <c r="M1198" s="252"/>
      <c r="N1198" s="244"/>
      <c r="O1198" s="244"/>
      <c r="P1198" s="252"/>
      <c r="Q1198" s="248"/>
      <c r="R1198" s="248"/>
      <c r="S1198" s="256"/>
      <c r="T1198" s="256"/>
      <c r="U1198" s="256"/>
      <c r="V1198" s="252"/>
      <c r="W1198" s="524"/>
      <c r="X1198" s="256"/>
      <c r="Y1198" s="252"/>
      <c r="Z1198" s="252"/>
      <c r="AA1198" s="257"/>
      <c r="AC1198" s="244"/>
      <c r="AD1198" s="244"/>
      <c r="AE1198" s="256"/>
      <c r="AF1198" s="256"/>
    </row>
    <row r="1199" spans="4:32" x14ac:dyDescent="0.3">
      <c r="D1199" s="513"/>
      <c r="E1199" s="513"/>
      <c r="F1199" s="515"/>
      <c r="G1199" s="515"/>
      <c r="I1199" s="513"/>
      <c r="J1199" s="255"/>
      <c r="K1199" s="255"/>
      <c r="L1199" s="514"/>
      <c r="M1199" s="252"/>
      <c r="N1199" s="244"/>
      <c r="O1199" s="244"/>
      <c r="P1199" s="252"/>
      <c r="Q1199" s="248"/>
      <c r="R1199" s="248"/>
      <c r="S1199" s="256"/>
      <c r="T1199" s="256"/>
      <c r="U1199" s="256"/>
      <c r="V1199" s="252"/>
      <c r="W1199" s="524"/>
      <c r="X1199" s="256"/>
      <c r="Y1199" s="252"/>
      <c r="Z1199" s="252"/>
      <c r="AA1199" s="257"/>
      <c r="AC1199" s="244"/>
      <c r="AD1199" s="244"/>
      <c r="AE1199" s="256"/>
      <c r="AF1199" s="256"/>
    </row>
    <row r="1200" spans="4:32" x14ac:dyDescent="0.3">
      <c r="D1200" s="513"/>
      <c r="E1200" s="513"/>
      <c r="F1200" s="515"/>
      <c r="G1200" s="515"/>
      <c r="I1200" s="513"/>
      <c r="J1200" s="255"/>
      <c r="K1200" s="255"/>
      <c r="L1200" s="514"/>
      <c r="M1200" s="252"/>
      <c r="N1200" s="244"/>
      <c r="O1200" s="244"/>
      <c r="P1200" s="252"/>
      <c r="Q1200" s="248"/>
      <c r="R1200" s="248"/>
      <c r="S1200" s="256"/>
      <c r="T1200" s="256"/>
      <c r="U1200" s="256"/>
      <c r="V1200" s="252"/>
      <c r="W1200" s="524"/>
      <c r="X1200" s="256"/>
      <c r="Y1200" s="252"/>
      <c r="Z1200" s="252"/>
      <c r="AA1200" s="257"/>
      <c r="AC1200" s="244"/>
      <c r="AD1200" s="244"/>
      <c r="AE1200" s="256"/>
      <c r="AF1200" s="256"/>
    </row>
    <row r="1201" spans="4:32" x14ac:dyDescent="0.3">
      <c r="D1201" s="513"/>
      <c r="E1201" s="513"/>
      <c r="F1201" s="515"/>
      <c r="G1201" s="515"/>
      <c r="I1201" s="513"/>
      <c r="J1201" s="255"/>
      <c r="K1201" s="255"/>
      <c r="L1201" s="514"/>
      <c r="M1201" s="252"/>
      <c r="N1201" s="244"/>
      <c r="O1201" s="244"/>
      <c r="P1201" s="252"/>
      <c r="Q1201" s="248"/>
      <c r="R1201" s="248"/>
      <c r="S1201" s="256"/>
      <c r="T1201" s="256"/>
      <c r="U1201" s="256"/>
      <c r="V1201" s="252"/>
      <c r="W1201" s="524"/>
      <c r="X1201" s="256"/>
      <c r="Y1201" s="252"/>
      <c r="Z1201" s="252"/>
      <c r="AA1201" s="257"/>
      <c r="AC1201" s="244"/>
      <c r="AD1201" s="244"/>
      <c r="AE1201" s="256"/>
      <c r="AF1201" s="256"/>
    </row>
    <row r="1202" spans="4:32" x14ac:dyDescent="0.3">
      <c r="D1202" s="513"/>
      <c r="E1202" s="513"/>
      <c r="F1202" s="515"/>
      <c r="G1202" s="515"/>
      <c r="I1202" s="513"/>
      <c r="J1202" s="255"/>
      <c r="K1202" s="255"/>
      <c r="L1202" s="514"/>
      <c r="M1202" s="252"/>
      <c r="N1202" s="244"/>
      <c r="O1202" s="244"/>
      <c r="P1202" s="252"/>
      <c r="Q1202" s="248"/>
      <c r="R1202" s="248"/>
      <c r="S1202" s="256"/>
      <c r="T1202" s="256"/>
      <c r="U1202" s="256"/>
      <c r="V1202" s="252"/>
      <c r="W1202" s="524"/>
      <c r="X1202" s="256"/>
      <c r="Y1202" s="252"/>
      <c r="Z1202" s="252"/>
      <c r="AA1202" s="257"/>
      <c r="AC1202" s="244"/>
      <c r="AD1202" s="244"/>
      <c r="AE1202" s="256"/>
      <c r="AF1202" s="256"/>
    </row>
    <row r="1203" spans="4:32" x14ac:dyDescent="0.3">
      <c r="D1203" s="513"/>
      <c r="E1203" s="513"/>
      <c r="F1203" s="515"/>
      <c r="G1203" s="515"/>
      <c r="I1203" s="513"/>
      <c r="J1203" s="255"/>
      <c r="K1203" s="255"/>
      <c r="L1203" s="514"/>
      <c r="M1203" s="252"/>
      <c r="N1203" s="244"/>
      <c r="O1203" s="244"/>
      <c r="P1203" s="252"/>
      <c r="Q1203" s="248"/>
      <c r="R1203" s="248"/>
      <c r="S1203" s="256"/>
      <c r="T1203" s="256"/>
      <c r="U1203" s="256"/>
      <c r="V1203" s="252"/>
      <c r="W1203" s="524"/>
      <c r="X1203" s="256"/>
      <c r="Y1203" s="252"/>
      <c r="Z1203" s="252"/>
      <c r="AA1203" s="257"/>
      <c r="AC1203" s="244"/>
      <c r="AD1203" s="244"/>
      <c r="AE1203" s="256"/>
      <c r="AF1203" s="256"/>
    </row>
    <row r="1204" spans="4:32" x14ac:dyDescent="0.3">
      <c r="D1204" s="513"/>
      <c r="E1204" s="513"/>
      <c r="F1204" s="515"/>
      <c r="G1204" s="515"/>
      <c r="I1204" s="513"/>
      <c r="J1204" s="255"/>
      <c r="K1204" s="255"/>
      <c r="L1204" s="514"/>
      <c r="M1204" s="252"/>
      <c r="N1204" s="244"/>
      <c r="O1204" s="244"/>
      <c r="P1204" s="252"/>
      <c r="Q1204" s="248"/>
      <c r="R1204" s="248"/>
      <c r="S1204" s="256"/>
      <c r="T1204" s="256"/>
      <c r="U1204" s="256"/>
      <c r="V1204" s="252"/>
      <c r="W1204" s="524"/>
      <c r="X1204" s="256"/>
      <c r="Y1204" s="252"/>
      <c r="Z1204" s="252"/>
      <c r="AA1204" s="257"/>
      <c r="AC1204" s="244"/>
      <c r="AD1204" s="244"/>
      <c r="AE1204" s="256"/>
      <c r="AF1204" s="256"/>
    </row>
    <row r="1205" spans="4:32" x14ac:dyDescent="0.3">
      <c r="D1205" s="513"/>
      <c r="E1205" s="513"/>
      <c r="F1205" s="515"/>
      <c r="G1205" s="515"/>
      <c r="I1205" s="513"/>
      <c r="J1205" s="255"/>
      <c r="K1205" s="255"/>
      <c r="L1205" s="514"/>
      <c r="M1205" s="252"/>
      <c r="N1205" s="244"/>
      <c r="O1205" s="244"/>
      <c r="P1205" s="252"/>
      <c r="Q1205" s="248"/>
      <c r="R1205" s="248"/>
      <c r="S1205" s="256"/>
      <c r="T1205" s="256"/>
      <c r="U1205" s="256"/>
      <c r="V1205" s="252"/>
      <c r="W1205" s="524"/>
      <c r="X1205" s="256"/>
      <c r="Y1205" s="252"/>
      <c r="Z1205" s="252"/>
      <c r="AA1205" s="257"/>
      <c r="AC1205" s="244"/>
      <c r="AD1205" s="244"/>
      <c r="AE1205" s="256"/>
      <c r="AF1205" s="256"/>
    </row>
    <row r="1206" spans="4:32" x14ac:dyDescent="0.3">
      <c r="D1206" s="513"/>
      <c r="E1206" s="513"/>
      <c r="F1206" s="515"/>
      <c r="G1206" s="515"/>
      <c r="I1206" s="513"/>
      <c r="J1206" s="255"/>
      <c r="K1206" s="255"/>
      <c r="L1206" s="514"/>
      <c r="M1206" s="252"/>
      <c r="N1206" s="244"/>
      <c r="O1206" s="244"/>
      <c r="P1206" s="252"/>
      <c r="Q1206" s="248"/>
      <c r="R1206" s="248"/>
      <c r="S1206" s="256"/>
      <c r="T1206" s="256"/>
      <c r="U1206" s="256"/>
      <c r="V1206" s="252"/>
      <c r="W1206" s="524"/>
      <c r="X1206" s="256"/>
      <c r="Y1206" s="252"/>
      <c r="Z1206" s="252"/>
      <c r="AA1206" s="257"/>
      <c r="AC1206" s="244"/>
      <c r="AD1206" s="244"/>
      <c r="AE1206" s="256"/>
      <c r="AF1206" s="256"/>
    </row>
    <row r="1207" spans="4:32" x14ac:dyDescent="0.3">
      <c r="D1207" s="513"/>
      <c r="E1207" s="513"/>
      <c r="F1207" s="515"/>
      <c r="G1207" s="515"/>
      <c r="I1207" s="513"/>
      <c r="J1207" s="255"/>
      <c r="K1207" s="255"/>
      <c r="L1207" s="514"/>
      <c r="M1207" s="252"/>
      <c r="N1207" s="244"/>
      <c r="O1207" s="244"/>
      <c r="P1207" s="252"/>
      <c r="Q1207" s="248"/>
      <c r="R1207" s="248"/>
      <c r="S1207" s="256"/>
      <c r="T1207" s="256"/>
      <c r="U1207" s="256"/>
      <c r="V1207" s="252"/>
      <c r="W1207" s="524"/>
      <c r="X1207" s="256"/>
      <c r="Y1207" s="252"/>
      <c r="Z1207" s="252"/>
      <c r="AA1207" s="257"/>
      <c r="AC1207" s="244"/>
      <c r="AD1207" s="244"/>
      <c r="AE1207" s="256"/>
      <c r="AF1207" s="256"/>
    </row>
    <row r="1208" spans="4:32" x14ac:dyDescent="0.3">
      <c r="D1208" s="513"/>
      <c r="E1208" s="513"/>
      <c r="F1208" s="515"/>
      <c r="G1208" s="515"/>
      <c r="I1208" s="513"/>
      <c r="J1208" s="255"/>
      <c r="K1208" s="255"/>
      <c r="L1208" s="514"/>
      <c r="M1208" s="252"/>
      <c r="N1208" s="244"/>
      <c r="O1208" s="244"/>
      <c r="P1208" s="252"/>
      <c r="Q1208" s="248"/>
      <c r="R1208" s="248"/>
      <c r="S1208" s="256"/>
      <c r="T1208" s="256"/>
      <c r="U1208" s="256"/>
      <c r="V1208" s="252"/>
      <c r="W1208" s="524"/>
      <c r="X1208" s="256"/>
      <c r="Y1208" s="252"/>
      <c r="Z1208" s="252"/>
      <c r="AA1208" s="257"/>
      <c r="AC1208" s="244"/>
      <c r="AD1208" s="244"/>
      <c r="AE1208" s="256"/>
      <c r="AF1208" s="256"/>
    </row>
    <row r="1209" spans="4:32" x14ac:dyDescent="0.3">
      <c r="D1209" s="513"/>
      <c r="E1209" s="513"/>
      <c r="F1209" s="515"/>
      <c r="G1209" s="515"/>
      <c r="I1209" s="513"/>
      <c r="J1209" s="255"/>
      <c r="K1209" s="255"/>
      <c r="L1209" s="514"/>
      <c r="M1209" s="252"/>
      <c r="N1209" s="244"/>
      <c r="O1209" s="244"/>
      <c r="P1209" s="252"/>
      <c r="Q1209" s="248"/>
      <c r="R1209" s="248"/>
      <c r="S1209" s="256"/>
      <c r="T1209" s="256"/>
      <c r="U1209" s="256"/>
      <c r="V1209" s="252"/>
      <c r="W1209" s="524"/>
      <c r="X1209" s="256"/>
      <c r="Y1209" s="252"/>
      <c r="Z1209" s="252"/>
      <c r="AA1209" s="257"/>
      <c r="AC1209" s="244"/>
      <c r="AD1209" s="244"/>
      <c r="AE1209" s="256"/>
      <c r="AF1209" s="256"/>
    </row>
    <row r="1210" spans="4:32" x14ac:dyDescent="0.3">
      <c r="D1210" s="513"/>
      <c r="E1210" s="513"/>
      <c r="F1210" s="515"/>
      <c r="G1210" s="515"/>
      <c r="I1210" s="513"/>
      <c r="J1210" s="255"/>
      <c r="K1210" s="255"/>
      <c r="L1210" s="514"/>
      <c r="M1210" s="252"/>
      <c r="N1210" s="244"/>
      <c r="O1210" s="244"/>
      <c r="P1210" s="252"/>
      <c r="Q1210" s="248"/>
      <c r="R1210" s="248"/>
      <c r="S1210" s="256"/>
      <c r="T1210" s="256"/>
      <c r="U1210" s="256"/>
      <c r="V1210" s="252"/>
      <c r="W1210" s="524"/>
      <c r="X1210" s="256"/>
      <c r="Y1210" s="252"/>
      <c r="Z1210" s="252"/>
      <c r="AA1210" s="257"/>
      <c r="AC1210" s="244"/>
      <c r="AD1210" s="244"/>
      <c r="AE1210" s="256"/>
      <c r="AF1210" s="256"/>
    </row>
    <row r="1211" spans="4:32" x14ac:dyDescent="0.3">
      <c r="D1211" s="513"/>
      <c r="E1211" s="513"/>
      <c r="F1211" s="515"/>
      <c r="G1211" s="515"/>
      <c r="I1211" s="513"/>
      <c r="J1211" s="255"/>
      <c r="K1211" s="255"/>
      <c r="L1211" s="514"/>
      <c r="M1211" s="252"/>
      <c r="N1211" s="244"/>
      <c r="O1211" s="244"/>
      <c r="P1211" s="252"/>
      <c r="Q1211" s="248"/>
      <c r="R1211" s="248"/>
      <c r="S1211" s="256"/>
      <c r="T1211" s="256"/>
      <c r="U1211" s="256"/>
      <c r="V1211" s="252"/>
      <c r="W1211" s="524"/>
      <c r="X1211" s="256"/>
      <c r="Y1211" s="252"/>
      <c r="Z1211" s="252"/>
      <c r="AA1211" s="257"/>
      <c r="AC1211" s="244"/>
      <c r="AD1211" s="244"/>
      <c r="AE1211" s="256"/>
      <c r="AF1211" s="256"/>
    </row>
    <row r="1212" spans="4:32" x14ac:dyDescent="0.3">
      <c r="D1212" s="513"/>
      <c r="E1212" s="513"/>
      <c r="F1212" s="515"/>
      <c r="G1212" s="515"/>
      <c r="I1212" s="513"/>
      <c r="J1212" s="255"/>
      <c r="K1212" s="255"/>
      <c r="L1212" s="514"/>
      <c r="M1212" s="252"/>
      <c r="N1212" s="244"/>
      <c r="O1212" s="244"/>
      <c r="P1212" s="252"/>
      <c r="Q1212" s="248"/>
      <c r="R1212" s="248"/>
      <c r="S1212" s="256"/>
      <c r="T1212" s="256"/>
      <c r="U1212" s="256"/>
      <c r="V1212" s="252"/>
      <c r="W1212" s="524"/>
      <c r="X1212" s="256"/>
      <c r="Y1212" s="252"/>
      <c r="Z1212" s="252"/>
      <c r="AA1212" s="257"/>
      <c r="AC1212" s="244"/>
      <c r="AD1212" s="244"/>
      <c r="AE1212" s="256"/>
      <c r="AF1212" s="256"/>
    </row>
    <row r="1213" spans="4:32" x14ac:dyDescent="0.3">
      <c r="D1213" s="513"/>
      <c r="E1213" s="513"/>
      <c r="F1213" s="515"/>
      <c r="G1213" s="515"/>
      <c r="I1213" s="513"/>
      <c r="J1213" s="255"/>
      <c r="K1213" s="255"/>
      <c r="L1213" s="514"/>
      <c r="M1213" s="252"/>
      <c r="N1213" s="244"/>
      <c r="O1213" s="244"/>
      <c r="P1213" s="252"/>
      <c r="Q1213" s="248"/>
      <c r="R1213" s="248"/>
      <c r="S1213" s="256"/>
      <c r="T1213" s="256"/>
      <c r="U1213" s="256"/>
      <c r="V1213" s="252"/>
      <c r="W1213" s="524"/>
      <c r="X1213" s="256"/>
      <c r="Y1213" s="252"/>
      <c r="Z1213" s="252"/>
      <c r="AA1213" s="257"/>
      <c r="AC1213" s="244"/>
      <c r="AD1213" s="244"/>
      <c r="AE1213" s="256"/>
      <c r="AF1213" s="256"/>
    </row>
    <row r="1214" spans="4:32" x14ac:dyDescent="0.3">
      <c r="D1214" s="513"/>
      <c r="E1214" s="513"/>
      <c r="F1214" s="515"/>
      <c r="G1214" s="515"/>
      <c r="I1214" s="513"/>
      <c r="J1214" s="255"/>
      <c r="K1214" s="255"/>
      <c r="L1214" s="514"/>
      <c r="M1214" s="252"/>
      <c r="N1214" s="244"/>
      <c r="O1214" s="244"/>
      <c r="P1214" s="252"/>
      <c r="Q1214" s="248"/>
      <c r="R1214" s="248"/>
      <c r="S1214" s="256"/>
      <c r="T1214" s="256"/>
      <c r="U1214" s="256"/>
      <c r="V1214" s="252"/>
      <c r="W1214" s="524"/>
      <c r="X1214" s="256"/>
      <c r="Y1214" s="252"/>
      <c r="Z1214" s="252"/>
      <c r="AA1214" s="257"/>
      <c r="AC1214" s="244"/>
      <c r="AD1214" s="244"/>
      <c r="AE1214" s="256"/>
      <c r="AF1214" s="256"/>
    </row>
    <row r="1215" spans="4:32" x14ac:dyDescent="0.3">
      <c r="D1215" s="513"/>
      <c r="E1215" s="513"/>
      <c r="F1215" s="515"/>
      <c r="G1215" s="515"/>
      <c r="I1215" s="513"/>
      <c r="J1215" s="255"/>
      <c r="K1215" s="255"/>
      <c r="L1215" s="514"/>
      <c r="M1215" s="252"/>
      <c r="N1215" s="244"/>
      <c r="O1215" s="244"/>
      <c r="P1215" s="252"/>
      <c r="Q1215" s="248"/>
      <c r="R1215" s="248"/>
      <c r="S1215" s="256"/>
      <c r="T1215" s="256"/>
      <c r="U1215" s="256"/>
      <c r="V1215" s="252"/>
      <c r="W1215" s="524"/>
      <c r="X1215" s="256"/>
      <c r="Y1215" s="252"/>
      <c r="Z1215" s="252"/>
      <c r="AA1215" s="257"/>
      <c r="AC1215" s="244"/>
      <c r="AD1215" s="244"/>
      <c r="AE1215" s="256"/>
      <c r="AF1215" s="256"/>
    </row>
    <row r="1216" spans="4:32" x14ac:dyDescent="0.3">
      <c r="D1216" s="513"/>
      <c r="E1216" s="513"/>
      <c r="F1216" s="515"/>
      <c r="G1216" s="515"/>
      <c r="I1216" s="513"/>
      <c r="J1216" s="255"/>
      <c r="K1216" s="255"/>
      <c r="L1216" s="514"/>
      <c r="M1216" s="252"/>
      <c r="N1216" s="244"/>
      <c r="O1216" s="244"/>
      <c r="P1216" s="252"/>
      <c r="Q1216" s="248"/>
      <c r="R1216" s="248"/>
      <c r="S1216" s="256"/>
      <c r="T1216" s="256"/>
      <c r="U1216" s="256"/>
      <c r="V1216" s="252"/>
      <c r="W1216" s="524"/>
      <c r="X1216" s="256"/>
      <c r="Y1216" s="252"/>
      <c r="Z1216" s="252"/>
      <c r="AA1216" s="257"/>
      <c r="AC1216" s="244"/>
      <c r="AD1216" s="244"/>
      <c r="AE1216" s="256"/>
      <c r="AF1216" s="256"/>
    </row>
    <row r="1217" spans="4:32" x14ac:dyDescent="0.3">
      <c r="D1217" s="513"/>
      <c r="E1217" s="513"/>
      <c r="F1217" s="515"/>
      <c r="G1217" s="515"/>
      <c r="I1217" s="513"/>
      <c r="J1217" s="255"/>
      <c r="K1217" s="255"/>
      <c r="L1217" s="514"/>
      <c r="M1217" s="252"/>
      <c r="N1217" s="244"/>
      <c r="O1217" s="244"/>
      <c r="P1217" s="252"/>
      <c r="Q1217" s="248"/>
      <c r="R1217" s="248"/>
      <c r="S1217" s="256"/>
      <c r="T1217" s="256"/>
      <c r="U1217" s="256"/>
      <c r="V1217" s="252"/>
      <c r="W1217" s="524"/>
      <c r="X1217" s="256"/>
      <c r="Y1217" s="252"/>
      <c r="Z1217" s="252"/>
      <c r="AA1217" s="257"/>
      <c r="AC1217" s="244"/>
      <c r="AD1217" s="244"/>
      <c r="AE1217" s="256"/>
      <c r="AF1217" s="256"/>
    </row>
    <row r="1218" spans="4:32" x14ac:dyDescent="0.3">
      <c r="D1218" s="513"/>
      <c r="E1218" s="513"/>
      <c r="F1218" s="515"/>
      <c r="G1218" s="515"/>
      <c r="I1218" s="513"/>
      <c r="J1218" s="255"/>
      <c r="K1218" s="255"/>
      <c r="L1218" s="514"/>
      <c r="M1218" s="252"/>
      <c r="N1218" s="244"/>
      <c r="O1218" s="244"/>
      <c r="P1218" s="252"/>
      <c r="Q1218" s="248"/>
      <c r="R1218" s="248"/>
      <c r="S1218" s="256"/>
      <c r="T1218" s="256"/>
      <c r="U1218" s="256"/>
      <c r="V1218" s="252"/>
      <c r="W1218" s="524"/>
      <c r="X1218" s="256"/>
      <c r="Y1218" s="252"/>
      <c r="Z1218" s="252"/>
      <c r="AA1218" s="257"/>
      <c r="AC1218" s="244"/>
      <c r="AD1218" s="244"/>
      <c r="AE1218" s="256"/>
      <c r="AF1218" s="256"/>
    </row>
    <row r="1219" spans="4:32" x14ac:dyDescent="0.3">
      <c r="D1219" s="513"/>
      <c r="E1219" s="513"/>
      <c r="F1219" s="515"/>
      <c r="G1219" s="515"/>
      <c r="I1219" s="513"/>
      <c r="J1219" s="255"/>
      <c r="K1219" s="255"/>
      <c r="L1219" s="514"/>
      <c r="M1219" s="252"/>
      <c r="N1219" s="244"/>
      <c r="O1219" s="244"/>
      <c r="P1219" s="252"/>
      <c r="Q1219" s="248"/>
      <c r="R1219" s="248"/>
      <c r="S1219" s="256"/>
      <c r="T1219" s="256"/>
      <c r="U1219" s="256"/>
      <c r="V1219" s="252"/>
      <c r="W1219" s="524"/>
      <c r="X1219" s="256"/>
      <c r="Y1219" s="252"/>
      <c r="Z1219" s="252"/>
      <c r="AA1219" s="257"/>
      <c r="AC1219" s="244"/>
      <c r="AD1219" s="244"/>
      <c r="AE1219" s="256"/>
      <c r="AF1219" s="256"/>
    </row>
    <row r="1220" spans="4:32" x14ac:dyDescent="0.3">
      <c r="D1220" s="513"/>
      <c r="E1220" s="513"/>
      <c r="F1220" s="515"/>
      <c r="G1220" s="515"/>
      <c r="I1220" s="513"/>
      <c r="J1220" s="255"/>
      <c r="K1220" s="255"/>
      <c r="L1220" s="514"/>
      <c r="M1220" s="252"/>
      <c r="N1220" s="244"/>
      <c r="O1220" s="244"/>
      <c r="P1220" s="252"/>
      <c r="Q1220" s="248"/>
      <c r="R1220" s="248"/>
      <c r="S1220" s="256"/>
      <c r="T1220" s="256"/>
      <c r="U1220" s="256"/>
      <c r="V1220" s="252"/>
      <c r="W1220" s="524"/>
      <c r="X1220" s="256"/>
      <c r="Y1220" s="252"/>
      <c r="Z1220" s="252"/>
      <c r="AA1220" s="257"/>
      <c r="AC1220" s="244"/>
      <c r="AD1220" s="244"/>
      <c r="AE1220" s="256"/>
      <c r="AF1220" s="256"/>
    </row>
    <row r="1221" spans="4:32" x14ac:dyDescent="0.3">
      <c r="D1221" s="513"/>
      <c r="E1221" s="513"/>
      <c r="F1221" s="515"/>
      <c r="G1221" s="515"/>
      <c r="I1221" s="513"/>
      <c r="J1221" s="255"/>
      <c r="K1221" s="255"/>
      <c r="L1221" s="514"/>
      <c r="M1221" s="252"/>
      <c r="N1221" s="244"/>
      <c r="O1221" s="244"/>
      <c r="P1221" s="252"/>
      <c r="Q1221" s="248"/>
      <c r="R1221" s="248"/>
      <c r="S1221" s="256"/>
      <c r="T1221" s="256"/>
      <c r="U1221" s="256"/>
      <c r="V1221" s="252"/>
      <c r="W1221" s="524"/>
      <c r="X1221" s="256"/>
      <c r="Y1221" s="252"/>
      <c r="Z1221" s="252"/>
      <c r="AA1221" s="257"/>
      <c r="AC1221" s="244"/>
      <c r="AD1221" s="244"/>
      <c r="AE1221" s="256"/>
      <c r="AF1221" s="256"/>
    </row>
    <row r="1222" spans="4:32" x14ac:dyDescent="0.3">
      <c r="D1222" s="513"/>
      <c r="E1222" s="513"/>
      <c r="F1222" s="515"/>
      <c r="G1222" s="515"/>
      <c r="I1222" s="513"/>
      <c r="J1222" s="255"/>
      <c r="K1222" s="255"/>
      <c r="L1222" s="514"/>
      <c r="M1222" s="252"/>
      <c r="N1222" s="244"/>
      <c r="O1222" s="244"/>
      <c r="P1222" s="252"/>
      <c r="Q1222" s="248"/>
      <c r="R1222" s="248"/>
      <c r="S1222" s="256"/>
      <c r="T1222" s="256"/>
      <c r="U1222" s="256"/>
      <c r="V1222" s="252"/>
      <c r="W1222" s="524"/>
      <c r="X1222" s="256"/>
      <c r="Y1222" s="252"/>
      <c r="Z1222" s="252"/>
      <c r="AA1222" s="257"/>
      <c r="AC1222" s="244"/>
      <c r="AD1222" s="244"/>
      <c r="AE1222" s="256"/>
      <c r="AF1222" s="256"/>
    </row>
    <row r="1223" spans="4:32" x14ac:dyDescent="0.3">
      <c r="D1223" s="513"/>
      <c r="E1223" s="513"/>
      <c r="F1223" s="515"/>
      <c r="G1223" s="515"/>
      <c r="I1223" s="513"/>
      <c r="J1223" s="255"/>
      <c r="K1223" s="255"/>
      <c r="L1223" s="514"/>
      <c r="M1223" s="252"/>
      <c r="N1223" s="244"/>
      <c r="O1223" s="244"/>
      <c r="P1223" s="252"/>
      <c r="Q1223" s="248"/>
      <c r="R1223" s="248"/>
      <c r="S1223" s="256"/>
      <c r="T1223" s="256"/>
      <c r="U1223" s="256"/>
      <c r="V1223" s="252"/>
      <c r="W1223" s="524"/>
      <c r="X1223" s="256"/>
      <c r="Y1223" s="252"/>
      <c r="Z1223" s="252"/>
      <c r="AA1223" s="257"/>
      <c r="AC1223" s="244"/>
      <c r="AD1223" s="244"/>
      <c r="AE1223" s="256"/>
      <c r="AF1223" s="256"/>
    </row>
    <row r="1224" spans="4:32" x14ac:dyDescent="0.3">
      <c r="D1224" s="513"/>
      <c r="E1224" s="513"/>
      <c r="F1224" s="515"/>
      <c r="G1224" s="515"/>
      <c r="I1224" s="513"/>
      <c r="J1224" s="255"/>
      <c r="K1224" s="255"/>
      <c r="L1224" s="514"/>
      <c r="M1224" s="252"/>
      <c r="N1224" s="244"/>
      <c r="O1224" s="244"/>
      <c r="P1224" s="252"/>
      <c r="Q1224" s="248"/>
      <c r="R1224" s="248"/>
      <c r="S1224" s="256"/>
      <c r="T1224" s="256"/>
      <c r="U1224" s="256"/>
      <c r="V1224" s="252"/>
      <c r="W1224" s="524"/>
      <c r="X1224" s="256"/>
      <c r="Y1224" s="252"/>
      <c r="Z1224" s="252"/>
      <c r="AA1224" s="257"/>
      <c r="AC1224" s="244"/>
      <c r="AD1224" s="244"/>
      <c r="AE1224" s="256"/>
      <c r="AF1224" s="256"/>
    </row>
    <row r="1225" spans="4:32" x14ac:dyDescent="0.3">
      <c r="D1225" s="513"/>
      <c r="E1225" s="513"/>
      <c r="F1225" s="515"/>
      <c r="G1225" s="515"/>
      <c r="I1225" s="513"/>
      <c r="J1225" s="255"/>
      <c r="K1225" s="255"/>
      <c r="L1225" s="514"/>
      <c r="M1225" s="252"/>
      <c r="N1225" s="244"/>
      <c r="O1225" s="244"/>
      <c r="P1225" s="252"/>
      <c r="Q1225" s="248"/>
      <c r="R1225" s="248"/>
      <c r="S1225" s="256"/>
      <c r="T1225" s="256"/>
      <c r="U1225" s="256"/>
      <c r="V1225" s="252"/>
      <c r="W1225" s="524"/>
      <c r="X1225" s="256"/>
      <c r="Y1225" s="252"/>
      <c r="Z1225" s="252"/>
      <c r="AA1225" s="257"/>
      <c r="AC1225" s="244"/>
      <c r="AD1225" s="244"/>
      <c r="AE1225" s="256"/>
      <c r="AF1225" s="256"/>
    </row>
    <row r="1226" spans="4:32" x14ac:dyDescent="0.3">
      <c r="D1226" s="513"/>
      <c r="E1226" s="513"/>
      <c r="F1226" s="515"/>
      <c r="G1226" s="515"/>
      <c r="I1226" s="513"/>
      <c r="J1226" s="255"/>
      <c r="K1226" s="255"/>
      <c r="L1226" s="514"/>
      <c r="M1226" s="252"/>
      <c r="N1226" s="244"/>
      <c r="O1226" s="244"/>
      <c r="P1226" s="252"/>
      <c r="Q1226" s="248"/>
      <c r="R1226" s="248"/>
      <c r="S1226" s="256"/>
      <c r="T1226" s="256"/>
      <c r="U1226" s="256"/>
      <c r="V1226" s="252"/>
      <c r="W1226" s="524"/>
      <c r="X1226" s="256"/>
      <c r="Y1226" s="252"/>
      <c r="Z1226" s="252"/>
      <c r="AA1226" s="257"/>
      <c r="AC1226" s="244"/>
      <c r="AD1226" s="244"/>
      <c r="AE1226" s="256"/>
      <c r="AF1226" s="256"/>
    </row>
    <row r="1227" spans="4:32" x14ac:dyDescent="0.3">
      <c r="D1227" s="513"/>
      <c r="E1227" s="513"/>
      <c r="F1227" s="515"/>
      <c r="G1227" s="515"/>
      <c r="I1227" s="513"/>
      <c r="J1227" s="255"/>
      <c r="K1227" s="255"/>
      <c r="L1227" s="514"/>
      <c r="M1227" s="252"/>
      <c r="N1227" s="244"/>
      <c r="O1227" s="244"/>
      <c r="P1227" s="252"/>
      <c r="Q1227" s="248"/>
      <c r="R1227" s="248"/>
      <c r="S1227" s="256"/>
      <c r="T1227" s="256"/>
      <c r="U1227" s="256"/>
      <c r="V1227" s="252"/>
      <c r="W1227" s="524"/>
      <c r="X1227" s="256"/>
      <c r="Y1227" s="252"/>
      <c r="Z1227" s="252"/>
      <c r="AA1227" s="257"/>
      <c r="AC1227" s="244"/>
      <c r="AD1227" s="244"/>
      <c r="AE1227" s="256"/>
      <c r="AF1227" s="256"/>
    </row>
    <row r="1228" spans="4:32" x14ac:dyDescent="0.3">
      <c r="D1228" s="513"/>
      <c r="E1228" s="513"/>
      <c r="F1228" s="515"/>
      <c r="G1228" s="515"/>
      <c r="I1228" s="513"/>
      <c r="J1228" s="255"/>
      <c r="K1228" s="255"/>
      <c r="L1228" s="514"/>
      <c r="M1228" s="252"/>
      <c r="N1228" s="244"/>
      <c r="O1228" s="244"/>
      <c r="P1228" s="252"/>
      <c r="Q1228" s="248"/>
      <c r="R1228" s="248"/>
      <c r="S1228" s="256"/>
      <c r="T1228" s="256"/>
      <c r="U1228" s="256"/>
      <c r="V1228" s="252"/>
      <c r="W1228" s="524"/>
      <c r="X1228" s="256"/>
      <c r="Y1228" s="252"/>
      <c r="Z1228" s="252"/>
      <c r="AA1228" s="257"/>
      <c r="AC1228" s="244"/>
      <c r="AD1228" s="244"/>
      <c r="AE1228" s="256"/>
      <c r="AF1228" s="256"/>
    </row>
    <row r="1229" spans="4:32" x14ac:dyDescent="0.3">
      <c r="D1229" s="513"/>
      <c r="E1229" s="513"/>
      <c r="F1229" s="515"/>
      <c r="G1229" s="515"/>
      <c r="I1229" s="513"/>
      <c r="J1229" s="255"/>
      <c r="K1229" s="255"/>
      <c r="L1229" s="514"/>
      <c r="M1229" s="252"/>
      <c r="N1229" s="244"/>
      <c r="O1229" s="244"/>
      <c r="P1229" s="252"/>
      <c r="Q1229" s="248"/>
      <c r="R1229" s="248"/>
      <c r="S1229" s="256"/>
      <c r="T1229" s="256"/>
      <c r="U1229" s="256"/>
      <c r="V1229" s="252"/>
      <c r="W1229" s="524"/>
      <c r="X1229" s="256"/>
      <c r="Y1229" s="252"/>
      <c r="Z1229" s="252"/>
      <c r="AA1229" s="257"/>
      <c r="AC1229" s="244"/>
      <c r="AD1229" s="244"/>
      <c r="AE1229" s="256"/>
      <c r="AF1229" s="256"/>
    </row>
    <row r="1230" spans="4:32" x14ac:dyDescent="0.3">
      <c r="D1230" s="513"/>
      <c r="E1230" s="513"/>
      <c r="F1230" s="515"/>
      <c r="G1230" s="515"/>
      <c r="I1230" s="513"/>
      <c r="J1230" s="255"/>
      <c r="K1230" s="255"/>
      <c r="L1230" s="514"/>
      <c r="M1230" s="252"/>
      <c r="N1230" s="244"/>
      <c r="O1230" s="244"/>
      <c r="P1230" s="252"/>
      <c r="Q1230" s="248"/>
      <c r="R1230" s="248"/>
      <c r="S1230" s="256"/>
      <c r="T1230" s="256"/>
      <c r="U1230" s="256"/>
      <c r="V1230" s="252"/>
      <c r="W1230" s="524"/>
      <c r="X1230" s="256"/>
      <c r="Y1230" s="252"/>
      <c r="Z1230" s="252"/>
      <c r="AA1230" s="257"/>
      <c r="AC1230" s="244"/>
      <c r="AD1230" s="244"/>
      <c r="AE1230" s="256"/>
      <c r="AF1230" s="256"/>
    </row>
    <row r="1231" spans="4:32" x14ac:dyDescent="0.3">
      <c r="D1231" s="513"/>
      <c r="E1231" s="513"/>
      <c r="F1231" s="515"/>
      <c r="G1231" s="515"/>
      <c r="I1231" s="513"/>
      <c r="J1231" s="255"/>
      <c r="K1231" s="255"/>
      <c r="L1231" s="514"/>
      <c r="M1231" s="252"/>
      <c r="N1231" s="244"/>
      <c r="O1231" s="244"/>
      <c r="P1231" s="252"/>
      <c r="Q1231" s="248"/>
      <c r="R1231" s="248"/>
      <c r="S1231" s="256"/>
      <c r="T1231" s="256"/>
      <c r="U1231" s="256"/>
      <c r="V1231" s="252"/>
      <c r="W1231" s="524"/>
      <c r="X1231" s="256"/>
      <c r="Y1231" s="252"/>
      <c r="Z1231" s="252"/>
      <c r="AA1231" s="257"/>
      <c r="AC1231" s="244"/>
      <c r="AD1231" s="244"/>
      <c r="AE1231" s="256"/>
      <c r="AF1231" s="256"/>
    </row>
    <row r="1232" spans="4:32" x14ac:dyDescent="0.3">
      <c r="D1232" s="513"/>
      <c r="E1232" s="513"/>
      <c r="F1232" s="515"/>
      <c r="G1232" s="515"/>
      <c r="I1232" s="513"/>
      <c r="J1232" s="255"/>
      <c r="K1232" s="255"/>
      <c r="L1232" s="514"/>
      <c r="M1232" s="252"/>
      <c r="N1232" s="244"/>
      <c r="O1232" s="244"/>
      <c r="P1232" s="252"/>
      <c r="Q1232" s="248"/>
      <c r="R1232" s="248"/>
      <c r="S1232" s="256"/>
      <c r="T1232" s="256"/>
      <c r="U1232" s="256"/>
      <c r="V1232" s="252"/>
      <c r="W1232" s="524"/>
      <c r="X1232" s="256"/>
      <c r="Y1232" s="252"/>
      <c r="Z1232" s="252"/>
      <c r="AA1232" s="257"/>
      <c r="AC1232" s="244"/>
      <c r="AD1232" s="244"/>
      <c r="AE1232" s="256"/>
      <c r="AF1232" s="256"/>
    </row>
    <row r="1233" spans="4:32" x14ac:dyDescent="0.3">
      <c r="D1233" s="513"/>
      <c r="E1233" s="513"/>
      <c r="F1233" s="515"/>
      <c r="G1233" s="515"/>
      <c r="I1233" s="513"/>
      <c r="J1233" s="255"/>
      <c r="K1233" s="255"/>
      <c r="L1233" s="514"/>
      <c r="M1233" s="252"/>
      <c r="N1233" s="244"/>
      <c r="O1233" s="244"/>
      <c r="P1233" s="252"/>
      <c r="Q1233" s="248"/>
      <c r="R1233" s="248"/>
      <c r="S1233" s="256"/>
      <c r="T1233" s="256"/>
      <c r="U1233" s="256"/>
      <c r="V1233" s="252"/>
      <c r="W1233" s="524"/>
      <c r="X1233" s="256"/>
      <c r="Y1233" s="252"/>
      <c r="Z1233" s="252"/>
      <c r="AA1233" s="257"/>
      <c r="AC1233" s="244"/>
      <c r="AD1233" s="244"/>
      <c r="AE1233" s="256"/>
      <c r="AF1233" s="256"/>
    </row>
    <row r="1234" spans="4:32" x14ac:dyDescent="0.3">
      <c r="D1234" s="513"/>
      <c r="E1234" s="513"/>
      <c r="F1234" s="515"/>
      <c r="G1234" s="515"/>
      <c r="I1234" s="513"/>
      <c r="J1234" s="255"/>
      <c r="K1234" s="255"/>
      <c r="L1234" s="514"/>
      <c r="M1234" s="252"/>
      <c r="N1234" s="244"/>
      <c r="O1234" s="244"/>
      <c r="P1234" s="252"/>
      <c r="Q1234" s="248"/>
      <c r="R1234" s="248"/>
      <c r="S1234" s="256"/>
      <c r="T1234" s="256"/>
      <c r="U1234" s="256"/>
      <c r="V1234" s="252"/>
      <c r="W1234" s="524"/>
      <c r="X1234" s="256"/>
      <c r="Y1234" s="252"/>
      <c r="Z1234" s="252"/>
      <c r="AA1234" s="257"/>
      <c r="AC1234" s="244"/>
      <c r="AD1234" s="244"/>
      <c r="AE1234" s="256"/>
      <c r="AF1234" s="256"/>
    </row>
    <row r="1235" spans="4:32" x14ac:dyDescent="0.3">
      <c r="D1235" s="513"/>
      <c r="E1235" s="513"/>
      <c r="F1235" s="515"/>
      <c r="G1235" s="515"/>
      <c r="I1235" s="513"/>
      <c r="J1235" s="255"/>
      <c r="K1235" s="255"/>
      <c r="L1235" s="514"/>
      <c r="M1235" s="252"/>
      <c r="N1235" s="244"/>
      <c r="O1235" s="244"/>
      <c r="P1235" s="252"/>
      <c r="Q1235" s="248"/>
      <c r="R1235" s="248"/>
      <c r="S1235" s="256"/>
      <c r="T1235" s="256"/>
      <c r="U1235" s="256"/>
      <c r="V1235" s="252"/>
      <c r="W1235" s="524"/>
      <c r="X1235" s="256"/>
      <c r="Y1235" s="252"/>
      <c r="Z1235" s="252"/>
      <c r="AA1235" s="257"/>
      <c r="AC1235" s="244"/>
      <c r="AD1235" s="244"/>
      <c r="AE1235" s="256"/>
      <c r="AF1235" s="256"/>
    </row>
    <row r="1236" spans="4:32" x14ac:dyDescent="0.3">
      <c r="D1236" s="513"/>
      <c r="E1236" s="513"/>
      <c r="F1236" s="515"/>
      <c r="G1236" s="515"/>
      <c r="I1236" s="513"/>
      <c r="J1236" s="255"/>
      <c r="K1236" s="255"/>
      <c r="L1236" s="514"/>
      <c r="M1236" s="252"/>
      <c r="N1236" s="244"/>
      <c r="O1236" s="244"/>
      <c r="P1236" s="252"/>
      <c r="Q1236" s="248"/>
      <c r="R1236" s="248"/>
      <c r="S1236" s="256"/>
      <c r="T1236" s="256"/>
      <c r="U1236" s="256"/>
      <c r="V1236" s="252"/>
      <c r="W1236" s="524"/>
      <c r="X1236" s="256"/>
      <c r="Y1236" s="252"/>
      <c r="Z1236" s="252"/>
      <c r="AA1236" s="257"/>
      <c r="AC1236" s="244"/>
      <c r="AD1236" s="244"/>
      <c r="AE1236" s="256"/>
      <c r="AF1236" s="256"/>
    </row>
    <row r="1237" spans="4:32" x14ac:dyDescent="0.3">
      <c r="D1237" s="513"/>
      <c r="E1237" s="513"/>
      <c r="F1237" s="515"/>
      <c r="G1237" s="515"/>
      <c r="I1237" s="513"/>
      <c r="J1237" s="255"/>
      <c r="K1237" s="255"/>
      <c r="L1237" s="514"/>
      <c r="M1237" s="252"/>
      <c r="N1237" s="244"/>
      <c r="O1237" s="244"/>
      <c r="P1237" s="252"/>
      <c r="Q1237" s="248"/>
      <c r="R1237" s="248"/>
      <c r="S1237" s="256"/>
      <c r="T1237" s="256"/>
      <c r="U1237" s="256"/>
      <c r="V1237" s="252"/>
      <c r="W1237" s="524"/>
      <c r="X1237" s="256"/>
      <c r="Y1237" s="252"/>
      <c r="Z1237" s="252"/>
      <c r="AA1237" s="257"/>
      <c r="AC1237" s="244"/>
      <c r="AD1237" s="244"/>
      <c r="AE1237" s="256"/>
      <c r="AF1237" s="256"/>
    </row>
    <row r="1238" spans="4:32" x14ac:dyDescent="0.3">
      <c r="D1238" s="513"/>
      <c r="E1238" s="513"/>
      <c r="F1238" s="515"/>
      <c r="G1238" s="515"/>
      <c r="I1238" s="513"/>
      <c r="J1238" s="255"/>
      <c r="K1238" s="255"/>
      <c r="L1238" s="514"/>
      <c r="M1238" s="252"/>
      <c r="N1238" s="244"/>
      <c r="O1238" s="244"/>
      <c r="P1238" s="252"/>
      <c r="Q1238" s="248"/>
      <c r="R1238" s="248"/>
      <c r="S1238" s="256"/>
      <c r="T1238" s="256"/>
      <c r="U1238" s="256"/>
      <c r="V1238" s="252"/>
      <c r="W1238" s="524"/>
      <c r="X1238" s="256"/>
      <c r="Y1238" s="252"/>
      <c r="Z1238" s="252"/>
      <c r="AA1238" s="257"/>
      <c r="AC1238" s="244"/>
      <c r="AD1238" s="244"/>
      <c r="AE1238" s="256"/>
      <c r="AF1238" s="256"/>
    </row>
    <row r="1239" spans="4:32" x14ac:dyDescent="0.3">
      <c r="D1239" s="513"/>
      <c r="E1239" s="513"/>
      <c r="F1239" s="515"/>
      <c r="G1239" s="515"/>
      <c r="I1239" s="513"/>
      <c r="J1239" s="255"/>
      <c r="K1239" s="255"/>
      <c r="L1239" s="514"/>
      <c r="M1239" s="252"/>
      <c r="N1239" s="244"/>
      <c r="O1239" s="244"/>
      <c r="P1239" s="252"/>
      <c r="Q1239" s="248"/>
      <c r="R1239" s="248"/>
      <c r="S1239" s="256"/>
      <c r="T1239" s="256"/>
      <c r="U1239" s="256"/>
      <c r="V1239" s="252"/>
      <c r="W1239" s="524"/>
      <c r="X1239" s="256"/>
      <c r="Y1239" s="252"/>
      <c r="Z1239" s="252"/>
      <c r="AA1239" s="257"/>
      <c r="AC1239" s="244"/>
      <c r="AD1239" s="244"/>
      <c r="AE1239" s="256"/>
      <c r="AF1239" s="256"/>
    </row>
    <row r="1240" spans="4:32" x14ac:dyDescent="0.3">
      <c r="D1240" s="513"/>
      <c r="E1240" s="513"/>
      <c r="F1240" s="515"/>
      <c r="G1240" s="515"/>
      <c r="I1240" s="513"/>
      <c r="J1240" s="255"/>
      <c r="K1240" s="255"/>
      <c r="L1240" s="514"/>
      <c r="M1240" s="252"/>
      <c r="N1240" s="244"/>
      <c r="O1240" s="244"/>
      <c r="P1240" s="252"/>
      <c r="Q1240" s="248"/>
      <c r="R1240" s="248"/>
      <c r="S1240" s="256"/>
      <c r="T1240" s="256"/>
      <c r="U1240" s="256"/>
      <c r="V1240" s="252"/>
      <c r="W1240" s="524"/>
      <c r="X1240" s="256"/>
      <c r="Y1240" s="252"/>
      <c r="Z1240" s="252"/>
      <c r="AA1240" s="257"/>
      <c r="AC1240" s="244"/>
      <c r="AD1240" s="244"/>
      <c r="AE1240" s="256"/>
      <c r="AF1240" s="256"/>
    </row>
    <row r="1241" spans="4:32" x14ac:dyDescent="0.3">
      <c r="D1241" s="513"/>
      <c r="E1241" s="513"/>
      <c r="F1241" s="515"/>
      <c r="G1241" s="515"/>
      <c r="I1241" s="513"/>
      <c r="J1241" s="255"/>
      <c r="K1241" s="255"/>
      <c r="L1241" s="514"/>
      <c r="M1241" s="252"/>
      <c r="N1241" s="244"/>
      <c r="O1241" s="244"/>
      <c r="P1241" s="252"/>
      <c r="Q1241" s="248"/>
      <c r="R1241" s="248"/>
      <c r="S1241" s="256"/>
      <c r="T1241" s="256"/>
      <c r="U1241" s="256"/>
      <c r="V1241" s="252"/>
      <c r="W1241" s="524"/>
      <c r="X1241" s="256"/>
      <c r="Y1241" s="252"/>
      <c r="Z1241" s="252"/>
      <c r="AA1241" s="257"/>
      <c r="AC1241" s="244"/>
      <c r="AD1241" s="244"/>
      <c r="AE1241" s="256"/>
      <c r="AF1241" s="256"/>
    </row>
    <row r="1242" spans="4:32" x14ac:dyDescent="0.3">
      <c r="D1242" s="513"/>
      <c r="E1242" s="513"/>
      <c r="F1242" s="515"/>
      <c r="G1242" s="515"/>
      <c r="I1242" s="513"/>
      <c r="J1242" s="255"/>
      <c r="K1242" s="255"/>
      <c r="L1242" s="514"/>
      <c r="M1242" s="252"/>
      <c r="N1242" s="244"/>
      <c r="O1242" s="244"/>
      <c r="P1242" s="252"/>
      <c r="Q1242" s="248"/>
      <c r="R1242" s="248"/>
      <c r="S1242" s="256"/>
      <c r="T1242" s="256"/>
      <c r="U1242" s="256"/>
      <c r="V1242" s="252"/>
      <c r="W1242" s="524"/>
      <c r="X1242" s="256"/>
      <c r="Y1242" s="252"/>
      <c r="Z1242" s="252"/>
      <c r="AA1242" s="257"/>
      <c r="AC1242" s="244"/>
      <c r="AD1242" s="244"/>
      <c r="AE1242" s="256"/>
      <c r="AF1242" s="256"/>
    </row>
    <row r="1243" spans="4:32" x14ac:dyDescent="0.3">
      <c r="D1243" s="513"/>
      <c r="E1243" s="513"/>
      <c r="F1243" s="515"/>
      <c r="G1243" s="515"/>
      <c r="I1243" s="513"/>
      <c r="J1243" s="255"/>
      <c r="K1243" s="255"/>
      <c r="L1243" s="514"/>
      <c r="M1243" s="252"/>
      <c r="N1243" s="244"/>
      <c r="O1243" s="244"/>
      <c r="P1243" s="252"/>
      <c r="Q1243" s="248"/>
      <c r="R1243" s="248"/>
      <c r="S1243" s="256"/>
      <c r="T1243" s="256"/>
      <c r="U1243" s="256"/>
      <c r="V1243" s="252"/>
      <c r="W1243" s="524"/>
      <c r="X1243" s="256"/>
      <c r="Y1243" s="252"/>
      <c r="Z1243" s="252"/>
      <c r="AA1243" s="257"/>
      <c r="AC1243" s="244"/>
      <c r="AD1243" s="244"/>
      <c r="AE1243" s="256"/>
      <c r="AF1243" s="256"/>
    </row>
    <row r="1244" spans="4:32" x14ac:dyDescent="0.3">
      <c r="D1244" s="513"/>
      <c r="E1244" s="513"/>
      <c r="F1244" s="515"/>
      <c r="G1244" s="515"/>
      <c r="I1244" s="513"/>
      <c r="J1244" s="255"/>
      <c r="K1244" s="255"/>
      <c r="L1244" s="514"/>
      <c r="M1244" s="252"/>
      <c r="N1244" s="244"/>
      <c r="O1244" s="244"/>
      <c r="P1244" s="252"/>
      <c r="Q1244" s="248"/>
      <c r="R1244" s="248"/>
      <c r="S1244" s="256"/>
      <c r="T1244" s="256"/>
      <c r="U1244" s="256"/>
      <c r="V1244" s="252"/>
      <c r="W1244" s="524"/>
      <c r="X1244" s="256"/>
      <c r="Y1244" s="252"/>
      <c r="Z1244" s="252"/>
      <c r="AA1244" s="257"/>
      <c r="AC1244" s="244"/>
      <c r="AD1244" s="244"/>
      <c r="AE1244" s="256"/>
      <c r="AF1244" s="256"/>
    </row>
    <row r="1245" spans="4:32" x14ac:dyDescent="0.3">
      <c r="D1245" s="513"/>
      <c r="E1245" s="513"/>
      <c r="F1245" s="515"/>
      <c r="G1245" s="515"/>
      <c r="I1245" s="513"/>
      <c r="J1245" s="255"/>
      <c r="K1245" s="255"/>
      <c r="L1245" s="514"/>
      <c r="M1245" s="252"/>
      <c r="N1245" s="244"/>
      <c r="O1245" s="244"/>
      <c r="P1245" s="252"/>
      <c r="Q1245" s="248"/>
      <c r="R1245" s="248"/>
      <c r="S1245" s="256"/>
      <c r="T1245" s="256"/>
      <c r="U1245" s="256"/>
      <c r="V1245" s="252"/>
      <c r="W1245" s="524"/>
      <c r="X1245" s="256"/>
      <c r="Y1245" s="252"/>
      <c r="Z1245" s="252"/>
      <c r="AA1245" s="257"/>
      <c r="AC1245" s="244"/>
      <c r="AD1245" s="244"/>
      <c r="AE1245" s="256"/>
      <c r="AF1245" s="256"/>
    </row>
    <row r="1246" spans="4:32" x14ac:dyDescent="0.3">
      <c r="D1246" s="513"/>
      <c r="E1246" s="513"/>
      <c r="F1246" s="515"/>
      <c r="G1246" s="515"/>
      <c r="I1246" s="513"/>
      <c r="J1246" s="255"/>
      <c r="K1246" s="255"/>
      <c r="L1246" s="514"/>
      <c r="M1246" s="252"/>
      <c r="N1246" s="244"/>
      <c r="O1246" s="244"/>
      <c r="P1246" s="252"/>
      <c r="Q1246" s="248"/>
      <c r="R1246" s="248"/>
      <c r="S1246" s="256"/>
      <c r="T1246" s="256"/>
      <c r="U1246" s="256"/>
      <c r="V1246" s="252"/>
      <c r="W1246" s="524"/>
      <c r="X1246" s="256"/>
      <c r="Y1246" s="252"/>
      <c r="Z1246" s="252"/>
      <c r="AA1246" s="257"/>
      <c r="AC1246" s="244"/>
      <c r="AD1246" s="244"/>
      <c r="AE1246" s="256"/>
      <c r="AF1246" s="256"/>
    </row>
    <row r="1247" spans="4:32" x14ac:dyDescent="0.3">
      <c r="D1247" s="513"/>
      <c r="E1247" s="513"/>
      <c r="F1247" s="515"/>
      <c r="G1247" s="515"/>
      <c r="I1247" s="513"/>
      <c r="J1247" s="255"/>
      <c r="K1247" s="255"/>
      <c r="L1247" s="514"/>
      <c r="M1247" s="252"/>
      <c r="N1247" s="244"/>
      <c r="O1247" s="244"/>
      <c r="P1247" s="252"/>
      <c r="Q1247" s="248"/>
      <c r="R1247" s="248"/>
      <c r="S1247" s="256"/>
      <c r="T1247" s="256"/>
      <c r="U1247" s="256"/>
      <c r="V1247" s="252"/>
      <c r="W1247" s="524"/>
      <c r="X1247" s="256"/>
      <c r="Y1247" s="252"/>
      <c r="Z1247" s="252"/>
      <c r="AA1247" s="257"/>
      <c r="AC1247" s="244"/>
      <c r="AD1247" s="244"/>
      <c r="AE1247" s="256"/>
      <c r="AF1247" s="256"/>
    </row>
    <row r="1248" spans="4:32" x14ac:dyDescent="0.3">
      <c r="D1248" s="513"/>
      <c r="E1248" s="513"/>
      <c r="F1248" s="515"/>
      <c r="G1248" s="515"/>
      <c r="I1248" s="513"/>
      <c r="J1248" s="255"/>
      <c r="K1248" s="255"/>
      <c r="L1248" s="514"/>
      <c r="M1248" s="252"/>
      <c r="N1248" s="244"/>
      <c r="O1248" s="244"/>
      <c r="P1248" s="252"/>
      <c r="Q1248" s="248"/>
      <c r="R1248" s="248"/>
      <c r="S1248" s="256"/>
      <c r="T1248" s="256"/>
      <c r="U1248" s="256"/>
      <c r="V1248" s="252"/>
      <c r="W1248" s="524"/>
      <c r="X1248" s="256"/>
      <c r="Y1248" s="252"/>
      <c r="Z1248" s="252"/>
      <c r="AA1248" s="257"/>
      <c r="AC1248" s="244"/>
      <c r="AD1248" s="244"/>
      <c r="AE1248" s="256"/>
      <c r="AF1248" s="256"/>
    </row>
    <row r="1249" spans="4:32" x14ac:dyDescent="0.3">
      <c r="D1249" s="513"/>
      <c r="E1249" s="513"/>
      <c r="F1249" s="515"/>
      <c r="G1249" s="515"/>
      <c r="I1249" s="513"/>
      <c r="J1249" s="255"/>
      <c r="K1249" s="255"/>
      <c r="L1249" s="514"/>
      <c r="M1249" s="252"/>
      <c r="N1249" s="244"/>
      <c r="O1249" s="244"/>
      <c r="P1249" s="252"/>
      <c r="Q1249" s="248"/>
      <c r="R1249" s="248"/>
      <c r="S1249" s="256"/>
      <c r="T1249" s="256"/>
      <c r="U1249" s="256"/>
      <c r="V1249" s="252"/>
      <c r="W1249" s="524"/>
      <c r="X1249" s="256"/>
      <c r="Y1249" s="252"/>
      <c r="Z1249" s="252"/>
      <c r="AA1249" s="257"/>
      <c r="AC1249" s="244"/>
      <c r="AD1249" s="244"/>
      <c r="AE1249" s="256"/>
      <c r="AF1249" s="256"/>
    </row>
    <row r="1250" spans="4:32" x14ac:dyDescent="0.3">
      <c r="D1250" s="513"/>
      <c r="E1250" s="513"/>
      <c r="F1250" s="515"/>
      <c r="G1250" s="515"/>
      <c r="I1250" s="513"/>
      <c r="J1250" s="255"/>
      <c r="K1250" s="255"/>
      <c r="L1250" s="514"/>
      <c r="M1250" s="252"/>
      <c r="N1250" s="244"/>
      <c r="O1250" s="244"/>
      <c r="P1250" s="252"/>
      <c r="Q1250" s="248"/>
      <c r="R1250" s="248"/>
      <c r="S1250" s="256"/>
      <c r="T1250" s="256"/>
      <c r="U1250" s="256"/>
      <c r="V1250" s="252"/>
      <c r="W1250" s="524"/>
      <c r="X1250" s="256"/>
      <c r="Y1250" s="252"/>
      <c r="Z1250" s="252"/>
      <c r="AA1250" s="257"/>
      <c r="AC1250" s="244"/>
      <c r="AD1250" s="244"/>
      <c r="AE1250" s="256"/>
      <c r="AF1250" s="256"/>
    </row>
    <row r="1251" spans="4:32" x14ac:dyDescent="0.3">
      <c r="D1251" s="513"/>
      <c r="E1251" s="513"/>
      <c r="F1251" s="515"/>
      <c r="G1251" s="515"/>
      <c r="I1251" s="513"/>
      <c r="J1251" s="255"/>
      <c r="K1251" s="255"/>
      <c r="L1251" s="514"/>
      <c r="M1251" s="252"/>
      <c r="N1251" s="244"/>
      <c r="O1251" s="244"/>
      <c r="P1251" s="252"/>
      <c r="Q1251" s="248"/>
      <c r="R1251" s="248"/>
      <c r="S1251" s="256"/>
      <c r="T1251" s="256"/>
      <c r="U1251" s="256"/>
      <c r="V1251" s="252"/>
      <c r="W1251" s="524"/>
      <c r="X1251" s="256"/>
      <c r="Y1251" s="252"/>
      <c r="Z1251" s="252"/>
      <c r="AA1251" s="257"/>
      <c r="AC1251" s="244"/>
      <c r="AD1251" s="244"/>
      <c r="AE1251" s="256"/>
      <c r="AF1251" s="256"/>
    </row>
    <row r="1252" spans="4:32" x14ac:dyDescent="0.3">
      <c r="D1252" s="513"/>
      <c r="E1252" s="513"/>
      <c r="F1252" s="515"/>
      <c r="G1252" s="515"/>
      <c r="I1252" s="513"/>
      <c r="J1252" s="255"/>
      <c r="K1252" s="255"/>
      <c r="L1252" s="514"/>
      <c r="M1252" s="252"/>
      <c r="N1252" s="244"/>
      <c r="O1252" s="244"/>
      <c r="P1252" s="252"/>
      <c r="Q1252" s="248"/>
      <c r="R1252" s="248"/>
      <c r="S1252" s="256"/>
      <c r="T1252" s="256"/>
      <c r="U1252" s="256"/>
      <c r="V1252" s="252"/>
      <c r="W1252" s="524"/>
      <c r="X1252" s="256"/>
      <c r="Y1252" s="252"/>
      <c r="Z1252" s="252"/>
      <c r="AA1252" s="257"/>
      <c r="AC1252" s="244"/>
      <c r="AD1252" s="244"/>
      <c r="AE1252" s="256"/>
      <c r="AF1252" s="256"/>
    </row>
    <row r="1253" spans="4:32" x14ac:dyDescent="0.3">
      <c r="D1253" s="513"/>
      <c r="E1253" s="513"/>
      <c r="F1253" s="515"/>
      <c r="G1253" s="515"/>
      <c r="I1253" s="513"/>
      <c r="J1253" s="255"/>
      <c r="K1253" s="255"/>
      <c r="L1253" s="514"/>
      <c r="M1253" s="252"/>
      <c r="N1253" s="244"/>
      <c r="O1253" s="244"/>
      <c r="P1253" s="252"/>
      <c r="Q1253" s="248"/>
      <c r="R1253" s="248"/>
      <c r="S1253" s="256"/>
      <c r="T1253" s="256"/>
      <c r="U1253" s="256"/>
      <c r="V1253" s="252"/>
      <c r="W1253" s="524"/>
      <c r="X1253" s="256"/>
      <c r="Y1253" s="252"/>
      <c r="Z1253" s="252"/>
      <c r="AA1253" s="257"/>
      <c r="AC1253" s="244"/>
      <c r="AD1253" s="244"/>
      <c r="AE1253" s="256"/>
      <c r="AF1253" s="256"/>
    </row>
    <row r="1254" spans="4:32" x14ac:dyDescent="0.3">
      <c r="D1254" s="513"/>
      <c r="E1254" s="513"/>
      <c r="F1254" s="515"/>
      <c r="G1254" s="515"/>
      <c r="I1254" s="513"/>
      <c r="J1254" s="255"/>
      <c r="K1254" s="255"/>
      <c r="L1254" s="514"/>
      <c r="M1254" s="252"/>
      <c r="N1254" s="244"/>
      <c r="O1254" s="244"/>
      <c r="P1254" s="252"/>
      <c r="Q1254" s="248"/>
      <c r="R1254" s="248"/>
      <c r="S1254" s="256"/>
      <c r="T1254" s="256"/>
      <c r="U1254" s="256"/>
      <c r="V1254" s="252"/>
      <c r="W1254" s="524"/>
      <c r="X1254" s="256"/>
      <c r="Y1254" s="252"/>
      <c r="Z1254" s="252"/>
      <c r="AA1254" s="257"/>
      <c r="AC1254" s="244"/>
      <c r="AD1254" s="244"/>
      <c r="AE1254" s="256"/>
      <c r="AF1254" s="256"/>
    </row>
    <row r="1255" spans="4:32" x14ac:dyDescent="0.3">
      <c r="D1255" s="513"/>
      <c r="E1255" s="513"/>
      <c r="F1255" s="515"/>
      <c r="G1255" s="515"/>
      <c r="I1255" s="513"/>
      <c r="J1255" s="255"/>
      <c r="K1255" s="255"/>
      <c r="L1255" s="514"/>
      <c r="M1255" s="252"/>
      <c r="N1255" s="244"/>
      <c r="O1255" s="244"/>
      <c r="P1255" s="252"/>
      <c r="Q1255" s="248"/>
      <c r="R1255" s="248"/>
      <c r="S1255" s="256"/>
      <c r="T1255" s="256"/>
      <c r="U1255" s="256"/>
      <c r="V1255" s="252"/>
      <c r="W1255" s="524"/>
      <c r="X1255" s="256"/>
      <c r="Y1255" s="252"/>
      <c r="Z1255" s="252"/>
      <c r="AA1255" s="257"/>
      <c r="AC1255" s="244"/>
      <c r="AD1255" s="244"/>
      <c r="AE1255" s="256"/>
      <c r="AF1255" s="256"/>
    </row>
    <row r="1256" spans="4:32" x14ac:dyDescent="0.3">
      <c r="D1256" s="513"/>
      <c r="E1256" s="513"/>
      <c r="F1256" s="515"/>
      <c r="G1256" s="515"/>
      <c r="I1256" s="513"/>
      <c r="J1256" s="255"/>
      <c r="K1256" s="255"/>
      <c r="L1256" s="514"/>
      <c r="M1256" s="252"/>
      <c r="N1256" s="244"/>
      <c r="O1256" s="244"/>
      <c r="P1256" s="252"/>
      <c r="Q1256" s="248"/>
      <c r="R1256" s="248"/>
      <c r="S1256" s="256"/>
      <c r="T1256" s="256"/>
      <c r="U1256" s="256"/>
      <c r="V1256" s="252"/>
      <c r="W1256" s="524"/>
      <c r="X1256" s="256"/>
      <c r="Y1256" s="252"/>
      <c r="Z1256" s="252"/>
      <c r="AA1256" s="257"/>
      <c r="AC1256" s="244"/>
      <c r="AD1256" s="244"/>
      <c r="AE1256" s="256"/>
      <c r="AF1256" s="256"/>
    </row>
    <row r="1257" spans="4:32" x14ac:dyDescent="0.3">
      <c r="D1257" s="513"/>
      <c r="E1257" s="513"/>
      <c r="F1257" s="515"/>
      <c r="G1257" s="515"/>
      <c r="I1257" s="513"/>
      <c r="J1257" s="255"/>
      <c r="K1257" s="255"/>
      <c r="L1257" s="514"/>
      <c r="M1257" s="252"/>
      <c r="N1257" s="244"/>
      <c r="O1257" s="244"/>
      <c r="P1257" s="252"/>
      <c r="Q1257" s="248"/>
      <c r="R1257" s="248"/>
      <c r="S1257" s="256"/>
      <c r="T1257" s="256"/>
      <c r="U1257" s="256"/>
      <c r="V1257" s="252"/>
      <c r="W1257" s="524"/>
      <c r="X1257" s="256"/>
      <c r="Y1257" s="252"/>
      <c r="Z1257" s="252"/>
      <c r="AA1257" s="257"/>
      <c r="AC1257" s="244"/>
      <c r="AD1257" s="244"/>
      <c r="AE1257" s="256"/>
      <c r="AF1257" s="256"/>
    </row>
    <row r="1258" spans="4:32" x14ac:dyDescent="0.3">
      <c r="D1258" s="513"/>
      <c r="E1258" s="513"/>
      <c r="F1258" s="515"/>
      <c r="G1258" s="515"/>
      <c r="I1258" s="513"/>
      <c r="J1258" s="255"/>
      <c r="K1258" s="255"/>
      <c r="L1258" s="514"/>
      <c r="M1258" s="252"/>
      <c r="N1258" s="244"/>
      <c r="O1258" s="244"/>
      <c r="P1258" s="252"/>
      <c r="Q1258" s="248"/>
      <c r="R1258" s="248"/>
      <c r="S1258" s="256"/>
      <c r="T1258" s="256"/>
      <c r="U1258" s="256"/>
      <c r="V1258" s="252"/>
      <c r="W1258" s="524"/>
      <c r="X1258" s="256"/>
      <c r="Y1258" s="252"/>
      <c r="Z1258" s="252"/>
      <c r="AA1258" s="257"/>
      <c r="AC1258" s="244"/>
      <c r="AD1258" s="244"/>
      <c r="AE1258" s="256"/>
      <c r="AF1258" s="256"/>
    </row>
    <row r="1259" spans="4:32" x14ac:dyDescent="0.3">
      <c r="D1259" s="513"/>
      <c r="E1259" s="513"/>
      <c r="F1259" s="515"/>
      <c r="G1259" s="515"/>
      <c r="I1259" s="513"/>
      <c r="J1259" s="255"/>
      <c r="K1259" s="255"/>
      <c r="L1259" s="514"/>
      <c r="M1259" s="252"/>
      <c r="N1259" s="244"/>
      <c r="O1259" s="244"/>
      <c r="P1259" s="252"/>
      <c r="Q1259" s="248"/>
      <c r="R1259" s="248"/>
      <c r="S1259" s="256"/>
      <c r="T1259" s="256"/>
      <c r="U1259" s="256"/>
      <c r="V1259" s="252"/>
      <c r="W1259" s="524"/>
      <c r="X1259" s="256"/>
      <c r="Y1259" s="252"/>
      <c r="Z1259" s="252"/>
      <c r="AA1259" s="257"/>
      <c r="AC1259" s="244"/>
      <c r="AD1259" s="244"/>
      <c r="AE1259" s="256"/>
      <c r="AF1259" s="256"/>
    </row>
    <row r="1260" spans="4:32" x14ac:dyDescent="0.3">
      <c r="D1260" s="513"/>
      <c r="E1260" s="513"/>
      <c r="F1260" s="515"/>
      <c r="G1260" s="515"/>
      <c r="I1260" s="513"/>
      <c r="J1260" s="255"/>
      <c r="K1260" s="255"/>
      <c r="L1260" s="514"/>
      <c r="M1260" s="252"/>
      <c r="N1260" s="244"/>
      <c r="O1260" s="244"/>
      <c r="P1260" s="252"/>
      <c r="Q1260" s="248"/>
      <c r="R1260" s="248"/>
      <c r="S1260" s="256"/>
      <c r="T1260" s="256"/>
      <c r="U1260" s="256"/>
      <c r="V1260" s="252"/>
      <c r="W1260" s="524"/>
      <c r="X1260" s="256"/>
      <c r="Y1260" s="252"/>
      <c r="Z1260" s="252"/>
      <c r="AA1260" s="257"/>
      <c r="AC1260" s="244"/>
      <c r="AD1260" s="244"/>
      <c r="AE1260" s="256"/>
      <c r="AF1260" s="256"/>
    </row>
    <row r="1261" spans="4:32" x14ac:dyDescent="0.3">
      <c r="D1261" s="513"/>
      <c r="E1261" s="513"/>
      <c r="F1261" s="515"/>
      <c r="G1261" s="515"/>
      <c r="I1261" s="513"/>
      <c r="J1261" s="255"/>
      <c r="K1261" s="255"/>
      <c r="L1261" s="514"/>
      <c r="M1261" s="252"/>
      <c r="N1261" s="244"/>
      <c r="O1261" s="244"/>
      <c r="P1261" s="252"/>
      <c r="Q1261" s="248"/>
      <c r="R1261" s="248"/>
      <c r="S1261" s="256"/>
      <c r="T1261" s="256"/>
      <c r="U1261" s="256"/>
      <c r="V1261" s="252"/>
      <c r="W1261" s="524"/>
      <c r="X1261" s="256"/>
      <c r="Y1261" s="252"/>
      <c r="Z1261" s="252"/>
      <c r="AA1261" s="257"/>
      <c r="AC1261" s="244"/>
      <c r="AD1261" s="244"/>
      <c r="AE1261" s="256"/>
      <c r="AF1261" s="256"/>
    </row>
    <row r="1262" spans="4:32" x14ac:dyDescent="0.3">
      <c r="D1262" s="513"/>
      <c r="E1262" s="513"/>
      <c r="F1262" s="515"/>
      <c r="G1262" s="515"/>
      <c r="I1262" s="513"/>
      <c r="J1262" s="255"/>
      <c r="K1262" s="255"/>
      <c r="L1262" s="514"/>
      <c r="M1262" s="252"/>
      <c r="N1262" s="244"/>
      <c r="O1262" s="244"/>
      <c r="P1262" s="252"/>
      <c r="Q1262" s="248"/>
      <c r="R1262" s="248"/>
      <c r="S1262" s="256"/>
      <c r="T1262" s="256"/>
      <c r="U1262" s="256"/>
      <c r="V1262" s="252"/>
      <c r="W1262" s="524"/>
      <c r="X1262" s="256"/>
      <c r="Y1262" s="252"/>
      <c r="Z1262" s="252"/>
      <c r="AA1262" s="257"/>
      <c r="AC1262" s="244"/>
      <c r="AD1262" s="244"/>
      <c r="AE1262" s="256"/>
      <c r="AF1262" s="256"/>
    </row>
    <row r="1263" spans="4:32" x14ac:dyDescent="0.3">
      <c r="D1263" s="513"/>
      <c r="E1263" s="513"/>
      <c r="F1263" s="515"/>
      <c r="G1263" s="515"/>
      <c r="I1263" s="513"/>
      <c r="J1263" s="255"/>
      <c r="K1263" s="255"/>
      <c r="L1263" s="514"/>
      <c r="M1263" s="252"/>
      <c r="N1263" s="244"/>
      <c r="O1263" s="244"/>
      <c r="P1263" s="252"/>
      <c r="Q1263" s="248"/>
      <c r="R1263" s="248"/>
      <c r="S1263" s="256"/>
      <c r="T1263" s="256"/>
      <c r="U1263" s="256"/>
      <c r="V1263" s="252"/>
      <c r="W1263" s="524"/>
      <c r="X1263" s="256"/>
      <c r="Y1263" s="252"/>
      <c r="Z1263" s="252"/>
      <c r="AA1263" s="257"/>
      <c r="AC1263" s="244"/>
      <c r="AD1263" s="244"/>
      <c r="AE1263" s="256"/>
      <c r="AF1263" s="256"/>
    </row>
    <row r="1264" spans="4:32" x14ac:dyDescent="0.3">
      <c r="D1264" s="513"/>
      <c r="E1264" s="513"/>
      <c r="F1264" s="515"/>
      <c r="G1264" s="515"/>
      <c r="I1264" s="513"/>
      <c r="J1264" s="255"/>
      <c r="K1264" s="255"/>
      <c r="L1264" s="514"/>
      <c r="M1264" s="252"/>
      <c r="N1264" s="244"/>
      <c r="O1264" s="244"/>
      <c r="P1264" s="252"/>
      <c r="Q1264" s="248"/>
      <c r="R1264" s="248"/>
      <c r="S1264" s="256"/>
      <c r="T1264" s="256"/>
      <c r="U1264" s="256"/>
      <c r="V1264" s="252"/>
      <c r="W1264" s="524"/>
      <c r="X1264" s="256"/>
      <c r="Y1264" s="252"/>
      <c r="Z1264" s="252"/>
      <c r="AA1264" s="257"/>
      <c r="AC1264" s="244"/>
      <c r="AD1264" s="244"/>
      <c r="AE1264" s="256"/>
      <c r="AF1264" s="256"/>
    </row>
    <row r="1265" spans="4:32" x14ac:dyDescent="0.3">
      <c r="D1265" s="513"/>
      <c r="E1265" s="513"/>
      <c r="F1265" s="515"/>
      <c r="G1265" s="515"/>
      <c r="I1265" s="513"/>
      <c r="J1265" s="255"/>
      <c r="K1265" s="255"/>
      <c r="L1265" s="514"/>
      <c r="M1265" s="252"/>
      <c r="N1265" s="244"/>
      <c r="O1265" s="244"/>
      <c r="P1265" s="252"/>
      <c r="Q1265" s="248"/>
      <c r="R1265" s="248"/>
      <c r="S1265" s="256"/>
      <c r="T1265" s="256"/>
      <c r="U1265" s="256"/>
      <c r="V1265" s="252"/>
      <c r="W1265" s="524"/>
      <c r="X1265" s="256"/>
      <c r="Y1265" s="252"/>
      <c r="Z1265" s="252"/>
      <c r="AA1265" s="257"/>
      <c r="AC1265" s="244"/>
      <c r="AD1265" s="244"/>
      <c r="AE1265" s="256"/>
      <c r="AF1265" s="256"/>
    </row>
    <row r="1266" spans="4:32" x14ac:dyDescent="0.3">
      <c r="D1266" s="513"/>
      <c r="E1266" s="513"/>
      <c r="F1266" s="515"/>
      <c r="G1266" s="515"/>
      <c r="I1266" s="513"/>
      <c r="J1266" s="255"/>
      <c r="K1266" s="255"/>
      <c r="L1266" s="514"/>
      <c r="M1266" s="252"/>
      <c r="N1266" s="244"/>
      <c r="O1266" s="244"/>
      <c r="P1266" s="252"/>
      <c r="Q1266" s="248"/>
      <c r="R1266" s="248"/>
      <c r="S1266" s="256"/>
      <c r="T1266" s="256"/>
      <c r="U1266" s="256"/>
      <c r="V1266" s="252"/>
      <c r="W1266" s="524"/>
      <c r="X1266" s="256"/>
      <c r="Y1266" s="252"/>
      <c r="Z1266" s="252"/>
      <c r="AA1266" s="257"/>
      <c r="AC1266" s="244"/>
      <c r="AD1266" s="244"/>
      <c r="AE1266" s="256"/>
      <c r="AF1266" s="256"/>
    </row>
    <row r="1267" spans="4:32" x14ac:dyDescent="0.3">
      <c r="D1267" s="513"/>
      <c r="E1267" s="513"/>
      <c r="F1267" s="515"/>
      <c r="G1267" s="515"/>
      <c r="I1267" s="513"/>
      <c r="J1267" s="255"/>
      <c r="K1267" s="255"/>
      <c r="L1267" s="514"/>
      <c r="M1267" s="252"/>
      <c r="N1267" s="244"/>
      <c r="O1267" s="244"/>
      <c r="P1267" s="252"/>
      <c r="Q1267" s="248"/>
      <c r="R1267" s="248"/>
      <c r="S1267" s="256"/>
      <c r="T1267" s="256"/>
      <c r="U1267" s="256"/>
      <c r="V1267" s="252"/>
      <c r="W1267" s="524"/>
      <c r="X1267" s="256"/>
      <c r="Y1267" s="252"/>
      <c r="Z1267" s="252"/>
      <c r="AA1267" s="257"/>
      <c r="AC1267" s="244"/>
      <c r="AD1267" s="244"/>
      <c r="AE1267" s="256"/>
      <c r="AF1267" s="256"/>
    </row>
    <row r="1268" spans="4:32" x14ac:dyDescent="0.3">
      <c r="D1268" s="513"/>
      <c r="E1268" s="513"/>
      <c r="F1268" s="515"/>
      <c r="G1268" s="515"/>
      <c r="I1268" s="513"/>
      <c r="J1268" s="255"/>
      <c r="K1268" s="255"/>
      <c r="L1268" s="514"/>
      <c r="M1268" s="252"/>
      <c r="N1268" s="244"/>
      <c r="O1268" s="244"/>
      <c r="P1268" s="252"/>
      <c r="Q1268" s="248"/>
      <c r="R1268" s="248"/>
      <c r="S1268" s="256"/>
      <c r="T1268" s="256"/>
      <c r="U1268" s="256"/>
      <c r="V1268" s="252"/>
      <c r="W1268" s="524"/>
      <c r="X1268" s="256"/>
      <c r="Y1268" s="252"/>
      <c r="Z1268" s="252"/>
      <c r="AA1268" s="257"/>
      <c r="AC1268" s="244"/>
      <c r="AD1268" s="244"/>
      <c r="AE1268" s="256"/>
      <c r="AF1268" s="256"/>
    </row>
    <row r="1269" spans="4:32" x14ac:dyDescent="0.3">
      <c r="D1269" s="513"/>
      <c r="E1269" s="513"/>
      <c r="F1269" s="515"/>
      <c r="G1269" s="515"/>
      <c r="I1269" s="513"/>
      <c r="J1269" s="255"/>
      <c r="K1269" s="255"/>
      <c r="L1269" s="514"/>
      <c r="M1269" s="252"/>
      <c r="N1269" s="244"/>
      <c r="O1269" s="244"/>
      <c r="P1269" s="252"/>
      <c r="Q1269" s="248"/>
      <c r="R1269" s="248"/>
      <c r="S1269" s="256"/>
      <c r="T1269" s="256"/>
      <c r="U1269" s="256"/>
      <c r="V1269" s="252"/>
      <c r="W1269" s="524"/>
      <c r="X1269" s="256"/>
      <c r="Y1269" s="252"/>
      <c r="Z1269" s="252"/>
      <c r="AA1269" s="257"/>
      <c r="AC1269" s="244"/>
      <c r="AD1269" s="244"/>
      <c r="AE1269" s="256"/>
      <c r="AF1269" s="256"/>
    </row>
    <row r="1270" spans="4:32" x14ac:dyDescent="0.3">
      <c r="D1270" s="513"/>
      <c r="E1270" s="513"/>
      <c r="F1270" s="515"/>
      <c r="G1270" s="515"/>
      <c r="I1270" s="513"/>
      <c r="J1270" s="255"/>
      <c r="K1270" s="255"/>
      <c r="L1270" s="514"/>
      <c r="M1270" s="252"/>
      <c r="N1270" s="244"/>
      <c r="O1270" s="244"/>
      <c r="P1270" s="252"/>
      <c r="Q1270" s="248"/>
      <c r="R1270" s="248"/>
      <c r="S1270" s="256"/>
      <c r="T1270" s="256"/>
      <c r="U1270" s="256"/>
      <c r="V1270" s="252"/>
      <c r="W1270" s="524"/>
      <c r="X1270" s="256"/>
      <c r="Y1270" s="252"/>
      <c r="Z1270" s="252"/>
      <c r="AA1270" s="257"/>
      <c r="AC1270" s="244"/>
      <c r="AD1270" s="244"/>
      <c r="AE1270" s="256"/>
      <c r="AF1270" s="256"/>
    </row>
    <row r="1271" spans="4:32" x14ac:dyDescent="0.3">
      <c r="D1271" s="513"/>
      <c r="E1271" s="513"/>
      <c r="F1271" s="515"/>
      <c r="G1271" s="515"/>
      <c r="I1271" s="513"/>
      <c r="J1271" s="255"/>
      <c r="K1271" s="255"/>
      <c r="L1271" s="514"/>
      <c r="M1271" s="252"/>
      <c r="N1271" s="244"/>
      <c r="O1271" s="244"/>
      <c r="P1271" s="252"/>
      <c r="Q1271" s="248"/>
      <c r="R1271" s="248"/>
      <c r="S1271" s="256"/>
      <c r="T1271" s="256"/>
      <c r="U1271" s="256"/>
      <c r="V1271" s="252"/>
      <c r="W1271" s="524"/>
      <c r="X1271" s="256"/>
      <c r="Y1271" s="252"/>
      <c r="Z1271" s="252"/>
      <c r="AA1271" s="257"/>
      <c r="AC1271" s="244"/>
      <c r="AD1271" s="244"/>
      <c r="AE1271" s="256"/>
      <c r="AF1271" s="256"/>
    </row>
    <row r="1272" spans="4:32" x14ac:dyDescent="0.3">
      <c r="D1272" s="513"/>
      <c r="E1272" s="513"/>
      <c r="F1272" s="515"/>
      <c r="G1272" s="515"/>
      <c r="I1272" s="513"/>
      <c r="J1272" s="255"/>
      <c r="K1272" s="255"/>
      <c r="L1272" s="514"/>
      <c r="M1272" s="252"/>
      <c r="N1272" s="244"/>
      <c r="O1272" s="244"/>
      <c r="P1272" s="252"/>
      <c r="Q1272" s="248"/>
      <c r="R1272" s="248"/>
      <c r="S1272" s="256"/>
      <c r="T1272" s="256"/>
      <c r="U1272" s="256"/>
      <c r="V1272" s="252"/>
      <c r="W1272" s="524"/>
      <c r="X1272" s="256"/>
      <c r="Y1272" s="252"/>
      <c r="Z1272" s="252"/>
      <c r="AA1272" s="257"/>
      <c r="AC1272" s="244"/>
      <c r="AD1272" s="244"/>
      <c r="AE1272" s="256"/>
      <c r="AF1272" s="256"/>
    </row>
    <row r="1273" spans="4:32" x14ac:dyDescent="0.3">
      <c r="D1273" s="513"/>
      <c r="E1273" s="513"/>
      <c r="F1273" s="515"/>
      <c r="G1273" s="515"/>
      <c r="I1273" s="513"/>
      <c r="J1273" s="255"/>
      <c r="K1273" s="255"/>
      <c r="L1273" s="514"/>
      <c r="M1273" s="252"/>
      <c r="N1273" s="244"/>
      <c r="O1273" s="244"/>
      <c r="P1273" s="252"/>
      <c r="Q1273" s="248"/>
      <c r="R1273" s="248"/>
      <c r="S1273" s="256"/>
      <c r="T1273" s="256"/>
      <c r="U1273" s="256"/>
      <c r="V1273" s="252"/>
      <c r="W1273" s="524"/>
      <c r="X1273" s="256"/>
      <c r="Y1273" s="252"/>
      <c r="Z1273" s="252"/>
      <c r="AA1273" s="257"/>
      <c r="AC1273" s="244"/>
      <c r="AD1273" s="244"/>
      <c r="AE1273" s="256"/>
      <c r="AF1273" s="256"/>
    </row>
    <row r="1274" spans="4:32" x14ac:dyDescent="0.3">
      <c r="D1274" s="513"/>
      <c r="E1274" s="513"/>
      <c r="F1274" s="515"/>
      <c r="G1274" s="515"/>
      <c r="I1274" s="513"/>
      <c r="J1274" s="255"/>
      <c r="K1274" s="255"/>
      <c r="L1274" s="514"/>
      <c r="M1274" s="252"/>
      <c r="N1274" s="244"/>
      <c r="O1274" s="244"/>
      <c r="P1274" s="252"/>
      <c r="Q1274" s="248"/>
      <c r="R1274" s="248"/>
      <c r="S1274" s="256"/>
      <c r="T1274" s="256"/>
      <c r="U1274" s="256"/>
      <c r="V1274" s="252"/>
      <c r="W1274" s="524"/>
      <c r="X1274" s="256"/>
      <c r="Y1274" s="252"/>
      <c r="Z1274" s="252"/>
      <c r="AA1274" s="257"/>
      <c r="AC1274" s="244"/>
      <c r="AD1274" s="244"/>
      <c r="AE1274" s="256"/>
      <c r="AF1274" s="256"/>
    </row>
    <row r="1275" spans="4:32" x14ac:dyDescent="0.3">
      <c r="D1275" s="513"/>
      <c r="E1275" s="513"/>
      <c r="F1275" s="515"/>
      <c r="G1275" s="515"/>
      <c r="I1275" s="513"/>
      <c r="J1275" s="255"/>
      <c r="K1275" s="255"/>
      <c r="L1275" s="514"/>
      <c r="M1275" s="252"/>
      <c r="N1275" s="244"/>
      <c r="O1275" s="244"/>
      <c r="P1275" s="252"/>
      <c r="Q1275" s="248"/>
      <c r="R1275" s="248"/>
      <c r="S1275" s="256"/>
      <c r="T1275" s="256"/>
      <c r="U1275" s="256"/>
      <c r="V1275" s="252"/>
      <c r="W1275" s="524"/>
      <c r="X1275" s="256"/>
      <c r="Y1275" s="252"/>
      <c r="Z1275" s="252"/>
      <c r="AA1275" s="257"/>
      <c r="AC1275" s="244"/>
      <c r="AD1275" s="244"/>
      <c r="AE1275" s="256"/>
      <c r="AF1275" s="256"/>
    </row>
    <row r="1276" spans="4:32" x14ac:dyDescent="0.3">
      <c r="D1276" s="513"/>
      <c r="E1276" s="513"/>
      <c r="F1276" s="515"/>
      <c r="G1276" s="515"/>
      <c r="I1276" s="513"/>
      <c r="J1276" s="255"/>
      <c r="K1276" s="255"/>
      <c r="L1276" s="514"/>
      <c r="M1276" s="252"/>
      <c r="N1276" s="244"/>
      <c r="O1276" s="244"/>
      <c r="P1276" s="252"/>
      <c r="Q1276" s="248"/>
      <c r="R1276" s="248"/>
      <c r="S1276" s="256"/>
      <c r="T1276" s="256"/>
      <c r="U1276" s="256"/>
      <c r="V1276" s="252"/>
      <c r="W1276" s="524"/>
      <c r="X1276" s="256"/>
      <c r="Y1276" s="252"/>
      <c r="Z1276" s="252"/>
      <c r="AA1276" s="257"/>
      <c r="AC1276" s="244"/>
      <c r="AD1276" s="244"/>
      <c r="AE1276" s="256"/>
      <c r="AF1276" s="256"/>
    </row>
    <row r="1277" spans="4:32" x14ac:dyDescent="0.3">
      <c r="D1277" s="513"/>
      <c r="E1277" s="513"/>
      <c r="F1277" s="515"/>
      <c r="G1277" s="515"/>
      <c r="I1277" s="513"/>
      <c r="J1277" s="255"/>
      <c r="K1277" s="255"/>
      <c r="L1277" s="514"/>
      <c r="M1277" s="252"/>
      <c r="N1277" s="244"/>
      <c r="O1277" s="244"/>
      <c r="P1277" s="252"/>
      <c r="Q1277" s="248"/>
      <c r="R1277" s="248"/>
      <c r="S1277" s="256"/>
      <c r="T1277" s="256"/>
      <c r="U1277" s="256"/>
      <c r="V1277" s="252"/>
      <c r="W1277" s="524"/>
      <c r="X1277" s="256"/>
      <c r="Y1277" s="252"/>
      <c r="Z1277" s="252"/>
      <c r="AA1277" s="257"/>
      <c r="AC1277" s="244"/>
      <c r="AD1277" s="244"/>
      <c r="AE1277" s="256"/>
      <c r="AF1277" s="256"/>
    </row>
    <row r="1278" spans="4:32" x14ac:dyDescent="0.3">
      <c r="D1278" s="513"/>
      <c r="E1278" s="513"/>
      <c r="F1278" s="515"/>
      <c r="G1278" s="515"/>
      <c r="I1278" s="513"/>
      <c r="J1278" s="255"/>
      <c r="K1278" s="255"/>
      <c r="L1278" s="514"/>
      <c r="M1278" s="252"/>
      <c r="N1278" s="244"/>
      <c r="O1278" s="244"/>
      <c r="P1278" s="252"/>
      <c r="Q1278" s="248"/>
      <c r="R1278" s="248"/>
      <c r="S1278" s="256"/>
      <c r="T1278" s="256"/>
      <c r="U1278" s="256"/>
      <c r="V1278" s="252"/>
      <c r="W1278" s="524"/>
      <c r="X1278" s="256"/>
      <c r="Y1278" s="252"/>
      <c r="Z1278" s="252"/>
      <c r="AA1278" s="257"/>
      <c r="AC1278" s="244"/>
      <c r="AD1278" s="244"/>
      <c r="AE1278" s="256"/>
      <c r="AF1278" s="256"/>
    </row>
    <row r="1279" spans="4:32" x14ac:dyDescent="0.3">
      <c r="D1279" s="513"/>
      <c r="E1279" s="513"/>
      <c r="F1279" s="515"/>
      <c r="G1279" s="515"/>
      <c r="I1279" s="513"/>
      <c r="J1279" s="255"/>
      <c r="K1279" s="255"/>
      <c r="L1279" s="513"/>
      <c r="M1279" s="252"/>
      <c r="N1279" s="244"/>
      <c r="O1279" s="244"/>
      <c r="P1279" s="252"/>
      <c r="Q1279" s="252"/>
      <c r="R1279" s="252"/>
      <c r="S1279" s="256"/>
      <c r="T1279" s="256"/>
      <c r="U1279" s="256"/>
      <c r="V1279" s="252"/>
      <c r="W1279" s="524"/>
      <c r="X1279" s="256"/>
      <c r="Y1279" s="252"/>
      <c r="Z1279" s="252"/>
      <c r="AA1279" s="257"/>
      <c r="AC1279" s="244"/>
      <c r="AD1279" s="244"/>
      <c r="AE1279" s="256"/>
      <c r="AF1279" s="256"/>
    </row>
    <row r="1280" spans="4:32" x14ac:dyDescent="0.3">
      <c r="D1280" s="513"/>
      <c r="E1280" s="513"/>
      <c r="F1280" s="515"/>
      <c r="G1280" s="515"/>
      <c r="I1280" s="513"/>
      <c r="J1280" s="255"/>
      <c r="K1280" s="255"/>
      <c r="L1280" s="513"/>
      <c r="M1280" s="252"/>
      <c r="N1280" s="244"/>
      <c r="O1280" s="244"/>
      <c r="P1280" s="252"/>
      <c r="Q1280" s="252"/>
      <c r="R1280" s="252"/>
      <c r="S1280" s="256"/>
      <c r="T1280" s="256"/>
      <c r="U1280" s="256"/>
      <c r="V1280" s="252"/>
      <c r="W1280" s="524"/>
      <c r="X1280" s="256"/>
      <c r="Y1280" s="252"/>
      <c r="Z1280" s="252"/>
      <c r="AA1280" s="257"/>
      <c r="AC1280" s="244"/>
      <c r="AD1280" s="244"/>
      <c r="AE1280" s="256"/>
      <c r="AF1280" s="256"/>
    </row>
    <row r="1281" spans="4:32" x14ac:dyDescent="0.3">
      <c r="D1281" s="513"/>
      <c r="E1281" s="513"/>
      <c r="F1281" s="515"/>
      <c r="G1281" s="515"/>
      <c r="I1281" s="513"/>
      <c r="J1281" s="255"/>
      <c r="K1281" s="255"/>
      <c r="L1281" s="513"/>
      <c r="M1281" s="252"/>
      <c r="N1281" s="244"/>
      <c r="O1281" s="244"/>
      <c r="P1281" s="252"/>
      <c r="Q1281" s="252"/>
      <c r="R1281" s="252"/>
      <c r="S1281" s="256"/>
      <c r="T1281" s="256"/>
      <c r="U1281" s="256"/>
      <c r="V1281" s="252"/>
      <c r="W1281" s="524"/>
      <c r="X1281" s="256"/>
      <c r="Y1281" s="252"/>
      <c r="Z1281" s="252"/>
      <c r="AA1281" s="257"/>
      <c r="AC1281" s="244"/>
      <c r="AD1281" s="244"/>
      <c r="AE1281" s="256"/>
      <c r="AF1281" s="256"/>
    </row>
    <row r="1282" spans="4:32" x14ac:dyDescent="0.3">
      <c r="D1282" s="513"/>
      <c r="E1282" s="513"/>
      <c r="F1282" s="515"/>
      <c r="G1282" s="515"/>
      <c r="I1282" s="513"/>
      <c r="J1282" s="255"/>
      <c r="K1282" s="255"/>
      <c r="L1282" s="513"/>
      <c r="M1282" s="252"/>
      <c r="N1282" s="244"/>
      <c r="O1282" s="244"/>
      <c r="P1282" s="252"/>
      <c r="Q1282" s="252"/>
      <c r="R1282" s="252"/>
      <c r="S1282" s="256"/>
      <c r="T1282" s="256"/>
      <c r="U1282" s="256"/>
      <c r="V1282" s="252"/>
      <c r="W1282" s="524"/>
      <c r="X1282" s="256"/>
      <c r="Y1282" s="252"/>
      <c r="Z1282" s="252"/>
      <c r="AA1282" s="257"/>
      <c r="AC1282" s="244"/>
      <c r="AD1282" s="244"/>
      <c r="AE1282" s="256"/>
      <c r="AF1282" s="256"/>
    </row>
    <row r="1283" spans="4:32" x14ac:dyDescent="0.3">
      <c r="D1283" s="513"/>
      <c r="E1283" s="513"/>
      <c r="F1283" s="515"/>
      <c r="G1283" s="515"/>
      <c r="I1283" s="513"/>
      <c r="J1283" s="255"/>
      <c r="K1283" s="255"/>
      <c r="L1283" s="513"/>
      <c r="M1283" s="252"/>
      <c r="N1283" s="244"/>
      <c r="O1283" s="244"/>
      <c r="P1283" s="252"/>
      <c r="Q1283" s="252"/>
      <c r="R1283" s="252"/>
      <c r="S1283" s="256"/>
      <c r="T1283" s="256"/>
      <c r="U1283" s="256"/>
      <c r="V1283" s="252"/>
      <c r="W1283" s="524"/>
      <c r="X1283" s="256"/>
      <c r="Y1283" s="252"/>
      <c r="Z1283" s="252"/>
      <c r="AA1283" s="257"/>
      <c r="AC1283" s="244"/>
      <c r="AD1283" s="244"/>
      <c r="AE1283" s="256"/>
      <c r="AF1283" s="256"/>
    </row>
    <row r="1284" spans="4:32" x14ac:dyDescent="0.3">
      <c r="D1284" s="513"/>
      <c r="E1284" s="513"/>
      <c r="F1284" s="515"/>
      <c r="G1284" s="515"/>
      <c r="I1284" s="513"/>
      <c r="J1284" s="255"/>
      <c r="K1284" s="255"/>
      <c r="L1284" s="513"/>
      <c r="M1284" s="252"/>
      <c r="N1284" s="244"/>
      <c r="O1284" s="244"/>
      <c r="P1284" s="252"/>
      <c r="Q1284" s="252"/>
      <c r="R1284" s="252"/>
      <c r="S1284" s="256"/>
      <c r="T1284" s="256"/>
      <c r="U1284" s="256"/>
      <c r="V1284" s="252"/>
      <c r="W1284" s="524"/>
      <c r="X1284" s="256"/>
      <c r="Y1284" s="252"/>
      <c r="Z1284" s="252"/>
      <c r="AA1284" s="257"/>
      <c r="AC1284" s="244"/>
      <c r="AD1284" s="244"/>
      <c r="AE1284" s="256"/>
      <c r="AF1284" s="256"/>
    </row>
    <row r="1285" spans="4:32" x14ac:dyDescent="0.3">
      <c r="D1285" s="513"/>
      <c r="E1285" s="513"/>
      <c r="F1285" s="515"/>
      <c r="G1285" s="515"/>
      <c r="I1285" s="513"/>
      <c r="J1285" s="255"/>
      <c r="K1285" s="255"/>
      <c r="L1285" s="513"/>
      <c r="M1285" s="252"/>
      <c r="N1285" s="244"/>
      <c r="O1285" s="244"/>
      <c r="P1285" s="252"/>
      <c r="Q1285" s="252"/>
      <c r="R1285" s="252"/>
      <c r="S1285" s="256"/>
      <c r="T1285" s="256"/>
      <c r="U1285" s="256"/>
      <c r="V1285" s="252"/>
      <c r="W1285" s="524"/>
      <c r="X1285" s="256"/>
      <c r="Y1285" s="252"/>
      <c r="Z1285" s="252"/>
      <c r="AA1285" s="257"/>
      <c r="AC1285" s="244"/>
      <c r="AD1285" s="244"/>
      <c r="AE1285" s="256"/>
      <c r="AF1285" s="256"/>
    </row>
    <row r="1286" spans="4:32" x14ac:dyDescent="0.3">
      <c r="D1286" s="513"/>
      <c r="E1286" s="513"/>
      <c r="F1286" s="515"/>
      <c r="G1286" s="515"/>
      <c r="I1286" s="513"/>
      <c r="J1286" s="255"/>
      <c r="K1286" s="255"/>
      <c r="L1286" s="513"/>
      <c r="M1286" s="252"/>
      <c r="N1286" s="244"/>
      <c r="O1286" s="244"/>
      <c r="P1286" s="252"/>
      <c r="Q1286" s="252"/>
      <c r="R1286" s="252"/>
      <c r="S1286" s="256"/>
      <c r="T1286" s="256"/>
      <c r="U1286" s="256"/>
      <c r="V1286" s="252"/>
      <c r="W1286" s="524"/>
      <c r="X1286" s="256"/>
      <c r="Y1286" s="252"/>
      <c r="Z1286" s="252"/>
      <c r="AA1286" s="257"/>
      <c r="AC1286" s="244"/>
      <c r="AD1286" s="244"/>
      <c r="AE1286" s="256"/>
      <c r="AF1286" s="256"/>
    </row>
    <row r="1287" spans="4:32" x14ac:dyDescent="0.3">
      <c r="D1287" s="513"/>
      <c r="E1287" s="513"/>
      <c r="F1287" s="515"/>
      <c r="G1287" s="515"/>
      <c r="I1287" s="513"/>
      <c r="J1287" s="255"/>
      <c r="K1287" s="255"/>
      <c r="L1287" s="513"/>
      <c r="M1287" s="252"/>
      <c r="N1287" s="244"/>
      <c r="O1287" s="244"/>
      <c r="P1287" s="252"/>
      <c r="Q1287" s="252"/>
      <c r="R1287" s="252"/>
      <c r="S1287" s="256"/>
      <c r="T1287" s="256"/>
      <c r="U1287" s="256"/>
      <c r="V1287" s="252"/>
      <c r="W1287" s="524"/>
      <c r="X1287" s="256"/>
      <c r="Y1287" s="252"/>
      <c r="Z1287" s="252"/>
      <c r="AA1287" s="257"/>
      <c r="AC1287" s="244"/>
      <c r="AD1287" s="244"/>
      <c r="AE1287" s="256"/>
      <c r="AF1287" s="256"/>
    </row>
    <row r="1288" spans="4:32" x14ac:dyDescent="0.3">
      <c r="D1288" s="513"/>
      <c r="E1288" s="513"/>
      <c r="F1288" s="515"/>
      <c r="G1288" s="515"/>
      <c r="I1288" s="513"/>
      <c r="J1288" s="255"/>
      <c r="K1288" s="255"/>
      <c r="L1288" s="513"/>
      <c r="M1288" s="252"/>
      <c r="N1288" s="244"/>
      <c r="O1288" s="244"/>
      <c r="P1288" s="252"/>
      <c r="Q1288" s="252"/>
      <c r="R1288" s="252"/>
      <c r="S1288" s="256"/>
      <c r="T1288" s="256"/>
      <c r="U1288" s="256"/>
      <c r="V1288" s="252"/>
      <c r="W1288" s="524"/>
      <c r="X1288" s="256"/>
      <c r="Y1288" s="252"/>
      <c r="Z1288" s="252"/>
      <c r="AA1288" s="257"/>
      <c r="AC1288" s="244"/>
      <c r="AD1288" s="244"/>
      <c r="AE1288" s="256"/>
      <c r="AF1288" s="256"/>
    </row>
    <row r="1289" spans="4:32" x14ac:dyDescent="0.3">
      <c r="D1289" s="513"/>
      <c r="E1289" s="513"/>
      <c r="F1289" s="515"/>
      <c r="G1289" s="515"/>
      <c r="I1289" s="513"/>
      <c r="J1289" s="255"/>
      <c r="K1289" s="255"/>
      <c r="L1289" s="513"/>
      <c r="M1289" s="252"/>
      <c r="N1289" s="244"/>
      <c r="O1289" s="244"/>
      <c r="P1289" s="252"/>
      <c r="Q1289" s="252"/>
      <c r="R1289" s="252"/>
      <c r="S1289" s="256"/>
      <c r="T1289" s="256"/>
      <c r="U1289" s="256"/>
      <c r="V1289" s="252"/>
      <c r="W1289" s="524"/>
      <c r="X1289" s="256"/>
      <c r="Y1289" s="252"/>
      <c r="Z1289" s="252"/>
      <c r="AA1289" s="257"/>
      <c r="AC1289" s="244"/>
      <c r="AD1289" s="244"/>
      <c r="AE1289" s="256"/>
      <c r="AF1289" s="256"/>
    </row>
    <row r="1290" spans="4:32" x14ac:dyDescent="0.3">
      <c r="D1290" s="513"/>
      <c r="E1290" s="513"/>
      <c r="F1290" s="515"/>
      <c r="G1290" s="515"/>
      <c r="I1290" s="513"/>
      <c r="J1290" s="255"/>
      <c r="K1290" s="255"/>
      <c r="L1290" s="513"/>
      <c r="M1290" s="252"/>
      <c r="N1290" s="244"/>
      <c r="O1290" s="244"/>
      <c r="P1290" s="252"/>
      <c r="Q1290" s="252"/>
      <c r="R1290" s="252"/>
      <c r="S1290" s="256"/>
      <c r="T1290" s="256"/>
      <c r="U1290" s="256"/>
      <c r="V1290" s="252"/>
      <c r="W1290" s="524"/>
      <c r="X1290" s="256"/>
      <c r="Y1290" s="252"/>
      <c r="Z1290" s="252"/>
      <c r="AA1290" s="257"/>
      <c r="AC1290" s="244"/>
      <c r="AD1290" s="244"/>
      <c r="AE1290" s="256"/>
      <c r="AF1290" s="256"/>
    </row>
    <row r="1291" spans="4:32" x14ac:dyDescent="0.3">
      <c r="D1291" s="513"/>
      <c r="E1291" s="513"/>
      <c r="F1291" s="515"/>
      <c r="G1291" s="515"/>
      <c r="I1291" s="513"/>
      <c r="J1291" s="255"/>
      <c r="K1291" s="255"/>
      <c r="L1291" s="513"/>
      <c r="M1291" s="252"/>
      <c r="N1291" s="244"/>
      <c r="O1291" s="244"/>
      <c r="P1291" s="252"/>
      <c r="Q1291" s="252"/>
      <c r="R1291" s="252"/>
      <c r="S1291" s="256"/>
      <c r="T1291" s="256"/>
      <c r="U1291" s="256"/>
      <c r="V1291" s="252"/>
      <c r="W1291" s="524"/>
      <c r="X1291" s="256"/>
      <c r="Y1291" s="252"/>
      <c r="Z1291" s="252"/>
      <c r="AA1291" s="257"/>
      <c r="AC1291" s="244"/>
      <c r="AD1291" s="244"/>
      <c r="AE1291" s="256"/>
      <c r="AF1291" s="256"/>
    </row>
    <row r="1292" spans="4:32" x14ac:dyDescent="0.3">
      <c r="D1292" s="513"/>
      <c r="E1292" s="513"/>
      <c r="F1292" s="515"/>
      <c r="G1292" s="515"/>
      <c r="I1292" s="513"/>
      <c r="J1292" s="255"/>
      <c r="K1292" s="255"/>
      <c r="L1292" s="513"/>
      <c r="M1292" s="252"/>
      <c r="N1292" s="244"/>
      <c r="O1292" s="244"/>
      <c r="P1292" s="252"/>
      <c r="Q1292" s="252"/>
      <c r="R1292" s="252"/>
      <c r="S1292" s="256"/>
      <c r="T1292" s="256"/>
      <c r="U1292" s="256"/>
      <c r="V1292" s="252"/>
      <c r="W1292" s="524"/>
      <c r="X1292" s="256"/>
      <c r="Y1292" s="252"/>
      <c r="Z1292" s="252"/>
      <c r="AA1292" s="257"/>
      <c r="AC1292" s="244"/>
      <c r="AD1292" s="244"/>
      <c r="AE1292" s="256"/>
      <c r="AF1292" s="256"/>
    </row>
    <row r="1293" spans="4:32" x14ac:dyDescent="0.3">
      <c r="D1293" s="513"/>
      <c r="E1293" s="513"/>
      <c r="F1293" s="515"/>
      <c r="G1293" s="515"/>
      <c r="I1293" s="513"/>
      <c r="J1293" s="255"/>
      <c r="K1293" s="255"/>
      <c r="L1293" s="513"/>
      <c r="M1293" s="252"/>
      <c r="N1293" s="244"/>
      <c r="O1293" s="244"/>
      <c r="P1293" s="252"/>
      <c r="Q1293" s="252"/>
      <c r="R1293" s="252"/>
      <c r="S1293" s="256"/>
      <c r="T1293" s="256"/>
      <c r="U1293" s="256"/>
      <c r="V1293" s="252"/>
      <c r="W1293" s="524"/>
      <c r="X1293" s="256"/>
      <c r="Y1293" s="252"/>
      <c r="Z1293" s="252"/>
      <c r="AA1293" s="257"/>
      <c r="AC1293" s="244"/>
      <c r="AD1293" s="244"/>
      <c r="AE1293" s="256"/>
      <c r="AF1293" s="256"/>
    </row>
    <row r="1294" spans="4:32" x14ac:dyDescent="0.3">
      <c r="D1294" s="513"/>
      <c r="E1294" s="513"/>
      <c r="F1294" s="515"/>
      <c r="G1294" s="515"/>
      <c r="I1294" s="513"/>
      <c r="J1294" s="255"/>
      <c r="K1294" s="255"/>
      <c r="L1294" s="513"/>
      <c r="M1294" s="252"/>
      <c r="N1294" s="244"/>
      <c r="O1294" s="244"/>
      <c r="P1294" s="252"/>
      <c r="Q1294" s="252"/>
      <c r="R1294" s="252"/>
      <c r="S1294" s="256"/>
      <c r="T1294" s="256"/>
      <c r="U1294" s="256"/>
      <c r="V1294" s="252"/>
      <c r="W1294" s="524"/>
      <c r="X1294" s="256"/>
      <c r="Y1294" s="252"/>
      <c r="Z1294" s="252"/>
      <c r="AA1294" s="257"/>
      <c r="AC1294" s="244"/>
      <c r="AD1294" s="244"/>
      <c r="AE1294" s="256"/>
      <c r="AF1294" s="256"/>
    </row>
    <row r="1295" spans="4:32" x14ac:dyDescent="0.3">
      <c r="D1295" s="513"/>
      <c r="E1295" s="513"/>
      <c r="F1295" s="515"/>
      <c r="G1295" s="515"/>
      <c r="I1295" s="513"/>
      <c r="J1295" s="255"/>
      <c r="K1295" s="255"/>
      <c r="L1295" s="513"/>
      <c r="M1295" s="252"/>
      <c r="N1295" s="244"/>
      <c r="O1295" s="244"/>
      <c r="P1295" s="252"/>
      <c r="Q1295" s="252"/>
      <c r="R1295" s="252"/>
      <c r="S1295" s="256"/>
      <c r="T1295" s="256"/>
      <c r="U1295" s="256"/>
      <c r="V1295" s="252"/>
      <c r="W1295" s="524"/>
      <c r="X1295" s="256"/>
      <c r="Y1295" s="252"/>
      <c r="Z1295" s="252"/>
      <c r="AA1295" s="257"/>
      <c r="AC1295" s="244"/>
      <c r="AD1295" s="244"/>
      <c r="AE1295" s="256"/>
      <c r="AF1295" s="256"/>
    </row>
    <row r="1296" spans="4:32" x14ac:dyDescent="0.3">
      <c r="D1296" s="513"/>
      <c r="E1296" s="513"/>
      <c r="F1296" s="515"/>
      <c r="G1296" s="515"/>
      <c r="I1296" s="513"/>
      <c r="J1296" s="255"/>
      <c r="K1296" s="255"/>
      <c r="L1296" s="513"/>
      <c r="M1296" s="252"/>
      <c r="N1296" s="244"/>
      <c r="O1296" s="244"/>
      <c r="P1296" s="252"/>
      <c r="Q1296" s="252"/>
      <c r="R1296" s="252"/>
      <c r="S1296" s="256"/>
      <c r="T1296" s="256"/>
      <c r="U1296" s="256"/>
      <c r="V1296" s="252"/>
      <c r="W1296" s="524"/>
      <c r="X1296" s="256"/>
      <c r="Y1296" s="252"/>
      <c r="Z1296" s="252"/>
      <c r="AA1296" s="257"/>
      <c r="AC1296" s="244"/>
      <c r="AD1296" s="244"/>
      <c r="AE1296" s="256"/>
      <c r="AF1296" s="256"/>
    </row>
    <row r="1297" spans="2:36" x14ac:dyDescent="0.3">
      <c r="D1297" s="513"/>
      <c r="E1297" s="513"/>
      <c r="F1297" s="515"/>
      <c r="G1297" s="515"/>
      <c r="I1297" s="513"/>
      <c r="J1297" s="255"/>
      <c r="K1297" s="255"/>
      <c r="L1297" s="513"/>
      <c r="M1297" s="252"/>
      <c r="N1297" s="244"/>
      <c r="O1297" s="244"/>
      <c r="P1297" s="252"/>
      <c r="Q1297" s="252"/>
      <c r="R1297" s="252"/>
      <c r="S1297" s="256"/>
      <c r="T1297" s="256"/>
      <c r="U1297" s="256"/>
      <c r="V1297" s="252"/>
      <c r="W1297" s="524"/>
      <c r="X1297" s="256"/>
      <c r="Y1297" s="252"/>
      <c r="Z1297" s="252"/>
      <c r="AA1297" s="257"/>
      <c r="AC1297" s="244"/>
      <c r="AD1297" s="244"/>
      <c r="AE1297" s="256"/>
      <c r="AF1297" s="256"/>
    </row>
    <row r="1298" spans="2:36" x14ac:dyDescent="0.3">
      <c r="D1298" s="513"/>
      <c r="E1298" s="513"/>
      <c r="F1298" s="515"/>
      <c r="G1298" s="515"/>
      <c r="I1298" s="513"/>
      <c r="J1298" s="255"/>
      <c r="K1298" s="255"/>
      <c r="L1298" s="513"/>
      <c r="M1298" s="252"/>
      <c r="N1298" s="244"/>
      <c r="O1298" s="244"/>
      <c r="P1298" s="252"/>
      <c r="Q1298" s="252"/>
      <c r="R1298" s="252"/>
      <c r="S1298" s="256"/>
      <c r="T1298" s="256"/>
      <c r="U1298" s="256"/>
      <c r="V1298" s="252"/>
      <c r="W1298" s="524"/>
      <c r="X1298" s="256"/>
      <c r="Y1298" s="252"/>
      <c r="Z1298" s="252"/>
      <c r="AA1298" s="257"/>
      <c r="AC1298" s="244"/>
      <c r="AD1298" s="244"/>
      <c r="AE1298" s="256"/>
      <c r="AF1298" s="256"/>
    </row>
    <row r="1299" spans="2:36" x14ac:dyDescent="0.3">
      <c r="D1299" s="513"/>
      <c r="E1299" s="513"/>
      <c r="F1299" s="515"/>
      <c r="G1299" s="515"/>
      <c r="I1299" s="513"/>
      <c r="J1299" s="255"/>
      <c r="K1299" s="255"/>
      <c r="L1299" s="513"/>
      <c r="M1299" s="252"/>
      <c r="N1299" s="244"/>
      <c r="O1299" s="244"/>
      <c r="P1299" s="252"/>
      <c r="Q1299" s="252"/>
      <c r="R1299" s="252"/>
      <c r="S1299" s="256"/>
      <c r="T1299" s="256"/>
      <c r="U1299" s="256"/>
      <c r="V1299" s="252"/>
      <c r="W1299" s="524"/>
      <c r="X1299" s="256"/>
      <c r="Y1299" s="252"/>
      <c r="Z1299" s="252"/>
      <c r="AA1299" s="257"/>
      <c r="AC1299" s="244"/>
      <c r="AD1299" s="244"/>
      <c r="AE1299" s="256"/>
      <c r="AF1299" s="256"/>
    </row>
    <row r="1300" spans="2:36" x14ac:dyDescent="0.3">
      <c r="D1300" s="513"/>
      <c r="E1300" s="513"/>
      <c r="F1300" s="515"/>
      <c r="G1300" s="515"/>
      <c r="I1300" s="513"/>
      <c r="J1300" s="255"/>
      <c r="K1300" s="255"/>
      <c r="L1300" s="513"/>
      <c r="M1300" s="252"/>
      <c r="N1300" s="244"/>
      <c r="O1300" s="244"/>
      <c r="P1300" s="252"/>
      <c r="Q1300" s="252"/>
      <c r="R1300" s="252"/>
      <c r="S1300" s="256"/>
      <c r="T1300" s="256"/>
      <c r="U1300" s="256"/>
      <c r="V1300" s="252"/>
      <c r="W1300" s="524"/>
      <c r="X1300" s="256"/>
      <c r="Y1300" s="252"/>
      <c r="Z1300" s="252"/>
      <c r="AA1300" s="257"/>
      <c r="AC1300" s="244"/>
      <c r="AD1300" s="244"/>
      <c r="AE1300" s="256"/>
      <c r="AF1300" s="256"/>
    </row>
    <row r="1301" spans="2:36" x14ac:dyDescent="0.3">
      <c r="D1301" s="513"/>
      <c r="E1301" s="513"/>
      <c r="F1301" s="515"/>
      <c r="G1301" s="515"/>
      <c r="I1301" s="513"/>
      <c r="J1301" s="255"/>
      <c r="K1301" s="255"/>
      <c r="L1301" s="513"/>
      <c r="M1301" s="252"/>
      <c r="N1301" s="244"/>
      <c r="O1301" s="244"/>
      <c r="P1301" s="252"/>
      <c r="Q1301" s="252"/>
      <c r="R1301" s="252"/>
      <c r="S1301" s="256"/>
      <c r="T1301" s="256"/>
      <c r="U1301" s="256"/>
      <c r="V1301" s="252"/>
      <c r="W1301" s="524"/>
      <c r="X1301" s="256"/>
      <c r="Y1301" s="252"/>
      <c r="Z1301" s="252"/>
      <c r="AA1301" s="257"/>
      <c r="AC1301" s="244"/>
      <c r="AD1301" s="244"/>
      <c r="AE1301" s="256"/>
      <c r="AF1301" s="256"/>
    </row>
    <row r="1302" spans="2:36" x14ac:dyDescent="0.3">
      <c r="D1302" s="513"/>
      <c r="E1302" s="513"/>
      <c r="F1302" s="515"/>
      <c r="G1302" s="515"/>
      <c r="I1302" s="513"/>
      <c r="J1302" s="255"/>
      <c r="K1302" s="255"/>
      <c r="L1302" s="513"/>
      <c r="M1302" s="252"/>
      <c r="N1302" s="244"/>
      <c r="O1302" s="244"/>
      <c r="P1302" s="252"/>
      <c r="Q1302" s="252"/>
      <c r="R1302" s="252"/>
      <c r="S1302" s="256"/>
      <c r="T1302" s="256"/>
      <c r="U1302" s="256"/>
      <c r="V1302" s="252"/>
      <c r="W1302" s="524"/>
      <c r="X1302" s="256"/>
      <c r="Y1302" s="252"/>
      <c r="Z1302" s="252"/>
      <c r="AA1302" s="257"/>
      <c r="AC1302" s="244"/>
      <c r="AD1302" s="244"/>
      <c r="AE1302" s="256"/>
      <c r="AF1302" s="256"/>
    </row>
    <row r="1303" spans="2:36" x14ac:dyDescent="0.3">
      <c r="D1303" s="513"/>
      <c r="E1303" s="513"/>
      <c r="F1303" s="515"/>
      <c r="G1303" s="515"/>
      <c r="I1303" s="513"/>
      <c r="J1303" s="255"/>
      <c r="K1303" s="255"/>
      <c r="L1303" s="513"/>
      <c r="M1303" s="252"/>
      <c r="N1303" s="244"/>
      <c r="O1303" s="244"/>
      <c r="P1303" s="252"/>
      <c r="Q1303" s="252"/>
      <c r="R1303" s="252"/>
      <c r="S1303" s="256"/>
      <c r="T1303" s="256"/>
      <c r="U1303" s="256"/>
      <c r="V1303" s="252"/>
      <c r="W1303" s="524"/>
      <c r="X1303" s="256"/>
      <c r="Y1303" s="252"/>
      <c r="Z1303" s="252"/>
      <c r="AA1303" s="257"/>
      <c r="AC1303" s="244"/>
      <c r="AD1303" s="244"/>
      <c r="AE1303" s="256"/>
      <c r="AF1303" s="256"/>
    </row>
    <row r="1304" spans="2:36" x14ac:dyDescent="0.3">
      <c r="D1304" s="513"/>
      <c r="E1304" s="513"/>
      <c r="F1304" s="515"/>
      <c r="G1304" s="515"/>
      <c r="I1304" s="513"/>
      <c r="J1304" s="255"/>
      <c r="K1304" s="255"/>
      <c r="L1304" s="513"/>
      <c r="M1304" s="252"/>
      <c r="N1304" s="244"/>
      <c r="O1304" s="244"/>
      <c r="P1304" s="252"/>
      <c r="Q1304" s="252"/>
      <c r="R1304" s="252"/>
      <c r="S1304" s="256"/>
      <c r="T1304" s="256"/>
      <c r="U1304" s="256"/>
      <c r="V1304" s="252"/>
      <c r="W1304" s="524"/>
      <c r="X1304" s="256"/>
      <c r="Y1304" s="252"/>
      <c r="Z1304" s="252"/>
      <c r="AA1304" s="257"/>
      <c r="AC1304" s="244"/>
      <c r="AD1304" s="244"/>
      <c r="AE1304" s="256"/>
      <c r="AF1304" s="256"/>
    </row>
    <row r="1305" spans="2:36" x14ac:dyDescent="0.3">
      <c r="D1305" s="513"/>
      <c r="E1305" s="513"/>
      <c r="F1305" s="515"/>
      <c r="G1305" s="515"/>
      <c r="I1305" s="513"/>
      <c r="J1305" s="255"/>
      <c r="K1305" s="255"/>
      <c r="L1305" s="513"/>
      <c r="M1305" s="252"/>
      <c r="N1305" s="244"/>
      <c r="O1305" s="244"/>
      <c r="P1305" s="252"/>
      <c r="Q1305" s="252"/>
      <c r="R1305" s="252"/>
      <c r="S1305" s="256"/>
      <c r="T1305" s="256"/>
      <c r="U1305" s="256"/>
      <c r="V1305" s="252"/>
      <c r="W1305" s="524"/>
      <c r="X1305" s="256"/>
      <c r="Y1305" s="252"/>
      <c r="Z1305" s="252"/>
      <c r="AA1305" s="257"/>
      <c r="AC1305" s="244"/>
      <c r="AD1305" s="244"/>
      <c r="AE1305" s="256"/>
      <c r="AF1305" s="256"/>
    </row>
    <row r="1306" spans="2:36" x14ac:dyDescent="0.3">
      <c r="D1306" s="513"/>
      <c r="E1306" s="513"/>
      <c r="F1306" s="515"/>
      <c r="G1306" s="515"/>
      <c r="I1306" s="513"/>
      <c r="J1306" s="255"/>
      <c r="K1306" s="255"/>
      <c r="L1306" s="513"/>
      <c r="M1306" s="252"/>
      <c r="N1306" s="244"/>
      <c r="O1306" s="244"/>
      <c r="P1306" s="252"/>
      <c r="Q1306" s="252"/>
      <c r="R1306" s="252"/>
      <c r="S1306" s="256"/>
      <c r="T1306" s="256"/>
      <c r="U1306" s="256"/>
      <c r="V1306" s="252"/>
      <c r="W1306" s="524"/>
      <c r="X1306" s="256"/>
      <c r="Y1306" s="252"/>
      <c r="Z1306" s="252"/>
      <c r="AA1306" s="257"/>
      <c r="AC1306" s="244"/>
      <c r="AD1306" s="244"/>
      <c r="AE1306" s="256"/>
      <c r="AF1306" s="256"/>
    </row>
    <row r="1307" spans="2:36" s="246" customFormat="1" ht="15.6" x14ac:dyDescent="0.3">
      <c r="B1307" s="248"/>
      <c r="C1307" s="530"/>
      <c r="D1307" s="513"/>
      <c r="E1307" s="513"/>
      <c r="F1307" s="515"/>
      <c r="G1307" s="515"/>
      <c r="H1307" s="544"/>
      <c r="I1307" s="513"/>
      <c r="J1307" s="255"/>
      <c r="K1307" s="255"/>
      <c r="L1307" s="513"/>
      <c r="M1307" s="252"/>
      <c r="N1307" s="244"/>
      <c r="O1307" s="244"/>
      <c r="P1307" s="252"/>
      <c r="Q1307" s="252"/>
      <c r="R1307" s="252"/>
      <c r="S1307" s="256"/>
      <c r="T1307" s="256"/>
      <c r="U1307" s="256"/>
      <c r="V1307" s="252"/>
      <c r="W1307" s="524"/>
      <c r="X1307" s="256"/>
      <c r="Y1307" s="252"/>
      <c r="Z1307" s="252"/>
      <c r="AA1307" s="257"/>
      <c r="AC1307" s="244"/>
      <c r="AD1307" s="244"/>
      <c r="AE1307" s="256"/>
      <c r="AF1307" s="256"/>
      <c r="AG1307" s="239"/>
      <c r="AH1307" s="239"/>
      <c r="AI1307" s="239"/>
      <c r="AJ1307" s="248"/>
    </row>
    <row r="1308" spans="2:36" ht="15.6" x14ac:dyDescent="0.3">
      <c r="C1308" s="531"/>
      <c r="D1308" s="515"/>
      <c r="E1308" s="515"/>
      <c r="F1308" s="515"/>
      <c r="G1308" s="515"/>
      <c r="H1308" s="544"/>
      <c r="I1308" s="515"/>
      <c r="J1308" s="501"/>
      <c r="K1308" s="501"/>
      <c r="L1308" s="515"/>
      <c r="M1308" s="318"/>
      <c r="N1308" s="318"/>
      <c r="O1308" s="318"/>
      <c r="P1308" s="502"/>
      <c r="Q1308" s="502"/>
      <c r="R1308" s="502"/>
      <c r="S1308" s="503"/>
      <c r="T1308" s="503"/>
      <c r="U1308" s="503"/>
      <c r="V1308" s="502"/>
      <c r="W1308" s="525"/>
      <c r="X1308" s="503"/>
      <c r="Y1308" s="502"/>
      <c r="Z1308" s="502"/>
      <c r="AA1308" s="504"/>
      <c r="AC1308" s="318"/>
      <c r="AD1308" s="318"/>
      <c r="AE1308" s="503"/>
      <c r="AF1308" s="503"/>
    </row>
    <row r="1309" spans="2:36" x14ac:dyDescent="0.3">
      <c r="C1309" s="532"/>
      <c r="D1309" s="513"/>
      <c r="E1309" s="513"/>
      <c r="F1309" s="515"/>
      <c r="G1309" s="515"/>
      <c r="H1309" s="544"/>
      <c r="I1309" s="513"/>
      <c r="J1309" s="255"/>
      <c r="K1309" s="255"/>
      <c r="L1309" s="513"/>
      <c r="M1309" s="244"/>
      <c r="N1309" s="244"/>
      <c r="O1309" s="244"/>
      <c r="P1309" s="502"/>
      <c r="Q1309" s="252"/>
      <c r="R1309" s="252"/>
      <c r="S1309" s="256"/>
      <c r="T1309" s="256"/>
      <c r="U1309" s="256"/>
      <c r="V1309" s="252"/>
      <c r="W1309" s="524"/>
      <c r="X1309" s="256"/>
      <c r="Y1309" s="252"/>
      <c r="Z1309" s="252"/>
      <c r="AA1309" s="257"/>
      <c r="AC1309" s="244"/>
      <c r="AD1309" s="244"/>
      <c r="AE1309" s="256"/>
      <c r="AF1309" s="256"/>
    </row>
    <row r="1310" spans="2:36" x14ac:dyDescent="0.3">
      <c r="D1310" s="513"/>
      <c r="E1310" s="513"/>
      <c r="F1310" s="515"/>
      <c r="G1310" s="515"/>
      <c r="H1310" s="544"/>
      <c r="I1310" s="513"/>
      <c r="J1310" s="255"/>
      <c r="K1310" s="255"/>
      <c r="L1310" s="513"/>
      <c r="M1310" s="244"/>
      <c r="N1310" s="244"/>
      <c r="O1310" s="244"/>
      <c r="P1310" s="502"/>
      <c r="Q1310" s="252"/>
      <c r="R1310" s="252"/>
      <c r="S1310" s="256"/>
      <c r="T1310" s="256"/>
      <c r="U1310" s="256"/>
      <c r="V1310" s="252"/>
      <c r="W1310" s="524"/>
      <c r="X1310" s="256"/>
      <c r="Y1310" s="252"/>
      <c r="Z1310" s="252"/>
      <c r="AA1310" s="257"/>
      <c r="AC1310" s="244"/>
      <c r="AD1310" s="244"/>
      <c r="AE1310" s="256"/>
      <c r="AF1310" s="256"/>
    </row>
    <row r="1311" spans="2:36" x14ac:dyDescent="0.3">
      <c r="D1311" s="513"/>
      <c r="E1311" s="513"/>
      <c r="F1311" s="515"/>
      <c r="G1311" s="515"/>
      <c r="H1311" s="544"/>
      <c r="I1311" s="513"/>
      <c r="J1311" s="255"/>
      <c r="K1311" s="255"/>
      <c r="L1311" s="513"/>
      <c r="M1311" s="244"/>
      <c r="N1311" s="244"/>
      <c r="O1311" s="244"/>
      <c r="P1311" s="502"/>
      <c r="Q1311" s="252"/>
      <c r="R1311" s="252"/>
      <c r="S1311" s="256"/>
      <c r="T1311" s="256"/>
      <c r="U1311" s="256"/>
      <c r="V1311" s="252"/>
      <c r="W1311" s="524"/>
      <c r="X1311" s="256"/>
      <c r="Y1311" s="252"/>
      <c r="Z1311" s="252"/>
      <c r="AA1311" s="257"/>
      <c r="AC1311" s="244"/>
      <c r="AD1311" s="244"/>
      <c r="AE1311" s="256"/>
      <c r="AF1311" s="256"/>
    </row>
    <row r="1312" spans="2:36" x14ac:dyDescent="0.3">
      <c r="D1312" s="513"/>
      <c r="E1312" s="513"/>
      <c r="F1312" s="515"/>
      <c r="G1312" s="515"/>
      <c r="H1312" s="544"/>
      <c r="I1312" s="513"/>
      <c r="J1312" s="255"/>
      <c r="K1312" s="255"/>
      <c r="L1312" s="513"/>
      <c r="M1312" s="244"/>
      <c r="N1312" s="244"/>
      <c r="O1312" s="244"/>
      <c r="P1312" s="502"/>
      <c r="Q1312" s="252"/>
      <c r="R1312" s="252"/>
      <c r="S1312" s="256"/>
      <c r="T1312" s="256"/>
      <c r="U1312" s="256"/>
      <c r="V1312" s="252"/>
      <c r="W1312" s="524"/>
      <c r="X1312" s="256"/>
      <c r="Y1312" s="252"/>
      <c r="Z1312" s="252"/>
      <c r="AA1312" s="257"/>
      <c r="AC1312" s="244"/>
      <c r="AD1312" s="244"/>
      <c r="AE1312" s="256"/>
      <c r="AF1312" s="256"/>
    </row>
    <row r="1313" spans="4:32" x14ac:dyDescent="0.3">
      <c r="D1313" s="513"/>
      <c r="E1313" s="513"/>
      <c r="F1313" s="515"/>
      <c r="G1313" s="515"/>
      <c r="H1313" s="544"/>
      <c r="I1313" s="513"/>
      <c r="J1313" s="255"/>
      <c r="K1313" s="255"/>
      <c r="L1313" s="513"/>
      <c r="M1313" s="244"/>
      <c r="N1313" s="244"/>
      <c r="O1313" s="244"/>
      <c r="P1313" s="502"/>
      <c r="Q1313" s="252"/>
      <c r="R1313" s="252"/>
      <c r="S1313" s="256"/>
      <c r="T1313" s="256"/>
      <c r="U1313" s="256"/>
      <c r="V1313" s="252"/>
      <c r="W1313" s="524"/>
      <c r="X1313" s="256"/>
      <c r="Y1313" s="252"/>
      <c r="Z1313" s="252"/>
      <c r="AA1313" s="257"/>
      <c r="AC1313" s="244"/>
      <c r="AD1313" s="244"/>
      <c r="AE1313" s="256"/>
      <c r="AF1313" s="256"/>
    </row>
    <row r="1314" spans="4:32" x14ac:dyDescent="0.3">
      <c r="D1314" s="513"/>
      <c r="E1314" s="513"/>
      <c r="F1314" s="515"/>
      <c r="G1314" s="515"/>
      <c r="H1314" s="544"/>
      <c r="I1314" s="513"/>
      <c r="J1314" s="255"/>
      <c r="K1314" s="255"/>
      <c r="L1314" s="513"/>
      <c r="M1314" s="244"/>
      <c r="N1314" s="244"/>
      <c r="O1314" s="244"/>
      <c r="P1314" s="502"/>
      <c r="Q1314" s="252"/>
      <c r="R1314" s="252"/>
      <c r="S1314" s="256"/>
      <c r="T1314" s="256"/>
      <c r="U1314" s="256"/>
      <c r="V1314" s="252"/>
      <c r="W1314" s="524"/>
      <c r="X1314" s="256"/>
      <c r="Y1314" s="252"/>
      <c r="Z1314" s="252"/>
      <c r="AA1314" s="257"/>
      <c r="AC1314" s="244"/>
      <c r="AD1314" s="244"/>
      <c r="AE1314" s="256"/>
      <c r="AF1314" s="256"/>
    </row>
    <row r="1315" spans="4:32" x14ac:dyDescent="0.3">
      <c r="D1315" s="513"/>
      <c r="E1315" s="513"/>
      <c r="F1315" s="515"/>
      <c r="G1315" s="515"/>
      <c r="H1315" s="544"/>
      <c r="I1315" s="513"/>
      <c r="J1315" s="255"/>
      <c r="K1315" s="255"/>
      <c r="L1315" s="513"/>
      <c r="M1315" s="244"/>
      <c r="N1315" s="244"/>
      <c r="O1315" s="244"/>
      <c r="P1315" s="502"/>
      <c r="Q1315" s="252"/>
      <c r="R1315" s="252"/>
      <c r="S1315" s="256"/>
      <c r="T1315" s="256"/>
      <c r="U1315" s="256"/>
      <c r="V1315" s="252"/>
      <c r="W1315" s="524"/>
      <c r="X1315" s="256"/>
      <c r="Y1315" s="252"/>
      <c r="Z1315" s="252"/>
      <c r="AA1315" s="257"/>
      <c r="AC1315" s="244"/>
      <c r="AD1315" s="244"/>
      <c r="AE1315" s="256"/>
      <c r="AF1315" s="256"/>
    </row>
    <row r="1316" spans="4:32" x14ac:dyDescent="0.3">
      <c r="D1316" s="513"/>
      <c r="E1316" s="513"/>
      <c r="F1316" s="515"/>
      <c r="G1316" s="515"/>
      <c r="H1316" s="544"/>
      <c r="I1316" s="513"/>
      <c r="J1316" s="255"/>
      <c r="K1316" s="255"/>
      <c r="L1316" s="513"/>
      <c r="M1316" s="244"/>
      <c r="N1316" s="244"/>
      <c r="O1316" s="244"/>
      <c r="P1316" s="502"/>
      <c r="Q1316" s="252"/>
      <c r="R1316" s="252"/>
      <c r="S1316" s="256"/>
      <c r="T1316" s="256"/>
      <c r="U1316" s="256"/>
      <c r="V1316" s="252"/>
      <c r="W1316" s="524"/>
      <c r="X1316" s="256"/>
      <c r="Y1316" s="252"/>
      <c r="Z1316" s="252"/>
      <c r="AA1316" s="257"/>
      <c r="AC1316" s="244"/>
      <c r="AD1316" s="244"/>
      <c r="AE1316" s="256"/>
      <c r="AF1316" s="256"/>
    </row>
    <row r="1317" spans="4:32" x14ac:dyDescent="0.3">
      <c r="D1317" s="513"/>
      <c r="E1317" s="513"/>
      <c r="F1317" s="515"/>
      <c r="G1317" s="515"/>
      <c r="H1317" s="544"/>
      <c r="I1317" s="513"/>
      <c r="J1317" s="255"/>
      <c r="K1317" s="255"/>
      <c r="L1317" s="513"/>
      <c r="M1317" s="244"/>
      <c r="N1317" s="244"/>
      <c r="O1317" s="244"/>
      <c r="P1317" s="502"/>
      <c r="Q1317" s="252"/>
      <c r="R1317" s="252"/>
      <c r="S1317" s="256"/>
      <c r="T1317" s="256"/>
      <c r="U1317" s="256"/>
      <c r="V1317" s="252"/>
      <c r="W1317" s="524"/>
      <c r="X1317" s="256"/>
      <c r="Y1317" s="252"/>
      <c r="Z1317" s="252"/>
      <c r="AA1317" s="257"/>
      <c r="AC1317" s="244"/>
      <c r="AD1317" s="244"/>
      <c r="AE1317" s="256"/>
      <c r="AF1317" s="256"/>
    </row>
    <row r="1318" spans="4:32" x14ac:dyDescent="0.3">
      <c r="D1318" s="513"/>
      <c r="E1318" s="513"/>
      <c r="F1318" s="515"/>
      <c r="G1318" s="515"/>
      <c r="H1318" s="544"/>
      <c r="I1318" s="513"/>
      <c r="J1318" s="255"/>
      <c r="K1318" s="255"/>
      <c r="L1318" s="513"/>
      <c r="M1318" s="244"/>
      <c r="N1318" s="244"/>
      <c r="O1318" s="244"/>
      <c r="P1318" s="502"/>
      <c r="Q1318" s="252"/>
      <c r="R1318" s="252"/>
      <c r="S1318" s="256"/>
      <c r="T1318" s="256"/>
      <c r="U1318" s="256"/>
      <c r="V1318" s="252"/>
      <c r="W1318" s="524"/>
      <c r="X1318" s="256"/>
      <c r="Y1318" s="252"/>
      <c r="Z1318" s="252"/>
      <c r="AA1318" s="257"/>
      <c r="AC1318" s="244"/>
      <c r="AD1318" s="244"/>
      <c r="AE1318" s="256"/>
      <c r="AF1318" s="256"/>
    </row>
    <row r="1319" spans="4:32" x14ac:dyDescent="0.3">
      <c r="D1319" s="513"/>
      <c r="E1319" s="513"/>
      <c r="F1319" s="515"/>
      <c r="G1319" s="515"/>
      <c r="H1319" s="544"/>
      <c r="I1319" s="513"/>
      <c r="J1319" s="255"/>
      <c r="K1319" s="255"/>
      <c r="L1319" s="513"/>
      <c r="M1319" s="244"/>
      <c r="N1319" s="244"/>
      <c r="O1319" s="244"/>
      <c r="P1319" s="502"/>
      <c r="Q1319" s="252"/>
      <c r="R1319" s="252"/>
      <c r="S1319" s="256"/>
      <c r="T1319" s="256"/>
      <c r="U1319" s="256"/>
      <c r="V1319" s="252"/>
      <c r="W1319" s="524"/>
      <c r="X1319" s="256"/>
      <c r="Y1319" s="252"/>
      <c r="Z1319" s="252"/>
      <c r="AA1319" s="257"/>
      <c r="AC1319" s="244"/>
      <c r="AD1319" s="244"/>
      <c r="AE1319" s="256"/>
      <c r="AF1319" s="256"/>
    </row>
    <row r="1320" spans="4:32" x14ac:dyDescent="0.3">
      <c r="D1320" s="513"/>
      <c r="E1320" s="513"/>
      <c r="F1320" s="515"/>
      <c r="G1320" s="515"/>
      <c r="H1320" s="544"/>
      <c r="I1320" s="513"/>
      <c r="J1320" s="255"/>
      <c r="K1320" s="255"/>
      <c r="L1320" s="513"/>
      <c r="M1320" s="244"/>
      <c r="N1320" s="244"/>
      <c r="O1320" s="244"/>
      <c r="P1320" s="502"/>
      <c r="Q1320" s="252"/>
      <c r="R1320" s="252"/>
      <c r="S1320" s="256"/>
      <c r="T1320" s="256"/>
      <c r="U1320" s="256"/>
      <c r="V1320" s="252"/>
      <c r="W1320" s="524"/>
      <c r="X1320" s="256"/>
      <c r="Y1320" s="252"/>
      <c r="Z1320" s="252"/>
      <c r="AA1320" s="257"/>
      <c r="AC1320" s="244"/>
      <c r="AD1320" s="244"/>
      <c r="AE1320" s="256"/>
      <c r="AF1320" s="256"/>
    </row>
    <row r="1321" spans="4:32" x14ac:dyDescent="0.3">
      <c r="D1321" s="513"/>
      <c r="E1321" s="513"/>
      <c r="F1321" s="515"/>
      <c r="G1321" s="515"/>
      <c r="H1321" s="544"/>
      <c r="I1321" s="513"/>
      <c r="J1321" s="255"/>
      <c r="K1321" s="255"/>
      <c r="L1321" s="513"/>
      <c r="M1321" s="244"/>
      <c r="N1321" s="244"/>
      <c r="O1321" s="244"/>
      <c r="P1321" s="502"/>
      <c r="Q1321" s="252"/>
      <c r="R1321" s="252"/>
      <c r="S1321" s="256"/>
      <c r="T1321" s="256"/>
      <c r="U1321" s="256"/>
      <c r="V1321" s="252"/>
      <c r="W1321" s="524"/>
      <c r="X1321" s="256"/>
      <c r="Y1321" s="252"/>
      <c r="Z1321" s="252"/>
      <c r="AA1321" s="257"/>
      <c r="AC1321" s="244"/>
      <c r="AD1321" s="244"/>
      <c r="AE1321" s="256"/>
      <c r="AF1321" s="256"/>
    </row>
    <row r="1322" spans="4:32" x14ac:dyDescent="0.3">
      <c r="D1322" s="513"/>
      <c r="E1322" s="513"/>
      <c r="F1322" s="515"/>
      <c r="G1322" s="515"/>
      <c r="H1322" s="544"/>
      <c r="I1322" s="513"/>
      <c r="J1322" s="255"/>
      <c r="K1322" s="255"/>
      <c r="L1322" s="513"/>
      <c r="M1322" s="244"/>
      <c r="N1322" s="244"/>
      <c r="O1322" s="244"/>
      <c r="P1322" s="502"/>
      <c r="Q1322" s="252"/>
      <c r="R1322" s="252"/>
      <c r="S1322" s="256"/>
      <c r="T1322" s="256"/>
      <c r="U1322" s="256"/>
      <c r="V1322" s="252"/>
      <c r="W1322" s="524"/>
      <c r="X1322" s="256"/>
      <c r="Y1322" s="252"/>
      <c r="Z1322" s="252"/>
      <c r="AA1322" s="257"/>
      <c r="AC1322" s="244"/>
      <c r="AD1322" s="244"/>
      <c r="AE1322" s="256"/>
      <c r="AF1322" s="256"/>
    </row>
    <row r="1323" spans="4:32" x14ac:dyDescent="0.3">
      <c r="D1323" s="513"/>
      <c r="E1323" s="513"/>
      <c r="F1323" s="515"/>
      <c r="G1323" s="515"/>
      <c r="H1323" s="544"/>
      <c r="I1323" s="513"/>
      <c r="J1323" s="255"/>
      <c r="K1323" s="255"/>
      <c r="L1323" s="513"/>
      <c r="M1323" s="244"/>
      <c r="N1323" s="244"/>
      <c r="O1323" s="244"/>
      <c r="P1323" s="502"/>
      <c r="Q1323" s="252"/>
      <c r="R1323" s="252"/>
      <c r="S1323" s="256"/>
      <c r="T1323" s="256"/>
      <c r="U1323" s="256"/>
      <c r="V1323" s="252"/>
      <c r="W1323" s="524"/>
      <c r="X1323" s="256"/>
      <c r="Y1323" s="252"/>
      <c r="Z1323" s="252"/>
      <c r="AA1323" s="257"/>
      <c r="AC1323" s="244"/>
      <c r="AD1323" s="244"/>
      <c r="AE1323" s="256"/>
      <c r="AF1323" s="256"/>
    </row>
    <row r="1324" spans="4:32" x14ac:dyDescent="0.3">
      <c r="D1324" s="513"/>
      <c r="E1324" s="513"/>
      <c r="F1324" s="515"/>
      <c r="G1324" s="515"/>
      <c r="H1324" s="544"/>
      <c r="I1324" s="513"/>
      <c r="J1324" s="255"/>
      <c r="K1324" s="255"/>
      <c r="L1324" s="513"/>
      <c r="M1324" s="244"/>
      <c r="N1324" s="244"/>
      <c r="O1324" s="244"/>
      <c r="P1324" s="502"/>
      <c r="Q1324" s="252"/>
      <c r="R1324" s="252"/>
      <c r="S1324" s="256"/>
      <c r="T1324" s="256"/>
      <c r="U1324" s="256"/>
      <c r="V1324" s="252"/>
      <c r="W1324" s="524"/>
      <c r="X1324" s="256"/>
      <c r="Y1324" s="252"/>
      <c r="Z1324" s="252"/>
      <c r="AA1324" s="257"/>
      <c r="AC1324" s="244"/>
      <c r="AD1324" s="244"/>
      <c r="AE1324" s="256"/>
      <c r="AF1324" s="256"/>
    </row>
    <row r="1325" spans="4:32" x14ac:dyDescent="0.3">
      <c r="D1325" s="513"/>
      <c r="E1325" s="513"/>
      <c r="F1325" s="515"/>
      <c r="G1325" s="515"/>
      <c r="H1325" s="544"/>
      <c r="I1325" s="513"/>
      <c r="J1325" s="255"/>
      <c r="K1325" s="255"/>
      <c r="L1325" s="513"/>
      <c r="M1325" s="244"/>
      <c r="N1325" s="244"/>
      <c r="O1325" s="244"/>
      <c r="P1325" s="502"/>
      <c r="Q1325" s="252"/>
      <c r="R1325" s="252"/>
      <c r="S1325" s="256"/>
      <c r="T1325" s="256"/>
      <c r="U1325" s="256"/>
      <c r="V1325" s="252"/>
      <c r="W1325" s="524"/>
      <c r="X1325" s="256"/>
      <c r="Y1325" s="252"/>
      <c r="Z1325" s="252"/>
      <c r="AA1325" s="257"/>
      <c r="AC1325" s="244"/>
      <c r="AD1325" s="244"/>
      <c r="AE1325" s="256"/>
      <c r="AF1325" s="256"/>
    </row>
    <row r="1326" spans="4:32" x14ac:dyDescent="0.3">
      <c r="D1326" s="513"/>
      <c r="E1326" s="513"/>
      <c r="F1326" s="515"/>
      <c r="G1326" s="515"/>
      <c r="H1326" s="544"/>
      <c r="I1326" s="513"/>
      <c r="J1326" s="255"/>
      <c r="K1326" s="255"/>
      <c r="L1326" s="513"/>
      <c r="M1326" s="244"/>
      <c r="N1326" s="244"/>
      <c r="O1326" s="244"/>
      <c r="P1326" s="502"/>
      <c r="Q1326" s="252"/>
      <c r="R1326" s="252"/>
      <c r="S1326" s="256"/>
      <c r="T1326" s="256"/>
      <c r="U1326" s="256"/>
      <c r="V1326" s="252"/>
      <c r="W1326" s="524"/>
      <c r="X1326" s="256"/>
      <c r="Y1326" s="252"/>
      <c r="Z1326" s="252"/>
      <c r="AA1326" s="257"/>
      <c r="AC1326" s="244"/>
      <c r="AD1326" s="244"/>
      <c r="AE1326" s="256"/>
      <c r="AF1326" s="256"/>
    </row>
    <row r="1327" spans="4:32" x14ac:dyDescent="0.3">
      <c r="D1327" s="513"/>
      <c r="E1327" s="513"/>
      <c r="F1327" s="515"/>
      <c r="G1327" s="515"/>
      <c r="H1327" s="544"/>
      <c r="I1327" s="513"/>
      <c r="J1327" s="255"/>
      <c r="K1327" s="255"/>
      <c r="L1327" s="513"/>
      <c r="M1327" s="244"/>
      <c r="N1327" s="244"/>
      <c r="O1327" s="244"/>
      <c r="P1327" s="502"/>
      <c r="Q1327" s="252"/>
      <c r="R1327" s="252"/>
      <c r="S1327" s="256"/>
      <c r="T1327" s="256"/>
      <c r="U1327" s="256"/>
      <c r="V1327" s="252"/>
      <c r="W1327" s="524"/>
      <c r="X1327" s="256"/>
      <c r="Y1327" s="252"/>
      <c r="Z1327" s="252"/>
      <c r="AA1327" s="257"/>
      <c r="AC1327" s="244"/>
      <c r="AD1327" s="244"/>
      <c r="AE1327" s="256"/>
      <c r="AF1327" s="256"/>
    </row>
    <row r="1328" spans="4:32" x14ac:dyDescent="0.3">
      <c r="D1328" s="513"/>
      <c r="E1328" s="513"/>
      <c r="F1328" s="515"/>
      <c r="G1328" s="515"/>
      <c r="H1328" s="544"/>
      <c r="I1328" s="513"/>
      <c r="J1328" s="255"/>
      <c r="K1328" s="255"/>
      <c r="L1328" s="513"/>
      <c r="M1328" s="244"/>
      <c r="N1328" s="244"/>
      <c r="O1328" s="244"/>
      <c r="P1328" s="502"/>
      <c r="Q1328" s="252"/>
      <c r="R1328" s="252"/>
      <c r="S1328" s="256"/>
      <c r="T1328" s="256"/>
      <c r="U1328" s="256"/>
      <c r="V1328" s="252"/>
      <c r="W1328" s="524"/>
      <c r="X1328" s="256"/>
      <c r="Y1328" s="252"/>
      <c r="Z1328" s="252"/>
      <c r="AA1328" s="257"/>
      <c r="AC1328" s="244"/>
      <c r="AD1328" s="244"/>
      <c r="AE1328" s="256"/>
      <c r="AF1328" s="256"/>
    </row>
    <row r="1329" spans="4:32" x14ac:dyDescent="0.3">
      <c r="D1329" s="513"/>
      <c r="E1329" s="513"/>
      <c r="F1329" s="515"/>
      <c r="G1329" s="515"/>
      <c r="H1329" s="544"/>
      <c r="I1329" s="513"/>
      <c r="J1329" s="255"/>
      <c r="K1329" s="255"/>
      <c r="L1329" s="513"/>
      <c r="M1329" s="244"/>
      <c r="N1329" s="244"/>
      <c r="O1329" s="244"/>
      <c r="P1329" s="502"/>
      <c r="Q1329" s="252"/>
      <c r="R1329" s="252"/>
      <c r="S1329" s="256"/>
      <c r="T1329" s="256"/>
      <c r="U1329" s="256"/>
      <c r="V1329" s="252"/>
      <c r="W1329" s="524"/>
      <c r="X1329" s="256"/>
      <c r="Y1329" s="252"/>
      <c r="Z1329" s="252"/>
      <c r="AA1329" s="257"/>
      <c r="AC1329" s="244"/>
      <c r="AD1329" s="244"/>
      <c r="AE1329" s="256"/>
      <c r="AF1329" s="256"/>
    </row>
    <row r="1330" spans="4:32" x14ac:dyDescent="0.3">
      <c r="D1330" s="513"/>
      <c r="E1330" s="513"/>
      <c r="F1330" s="515"/>
      <c r="G1330" s="515"/>
      <c r="H1330" s="544"/>
      <c r="I1330" s="513"/>
      <c r="J1330" s="255"/>
      <c r="K1330" s="255"/>
      <c r="L1330" s="513"/>
      <c r="M1330" s="244"/>
      <c r="N1330" s="244"/>
      <c r="O1330" s="244"/>
      <c r="P1330" s="502"/>
      <c r="Q1330" s="252"/>
      <c r="R1330" s="252"/>
      <c r="S1330" s="256"/>
      <c r="T1330" s="256"/>
      <c r="U1330" s="256"/>
      <c r="V1330" s="252"/>
      <c r="W1330" s="524"/>
      <c r="X1330" s="256"/>
      <c r="Y1330" s="252"/>
      <c r="Z1330" s="252"/>
      <c r="AA1330" s="257"/>
      <c r="AC1330" s="244"/>
      <c r="AD1330" s="244"/>
      <c r="AE1330" s="256"/>
      <c r="AF1330" s="256"/>
    </row>
    <row r="1331" spans="4:32" x14ac:dyDescent="0.3">
      <c r="D1331" s="513"/>
      <c r="E1331" s="513"/>
      <c r="F1331" s="515"/>
      <c r="G1331" s="515"/>
      <c r="H1331" s="544"/>
      <c r="I1331" s="513"/>
      <c r="J1331" s="255"/>
      <c r="K1331" s="255"/>
      <c r="L1331" s="513"/>
      <c r="M1331" s="244"/>
      <c r="N1331" s="244"/>
      <c r="O1331" s="244"/>
      <c r="P1331" s="502"/>
      <c r="Q1331" s="252"/>
      <c r="R1331" s="252"/>
      <c r="S1331" s="256"/>
      <c r="T1331" s="256"/>
      <c r="U1331" s="256"/>
      <c r="V1331" s="252"/>
      <c r="W1331" s="524"/>
      <c r="X1331" s="256"/>
      <c r="Y1331" s="252"/>
      <c r="Z1331" s="252"/>
      <c r="AA1331" s="257"/>
      <c r="AC1331" s="244"/>
      <c r="AD1331" s="244"/>
      <c r="AE1331" s="256"/>
      <c r="AF1331" s="256"/>
    </row>
    <row r="1332" spans="4:32" x14ac:dyDescent="0.3">
      <c r="D1332" s="513"/>
      <c r="E1332" s="513"/>
      <c r="F1332" s="515"/>
      <c r="G1332" s="515"/>
      <c r="H1332" s="544"/>
      <c r="I1332" s="513"/>
      <c r="J1332" s="255"/>
      <c r="K1332" s="255"/>
      <c r="L1332" s="513"/>
      <c r="M1332" s="244"/>
      <c r="N1332" s="244"/>
      <c r="O1332" s="244"/>
      <c r="P1332" s="502"/>
      <c r="Q1332" s="252"/>
      <c r="R1332" s="252"/>
      <c r="S1332" s="256"/>
      <c r="T1332" s="256"/>
      <c r="U1332" s="256"/>
      <c r="V1332" s="252"/>
      <c r="W1332" s="524"/>
      <c r="X1332" s="256"/>
      <c r="Y1332" s="252"/>
      <c r="Z1332" s="252"/>
      <c r="AA1332" s="257"/>
      <c r="AC1332" s="244"/>
      <c r="AD1332" s="244"/>
      <c r="AE1332" s="256"/>
      <c r="AF1332" s="256"/>
    </row>
    <row r="1333" spans="4:32" x14ac:dyDescent="0.3">
      <c r="D1333" s="513"/>
      <c r="E1333" s="513"/>
      <c r="F1333" s="515"/>
      <c r="G1333" s="515"/>
      <c r="H1333" s="544"/>
      <c r="I1333" s="513"/>
      <c r="J1333" s="255"/>
      <c r="K1333" s="255"/>
      <c r="L1333" s="513"/>
      <c r="M1333" s="244"/>
      <c r="N1333" s="244"/>
      <c r="O1333" s="244"/>
      <c r="P1333" s="502"/>
      <c r="Q1333" s="252"/>
      <c r="R1333" s="252"/>
      <c r="S1333" s="256"/>
      <c r="T1333" s="256"/>
      <c r="U1333" s="256"/>
      <c r="V1333" s="252"/>
      <c r="W1333" s="524"/>
      <c r="X1333" s="256"/>
      <c r="Y1333" s="252"/>
      <c r="Z1333" s="252"/>
      <c r="AA1333" s="257"/>
      <c r="AC1333" s="244"/>
      <c r="AD1333" s="244"/>
      <c r="AE1333" s="256"/>
      <c r="AF1333" s="256"/>
    </row>
    <row r="1334" spans="4:32" x14ac:dyDescent="0.3">
      <c r="D1334" s="513"/>
      <c r="E1334" s="513"/>
      <c r="F1334" s="515"/>
      <c r="G1334" s="515"/>
      <c r="H1334" s="544"/>
      <c r="I1334" s="513"/>
      <c r="J1334" s="255"/>
      <c r="K1334" s="255"/>
      <c r="L1334" s="513"/>
      <c r="M1334" s="244"/>
      <c r="N1334" s="244"/>
      <c r="O1334" s="244"/>
      <c r="P1334" s="502"/>
      <c r="Q1334" s="252"/>
      <c r="R1334" s="252"/>
      <c r="S1334" s="256"/>
      <c r="T1334" s="256"/>
      <c r="U1334" s="256"/>
      <c r="V1334" s="252"/>
      <c r="W1334" s="524"/>
      <c r="X1334" s="256"/>
      <c r="Y1334" s="252"/>
      <c r="Z1334" s="252"/>
      <c r="AA1334" s="257"/>
      <c r="AC1334" s="244"/>
      <c r="AD1334" s="244"/>
      <c r="AE1334" s="256"/>
      <c r="AF1334" s="256"/>
    </row>
    <row r="1335" spans="4:32" x14ac:dyDescent="0.3">
      <c r="D1335" s="513"/>
      <c r="E1335" s="513"/>
      <c r="F1335" s="515"/>
      <c r="G1335" s="515"/>
      <c r="H1335" s="544"/>
      <c r="I1335" s="513"/>
      <c r="J1335" s="255"/>
      <c r="K1335" s="255"/>
      <c r="L1335" s="513"/>
      <c r="M1335" s="244"/>
      <c r="N1335" s="244"/>
      <c r="O1335" s="244"/>
      <c r="P1335" s="502"/>
      <c r="Q1335" s="252"/>
      <c r="R1335" s="252"/>
      <c r="S1335" s="256"/>
      <c r="T1335" s="256"/>
      <c r="U1335" s="256"/>
      <c r="V1335" s="252"/>
      <c r="W1335" s="524"/>
      <c r="X1335" s="256"/>
      <c r="Y1335" s="252"/>
      <c r="Z1335" s="252"/>
      <c r="AA1335" s="257"/>
      <c r="AC1335" s="244"/>
      <c r="AD1335" s="244"/>
      <c r="AE1335" s="256"/>
      <c r="AF1335" s="256"/>
    </row>
    <row r="1336" spans="4:32" x14ac:dyDescent="0.3">
      <c r="D1336" s="513"/>
      <c r="E1336" s="513"/>
      <c r="F1336" s="515"/>
      <c r="G1336" s="515"/>
      <c r="H1336" s="544"/>
      <c r="I1336" s="513"/>
      <c r="J1336" s="255"/>
      <c r="K1336" s="255"/>
      <c r="L1336" s="513"/>
      <c r="M1336" s="244"/>
      <c r="N1336" s="244"/>
      <c r="O1336" s="244"/>
      <c r="P1336" s="502"/>
      <c r="Q1336" s="252"/>
      <c r="R1336" s="252"/>
      <c r="S1336" s="256"/>
      <c r="T1336" s="256"/>
      <c r="U1336" s="256"/>
      <c r="V1336" s="252"/>
      <c r="W1336" s="524"/>
      <c r="X1336" s="256"/>
      <c r="Y1336" s="252"/>
      <c r="Z1336" s="252"/>
      <c r="AA1336" s="257"/>
      <c r="AC1336" s="244"/>
      <c r="AD1336" s="244"/>
      <c r="AE1336" s="256"/>
      <c r="AF1336" s="256"/>
    </row>
    <row r="1337" spans="4:32" x14ac:dyDescent="0.3">
      <c r="D1337" s="513"/>
      <c r="E1337" s="513"/>
      <c r="F1337" s="515"/>
      <c r="G1337" s="515"/>
      <c r="H1337" s="544"/>
      <c r="I1337" s="513"/>
      <c r="J1337" s="255"/>
      <c r="K1337" s="255"/>
      <c r="L1337" s="513"/>
      <c r="M1337" s="244"/>
      <c r="N1337" s="244"/>
      <c r="O1337" s="244"/>
      <c r="P1337" s="502"/>
      <c r="Q1337" s="252"/>
      <c r="R1337" s="252"/>
      <c r="S1337" s="256"/>
      <c r="T1337" s="256"/>
      <c r="U1337" s="256"/>
      <c r="V1337" s="252"/>
      <c r="W1337" s="524"/>
      <c r="X1337" s="256"/>
      <c r="Y1337" s="252"/>
      <c r="Z1337" s="252"/>
      <c r="AA1337" s="257"/>
      <c r="AC1337" s="244"/>
      <c r="AD1337" s="244"/>
      <c r="AE1337" s="256"/>
      <c r="AF1337" s="256"/>
    </row>
    <row r="1338" spans="4:32" x14ac:dyDescent="0.3">
      <c r="D1338" s="513"/>
      <c r="E1338" s="513"/>
      <c r="F1338" s="515"/>
      <c r="G1338" s="515"/>
      <c r="H1338" s="544"/>
      <c r="I1338" s="513"/>
      <c r="J1338" s="255"/>
      <c r="K1338" s="255"/>
      <c r="L1338" s="513"/>
      <c r="M1338" s="244"/>
      <c r="N1338" s="244"/>
      <c r="O1338" s="244"/>
      <c r="P1338" s="502"/>
      <c r="Q1338" s="252"/>
      <c r="R1338" s="252"/>
      <c r="S1338" s="256"/>
      <c r="T1338" s="256"/>
      <c r="U1338" s="256"/>
      <c r="V1338" s="252"/>
      <c r="W1338" s="524"/>
      <c r="X1338" s="256"/>
      <c r="Y1338" s="252"/>
      <c r="Z1338" s="252"/>
      <c r="AA1338" s="257"/>
      <c r="AC1338" s="244"/>
      <c r="AD1338" s="244"/>
      <c r="AE1338" s="256"/>
      <c r="AF1338" s="256"/>
    </row>
    <row r="1339" spans="4:32" x14ac:dyDescent="0.3">
      <c r="D1339" s="513"/>
      <c r="E1339" s="513"/>
      <c r="F1339" s="515"/>
      <c r="G1339" s="515"/>
      <c r="H1339" s="544"/>
      <c r="I1339" s="513"/>
      <c r="J1339" s="255"/>
      <c r="K1339" s="255"/>
      <c r="L1339" s="513"/>
      <c r="M1339" s="244"/>
      <c r="N1339" s="244"/>
      <c r="O1339" s="244"/>
      <c r="P1339" s="502"/>
      <c r="Q1339" s="252"/>
      <c r="R1339" s="252"/>
      <c r="S1339" s="256"/>
      <c r="T1339" s="256"/>
      <c r="U1339" s="256"/>
      <c r="V1339" s="252"/>
      <c r="W1339" s="524"/>
      <c r="X1339" s="256"/>
      <c r="Y1339" s="252"/>
      <c r="Z1339" s="252"/>
      <c r="AA1339" s="257"/>
      <c r="AC1339" s="244"/>
      <c r="AD1339" s="244"/>
      <c r="AE1339" s="256"/>
      <c r="AF1339" s="256"/>
    </row>
    <row r="1340" spans="4:32" x14ac:dyDescent="0.3">
      <c r="D1340" s="513"/>
      <c r="E1340" s="513"/>
      <c r="F1340" s="515"/>
      <c r="G1340" s="515"/>
      <c r="H1340" s="544"/>
      <c r="I1340" s="513"/>
      <c r="J1340" s="255"/>
      <c r="K1340" s="255"/>
      <c r="L1340" s="513"/>
      <c r="M1340" s="244"/>
      <c r="N1340" s="244"/>
      <c r="O1340" s="244"/>
      <c r="P1340" s="502"/>
      <c r="Q1340" s="252"/>
      <c r="R1340" s="252"/>
      <c r="S1340" s="256"/>
      <c r="T1340" s="256"/>
      <c r="U1340" s="256"/>
      <c r="V1340" s="252"/>
      <c r="W1340" s="524"/>
      <c r="X1340" s="256"/>
      <c r="Y1340" s="252"/>
      <c r="Z1340" s="252"/>
      <c r="AA1340" s="257"/>
      <c r="AC1340" s="244"/>
      <c r="AD1340" s="244"/>
      <c r="AE1340" s="256"/>
      <c r="AF1340" s="256"/>
    </row>
    <row r="1341" spans="4:32" x14ac:dyDescent="0.3">
      <c r="D1341" s="513"/>
      <c r="E1341" s="513"/>
      <c r="F1341" s="515"/>
      <c r="G1341" s="515"/>
      <c r="H1341" s="544"/>
      <c r="I1341" s="513"/>
      <c r="J1341" s="255"/>
      <c r="K1341" s="255"/>
      <c r="L1341" s="513"/>
      <c r="M1341" s="244"/>
      <c r="N1341" s="244"/>
      <c r="O1341" s="244"/>
      <c r="P1341" s="502"/>
      <c r="Q1341" s="252"/>
      <c r="R1341" s="252"/>
      <c r="S1341" s="256"/>
      <c r="T1341" s="256"/>
      <c r="U1341" s="256"/>
      <c r="V1341" s="252"/>
      <c r="W1341" s="524"/>
      <c r="X1341" s="256"/>
      <c r="Y1341" s="252"/>
      <c r="Z1341" s="252"/>
      <c r="AA1341" s="257"/>
      <c r="AC1341" s="244"/>
      <c r="AD1341" s="244"/>
      <c r="AE1341" s="256"/>
      <c r="AF1341" s="256"/>
    </row>
    <row r="1342" spans="4:32" x14ac:dyDescent="0.3">
      <c r="D1342" s="513"/>
      <c r="E1342" s="513"/>
      <c r="F1342" s="515"/>
      <c r="G1342" s="515"/>
      <c r="H1342" s="544"/>
      <c r="I1342" s="513"/>
      <c r="J1342" s="255"/>
      <c r="K1342" s="255"/>
      <c r="L1342" s="513"/>
      <c r="M1342" s="244"/>
      <c r="N1342" s="244"/>
      <c r="O1342" s="244"/>
      <c r="P1342" s="502"/>
      <c r="Q1342" s="252"/>
      <c r="R1342" s="252"/>
      <c r="S1342" s="256"/>
      <c r="T1342" s="256"/>
      <c r="U1342" s="256"/>
      <c r="V1342" s="252"/>
      <c r="W1342" s="524"/>
      <c r="X1342" s="256"/>
      <c r="Y1342" s="252"/>
      <c r="Z1342" s="252"/>
      <c r="AA1342" s="257"/>
      <c r="AC1342" s="244"/>
      <c r="AD1342" s="244"/>
      <c r="AE1342" s="256"/>
      <c r="AF1342" s="256"/>
    </row>
    <row r="1343" spans="4:32" x14ac:dyDescent="0.3">
      <c r="D1343" s="513"/>
      <c r="E1343" s="513"/>
      <c r="F1343" s="515"/>
      <c r="G1343" s="515"/>
      <c r="H1343" s="544"/>
      <c r="I1343" s="513"/>
      <c r="J1343" s="255"/>
      <c r="K1343" s="255"/>
      <c r="L1343" s="513"/>
      <c r="M1343" s="244"/>
      <c r="N1343" s="244"/>
      <c r="O1343" s="244"/>
      <c r="P1343" s="502"/>
      <c r="Q1343" s="252"/>
      <c r="R1343" s="252"/>
      <c r="S1343" s="256"/>
      <c r="T1343" s="256"/>
      <c r="U1343" s="256"/>
      <c r="V1343" s="252"/>
      <c r="W1343" s="524"/>
      <c r="X1343" s="256"/>
      <c r="Y1343" s="252"/>
      <c r="Z1343" s="252"/>
      <c r="AA1343" s="257"/>
      <c r="AC1343" s="244"/>
      <c r="AD1343" s="244"/>
      <c r="AE1343" s="256"/>
      <c r="AF1343" s="256"/>
    </row>
    <row r="1344" spans="4:32" x14ac:dyDescent="0.3">
      <c r="D1344" s="513"/>
      <c r="E1344" s="513"/>
      <c r="F1344" s="515"/>
      <c r="G1344" s="515"/>
      <c r="H1344" s="544"/>
      <c r="I1344" s="513"/>
      <c r="J1344" s="255"/>
      <c r="K1344" s="255"/>
      <c r="L1344" s="513"/>
      <c r="M1344" s="244"/>
      <c r="N1344" s="244"/>
      <c r="O1344" s="244"/>
      <c r="P1344" s="502"/>
      <c r="Q1344" s="252"/>
      <c r="R1344" s="252"/>
      <c r="S1344" s="256"/>
      <c r="T1344" s="256"/>
      <c r="U1344" s="256"/>
      <c r="V1344" s="252"/>
      <c r="W1344" s="524"/>
      <c r="X1344" s="256"/>
      <c r="Y1344" s="252"/>
      <c r="Z1344" s="252"/>
      <c r="AA1344" s="257"/>
      <c r="AC1344" s="244"/>
      <c r="AD1344" s="244"/>
      <c r="AE1344" s="256"/>
      <c r="AF1344" s="256"/>
    </row>
    <row r="1345" spans="4:32" x14ac:dyDescent="0.3">
      <c r="D1345" s="513"/>
      <c r="E1345" s="513"/>
      <c r="F1345" s="515"/>
      <c r="G1345" s="515"/>
      <c r="H1345" s="544"/>
      <c r="I1345" s="513"/>
      <c r="J1345" s="255"/>
      <c r="K1345" s="255"/>
      <c r="L1345" s="513"/>
      <c r="M1345" s="244"/>
      <c r="N1345" s="244"/>
      <c r="O1345" s="244"/>
      <c r="P1345" s="502"/>
      <c r="Q1345" s="252"/>
      <c r="R1345" s="252"/>
      <c r="S1345" s="256"/>
      <c r="T1345" s="256"/>
      <c r="U1345" s="256"/>
      <c r="V1345" s="252"/>
      <c r="W1345" s="524"/>
      <c r="X1345" s="256"/>
      <c r="Y1345" s="252"/>
      <c r="Z1345" s="252"/>
      <c r="AA1345" s="257"/>
      <c r="AC1345" s="244"/>
      <c r="AD1345" s="244"/>
      <c r="AE1345" s="256"/>
      <c r="AF1345" s="256"/>
    </row>
    <row r="1346" spans="4:32" x14ac:dyDescent="0.3">
      <c r="D1346" s="513"/>
      <c r="E1346" s="513"/>
      <c r="F1346" s="515"/>
      <c r="G1346" s="515"/>
      <c r="H1346" s="544"/>
      <c r="I1346" s="513"/>
      <c r="J1346" s="255"/>
      <c r="K1346" s="255"/>
      <c r="L1346" s="513"/>
      <c r="M1346" s="244"/>
      <c r="N1346" s="244"/>
      <c r="O1346" s="244"/>
      <c r="P1346" s="502"/>
      <c r="Q1346" s="252"/>
      <c r="R1346" s="252"/>
      <c r="S1346" s="256"/>
      <c r="T1346" s="256"/>
      <c r="U1346" s="256"/>
      <c r="V1346" s="252"/>
      <c r="W1346" s="524"/>
      <c r="X1346" s="256"/>
      <c r="Y1346" s="252"/>
      <c r="Z1346" s="252"/>
      <c r="AA1346" s="257"/>
      <c r="AC1346" s="244"/>
      <c r="AD1346" s="244"/>
      <c r="AE1346" s="256"/>
      <c r="AF1346" s="256"/>
    </row>
    <row r="1347" spans="4:32" x14ac:dyDescent="0.3">
      <c r="D1347" s="513"/>
      <c r="E1347" s="513"/>
      <c r="F1347" s="515"/>
      <c r="G1347" s="515"/>
      <c r="H1347" s="544"/>
      <c r="I1347" s="513"/>
      <c r="J1347" s="255"/>
      <c r="K1347" s="255"/>
      <c r="L1347" s="513"/>
      <c r="M1347" s="244"/>
      <c r="N1347" s="244"/>
      <c r="O1347" s="244"/>
      <c r="P1347" s="502"/>
      <c r="Q1347" s="252"/>
      <c r="R1347" s="252"/>
      <c r="S1347" s="256"/>
      <c r="T1347" s="256"/>
      <c r="U1347" s="256"/>
      <c r="V1347" s="252"/>
      <c r="W1347" s="524"/>
      <c r="X1347" s="256"/>
      <c r="Y1347" s="252"/>
      <c r="Z1347" s="252"/>
      <c r="AA1347" s="257"/>
      <c r="AC1347" s="244"/>
      <c r="AD1347" s="244"/>
      <c r="AE1347" s="256"/>
      <c r="AF1347" s="256"/>
    </row>
    <row r="1348" spans="4:32" x14ac:dyDescent="0.3">
      <c r="D1348" s="513"/>
      <c r="E1348" s="513"/>
      <c r="F1348" s="515"/>
      <c r="G1348" s="515"/>
      <c r="H1348" s="544"/>
      <c r="I1348" s="513"/>
      <c r="J1348" s="255"/>
      <c r="K1348" s="255"/>
      <c r="L1348" s="513"/>
      <c r="M1348" s="244"/>
      <c r="N1348" s="244"/>
      <c r="O1348" s="244"/>
      <c r="P1348" s="502"/>
      <c r="Q1348" s="252"/>
      <c r="R1348" s="252"/>
      <c r="S1348" s="256"/>
      <c r="T1348" s="256"/>
      <c r="U1348" s="256"/>
      <c r="V1348" s="252"/>
      <c r="W1348" s="524"/>
      <c r="X1348" s="256"/>
      <c r="Y1348" s="252"/>
      <c r="Z1348" s="252"/>
      <c r="AA1348" s="257"/>
      <c r="AC1348" s="244"/>
      <c r="AD1348" s="244"/>
      <c r="AE1348" s="256"/>
      <c r="AF1348" s="256"/>
    </row>
    <row r="1349" spans="4:32" x14ac:dyDescent="0.3">
      <c r="D1349" s="513"/>
      <c r="E1349" s="513"/>
      <c r="F1349" s="515"/>
      <c r="G1349" s="515"/>
      <c r="H1349" s="544"/>
      <c r="I1349" s="513"/>
      <c r="J1349" s="255"/>
      <c r="K1349" s="255"/>
      <c r="L1349" s="513"/>
      <c r="M1349" s="244"/>
      <c r="N1349" s="244"/>
      <c r="O1349" s="244"/>
      <c r="P1349" s="502"/>
      <c r="Q1349" s="252"/>
      <c r="R1349" s="252"/>
      <c r="S1349" s="256"/>
      <c r="T1349" s="256"/>
      <c r="U1349" s="256"/>
      <c r="V1349" s="252"/>
      <c r="W1349" s="524"/>
      <c r="X1349" s="256"/>
      <c r="Y1349" s="252"/>
      <c r="Z1349" s="252"/>
      <c r="AA1349" s="257"/>
      <c r="AC1349" s="244"/>
      <c r="AD1349" s="244"/>
      <c r="AE1349" s="256"/>
      <c r="AF1349" s="256"/>
    </row>
    <row r="1350" spans="4:32" x14ac:dyDescent="0.3">
      <c r="D1350" s="513"/>
      <c r="E1350" s="513"/>
      <c r="F1350" s="515"/>
      <c r="G1350" s="515"/>
      <c r="H1350" s="544"/>
      <c r="I1350" s="513"/>
      <c r="J1350" s="255"/>
      <c r="K1350" s="255"/>
      <c r="L1350" s="513"/>
      <c r="M1350" s="244"/>
      <c r="N1350" s="244"/>
      <c r="O1350" s="244"/>
      <c r="P1350" s="502"/>
      <c r="Q1350" s="252"/>
      <c r="R1350" s="252"/>
      <c r="S1350" s="256"/>
      <c r="T1350" s="256"/>
      <c r="U1350" s="256"/>
      <c r="V1350" s="252"/>
      <c r="W1350" s="524"/>
      <c r="X1350" s="256"/>
      <c r="Y1350" s="252"/>
      <c r="Z1350" s="252"/>
      <c r="AA1350" s="257"/>
      <c r="AC1350" s="244"/>
      <c r="AD1350" s="244"/>
      <c r="AE1350" s="256"/>
      <c r="AF1350" s="256"/>
    </row>
    <row r="1351" spans="4:32" x14ac:dyDescent="0.3">
      <c r="D1351" s="513"/>
      <c r="E1351" s="513"/>
      <c r="F1351" s="515"/>
      <c r="G1351" s="515"/>
      <c r="H1351" s="544"/>
      <c r="I1351" s="513"/>
      <c r="J1351" s="255"/>
      <c r="K1351" s="255"/>
      <c r="L1351" s="513"/>
      <c r="M1351" s="244"/>
      <c r="N1351" s="244"/>
      <c r="O1351" s="244"/>
      <c r="P1351" s="502"/>
      <c r="Q1351" s="252"/>
      <c r="R1351" s="252"/>
      <c r="S1351" s="256"/>
      <c r="T1351" s="256"/>
      <c r="U1351" s="256"/>
      <c r="V1351" s="252"/>
      <c r="W1351" s="524"/>
      <c r="X1351" s="256"/>
      <c r="Y1351" s="252"/>
      <c r="Z1351" s="252"/>
      <c r="AA1351" s="257"/>
      <c r="AC1351" s="244"/>
      <c r="AD1351" s="244"/>
      <c r="AE1351" s="256"/>
      <c r="AF1351" s="256"/>
    </row>
    <row r="1352" spans="4:32" x14ac:dyDescent="0.3">
      <c r="D1352" s="513"/>
      <c r="E1352" s="513"/>
      <c r="F1352" s="515"/>
      <c r="G1352" s="515"/>
      <c r="H1352" s="544"/>
      <c r="I1352" s="513"/>
      <c r="J1352" s="255"/>
      <c r="K1352" s="255"/>
      <c r="L1352" s="513"/>
      <c r="M1352" s="244"/>
      <c r="N1352" s="244"/>
      <c r="O1352" s="244"/>
      <c r="P1352" s="502"/>
      <c r="Q1352" s="252"/>
      <c r="R1352" s="252"/>
      <c r="S1352" s="256"/>
      <c r="T1352" s="256"/>
      <c r="U1352" s="256"/>
      <c r="V1352" s="252"/>
      <c r="W1352" s="524"/>
      <c r="X1352" s="256"/>
      <c r="Y1352" s="252"/>
      <c r="Z1352" s="252"/>
      <c r="AA1352" s="257"/>
      <c r="AC1352" s="244"/>
      <c r="AD1352" s="244"/>
      <c r="AE1352" s="256"/>
      <c r="AF1352" s="256"/>
    </row>
    <row r="1353" spans="4:32" x14ac:dyDescent="0.3">
      <c r="D1353" s="513"/>
      <c r="E1353" s="513"/>
      <c r="F1353" s="515"/>
      <c r="G1353" s="515"/>
      <c r="H1353" s="544"/>
      <c r="I1353" s="513"/>
      <c r="J1353" s="255"/>
      <c r="K1353" s="255"/>
      <c r="L1353" s="513"/>
      <c r="M1353" s="244"/>
      <c r="N1353" s="244"/>
      <c r="O1353" s="244"/>
      <c r="P1353" s="502"/>
      <c r="Q1353" s="252"/>
      <c r="R1353" s="252"/>
      <c r="S1353" s="256"/>
      <c r="T1353" s="256"/>
      <c r="U1353" s="256"/>
      <c r="V1353" s="252"/>
      <c r="W1353" s="524"/>
      <c r="X1353" s="256"/>
      <c r="Y1353" s="252"/>
      <c r="Z1353" s="252"/>
      <c r="AA1353" s="257"/>
      <c r="AC1353" s="244"/>
      <c r="AD1353" s="244"/>
      <c r="AE1353" s="256"/>
      <c r="AF1353" s="256"/>
    </row>
    <row r="1354" spans="4:32" x14ac:dyDescent="0.3">
      <c r="D1354" s="513"/>
      <c r="E1354" s="513"/>
      <c r="F1354" s="515"/>
      <c r="G1354" s="515"/>
      <c r="H1354" s="544"/>
      <c r="I1354" s="513"/>
      <c r="J1354" s="255"/>
      <c r="K1354" s="255"/>
      <c r="L1354" s="513"/>
      <c r="M1354" s="244"/>
      <c r="N1354" s="244"/>
      <c r="O1354" s="244"/>
      <c r="P1354" s="502"/>
      <c r="Q1354" s="252"/>
      <c r="R1354" s="252"/>
      <c r="S1354" s="256"/>
      <c r="T1354" s="256"/>
      <c r="U1354" s="256"/>
      <c r="V1354" s="252"/>
      <c r="W1354" s="524"/>
      <c r="X1354" s="256"/>
      <c r="Y1354" s="252"/>
      <c r="Z1354" s="252"/>
      <c r="AA1354" s="257"/>
      <c r="AC1354" s="244"/>
      <c r="AD1354" s="244"/>
      <c r="AE1354" s="256"/>
      <c r="AF1354" s="256"/>
    </row>
    <row r="1355" spans="4:32" x14ac:dyDescent="0.3">
      <c r="D1355" s="513"/>
      <c r="E1355" s="513"/>
      <c r="F1355" s="515"/>
      <c r="G1355" s="515"/>
      <c r="H1355" s="544"/>
      <c r="I1355" s="513"/>
      <c r="J1355" s="255"/>
      <c r="K1355" s="255"/>
      <c r="L1355" s="513"/>
      <c r="M1355" s="244"/>
      <c r="N1355" s="244"/>
      <c r="O1355" s="244"/>
      <c r="P1355" s="502"/>
      <c r="Q1355" s="252"/>
      <c r="R1355" s="252"/>
      <c r="S1355" s="256"/>
      <c r="T1355" s="256"/>
      <c r="U1355" s="256"/>
      <c r="V1355" s="252"/>
      <c r="W1355" s="524"/>
      <c r="X1355" s="256"/>
      <c r="Y1355" s="252"/>
      <c r="Z1355" s="252"/>
      <c r="AA1355" s="257"/>
      <c r="AC1355" s="244"/>
      <c r="AD1355" s="244"/>
      <c r="AE1355" s="256"/>
      <c r="AF1355" s="256"/>
    </row>
    <row r="1356" spans="4:32" x14ac:dyDescent="0.3">
      <c r="D1356" s="513"/>
      <c r="E1356" s="513"/>
      <c r="F1356" s="515"/>
      <c r="G1356" s="515"/>
      <c r="H1356" s="544"/>
      <c r="I1356" s="513"/>
      <c r="J1356" s="255"/>
      <c r="K1356" s="255"/>
      <c r="L1356" s="513"/>
      <c r="M1356" s="244"/>
      <c r="N1356" s="244"/>
      <c r="O1356" s="244"/>
      <c r="P1356" s="502"/>
      <c r="Q1356" s="252"/>
      <c r="R1356" s="252"/>
      <c r="S1356" s="256"/>
      <c r="T1356" s="256"/>
      <c r="U1356" s="256"/>
      <c r="V1356" s="252"/>
      <c r="W1356" s="524"/>
      <c r="X1356" s="256"/>
      <c r="Y1356" s="252"/>
      <c r="Z1356" s="252"/>
      <c r="AA1356" s="257"/>
      <c r="AC1356" s="244"/>
      <c r="AD1356" s="244"/>
      <c r="AE1356" s="256"/>
      <c r="AF1356" s="256"/>
    </row>
    <row r="1357" spans="4:32" x14ac:dyDescent="0.3">
      <c r="D1357" s="513"/>
      <c r="E1357" s="513"/>
      <c r="F1357" s="515"/>
      <c r="G1357" s="515"/>
      <c r="H1357" s="544"/>
      <c r="I1357" s="513"/>
      <c r="J1357" s="255"/>
      <c r="K1357" s="255"/>
      <c r="L1357" s="513"/>
      <c r="M1357" s="244"/>
      <c r="N1357" s="244"/>
      <c r="O1357" s="244"/>
      <c r="P1357" s="502"/>
      <c r="Q1357" s="252"/>
      <c r="R1357" s="252"/>
      <c r="S1357" s="256"/>
      <c r="T1357" s="256"/>
      <c r="U1357" s="256"/>
      <c r="V1357" s="252"/>
      <c r="W1357" s="524"/>
      <c r="X1357" s="256"/>
      <c r="Y1357" s="252"/>
      <c r="Z1357" s="252"/>
      <c r="AA1357" s="257"/>
      <c r="AC1357" s="244"/>
      <c r="AD1357" s="244"/>
      <c r="AE1357" s="256"/>
      <c r="AF1357" s="256"/>
    </row>
    <row r="1358" spans="4:32" x14ac:dyDescent="0.3">
      <c r="D1358" s="513"/>
      <c r="E1358" s="513"/>
      <c r="F1358" s="515"/>
      <c r="G1358" s="515"/>
      <c r="H1358" s="544"/>
      <c r="I1358" s="513"/>
      <c r="J1358" s="255"/>
      <c r="K1358" s="255"/>
      <c r="L1358" s="513"/>
      <c r="M1358" s="244"/>
      <c r="N1358" s="244"/>
      <c r="O1358" s="244"/>
      <c r="P1358" s="502"/>
      <c r="Q1358" s="252"/>
      <c r="R1358" s="252"/>
      <c r="S1358" s="256"/>
      <c r="T1358" s="256"/>
      <c r="U1358" s="256"/>
      <c r="V1358" s="252"/>
      <c r="W1358" s="524"/>
      <c r="X1358" s="256"/>
      <c r="Y1358" s="252"/>
      <c r="Z1358" s="252"/>
      <c r="AA1358" s="257"/>
      <c r="AC1358" s="244"/>
      <c r="AD1358" s="244"/>
      <c r="AE1358" s="256"/>
      <c r="AF1358" s="256"/>
    </row>
    <row r="1359" spans="4:32" x14ac:dyDescent="0.3">
      <c r="D1359" s="513"/>
      <c r="E1359" s="513"/>
      <c r="F1359" s="515"/>
      <c r="G1359" s="515"/>
      <c r="H1359" s="544"/>
      <c r="I1359" s="513"/>
      <c r="J1359" s="255"/>
      <c r="K1359" s="255"/>
      <c r="L1359" s="513"/>
      <c r="M1359" s="244"/>
      <c r="N1359" s="244"/>
      <c r="O1359" s="244"/>
      <c r="P1359" s="502"/>
      <c r="Q1359" s="252"/>
      <c r="R1359" s="252"/>
      <c r="S1359" s="256"/>
      <c r="T1359" s="256"/>
      <c r="U1359" s="256"/>
      <c r="V1359" s="252"/>
      <c r="W1359" s="524"/>
      <c r="X1359" s="256"/>
      <c r="Y1359" s="252"/>
      <c r="Z1359" s="252"/>
      <c r="AA1359" s="257"/>
      <c r="AC1359" s="244"/>
      <c r="AD1359" s="244"/>
      <c r="AE1359" s="256"/>
      <c r="AF1359" s="256"/>
    </row>
    <row r="1360" spans="4:32" x14ac:dyDescent="0.3">
      <c r="D1360" s="513"/>
      <c r="E1360" s="513"/>
      <c r="F1360" s="515"/>
      <c r="G1360" s="515"/>
      <c r="H1360" s="544"/>
      <c r="I1360" s="513"/>
      <c r="J1360" s="255"/>
      <c r="K1360" s="255"/>
      <c r="L1360" s="513"/>
      <c r="M1360" s="244"/>
      <c r="N1360" s="244"/>
      <c r="O1360" s="244"/>
      <c r="P1360" s="502"/>
      <c r="Q1360" s="252"/>
      <c r="R1360" s="252"/>
      <c r="S1360" s="256"/>
      <c r="T1360" s="256"/>
      <c r="U1360" s="256"/>
      <c r="V1360" s="252"/>
      <c r="W1360" s="524"/>
      <c r="X1360" s="256"/>
      <c r="Y1360" s="252"/>
      <c r="Z1360" s="252"/>
      <c r="AA1360" s="257"/>
      <c r="AC1360" s="244"/>
      <c r="AD1360" s="244"/>
      <c r="AE1360" s="256"/>
      <c r="AF1360" s="256"/>
    </row>
    <row r="1361" spans="4:32" x14ac:dyDescent="0.3">
      <c r="D1361" s="513"/>
      <c r="E1361" s="513"/>
      <c r="F1361" s="515"/>
      <c r="G1361" s="515"/>
      <c r="H1361" s="544"/>
      <c r="I1361" s="513"/>
      <c r="J1361" s="255"/>
      <c r="K1361" s="255"/>
      <c r="L1361" s="513"/>
      <c r="M1361" s="244"/>
      <c r="N1361" s="244"/>
      <c r="O1361" s="244"/>
      <c r="P1361" s="502"/>
      <c r="Q1361" s="252"/>
      <c r="R1361" s="252"/>
      <c r="S1361" s="256"/>
      <c r="T1361" s="256"/>
      <c r="U1361" s="256"/>
      <c r="V1361" s="252"/>
      <c r="W1361" s="524"/>
      <c r="X1361" s="256"/>
      <c r="Y1361" s="252"/>
      <c r="Z1361" s="252"/>
      <c r="AA1361" s="257"/>
      <c r="AC1361" s="244"/>
      <c r="AD1361" s="244"/>
      <c r="AE1361" s="256"/>
      <c r="AF1361" s="256"/>
    </row>
    <row r="1362" spans="4:32" x14ac:dyDescent="0.3">
      <c r="D1362" s="513"/>
      <c r="E1362" s="513"/>
      <c r="F1362" s="515"/>
      <c r="G1362" s="515"/>
      <c r="H1362" s="544"/>
      <c r="I1362" s="513"/>
      <c r="J1362" s="255"/>
      <c r="K1362" s="255"/>
      <c r="L1362" s="513"/>
      <c r="M1362" s="244"/>
      <c r="N1362" s="244"/>
      <c r="O1362" s="244"/>
      <c r="P1362" s="502"/>
      <c r="Q1362" s="252"/>
      <c r="R1362" s="252"/>
      <c r="S1362" s="256"/>
      <c r="T1362" s="256"/>
      <c r="U1362" s="256"/>
      <c r="V1362" s="252"/>
      <c r="W1362" s="524"/>
      <c r="X1362" s="256"/>
      <c r="Y1362" s="252"/>
      <c r="Z1362" s="252"/>
      <c r="AA1362" s="257"/>
      <c r="AC1362" s="244"/>
      <c r="AD1362" s="244"/>
      <c r="AE1362" s="256"/>
      <c r="AF1362" s="256"/>
    </row>
    <row r="1363" spans="4:32" x14ac:dyDescent="0.3">
      <c r="D1363" s="513"/>
      <c r="E1363" s="513"/>
      <c r="F1363" s="515"/>
      <c r="G1363" s="515"/>
      <c r="H1363" s="544"/>
      <c r="I1363" s="513"/>
      <c r="J1363" s="255"/>
      <c r="K1363" s="255"/>
      <c r="L1363" s="513"/>
      <c r="M1363" s="244"/>
      <c r="N1363" s="244"/>
      <c r="O1363" s="244"/>
      <c r="P1363" s="502"/>
      <c r="Q1363" s="252"/>
      <c r="R1363" s="252"/>
      <c r="S1363" s="256"/>
      <c r="T1363" s="256"/>
      <c r="U1363" s="256"/>
      <c r="V1363" s="252"/>
      <c r="W1363" s="524"/>
      <c r="X1363" s="256"/>
      <c r="Y1363" s="252"/>
      <c r="Z1363" s="252"/>
      <c r="AA1363" s="257"/>
      <c r="AC1363" s="244"/>
      <c r="AD1363" s="244"/>
      <c r="AE1363" s="256"/>
      <c r="AF1363" s="256"/>
    </row>
    <row r="1364" spans="4:32" x14ac:dyDescent="0.3">
      <c r="D1364" s="513"/>
      <c r="E1364" s="513"/>
      <c r="F1364" s="515"/>
      <c r="G1364" s="515"/>
      <c r="H1364" s="544"/>
      <c r="I1364" s="513"/>
      <c r="J1364" s="255"/>
      <c r="K1364" s="255"/>
      <c r="L1364" s="513"/>
      <c r="M1364" s="244"/>
      <c r="N1364" s="244"/>
      <c r="O1364" s="244"/>
      <c r="P1364" s="502"/>
      <c r="Q1364" s="252"/>
      <c r="R1364" s="252"/>
      <c r="S1364" s="256"/>
      <c r="T1364" s="256"/>
      <c r="U1364" s="256"/>
      <c r="V1364" s="252"/>
      <c r="W1364" s="524"/>
      <c r="X1364" s="256"/>
      <c r="Y1364" s="252"/>
      <c r="Z1364" s="252"/>
      <c r="AA1364" s="257"/>
      <c r="AC1364" s="244"/>
      <c r="AD1364" s="244"/>
      <c r="AE1364" s="256"/>
      <c r="AF1364" s="256"/>
    </row>
    <row r="1365" spans="4:32" x14ac:dyDescent="0.3">
      <c r="D1365" s="513"/>
      <c r="E1365" s="513"/>
      <c r="F1365" s="515"/>
      <c r="G1365" s="515"/>
      <c r="H1365" s="544"/>
      <c r="I1365" s="513"/>
      <c r="J1365" s="255"/>
      <c r="K1365" s="255"/>
      <c r="L1365" s="513"/>
      <c r="M1365" s="244"/>
      <c r="N1365" s="244"/>
      <c r="O1365" s="244"/>
      <c r="P1365" s="502"/>
      <c r="Q1365" s="252"/>
      <c r="R1365" s="252"/>
      <c r="S1365" s="256"/>
      <c r="T1365" s="256"/>
      <c r="U1365" s="256"/>
      <c r="V1365" s="252"/>
      <c r="W1365" s="524"/>
      <c r="X1365" s="256"/>
      <c r="Y1365" s="252"/>
      <c r="Z1365" s="252"/>
      <c r="AA1365" s="257"/>
      <c r="AC1365" s="244"/>
      <c r="AD1365" s="244"/>
      <c r="AE1365" s="256"/>
      <c r="AF1365" s="256"/>
    </row>
    <row r="1366" spans="4:32" x14ac:dyDescent="0.3">
      <c r="D1366" s="513"/>
      <c r="E1366" s="513"/>
      <c r="F1366" s="515"/>
      <c r="G1366" s="515"/>
      <c r="I1366" s="513"/>
      <c r="J1366" s="255"/>
      <c r="K1366" s="255"/>
      <c r="L1366" s="513"/>
      <c r="M1366" s="244"/>
      <c r="N1366" s="244"/>
      <c r="O1366" s="244"/>
      <c r="P1366" s="502"/>
      <c r="Q1366" s="252"/>
      <c r="R1366" s="252"/>
      <c r="S1366" s="256"/>
      <c r="T1366" s="256"/>
      <c r="U1366" s="256"/>
      <c r="V1366" s="252"/>
      <c r="W1366" s="524"/>
      <c r="X1366" s="256"/>
      <c r="Y1366" s="252"/>
      <c r="Z1366" s="252"/>
      <c r="AA1366" s="257"/>
      <c r="AC1366" s="244"/>
      <c r="AD1366" s="244"/>
      <c r="AE1366" s="256"/>
      <c r="AF1366" s="256"/>
    </row>
    <row r="1367" spans="4:32" x14ac:dyDescent="0.3">
      <c r="D1367" s="513"/>
      <c r="E1367" s="513"/>
      <c r="F1367" s="515"/>
      <c r="G1367" s="515"/>
      <c r="I1367" s="513"/>
      <c r="J1367" s="255"/>
      <c r="K1367" s="255"/>
      <c r="L1367" s="513"/>
      <c r="M1367" s="244"/>
      <c r="N1367" s="244"/>
      <c r="O1367" s="244"/>
      <c r="P1367" s="502"/>
      <c r="Q1367" s="252"/>
      <c r="R1367" s="252"/>
      <c r="S1367" s="256"/>
      <c r="T1367" s="256"/>
      <c r="U1367" s="256"/>
      <c r="V1367" s="252"/>
      <c r="W1367" s="524"/>
      <c r="X1367" s="256"/>
      <c r="Y1367" s="252"/>
      <c r="Z1367" s="252"/>
      <c r="AA1367" s="257"/>
      <c r="AC1367" s="244"/>
      <c r="AD1367" s="244"/>
      <c r="AE1367" s="256"/>
      <c r="AF1367" s="256"/>
    </row>
    <row r="1368" spans="4:32" x14ac:dyDescent="0.3">
      <c r="D1368" s="513"/>
      <c r="E1368" s="513"/>
      <c r="F1368" s="515"/>
      <c r="G1368" s="515"/>
      <c r="I1368" s="513"/>
      <c r="J1368" s="255"/>
      <c r="K1368" s="255"/>
      <c r="L1368" s="513"/>
      <c r="M1368" s="252"/>
      <c r="N1368" s="244"/>
      <c r="O1368" s="244"/>
      <c r="P1368" s="252"/>
      <c r="Q1368" s="252"/>
      <c r="R1368" s="252"/>
      <c r="S1368" s="256"/>
      <c r="T1368" s="256"/>
      <c r="U1368" s="256"/>
      <c r="V1368" s="252"/>
      <c r="W1368" s="524"/>
      <c r="X1368" s="256"/>
      <c r="Y1368" s="252"/>
      <c r="Z1368" s="252"/>
      <c r="AA1368" s="257"/>
      <c r="AC1368" s="244"/>
      <c r="AD1368" s="244"/>
      <c r="AE1368" s="256"/>
      <c r="AF1368" s="256"/>
    </row>
    <row r="1369" spans="4:32" x14ac:dyDescent="0.3">
      <c r="D1369" s="513"/>
      <c r="E1369" s="513"/>
      <c r="F1369" s="515"/>
      <c r="G1369" s="515"/>
      <c r="I1369" s="513"/>
      <c r="J1369" s="255"/>
      <c r="K1369" s="255"/>
      <c r="L1369" s="513"/>
      <c r="M1369" s="252"/>
      <c r="N1369" s="244"/>
      <c r="O1369" s="244"/>
      <c r="P1369" s="252"/>
      <c r="Q1369" s="252"/>
      <c r="R1369" s="252"/>
      <c r="S1369" s="256"/>
      <c r="T1369" s="256"/>
      <c r="U1369" s="256"/>
      <c r="V1369" s="252"/>
      <c r="W1369" s="524"/>
      <c r="X1369" s="256"/>
      <c r="Y1369" s="252"/>
      <c r="Z1369" s="252"/>
      <c r="AA1369" s="257"/>
      <c r="AC1369" s="244"/>
      <c r="AD1369" s="244"/>
      <c r="AE1369" s="256"/>
      <c r="AF1369" s="256"/>
    </row>
    <row r="1370" spans="4:32" x14ac:dyDescent="0.3">
      <c r="D1370" s="513"/>
      <c r="E1370" s="513"/>
      <c r="F1370" s="515"/>
      <c r="G1370" s="515"/>
      <c r="I1370" s="513"/>
      <c r="J1370" s="255"/>
      <c r="K1370" s="255"/>
      <c r="L1370" s="513"/>
      <c r="M1370" s="252"/>
      <c r="N1370" s="244"/>
      <c r="O1370" s="244"/>
      <c r="P1370" s="252"/>
      <c r="Q1370" s="252"/>
      <c r="R1370" s="252"/>
      <c r="S1370" s="256"/>
      <c r="T1370" s="256"/>
      <c r="U1370" s="256"/>
      <c r="V1370" s="252"/>
      <c r="W1370" s="524"/>
      <c r="X1370" s="256"/>
      <c r="Y1370" s="252"/>
      <c r="Z1370" s="252"/>
      <c r="AA1370" s="257"/>
      <c r="AC1370" s="244"/>
      <c r="AD1370" s="244"/>
      <c r="AE1370" s="256"/>
      <c r="AF1370" s="256"/>
    </row>
    <row r="1371" spans="4:32" x14ac:dyDescent="0.3">
      <c r="D1371" s="513"/>
      <c r="E1371" s="513"/>
      <c r="F1371" s="515"/>
      <c r="G1371" s="515"/>
      <c r="I1371" s="513"/>
      <c r="J1371" s="255"/>
      <c r="K1371" s="255"/>
      <c r="L1371" s="513"/>
      <c r="M1371" s="252"/>
      <c r="N1371" s="244"/>
      <c r="O1371" s="244"/>
      <c r="P1371" s="252"/>
      <c r="Q1371" s="252"/>
      <c r="R1371" s="252"/>
      <c r="S1371" s="256"/>
      <c r="T1371" s="256"/>
      <c r="U1371" s="256"/>
      <c r="V1371" s="252"/>
      <c r="W1371" s="524"/>
      <c r="X1371" s="256"/>
      <c r="Y1371" s="252"/>
      <c r="Z1371" s="252"/>
      <c r="AA1371" s="257"/>
      <c r="AC1371" s="244"/>
      <c r="AD1371" s="244"/>
      <c r="AE1371" s="256"/>
      <c r="AF1371" s="256"/>
    </row>
    <row r="1372" spans="4:32" x14ac:dyDescent="0.3">
      <c r="D1372" s="513"/>
      <c r="E1372" s="513"/>
      <c r="F1372" s="515"/>
      <c r="G1372" s="515"/>
      <c r="I1372" s="513"/>
      <c r="J1372" s="255"/>
      <c r="K1372" s="255"/>
      <c r="L1372" s="513"/>
      <c r="M1372" s="252"/>
      <c r="N1372" s="244"/>
      <c r="O1372" s="244"/>
      <c r="P1372" s="252"/>
      <c r="Q1372" s="252"/>
      <c r="R1372" s="252"/>
      <c r="S1372" s="256"/>
      <c r="T1372" s="256"/>
      <c r="U1372" s="256"/>
      <c r="V1372" s="252"/>
      <c r="W1372" s="524"/>
      <c r="X1372" s="256"/>
      <c r="Y1372" s="252"/>
      <c r="Z1372" s="252"/>
      <c r="AA1372" s="257"/>
      <c r="AC1372" s="244"/>
      <c r="AD1372" s="244"/>
      <c r="AE1372" s="256"/>
      <c r="AF1372" s="256"/>
    </row>
    <row r="1373" spans="4:32" x14ac:dyDescent="0.3">
      <c r="D1373" s="513"/>
      <c r="E1373" s="513"/>
      <c r="F1373" s="515"/>
      <c r="G1373" s="515"/>
      <c r="I1373" s="513"/>
      <c r="J1373" s="255"/>
      <c r="K1373" s="255"/>
      <c r="L1373" s="513"/>
      <c r="M1373" s="252"/>
      <c r="N1373" s="244"/>
      <c r="O1373" s="244"/>
      <c r="P1373" s="252"/>
      <c r="Q1373" s="252"/>
      <c r="R1373" s="252"/>
      <c r="S1373" s="256"/>
      <c r="T1373" s="256"/>
      <c r="U1373" s="256"/>
      <c r="V1373" s="252"/>
      <c r="W1373" s="524"/>
      <c r="X1373" s="256"/>
      <c r="Y1373" s="252"/>
      <c r="Z1373" s="252"/>
      <c r="AA1373" s="257"/>
      <c r="AC1373" s="244"/>
      <c r="AD1373" s="244"/>
      <c r="AE1373" s="256"/>
      <c r="AF1373" s="256"/>
    </row>
    <row r="1374" spans="4:32" x14ac:dyDescent="0.3">
      <c r="D1374" s="513"/>
      <c r="E1374" s="513"/>
      <c r="F1374" s="515"/>
      <c r="G1374" s="515"/>
      <c r="I1374" s="513"/>
      <c r="J1374" s="255"/>
      <c r="K1374" s="255"/>
      <c r="L1374" s="513"/>
      <c r="N1374" s="244"/>
      <c r="P1374" s="252"/>
      <c r="Q1374" s="252"/>
      <c r="R1374" s="252"/>
      <c r="S1374" s="256"/>
      <c r="T1374" s="256"/>
      <c r="U1374" s="256"/>
      <c r="V1374" s="252"/>
      <c r="W1374" s="524"/>
      <c r="X1374" s="256"/>
      <c r="Y1374" s="252"/>
      <c r="AA1374" s="257"/>
      <c r="AD1374" s="244"/>
      <c r="AE1374" s="256"/>
      <c r="AF1374" s="256"/>
    </row>
    <row r="1375" spans="4:32" x14ac:dyDescent="0.3">
      <c r="D1375" s="513"/>
      <c r="E1375" s="513"/>
      <c r="F1375" s="515"/>
      <c r="G1375" s="515"/>
      <c r="I1375" s="513"/>
      <c r="J1375" s="255"/>
      <c r="K1375" s="255"/>
      <c r="L1375" s="513"/>
      <c r="N1375" s="244"/>
      <c r="P1375" s="252"/>
      <c r="Q1375" s="252"/>
      <c r="R1375" s="252"/>
      <c r="S1375" s="256"/>
      <c r="T1375" s="256"/>
      <c r="U1375" s="256"/>
      <c r="V1375" s="252"/>
      <c r="W1375" s="524"/>
      <c r="X1375" s="256"/>
      <c r="Y1375" s="252"/>
      <c r="AA1375" s="257"/>
      <c r="AD1375" s="244"/>
      <c r="AE1375" s="256"/>
      <c r="AF1375" s="256"/>
    </row>
    <row r="1376" spans="4:32" x14ac:dyDescent="0.3">
      <c r="D1376" s="513"/>
      <c r="E1376" s="513"/>
      <c r="F1376" s="515"/>
      <c r="G1376" s="515"/>
      <c r="I1376" s="513"/>
      <c r="J1376" s="255"/>
      <c r="K1376" s="255"/>
      <c r="L1376" s="513"/>
      <c r="N1376" s="244"/>
      <c r="P1376" s="252"/>
      <c r="Q1376" s="252"/>
      <c r="R1376" s="252"/>
      <c r="S1376" s="256"/>
      <c r="T1376" s="256"/>
      <c r="U1376" s="256"/>
      <c r="V1376" s="252"/>
      <c r="W1376" s="524"/>
      <c r="X1376" s="256"/>
      <c r="Y1376" s="252"/>
      <c r="AA1376" s="257"/>
      <c r="AD1376" s="244"/>
      <c r="AE1376" s="256"/>
      <c r="AF1376" s="256"/>
    </row>
    <row r="1377" spans="4:32" x14ac:dyDescent="0.3">
      <c r="D1377" s="513"/>
      <c r="E1377" s="513"/>
      <c r="F1377" s="515"/>
      <c r="G1377" s="515"/>
      <c r="I1377" s="513"/>
      <c r="J1377" s="255"/>
      <c r="K1377" s="255"/>
      <c r="L1377" s="513"/>
      <c r="N1377" s="244"/>
      <c r="P1377" s="252"/>
      <c r="Q1377" s="252"/>
      <c r="R1377" s="252"/>
      <c r="S1377" s="256"/>
      <c r="T1377" s="256"/>
      <c r="U1377" s="256"/>
      <c r="V1377" s="252"/>
      <c r="W1377" s="524"/>
      <c r="X1377" s="256"/>
      <c r="Y1377" s="252"/>
      <c r="AA1377" s="257"/>
      <c r="AD1377" s="244"/>
      <c r="AE1377" s="256"/>
      <c r="AF1377" s="256"/>
    </row>
    <row r="1378" spans="4:32" x14ac:dyDescent="0.3">
      <c r="D1378" s="513"/>
      <c r="E1378" s="513"/>
      <c r="F1378" s="515"/>
      <c r="G1378" s="515"/>
      <c r="I1378" s="513"/>
      <c r="J1378" s="255"/>
      <c r="K1378" s="255"/>
      <c r="L1378" s="513"/>
      <c r="N1378" s="244"/>
      <c r="P1378" s="252"/>
      <c r="Q1378" s="252"/>
      <c r="R1378" s="252"/>
      <c r="S1378" s="256"/>
      <c r="T1378" s="256"/>
      <c r="U1378" s="256"/>
      <c r="V1378" s="252"/>
      <c r="W1378" s="524"/>
      <c r="X1378" s="256"/>
      <c r="Y1378" s="252"/>
      <c r="AA1378" s="257"/>
      <c r="AD1378" s="244"/>
      <c r="AE1378" s="256"/>
      <c r="AF1378" s="256"/>
    </row>
    <row r="1379" spans="4:32" x14ac:dyDescent="0.3">
      <c r="D1379" s="513"/>
      <c r="E1379" s="513"/>
      <c r="F1379" s="515"/>
      <c r="G1379" s="515"/>
      <c r="I1379" s="513"/>
      <c r="J1379" s="255"/>
      <c r="K1379" s="255"/>
      <c r="L1379" s="513"/>
      <c r="N1379" s="244"/>
      <c r="P1379" s="252"/>
      <c r="Q1379" s="252"/>
      <c r="R1379" s="252"/>
      <c r="S1379" s="256"/>
      <c r="T1379" s="256"/>
      <c r="U1379" s="256"/>
      <c r="V1379" s="252"/>
      <c r="W1379" s="524"/>
      <c r="X1379" s="256"/>
      <c r="Y1379" s="252"/>
      <c r="AA1379" s="257"/>
      <c r="AD1379" s="244"/>
      <c r="AE1379" s="256"/>
      <c r="AF1379" s="256"/>
    </row>
    <row r="1380" spans="4:32" x14ac:dyDescent="0.3">
      <c r="D1380" s="513"/>
      <c r="E1380" s="513"/>
      <c r="F1380" s="515"/>
      <c r="G1380" s="515"/>
      <c r="I1380" s="513"/>
      <c r="J1380" s="255"/>
      <c r="K1380" s="255"/>
      <c r="L1380" s="513"/>
      <c r="N1380" s="244"/>
      <c r="P1380" s="252"/>
      <c r="Q1380" s="252"/>
      <c r="R1380" s="252"/>
      <c r="S1380" s="256"/>
      <c r="T1380" s="256"/>
      <c r="U1380" s="256"/>
      <c r="V1380" s="252"/>
      <c r="W1380" s="524"/>
      <c r="X1380" s="256"/>
      <c r="Y1380" s="252"/>
      <c r="AA1380" s="257"/>
      <c r="AD1380" s="244"/>
      <c r="AE1380" s="256"/>
      <c r="AF1380" s="256"/>
    </row>
    <row r="1381" spans="4:32" x14ac:dyDescent="0.3">
      <c r="D1381" s="513"/>
      <c r="E1381" s="513"/>
      <c r="F1381" s="515"/>
      <c r="G1381" s="515"/>
      <c r="I1381" s="513"/>
      <c r="J1381" s="255"/>
      <c r="K1381" s="255"/>
      <c r="L1381" s="513"/>
      <c r="N1381" s="244"/>
      <c r="P1381" s="252"/>
      <c r="Q1381" s="252"/>
      <c r="R1381" s="252"/>
      <c r="S1381" s="256"/>
      <c r="T1381" s="256"/>
      <c r="U1381" s="256"/>
      <c r="V1381" s="252"/>
      <c r="W1381" s="524"/>
      <c r="X1381" s="256"/>
      <c r="Y1381" s="252"/>
      <c r="AA1381" s="257"/>
      <c r="AD1381" s="244"/>
      <c r="AE1381" s="256"/>
      <c r="AF1381" s="256"/>
    </row>
    <row r="1382" spans="4:32" x14ac:dyDescent="0.3">
      <c r="D1382" s="513"/>
      <c r="E1382" s="513"/>
      <c r="F1382" s="515"/>
      <c r="G1382" s="515"/>
      <c r="I1382" s="513"/>
      <c r="J1382" s="255"/>
      <c r="K1382" s="255"/>
      <c r="L1382" s="513"/>
      <c r="N1382" s="244"/>
      <c r="P1382" s="252"/>
      <c r="Q1382" s="252"/>
      <c r="R1382" s="252"/>
      <c r="S1382" s="256"/>
      <c r="T1382" s="256"/>
      <c r="U1382" s="256"/>
      <c r="V1382" s="252"/>
      <c r="W1382" s="524"/>
      <c r="X1382" s="256"/>
      <c r="Y1382" s="252"/>
      <c r="AA1382" s="257"/>
      <c r="AD1382" s="244"/>
      <c r="AE1382" s="256"/>
      <c r="AF1382" s="256"/>
    </row>
    <row r="1383" spans="4:32" x14ac:dyDescent="0.3">
      <c r="D1383" s="513"/>
      <c r="E1383" s="513"/>
      <c r="F1383" s="515"/>
      <c r="G1383" s="515"/>
      <c r="I1383" s="513"/>
      <c r="J1383" s="255"/>
      <c r="K1383" s="255"/>
      <c r="L1383" s="513"/>
      <c r="N1383" s="244"/>
      <c r="P1383" s="252"/>
      <c r="Q1383" s="252"/>
      <c r="R1383" s="252"/>
      <c r="S1383" s="256"/>
      <c r="T1383" s="256"/>
      <c r="U1383" s="256"/>
      <c r="V1383" s="252"/>
      <c r="W1383" s="524"/>
      <c r="X1383" s="256"/>
      <c r="Y1383" s="252"/>
      <c r="AA1383" s="257"/>
      <c r="AD1383" s="244"/>
      <c r="AE1383" s="256"/>
      <c r="AF1383" s="256"/>
    </row>
    <row r="1384" spans="4:32" x14ac:dyDescent="0.3">
      <c r="D1384" s="513"/>
      <c r="E1384" s="513"/>
      <c r="F1384" s="515"/>
      <c r="G1384" s="515"/>
      <c r="I1384" s="513"/>
      <c r="J1384" s="255"/>
      <c r="K1384" s="255"/>
      <c r="L1384" s="513"/>
      <c r="N1384" s="244"/>
      <c r="P1384" s="252"/>
      <c r="Q1384" s="252"/>
      <c r="R1384" s="252"/>
      <c r="S1384" s="256"/>
      <c r="T1384" s="256"/>
      <c r="U1384" s="256"/>
      <c r="V1384" s="252"/>
      <c r="W1384" s="524"/>
      <c r="X1384" s="256"/>
      <c r="Y1384" s="252"/>
      <c r="AA1384" s="257"/>
      <c r="AD1384" s="244"/>
      <c r="AE1384" s="256"/>
      <c r="AF1384" s="256"/>
    </row>
    <row r="1385" spans="4:32" x14ac:dyDescent="0.3">
      <c r="D1385" s="513"/>
      <c r="E1385" s="513"/>
      <c r="F1385" s="515"/>
      <c r="G1385" s="515"/>
      <c r="I1385" s="513"/>
      <c r="J1385" s="255"/>
      <c r="K1385" s="255"/>
      <c r="L1385" s="513"/>
      <c r="N1385" s="244"/>
      <c r="P1385" s="252"/>
      <c r="Q1385" s="252"/>
      <c r="R1385" s="252"/>
      <c r="S1385" s="256"/>
      <c r="T1385" s="256"/>
      <c r="U1385" s="256"/>
      <c r="V1385" s="252"/>
      <c r="W1385" s="524"/>
      <c r="X1385" s="256"/>
      <c r="Y1385" s="252"/>
      <c r="AA1385" s="257"/>
      <c r="AD1385" s="244"/>
      <c r="AE1385" s="256"/>
      <c r="AF1385" s="256"/>
    </row>
    <row r="1386" spans="4:32" x14ac:dyDescent="0.3">
      <c r="D1386" s="513"/>
      <c r="E1386" s="513"/>
      <c r="F1386" s="515"/>
      <c r="G1386" s="515"/>
      <c r="I1386" s="513"/>
      <c r="J1386" s="255"/>
      <c r="K1386" s="255"/>
      <c r="L1386" s="513"/>
      <c r="N1386" s="244"/>
      <c r="P1386" s="252"/>
      <c r="Q1386" s="252"/>
      <c r="R1386" s="252"/>
      <c r="S1386" s="256"/>
      <c r="T1386" s="256"/>
      <c r="U1386" s="256"/>
      <c r="V1386" s="252"/>
      <c r="W1386" s="524"/>
      <c r="X1386" s="256"/>
      <c r="Y1386" s="252"/>
      <c r="AA1386" s="257"/>
      <c r="AD1386" s="244"/>
      <c r="AE1386" s="256"/>
      <c r="AF1386" s="256"/>
    </row>
    <row r="1387" spans="4:32" x14ac:dyDescent="0.3">
      <c r="D1387" s="513"/>
      <c r="E1387" s="513"/>
      <c r="F1387" s="515"/>
      <c r="G1387" s="515"/>
      <c r="I1387" s="513"/>
      <c r="J1387" s="255"/>
      <c r="K1387" s="255"/>
      <c r="L1387" s="513"/>
      <c r="N1387" s="244"/>
      <c r="P1387" s="252"/>
      <c r="Q1387" s="252"/>
      <c r="R1387" s="252"/>
      <c r="S1387" s="256"/>
      <c r="T1387" s="256"/>
      <c r="U1387" s="256"/>
      <c r="V1387" s="252"/>
      <c r="W1387" s="524"/>
      <c r="X1387" s="256"/>
      <c r="Y1387" s="252"/>
      <c r="AA1387" s="257"/>
      <c r="AD1387" s="244"/>
      <c r="AE1387" s="256"/>
      <c r="AF1387" s="256"/>
    </row>
    <row r="1388" spans="4:32" x14ac:dyDescent="0.3">
      <c r="D1388" s="513"/>
      <c r="E1388" s="513"/>
      <c r="F1388" s="515"/>
      <c r="G1388" s="515"/>
      <c r="I1388" s="513"/>
      <c r="J1388" s="255"/>
      <c r="K1388" s="255"/>
      <c r="L1388" s="513"/>
      <c r="N1388" s="244"/>
      <c r="P1388" s="252"/>
      <c r="Q1388" s="252"/>
      <c r="R1388" s="252"/>
      <c r="S1388" s="256"/>
      <c r="T1388" s="256"/>
      <c r="U1388" s="256"/>
      <c r="V1388" s="252"/>
      <c r="W1388" s="524"/>
      <c r="X1388" s="256"/>
      <c r="Y1388" s="252"/>
      <c r="AA1388" s="257"/>
      <c r="AD1388" s="244"/>
      <c r="AE1388" s="256"/>
      <c r="AF1388" s="256"/>
    </row>
    <row r="1389" spans="4:32" x14ac:dyDescent="0.3">
      <c r="D1389" s="513"/>
      <c r="E1389" s="513"/>
      <c r="F1389" s="515"/>
      <c r="G1389" s="515"/>
      <c r="I1389" s="513"/>
      <c r="J1389" s="255"/>
      <c r="K1389" s="255"/>
      <c r="L1389" s="513"/>
      <c r="N1389" s="244"/>
      <c r="P1389" s="252"/>
      <c r="Q1389" s="252"/>
      <c r="R1389" s="252"/>
      <c r="S1389" s="256"/>
      <c r="T1389" s="256"/>
      <c r="U1389" s="256"/>
      <c r="V1389" s="252"/>
      <c r="W1389" s="524"/>
      <c r="X1389" s="256"/>
      <c r="Y1389" s="252"/>
      <c r="AA1389" s="257"/>
      <c r="AD1389" s="244"/>
      <c r="AE1389" s="256"/>
      <c r="AF1389" s="256"/>
    </row>
    <row r="1390" spans="4:32" x14ac:dyDescent="0.3">
      <c r="D1390" s="513"/>
      <c r="E1390" s="513"/>
      <c r="F1390" s="515"/>
      <c r="G1390" s="515"/>
      <c r="I1390" s="513"/>
      <c r="J1390" s="255"/>
      <c r="K1390" s="255"/>
      <c r="L1390" s="513"/>
      <c r="N1390" s="244"/>
      <c r="P1390" s="252"/>
      <c r="Q1390" s="252"/>
      <c r="R1390" s="252"/>
      <c r="S1390" s="256"/>
      <c r="T1390" s="256"/>
      <c r="U1390" s="256"/>
      <c r="V1390" s="252"/>
      <c r="W1390" s="524"/>
      <c r="X1390" s="256"/>
      <c r="Y1390" s="252"/>
      <c r="AA1390" s="257"/>
      <c r="AD1390" s="244"/>
      <c r="AE1390" s="256"/>
      <c r="AF1390" s="256"/>
    </row>
    <row r="1391" spans="4:32" x14ac:dyDescent="0.3">
      <c r="D1391" s="513"/>
      <c r="E1391" s="513"/>
      <c r="F1391" s="515"/>
      <c r="G1391" s="515"/>
      <c r="I1391" s="513"/>
      <c r="J1391" s="255"/>
      <c r="K1391" s="255"/>
      <c r="L1391" s="513"/>
      <c r="N1391" s="244"/>
      <c r="P1391" s="252"/>
      <c r="Q1391" s="252"/>
      <c r="R1391" s="252"/>
      <c r="S1391" s="256"/>
      <c r="T1391" s="256"/>
      <c r="U1391" s="256"/>
      <c r="V1391" s="252"/>
      <c r="W1391" s="524"/>
      <c r="X1391" s="256"/>
      <c r="Y1391" s="252"/>
      <c r="AA1391" s="257"/>
      <c r="AD1391" s="244"/>
      <c r="AE1391" s="256"/>
      <c r="AF1391" s="256"/>
    </row>
    <row r="1392" spans="4:32" x14ac:dyDescent="0.3">
      <c r="D1392" s="513"/>
      <c r="E1392" s="513"/>
      <c r="F1392" s="515"/>
      <c r="G1392" s="515"/>
      <c r="I1392" s="513"/>
      <c r="J1392" s="255"/>
      <c r="K1392" s="255"/>
      <c r="L1392" s="513"/>
      <c r="N1392" s="244"/>
      <c r="P1392" s="252"/>
      <c r="Q1392" s="252"/>
      <c r="R1392" s="252"/>
      <c r="S1392" s="256"/>
      <c r="T1392" s="256"/>
      <c r="U1392" s="256"/>
      <c r="V1392" s="252"/>
      <c r="W1392" s="524"/>
      <c r="X1392" s="256"/>
      <c r="Y1392" s="252"/>
      <c r="AA1392" s="257"/>
      <c r="AD1392" s="244"/>
      <c r="AE1392" s="256"/>
      <c r="AF1392" s="256"/>
    </row>
    <row r="1393" spans="4:32" x14ac:dyDescent="0.3">
      <c r="D1393" s="513"/>
      <c r="E1393" s="513"/>
      <c r="F1393" s="515"/>
      <c r="G1393" s="515"/>
      <c r="I1393" s="513"/>
      <c r="J1393" s="255"/>
      <c r="K1393" s="255"/>
      <c r="L1393" s="513"/>
      <c r="N1393" s="244"/>
      <c r="P1393" s="252"/>
      <c r="Q1393" s="252"/>
      <c r="R1393" s="252"/>
      <c r="S1393" s="256"/>
      <c r="T1393" s="256"/>
      <c r="U1393" s="256"/>
      <c r="V1393" s="252"/>
      <c r="W1393" s="524"/>
      <c r="X1393" s="256"/>
      <c r="Y1393" s="252"/>
      <c r="AA1393" s="257"/>
      <c r="AD1393" s="244"/>
      <c r="AE1393" s="256"/>
      <c r="AF1393" s="256"/>
    </row>
    <row r="1394" spans="4:32" x14ac:dyDescent="0.3">
      <c r="D1394" s="513"/>
      <c r="E1394" s="513"/>
      <c r="F1394" s="515"/>
      <c r="G1394" s="515"/>
      <c r="I1394" s="513"/>
      <c r="J1394" s="255"/>
      <c r="K1394" s="255"/>
      <c r="L1394" s="513"/>
      <c r="N1394" s="244"/>
      <c r="P1394" s="252"/>
      <c r="Q1394" s="252"/>
      <c r="R1394" s="252"/>
      <c r="S1394" s="256"/>
      <c r="T1394" s="256"/>
      <c r="U1394" s="256"/>
      <c r="V1394" s="252"/>
      <c r="W1394" s="524"/>
      <c r="X1394" s="256"/>
      <c r="Y1394" s="252"/>
      <c r="AA1394" s="257"/>
      <c r="AD1394" s="244"/>
      <c r="AE1394" s="256"/>
      <c r="AF1394" s="256"/>
    </row>
    <row r="1395" spans="4:32" x14ac:dyDescent="0.3">
      <c r="D1395" s="513"/>
      <c r="E1395" s="513"/>
      <c r="F1395" s="515"/>
      <c r="G1395" s="515"/>
      <c r="I1395" s="513"/>
      <c r="J1395" s="255"/>
      <c r="K1395" s="255"/>
      <c r="L1395" s="513"/>
      <c r="N1395" s="244"/>
      <c r="P1395" s="252"/>
      <c r="Q1395" s="252"/>
      <c r="R1395" s="252"/>
      <c r="S1395" s="256"/>
      <c r="T1395" s="256"/>
      <c r="U1395" s="256"/>
      <c r="V1395" s="252"/>
      <c r="W1395" s="524"/>
      <c r="X1395" s="256"/>
      <c r="Y1395" s="252"/>
      <c r="AA1395" s="257"/>
      <c r="AD1395" s="244"/>
      <c r="AE1395" s="256"/>
      <c r="AF1395" s="256"/>
    </row>
    <row r="1396" spans="4:32" x14ac:dyDescent="0.3">
      <c r="D1396" s="513"/>
      <c r="E1396" s="513"/>
      <c r="F1396" s="515"/>
      <c r="G1396" s="515"/>
      <c r="I1396" s="513"/>
      <c r="J1396" s="255"/>
      <c r="K1396" s="255"/>
      <c r="L1396" s="513"/>
      <c r="N1396" s="244"/>
      <c r="P1396" s="252"/>
      <c r="Q1396" s="252"/>
      <c r="R1396" s="252"/>
      <c r="S1396" s="256"/>
      <c r="T1396" s="256"/>
      <c r="U1396" s="256"/>
      <c r="V1396" s="252"/>
      <c r="W1396" s="524"/>
      <c r="X1396" s="256"/>
      <c r="Y1396" s="252"/>
      <c r="AA1396" s="257"/>
      <c r="AD1396" s="244"/>
      <c r="AE1396" s="256"/>
      <c r="AF1396" s="256"/>
    </row>
    <row r="1397" spans="4:32" x14ac:dyDescent="0.3">
      <c r="D1397" s="513"/>
      <c r="E1397" s="513"/>
      <c r="F1397" s="515"/>
      <c r="G1397" s="515"/>
      <c r="I1397" s="513"/>
      <c r="J1397" s="255"/>
      <c r="K1397" s="255"/>
      <c r="L1397" s="513"/>
      <c r="N1397" s="244"/>
      <c r="P1397" s="252"/>
      <c r="Q1397" s="252"/>
      <c r="R1397" s="252"/>
      <c r="S1397" s="256"/>
      <c r="T1397" s="256"/>
      <c r="U1397" s="256"/>
      <c r="V1397" s="252"/>
      <c r="W1397" s="524"/>
      <c r="X1397" s="256"/>
      <c r="Y1397" s="252"/>
      <c r="AA1397" s="257"/>
      <c r="AD1397" s="244"/>
      <c r="AE1397" s="256"/>
      <c r="AF1397" s="256"/>
    </row>
    <row r="1398" spans="4:32" x14ac:dyDescent="0.3">
      <c r="D1398" s="513"/>
      <c r="E1398" s="513"/>
      <c r="F1398" s="515"/>
      <c r="G1398" s="515"/>
      <c r="I1398" s="513"/>
      <c r="J1398" s="255"/>
      <c r="K1398" s="255"/>
      <c r="L1398" s="513"/>
      <c r="N1398" s="244"/>
      <c r="P1398" s="252"/>
      <c r="Q1398" s="252"/>
      <c r="R1398" s="252"/>
      <c r="S1398" s="256"/>
      <c r="T1398" s="256"/>
      <c r="U1398" s="256"/>
      <c r="V1398" s="252"/>
      <c r="W1398" s="524"/>
      <c r="X1398" s="256"/>
      <c r="Y1398" s="252"/>
      <c r="AA1398" s="257"/>
      <c r="AD1398" s="244"/>
      <c r="AE1398" s="256"/>
      <c r="AF1398" s="256"/>
    </row>
    <row r="1399" spans="4:32" x14ac:dyDescent="0.3">
      <c r="D1399" s="513"/>
      <c r="E1399" s="513"/>
      <c r="F1399" s="515"/>
      <c r="G1399" s="515"/>
      <c r="I1399" s="513"/>
      <c r="J1399" s="255"/>
      <c r="K1399" s="255"/>
      <c r="L1399" s="513"/>
      <c r="N1399" s="244"/>
      <c r="P1399" s="252"/>
      <c r="Q1399" s="252"/>
      <c r="R1399" s="252"/>
      <c r="S1399" s="256"/>
      <c r="T1399" s="256"/>
      <c r="U1399" s="256"/>
      <c r="V1399" s="252"/>
      <c r="W1399" s="524"/>
      <c r="X1399" s="256"/>
      <c r="Y1399" s="252"/>
      <c r="AA1399" s="257"/>
      <c r="AD1399" s="244"/>
      <c r="AE1399" s="256"/>
      <c r="AF1399" s="256"/>
    </row>
    <row r="1400" spans="4:32" x14ac:dyDescent="0.3">
      <c r="D1400" s="513"/>
      <c r="E1400" s="513"/>
      <c r="F1400" s="515"/>
      <c r="G1400" s="515"/>
      <c r="I1400" s="513"/>
      <c r="J1400" s="255"/>
      <c r="K1400" s="255"/>
      <c r="L1400" s="513"/>
      <c r="N1400" s="244"/>
      <c r="P1400" s="252"/>
      <c r="Q1400" s="252"/>
      <c r="R1400" s="252"/>
      <c r="S1400" s="256"/>
      <c r="T1400" s="256"/>
      <c r="U1400" s="256"/>
      <c r="V1400" s="252"/>
      <c r="W1400" s="524"/>
      <c r="X1400" s="256"/>
      <c r="Y1400" s="252"/>
      <c r="AA1400" s="257"/>
      <c r="AD1400" s="244"/>
      <c r="AE1400" s="256"/>
      <c r="AF1400" s="256"/>
    </row>
    <row r="1401" spans="4:32" x14ac:dyDescent="0.3">
      <c r="D1401" s="513"/>
      <c r="E1401" s="513"/>
      <c r="F1401" s="515"/>
      <c r="G1401" s="515"/>
      <c r="I1401" s="513"/>
      <c r="J1401" s="255"/>
      <c r="K1401" s="255"/>
      <c r="L1401" s="513"/>
      <c r="N1401" s="244"/>
      <c r="P1401" s="252"/>
      <c r="Q1401" s="252"/>
      <c r="R1401" s="252"/>
      <c r="S1401" s="256"/>
      <c r="T1401" s="256"/>
      <c r="U1401" s="256"/>
      <c r="V1401" s="252"/>
      <c r="W1401" s="524"/>
      <c r="X1401" s="256"/>
      <c r="Y1401" s="252"/>
      <c r="AA1401" s="257"/>
      <c r="AD1401" s="244"/>
      <c r="AE1401" s="256"/>
      <c r="AF1401" s="256"/>
    </row>
    <row r="1402" spans="4:32" x14ac:dyDescent="0.3">
      <c r="D1402" s="513"/>
      <c r="E1402" s="513"/>
      <c r="F1402" s="515"/>
      <c r="G1402" s="515"/>
      <c r="I1402" s="513"/>
      <c r="J1402" s="255"/>
      <c r="K1402" s="255"/>
      <c r="L1402" s="513"/>
      <c r="N1402" s="244"/>
      <c r="P1402" s="252"/>
      <c r="Q1402" s="252"/>
      <c r="R1402" s="252"/>
      <c r="S1402" s="256"/>
      <c r="T1402" s="256"/>
      <c r="U1402" s="256"/>
      <c r="V1402" s="252"/>
      <c r="W1402" s="524"/>
      <c r="X1402" s="256"/>
      <c r="Y1402" s="252"/>
      <c r="AA1402" s="257"/>
      <c r="AD1402" s="244"/>
      <c r="AE1402" s="256"/>
      <c r="AF1402" s="256"/>
    </row>
    <row r="1403" spans="4:32" x14ac:dyDescent="0.3">
      <c r="D1403" s="513"/>
      <c r="E1403" s="513"/>
      <c r="F1403" s="515"/>
      <c r="G1403" s="515"/>
      <c r="I1403" s="513"/>
      <c r="J1403" s="255"/>
      <c r="K1403" s="255"/>
      <c r="L1403" s="513"/>
      <c r="N1403" s="244"/>
      <c r="P1403" s="252"/>
      <c r="Q1403" s="252"/>
      <c r="R1403" s="252"/>
      <c r="S1403" s="256"/>
      <c r="T1403" s="256"/>
      <c r="U1403" s="256"/>
      <c r="V1403" s="252"/>
      <c r="W1403" s="524"/>
      <c r="X1403" s="256"/>
      <c r="Y1403" s="252"/>
      <c r="AA1403" s="257"/>
      <c r="AD1403" s="244"/>
      <c r="AE1403" s="256"/>
      <c r="AF1403" s="256"/>
    </row>
    <row r="1404" spans="4:32" x14ac:dyDescent="0.3">
      <c r="D1404" s="513"/>
      <c r="E1404" s="513"/>
      <c r="F1404" s="515"/>
      <c r="G1404" s="515"/>
      <c r="I1404" s="513"/>
      <c r="J1404" s="255"/>
      <c r="K1404" s="255"/>
      <c r="L1404" s="513"/>
      <c r="N1404" s="244"/>
      <c r="P1404" s="252"/>
      <c r="Q1404" s="252"/>
      <c r="R1404" s="252"/>
      <c r="S1404" s="256"/>
      <c r="T1404" s="256"/>
      <c r="U1404" s="256"/>
      <c r="V1404" s="252"/>
      <c r="W1404" s="524"/>
      <c r="X1404" s="256"/>
      <c r="Y1404" s="252"/>
      <c r="AA1404" s="257"/>
      <c r="AD1404" s="244"/>
      <c r="AE1404" s="256"/>
      <c r="AF1404" s="256"/>
    </row>
    <row r="1405" spans="4:32" x14ac:dyDescent="0.3">
      <c r="D1405" s="513"/>
      <c r="E1405" s="513"/>
      <c r="F1405" s="515"/>
      <c r="G1405" s="515"/>
      <c r="I1405" s="513"/>
      <c r="J1405" s="255"/>
      <c r="K1405" s="255"/>
      <c r="L1405" s="513"/>
      <c r="N1405" s="244"/>
      <c r="P1405" s="252"/>
      <c r="Q1405" s="252"/>
      <c r="R1405" s="252"/>
      <c r="S1405" s="256"/>
      <c r="T1405" s="256"/>
      <c r="U1405" s="256"/>
      <c r="V1405" s="252"/>
      <c r="W1405" s="524"/>
      <c r="X1405" s="256"/>
      <c r="Y1405" s="252"/>
      <c r="AA1405" s="257"/>
      <c r="AD1405" s="244"/>
      <c r="AE1405" s="256"/>
      <c r="AF1405" s="256"/>
    </row>
    <row r="1406" spans="4:32" x14ac:dyDescent="0.3">
      <c r="D1406" s="513"/>
      <c r="E1406" s="513"/>
      <c r="F1406" s="515"/>
      <c r="G1406" s="515"/>
      <c r="I1406" s="513"/>
      <c r="J1406" s="255"/>
      <c r="K1406" s="255"/>
      <c r="L1406" s="513"/>
      <c r="N1406" s="244"/>
      <c r="P1406" s="252"/>
      <c r="Q1406" s="252"/>
      <c r="R1406" s="252"/>
      <c r="S1406" s="256"/>
      <c r="T1406" s="256"/>
      <c r="U1406" s="256"/>
      <c r="V1406" s="252"/>
      <c r="W1406" s="524"/>
      <c r="X1406" s="256"/>
      <c r="Y1406" s="252"/>
      <c r="AA1406" s="257"/>
      <c r="AD1406" s="244"/>
      <c r="AE1406" s="256"/>
      <c r="AF1406" s="256"/>
    </row>
    <row r="1407" spans="4:32" x14ac:dyDescent="0.3">
      <c r="D1407" s="513"/>
      <c r="E1407" s="513"/>
      <c r="F1407" s="515"/>
      <c r="G1407" s="515"/>
      <c r="I1407" s="513"/>
      <c r="J1407" s="255"/>
      <c r="K1407" s="255"/>
      <c r="L1407" s="513"/>
      <c r="N1407" s="244"/>
      <c r="P1407" s="252"/>
      <c r="Q1407" s="252"/>
      <c r="R1407" s="252"/>
      <c r="S1407" s="256"/>
      <c r="T1407" s="256"/>
      <c r="U1407" s="256"/>
      <c r="V1407" s="252"/>
      <c r="W1407" s="524"/>
      <c r="X1407" s="256"/>
      <c r="Y1407" s="252"/>
      <c r="AA1407" s="257"/>
      <c r="AD1407" s="244"/>
      <c r="AE1407" s="256"/>
      <c r="AF1407" s="256"/>
    </row>
    <row r="1408" spans="4:32" x14ac:dyDescent="0.3">
      <c r="D1408" s="513"/>
      <c r="E1408" s="513"/>
      <c r="F1408" s="515"/>
      <c r="G1408" s="515"/>
      <c r="I1408" s="513"/>
      <c r="J1408" s="255"/>
      <c r="K1408" s="255"/>
      <c r="L1408" s="513"/>
      <c r="N1408" s="244"/>
      <c r="P1408" s="252"/>
      <c r="Q1408" s="252"/>
      <c r="R1408" s="252"/>
      <c r="S1408" s="256"/>
      <c r="T1408" s="256"/>
      <c r="U1408" s="256"/>
      <c r="V1408" s="252"/>
      <c r="W1408" s="524"/>
      <c r="X1408" s="256"/>
      <c r="Y1408" s="252"/>
      <c r="AA1408" s="257"/>
      <c r="AD1408" s="244"/>
      <c r="AE1408" s="256"/>
      <c r="AF1408" s="256"/>
    </row>
    <row r="1409" spans="4:32" x14ac:dyDescent="0.3">
      <c r="D1409" s="513"/>
      <c r="E1409" s="513"/>
      <c r="F1409" s="515"/>
      <c r="G1409" s="515"/>
      <c r="I1409" s="513"/>
      <c r="J1409" s="255"/>
      <c r="K1409" s="255"/>
      <c r="L1409" s="513"/>
      <c r="N1409" s="244"/>
      <c r="P1409" s="252"/>
      <c r="Q1409" s="252"/>
      <c r="R1409" s="252"/>
      <c r="S1409" s="256"/>
      <c r="T1409" s="256"/>
      <c r="U1409" s="256"/>
      <c r="V1409" s="252"/>
      <c r="W1409" s="524"/>
      <c r="X1409" s="256"/>
      <c r="Y1409" s="252"/>
      <c r="AA1409" s="257"/>
      <c r="AD1409" s="244"/>
      <c r="AE1409" s="256"/>
      <c r="AF1409" s="256"/>
    </row>
    <row r="1410" spans="4:32" x14ac:dyDescent="0.3">
      <c r="D1410" s="513"/>
      <c r="E1410" s="513"/>
      <c r="F1410" s="515"/>
      <c r="G1410" s="515"/>
      <c r="I1410" s="513"/>
      <c r="J1410" s="255"/>
      <c r="K1410" s="255"/>
      <c r="L1410" s="513"/>
      <c r="N1410" s="244"/>
      <c r="P1410" s="252"/>
      <c r="Q1410" s="252"/>
      <c r="R1410" s="252"/>
      <c r="S1410" s="256"/>
      <c r="T1410" s="256"/>
      <c r="U1410" s="256"/>
      <c r="V1410" s="252"/>
      <c r="W1410" s="524"/>
      <c r="X1410" s="256"/>
      <c r="Y1410" s="252"/>
      <c r="AA1410" s="257"/>
      <c r="AD1410" s="244"/>
      <c r="AE1410" s="256"/>
      <c r="AF1410" s="256"/>
    </row>
    <row r="1411" spans="4:32" x14ac:dyDescent="0.3">
      <c r="D1411" s="513"/>
      <c r="E1411" s="513"/>
      <c r="F1411" s="515"/>
      <c r="G1411" s="515"/>
      <c r="I1411" s="513"/>
      <c r="J1411" s="255"/>
      <c r="K1411" s="255"/>
      <c r="L1411" s="513"/>
      <c r="M1411" s="244"/>
      <c r="N1411" s="244"/>
      <c r="P1411" s="252"/>
      <c r="Q1411" s="252"/>
      <c r="R1411" s="252"/>
      <c r="S1411" s="256"/>
      <c r="T1411" s="256"/>
      <c r="U1411" s="256"/>
      <c r="V1411" s="252"/>
      <c r="W1411" s="524"/>
      <c r="X1411" s="256"/>
      <c r="Y1411" s="252"/>
      <c r="AA1411" s="257"/>
      <c r="AD1411" s="244"/>
      <c r="AE1411" s="256"/>
      <c r="AF1411" s="256"/>
    </row>
    <row r="1412" spans="4:32" x14ac:dyDescent="0.3">
      <c r="D1412" s="513"/>
      <c r="E1412" s="513"/>
      <c r="F1412" s="515"/>
      <c r="G1412" s="515"/>
      <c r="I1412" s="513"/>
      <c r="J1412" s="255"/>
      <c r="K1412" s="255"/>
      <c r="L1412" s="513"/>
      <c r="M1412" s="244"/>
      <c r="N1412" s="244"/>
      <c r="O1412" s="244"/>
      <c r="P1412" s="252"/>
      <c r="Q1412" s="252"/>
      <c r="R1412" s="252"/>
      <c r="S1412" s="256"/>
      <c r="T1412" s="256"/>
      <c r="U1412" s="256"/>
      <c r="V1412" s="252"/>
      <c r="W1412" s="524"/>
      <c r="X1412" s="256"/>
      <c r="Y1412" s="252"/>
      <c r="AA1412" s="257"/>
      <c r="AD1412" s="244"/>
      <c r="AE1412" s="256"/>
      <c r="AF1412" s="256"/>
    </row>
    <row r="1413" spans="4:32" x14ac:dyDescent="0.3">
      <c r="D1413" s="513"/>
      <c r="E1413" s="513"/>
      <c r="F1413" s="515"/>
      <c r="G1413" s="515"/>
      <c r="I1413" s="513"/>
      <c r="J1413" s="255"/>
      <c r="K1413" s="255"/>
      <c r="L1413" s="513"/>
      <c r="M1413" s="244"/>
      <c r="N1413" s="244"/>
      <c r="O1413" s="244"/>
      <c r="P1413" s="252"/>
      <c r="Q1413" s="252"/>
      <c r="R1413" s="252"/>
      <c r="S1413" s="256"/>
      <c r="T1413" s="256"/>
      <c r="U1413" s="256"/>
      <c r="V1413" s="252"/>
      <c r="W1413" s="524"/>
      <c r="X1413" s="256"/>
      <c r="Y1413" s="252"/>
      <c r="AA1413" s="257"/>
      <c r="AD1413" s="244"/>
      <c r="AE1413" s="256"/>
      <c r="AF1413" s="256"/>
    </row>
    <row r="1414" spans="4:32" x14ac:dyDescent="0.3">
      <c r="D1414" s="513"/>
      <c r="E1414" s="513"/>
      <c r="F1414" s="515"/>
      <c r="G1414" s="515"/>
      <c r="I1414" s="513"/>
      <c r="J1414" s="255"/>
      <c r="K1414" s="255"/>
      <c r="L1414" s="513"/>
      <c r="M1414" s="244"/>
      <c r="N1414" s="244"/>
      <c r="P1414" s="252"/>
      <c r="Q1414" s="252"/>
      <c r="R1414" s="252"/>
      <c r="S1414" s="256"/>
      <c r="T1414" s="256"/>
      <c r="U1414" s="256"/>
      <c r="V1414" s="252"/>
      <c r="W1414" s="524"/>
      <c r="X1414" s="256"/>
      <c r="Y1414" s="252"/>
      <c r="AA1414" s="257"/>
      <c r="AD1414" s="244"/>
      <c r="AE1414" s="256"/>
      <c r="AF1414" s="256"/>
    </row>
    <row r="1415" spans="4:32" x14ac:dyDescent="0.3">
      <c r="D1415" s="513"/>
      <c r="E1415" s="513"/>
      <c r="F1415" s="515"/>
      <c r="G1415" s="515"/>
      <c r="I1415" s="513"/>
      <c r="J1415" s="255"/>
      <c r="K1415" s="255"/>
      <c r="L1415" s="513"/>
      <c r="M1415" s="244"/>
      <c r="N1415" s="244"/>
      <c r="O1415" s="244"/>
      <c r="P1415" s="252"/>
      <c r="Q1415" s="252"/>
      <c r="R1415" s="252"/>
      <c r="S1415" s="256"/>
      <c r="T1415" s="256"/>
      <c r="U1415" s="256"/>
      <c r="V1415" s="252"/>
      <c r="W1415" s="524"/>
      <c r="X1415" s="256"/>
      <c r="Y1415" s="252"/>
      <c r="AA1415" s="257"/>
      <c r="AD1415" s="244"/>
      <c r="AE1415" s="256"/>
      <c r="AF1415" s="256"/>
    </row>
    <row r="1416" spans="4:32" x14ac:dyDescent="0.3">
      <c r="D1416" s="513"/>
      <c r="E1416" s="513"/>
      <c r="F1416" s="515"/>
      <c r="G1416" s="515"/>
      <c r="I1416" s="513"/>
      <c r="J1416" s="255"/>
      <c r="K1416" s="255"/>
      <c r="L1416" s="513"/>
      <c r="M1416" s="244"/>
      <c r="N1416" s="244"/>
      <c r="O1416" s="244"/>
      <c r="P1416" s="252"/>
      <c r="Q1416" s="252"/>
      <c r="R1416" s="252"/>
      <c r="S1416" s="256"/>
      <c r="T1416" s="256"/>
      <c r="U1416" s="256"/>
      <c r="V1416" s="252"/>
      <c r="W1416" s="524"/>
      <c r="X1416" s="256"/>
      <c r="Y1416" s="252"/>
      <c r="AA1416" s="257"/>
      <c r="AD1416" s="244"/>
      <c r="AE1416" s="256"/>
      <c r="AF1416" s="256"/>
    </row>
    <row r="1417" spans="4:32" x14ac:dyDescent="0.3">
      <c r="D1417" s="513"/>
      <c r="E1417" s="513"/>
      <c r="F1417" s="515"/>
      <c r="G1417" s="515"/>
      <c r="I1417" s="513"/>
      <c r="J1417" s="255"/>
      <c r="K1417" s="255"/>
      <c r="L1417" s="513"/>
      <c r="M1417" s="244"/>
      <c r="N1417" s="244"/>
      <c r="P1417" s="252"/>
      <c r="Q1417" s="252"/>
      <c r="R1417" s="252"/>
      <c r="S1417" s="256"/>
      <c r="T1417" s="256"/>
      <c r="U1417" s="256"/>
      <c r="V1417" s="252"/>
      <c r="W1417" s="524"/>
      <c r="X1417" s="256"/>
      <c r="Y1417" s="252"/>
      <c r="AA1417" s="257"/>
      <c r="AD1417" s="244"/>
      <c r="AE1417" s="256"/>
      <c r="AF1417" s="256"/>
    </row>
    <row r="1418" spans="4:32" x14ac:dyDescent="0.3">
      <c r="D1418" s="513"/>
      <c r="E1418" s="513"/>
      <c r="F1418" s="515"/>
      <c r="G1418" s="515"/>
      <c r="I1418" s="513"/>
      <c r="J1418" s="255"/>
      <c r="K1418" s="255"/>
      <c r="L1418" s="513"/>
      <c r="M1418" s="244"/>
      <c r="N1418" s="244"/>
      <c r="O1418" s="244"/>
      <c r="P1418" s="252"/>
      <c r="Q1418" s="252"/>
      <c r="R1418" s="252"/>
      <c r="S1418" s="256"/>
      <c r="T1418" s="256"/>
      <c r="U1418" s="256"/>
      <c r="V1418" s="252"/>
      <c r="W1418" s="524"/>
      <c r="X1418" s="256"/>
      <c r="Y1418" s="252"/>
      <c r="AA1418" s="257"/>
      <c r="AD1418" s="244"/>
      <c r="AE1418" s="256"/>
      <c r="AF1418" s="256"/>
    </row>
    <row r="1419" spans="4:32" x14ac:dyDescent="0.3">
      <c r="D1419" s="513"/>
      <c r="E1419" s="513"/>
      <c r="F1419" s="515"/>
      <c r="G1419" s="515"/>
      <c r="I1419" s="513"/>
      <c r="J1419" s="255"/>
      <c r="K1419" s="255"/>
      <c r="L1419" s="513"/>
      <c r="M1419" s="244"/>
      <c r="N1419" s="244"/>
      <c r="O1419" s="244"/>
      <c r="P1419" s="252"/>
      <c r="Q1419" s="252"/>
      <c r="R1419" s="252"/>
      <c r="S1419" s="256"/>
      <c r="T1419" s="256"/>
      <c r="U1419" s="256"/>
      <c r="V1419" s="252"/>
      <c r="W1419" s="524"/>
      <c r="X1419" s="256"/>
      <c r="Y1419" s="252"/>
      <c r="AA1419" s="257"/>
      <c r="AD1419" s="244"/>
      <c r="AE1419" s="256"/>
      <c r="AF1419" s="256"/>
    </row>
    <row r="1420" spans="4:32" x14ac:dyDescent="0.3">
      <c r="D1420" s="513"/>
      <c r="E1420" s="513"/>
      <c r="F1420" s="515"/>
      <c r="G1420" s="515"/>
      <c r="I1420" s="513"/>
      <c r="J1420" s="255"/>
      <c r="K1420" s="255"/>
      <c r="L1420" s="513"/>
      <c r="M1420" s="244"/>
      <c r="N1420" s="244"/>
      <c r="P1420" s="252"/>
      <c r="Q1420" s="252"/>
      <c r="R1420" s="252"/>
      <c r="S1420" s="256"/>
      <c r="T1420" s="256"/>
      <c r="U1420" s="256"/>
      <c r="V1420" s="252"/>
      <c r="W1420" s="524"/>
      <c r="X1420" s="256"/>
      <c r="Y1420" s="252"/>
      <c r="AA1420" s="257"/>
      <c r="AD1420" s="244"/>
      <c r="AE1420" s="256"/>
      <c r="AF1420" s="256"/>
    </row>
    <row r="1421" spans="4:32" x14ac:dyDescent="0.3">
      <c r="D1421" s="513"/>
      <c r="E1421" s="513"/>
      <c r="F1421" s="515"/>
      <c r="G1421" s="515"/>
      <c r="I1421" s="513"/>
      <c r="J1421" s="255"/>
      <c r="K1421" s="255"/>
      <c r="L1421" s="513"/>
      <c r="M1421" s="244"/>
      <c r="N1421" s="244"/>
      <c r="O1421" s="244"/>
      <c r="P1421" s="252"/>
      <c r="Q1421" s="252"/>
      <c r="R1421" s="252"/>
      <c r="S1421" s="256"/>
      <c r="T1421" s="256"/>
      <c r="U1421" s="256"/>
      <c r="V1421" s="252"/>
      <c r="W1421" s="524"/>
      <c r="X1421" s="256"/>
      <c r="Y1421" s="252"/>
      <c r="AA1421" s="257"/>
      <c r="AD1421" s="244"/>
      <c r="AE1421" s="256"/>
      <c r="AF1421" s="256"/>
    </row>
    <row r="1422" spans="4:32" x14ac:dyDescent="0.3">
      <c r="D1422" s="513"/>
      <c r="E1422" s="513"/>
      <c r="F1422" s="515"/>
      <c r="G1422" s="515"/>
      <c r="I1422" s="513"/>
      <c r="J1422" s="255"/>
      <c r="K1422" s="255"/>
      <c r="L1422" s="513"/>
      <c r="M1422" s="244"/>
      <c r="N1422" s="244"/>
      <c r="O1422" s="244"/>
      <c r="P1422" s="252"/>
      <c r="Q1422" s="252"/>
      <c r="R1422" s="252"/>
      <c r="S1422" s="256"/>
      <c r="T1422" s="256"/>
      <c r="U1422" s="256"/>
      <c r="V1422" s="252"/>
      <c r="W1422" s="524"/>
      <c r="X1422" s="256"/>
      <c r="Y1422" s="252"/>
      <c r="AA1422" s="257"/>
      <c r="AD1422" s="244"/>
      <c r="AE1422" s="256"/>
      <c r="AF1422" s="256"/>
    </row>
    <row r="1423" spans="4:32" x14ac:dyDescent="0.3">
      <c r="D1423" s="513"/>
      <c r="E1423" s="513"/>
      <c r="F1423" s="515"/>
      <c r="G1423" s="515"/>
      <c r="I1423" s="513"/>
      <c r="J1423" s="255"/>
      <c r="K1423" s="255"/>
      <c r="L1423" s="513"/>
      <c r="M1423" s="244"/>
      <c r="N1423" s="244"/>
      <c r="P1423" s="252"/>
      <c r="Q1423" s="252"/>
      <c r="R1423" s="252"/>
      <c r="S1423" s="256"/>
      <c r="T1423" s="256"/>
      <c r="U1423" s="256"/>
      <c r="V1423" s="252"/>
      <c r="W1423" s="524"/>
      <c r="X1423" s="256"/>
      <c r="Y1423" s="252"/>
      <c r="AA1423" s="257"/>
      <c r="AD1423" s="244"/>
      <c r="AE1423" s="256"/>
      <c r="AF1423" s="256"/>
    </row>
    <row r="1424" spans="4:32" x14ac:dyDescent="0.3">
      <c r="D1424" s="513"/>
      <c r="E1424" s="513"/>
      <c r="F1424" s="515"/>
      <c r="G1424" s="515"/>
      <c r="I1424" s="513"/>
      <c r="J1424" s="255"/>
      <c r="K1424" s="255"/>
      <c r="L1424" s="513"/>
      <c r="M1424" s="244"/>
      <c r="N1424" s="244"/>
      <c r="O1424" s="244"/>
      <c r="P1424" s="252"/>
      <c r="Q1424" s="252"/>
      <c r="R1424" s="252"/>
      <c r="S1424" s="256"/>
      <c r="T1424" s="256"/>
      <c r="U1424" s="256"/>
      <c r="V1424" s="252"/>
      <c r="W1424" s="524"/>
      <c r="X1424" s="256"/>
      <c r="Y1424" s="252"/>
      <c r="AA1424" s="257"/>
      <c r="AD1424" s="244"/>
      <c r="AE1424" s="256"/>
      <c r="AF1424" s="256"/>
    </row>
    <row r="1425" spans="4:32" x14ac:dyDescent="0.3">
      <c r="D1425" s="513"/>
      <c r="E1425" s="513"/>
      <c r="F1425" s="515"/>
      <c r="G1425" s="515"/>
      <c r="I1425" s="513"/>
      <c r="J1425" s="255"/>
      <c r="K1425" s="255"/>
      <c r="L1425" s="513"/>
      <c r="M1425" s="244"/>
      <c r="N1425" s="244"/>
      <c r="O1425" s="244"/>
      <c r="P1425" s="252"/>
      <c r="Q1425" s="252"/>
      <c r="R1425" s="252"/>
      <c r="S1425" s="256"/>
      <c r="T1425" s="256"/>
      <c r="U1425" s="256"/>
      <c r="V1425" s="252"/>
      <c r="W1425" s="524"/>
      <c r="X1425" s="256"/>
      <c r="Y1425" s="252"/>
      <c r="AA1425" s="257"/>
      <c r="AD1425" s="244"/>
      <c r="AE1425" s="256"/>
      <c r="AF1425" s="256"/>
    </row>
    <row r="1426" spans="4:32" x14ac:dyDescent="0.3">
      <c r="D1426" s="513"/>
      <c r="E1426" s="513"/>
      <c r="F1426" s="515"/>
      <c r="G1426" s="515"/>
      <c r="I1426" s="513"/>
      <c r="J1426" s="255"/>
      <c r="K1426" s="255"/>
      <c r="L1426" s="513"/>
      <c r="M1426" s="244"/>
      <c r="N1426" s="244"/>
      <c r="P1426" s="252"/>
      <c r="Q1426" s="252"/>
      <c r="R1426" s="252"/>
      <c r="S1426" s="256"/>
      <c r="T1426" s="256"/>
      <c r="U1426" s="256"/>
      <c r="V1426" s="252"/>
      <c r="W1426" s="524"/>
      <c r="X1426" s="256"/>
      <c r="Y1426" s="252"/>
      <c r="AA1426" s="257"/>
      <c r="AD1426" s="244"/>
      <c r="AE1426" s="256"/>
      <c r="AF1426" s="256"/>
    </row>
    <row r="1427" spans="4:32" x14ac:dyDescent="0.3">
      <c r="D1427" s="513"/>
      <c r="E1427" s="513"/>
      <c r="F1427" s="515"/>
      <c r="G1427" s="515"/>
      <c r="I1427" s="513"/>
      <c r="J1427" s="255"/>
      <c r="K1427" s="255"/>
      <c r="L1427" s="513"/>
      <c r="M1427" s="244"/>
      <c r="N1427" s="244"/>
      <c r="O1427" s="244"/>
      <c r="P1427" s="252"/>
      <c r="Q1427" s="252"/>
      <c r="R1427" s="252"/>
      <c r="S1427" s="256"/>
      <c r="T1427" s="256"/>
      <c r="U1427" s="256"/>
      <c r="V1427" s="252"/>
      <c r="W1427" s="524"/>
      <c r="X1427" s="256"/>
      <c r="Y1427" s="252"/>
      <c r="AA1427" s="257"/>
      <c r="AD1427" s="244"/>
      <c r="AE1427" s="256"/>
      <c r="AF1427" s="256"/>
    </row>
    <row r="1428" spans="4:32" x14ac:dyDescent="0.3">
      <c r="D1428" s="513"/>
      <c r="E1428" s="513"/>
      <c r="F1428" s="515"/>
      <c r="G1428" s="515"/>
      <c r="I1428" s="513"/>
      <c r="J1428" s="255"/>
      <c r="K1428" s="255"/>
      <c r="L1428" s="513"/>
      <c r="M1428" s="244"/>
      <c r="N1428" s="244"/>
      <c r="O1428" s="244"/>
      <c r="P1428" s="252"/>
      <c r="Q1428" s="252"/>
      <c r="R1428" s="252"/>
      <c r="S1428" s="256"/>
      <c r="T1428" s="256"/>
      <c r="U1428" s="256"/>
      <c r="V1428" s="252"/>
      <c r="W1428" s="524"/>
      <c r="X1428" s="256"/>
      <c r="Y1428" s="252"/>
      <c r="AA1428" s="257"/>
      <c r="AD1428" s="244"/>
      <c r="AE1428" s="256"/>
      <c r="AF1428" s="256"/>
    </row>
    <row r="1429" spans="4:32" x14ac:dyDescent="0.3">
      <c r="D1429" s="513"/>
      <c r="E1429" s="513"/>
      <c r="F1429" s="515"/>
      <c r="G1429" s="515"/>
      <c r="I1429" s="513"/>
      <c r="J1429" s="255"/>
      <c r="K1429" s="255"/>
      <c r="L1429" s="513"/>
      <c r="M1429" s="244"/>
      <c r="N1429" s="244"/>
      <c r="P1429" s="252"/>
      <c r="Q1429" s="252"/>
      <c r="R1429" s="252"/>
      <c r="S1429" s="256"/>
      <c r="T1429" s="256"/>
      <c r="U1429" s="256"/>
      <c r="V1429" s="252"/>
      <c r="W1429" s="524"/>
      <c r="X1429" s="256"/>
      <c r="Y1429" s="252"/>
      <c r="AA1429" s="257"/>
      <c r="AD1429" s="244"/>
      <c r="AE1429" s="256"/>
      <c r="AF1429" s="256"/>
    </row>
    <row r="1430" spans="4:32" x14ac:dyDescent="0.3">
      <c r="D1430" s="513"/>
      <c r="E1430" s="513"/>
      <c r="F1430" s="515"/>
      <c r="G1430" s="515"/>
      <c r="I1430" s="513"/>
      <c r="J1430" s="255"/>
      <c r="K1430" s="255"/>
      <c r="L1430" s="513"/>
      <c r="M1430" s="244"/>
      <c r="N1430" s="244"/>
      <c r="O1430" s="244"/>
      <c r="P1430" s="252"/>
      <c r="Q1430" s="252"/>
      <c r="R1430" s="252"/>
      <c r="S1430" s="256"/>
      <c r="T1430" s="256"/>
      <c r="U1430" s="256"/>
      <c r="V1430" s="252"/>
      <c r="W1430" s="524"/>
      <c r="X1430" s="256"/>
      <c r="Y1430" s="252"/>
      <c r="AA1430" s="257"/>
      <c r="AD1430" s="244"/>
      <c r="AE1430" s="256"/>
      <c r="AF1430" s="256"/>
    </row>
    <row r="1431" spans="4:32" x14ac:dyDescent="0.3">
      <c r="D1431" s="513"/>
      <c r="E1431" s="513"/>
      <c r="F1431" s="515"/>
      <c r="G1431" s="515"/>
      <c r="I1431" s="513"/>
      <c r="J1431" s="255"/>
      <c r="K1431" s="255"/>
      <c r="L1431" s="513"/>
      <c r="M1431" s="244"/>
      <c r="N1431" s="244"/>
      <c r="O1431" s="244"/>
      <c r="P1431" s="252"/>
      <c r="Q1431" s="252"/>
      <c r="R1431" s="252"/>
      <c r="S1431" s="256"/>
      <c r="T1431" s="256"/>
      <c r="U1431" s="256"/>
      <c r="V1431" s="252"/>
      <c r="W1431" s="524"/>
      <c r="X1431" s="256"/>
      <c r="Y1431" s="252"/>
      <c r="AA1431" s="257"/>
      <c r="AD1431" s="244"/>
      <c r="AE1431" s="256"/>
      <c r="AF1431" s="256"/>
    </row>
    <row r="1432" spans="4:32" x14ac:dyDescent="0.3">
      <c r="D1432" s="513"/>
      <c r="E1432" s="513"/>
      <c r="F1432" s="515"/>
      <c r="G1432" s="515"/>
      <c r="I1432" s="513"/>
      <c r="J1432" s="255"/>
      <c r="K1432" s="255"/>
      <c r="L1432" s="513"/>
      <c r="M1432" s="244"/>
      <c r="N1432" s="244"/>
      <c r="P1432" s="252"/>
      <c r="Q1432" s="252"/>
      <c r="R1432" s="252"/>
      <c r="S1432" s="256"/>
      <c r="T1432" s="256"/>
      <c r="U1432" s="256"/>
      <c r="V1432" s="252"/>
      <c r="W1432" s="524"/>
      <c r="X1432" s="256"/>
      <c r="Y1432" s="252"/>
      <c r="AA1432" s="257"/>
      <c r="AD1432" s="244"/>
      <c r="AE1432" s="256"/>
      <c r="AF1432" s="256"/>
    </row>
    <row r="1433" spans="4:32" x14ac:dyDescent="0.3">
      <c r="D1433" s="513"/>
      <c r="E1433" s="513"/>
      <c r="F1433" s="515"/>
      <c r="G1433" s="515"/>
      <c r="I1433" s="513"/>
      <c r="J1433" s="255"/>
      <c r="K1433" s="255"/>
      <c r="L1433" s="513"/>
      <c r="M1433" s="244"/>
      <c r="N1433" s="244"/>
      <c r="O1433" s="244"/>
      <c r="P1433" s="252"/>
      <c r="Q1433" s="252"/>
      <c r="R1433" s="252"/>
      <c r="S1433" s="256"/>
      <c r="T1433" s="256"/>
      <c r="U1433" s="256"/>
      <c r="V1433" s="252"/>
      <c r="W1433" s="524"/>
      <c r="X1433" s="256"/>
      <c r="Y1433" s="252"/>
      <c r="AA1433" s="257"/>
      <c r="AD1433" s="244"/>
      <c r="AE1433" s="256"/>
      <c r="AF1433" s="256"/>
    </row>
    <row r="1434" spans="4:32" x14ac:dyDescent="0.3">
      <c r="D1434" s="513"/>
      <c r="E1434" s="513"/>
      <c r="F1434" s="515"/>
      <c r="G1434" s="515"/>
      <c r="I1434" s="513"/>
      <c r="J1434" s="255"/>
      <c r="K1434" s="255"/>
      <c r="L1434" s="513"/>
      <c r="M1434" s="244"/>
      <c r="N1434" s="244"/>
      <c r="O1434" s="244"/>
      <c r="P1434" s="252"/>
      <c r="Q1434" s="252"/>
      <c r="R1434" s="252"/>
      <c r="S1434" s="256"/>
      <c r="T1434" s="256"/>
      <c r="U1434" s="256"/>
      <c r="V1434" s="252"/>
      <c r="W1434" s="524"/>
      <c r="X1434" s="256"/>
      <c r="Y1434" s="252"/>
      <c r="AA1434" s="257"/>
      <c r="AD1434" s="244"/>
      <c r="AE1434" s="256"/>
      <c r="AF1434" s="256"/>
    </row>
    <row r="1435" spans="4:32" x14ac:dyDescent="0.3">
      <c r="D1435" s="513"/>
      <c r="E1435" s="513"/>
      <c r="F1435" s="515"/>
      <c r="G1435" s="515"/>
      <c r="I1435" s="513"/>
      <c r="J1435" s="255"/>
      <c r="K1435" s="255"/>
      <c r="L1435" s="513"/>
      <c r="M1435" s="244"/>
      <c r="N1435" s="244"/>
      <c r="P1435" s="252"/>
      <c r="Q1435" s="252"/>
      <c r="R1435" s="252"/>
      <c r="S1435" s="256"/>
      <c r="T1435" s="256"/>
      <c r="U1435" s="256"/>
      <c r="V1435" s="252"/>
      <c r="W1435" s="524"/>
      <c r="X1435" s="256"/>
      <c r="Y1435" s="252"/>
      <c r="AA1435" s="257"/>
      <c r="AD1435" s="244"/>
      <c r="AE1435" s="256"/>
      <c r="AF1435" s="256"/>
    </row>
    <row r="1436" spans="4:32" x14ac:dyDescent="0.3">
      <c r="D1436" s="513"/>
      <c r="E1436" s="513"/>
      <c r="F1436" s="515"/>
      <c r="G1436" s="515"/>
      <c r="I1436" s="513"/>
      <c r="J1436" s="255"/>
      <c r="K1436" s="255"/>
      <c r="L1436" s="513"/>
      <c r="M1436" s="244"/>
      <c r="N1436" s="244"/>
      <c r="O1436" s="244"/>
      <c r="P1436" s="252"/>
      <c r="Q1436" s="252"/>
      <c r="R1436" s="252"/>
      <c r="S1436" s="256"/>
      <c r="T1436" s="256"/>
      <c r="U1436" s="256"/>
      <c r="V1436" s="252"/>
      <c r="W1436" s="524"/>
      <c r="X1436" s="256"/>
      <c r="Y1436" s="252"/>
      <c r="AA1436" s="257"/>
      <c r="AD1436" s="244"/>
      <c r="AE1436" s="256"/>
      <c r="AF1436" s="256"/>
    </row>
    <row r="1437" spans="4:32" x14ac:dyDescent="0.3">
      <c r="D1437" s="513"/>
      <c r="E1437" s="513"/>
      <c r="F1437" s="515"/>
      <c r="G1437" s="515"/>
      <c r="I1437" s="513"/>
      <c r="J1437" s="255"/>
      <c r="K1437" s="255"/>
      <c r="L1437" s="513"/>
      <c r="M1437" s="244"/>
      <c r="N1437" s="244"/>
      <c r="O1437" s="244"/>
      <c r="P1437" s="252"/>
      <c r="Q1437" s="252"/>
      <c r="R1437" s="252"/>
      <c r="S1437" s="256"/>
      <c r="T1437" s="256"/>
      <c r="U1437" s="256"/>
      <c r="V1437" s="252"/>
      <c r="W1437" s="524"/>
      <c r="X1437" s="256"/>
      <c r="Y1437" s="252"/>
      <c r="AA1437" s="257"/>
      <c r="AD1437" s="244"/>
      <c r="AE1437" s="256"/>
      <c r="AF1437" s="256"/>
    </row>
    <row r="1438" spans="4:32" x14ac:dyDescent="0.3">
      <c r="D1438" s="513"/>
      <c r="E1438" s="513"/>
      <c r="F1438" s="515"/>
      <c r="G1438" s="515"/>
      <c r="I1438" s="513"/>
      <c r="J1438" s="255"/>
      <c r="K1438" s="255"/>
      <c r="L1438" s="513"/>
      <c r="M1438" s="244"/>
      <c r="N1438" s="244"/>
      <c r="P1438" s="252"/>
      <c r="Q1438" s="252"/>
      <c r="R1438" s="252"/>
      <c r="S1438" s="256"/>
      <c r="T1438" s="256"/>
      <c r="U1438" s="256"/>
      <c r="V1438" s="252"/>
      <c r="W1438" s="524"/>
      <c r="X1438" s="256"/>
      <c r="Y1438" s="252"/>
      <c r="AA1438" s="257"/>
      <c r="AD1438" s="244"/>
      <c r="AE1438" s="256"/>
      <c r="AF1438" s="256"/>
    </row>
    <row r="1439" spans="4:32" x14ac:dyDescent="0.3">
      <c r="D1439" s="513"/>
      <c r="E1439" s="513"/>
      <c r="F1439" s="515"/>
      <c r="G1439" s="515"/>
      <c r="I1439" s="513"/>
      <c r="J1439" s="255"/>
      <c r="K1439" s="255"/>
      <c r="L1439" s="513"/>
      <c r="M1439" s="244"/>
      <c r="N1439" s="244"/>
      <c r="O1439" s="244"/>
      <c r="P1439" s="252"/>
      <c r="Q1439" s="252"/>
      <c r="R1439" s="252"/>
      <c r="S1439" s="256"/>
      <c r="T1439" s="256"/>
      <c r="U1439" s="256"/>
      <c r="V1439" s="252"/>
      <c r="W1439" s="524"/>
      <c r="X1439" s="256"/>
      <c r="Y1439" s="252"/>
      <c r="AA1439" s="257"/>
      <c r="AD1439" s="244"/>
      <c r="AE1439" s="256"/>
      <c r="AF1439" s="256"/>
    </row>
    <row r="1440" spans="4:32" x14ac:dyDescent="0.3">
      <c r="D1440" s="513"/>
      <c r="E1440" s="513"/>
      <c r="F1440" s="515"/>
      <c r="G1440" s="515"/>
      <c r="I1440" s="513"/>
      <c r="J1440" s="255"/>
      <c r="K1440" s="255"/>
      <c r="L1440" s="513"/>
      <c r="M1440" s="244"/>
      <c r="N1440" s="244"/>
      <c r="O1440" s="244"/>
      <c r="P1440" s="252"/>
      <c r="Q1440" s="252"/>
      <c r="R1440" s="252"/>
      <c r="S1440" s="256"/>
      <c r="T1440" s="256"/>
      <c r="U1440" s="256"/>
      <c r="V1440" s="252"/>
      <c r="W1440" s="524"/>
      <c r="X1440" s="256"/>
      <c r="Y1440" s="252"/>
      <c r="AA1440" s="257"/>
      <c r="AD1440" s="244"/>
      <c r="AE1440" s="256"/>
      <c r="AF1440" s="256"/>
    </row>
    <row r="1441" spans="4:32" x14ac:dyDescent="0.3">
      <c r="D1441" s="513"/>
      <c r="E1441" s="513"/>
      <c r="F1441" s="515"/>
      <c r="G1441" s="515"/>
      <c r="I1441" s="513"/>
      <c r="J1441" s="255"/>
      <c r="K1441" s="255"/>
      <c r="L1441" s="513"/>
      <c r="M1441" s="244"/>
      <c r="N1441" s="244"/>
      <c r="P1441" s="252"/>
      <c r="Q1441" s="252"/>
      <c r="R1441" s="252"/>
      <c r="S1441" s="256"/>
      <c r="T1441" s="256"/>
      <c r="U1441" s="256"/>
      <c r="V1441" s="252"/>
      <c r="W1441" s="524"/>
      <c r="X1441" s="256"/>
      <c r="Y1441" s="252"/>
      <c r="AA1441" s="257"/>
      <c r="AD1441" s="244"/>
      <c r="AE1441" s="256"/>
      <c r="AF1441" s="256"/>
    </row>
    <row r="1442" spans="4:32" x14ac:dyDescent="0.3">
      <c r="D1442" s="513"/>
      <c r="E1442" s="513"/>
      <c r="F1442" s="515"/>
      <c r="G1442" s="515"/>
      <c r="I1442" s="513"/>
      <c r="J1442" s="255"/>
      <c r="K1442" s="255"/>
      <c r="L1442" s="513"/>
      <c r="M1442" s="244"/>
      <c r="N1442" s="244"/>
      <c r="O1442" s="244"/>
      <c r="P1442" s="252"/>
      <c r="Q1442" s="252"/>
      <c r="R1442" s="252"/>
      <c r="S1442" s="256"/>
      <c r="T1442" s="256"/>
      <c r="U1442" s="256"/>
      <c r="V1442" s="252"/>
      <c r="W1442" s="524"/>
      <c r="X1442" s="256"/>
      <c r="Y1442" s="252"/>
      <c r="AA1442" s="257"/>
      <c r="AD1442" s="244"/>
      <c r="AE1442" s="256"/>
      <c r="AF1442" s="256"/>
    </row>
    <row r="1443" spans="4:32" x14ac:dyDescent="0.3">
      <c r="D1443" s="513"/>
      <c r="E1443" s="513"/>
      <c r="F1443" s="515"/>
      <c r="G1443" s="515"/>
      <c r="I1443" s="513"/>
      <c r="J1443" s="255"/>
      <c r="K1443" s="255"/>
      <c r="L1443" s="513"/>
      <c r="M1443" s="244"/>
      <c r="N1443" s="244"/>
      <c r="O1443" s="244"/>
      <c r="P1443" s="252"/>
      <c r="Q1443" s="252"/>
      <c r="R1443" s="252"/>
      <c r="S1443" s="256"/>
      <c r="T1443" s="256"/>
      <c r="U1443" s="256"/>
      <c r="V1443" s="252"/>
      <c r="W1443" s="524"/>
      <c r="X1443" s="256"/>
      <c r="Y1443" s="252"/>
      <c r="AA1443" s="257"/>
      <c r="AD1443" s="244"/>
      <c r="AE1443" s="256"/>
      <c r="AF1443" s="256"/>
    </row>
    <row r="1444" spans="4:32" x14ac:dyDescent="0.3">
      <c r="D1444" s="513"/>
      <c r="E1444" s="513"/>
      <c r="F1444" s="515"/>
      <c r="G1444" s="515"/>
      <c r="I1444" s="513"/>
      <c r="J1444" s="255"/>
      <c r="K1444" s="255"/>
      <c r="L1444" s="513"/>
      <c r="M1444" s="244"/>
      <c r="N1444" s="244"/>
      <c r="P1444" s="252"/>
      <c r="Q1444" s="252"/>
      <c r="R1444" s="252"/>
      <c r="S1444" s="256"/>
      <c r="T1444" s="256"/>
      <c r="U1444" s="256"/>
      <c r="V1444" s="252"/>
      <c r="W1444" s="524"/>
      <c r="X1444" s="256"/>
      <c r="Y1444" s="252"/>
      <c r="AA1444" s="257"/>
      <c r="AD1444" s="244"/>
      <c r="AE1444" s="256"/>
      <c r="AF1444" s="256"/>
    </row>
    <row r="1445" spans="4:32" x14ac:dyDescent="0.3">
      <c r="D1445" s="513"/>
      <c r="E1445" s="513"/>
      <c r="F1445" s="515"/>
      <c r="G1445" s="515"/>
      <c r="I1445" s="513"/>
      <c r="J1445" s="255"/>
      <c r="K1445" s="255"/>
      <c r="L1445" s="513"/>
      <c r="M1445" s="244"/>
      <c r="N1445" s="244"/>
      <c r="O1445" s="244"/>
      <c r="P1445" s="252"/>
      <c r="Q1445" s="252"/>
      <c r="R1445" s="252"/>
      <c r="S1445" s="256"/>
      <c r="T1445" s="256"/>
      <c r="U1445" s="256"/>
      <c r="V1445" s="252"/>
      <c r="W1445" s="524"/>
      <c r="X1445" s="256"/>
      <c r="Y1445" s="252"/>
      <c r="AA1445" s="257"/>
      <c r="AD1445" s="244"/>
      <c r="AE1445" s="256"/>
      <c r="AF1445" s="256"/>
    </row>
    <row r="1446" spans="4:32" x14ac:dyDescent="0.3">
      <c r="D1446" s="513"/>
      <c r="E1446" s="513"/>
      <c r="F1446" s="515"/>
      <c r="G1446" s="515"/>
      <c r="I1446" s="513"/>
      <c r="J1446" s="255"/>
      <c r="K1446" s="255"/>
      <c r="L1446" s="513"/>
      <c r="M1446" s="244"/>
      <c r="N1446" s="244"/>
      <c r="O1446" s="244"/>
      <c r="P1446" s="252"/>
      <c r="Q1446" s="252"/>
      <c r="R1446" s="252"/>
      <c r="S1446" s="256"/>
      <c r="T1446" s="256"/>
      <c r="U1446" s="256"/>
      <c r="V1446" s="252"/>
      <c r="W1446" s="524"/>
      <c r="X1446" s="256"/>
      <c r="Y1446" s="252"/>
      <c r="AA1446" s="257"/>
      <c r="AD1446" s="244"/>
      <c r="AE1446" s="256"/>
      <c r="AF1446" s="256"/>
    </row>
    <row r="1447" spans="4:32" x14ac:dyDescent="0.3">
      <c r="D1447" s="513"/>
      <c r="E1447" s="513"/>
      <c r="F1447" s="515"/>
      <c r="G1447" s="515"/>
      <c r="I1447" s="513"/>
      <c r="J1447" s="255"/>
      <c r="K1447" s="255"/>
      <c r="L1447" s="513"/>
      <c r="M1447" s="244"/>
      <c r="N1447" s="244"/>
      <c r="P1447" s="252"/>
      <c r="Q1447" s="252"/>
      <c r="R1447" s="252"/>
      <c r="S1447" s="256"/>
      <c r="T1447" s="256"/>
      <c r="U1447" s="256"/>
      <c r="V1447" s="252"/>
      <c r="W1447" s="524"/>
      <c r="X1447" s="256"/>
      <c r="Y1447" s="252"/>
      <c r="AA1447" s="257"/>
      <c r="AD1447" s="244"/>
      <c r="AE1447" s="256"/>
      <c r="AF1447" s="256"/>
    </row>
    <row r="1448" spans="4:32" x14ac:dyDescent="0.3">
      <c r="D1448" s="513"/>
      <c r="E1448" s="513"/>
      <c r="F1448" s="515"/>
      <c r="G1448" s="515"/>
      <c r="I1448" s="513"/>
      <c r="J1448" s="255"/>
      <c r="K1448" s="255"/>
      <c r="L1448" s="513"/>
      <c r="M1448" s="244"/>
      <c r="N1448" s="244"/>
      <c r="O1448" s="244"/>
      <c r="P1448" s="252"/>
      <c r="Q1448" s="252"/>
      <c r="R1448" s="252"/>
      <c r="S1448" s="256"/>
      <c r="T1448" s="256"/>
      <c r="U1448" s="256"/>
      <c r="V1448" s="252"/>
      <c r="W1448" s="524"/>
      <c r="X1448" s="256"/>
      <c r="Y1448" s="252"/>
      <c r="AA1448" s="257"/>
      <c r="AD1448" s="244"/>
      <c r="AE1448" s="256"/>
      <c r="AF1448" s="256"/>
    </row>
    <row r="1449" spans="4:32" x14ac:dyDescent="0.3">
      <c r="D1449" s="513"/>
      <c r="E1449" s="513"/>
      <c r="F1449" s="515"/>
      <c r="G1449" s="515"/>
      <c r="I1449" s="513"/>
      <c r="J1449" s="255"/>
      <c r="K1449" s="255"/>
      <c r="L1449" s="513"/>
      <c r="M1449" s="244"/>
      <c r="N1449" s="244"/>
      <c r="O1449" s="244"/>
      <c r="P1449" s="252"/>
      <c r="Q1449" s="252"/>
      <c r="R1449" s="252"/>
      <c r="S1449" s="256"/>
      <c r="T1449" s="256"/>
      <c r="U1449" s="256"/>
      <c r="V1449" s="252"/>
      <c r="W1449" s="524"/>
      <c r="X1449" s="256"/>
      <c r="Y1449" s="252"/>
      <c r="AA1449" s="257"/>
      <c r="AD1449" s="244"/>
      <c r="AE1449" s="256"/>
      <c r="AF1449" s="256"/>
    </row>
    <row r="1450" spans="4:32" x14ac:dyDescent="0.3">
      <c r="D1450" s="513"/>
      <c r="E1450" s="513"/>
      <c r="F1450" s="515"/>
      <c r="G1450" s="515"/>
      <c r="I1450" s="513"/>
      <c r="J1450" s="255"/>
      <c r="K1450" s="255"/>
      <c r="L1450" s="513"/>
      <c r="M1450" s="244"/>
      <c r="N1450" s="244"/>
      <c r="P1450" s="252"/>
      <c r="Q1450" s="252"/>
      <c r="R1450" s="252"/>
      <c r="S1450" s="256"/>
      <c r="T1450" s="256"/>
      <c r="U1450" s="256"/>
      <c r="V1450" s="252"/>
      <c r="W1450" s="524"/>
      <c r="X1450" s="256"/>
      <c r="Y1450" s="252"/>
      <c r="AA1450" s="257"/>
      <c r="AD1450" s="244"/>
      <c r="AE1450" s="256"/>
      <c r="AF1450" s="256"/>
    </row>
    <row r="1451" spans="4:32" x14ac:dyDescent="0.3">
      <c r="D1451" s="513"/>
      <c r="E1451" s="513"/>
      <c r="F1451" s="515"/>
      <c r="G1451" s="515"/>
      <c r="I1451" s="513"/>
      <c r="J1451" s="255"/>
      <c r="K1451" s="255"/>
      <c r="L1451" s="513"/>
      <c r="M1451" s="244"/>
      <c r="N1451" s="244"/>
      <c r="O1451" s="244"/>
      <c r="P1451" s="252"/>
      <c r="Q1451" s="252"/>
      <c r="R1451" s="252"/>
      <c r="S1451" s="256"/>
      <c r="T1451" s="256"/>
      <c r="U1451" s="256"/>
      <c r="V1451" s="252"/>
      <c r="W1451" s="524"/>
      <c r="X1451" s="256"/>
      <c r="Y1451" s="252"/>
      <c r="AA1451" s="257"/>
      <c r="AD1451" s="244"/>
      <c r="AE1451" s="256"/>
      <c r="AF1451" s="256"/>
    </row>
    <row r="1452" spans="4:32" x14ac:dyDescent="0.3">
      <c r="D1452" s="513"/>
      <c r="E1452" s="513"/>
      <c r="F1452" s="515"/>
      <c r="G1452" s="515"/>
      <c r="I1452" s="513"/>
      <c r="J1452" s="255"/>
      <c r="K1452" s="255"/>
      <c r="L1452" s="513"/>
      <c r="M1452" s="244"/>
      <c r="N1452" s="244"/>
      <c r="O1452" s="244"/>
      <c r="P1452" s="252"/>
      <c r="Q1452" s="252"/>
      <c r="R1452" s="252"/>
      <c r="S1452" s="256"/>
      <c r="T1452" s="256"/>
      <c r="U1452" s="256"/>
      <c r="V1452" s="252"/>
      <c r="W1452" s="524"/>
      <c r="X1452" s="256"/>
      <c r="Y1452" s="252"/>
      <c r="AA1452" s="257"/>
      <c r="AD1452" s="244"/>
      <c r="AE1452" s="256"/>
      <c r="AF1452" s="256"/>
    </row>
    <row r="1453" spans="4:32" x14ac:dyDescent="0.3">
      <c r="D1453" s="513"/>
      <c r="E1453" s="513"/>
      <c r="F1453" s="515"/>
      <c r="G1453" s="515"/>
      <c r="I1453" s="513"/>
      <c r="J1453" s="255"/>
      <c r="K1453" s="255"/>
      <c r="L1453" s="513"/>
      <c r="M1453" s="322"/>
      <c r="N1453" s="244"/>
      <c r="P1453" s="252"/>
      <c r="Q1453" s="252"/>
      <c r="R1453" s="252"/>
      <c r="S1453" s="256"/>
      <c r="T1453" s="256"/>
      <c r="U1453" s="256"/>
      <c r="V1453" s="252"/>
      <c r="W1453" s="524"/>
      <c r="X1453" s="256"/>
      <c r="Y1453" s="252"/>
      <c r="AA1453" s="257"/>
      <c r="AD1453" s="244"/>
      <c r="AE1453" s="256"/>
      <c r="AF1453" s="256"/>
    </row>
    <row r="1454" spans="4:32" x14ac:dyDescent="0.3">
      <c r="D1454" s="513"/>
      <c r="E1454" s="513"/>
      <c r="F1454" s="515"/>
      <c r="G1454" s="515"/>
      <c r="I1454" s="513"/>
      <c r="J1454" s="255"/>
      <c r="K1454" s="255"/>
      <c r="L1454" s="513"/>
      <c r="M1454" s="322"/>
      <c r="N1454" s="244"/>
      <c r="P1454" s="252"/>
      <c r="Q1454" s="252"/>
      <c r="R1454" s="252"/>
      <c r="S1454" s="256"/>
      <c r="T1454" s="256"/>
      <c r="U1454" s="256"/>
      <c r="V1454" s="252"/>
      <c r="W1454" s="524"/>
      <c r="X1454" s="256"/>
      <c r="Y1454" s="252"/>
      <c r="AA1454" s="257"/>
      <c r="AD1454" s="244"/>
      <c r="AE1454" s="256"/>
      <c r="AF1454" s="256"/>
    </row>
    <row r="1455" spans="4:32" x14ac:dyDescent="0.3">
      <c r="D1455" s="513"/>
      <c r="E1455" s="513"/>
      <c r="F1455" s="515"/>
      <c r="G1455" s="515"/>
      <c r="I1455" s="513"/>
      <c r="J1455" s="255"/>
      <c r="K1455" s="255"/>
      <c r="L1455" s="513"/>
      <c r="M1455" s="322"/>
      <c r="N1455" s="244"/>
      <c r="P1455" s="252"/>
      <c r="Q1455" s="252"/>
      <c r="R1455" s="252"/>
      <c r="S1455" s="256"/>
      <c r="T1455" s="256"/>
      <c r="U1455" s="256"/>
      <c r="V1455" s="252"/>
      <c r="W1455" s="524"/>
      <c r="X1455" s="256"/>
      <c r="Y1455" s="252"/>
      <c r="AA1455" s="257"/>
      <c r="AD1455" s="244"/>
      <c r="AE1455" s="256"/>
      <c r="AF1455" s="256"/>
    </row>
    <row r="1456" spans="4:32" x14ac:dyDescent="0.3">
      <c r="D1456" s="513"/>
      <c r="E1456" s="513"/>
      <c r="F1456" s="515"/>
      <c r="G1456" s="515"/>
      <c r="I1456" s="513"/>
      <c r="J1456" s="255"/>
      <c r="K1456" s="255"/>
      <c r="L1456" s="513"/>
      <c r="M1456" s="322"/>
      <c r="N1456" s="244"/>
      <c r="P1456" s="252"/>
      <c r="Q1456" s="252"/>
      <c r="R1456" s="252"/>
      <c r="S1456" s="256"/>
      <c r="T1456" s="256"/>
      <c r="U1456" s="256"/>
      <c r="V1456" s="252"/>
      <c r="W1456" s="524"/>
      <c r="X1456" s="256"/>
      <c r="Y1456" s="252"/>
      <c r="AA1456" s="257"/>
      <c r="AD1456" s="244"/>
      <c r="AE1456" s="256"/>
      <c r="AF1456" s="256"/>
    </row>
    <row r="1457" spans="4:32" x14ac:dyDescent="0.3">
      <c r="D1457" s="513"/>
      <c r="E1457" s="513"/>
      <c r="F1457" s="515"/>
      <c r="G1457" s="515"/>
      <c r="I1457" s="513"/>
      <c r="J1457" s="255"/>
      <c r="K1457" s="255"/>
      <c r="L1457" s="513"/>
      <c r="M1457" s="322"/>
      <c r="N1457" s="244"/>
      <c r="P1457" s="252"/>
      <c r="Q1457" s="252"/>
      <c r="R1457" s="252"/>
      <c r="S1457" s="256"/>
      <c r="T1457" s="256"/>
      <c r="U1457" s="256"/>
      <c r="V1457" s="252"/>
      <c r="W1457" s="524"/>
      <c r="X1457" s="256"/>
      <c r="Y1457" s="252"/>
      <c r="AA1457" s="257"/>
      <c r="AD1457" s="244"/>
      <c r="AE1457" s="256"/>
      <c r="AF1457" s="256"/>
    </row>
    <row r="1458" spans="4:32" x14ac:dyDescent="0.3">
      <c r="D1458" s="513"/>
      <c r="E1458" s="513"/>
      <c r="F1458" s="515"/>
      <c r="G1458" s="515"/>
      <c r="I1458" s="513"/>
      <c r="J1458" s="255"/>
      <c r="K1458" s="255"/>
      <c r="L1458" s="513"/>
      <c r="M1458" s="322"/>
      <c r="N1458" s="244"/>
      <c r="P1458" s="252"/>
      <c r="Q1458" s="252"/>
      <c r="R1458" s="252"/>
      <c r="S1458" s="256"/>
      <c r="T1458" s="256"/>
      <c r="U1458" s="256"/>
      <c r="V1458" s="252"/>
      <c r="W1458" s="524"/>
      <c r="X1458" s="256"/>
      <c r="Y1458" s="252"/>
      <c r="AA1458" s="257"/>
      <c r="AD1458" s="244"/>
      <c r="AE1458" s="256"/>
      <c r="AF1458" s="256"/>
    </row>
    <row r="1459" spans="4:32" x14ac:dyDescent="0.3">
      <c r="D1459" s="513"/>
      <c r="E1459" s="513"/>
      <c r="F1459" s="515"/>
      <c r="G1459" s="515"/>
      <c r="I1459" s="513"/>
      <c r="J1459" s="255"/>
      <c r="K1459" s="255"/>
      <c r="L1459" s="513"/>
      <c r="M1459" s="322"/>
      <c r="N1459" s="244"/>
      <c r="P1459" s="252"/>
      <c r="Q1459" s="252"/>
      <c r="R1459" s="252"/>
      <c r="S1459" s="256"/>
      <c r="T1459" s="256"/>
      <c r="U1459" s="256"/>
      <c r="V1459" s="252"/>
      <c r="W1459" s="524"/>
      <c r="X1459" s="256"/>
      <c r="Y1459" s="252"/>
      <c r="AA1459" s="257"/>
      <c r="AD1459" s="244"/>
      <c r="AE1459" s="256"/>
      <c r="AF1459" s="256"/>
    </row>
    <row r="1460" spans="4:32" x14ac:dyDescent="0.3">
      <c r="D1460" s="513"/>
      <c r="E1460" s="513"/>
      <c r="F1460" s="515"/>
      <c r="G1460" s="515"/>
      <c r="I1460" s="513"/>
      <c r="J1460" s="255"/>
      <c r="K1460" s="255"/>
      <c r="L1460" s="513"/>
      <c r="M1460" s="322"/>
      <c r="N1460" s="244"/>
      <c r="P1460" s="252"/>
      <c r="Q1460" s="252"/>
      <c r="R1460" s="252"/>
      <c r="S1460" s="256"/>
      <c r="T1460" s="256"/>
      <c r="U1460" s="256"/>
      <c r="V1460" s="252"/>
      <c r="W1460" s="524"/>
      <c r="X1460" s="256"/>
      <c r="Y1460" s="252"/>
      <c r="AA1460" s="257"/>
      <c r="AD1460" s="244"/>
      <c r="AE1460" s="256"/>
      <c r="AF1460" s="256"/>
    </row>
    <row r="1461" spans="4:32" x14ac:dyDescent="0.3">
      <c r="D1461" s="513"/>
      <c r="E1461" s="513"/>
      <c r="F1461" s="515"/>
      <c r="G1461" s="515"/>
      <c r="I1461" s="513"/>
      <c r="J1461" s="255"/>
      <c r="K1461" s="255"/>
      <c r="L1461" s="513"/>
      <c r="M1461" s="322"/>
      <c r="N1461" s="244"/>
      <c r="P1461" s="252"/>
      <c r="Q1461" s="252"/>
      <c r="R1461" s="252"/>
      <c r="S1461" s="256"/>
      <c r="T1461" s="256"/>
      <c r="U1461" s="256"/>
      <c r="V1461" s="252"/>
      <c r="W1461" s="524"/>
      <c r="X1461" s="256"/>
      <c r="Y1461" s="252"/>
      <c r="AA1461" s="257"/>
      <c r="AD1461" s="244"/>
      <c r="AE1461" s="256"/>
      <c r="AF1461" s="256"/>
    </row>
    <row r="1462" spans="4:32" x14ac:dyDescent="0.3">
      <c r="D1462" s="513"/>
      <c r="E1462" s="513"/>
      <c r="F1462" s="515"/>
      <c r="G1462" s="515"/>
      <c r="I1462" s="513"/>
      <c r="J1462" s="255"/>
      <c r="K1462" s="255"/>
      <c r="L1462" s="513"/>
      <c r="M1462" s="322"/>
      <c r="N1462" s="244"/>
      <c r="P1462" s="252"/>
      <c r="Q1462" s="252"/>
      <c r="R1462" s="252"/>
      <c r="S1462" s="256"/>
      <c r="T1462" s="256"/>
      <c r="U1462" s="256"/>
      <c r="V1462" s="252"/>
      <c r="W1462" s="524"/>
      <c r="X1462" s="256"/>
      <c r="Y1462" s="252"/>
      <c r="AA1462" s="257"/>
      <c r="AD1462" s="244"/>
      <c r="AE1462" s="256"/>
      <c r="AF1462" s="256"/>
    </row>
    <row r="1463" spans="4:32" x14ac:dyDescent="0.3">
      <c r="D1463" s="513"/>
      <c r="E1463" s="513"/>
      <c r="F1463" s="515"/>
      <c r="G1463" s="515"/>
      <c r="I1463" s="513"/>
      <c r="J1463" s="255"/>
      <c r="K1463" s="255"/>
      <c r="L1463" s="513"/>
      <c r="M1463" s="322"/>
      <c r="N1463" s="244"/>
      <c r="P1463" s="252"/>
      <c r="Q1463" s="252"/>
      <c r="R1463" s="252"/>
      <c r="S1463" s="256"/>
      <c r="T1463" s="256"/>
      <c r="U1463" s="256"/>
      <c r="V1463" s="252"/>
      <c r="W1463" s="524"/>
      <c r="X1463" s="256"/>
      <c r="Y1463" s="252"/>
      <c r="AA1463" s="257"/>
      <c r="AD1463" s="244"/>
      <c r="AE1463" s="256"/>
      <c r="AF1463" s="256"/>
    </row>
    <row r="1464" spans="4:32" x14ac:dyDescent="0.3">
      <c r="D1464" s="513"/>
      <c r="E1464" s="513"/>
      <c r="F1464" s="515"/>
      <c r="G1464" s="515"/>
      <c r="I1464" s="513"/>
      <c r="J1464" s="255"/>
      <c r="K1464" s="255"/>
      <c r="L1464" s="513"/>
      <c r="M1464" s="322"/>
      <c r="N1464" s="244"/>
      <c r="P1464" s="252"/>
      <c r="Q1464" s="252"/>
      <c r="R1464" s="252"/>
      <c r="S1464" s="256"/>
      <c r="T1464" s="256"/>
      <c r="U1464" s="256"/>
      <c r="V1464" s="252"/>
      <c r="W1464" s="524"/>
      <c r="X1464" s="256"/>
      <c r="Y1464" s="252"/>
      <c r="AA1464" s="257"/>
      <c r="AD1464" s="244"/>
      <c r="AE1464" s="256"/>
      <c r="AF1464" s="256"/>
    </row>
    <row r="1465" spans="4:32" x14ac:dyDescent="0.3">
      <c r="D1465" s="513"/>
      <c r="E1465" s="513"/>
      <c r="F1465" s="515"/>
      <c r="G1465" s="515"/>
      <c r="I1465" s="513"/>
      <c r="J1465" s="255"/>
      <c r="K1465" s="255"/>
      <c r="L1465" s="513"/>
      <c r="M1465" s="322"/>
      <c r="N1465" s="244"/>
      <c r="P1465" s="252"/>
      <c r="Q1465" s="252"/>
      <c r="R1465" s="252"/>
      <c r="S1465" s="256"/>
      <c r="T1465" s="256"/>
      <c r="U1465" s="256"/>
      <c r="V1465" s="252"/>
      <c r="W1465" s="524"/>
      <c r="X1465" s="256"/>
      <c r="Y1465" s="252"/>
      <c r="AA1465" s="257"/>
      <c r="AD1465" s="244"/>
      <c r="AE1465" s="256"/>
      <c r="AF1465" s="256"/>
    </row>
    <row r="1466" spans="4:32" x14ac:dyDescent="0.3">
      <c r="D1466" s="513"/>
      <c r="E1466" s="513"/>
      <c r="F1466" s="515"/>
      <c r="G1466" s="515"/>
      <c r="I1466" s="513"/>
      <c r="J1466" s="255"/>
      <c r="K1466" s="255"/>
      <c r="L1466" s="513"/>
      <c r="M1466" s="322"/>
      <c r="N1466" s="244"/>
      <c r="P1466" s="252"/>
      <c r="Q1466" s="252"/>
      <c r="R1466" s="252"/>
      <c r="S1466" s="256"/>
      <c r="T1466" s="256"/>
      <c r="U1466" s="256"/>
      <c r="V1466" s="252"/>
      <c r="W1466" s="524"/>
      <c r="X1466" s="256"/>
      <c r="Y1466" s="252"/>
      <c r="AA1466" s="257"/>
      <c r="AD1466" s="244"/>
      <c r="AE1466" s="256"/>
      <c r="AF1466" s="256"/>
    </row>
    <row r="1467" spans="4:32" x14ac:dyDescent="0.3">
      <c r="D1467" s="513"/>
      <c r="E1467" s="513"/>
      <c r="F1467" s="515"/>
      <c r="G1467" s="515"/>
      <c r="I1467" s="513"/>
      <c r="J1467" s="255"/>
      <c r="K1467" s="255"/>
      <c r="L1467" s="513"/>
      <c r="M1467" s="322"/>
      <c r="N1467" s="244"/>
      <c r="P1467" s="252"/>
      <c r="Q1467" s="252"/>
      <c r="R1467" s="252"/>
      <c r="S1467" s="256"/>
      <c r="T1467" s="256"/>
      <c r="U1467" s="256"/>
      <c r="V1467" s="252"/>
      <c r="W1467" s="524"/>
      <c r="X1467" s="256"/>
      <c r="Y1467" s="252"/>
      <c r="AA1467" s="257"/>
      <c r="AD1467" s="244"/>
      <c r="AE1467" s="256"/>
      <c r="AF1467" s="256"/>
    </row>
    <row r="1468" spans="4:32" x14ac:dyDescent="0.3">
      <c r="D1468" s="513"/>
      <c r="E1468" s="513"/>
      <c r="F1468" s="515"/>
      <c r="G1468" s="515"/>
      <c r="I1468" s="513"/>
      <c r="J1468" s="255"/>
      <c r="K1468" s="255"/>
      <c r="L1468" s="513"/>
      <c r="M1468" s="322"/>
      <c r="N1468" s="244"/>
      <c r="P1468" s="252"/>
      <c r="Q1468" s="252"/>
      <c r="R1468" s="252"/>
      <c r="S1468" s="256"/>
      <c r="T1468" s="256"/>
      <c r="U1468" s="256"/>
      <c r="V1468" s="252"/>
      <c r="W1468" s="524"/>
      <c r="X1468" s="256"/>
      <c r="Y1468" s="252"/>
      <c r="AA1468" s="257"/>
      <c r="AD1468" s="244"/>
      <c r="AE1468" s="256"/>
      <c r="AF1468" s="256"/>
    </row>
    <row r="1469" spans="4:32" x14ac:dyDescent="0.3">
      <c r="D1469" s="513"/>
      <c r="E1469" s="513"/>
      <c r="F1469" s="515"/>
      <c r="G1469" s="515"/>
      <c r="I1469" s="513"/>
      <c r="J1469" s="255"/>
      <c r="K1469" s="255"/>
      <c r="L1469" s="513"/>
      <c r="M1469" s="322"/>
      <c r="N1469" s="244"/>
      <c r="P1469" s="252"/>
      <c r="Q1469" s="252"/>
      <c r="R1469" s="252"/>
      <c r="S1469" s="256"/>
      <c r="T1469" s="256"/>
      <c r="U1469" s="256"/>
      <c r="V1469" s="252"/>
      <c r="W1469" s="524"/>
      <c r="X1469" s="256"/>
      <c r="Y1469" s="252"/>
      <c r="AA1469" s="257"/>
      <c r="AD1469" s="244"/>
      <c r="AE1469" s="256"/>
      <c r="AF1469" s="256"/>
    </row>
    <row r="1470" spans="4:32" x14ac:dyDescent="0.3">
      <c r="D1470" s="513"/>
      <c r="E1470" s="513"/>
      <c r="F1470" s="515"/>
      <c r="G1470" s="515"/>
      <c r="I1470" s="513"/>
      <c r="J1470" s="255"/>
      <c r="K1470" s="255"/>
      <c r="L1470" s="513"/>
      <c r="M1470" s="322"/>
      <c r="N1470" s="244"/>
      <c r="P1470" s="252"/>
      <c r="Q1470" s="252"/>
      <c r="R1470" s="252"/>
      <c r="S1470" s="256"/>
      <c r="T1470" s="256"/>
      <c r="U1470" s="256"/>
      <c r="V1470" s="252"/>
      <c r="W1470" s="524"/>
      <c r="X1470" s="256"/>
      <c r="Y1470" s="252"/>
      <c r="AA1470" s="257"/>
      <c r="AD1470" s="244"/>
      <c r="AE1470" s="256"/>
      <c r="AF1470" s="256"/>
    </row>
    <row r="1471" spans="4:32" x14ac:dyDescent="0.3">
      <c r="D1471" s="513"/>
      <c r="E1471" s="513"/>
      <c r="F1471" s="515"/>
      <c r="G1471" s="515"/>
      <c r="I1471" s="513"/>
      <c r="J1471" s="255"/>
      <c r="K1471" s="255"/>
      <c r="L1471" s="513"/>
      <c r="M1471" s="322"/>
      <c r="N1471" s="244"/>
      <c r="P1471" s="252"/>
      <c r="Q1471" s="252"/>
      <c r="R1471" s="252"/>
      <c r="S1471" s="256"/>
      <c r="T1471" s="256"/>
      <c r="U1471" s="256"/>
      <c r="V1471" s="252"/>
      <c r="W1471" s="524"/>
      <c r="X1471" s="256"/>
      <c r="Y1471" s="252"/>
      <c r="AA1471" s="257"/>
      <c r="AD1471" s="244"/>
      <c r="AE1471" s="256"/>
      <c r="AF1471" s="256"/>
    </row>
    <row r="1472" spans="4:32" x14ac:dyDescent="0.3">
      <c r="D1472" s="513"/>
      <c r="E1472" s="513"/>
      <c r="F1472" s="515"/>
      <c r="G1472" s="515"/>
      <c r="I1472" s="513"/>
      <c r="J1472" s="255"/>
      <c r="K1472" s="255"/>
      <c r="L1472" s="513"/>
      <c r="M1472" s="322"/>
      <c r="N1472" s="244"/>
      <c r="P1472" s="252"/>
      <c r="Q1472" s="252"/>
      <c r="R1472" s="252"/>
      <c r="S1472" s="256"/>
      <c r="T1472" s="256"/>
      <c r="U1472" s="256"/>
      <c r="V1472" s="252"/>
      <c r="W1472" s="524"/>
      <c r="X1472" s="256"/>
      <c r="Y1472" s="252"/>
      <c r="AA1472" s="257"/>
      <c r="AD1472" s="244"/>
      <c r="AE1472" s="256"/>
      <c r="AF1472" s="256"/>
    </row>
    <row r="1473" spans="4:32" x14ac:dyDescent="0.3">
      <c r="D1473" s="513"/>
      <c r="E1473" s="513"/>
      <c r="F1473" s="515"/>
      <c r="G1473" s="515"/>
      <c r="I1473" s="513"/>
      <c r="J1473" s="255"/>
      <c r="K1473" s="255"/>
      <c r="L1473" s="513"/>
      <c r="M1473" s="322"/>
      <c r="N1473" s="244"/>
      <c r="P1473" s="252"/>
      <c r="Q1473" s="252"/>
      <c r="R1473" s="252"/>
      <c r="S1473" s="256"/>
      <c r="T1473" s="256"/>
      <c r="U1473" s="256"/>
      <c r="V1473" s="252"/>
      <c r="W1473" s="524"/>
      <c r="X1473" s="256"/>
      <c r="Y1473" s="252"/>
      <c r="AA1473" s="257"/>
      <c r="AD1473" s="244"/>
      <c r="AE1473" s="256"/>
      <c r="AF1473" s="256"/>
    </row>
    <row r="1474" spans="4:32" x14ac:dyDescent="0.3">
      <c r="D1474" s="513"/>
      <c r="E1474" s="513"/>
      <c r="F1474" s="515"/>
      <c r="G1474" s="515"/>
      <c r="I1474" s="513"/>
      <c r="J1474" s="255"/>
      <c r="K1474" s="255"/>
      <c r="L1474" s="513"/>
      <c r="M1474" s="322"/>
      <c r="N1474" s="244"/>
      <c r="P1474" s="252"/>
      <c r="Q1474" s="252"/>
      <c r="R1474" s="252"/>
      <c r="S1474" s="256"/>
      <c r="T1474" s="256"/>
      <c r="U1474" s="256"/>
      <c r="V1474" s="252"/>
      <c r="W1474" s="524"/>
      <c r="X1474" s="256"/>
      <c r="Y1474" s="252"/>
      <c r="AA1474" s="257"/>
      <c r="AD1474" s="244"/>
      <c r="AE1474" s="256"/>
      <c r="AF1474" s="256"/>
    </row>
    <row r="1475" spans="4:32" x14ac:dyDescent="0.3">
      <c r="D1475" s="513"/>
      <c r="E1475" s="513"/>
      <c r="F1475" s="515"/>
      <c r="G1475" s="515"/>
      <c r="I1475" s="513"/>
      <c r="J1475" s="255"/>
      <c r="K1475" s="255"/>
      <c r="L1475" s="513"/>
      <c r="M1475" s="322"/>
      <c r="N1475" s="244"/>
      <c r="P1475" s="252"/>
      <c r="Q1475" s="252"/>
      <c r="R1475" s="252"/>
      <c r="S1475" s="256"/>
      <c r="T1475" s="256"/>
      <c r="U1475" s="256"/>
      <c r="V1475" s="252"/>
      <c r="W1475" s="524"/>
      <c r="X1475" s="256"/>
      <c r="Y1475" s="252"/>
      <c r="AA1475" s="257"/>
      <c r="AD1475" s="244"/>
      <c r="AE1475" s="256"/>
      <c r="AF1475" s="256"/>
    </row>
    <row r="1476" spans="4:32" x14ac:dyDescent="0.3">
      <c r="D1476" s="513"/>
      <c r="E1476" s="513"/>
      <c r="F1476" s="515"/>
      <c r="G1476" s="515"/>
      <c r="I1476" s="513"/>
      <c r="J1476" s="255"/>
      <c r="K1476" s="255"/>
      <c r="L1476" s="513"/>
      <c r="M1476" s="322"/>
      <c r="N1476" s="244"/>
      <c r="P1476" s="252"/>
      <c r="Q1476" s="252"/>
      <c r="R1476" s="252"/>
      <c r="S1476" s="256"/>
      <c r="T1476" s="256"/>
      <c r="U1476" s="256"/>
      <c r="V1476" s="252"/>
      <c r="W1476" s="524"/>
      <c r="X1476" s="256"/>
      <c r="Y1476" s="252"/>
      <c r="AA1476" s="257"/>
      <c r="AD1476" s="244"/>
      <c r="AE1476" s="256"/>
      <c r="AF1476" s="256"/>
    </row>
    <row r="1477" spans="4:32" x14ac:dyDescent="0.3">
      <c r="D1477" s="513"/>
      <c r="E1477" s="513"/>
      <c r="F1477" s="515"/>
      <c r="G1477" s="515"/>
      <c r="I1477" s="513"/>
      <c r="J1477" s="255"/>
      <c r="K1477" s="255"/>
      <c r="L1477" s="513"/>
      <c r="M1477" s="322"/>
      <c r="N1477" s="244"/>
      <c r="P1477" s="252"/>
      <c r="Q1477" s="252"/>
      <c r="R1477" s="252"/>
      <c r="S1477" s="256"/>
      <c r="T1477" s="256"/>
      <c r="U1477" s="256"/>
      <c r="V1477" s="252"/>
      <c r="W1477" s="524"/>
      <c r="X1477" s="256"/>
      <c r="Y1477" s="252"/>
      <c r="AA1477" s="257"/>
      <c r="AD1477" s="244"/>
      <c r="AE1477" s="256"/>
      <c r="AF1477" s="256"/>
    </row>
    <row r="1478" spans="4:32" x14ac:dyDescent="0.3">
      <c r="D1478" s="513"/>
      <c r="E1478" s="513"/>
      <c r="F1478" s="515"/>
      <c r="G1478" s="515"/>
      <c r="I1478" s="513"/>
      <c r="J1478" s="255"/>
      <c r="K1478" s="255"/>
      <c r="L1478" s="513"/>
      <c r="M1478" s="322"/>
      <c r="N1478" s="244"/>
      <c r="P1478" s="252"/>
      <c r="Q1478" s="252"/>
      <c r="R1478" s="252"/>
      <c r="S1478" s="256"/>
      <c r="T1478" s="256"/>
      <c r="U1478" s="256"/>
      <c r="V1478" s="252"/>
      <c r="W1478" s="524"/>
      <c r="X1478" s="256"/>
      <c r="Y1478" s="252"/>
      <c r="AA1478" s="257"/>
      <c r="AD1478" s="244"/>
      <c r="AE1478" s="256"/>
      <c r="AF1478" s="256"/>
    </row>
    <row r="1479" spans="4:32" x14ac:dyDescent="0.3">
      <c r="D1479" s="513"/>
      <c r="E1479" s="513"/>
      <c r="F1479" s="515"/>
      <c r="G1479" s="515"/>
      <c r="I1479" s="513"/>
      <c r="J1479" s="255"/>
      <c r="K1479" s="255"/>
      <c r="L1479" s="513"/>
      <c r="M1479" s="322"/>
      <c r="N1479" s="244"/>
      <c r="P1479" s="252"/>
      <c r="Q1479" s="252"/>
      <c r="R1479" s="252"/>
      <c r="S1479" s="256"/>
      <c r="T1479" s="256"/>
      <c r="U1479" s="256"/>
      <c r="V1479" s="252"/>
      <c r="W1479" s="524"/>
      <c r="X1479" s="256"/>
      <c r="Y1479" s="252"/>
      <c r="AA1479" s="257"/>
      <c r="AD1479" s="244"/>
      <c r="AE1479" s="256"/>
      <c r="AF1479" s="256"/>
    </row>
    <row r="1480" spans="4:32" x14ac:dyDescent="0.3">
      <c r="D1480" s="513"/>
      <c r="E1480" s="513"/>
      <c r="F1480" s="515"/>
      <c r="G1480" s="515"/>
      <c r="I1480" s="513"/>
      <c r="J1480" s="255"/>
      <c r="K1480" s="255"/>
      <c r="L1480" s="513"/>
      <c r="M1480" s="322"/>
      <c r="N1480" s="244"/>
      <c r="P1480" s="252"/>
      <c r="Q1480" s="252"/>
      <c r="R1480" s="252"/>
      <c r="S1480" s="256"/>
      <c r="T1480" s="256"/>
      <c r="U1480" s="256"/>
      <c r="V1480" s="252"/>
      <c r="W1480" s="524"/>
      <c r="X1480" s="256"/>
      <c r="Y1480" s="252"/>
      <c r="AA1480" s="257"/>
      <c r="AD1480" s="244"/>
      <c r="AE1480" s="256"/>
      <c r="AF1480" s="256"/>
    </row>
    <row r="1481" spans="4:32" x14ac:dyDescent="0.3">
      <c r="D1481" s="513"/>
      <c r="E1481" s="513"/>
      <c r="F1481" s="515"/>
      <c r="G1481" s="515"/>
      <c r="I1481" s="513"/>
      <c r="J1481" s="255"/>
      <c r="K1481" s="255"/>
      <c r="L1481" s="513"/>
      <c r="M1481" s="322"/>
      <c r="N1481" s="244"/>
      <c r="P1481" s="252"/>
      <c r="Q1481" s="252"/>
      <c r="R1481" s="252"/>
      <c r="S1481" s="256"/>
      <c r="T1481" s="256"/>
      <c r="U1481" s="256"/>
      <c r="V1481" s="252"/>
      <c r="W1481" s="524"/>
      <c r="X1481" s="256"/>
      <c r="Y1481" s="252"/>
      <c r="AA1481" s="257"/>
      <c r="AD1481" s="244"/>
      <c r="AE1481" s="256"/>
      <c r="AF1481" s="256"/>
    </row>
    <row r="1482" spans="4:32" x14ac:dyDescent="0.3">
      <c r="D1482" s="513"/>
      <c r="E1482" s="513"/>
      <c r="F1482" s="515"/>
      <c r="G1482" s="515"/>
      <c r="I1482" s="513"/>
      <c r="J1482" s="255"/>
      <c r="K1482" s="255"/>
      <c r="L1482" s="513"/>
      <c r="M1482" s="322"/>
      <c r="N1482" s="244"/>
      <c r="P1482" s="252"/>
      <c r="Q1482" s="252"/>
      <c r="R1482" s="252"/>
      <c r="S1482" s="256"/>
      <c r="T1482" s="256"/>
      <c r="U1482" s="256"/>
      <c r="V1482" s="252"/>
      <c r="W1482" s="524"/>
      <c r="X1482" s="256"/>
      <c r="Y1482" s="252"/>
      <c r="AA1482" s="257"/>
      <c r="AD1482" s="244"/>
      <c r="AE1482" s="256"/>
      <c r="AF1482" s="256"/>
    </row>
    <row r="1483" spans="4:32" x14ac:dyDescent="0.3">
      <c r="D1483" s="513"/>
      <c r="E1483" s="513"/>
      <c r="F1483" s="515"/>
      <c r="G1483" s="515"/>
      <c r="I1483" s="513"/>
      <c r="J1483" s="255"/>
      <c r="K1483" s="255"/>
      <c r="L1483" s="513"/>
      <c r="M1483" s="322"/>
      <c r="N1483" s="244"/>
      <c r="P1483" s="252"/>
      <c r="Q1483" s="252"/>
      <c r="R1483" s="252"/>
      <c r="S1483" s="256"/>
      <c r="T1483" s="256"/>
      <c r="U1483" s="256"/>
      <c r="V1483" s="252"/>
      <c r="W1483" s="524"/>
      <c r="X1483" s="256"/>
      <c r="Y1483" s="252"/>
      <c r="AA1483" s="257"/>
      <c r="AD1483" s="244"/>
      <c r="AE1483" s="256"/>
      <c r="AF1483" s="256"/>
    </row>
    <row r="1484" spans="4:32" x14ac:dyDescent="0.3">
      <c r="D1484" s="513"/>
      <c r="E1484" s="513"/>
      <c r="F1484" s="515"/>
      <c r="G1484" s="515"/>
      <c r="I1484" s="513"/>
      <c r="J1484" s="255"/>
      <c r="K1484" s="255"/>
      <c r="L1484" s="513"/>
      <c r="M1484" s="322"/>
      <c r="N1484" s="244"/>
      <c r="P1484" s="252"/>
      <c r="Q1484" s="252"/>
      <c r="R1484" s="252"/>
      <c r="S1484" s="256"/>
      <c r="T1484" s="256"/>
      <c r="U1484" s="256"/>
      <c r="V1484" s="252"/>
      <c r="W1484" s="524"/>
      <c r="X1484" s="256"/>
      <c r="Y1484" s="252"/>
      <c r="AA1484" s="257"/>
      <c r="AD1484" s="244"/>
      <c r="AE1484" s="256"/>
      <c r="AF1484" s="256"/>
    </row>
    <row r="1485" spans="4:32" x14ac:dyDescent="0.3">
      <c r="D1485" s="513"/>
      <c r="E1485" s="513"/>
      <c r="F1485" s="515"/>
      <c r="G1485" s="515"/>
      <c r="I1485" s="513"/>
      <c r="J1485" s="255"/>
      <c r="K1485" s="255"/>
      <c r="L1485" s="513"/>
      <c r="M1485" s="322"/>
      <c r="N1485" s="244"/>
      <c r="P1485" s="252"/>
      <c r="Q1485" s="252"/>
      <c r="R1485" s="252"/>
      <c r="S1485" s="256"/>
      <c r="T1485" s="256"/>
      <c r="U1485" s="256"/>
      <c r="V1485" s="252"/>
      <c r="W1485" s="524"/>
      <c r="X1485" s="256"/>
      <c r="Y1485" s="252"/>
      <c r="AA1485" s="257"/>
      <c r="AD1485" s="244"/>
      <c r="AE1485" s="256"/>
      <c r="AF1485" s="256"/>
    </row>
    <row r="1486" spans="4:32" x14ac:dyDescent="0.3">
      <c r="D1486" s="513"/>
      <c r="E1486" s="513"/>
      <c r="F1486" s="515"/>
      <c r="G1486" s="515"/>
      <c r="I1486" s="513"/>
      <c r="J1486" s="255"/>
      <c r="K1486" s="255"/>
      <c r="L1486" s="513"/>
      <c r="M1486" s="244"/>
      <c r="N1486" s="244"/>
      <c r="P1486" s="252"/>
      <c r="Q1486" s="252"/>
      <c r="R1486" s="252"/>
      <c r="S1486" s="256"/>
      <c r="T1486" s="256"/>
      <c r="U1486" s="256"/>
      <c r="V1486" s="252"/>
      <c r="W1486" s="524"/>
      <c r="X1486" s="256"/>
      <c r="Y1486" s="252"/>
      <c r="AA1486" s="257"/>
      <c r="AD1486" s="244"/>
      <c r="AE1486" s="256"/>
      <c r="AF1486" s="256"/>
    </row>
    <row r="1487" spans="4:32" x14ac:dyDescent="0.3">
      <c r="D1487" s="513"/>
      <c r="E1487" s="513"/>
      <c r="F1487" s="515"/>
      <c r="G1487" s="515"/>
      <c r="I1487" s="513"/>
      <c r="J1487" s="255"/>
      <c r="K1487" s="255"/>
      <c r="L1487" s="513"/>
      <c r="M1487" s="244"/>
      <c r="N1487" s="244"/>
      <c r="O1487" s="244"/>
      <c r="P1487" s="252"/>
      <c r="Q1487" s="252"/>
      <c r="R1487" s="252"/>
      <c r="S1487" s="256"/>
      <c r="T1487" s="256"/>
      <c r="U1487" s="256"/>
      <c r="V1487" s="252"/>
      <c r="W1487" s="524"/>
      <c r="X1487" s="256"/>
      <c r="Y1487" s="252"/>
      <c r="AA1487" s="257"/>
      <c r="AD1487" s="244"/>
      <c r="AE1487" s="256"/>
      <c r="AF1487" s="256"/>
    </row>
    <row r="1488" spans="4:32" x14ac:dyDescent="0.3">
      <c r="D1488" s="513"/>
      <c r="E1488" s="513"/>
      <c r="F1488" s="515"/>
      <c r="G1488" s="515"/>
      <c r="I1488" s="513"/>
      <c r="J1488" s="255"/>
      <c r="K1488" s="255"/>
      <c r="L1488" s="513"/>
      <c r="M1488" s="244"/>
      <c r="N1488" s="244"/>
      <c r="O1488" s="244"/>
      <c r="P1488" s="252"/>
      <c r="Q1488" s="252"/>
      <c r="R1488" s="252"/>
      <c r="S1488" s="256"/>
      <c r="T1488" s="256"/>
      <c r="U1488" s="256"/>
      <c r="V1488" s="252"/>
      <c r="W1488" s="524"/>
      <c r="X1488" s="256"/>
      <c r="Y1488" s="252"/>
      <c r="AA1488" s="257"/>
      <c r="AD1488" s="244"/>
      <c r="AE1488" s="256"/>
      <c r="AF1488" s="256"/>
    </row>
    <row r="1489" spans="4:32" x14ac:dyDescent="0.3">
      <c r="D1489" s="513"/>
      <c r="E1489" s="513"/>
      <c r="F1489" s="515"/>
      <c r="G1489" s="515"/>
      <c r="I1489" s="513"/>
      <c r="J1489" s="255"/>
      <c r="K1489" s="255"/>
      <c r="L1489" s="513"/>
      <c r="M1489" s="244"/>
      <c r="N1489" s="244"/>
      <c r="P1489" s="252"/>
      <c r="Q1489" s="252"/>
      <c r="R1489" s="252"/>
      <c r="S1489" s="256"/>
      <c r="T1489" s="256"/>
      <c r="U1489" s="256"/>
      <c r="V1489" s="252"/>
      <c r="W1489" s="524"/>
      <c r="X1489" s="256"/>
      <c r="Y1489" s="252"/>
      <c r="AA1489" s="257"/>
      <c r="AD1489" s="244"/>
      <c r="AE1489" s="256"/>
      <c r="AF1489" s="256"/>
    </row>
    <row r="1490" spans="4:32" x14ac:dyDescent="0.3">
      <c r="D1490" s="513"/>
      <c r="E1490" s="513"/>
      <c r="F1490" s="515"/>
      <c r="G1490" s="515"/>
      <c r="I1490" s="513"/>
      <c r="J1490" s="255"/>
      <c r="K1490" s="255"/>
      <c r="L1490" s="513"/>
      <c r="M1490" s="244"/>
      <c r="N1490" s="244"/>
      <c r="O1490" s="244"/>
      <c r="P1490" s="252"/>
      <c r="Q1490" s="252"/>
      <c r="R1490" s="252"/>
      <c r="S1490" s="256"/>
      <c r="T1490" s="256"/>
      <c r="U1490" s="256"/>
      <c r="V1490" s="252"/>
      <c r="W1490" s="524"/>
      <c r="X1490" s="256"/>
      <c r="Y1490" s="252"/>
      <c r="AA1490" s="257"/>
      <c r="AD1490" s="244"/>
      <c r="AE1490" s="256"/>
      <c r="AF1490" s="256"/>
    </row>
    <row r="1491" spans="4:32" x14ac:dyDescent="0.3">
      <c r="D1491" s="513"/>
      <c r="E1491" s="513"/>
      <c r="F1491" s="515"/>
      <c r="G1491" s="515"/>
      <c r="I1491" s="513"/>
      <c r="J1491" s="255"/>
      <c r="K1491" s="255"/>
      <c r="L1491" s="513"/>
      <c r="M1491" s="244"/>
      <c r="N1491" s="244"/>
      <c r="O1491" s="244"/>
      <c r="P1491" s="252"/>
      <c r="Q1491" s="252"/>
      <c r="R1491" s="252"/>
      <c r="S1491" s="256"/>
      <c r="T1491" s="256"/>
      <c r="U1491" s="256"/>
      <c r="V1491" s="252"/>
      <c r="W1491" s="524"/>
      <c r="X1491" s="256"/>
      <c r="Y1491" s="252"/>
      <c r="AA1491" s="257"/>
      <c r="AD1491" s="244"/>
      <c r="AE1491" s="256"/>
      <c r="AF1491" s="256"/>
    </row>
    <row r="1492" spans="4:32" x14ac:dyDescent="0.3">
      <c r="D1492" s="513"/>
      <c r="E1492" s="513"/>
      <c r="F1492" s="515"/>
      <c r="G1492" s="515"/>
      <c r="I1492" s="513"/>
      <c r="J1492" s="255"/>
      <c r="K1492" s="255"/>
      <c r="L1492" s="513"/>
      <c r="M1492" s="244"/>
      <c r="N1492" s="244"/>
      <c r="P1492" s="252"/>
      <c r="Q1492" s="252"/>
      <c r="R1492" s="252"/>
      <c r="S1492" s="256"/>
      <c r="T1492" s="256"/>
      <c r="U1492" s="256"/>
      <c r="V1492" s="252"/>
      <c r="W1492" s="524"/>
      <c r="X1492" s="256"/>
      <c r="Y1492" s="252"/>
      <c r="AA1492" s="257"/>
      <c r="AD1492" s="244"/>
      <c r="AE1492" s="256"/>
      <c r="AF1492" s="256"/>
    </row>
    <row r="1493" spans="4:32" x14ac:dyDescent="0.3">
      <c r="D1493" s="513"/>
      <c r="E1493" s="513"/>
      <c r="F1493" s="515"/>
      <c r="G1493" s="515"/>
      <c r="I1493" s="513"/>
      <c r="J1493" s="255"/>
      <c r="K1493" s="255"/>
      <c r="L1493" s="513"/>
      <c r="M1493" s="244"/>
      <c r="N1493" s="244"/>
      <c r="O1493" s="244"/>
      <c r="P1493" s="252"/>
      <c r="Q1493" s="252"/>
      <c r="R1493" s="252"/>
      <c r="S1493" s="256"/>
      <c r="T1493" s="256"/>
      <c r="U1493" s="256"/>
      <c r="V1493" s="252"/>
      <c r="W1493" s="524"/>
      <c r="X1493" s="256"/>
      <c r="Y1493" s="252"/>
      <c r="AA1493" s="257"/>
      <c r="AD1493" s="244"/>
      <c r="AE1493" s="256"/>
      <c r="AF1493" s="256"/>
    </row>
    <row r="1494" spans="4:32" x14ac:dyDescent="0.3">
      <c r="D1494" s="513"/>
      <c r="E1494" s="513"/>
      <c r="F1494" s="515"/>
      <c r="G1494" s="515"/>
      <c r="I1494" s="513"/>
      <c r="J1494" s="255"/>
      <c r="K1494" s="255"/>
      <c r="L1494" s="513"/>
      <c r="M1494" s="244"/>
      <c r="N1494" s="244"/>
      <c r="O1494" s="244"/>
      <c r="P1494" s="252"/>
      <c r="Q1494" s="252"/>
      <c r="R1494" s="252"/>
      <c r="S1494" s="256"/>
      <c r="T1494" s="256"/>
      <c r="U1494" s="256"/>
      <c r="V1494" s="252"/>
      <c r="W1494" s="524"/>
      <c r="X1494" s="256"/>
      <c r="Y1494" s="252"/>
      <c r="AA1494" s="257"/>
      <c r="AD1494" s="244"/>
      <c r="AE1494" s="256"/>
      <c r="AF1494" s="256"/>
    </row>
    <row r="1495" spans="4:32" x14ac:dyDescent="0.3">
      <c r="D1495" s="513"/>
      <c r="E1495" s="513"/>
      <c r="F1495" s="515"/>
      <c r="G1495" s="515"/>
      <c r="I1495" s="513"/>
      <c r="J1495" s="255"/>
      <c r="K1495" s="255"/>
      <c r="L1495" s="513"/>
      <c r="M1495" s="244"/>
      <c r="N1495" s="244"/>
      <c r="P1495" s="252"/>
      <c r="Q1495" s="252"/>
      <c r="R1495" s="252"/>
      <c r="S1495" s="256"/>
      <c r="T1495" s="256"/>
      <c r="U1495" s="256"/>
      <c r="V1495" s="252"/>
      <c r="W1495" s="524"/>
      <c r="X1495" s="256"/>
      <c r="Y1495" s="252"/>
      <c r="AA1495" s="257"/>
      <c r="AD1495" s="244"/>
      <c r="AE1495" s="256"/>
      <c r="AF1495" s="256"/>
    </row>
    <row r="1496" spans="4:32" x14ac:dyDescent="0.3">
      <c r="D1496" s="513"/>
      <c r="E1496" s="513"/>
      <c r="F1496" s="515"/>
      <c r="G1496" s="515"/>
      <c r="I1496" s="513"/>
      <c r="J1496" s="255"/>
      <c r="K1496" s="255"/>
      <c r="L1496" s="513"/>
      <c r="M1496" s="244"/>
      <c r="N1496" s="244"/>
      <c r="O1496" s="244"/>
      <c r="P1496" s="252"/>
      <c r="Q1496" s="252"/>
      <c r="R1496" s="252"/>
      <c r="S1496" s="256"/>
      <c r="T1496" s="256"/>
      <c r="U1496" s="256"/>
      <c r="V1496" s="252"/>
      <c r="W1496" s="524"/>
      <c r="X1496" s="256"/>
      <c r="Y1496" s="252"/>
      <c r="AA1496" s="257"/>
      <c r="AD1496" s="244"/>
      <c r="AE1496" s="256"/>
      <c r="AF1496" s="256"/>
    </row>
    <row r="1497" spans="4:32" x14ac:dyDescent="0.3">
      <c r="D1497" s="513"/>
      <c r="E1497" s="513"/>
      <c r="F1497" s="515"/>
      <c r="G1497" s="515"/>
      <c r="I1497" s="513"/>
      <c r="J1497" s="255"/>
      <c r="K1497" s="255"/>
      <c r="L1497" s="513"/>
      <c r="M1497" s="244"/>
      <c r="N1497" s="244"/>
      <c r="O1497" s="244"/>
      <c r="P1497" s="252"/>
      <c r="Q1497" s="252"/>
      <c r="R1497" s="252"/>
      <c r="S1497" s="256"/>
      <c r="T1497" s="256"/>
      <c r="U1497" s="256"/>
      <c r="V1497" s="252"/>
      <c r="W1497" s="524"/>
      <c r="X1497" s="256"/>
      <c r="Y1497" s="252"/>
      <c r="AA1497" s="257"/>
      <c r="AD1497" s="244"/>
      <c r="AE1497" s="256"/>
      <c r="AF1497" s="256"/>
    </row>
    <row r="1498" spans="4:32" x14ac:dyDescent="0.3">
      <c r="D1498" s="513"/>
      <c r="E1498" s="513"/>
      <c r="F1498" s="515"/>
      <c r="G1498" s="515"/>
      <c r="I1498" s="513"/>
      <c r="J1498" s="255"/>
      <c r="K1498" s="255"/>
      <c r="L1498" s="513"/>
      <c r="M1498" s="244"/>
      <c r="N1498" s="244"/>
      <c r="P1498" s="252"/>
      <c r="Q1498" s="252"/>
      <c r="R1498" s="252"/>
      <c r="S1498" s="256"/>
      <c r="T1498" s="256"/>
      <c r="U1498" s="256"/>
      <c r="V1498" s="252"/>
      <c r="W1498" s="524"/>
      <c r="X1498" s="256"/>
      <c r="Y1498" s="252"/>
      <c r="AA1498" s="257"/>
      <c r="AD1498" s="244"/>
      <c r="AE1498" s="256"/>
      <c r="AF1498" s="256"/>
    </row>
    <row r="1499" spans="4:32" x14ac:dyDescent="0.3">
      <c r="D1499" s="513"/>
      <c r="E1499" s="513"/>
      <c r="F1499" s="515"/>
      <c r="G1499" s="515"/>
      <c r="I1499" s="513"/>
      <c r="J1499" s="255"/>
      <c r="K1499" s="255"/>
      <c r="L1499" s="513"/>
      <c r="M1499" s="244"/>
      <c r="N1499" s="244"/>
      <c r="O1499" s="244"/>
      <c r="P1499" s="252"/>
      <c r="Q1499" s="252"/>
      <c r="R1499" s="252"/>
      <c r="S1499" s="256"/>
      <c r="T1499" s="256"/>
      <c r="U1499" s="256"/>
      <c r="V1499" s="252"/>
      <c r="W1499" s="524"/>
      <c r="X1499" s="256"/>
      <c r="Y1499" s="252"/>
      <c r="AA1499" s="257"/>
      <c r="AD1499" s="244"/>
      <c r="AE1499" s="256"/>
      <c r="AF1499" s="256"/>
    </row>
    <row r="1500" spans="4:32" x14ac:dyDescent="0.3">
      <c r="D1500" s="513"/>
      <c r="E1500" s="513"/>
      <c r="F1500" s="515"/>
      <c r="G1500" s="515"/>
      <c r="I1500" s="513"/>
      <c r="J1500" s="255"/>
      <c r="K1500" s="255"/>
      <c r="L1500" s="513"/>
      <c r="M1500" s="244"/>
      <c r="N1500" s="244"/>
      <c r="O1500" s="244"/>
      <c r="P1500" s="252"/>
      <c r="Q1500" s="252"/>
      <c r="R1500" s="252"/>
      <c r="S1500" s="256"/>
      <c r="T1500" s="256"/>
      <c r="U1500" s="256"/>
      <c r="V1500" s="252"/>
      <c r="W1500" s="524"/>
      <c r="X1500" s="256"/>
      <c r="Y1500" s="252"/>
      <c r="AA1500" s="257"/>
      <c r="AD1500" s="244"/>
      <c r="AE1500" s="256"/>
      <c r="AF1500" s="256"/>
    </row>
    <row r="1501" spans="4:32" x14ac:dyDescent="0.3">
      <c r="D1501" s="513"/>
      <c r="E1501" s="513"/>
      <c r="F1501" s="515"/>
      <c r="G1501" s="515"/>
      <c r="I1501" s="513"/>
      <c r="J1501" s="255"/>
      <c r="K1501" s="255"/>
      <c r="L1501" s="513"/>
      <c r="M1501" s="244"/>
      <c r="N1501" s="244"/>
      <c r="P1501" s="252"/>
      <c r="Q1501" s="252"/>
      <c r="R1501" s="252"/>
      <c r="S1501" s="256"/>
      <c r="T1501" s="256"/>
      <c r="U1501" s="256"/>
      <c r="V1501" s="252"/>
      <c r="W1501" s="524"/>
      <c r="X1501" s="256"/>
      <c r="Y1501" s="252"/>
      <c r="AA1501" s="257"/>
      <c r="AD1501" s="244"/>
      <c r="AE1501" s="256"/>
      <c r="AF1501" s="256"/>
    </row>
    <row r="1502" spans="4:32" x14ac:dyDescent="0.3">
      <c r="D1502" s="513"/>
      <c r="E1502" s="513"/>
      <c r="F1502" s="515"/>
      <c r="G1502" s="515"/>
      <c r="I1502" s="513"/>
      <c r="J1502" s="255"/>
      <c r="K1502" s="255"/>
      <c r="L1502" s="513"/>
      <c r="M1502" s="244"/>
      <c r="N1502" s="244"/>
      <c r="O1502" s="244"/>
      <c r="P1502" s="252"/>
      <c r="Q1502" s="252"/>
      <c r="R1502" s="252"/>
      <c r="S1502" s="256"/>
      <c r="T1502" s="256"/>
      <c r="U1502" s="256"/>
      <c r="V1502" s="252"/>
      <c r="W1502" s="524"/>
      <c r="X1502" s="256"/>
      <c r="Y1502" s="252"/>
      <c r="AA1502" s="257"/>
      <c r="AD1502" s="244"/>
      <c r="AE1502" s="256"/>
      <c r="AF1502" s="256"/>
    </row>
    <row r="1503" spans="4:32" x14ac:dyDescent="0.3">
      <c r="D1503" s="513"/>
      <c r="E1503" s="513"/>
      <c r="F1503" s="515"/>
      <c r="G1503" s="515"/>
      <c r="I1503" s="513"/>
      <c r="J1503" s="255"/>
      <c r="K1503" s="255"/>
      <c r="L1503" s="513"/>
      <c r="M1503" s="244"/>
      <c r="N1503" s="244"/>
      <c r="O1503" s="244"/>
      <c r="P1503" s="252"/>
      <c r="Q1503" s="252"/>
      <c r="R1503" s="252"/>
      <c r="S1503" s="256"/>
      <c r="T1503" s="256"/>
      <c r="U1503" s="256"/>
      <c r="V1503" s="252"/>
      <c r="W1503" s="524"/>
      <c r="X1503" s="256"/>
      <c r="Y1503" s="252"/>
      <c r="AA1503" s="257"/>
      <c r="AD1503" s="244"/>
      <c r="AE1503" s="256"/>
      <c r="AF1503" s="256"/>
    </row>
    <row r="1504" spans="4:32" x14ac:dyDescent="0.3">
      <c r="D1504" s="513"/>
      <c r="E1504" s="513"/>
      <c r="F1504" s="515"/>
      <c r="G1504" s="515"/>
      <c r="I1504" s="513"/>
      <c r="J1504" s="255"/>
      <c r="K1504" s="255"/>
      <c r="L1504" s="513"/>
      <c r="M1504" s="244"/>
      <c r="N1504" s="244"/>
      <c r="P1504" s="252"/>
      <c r="Q1504" s="252"/>
      <c r="R1504" s="252"/>
      <c r="S1504" s="256"/>
      <c r="T1504" s="256"/>
      <c r="U1504" s="256"/>
      <c r="V1504" s="252"/>
      <c r="W1504" s="524"/>
      <c r="X1504" s="256"/>
      <c r="Y1504" s="252"/>
      <c r="AA1504" s="257"/>
      <c r="AD1504" s="244"/>
      <c r="AE1504" s="256"/>
      <c r="AF1504" s="256"/>
    </row>
    <row r="1505" spans="4:32" x14ac:dyDescent="0.3">
      <c r="D1505" s="513"/>
      <c r="E1505" s="513"/>
      <c r="F1505" s="515"/>
      <c r="G1505" s="515"/>
      <c r="I1505" s="513"/>
      <c r="J1505" s="255"/>
      <c r="K1505" s="255"/>
      <c r="L1505" s="513"/>
      <c r="M1505" s="244"/>
      <c r="N1505" s="244"/>
      <c r="O1505" s="244"/>
      <c r="P1505" s="252"/>
      <c r="Q1505" s="252"/>
      <c r="R1505" s="252"/>
      <c r="S1505" s="256"/>
      <c r="T1505" s="256"/>
      <c r="U1505" s="256"/>
      <c r="V1505" s="252"/>
      <c r="W1505" s="524"/>
      <c r="X1505" s="256"/>
      <c r="Y1505" s="252"/>
      <c r="AA1505" s="257"/>
      <c r="AD1505" s="244"/>
      <c r="AE1505" s="256"/>
      <c r="AF1505" s="256"/>
    </row>
    <row r="1506" spans="4:32" x14ac:dyDescent="0.3">
      <c r="D1506" s="513"/>
      <c r="E1506" s="513"/>
      <c r="F1506" s="515"/>
      <c r="G1506" s="515"/>
      <c r="I1506" s="513"/>
      <c r="J1506" s="255"/>
      <c r="K1506" s="255"/>
      <c r="L1506" s="513"/>
      <c r="M1506" s="244"/>
      <c r="N1506" s="244"/>
      <c r="O1506" s="244"/>
      <c r="P1506" s="252"/>
      <c r="Q1506" s="252"/>
      <c r="R1506" s="252"/>
      <c r="S1506" s="256"/>
      <c r="T1506" s="256"/>
      <c r="U1506" s="256"/>
      <c r="V1506" s="252"/>
      <c r="W1506" s="524"/>
      <c r="X1506" s="256"/>
      <c r="Y1506" s="252"/>
      <c r="AA1506" s="257"/>
      <c r="AD1506" s="244"/>
      <c r="AE1506" s="256"/>
      <c r="AF1506" s="256"/>
    </row>
    <row r="1507" spans="4:32" x14ac:dyDescent="0.3">
      <c r="D1507" s="513"/>
      <c r="E1507" s="513"/>
      <c r="F1507" s="515"/>
      <c r="G1507" s="515"/>
      <c r="I1507" s="513"/>
      <c r="J1507" s="255"/>
      <c r="K1507" s="255"/>
      <c r="L1507" s="513"/>
      <c r="M1507" s="322"/>
      <c r="N1507" s="244"/>
      <c r="P1507" s="252"/>
      <c r="Q1507" s="252"/>
      <c r="R1507" s="252"/>
      <c r="S1507" s="256"/>
      <c r="T1507" s="256"/>
      <c r="U1507" s="256"/>
      <c r="V1507" s="252"/>
      <c r="W1507" s="524"/>
      <c r="X1507" s="256"/>
      <c r="Y1507" s="252"/>
      <c r="AA1507" s="257"/>
      <c r="AD1507" s="244"/>
      <c r="AE1507" s="256"/>
      <c r="AF1507" s="256"/>
    </row>
    <row r="1508" spans="4:32" x14ac:dyDescent="0.3">
      <c r="D1508" s="513"/>
      <c r="E1508" s="513"/>
      <c r="F1508" s="515"/>
      <c r="G1508" s="515"/>
      <c r="I1508" s="513"/>
      <c r="J1508" s="255"/>
      <c r="K1508" s="255"/>
      <c r="L1508" s="513"/>
      <c r="M1508" s="322"/>
      <c r="N1508" s="244"/>
      <c r="P1508" s="252"/>
      <c r="Q1508" s="252"/>
      <c r="R1508" s="252"/>
      <c r="S1508" s="256"/>
      <c r="T1508" s="256"/>
      <c r="U1508" s="256"/>
      <c r="V1508" s="252"/>
      <c r="W1508" s="524"/>
      <c r="X1508" s="256"/>
      <c r="Y1508" s="252"/>
      <c r="AA1508" s="257"/>
      <c r="AD1508" s="244"/>
      <c r="AE1508" s="256"/>
      <c r="AF1508" s="256"/>
    </row>
    <row r="1509" spans="4:32" x14ac:dyDescent="0.3">
      <c r="D1509" s="513"/>
      <c r="E1509" s="513"/>
      <c r="F1509" s="515"/>
      <c r="G1509" s="515"/>
      <c r="I1509" s="513"/>
      <c r="J1509" s="255"/>
      <c r="K1509" s="255"/>
      <c r="L1509" s="513"/>
      <c r="M1509" s="322"/>
      <c r="N1509" s="244"/>
      <c r="P1509" s="252"/>
      <c r="Q1509" s="252"/>
      <c r="R1509" s="252"/>
      <c r="S1509" s="256"/>
      <c r="T1509" s="256"/>
      <c r="U1509" s="256"/>
      <c r="V1509" s="252"/>
      <c r="W1509" s="524"/>
      <c r="X1509" s="256"/>
      <c r="Y1509" s="252"/>
      <c r="AA1509" s="257"/>
      <c r="AD1509" s="244"/>
      <c r="AE1509" s="256"/>
      <c r="AF1509" s="256"/>
    </row>
    <row r="1510" spans="4:32" x14ac:dyDescent="0.3">
      <c r="D1510" s="513"/>
      <c r="E1510" s="513"/>
      <c r="F1510" s="515"/>
      <c r="G1510" s="515"/>
      <c r="I1510" s="513"/>
      <c r="J1510" s="255"/>
      <c r="K1510" s="255"/>
      <c r="L1510" s="513"/>
      <c r="M1510" s="322"/>
      <c r="N1510" s="244"/>
      <c r="P1510" s="252"/>
      <c r="Q1510" s="252"/>
      <c r="R1510" s="252"/>
      <c r="S1510" s="256"/>
      <c r="T1510" s="256"/>
      <c r="U1510" s="256"/>
      <c r="V1510" s="252"/>
      <c r="W1510" s="524"/>
      <c r="X1510" s="256"/>
      <c r="Y1510" s="252"/>
      <c r="AA1510" s="257"/>
      <c r="AD1510" s="244"/>
      <c r="AE1510" s="256"/>
      <c r="AF1510" s="256"/>
    </row>
    <row r="1511" spans="4:32" x14ac:dyDescent="0.3">
      <c r="D1511" s="513"/>
      <c r="E1511" s="513"/>
      <c r="F1511" s="515"/>
      <c r="G1511" s="515"/>
      <c r="I1511" s="513"/>
      <c r="J1511" s="255"/>
      <c r="K1511" s="255"/>
      <c r="L1511" s="513"/>
      <c r="M1511" s="322"/>
      <c r="N1511" s="244"/>
      <c r="P1511" s="252"/>
      <c r="Q1511" s="252"/>
      <c r="R1511" s="252"/>
      <c r="S1511" s="256"/>
      <c r="T1511" s="256"/>
      <c r="U1511" s="256"/>
      <c r="V1511" s="252"/>
      <c r="W1511" s="524"/>
      <c r="X1511" s="256"/>
      <c r="Y1511" s="252"/>
      <c r="AA1511" s="257"/>
      <c r="AD1511" s="244"/>
      <c r="AE1511" s="256"/>
      <c r="AF1511" s="256"/>
    </row>
    <row r="1512" spans="4:32" x14ac:dyDescent="0.3">
      <c r="D1512" s="513"/>
      <c r="E1512" s="513"/>
      <c r="F1512" s="515"/>
      <c r="G1512" s="515"/>
      <c r="I1512" s="513"/>
      <c r="J1512" s="255"/>
      <c r="K1512" s="255"/>
      <c r="L1512" s="513"/>
      <c r="M1512" s="322"/>
      <c r="N1512" s="244"/>
      <c r="P1512" s="252"/>
      <c r="Q1512" s="252"/>
      <c r="R1512" s="252"/>
      <c r="S1512" s="256"/>
      <c r="T1512" s="256"/>
      <c r="U1512" s="256"/>
      <c r="V1512" s="252"/>
      <c r="W1512" s="524"/>
      <c r="X1512" s="256"/>
      <c r="Y1512" s="252"/>
      <c r="AA1512" s="257"/>
      <c r="AD1512" s="244"/>
      <c r="AE1512" s="256"/>
      <c r="AF1512" s="256"/>
    </row>
    <row r="1513" spans="4:32" x14ac:dyDescent="0.3">
      <c r="D1513" s="513"/>
      <c r="E1513" s="513"/>
      <c r="F1513" s="515"/>
      <c r="G1513" s="515"/>
      <c r="I1513" s="513"/>
      <c r="J1513" s="255"/>
      <c r="K1513" s="255"/>
      <c r="L1513" s="513"/>
      <c r="M1513" s="322"/>
      <c r="N1513" s="244"/>
      <c r="P1513" s="252"/>
      <c r="Q1513" s="252"/>
      <c r="R1513" s="252"/>
      <c r="S1513" s="256"/>
      <c r="T1513" s="256"/>
      <c r="U1513" s="256"/>
      <c r="V1513" s="252"/>
      <c r="W1513" s="524"/>
      <c r="X1513" s="256"/>
      <c r="Y1513" s="252"/>
      <c r="AA1513" s="257"/>
      <c r="AD1513" s="244"/>
      <c r="AE1513" s="256"/>
      <c r="AF1513" s="256"/>
    </row>
    <row r="1514" spans="4:32" x14ac:dyDescent="0.3">
      <c r="D1514" s="513"/>
      <c r="E1514" s="513"/>
      <c r="F1514" s="515"/>
      <c r="G1514" s="515"/>
      <c r="I1514" s="513"/>
      <c r="J1514" s="255"/>
      <c r="K1514" s="255"/>
      <c r="L1514" s="513"/>
      <c r="M1514" s="322"/>
      <c r="N1514" s="244"/>
      <c r="P1514" s="252"/>
      <c r="Q1514" s="252"/>
      <c r="R1514" s="252"/>
      <c r="S1514" s="256"/>
      <c r="T1514" s="256"/>
      <c r="U1514" s="256"/>
      <c r="V1514" s="252"/>
      <c r="W1514" s="524"/>
      <c r="X1514" s="256"/>
      <c r="Y1514" s="252"/>
      <c r="AA1514" s="257"/>
      <c r="AD1514" s="244"/>
      <c r="AE1514" s="256"/>
      <c r="AF1514" s="256"/>
    </row>
    <row r="1515" spans="4:32" x14ac:dyDescent="0.3">
      <c r="D1515" s="513"/>
      <c r="E1515" s="513"/>
      <c r="F1515" s="515"/>
      <c r="G1515" s="515"/>
      <c r="I1515" s="513"/>
      <c r="J1515" s="255"/>
      <c r="K1515" s="255"/>
      <c r="L1515" s="513"/>
      <c r="M1515" s="322"/>
      <c r="N1515" s="244"/>
      <c r="P1515" s="252"/>
      <c r="Q1515" s="252"/>
      <c r="R1515" s="252"/>
      <c r="S1515" s="256"/>
      <c r="T1515" s="256"/>
      <c r="U1515" s="256"/>
      <c r="V1515" s="252"/>
      <c r="W1515" s="524"/>
      <c r="X1515" s="256"/>
      <c r="Y1515" s="252"/>
      <c r="AA1515" s="257"/>
      <c r="AD1515" s="244"/>
      <c r="AE1515" s="256"/>
      <c r="AF1515" s="256"/>
    </row>
    <row r="1516" spans="4:32" x14ac:dyDescent="0.3">
      <c r="D1516" s="513"/>
      <c r="E1516" s="513"/>
      <c r="F1516" s="515"/>
      <c r="G1516" s="515"/>
      <c r="I1516" s="513"/>
      <c r="J1516" s="255"/>
      <c r="K1516" s="255"/>
      <c r="L1516" s="513"/>
      <c r="M1516" s="322"/>
      <c r="N1516" s="244"/>
      <c r="P1516" s="252"/>
      <c r="Q1516" s="252"/>
      <c r="R1516" s="252"/>
      <c r="S1516" s="256"/>
      <c r="T1516" s="256"/>
      <c r="U1516" s="256"/>
      <c r="V1516" s="252"/>
      <c r="W1516" s="524"/>
      <c r="X1516" s="256"/>
      <c r="Y1516" s="252"/>
      <c r="AA1516" s="257"/>
      <c r="AD1516" s="244"/>
      <c r="AE1516" s="256"/>
      <c r="AF1516" s="256"/>
    </row>
    <row r="1517" spans="4:32" x14ac:dyDescent="0.3">
      <c r="D1517" s="513"/>
      <c r="E1517" s="513"/>
      <c r="F1517" s="515"/>
      <c r="G1517" s="515"/>
      <c r="I1517" s="513"/>
      <c r="J1517" s="255"/>
      <c r="K1517" s="255"/>
      <c r="L1517" s="513"/>
      <c r="M1517" s="322"/>
      <c r="N1517" s="244"/>
      <c r="P1517" s="252"/>
      <c r="Q1517" s="252"/>
      <c r="R1517" s="252"/>
      <c r="S1517" s="256"/>
      <c r="T1517" s="256"/>
      <c r="U1517" s="256"/>
      <c r="V1517" s="252"/>
      <c r="W1517" s="524"/>
      <c r="X1517" s="256"/>
      <c r="Y1517" s="252"/>
      <c r="AA1517" s="257"/>
      <c r="AD1517" s="244"/>
      <c r="AE1517" s="256"/>
      <c r="AF1517" s="256"/>
    </row>
    <row r="1518" spans="4:32" x14ac:dyDescent="0.3">
      <c r="D1518" s="513"/>
      <c r="E1518" s="513"/>
      <c r="F1518" s="515"/>
      <c r="G1518" s="515"/>
      <c r="I1518" s="513"/>
      <c r="J1518" s="255"/>
      <c r="K1518" s="255"/>
      <c r="L1518" s="513"/>
      <c r="M1518" s="322"/>
      <c r="N1518" s="244"/>
      <c r="P1518" s="252"/>
      <c r="Q1518" s="252"/>
      <c r="R1518" s="252"/>
      <c r="S1518" s="256"/>
      <c r="T1518" s="256"/>
      <c r="U1518" s="256"/>
      <c r="V1518" s="252"/>
      <c r="W1518" s="524"/>
      <c r="X1518" s="256"/>
      <c r="Y1518" s="252"/>
      <c r="AA1518" s="257"/>
      <c r="AD1518" s="244"/>
      <c r="AE1518" s="256"/>
      <c r="AF1518" s="256"/>
    </row>
    <row r="1519" spans="4:32" x14ac:dyDescent="0.3">
      <c r="D1519" s="513"/>
      <c r="E1519" s="513"/>
      <c r="F1519" s="515"/>
      <c r="G1519" s="515"/>
      <c r="I1519" s="513"/>
      <c r="J1519" s="255"/>
      <c r="K1519" s="255"/>
      <c r="L1519" s="513"/>
      <c r="M1519" s="322"/>
      <c r="N1519" s="244"/>
      <c r="P1519" s="252"/>
      <c r="Q1519" s="252"/>
      <c r="R1519" s="252"/>
      <c r="S1519" s="256"/>
      <c r="T1519" s="256"/>
      <c r="U1519" s="256"/>
      <c r="V1519" s="252"/>
      <c r="W1519" s="524"/>
      <c r="X1519" s="256"/>
      <c r="Y1519" s="252"/>
      <c r="AA1519" s="257"/>
      <c r="AD1519" s="244"/>
      <c r="AE1519" s="256"/>
      <c r="AF1519" s="256"/>
    </row>
    <row r="1520" spans="4:32" x14ac:dyDescent="0.3">
      <c r="D1520" s="513"/>
      <c r="E1520" s="513"/>
      <c r="F1520" s="515"/>
      <c r="G1520" s="515"/>
      <c r="I1520" s="513"/>
      <c r="J1520" s="255"/>
      <c r="K1520" s="255"/>
      <c r="L1520" s="513"/>
      <c r="M1520" s="322"/>
      <c r="N1520" s="244"/>
      <c r="P1520" s="252"/>
      <c r="Q1520" s="252"/>
      <c r="R1520" s="252"/>
      <c r="S1520" s="256"/>
      <c r="T1520" s="256"/>
      <c r="U1520" s="256"/>
      <c r="V1520" s="252"/>
      <c r="W1520" s="524"/>
      <c r="X1520" s="256"/>
      <c r="Y1520" s="252"/>
      <c r="AA1520" s="257"/>
      <c r="AD1520" s="244"/>
      <c r="AE1520" s="256"/>
      <c r="AF1520" s="256"/>
    </row>
    <row r="1521" spans="4:32" x14ac:dyDescent="0.3">
      <c r="D1521" s="513"/>
      <c r="E1521" s="513"/>
      <c r="F1521" s="515"/>
      <c r="G1521" s="515"/>
      <c r="I1521" s="513"/>
      <c r="J1521" s="255"/>
      <c r="K1521" s="255"/>
      <c r="L1521" s="513"/>
      <c r="M1521" s="322"/>
      <c r="N1521" s="244"/>
      <c r="P1521" s="252"/>
      <c r="Q1521" s="252"/>
      <c r="R1521" s="252"/>
      <c r="S1521" s="256"/>
      <c r="T1521" s="256"/>
      <c r="U1521" s="256"/>
      <c r="V1521" s="252"/>
      <c r="W1521" s="524"/>
      <c r="X1521" s="256"/>
      <c r="Y1521" s="252"/>
      <c r="AA1521" s="257"/>
      <c r="AD1521" s="244"/>
      <c r="AE1521" s="256"/>
      <c r="AF1521" s="256"/>
    </row>
    <row r="1522" spans="4:32" x14ac:dyDescent="0.3">
      <c r="D1522" s="513"/>
      <c r="E1522" s="513"/>
      <c r="F1522" s="515"/>
      <c r="G1522" s="515"/>
      <c r="I1522" s="513"/>
      <c r="J1522" s="255"/>
      <c r="K1522" s="255"/>
      <c r="L1522" s="513"/>
      <c r="M1522" s="322"/>
      <c r="N1522" s="244"/>
      <c r="P1522" s="252"/>
      <c r="Q1522" s="252"/>
      <c r="R1522" s="252"/>
      <c r="S1522" s="256"/>
      <c r="T1522" s="256"/>
      <c r="U1522" s="256"/>
      <c r="V1522" s="252"/>
      <c r="W1522" s="524"/>
      <c r="X1522" s="256"/>
      <c r="Y1522" s="252"/>
      <c r="AA1522" s="257"/>
      <c r="AD1522" s="244"/>
      <c r="AE1522" s="256"/>
      <c r="AF1522" s="256"/>
    </row>
    <row r="1523" spans="4:32" x14ac:dyDescent="0.3">
      <c r="D1523" s="513"/>
      <c r="E1523" s="513"/>
      <c r="F1523" s="515"/>
      <c r="G1523" s="515"/>
      <c r="I1523" s="513"/>
      <c r="J1523" s="255"/>
      <c r="K1523" s="255"/>
      <c r="L1523" s="513"/>
      <c r="M1523" s="322"/>
      <c r="N1523" s="244"/>
      <c r="P1523" s="252"/>
      <c r="Q1523" s="252"/>
      <c r="R1523" s="252"/>
      <c r="S1523" s="256"/>
      <c r="T1523" s="256"/>
      <c r="U1523" s="256"/>
      <c r="V1523" s="252"/>
      <c r="W1523" s="524"/>
      <c r="X1523" s="256"/>
      <c r="Y1523" s="252"/>
      <c r="AA1523" s="257"/>
      <c r="AD1523" s="244"/>
      <c r="AE1523" s="256"/>
      <c r="AF1523" s="256"/>
    </row>
    <row r="1524" spans="4:32" x14ac:dyDescent="0.3">
      <c r="D1524" s="513"/>
      <c r="E1524" s="513"/>
      <c r="F1524" s="515"/>
      <c r="G1524" s="515"/>
      <c r="I1524" s="513"/>
      <c r="J1524" s="255"/>
      <c r="K1524" s="255"/>
      <c r="L1524" s="513"/>
      <c r="M1524" s="322"/>
      <c r="N1524" s="244"/>
      <c r="P1524" s="252"/>
      <c r="Q1524" s="252"/>
      <c r="R1524" s="252"/>
      <c r="S1524" s="256"/>
      <c r="T1524" s="256"/>
      <c r="U1524" s="256"/>
      <c r="V1524" s="252"/>
      <c r="W1524" s="524"/>
      <c r="X1524" s="256"/>
      <c r="Y1524" s="252"/>
      <c r="AA1524" s="257"/>
      <c r="AD1524" s="244"/>
      <c r="AE1524" s="256"/>
      <c r="AF1524" s="256"/>
    </row>
    <row r="1525" spans="4:32" x14ac:dyDescent="0.3">
      <c r="D1525" s="513"/>
      <c r="E1525" s="513"/>
      <c r="F1525" s="515"/>
      <c r="G1525" s="515"/>
      <c r="I1525" s="513"/>
      <c r="J1525" s="255"/>
      <c r="K1525" s="255"/>
      <c r="L1525" s="513"/>
      <c r="M1525" s="322"/>
      <c r="N1525" s="244"/>
      <c r="P1525" s="252"/>
      <c r="Q1525" s="252"/>
      <c r="R1525" s="252"/>
      <c r="S1525" s="256"/>
      <c r="T1525" s="256"/>
      <c r="U1525" s="256"/>
      <c r="V1525" s="252"/>
      <c r="W1525" s="524"/>
      <c r="X1525" s="256"/>
      <c r="Y1525" s="252"/>
      <c r="AA1525" s="257"/>
      <c r="AD1525" s="244"/>
      <c r="AE1525" s="256"/>
      <c r="AF1525" s="256"/>
    </row>
    <row r="1526" spans="4:32" x14ac:dyDescent="0.3">
      <c r="D1526" s="513"/>
      <c r="E1526" s="513"/>
      <c r="F1526" s="515"/>
      <c r="G1526" s="515"/>
      <c r="I1526" s="513"/>
      <c r="J1526" s="255"/>
      <c r="K1526" s="255"/>
      <c r="L1526" s="513"/>
      <c r="M1526" s="322"/>
      <c r="N1526" s="244"/>
      <c r="P1526" s="252"/>
      <c r="Q1526" s="252"/>
      <c r="R1526" s="252"/>
      <c r="S1526" s="256"/>
      <c r="T1526" s="256"/>
      <c r="U1526" s="256"/>
      <c r="V1526" s="252"/>
      <c r="W1526" s="524"/>
      <c r="X1526" s="256"/>
      <c r="Y1526" s="252"/>
      <c r="AA1526" s="257"/>
      <c r="AD1526" s="244"/>
      <c r="AE1526" s="256"/>
      <c r="AF1526" s="256"/>
    </row>
    <row r="1527" spans="4:32" x14ac:dyDescent="0.3">
      <c r="D1527" s="513"/>
      <c r="E1527" s="513"/>
      <c r="F1527" s="515"/>
      <c r="G1527" s="515"/>
      <c r="I1527" s="513"/>
      <c r="J1527" s="255"/>
      <c r="K1527" s="255"/>
      <c r="L1527" s="513"/>
      <c r="M1527" s="322"/>
      <c r="N1527" s="244"/>
      <c r="P1527" s="252"/>
      <c r="Q1527" s="252"/>
      <c r="R1527" s="252"/>
      <c r="S1527" s="256"/>
      <c r="T1527" s="256"/>
      <c r="U1527" s="256"/>
      <c r="V1527" s="252"/>
      <c r="W1527" s="524"/>
      <c r="X1527" s="256"/>
      <c r="Y1527" s="252"/>
      <c r="AA1527" s="257"/>
      <c r="AD1527" s="244"/>
      <c r="AE1527" s="256"/>
      <c r="AF1527" s="256"/>
    </row>
    <row r="1528" spans="4:32" x14ac:dyDescent="0.3">
      <c r="D1528" s="513"/>
      <c r="E1528" s="513"/>
      <c r="F1528" s="515"/>
      <c r="G1528" s="515"/>
      <c r="I1528" s="513"/>
      <c r="J1528" s="255"/>
      <c r="K1528" s="255"/>
      <c r="L1528" s="513"/>
      <c r="M1528" s="322"/>
      <c r="N1528" s="244"/>
      <c r="P1528" s="252"/>
      <c r="Q1528" s="252"/>
      <c r="R1528" s="252"/>
      <c r="S1528" s="256"/>
      <c r="T1528" s="256"/>
      <c r="U1528" s="256"/>
      <c r="V1528" s="252"/>
      <c r="W1528" s="524"/>
      <c r="X1528" s="256"/>
      <c r="Y1528" s="252"/>
      <c r="AA1528" s="257"/>
      <c r="AD1528" s="244"/>
      <c r="AE1528" s="256"/>
      <c r="AF1528" s="256"/>
    </row>
    <row r="1529" spans="4:32" x14ac:dyDescent="0.3">
      <c r="D1529" s="513"/>
      <c r="E1529" s="513"/>
      <c r="F1529" s="515"/>
      <c r="G1529" s="515"/>
      <c r="I1529" s="513"/>
      <c r="J1529" s="255"/>
      <c r="K1529" s="255"/>
      <c r="L1529" s="513"/>
      <c r="M1529" s="322"/>
      <c r="N1529" s="244"/>
      <c r="P1529" s="252"/>
      <c r="Q1529" s="252"/>
      <c r="R1529" s="252"/>
      <c r="S1529" s="256"/>
      <c r="T1529" s="256"/>
      <c r="U1529" s="256"/>
      <c r="V1529" s="252"/>
      <c r="W1529" s="524"/>
      <c r="X1529" s="256"/>
      <c r="Y1529" s="252"/>
      <c r="AA1529" s="257"/>
      <c r="AD1529" s="244"/>
      <c r="AE1529" s="256"/>
      <c r="AF1529" s="256"/>
    </row>
    <row r="1530" spans="4:32" x14ac:dyDescent="0.3">
      <c r="D1530" s="513"/>
      <c r="E1530" s="513"/>
      <c r="F1530" s="515"/>
      <c r="G1530" s="515"/>
      <c r="I1530" s="513"/>
      <c r="J1530" s="255"/>
      <c r="K1530" s="255"/>
      <c r="L1530" s="513"/>
      <c r="M1530" s="322"/>
      <c r="N1530" s="244"/>
      <c r="P1530" s="252"/>
      <c r="Q1530" s="252"/>
      <c r="R1530" s="252"/>
      <c r="S1530" s="256"/>
      <c r="T1530" s="256"/>
      <c r="U1530" s="256"/>
      <c r="V1530" s="252"/>
      <c r="W1530" s="524"/>
      <c r="X1530" s="256"/>
      <c r="Y1530" s="252"/>
      <c r="AA1530" s="257"/>
      <c r="AD1530" s="244"/>
      <c r="AE1530" s="256"/>
      <c r="AF1530" s="256"/>
    </row>
    <row r="1531" spans="4:32" x14ac:dyDescent="0.3">
      <c r="D1531" s="513"/>
      <c r="E1531" s="513"/>
      <c r="F1531" s="515"/>
      <c r="G1531" s="515"/>
      <c r="I1531" s="513"/>
      <c r="J1531" s="255"/>
      <c r="K1531" s="255"/>
      <c r="L1531" s="513"/>
      <c r="M1531" s="322"/>
      <c r="N1531" s="244"/>
      <c r="P1531" s="252"/>
      <c r="Q1531" s="252"/>
      <c r="R1531" s="252"/>
      <c r="S1531" s="256"/>
      <c r="T1531" s="256"/>
      <c r="U1531" s="256"/>
      <c r="V1531" s="252"/>
      <c r="W1531" s="524"/>
      <c r="X1531" s="256"/>
      <c r="Y1531" s="252"/>
      <c r="AA1531" s="257"/>
      <c r="AD1531" s="244"/>
      <c r="AE1531" s="256"/>
      <c r="AF1531" s="256"/>
    </row>
    <row r="1532" spans="4:32" x14ac:dyDescent="0.3">
      <c r="D1532" s="513"/>
      <c r="E1532" s="513"/>
      <c r="F1532" s="515"/>
      <c r="G1532" s="515"/>
      <c r="I1532" s="513"/>
      <c r="J1532" s="255"/>
      <c r="K1532" s="255"/>
      <c r="L1532" s="513"/>
      <c r="M1532" s="322"/>
      <c r="N1532" s="244"/>
      <c r="P1532" s="252"/>
      <c r="Q1532" s="252"/>
      <c r="R1532" s="252"/>
      <c r="S1532" s="256"/>
      <c r="T1532" s="256"/>
      <c r="U1532" s="256"/>
      <c r="V1532" s="252"/>
      <c r="W1532" s="524"/>
      <c r="X1532" s="256"/>
      <c r="Y1532" s="252"/>
      <c r="AA1532" s="257"/>
      <c r="AD1532" s="244"/>
      <c r="AE1532" s="256"/>
      <c r="AF1532" s="256"/>
    </row>
    <row r="1533" spans="4:32" x14ac:dyDescent="0.3">
      <c r="D1533" s="513"/>
      <c r="E1533" s="513"/>
      <c r="F1533" s="515"/>
      <c r="G1533" s="515"/>
      <c r="I1533" s="513"/>
      <c r="J1533" s="255"/>
      <c r="K1533" s="255"/>
      <c r="L1533" s="513"/>
      <c r="M1533" s="322"/>
      <c r="N1533" s="244"/>
      <c r="P1533" s="252"/>
      <c r="Q1533" s="252"/>
      <c r="R1533" s="252"/>
      <c r="S1533" s="256"/>
      <c r="T1533" s="256"/>
      <c r="U1533" s="256"/>
      <c r="V1533" s="252"/>
      <c r="W1533" s="524"/>
      <c r="X1533" s="256"/>
      <c r="Y1533" s="252"/>
      <c r="AA1533" s="257"/>
      <c r="AD1533" s="244"/>
      <c r="AE1533" s="256"/>
      <c r="AF1533" s="256"/>
    </row>
    <row r="1534" spans="4:32" x14ac:dyDescent="0.3">
      <c r="D1534" s="513"/>
      <c r="E1534" s="513"/>
      <c r="F1534" s="515"/>
      <c r="G1534" s="515"/>
      <c r="I1534" s="513"/>
      <c r="J1534" s="255"/>
      <c r="K1534" s="255"/>
      <c r="L1534" s="513"/>
      <c r="M1534" s="322"/>
      <c r="N1534" s="244"/>
      <c r="P1534" s="252"/>
      <c r="Q1534" s="252"/>
      <c r="R1534" s="252"/>
      <c r="S1534" s="256"/>
      <c r="T1534" s="256"/>
      <c r="U1534" s="256"/>
      <c r="V1534" s="252"/>
      <c r="W1534" s="524"/>
      <c r="X1534" s="256"/>
      <c r="Y1534" s="252"/>
      <c r="AA1534" s="257"/>
      <c r="AD1534" s="244"/>
      <c r="AE1534" s="256"/>
      <c r="AF1534" s="256"/>
    </row>
    <row r="1535" spans="4:32" x14ac:dyDescent="0.3">
      <c r="D1535" s="513"/>
      <c r="E1535" s="513"/>
      <c r="F1535" s="515"/>
      <c r="G1535" s="515"/>
      <c r="I1535" s="513"/>
      <c r="J1535" s="255"/>
      <c r="K1535" s="255"/>
      <c r="L1535" s="513"/>
      <c r="M1535" s="322"/>
      <c r="N1535" s="244"/>
      <c r="P1535" s="252"/>
      <c r="Q1535" s="252"/>
      <c r="R1535" s="252"/>
      <c r="S1535" s="256"/>
      <c r="T1535" s="256"/>
      <c r="U1535" s="256"/>
      <c r="V1535" s="252"/>
      <c r="W1535" s="524"/>
      <c r="X1535" s="256"/>
      <c r="Y1535" s="252"/>
      <c r="AA1535" s="257"/>
      <c r="AD1535" s="244"/>
      <c r="AE1535" s="256"/>
      <c r="AF1535" s="256"/>
    </row>
    <row r="1536" spans="4:32" x14ac:dyDescent="0.3">
      <c r="D1536" s="513"/>
      <c r="E1536" s="513"/>
      <c r="F1536" s="515"/>
      <c r="G1536" s="515"/>
      <c r="I1536" s="513"/>
      <c r="J1536" s="255"/>
      <c r="K1536" s="255"/>
      <c r="L1536" s="513"/>
      <c r="M1536" s="322"/>
      <c r="N1536" s="244"/>
      <c r="P1536" s="252"/>
      <c r="Q1536" s="252"/>
      <c r="R1536" s="252"/>
      <c r="S1536" s="256"/>
      <c r="T1536" s="256"/>
      <c r="U1536" s="256"/>
      <c r="V1536" s="252"/>
      <c r="W1536" s="524"/>
      <c r="X1536" s="256"/>
      <c r="Y1536" s="252"/>
      <c r="AA1536" s="257"/>
      <c r="AD1536" s="244"/>
      <c r="AE1536" s="256"/>
      <c r="AF1536" s="256"/>
    </row>
    <row r="1537" spans="4:32" x14ac:dyDescent="0.3">
      <c r="D1537" s="513"/>
      <c r="E1537" s="513"/>
      <c r="F1537" s="515"/>
      <c r="G1537" s="515"/>
      <c r="I1537" s="513"/>
      <c r="J1537" s="255"/>
      <c r="K1537" s="255"/>
      <c r="L1537" s="513"/>
      <c r="M1537" s="322"/>
      <c r="N1537" s="244"/>
      <c r="P1537" s="252"/>
      <c r="Q1537" s="252"/>
      <c r="R1537" s="252"/>
      <c r="S1537" s="256"/>
      <c r="T1537" s="256"/>
      <c r="U1537" s="256"/>
      <c r="V1537" s="252"/>
      <c r="W1537" s="524"/>
      <c r="X1537" s="256"/>
      <c r="Y1537" s="252"/>
      <c r="AA1537" s="257"/>
      <c r="AD1537" s="244"/>
      <c r="AE1537" s="256"/>
      <c r="AF1537" s="256"/>
    </row>
    <row r="1538" spans="4:32" x14ac:dyDescent="0.3">
      <c r="D1538" s="513"/>
      <c r="E1538" s="513"/>
      <c r="F1538" s="515"/>
      <c r="G1538" s="515"/>
      <c r="I1538" s="513"/>
      <c r="J1538" s="255"/>
      <c r="K1538" s="255"/>
      <c r="L1538" s="513"/>
      <c r="M1538" s="322"/>
      <c r="N1538" s="244"/>
      <c r="P1538" s="252"/>
      <c r="Q1538" s="252"/>
      <c r="R1538" s="252"/>
      <c r="S1538" s="256"/>
      <c r="T1538" s="256"/>
      <c r="U1538" s="256"/>
      <c r="V1538" s="252"/>
      <c r="W1538" s="524"/>
      <c r="X1538" s="256"/>
      <c r="Y1538" s="252"/>
      <c r="AA1538" s="257"/>
      <c r="AD1538" s="244"/>
      <c r="AE1538" s="256"/>
      <c r="AF1538" s="256"/>
    </row>
    <row r="1539" spans="4:32" x14ac:dyDescent="0.3">
      <c r="D1539" s="513"/>
      <c r="E1539" s="513"/>
      <c r="F1539" s="515"/>
      <c r="G1539" s="515"/>
      <c r="I1539" s="513"/>
      <c r="J1539" s="255"/>
      <c r="K1539" s="255"/>
      <c r="L1539" s="513"/>
      <c r="M1539" s="322"/>
      <c r="N1539" s="244"/>
      <c r="P1539" s="252"/>
      <c r="Q1539" s="252"/>
      <c r="R1539" s="252"/>
      <c r="S1539" s="256"/>
      <c r="T1539" s="256"/>
      <c r="U1539" s="256"/>
      <c r="V1539" s="252"/>
      <c r="W1539" s="524"/>
      <c r="X1539" s="256"/>
      <c r="Y1539" s="252"/>
      <c r="AA1539" s="257"/>
      <c r="AD1539" s="244"/>
      <c r="AE1539" s="256"/>
      <c r="AF1539" s="256"/>
    </row>
    <row r="1540" spans="4:32" x14ac:dyDescent="0.3">
      <c r="D1540" s="513"/>
      <c r="E1540" s="513"/>
      <c r="F1540" s="515"/>
      <c r="G1540" s="515"/>
      <c r="I1540" s="513"/>
      <c r="J1540" s="255"/>
      <c r="K1540" s="255"/>
      <c r="L1540" s="513"/>
      <c r="M1540" s="322"/>
      <c r="N1540" s="244"/>
      <c r="P1540" s="252"/>
      <c r="Q1540" s="252"/>
      <c r="R1540" s="252"/>
      <c r="S1540" s="256"/>
      <c r="T1540" s="256"/>
      <c r="U1540" s="256"/>
      <c r="V1540" s="252"/>
      <c r="W1540" s="524"/>
      <c r="X1540" s="256"/>
      <c r="Y1540" s="252"/>
      <c r="AA1540" s="257"/>
      <c r="AD1540" s="244"/>
      <c r="AE1540" s="256"/>
      <c r="AF1540" s="256"/>
    </row>
    <row r="1541" spans="4:32" x14ac:dyDescent="0.3">
      <c r="D1541" s="513"/>
      <c r="E1541" s="513"/>
      <c r="F1541" s="515"/>
      <c r="G1541" s="515"/>
      <c r="I1541" s="513"/>
      <c r="J1541" s="255"/>
      <c r="K1541" s="255"/>
      <c r="L1541" s="513"/>
      <c r="M1541" s="322"/>
      <c r="N1541" s="244"/>
      <c r="P1541" s="252"/>
      <c r="Q1541" s="252"/>
      <c r="R1541" s="252"/>
      <c r="S1541" s="256"/>
      <c r="T1541" s="256"/>
      <c r="U1541" s="256"/>
      <c r="V1541" s="252"/>
      <c r="W1541" s="524"/>
      <c r="X1541" s="256"/>
      <c r="Y1541" s="252"/>
      <c r="AA1541" s="257"/>
      <c r="AD1541" s="244"/>
      <c r="AE1541" s="256"/>
      <c r="AF1541" s="256"/>
    </row>
    <row r="1542" spans="4:32" x14ac:dyDescent="0.3">
      <c r="D1542" s="513"/>
      <c r="E1542" s="513"/>
      <c r="F1542" s="515"/>
      <c r="G1542" s="515"/>
      <c r="I1542" s="513"/>
      <c r="J1542" s="255"/>
      <c r="K1542" s="255"/>
      <c r="L1542" s="513"/>
      <c r="M1542" s="322"/>
      <c r="N1542" s="244"/>
      <c r="P1542" s="252"/>
      <c r="Q1542" s="252"/>
      <c r="R1542" s="252"/>
      <c r="S1542" s="256"/>
      <c r="T1542" s="256"/>
      <c r="U1542" s="256"/>
      <c r="V1542" s="252"/>
      <c r="W1542" s="524"/>
      <c r="X1542" s="256"/>
      <c r="Y1542" s="252"/>
      <c r="AA1542" s="257"/>
      <c r="AD1542" s="244"/>
      <c r="AE1542" s="256"/>
      <c r="AF1542" s="256"/>
    </row>
    <row r="1543" spans="4:32" x14ac:dyDescent="0.3">
      <c r="D1543" s="513"/>
      <c r="E1543" s="513"/>
      <c r="F1543" s="515"/>
      <c r="G1543" s="515"/>
      <c r="I1543" s="513"/>
      <c r="J1543" s="255"/>
      <c r="K1543" s="255"/>
      <c r="L1543" s="513"/>
      <c r="M1543" s="322"/>
      <c r="N1543" s="244"/>
      <c r="P1543" s="252"/>
      <c r="Q1543" s="252"/>
      <c r="R1543" s="252"/>
      <c r="S1543" s="256"/>
      <c r="T1543" s="256"/>
      <c r="U1543" s="256"/>
      <c r="V1543" s="252"/>
      <c r="W1543" s="524"/>
      <c r="X1543" s="256"/>
      <c r="Y1543" s="252"/>
      <c r="AA1543" s="257"/>
      <c r="AD1543" s="244"/>
      <c r="AE1543" s="256"/>
      <c r="AF1543" s="256"/>
    </row>
    <row r="1544" spans="4:32" x14ac:dyDescent="0.3">
      <c r="D1544" s="513"/>
      <c r="E1544" s="513"/>
      <c r="F1544" s="515"/>
      <c r="G1544" s="515"/>
      <c r="I1544" s="513"/>
      <c r="J1544" s="255"/>
      <c r="K1544" s="255"/>
      <c r="L1544" s="513"/>
      <c r="M1544" s="322"/>
      <c r="N1544" s="244"/>
      <c r="P1544" s="252"/>
      <c r="Q1544" s="252"/>
      <c r="R1544" s="252"/>
      <c r="S1544" s="256"/>
      <c r="T1544" s="256"/>
      <c r="U1544" s="256"/>
      <c r="V1544" s="252"/>
      <c r="W1544" s="524"/>
      <c r="X1544" s="256"/>
      <c r="Y1544" s="252"/>
      <c r="AA1544" s="257"/>
      <c r="AD1544" s="244"/>
      <c r="AE1544" s="256"/>
      <c r="AF1544" s="256"/>
    </row>
    <row r="1545" spans="4:32" x14ac:dyDescent="0.3">
      <c r="D1545" s="513"/>
      <c r="E1545" s="513"/>
      <c r="F1545" s="515"/>
      <c r="G1545" s="515"/>
      <c r="I1545" s="513"/>
      <c r="J1545" s="255"/>
      <c r="K1545" s="255"/>
      <c r="L1545" s="513"/>
      <c r="M1545" s="244"/>
      <c r="N1545" s="244"/>
      <c r="P1545" s="252"/>
      <c r="Q1545" s="252"/>
      <c r="R1545" s="252"/>
      <c r="S1545" s="256"/>
      <c r="T1545" s="256"/>
      <c r="U1545" s="256"/>
      <c r="V1545" s="252"/>
      <c r="W1545" s="524"/>
      <c r="X1545" s="256"/>
      <c r="Y1545" s="252"/>
      <c r="AA1545" s="257"/>
      <c r="AD1545" s="244"/>
      <c r="AE1545" s="256"/>
      <c r="AF1545" s="256"/>
    </row>
    <row r="1546" spans="4:32" x14ac:dyDescent="0.3">
      <c r="D1546" s="513"/>
      <c r="E1546" s="513"/>
      <c r="F1546" s="515"/>
      <c r="G1546" s="515"/>
      <c r="I1546" s="513"/>
      <c r="J1546" s="255"/>
      <c r="K1546" s="255"/>
      <c r="L1546" s="513"/>
      <c r="M1546" s="244"/>
      <c r="N1546" s="244"/>
      <c r="O1546" s="244"/>
      <c r="P1546" s="252"/>
      <c r="Q1546" s="252"/>
      <c r="R1546" s="252"/>
      <c r="S1546" s="256"/>
      <c r="T1546" s="256"/>
      <c r="U1546" s="256"/>
      <c r="V1546" s="252"/>
      <c r="W1546" s="524"/>
      <c r="X1546" s="256"/>
      <c r="Y1546" s="252"/>
      <c r="AA1546" s="257"/>
      <c r="AD1546" s="244"/>
      <c r="AE1546" s="256"/>
      <c r="AF1546" s="256"/>
    </row>
    <row r="1547" spans="4:32" x14ac:dyDescent="0.3">
      <c r="D1547" s="513"/>
      <c r="E1547" s="513"/>
      <c r="F1547" s="515"/>
      <c r="G1547" s="515"/>
      <c r="I1547" s="513"/>
      <c r="J1547" s="255"/>
      <c r="K1547" s="255"/>
      <c r="L1547" s="513"/>
      <c r="M1547" s="244"/>
      <c r="N1547" s="244"/>
      <c r="O1547" s="244"/>
      <c r="P1547" s="252"/>
      <c r="Q1547" s="252"/>
      <c r="R1547" s="252"/>
      <c r="S1547" s="256"/>
      <c r="T1547" s="256"/>
      <c r="U1547" s="256"/>
      <c r="V1547" s="252"/>
      <c r="W1547" s="524"/>
      <c r="X1547" s="256"/>
      <c r="Y1547" s="252"/>
      <c r="AA1547" s="257"/>
      <c r="AD1547" s="244"/>
      <c r="AE1547" s="256"/>
      <c r="AF1547" s="256"/>
    </row>
    <row r="1548" spans="4:32" x14ac:dyDescent="0.3">
      <c r="D1548" s="513"/>
      <c r="E1548" s="513"/>
      <c r="F1548" s="515"/>
      <c r="G1548" s="515"/>
      <c r="I1548" s="513"/>
      <c r="J1548" s="255"/>
      <c r="K1548" s="255"/>
      <c r="L1548" s="513"/>
      <c r="M1548" s="244"/>
      <c r="N1548" s="244"/>
      <c r="P1548" s="252"/>
      <c r="Q1548" s="252"/>
      <c r="R1548" s="252"/>
      <c r="S1548" s="256"/>
      <c r="T1548" s="256"/>
      <c r="U1548" s="256"/>
      <c r="V1548" s="252"/>
      <c r="W1548" s="524"/>
      <c r="X1548" s="256"/>
      <c r="Y1548" s="252"/>
      <c r="AA1548" s="257"/>
      <c r="AD1548" s="244"/>
      <c r="AE1548" s="256"/>
      <c r="AF1548" s="256"/>
    </row>
    <row r="1549" spans="4:32" x14ac:dyDescent="0.3">
      <c r="D1549" s="513"/>
      <c r="E1549" s="513"/>
      <c r="F1549" s="515"/>
      <c r="G1549" s="515"/>
      <c r="I1549" s="513"/>
      <c r="J1549" s="255"/>
      <c r="K1549" s="255"/>
      <c r="L1549" s="513"/>
      <c r="M1549" s="244"/>
      <c r="N1549" s="244"/>
      <c r="O1549" s="244"/>
      <c r="P1549" s="252"/>
      <c r="Q1549" s="252"/>
      <c r="R1549" s="252"/>
      <c r="S1549" s="256"/>
      <c r="T1549" s="256"/>
      <c r="U1549" s="256"/>
      <c r="V1549" s="252"/>
      <c r="W1549" s="524"/>
      <c r="X1549" s="256"/>
      <c r="Y1549" s="252"/>
      <c r="AA1549" s="257"/>
      <c r="AD1549" s="244"/>
      <c r="AE1549" s="256"/>
      <c r="AF1549" s="256"/>
    </row>
    <row r="1550" spans="4:32" x14ac:dyDescent="0.3">
      <c r="D1550" s="513"/>
      <c r="E1550" s="513"/>
      <c r="F1550" s="515"/>
      <c r="G1550" s="515"/>
      <c r="I1550" s="513"/>
      <c r="J1550" s="255"/>
      <c r="K1550" s="255"/>
      <c r="L1550" s="513"/>
      <c r="M1550" s="244"/>
      <c r="N1550" s="244"/>
      <c r="O1550" s="244"/>
      <c r="P1550" s="252"/>
      <c r="Q1550" s="252"/>
      <c r="R1550" s="252"/>
      <c r="S1550" s="256"/>
      <c r="T1550" s="256"/>
      <c r="U1550" s="256"/>
      <c r="V1550" s="252"/>
      <c r="W1550" s="524"/>
      <c r="X1550" s="256"/>
      <c r="Y1550" s="252"/>
      <c r="AA1550" s="257"/>
      <c r="AD1550" s="244"/>
      <c r="AE1550" s="256"/>
      <c r="AF1550" s="256"/>
    </row>
    <row r="1551" spans="4:32" x14ac:dyDescent="0.3">
      <c r="D1551" s="513"/>
      <c r="E1551" s="513"/>
      <c r="F1551" s="515"/>
      <c r="G1551" s="515"/>
      <c r="I1551" s="513"/>
      <c r="J1551" s="255"/>
      <c r="K1551" s="255"/>
      <c r="L1551" s="513"/>
      <c r="M1551" s="244"/>
      <c r="N1551" s="244"/>
      <c r="P1551" s="252"/>
      <c r="Q1551" s="252"/>
      <c r="R1551" s="252"/>
      <c r="S1551" s="256"/>
      <c r="T1551" s="256"/>
      <c r="U1551" s="256"/>
      <c r="V1551" s="252"/>
      <c r="W1551" s="524"/>
      <c r="X1551" s="256"/>
      <c r="Y1551" s="252"/>
      <c r="AA1551" s="257"/>
      <c r="AD1551" s="244"/>
      <c r="AE1551" s="256"/>
      <c r="AF1551" s="256"/>
    </row>
    <row r="1552" spans="4:32" x14ac:dyDescent="0.3">
      <c r="D1552" s="513"/>
      <c r="E1552" s="513"/>
      <c r="F1552" s="515"/>
      <c r="G1552" s="515"/>
      <c r="I1552" s="513"/>
      <c r="J1552" s="255"/>
      <c r="K1552" s="255"/>
      <c r="L1552" s="513"/>
      <c r="M1552" s="244"/>
      <c r="N1552" s="244"/>
      <c r="O1552" s="244"/>
      <c r="P1552" s="252"/>
      <c r="Q1552" s="252"/>
      <c r="R1552" s="252"/>
      <c r="S1552" s="256"/>
      <c r="T1552" s="256"/>
      <c r="U1552" s="256"/>
      <c r="V1552" s="252"/>
      <c r="W1552" s="524"/>
      <c r="X1552" s="256"/>
      <c r="Y1552" s="252"/>
      <c r="AA1552" s="257"/>
      <c r="AD1552" s="244"/>
      <c r="AE1552" s="256"/>
      <c r="AF1552" s="256"/>
    </row>
    <row r="1553" spans="4:32" x14ac:dyDescent="0.3">
      <c r="D1553" s="513"/>
      <c r="E1553" s="513"/>
      <c r="F1553" s="515"/>
      <c r="G1553" s="515"/>
      <c r="I1553" s="513"/>
      <c r="J1553" s="255"/>
      <c r="K1553" s="255"/>
      <c r="L1553" s="513"/>
      <c r="M1553" s="244"/>
      <c r="N1553" s="244"/>
      <c r="O1553" s="244"/>
      <c r="P1553" s="252"/>
      <c r="Q1553" s="252"/>
      <c r="R1553" s="252"/>
      <c r="S1553" s="256"/>
      <c r="T1553" s="256"/>
      <c r="U1553" s="256"/>
      <c r="V1553" s="252"/>
      <c r="W1553" s="524"/>
      <c r="X1553" s="256"/>
      <c r="Y1553" s="252"/>
      <c r="AA1553" s="257"/>
      <c r="AD1553" s="244"/>
      <c r="AE1553" s="256"/>
      <c r="AF1553" s="256"/>
    </row>
    <row r="1554" spans="4:32" x14ac:dyDescent="0.3">
      <c r="D1554" s="513"/>
      <c r="E1554" s="513"/>
      <c r="F1554" s="515"/>
      <c r="G1554" s="515"/>
      <c r="I1554" s="513"/>
      <c r="J1554" s="255"/>
      <c r="K1554" s="255"/>
      <c r="L1554" s="513"/>
      <c r="M1554" s="244"/>
      <c r="N1554" s="244"/>
      <c r="P1554" s="252"/>
      <c r="Q1554" s="252"/>
      <c r="R1554" s="252"/>
      <c r="S1554" s="256"/>
      <c r="T1554" s="256"/>
      <c r="U1554" s="256"/>
      <c r="V1554" s="252"/>
      <c r="W1554" s="524"/>
      <c r="X1554" s="256"/>
      <c r="Y1554" s="252"/>
      <c r="AA1554" s="257"/>
      <c r="AD1554" s="244"/>
      <c r="AE1554" s="256"/>
      <c r="AF1554" s="256"/>
    </row>
    <row r="1555" spans="4:32" x14ac:dyDescent="0.3">
      <c r="D1555" s="513"/>
      <c r="E1555" s="513"/>
      <c r="F1555" s="515"/>
      <c r="G1555" s="515"/>
      <c r="I1555" s="513"/>
      <c r="J1555" s="255"/>
      <c r="K1555" s="255"/>
      <c r="L1555" s="513"/>
      <c r="M1555" s="244"/>
      <c r="N1555" s="244"/>
      <c r="P1555" s="252"/>
      <c r="Q1555" s="252"/>
      <c r="R1555" s="252"/>
      <c r="S1555" s="256"/>
      <c r="T1555" s="256"/>
      <c r="U1555" s="256"/>
      <c r="V1555" s="252"/>
      <c r="W1555" s="524"/>
      <c r="X1555" s="256"/>
      <c r="Y1555" s="252"/>
      <c r="AA1555" s="257"/>
      <c r="AD1555" s="244"/>
      <c r="AE1555" s="256"/>
      <c r="AF1555" s="256"/>
    </row>
    <row r="1556" spans="4:32" x14ac:dyDescent="0.3">
      <c r="D1556" s="513"/>
      <c r="E1556" s="513"/>
      <c r="F1556" s="515"/>
      <c r="G1556" s="515"/>
      <c r="I1556" s="513"/>
      <c r="J1556" s="255"/>
      <c r="K1556" s="255"/>
      <c r="L1556" s="513"/>
      <c r="M1556" s="244"/>
      <c r="N1556" s="244"/>
      <c r="P1556" s="252"/>
      <c r="Q1556" s="252"/>
      <c r="R1556" s="252"/>
      <c r="S1556" s="256"/>
      <c r="T1556" s="256"/>
      <c r="U1556" s="256"/>
      <c r="V1556" s="252"/>
      <c r="W1556" s="524"/>
      <c r="X1556" s="256"/>
      <c r="Y1556" s="252"/>
      <c r="AA1556" s="257"/>
      <c r="AD1556" s="244"/>
      <c r="AE1556" s="256"/>
      <c r="AF1556" s="256"/>
    </row>
    <row r="1557" spans="4:32" x14ac:dyDescent="0.3">
      <c r="D1557" s="513"/>
      <c r="E1557" s="513"/>
      <c r="F1557" s="515"/>
      <c r="G1557" s="515"/>
      <c r="I1557" s="513"/>
      <c r="J1557" s="255"/>
      <c r="K1557" s="255"/>
      <c r="L1557" s="513"/>
      <c r="M1557" s="244"/>
      <c r="N1557" s="244"/>
      <c r="P1557" s="252"/>
      <c r="Q1557" s="252"/>
      <c r="R1557" s="252"/>
      <c r="S1557" s="256"/>
      <c r="T1557" s="256"/>
      <c r="U1557" s="256"/>
      <c r="V1557" s="252"/>
      <c r="W1557" s="524"/>
      <c r="X1557" s="256"/>
      <c r="Y1557" s="252"/>
      <c r="AA1557" s="257"/>
      <c r="AD1557" s="244"/>
      <c r="AE1557" s="256"/>
      <c r="AF1557" s="256"/>
    </row>
    <row r="1558" spans="4:32" x14ac:dyDescent="0.3">
      <c r="D1558" s="513"/>
      <c r="E1558" s="513"/>
      <c r="F1558" s="515"/>
      <c r="G1558" s="515"/>
      <c r="I1558" s="513"/>
      <c r="J1558" s="255"/>
      <c r="K1558" s="255"/>
      <c r="L1558" s="513"/>
      <c r="M1558" s="244"/>
      <c r="N1558" s="244"/>
      <c r="P1558" s="252"/>
      <c r="Q1558" s="252"/>
      <c r="R1558" s="252"/>
      <c r="S1558" s="256"/>
      <c r="T1558" s="256"/>
      <c r="U1558" s="256"/>
      <c r="V1558" s="252"/>
      <c r="W1558" s="524"/>
      <c r="X1558" s="256"/>
      <c r="Y1558" s="252"/>
      <c r="AA1558" s="257"/>
      <c r="AD1558" s="244"/>
      <c r="AE1558" s="256"/>
      <c r="AF1558" s="256"/>
    </row>
    <row r="1559" spans="4:32" x14ac:dyDescent="0.3">
      <c r="D1559" s="513"/>
      <c r="E1559" s="513"/>
      <c r="F1559" s="515"/>
      <c r="G1559" s="515"/>
      <c r="I1559" s="513"/>
      <c r="J1559" s="255"/>
      <c r="K1559" s="255"/>
      <c r="L1559" s="513"/>
      <c r="M1559" s="244"/>
      <c r="N1559" s="244"/>
      <c r="P1559" s="252"/>
      <c r="Q1559" s="252"/>
      <c r="R1559" s="252"/>
      <c r="S1559" s="256"/>
      <c r="T1559" s="256"/>
      <c r="U1559" s="256"/>
      <c r="V1559" s="252"/>
      <c r="W1559" s="524"/>
      <c r="X1559" s="256"/>
      <c r="Y1559" s="252"/>
      <c r="AA1559" s="257"/>
      <c r="AD1559" s="244"/>
      <c r="AE1559" s="256"/>
      <c r="AF1559" s="256"/>
    </row>
    <row r="1560" spans="4:32" x14ac:dyDescent="0.3">
      <c r="D1560" s="513"/>
      <c r="E1560" s="513"/>
      <c r="F1560" s="515"/>
      <c r="G1560" s="515"/>
      <c r="I1560" s="513"/>
      <c r="J1560" s="255"/>
      <c r="K1560" s="255"/>
      <c r="L1560" s="513"/>
      <c r="M1560" s="244"/>
      <c r="N1560" s="244"/>
      <c r="P1560" s="252"/>
      <c r="Q1560" s="252"/>
      <c r="R1560" s="252"/>
      <c r="S1560" s="256"/>
      <c r="T1560" s="256"/>
      <c r="U1560" s="256"/>
      <c r="V1560" s="252"/>
      <c r="W1560" s="524"/>
      <c r="X1560" s="256"/>
      <c r="Y1560" s="252"/>
      <c r="AA1560" s="257"/>
      <c r="AD1560" s="244"/>
      <c r="AE1560" s="256"/>
      <c r="AF1560" s="256"/>
    </row>
    <row r="1561" spans="4:32" x14ac:dyDescent="0.3">
      <c r="D1561" s="513"/>
      <c r="E1561" s="513"/>
      <c r="F1561" s="515"/>
      <c r="G1561" s="515"/>
      <c r="I1561" s="513"/>
      <c r="J1561" s="255"/>
      <c r="K1561" s="255"/>
      <c r="L1561" s="513"/>
      <c r="M1561" s="244"/>
      <c r="N1561" s="244"/>
      <c r="P1561" s="252"/>
      <c r="Q1561" s="252"/>
      <c r="R1561" s="252"/>
      <c r="S1561" s="256"/>
      <c r="T1561" s="256"/>
      <c r="U1561" s="256"/>
      <c r="V1561" s="252"/>
      <c r="W1561" s="524"/>
      <c r="X1561" s="256"/>
      <c r="Y1561" s="252"/>
      <c r="AA1561" s="257"/>
      <c r="AD1561" s="244"/>
      <c r="AE1561" s="256"/>
      <c r="AF1561" s="256"/>
    </row>
    <row r="1562" spans="4:32" x14ac:dyDescent="0.3">
      <c r="D1562" s="513"/>
      <c r="E1562" s="513"/>
      <c r="F1562" s="515"/>
      <c r="G1562" s="515"/>
      <c r="I1562" s="513"/>
      <c r="J1562" s="255"/>
      <c r="K1562" s="255"/>
      <c r="L1562" s="513"/>
      <c r="M1562" s="244"/>
      <c r="N1562" s="244"/>
      <c r="P1562" s="252"/>
      <c r="Q1562" s="252"/>
      <c r="R1562" s="252"/>
      <c r="S1562" s="256"/>
      <c r="T1562" s="256"/>
      <c r="U1562" s="256"/>
      <c r="V1562" s="252"/>
      <c r="W1562" s="524"/>
      <c r="X1562" s="256"/>
      <c r="Y1562" s="252"/>
      <c r="AA1562" s="257"/>
      <c r="AD1562" s="244"/>
      <c r="AE1562" s="256"/>
      <c r="AF1562" s="256"/>
    </row>
    <row r="1563" spans="4:32" x14ac:dyDescent="0.3">
      <c r="D1563" s="513"/>
      <c r="E1563" s="513"/>
      <c r="F1563" s="515"/>
      <c r="G1563" s="515"/>
      <c r="I1563" s="513"/>
      <c r="J1563" s="255"/>
      <c r="K1563" s="255"/>
      <c r="L1563" s="513"/>
      <c r="M1563" s="244"/>
      <c r="N1563" s="244"/>
      <c r="P1563" s="252"/>
      <c r="Q1563" s="252"/>
      <c r="R1563" s="252"/>
      <c r="S1563" s="256"/>
      <c r="T1563" s="256"/>
      <c r="U1563" s="256"/>
      <c r="V1563" s="252"/>
      <c r="W1563" s="524"/>
      <c r="X1563" s="256"/>
      <c r="Y1563" s="252"/>
      <c r="AA1563" s="257"/>
      <c r="AD1563" s="244"/>
      <c r="AE1563" s="256"/>
      <c r="AF1563" s="256"/>
    </row>
    <row r="1564" spans="4:32" x14ac:dyDescent="0.3">
      <c r="D1564" s="513"/>
      <c r="E1564" s="513"/>
      <c r="F1564" s="515"/>
      <c r="G1564" s="515"/>
      <c r="I1564" s="513"/>
      <c r="J1564" s="255"/>
      <c r="K1564" s="255"/>
      <c r="L1564" s="513"/>
      <c r="M1564" s="244"/>
      <c r="N1564" s="244"/>
      <c r="P1564" s="252"/>
      <c r="Q1564" s="252"/>
      <c r="R1564" s="252"/>
      <c r="S1564" s="256"/>
      <c r="T1564" s="256"/>
      <c r="U1564" s="256"/>
      <c r="V1564" s="252"/>
      <c r="W1564" s="524"/>
      <c r="X1564" s="256"/>
      <c r="Y1564" s="252"/>
      <c r="AA1564" s="257"/>
      <c r="AD1564" s="244"/>
      <c r="AE1564" s="256"/>
      <c r="AF1564" s="256"/>
    </row>
    <row r="1565" spans="4:32" x14ac:dyDescent="0.3">
      <c r="D1565" s="513"/>
      <c r="E1565" s="513"/>
      <c r="F1565" s="515"/>
      <c r="G1565" s="515"/>
      <c r="I1565" s="513"/>
      <c r="J1565" s="255"/>
      <c r="K1565" s="255"/>
      <c r="L1565" s="513"/>
      <c r="M1565" s="244"/>
      <c r="N1565" s="244"/>
      <c r="P1565" s="252"/>
      <c r="Q1565" s="252"/>
      <c r="R1565" s="252"/>
      <c r="S1565" s="256"/>
      <c r="T1565" s="256"/>
      <c r="U1565" s="256"/>
      <c r="V1565" s="252"/>
      <c r="W1565" s="524"/>
      <c r="X1565" s="256"/>
      <c r="Y1565" s="252"/>
      <c r="AA1565" s="257"/>
      <c r="AD1565" s="244"/>
      <c r="AE1565" s="256"/>
      <c r="AF1565" s="256"/>
    </row>
    <row r="1566" spans="4:32" x14ac:dyDescent="0.3">
      <c r="D1566" s="513"/>
      <c r="E1566" s="513"/>
      <c r="F1566" s="515"/>
      <c r="G1566" s="515"/>
      <c r="I1566" s="513"/>
      <c r="J1566" s="255"/>
      <c r="K1566" s="255"/>
      <c r="L1566" s="513"/>
      <c r="M1566" s="244"/>
      <c r="N1566" s="244"/>
      <c r="P1566" s="252"/>
      <c r="Q1566" s="252"/>
      <c r="R1566" s="252"/>
      <c r="S1566" s="256"/>
      <c r="T1566" s="256"/>
      <c r="U1566" s="256"/>
      <c r="V1566" s="252"/>
      <c r="W1566" s="524"/>
      <c r="X1566" s="256"/>
      <c r="Y1566" s="252"/>
      <c r="AA1566" s="257"/>
      <c r="AD1566" s="244"/>
      <c r="AE1566" s="256"/>
      <c r="AF1566" s="256"/>
    </row>
    <row r="1567" spans="4:32" x14ac:dyDescent="0.3">
      <c r="D1567" s="513"/>
      <c r="E1567" s="513"/>
      <c r="F1567" s="515"/>
      <c r="G1567" s="515"/>
      <c r="I1567" s="513"/>
      <c r="J1567" s="255"/>
      <c r="K1567" s="255"/>
      <c r="L1567" s="513"/>
      <c r="M1567" s="244"/>
      <c r="N1567" s="244"/>
      <c r="P1567" s="252"/>
      <c r="Q1567" s="252"/>
      <c r="R1567" s="252"/>
      <c r="S1567" s="256"/>
      <c r="T1567" s="256"/>
      <c r="U1567" s="256"/>
      <c r="V1567" s="252"/>
      <c r="W1567" s="524"/>
      <c r="X1567" s="256"/>
      <c r="Y1567" s="252"/>
      <c r="AA1567" s="257"/>
      <c r="AD1567" s="244"/>
      <c r="AE1567" s="256"/>
      <c r="AF1567" s="256"/>
    </row>
    <row r="1568" spans="4:32" x14ac:dyDescent="0.3">
      <c r="D1568" s="513"/>
      <c r="E1568" s="513"/>
      <c r="F1568" s="515"/>
      <c r="G1568" s="515"/>
      <c r="I1568" s="513"/>
      <c r="J1568" s="255"/>
      <c r="K1568" s="255"/>
      <c r="L1568" s="513"/>
      <c r="M1568" s="244"/>
      <c r="N1568" s="244"/>
      <c r="P1568" s="252"/>
      <c r="Q1568" s="252"/>
      <c r="R1568" s="252"/>
      <c r="S1568" s="256"/>
      <c r="T1568" s="256"/>
      <c r="U1568" s="256"/>
      <c r="V1568" s="252"/>
      <c r="W1568" s="524"/>
      <c r="X1568" s="256"/>
      <c r="Y1568" s="252"/>
      <c r="AA1568" s="257"/>
      <c r="AD1568" s="244"/>
      <c r="AE1568" s="256"/>
      <c r="AF1568" s="256"/>
    </row>
    <row r="1569" spans="4:32" x14ac:dyDescent="0.3">
      <c r="D1569" s="513"/>
      <c r="E1569" s="513"/>
      <c r="F1569" s="515"/>
      <c r="G1569" s="515"/>
      <c r="I1569" s="513"/>
      <c r="J1569" s="255"/>
      <c r="K1569" s="255"/>
      <c r="L1569" s="513"/>
      <c r="M1569" s="244"/>
      <c r="N1569" s="244"/>
      <c r="P1569" s="252"/>
      <c r="Q1569" s="252"/>
      <c r="R1569" s="252"/>
      <c r="S1569" s="256"/>
      <c r="T1569" s="256"/>
      <c r="U1569" s="256"/>
      <c r="V1569" s="252"/>
      <c r="W1569" s="524"/>
      <c r="X1569" s="256"/>
      <c r="Y1569" s="252"/>
      <c r="AA1569" s="257"/>
      <c r="AD1569" s="244"/>
      <c r="AE1569" s="256"/>
      <c r="AF1569" s="256"/>
    </row>
    <row r="1570" spans="4:32" x14ac:dyDescent="0.3">
      <c r="D1570" s="513"/>
      <c r="E1570" s="513"/>
      <c r="F1570" s="515"/>
      <c r="G1570" s="515"/>
      <c r="I1570" s="513"/>
      <c r="J1570" s="255"/>
      <c r="K1570" s="255"/>
      <c r="L1570" s="513"/>
      <c r="M1570" s="244"/>
      <c r="N1570" s="244"/>
      <c r="P1570" s="252"/>
      <c r="Q1570" s="252"/>
      <c r="R1570" s="252"/>
      <c r="S1570" s="256"/>
      <c r="T1570" s="256"/>
      <c r="U1570" s="256"/>
      <c r="V1570" s="252"/>
      <c r="W1570" s="524"/>
      <c r="X1570" s="256"/>
      <c r="Y1570" s="252"/>
      <c r="AA1570" s="257"/>
      <c r="AD1570" s="244"/>
      <c r="AE1570" s="256"/>
      <c r="AF1570" s="256"/>
    </row>
    <row r="1571" spans="4:32" x14ac:dyDescent="0.3">
      <c r="D1571" s="513"/>
      <c r="E1571" s="513"/>
      <c r="F1571" s="515"/>
      <c r="G1571" s="515"/>
      <c r="I1571" s="513"/>
      <c r="J1571" s="255"/>
      <c r="K1571" s="255"/>
      <c r="L1571" s="513"/>
      <c r="M1571" s="244"/>
      <c r="N1571" s="244"/>
      <c r="P1571" s="252"/>
      <c r="Q1571" s="252"/>
      <c r="R1571" s="252"/>
      <c r="S1571" s="256"/>
      <c r="T1571" s="256"/>
      <c r="U1571" s="256"/>
      <c r="V1571" s="252"/>
      <c r="W1571" s="524"/>
      <c r="X1571" s="256"/>
      <c r="Y1571" s="252"/>
      <c r="AA1571" s="257"/>
      <c r="AD1571" s="244"/>
      <c r="AE1571" s="256"/>
      <c r="AF1571" s="256"/>
    </row>
    <row r="1572" spans="4:32" x14ac:dyDescent="0.3">
      <c r="D1572" s="513"/>
      <c r="E1572" s="513"/>
      <c r="F1572" s="515"/>
      <c r="G1572" s="515"/>
      <c r="I1572" s="513"/>
      <c r="J1572" s="255"/>
      <c r="K1572" s="255"/>
      <c r="L1572" s="513"/>
      <c r="M1572" s="244"/>
      <c r="N1572" s="244"/>
      <c r="P1572" s="252"/>
      <c r="Q1572" s="252"/>
      <c r="R1572" s="252"/>
      <c r="S1572" s="256"/>
      <c r="T1572" s="256"/>
      <c r="U1572" s="256"/>
      <c r="V1572" s="252"/>
      <c r="W1572" s="524"/>
      <c r="X1572" s="256"/>
      <c r="Y1572" s="252"/>
      <c r="AA1572" s="257"/>
      <c r="AD1572" s="244"/>
      <c r="AE1572" s="256"/>
      <c r="AF1572" s="256"/>
    </row>
    <row r="1573" spans="4:32" x14ac:dyDescent="0.3">
      <c r="D1573" s="513"/>
      <c r="E1573" s="513"/>
      <c r="F1573" s="515"/>
      <c r="G1573" s="515"/>
      <c r="I1573" s="513"/>
      <c r="J1573" s="255"/>
      <c r="K1573" s="255"/>
      <c r="L1573" s="513"/>
      <c r="M1573" s="244"/>
      <c r="N1573" s="244"/>
      <c r="P1573" s="252"/>
      <c r="Q1573" s="252"/>
      <c r="R1573" s="252"/>
      <c r="S1573" s="256"/>
      <c r="T1573" s="256"/>
      <c r="U1573" s="256"/>
      <c r="V1573" s="252"/>
      <c r="W1573" s="524"/>
      <c r="X1573" s="256"/>
      <c r="Y1573" s="252"/>
      <c r="AA1573" s="257"/>
      <c r="AD1573" s="244"/>
      <c r="AE1573" s="256"/>
      <c r="AF1573" s="256"/>
    </row>
    <row r="1574" spans="4:32" x14ac:dyDescent="0.3">
      <c r="D1574" s="513"/>
      <c r="E1574" s="513"/>
      <c r="F1574" s="515"/>
      <c r="G1574" s="515"/>
      <c r="I1574" s="513"/>
      <c r="J1574" s="255"/>
      <c r="K1574" s="255"/>
      <c r="L1574" s="513"/>
      <c r="M1574" s="244"/>
      <c r="N1574" s="244"/>
      <c r="P1574" s="252"/>
      <c r="Q1574" s="252"/>
      <c r="R1574" s="252"/>
      <c r="S1574" s="256"/>
      <c r="T1574" s="256"/>
      <c r="U1574" s="256"/>
      <c r="V1574" s="252"/>
      <c r="W1574" s="524"/>
      <c r="X1574" s="256"/>
      <c r="Y1574" s="252"/>
      <c r="AA1574" s="257"/>
      <c r="AD1574" s="244"/>
      <c r="AE1574" s="256"/>
      <c r="AF1574" s="256"/>
    </row>
    <row r="1575" spans="4:32" x14ac:dyDescent="0.3">
      <c r="D1575" s="513"/>
      <c r="E1575" s="513"/>
      <c r="F1575" s="515"/>
      <c r="G1575" s="515"/>
      <c r="I1575" s="513"/>
      <c r="J1575" s="255"/>
      <c r="K1575" s="255"/>
      <c r="L1575" s="513"/>
      <c r="M1575" s="244"/>
      <c r="N1575" s="244"/>
      <c r="P1575" s="252"/>
      <c r="Q1575" s="252"/>
      <c r="R1575" s="252"/>
      <c r="S1575" s="256"/>
      <c r="T1575" s="256"/>
      <c r="U1575" s="256"/>
      <c r="V1575" s="252"/>
      <c r="W1575" s="524"/>
      <c r="X1575" s="256"/>
      <c r="Y1575" s="252"/>
      <c r="AA1575" s="257"/>
      <c r="AD1575" s="244"/>
      <c r="AE1575" s="256"/>
      <c r="AF1575" s="256"/>
    </row>
    <row r="1576" spans="4:32" x14ac:dyDescent="0.3">
      <c r="D1576" s="513"/>
      <c r="E1576" s="513"/>
      <c r="F1576" s="515"/>
      <c r="G1576" s="515"/>
      <c r="I1576" s="513"/>
      <c r="J1576" s="255"/>
      <c r="K1576" s="255"/>
      <c r="L1576" s="513"/>
      <c r="M1576" s="244"/>
      <c r="N1576" s="244"/>
      <c r="P1576" s="252"/>
      <c r="Q1576" s="252"/>
      <c r="R1576" s="252"/>
      <c r="S1576" s="256"/>
      <c r="T1576" s="256"/>
      <c r="U1576" s="256"/>
      <c r="V1576" s="252"/>
      <c r="W1576" s="524"/>
      <c r="X1576" s="256"/>
      <c r="Y1576" s="252"/>
      <c r="AA1576" s="257"/>
      <c r="AD1576" s="244"/>
      <c r="AE1576" s="256"/>
      <c r="AF1576" s="256"/>
    </row>
    <row r="1577" spans="4:32" x14ac:dyDescent="0.3">
      <c r="D1577" s="513"/>
      <c r="E1577" s="513"/>
      <c r="F1577" s="515"/>
      <c r="G1577" s="515"/>
      <c r="I1577" s="513"/>
      <c r="J1577" s="255"/>
      <c r="K1577" s="255"/>
      <c r="L1577" s="513"/>
      <c r="M1577" s="244"/>
      <c r="N1577" s="244"/>
      <c r="P1577" s="252"/>
      <c r="Q1577" s="252"/>
      <c r="R1577" s="252"/>
      <c r="S1577" s="256"/>
      <c r="T1577" s="256"/>
      <c r="U1577" s="256"/>
      <c r="V1577" s="252"/>
      <c r="W1577" s="524"/>
      <c r="X1577" s="256"/>
      <c r="Y1577" s="252"/>
      <c r="AA1577" s="257"/>
      <c r="AD1577" s="244"/>
      <c r="AE1577" s="256"/>
      <c r="AF1577" s="256"/>
    </row>
    <row r="1578" spans="4:32" x14ac:dyDescent="0.3">
      <c r="D1578" s="513"/>
      <c r="E1578" s="513"/>
      <c r="F1578" s="515"/>
      <c r="G1578" s="515"/>
      <c r="I1578" s="513"/>
      <c r="J1578" s="255"/>
      <c r="K1578" s="255"/>
      <c r="L1578" s="513"/>
      <c r="M1578" s="244"/>
      <c r="N1578" s="244"/>
      <c r="P1578" s="252"/>
      <c r="Q1578" s="252"/>
      <c r="R1578" s="252"/>
      <c r="S1578" s="256"/>
      <c r="T1578" s="256"/>
      <c r="U1578" s="256"/>
      <c r="V1578" s="252"/>
      <c r="W1578" s="524"/>
      <c r="X1578" s="256"/>
      <c r="Y1578" s="252"/>
      <c r="AA1578" s="257"/>
      <c r="AD1578" s="244"/>
      <c r="AE1578" s="256"/>
      <c r="AF1578" s="256"/>
    </row>
    <row r="1579" spans="4:32" x14ac:dyDescent="0.3">
      <c r="D1579" s="513"/>
      <c r="E1579" s="513"/>
      <c r="F1579" s="515"/>
      <c r="G1579" s="515"/>
      <c r="I1579" s="513"/>
      <c r="J1579" s="255"/>
      <c r="K1579" s="255"/>
      <c r="L1579" s="513"/>
      <c r="M1579" s="244"/>
      <c r="N1579" s="244"/>
      <c r="O1579" s="244"/>
      <c r="P1579" s="252"/>
      <c r="Q1579" s="252"/>
      <c r="R1579" s="252"/>
      <c r="S1579" s="256"/>
      <c r="T1579" s="256"/>
      <c r="U1579" s="256"/>
      <c r="V1579" s="252"/>
      <c r="W1579" s="524"/>
      <c r="X1579" s="256"/>
      <c r="Y1579" s="252"/>
      <c r="AA1579" s="257"/>
      <c r="AD1579" s="244"/>
      <c r="AE1579" s="256"/>
      <c r="AF1579" s="256"/>
    </row>
    <row r="1580" spans="4:32" x14ac:dyDescent="0.3">
      <c r="D1580" s="513"/>
      <c r="E1580" s="513"/>
      <c r="F1580" s="515"/>
      <c r="G1580" s="515"/>
      <c r="I1580" s="513"/>
      <c r="J1580" s="255"/>
      <c r="K1580" s="255"/>
      <c r="L1580" s="513"/>
      <c r="M1580" s="244"/>
      <c r="N1580" s="244"/>
      <c r="O1580" s="244"/>
      <c r="P1580" s="252"/>
      <c r="Q1580" s="252"/>
      <c r="R1580" s="252"/>
      <c r="S1580" s="256"/>
      <c r="T1580" s="256"/>
      <c r="U1580" s="256"/>
      <c r="V1580" s="252"/>
      <c r="W1580" s="524"/>
      <c r="X1580" s="256"/>
      <c r="Y1580" s="252"/>
      <c r="AA1580" s="257"/>
      <c r="AD1580" s="244"/>
      <c r="AE1580" s="256"/>
      <c r="AF1580" s="256"/>
    </row>
    <row r="1581" spans="4:32" x14ac:dyDescent="0.3">
      <c r="D1581" s="513"/>
      <c r="E1581" s="513"/>
      <c r="F1581" s="515"/>
      <c r="G1581" s="515"/>
      <c r="I1581" s="513"/>
      <c r="J1581" s="255"/>
      <c r="K1581" s="255"/>
      <c r="L1581" s="513"/>
      <c r="M1581" s="244"/>
      <c r="N1581" s="244"/>
      <c r="P1581" s="252"/>
      <c r="Q1581" s="252"/>
      <c r="R1581" s="252"/>
      <c r="S1581" s="256"/>
      <c r="T1581" s="256"/>
      <c r="U1581" s="256"/>
      <c r="V1581" s="252"/>
      <c r="W1581" s="524"/>
      <c r="X1581" s="256"/>
      <c r="Y1581" s="252"/>
      <c r="AA1581" s="257"/>
      <c r="AD1581" s="244"/>
      <c r="AE1581" s="256"/>
      <c r="AF1581" s="256"/>
    </row>
    <row r="1582" spans="4:32" x14ac:dyDescent="0.3">
      <c r="D1582" s="513"/>
      <c r="E1582" s="513"/>
      <c r="F1582" s="515"/>
      <c r="G1582" s="515"/>
      <c r="I1582" s="513"/>
      <c r="J1582" s="255"/>
      <c r="K1582" s="255"/>
      <c r="L1582" s="513"/>
      <c r="M1582" s="244"/>
      <c r="N1582" s="244"/>
      <c r="O1582" s="244"/>
      <c r="P1582" s="252"/>
      <c r="Q1582" s="252"/>
      <c r="R1582" s="252"/>
      <c r="S1582" s="256"/>
      <c r="T1582" s="256"/>
      <c r="U1582" s="256"/>
      <c r="V1582" s="252"/>
      <c r="W1582" s="524"/>
      <c r="X1582" s="256"/>
      <c r="Y1582" s="252"/>
      <c r="AA1582" s="257"/>
      <c r="AD1582" s="244"/>
      <c r="AE1582" s="256"/>
      <c r="AF1582" s="256"/>
    </row>
    <row r="1583" spans="4:32" x14ac:dyDescent="0.3">
      <c r="D1583" s="513"/>
      <c r="E1583" s="513"/>
      <c r="F1583" s="515"/>
      <c r="G1583" s="515"/>
      <c r="I1583" s="513"/>
      <c r="J1583" s="255"/>
      <c r="K1583" s="255"/>
      <c r="L1583" s="513"/>
      <c r="M1583" s="244"/>
      <c r="N1583" s="244"/>
      <c r="O1583" s="244"/>
      <c r="P1583" s="252"/>
      <c r="Q1583" s="252"/>
      <c r="R1583" s="252"/>
      <c r="S1583" s="256"/>
      <c r="T1583" s="256"/>
      <c r="U1583" s="256"/>
      <c r="V1583" s="252"/>
      <c r="W1583" s="524"/>
      <c r="X1583" s="256"/>
      <c r="Y1583" s="252"/>
      <c r="AA1583" s="257"/>
      <c r="AD1583" s="244"/>
      <c r="AE1583" s="256"/>
      <c r="AF1583" s="256"/>
    </row>
    <row r="1584" spans="4:32" x14ac:dyDescent="0.3">
      <c r="D1584" s="513"/>
      <c r="E1584" s="513"/>
      <c r="F1584" s="515"/>
      <c r="G1584" s="515"/>
      <c r="I1584" s="513"/>
      <c r="J1584" s="255"/>
      <c r="K1584" s="255"/>
      <c r="L1584" s="513"/>
      <c r="M1584" s="244"/>
      <c r="N1584" s="244"/>
      <c r="P1584" s="252"/>
      <c r="Q1584" s="252"/>
      <c r="R1584" s="252"/>
      <c r="S1584" s="256"/>
      <c r="T1584" s="256"/>
      <c r="U1584" s="256"/>
      <c r="V1584" s="252"/>
      <c r="W1584" s="524"/>
      <c r="X1584" s="256"/>
      <c r="Y1584" s="252"/>
      <c r="AA1584" s="257"/>
      <c r="AD1584" s="244"/>
      <c r="AE1584" s="256"/>
      <c r="AF1584" s="256"/>
    </row>
    <row r="1585" spans="4:32" x14ac:dyDescent="0.3">
      <c r="D1585" s="513"/>
      <c r="E1585" s="513"/>
      <c r="F1585" s="515"/>
      <c r="G1585" s="515"/>
      <c r="I1585" s="513"/>
      <c r="J1585" s="255"/>
      <c r="K1585" s="255"/>
      <c r="L1585" s="513"/>
      <c r="M1585" s="244"/>
      <c r="N1585" s="244"/>
      <c r="O1585" s="244"/>
      <c r="P1585" s="252"/>
      <c r="Q1585" s="252"/>
      <c r="R1585" s="252"/>
      <c r="S1585" s="256"/>
      <c r="T1585" s="256"/>
      <c r="U1585" s="256"/>
      <c r="V1585" s="252"/>
      <c r="W1585" s="524"/>
      <c r="X1585" s="256"/>
      <c r="Y1585" s="252"/>
      <c r="AA1585" s="257"/>
      <c r="AD1585" s="244"/>
      <c r="AE1585" s="256"/>
      <c r="AF1585" s="256"/>
    </row>
    <row r="1586" spans="4:32" x14ac:dyDescent="0.3">
      <c r="D1586" s="513"/>
      <c r="E1586" s="513"/>
      <c r="F1586" s="515"/>
      <c r="G1586" s="515"/>
      <c r="I1586" s="513"/>
      <c r="J1586" s="255"/>
      <c r="K1586" s="255"/>
      <c r="L1586" s="513"/>
      <c r="M1586" s="244"/>
      <c r="N1586" s="244"/>
      <c r="O1586" s="244"/>
      <c r="P1586" s="252"/>
      <c r="Q1586" s="252"/>
      <c r="R1586" s="252"/>
      <c r="S1586" s="256"/>
      <c r="T1586" s="256"/>
      <c r="U1586" s="256"/>
      <c r="V1586" s="252"/>
      <c r="W1586" s="524"/>
      <c r="X1586" s="256"/>
      <c r="Y1586" s="252"/>
      <c r="AA1586" s="257"/>
      <c r="AD1586" s="244"/>
      <c r="AE1586" s="256"/>
      <c r="AF1586" s="256"/>
    </row>
    <row r="1587" spans="4:32" x14ac:dyDescent="0.3">
      <c r="D1587" s="513"/>
      <c r="E1587" s="513"/>
      <c r="F1587" s="515"/>
      <c r="G1587" s="515"/>
      <c r="I1587" s="513"/>
      <c r="J1587" s="255"/>
      <c r="K1587" s="255"/>
      <c r="L1587" s="513"/>
      <c r="M1587" s="244"/>
      <c r="N1587" s="244"/>
      <c r="P1587" s="252"/>
      <c r="Q1587" s="252"/>
      <c r="R1587" s="252"/>
      <c r="S1587" s="256"/>
      <c r="T1587" s="256"/>
      <c r="U1587" s="256"/>
      <c r="V1587" s="252"/>
      <c r="W1587" s="524"/>
      <c r="X1587" s="256"/>
      <c r="Y1587" s="252"/>
      <c r="AA1587" s="257"/>
      <c r="AD1587" s="244"/>
      <c r="AE1587" s="256"/>
      <c r="AF1587" s="256"/>
    </row>
    <row r="1588" spans="4:32" x14ac:dyDescent="0.3">
      <c r="D1588" s="513"/>
      <c r="E1588" s="513"/>
      <c r="F1588" s="515"/>
      <c r="G1588" s="515"/>
      <c r="I1588" s="513"/>
      <c r="J1588" s="255"/>
      <c r="K1588" s="255"/>
      <c r="L1588" s="513"/>
      <c r="M1588" s="244"/>
      <c r="N1588" s="244"/>
      <c r="O1588" s="244"/>
      <c r="P1588" s="252"/>
      <c r="Q1588" s="252"/>
      <c r="R1588" s="252"/>
      <c r="S1588" s="256"/>
      <c r="T1588" s="256"/>
      <c r="U1588" s="256"/>
      <c r="V1588" s="252"/>
      <c r="W1588" s="524"/>
      <c r="X1588" s="256"/>
      <c r="Y1588" s="252"/>
      <c r="AA1588" s="257"/>
      <c r="AD1588" s="244"/>
      <c r="AE1588" s="256"/>
      <c r="AF1588" s="256"/>
    </row>
    <row r="1589" spans="4:32" x14ac:dyDescent="0.3">
      <c r="D1589" s="513"/>
      <c r="E1589" s="513"/>
      <c r="F1589" s="515"/>
      <c r="G1589" s="515"/>
      <c r="I1589" s="513"/>
      <c r="J1589" s="255"/>
      <c r="K1589" s="255"/>
      <c r="L1589" s="513"/>
      <c r="M1589" s="244"/>
      <c r="N1589" s="244"/>
      <c r="O1589" s="244"/>
      <c r="P1589" s="252"/>
      <c r="Q1589" s="252"/>
      <c r="R1589" s="252"/>
      <c r="S1589" s="256"/>
      <c r="T1589" s="256"/>
      <c r="U1589" s="256"/>
      <c r="V1589" s="252"/>
      <c r="W1589" s="524"/>
      <c r="X1589" s="256"/>
      <c r="Y1589" s="252"/>
      <c r="AA1589" s="257"/>
      <c r="AD1589" s="244"/>
      <c r="AE1589" s="256"/>
      <c r="AF1589" s="256"/>
    </row>
    <row r="1590" spans="4:32" x14ac:dyDescent="0.3">
      <c r="D1590" s="513"/>
      <c r="E1590" s="513"/>
      <c r="F1590" s="515"/>
      <c r="G1590" s="515"/>
      <c r="I1590" s="513"/>
      <c r="J1590" s="255"/>
      <c r="K1590" s="255"/>
      <c r="L1590" s="513"/>
      <c r="M1590" s="244"/>
      <c r="N1590" s="244"/>
      <c r="P1590" s="252"/>
      <c r="Q1590" s="252"/>
      <c r="R1590" s="252"/>
      <c r="S1590" s="256"/>
      <c r="T1590" s="256"/>
      <c r="U1590" s="256"/>
      <c r="V1590" s="252"/>
      <c r="W1590" s="524"/>
      <c r="X1590" s="256"/>
      <c r="Y1590" s="252"/>
      <c r="AA1590" s="257"/>
      <c r="AD1590" s="244"/>
      <c r="AE1590" s="256"/>
      <c r="AF1590" s="256"/>
    </row>
    <row r="1591" spans="4:32" x14ac:dyDescent="0.3">
      <c r="D1591" s="513"/>
      <c r="E1591" s="513"/>
      <c r="F1591" s="515"/>
      <c r="G1591" s="515"/>
      <c r="I1591" s="513"/>
      <c r="J1591" s="255"/>
      <c r="K1591" s="255"/>
      <c r="L1591" s="513"/>
      <c r="M1591" s="244"/>
      <c r="N1591" s="244"/>
      <c r="O1591" s="244"/>
      <c r="P1591" s="252"/>
      <c r="Q1591" s="252"/>
      <c r="R1591" s="252"/>
      <c r="S1591" s="256"/>
      <c r="T1591" s="256"/>
      <c r="U1591" s="256"/>
      <c r="V1591" s="252"/>
      <c r="W1591" s="524"/>
      <c r="X1591" s="256"/>
      <c r="Y1591" s="252"/>
      <c r="AA1591" s="257"/>
      <c r="AD1591" s="244"/>
      <c r="AE1591" s="256"/>
      <c r="AF1591" s="256"/>
    </row>
    <row r="1592" spans="4:32" x14ac:dyDescent="0.3">
      <c r="D1592" s="513"/>
      <c r="E1592" s="513"/>
      <c r="F1592" s="515"/>
      <c r="G1592" s="515"/>
      <c r="I1592" s="513"/>
      <c r="J1592" s="255"/>
      <c r="K1592" s="255"/>
      <c r="L1592" s="513"/>
      <c r="M1592" s="244"/>
      <c r="N1592" s="244"/>
      <c r="O1592" s="244"/>
      <c r="P1592" s="252"/>
      <c r="Q1592" s="252"/>
      <c r="R1592" s="252"/>
      <c r="S1592" s="256"/>
      <c r="T1592" s="256"/>
      <c r="U1592" s="256"/>
      <c r="V1592" s="252"/>
      <c r="W1592" s="524"/>
      <c r="X1592" s="256"/>
      <c r="Y1592" s="252"/>
      <c r="AA1592" s="257"/>
      <c r="AD1592" s="244"/>
      <c r="AE1592" s="256"/>
      <c r="AF1592" s="256"/>
    </row>
    <row r="1593" spans="4:32" x14ac:dyDescent="0.3">
      <c r="D1593" s="513"/>
      <c r="E1593" s="513"/>
      <c r="F1593" s="515"/>
      <c r="G1593" s="515"/>
      <c r="I1593" s="513"/>
      <c r="J1593" s="255"/>
      <c r="K1593" s="255"/>
      <c r="L1593" s="513"/>
      <c r="M1593" s="244"/>
      <c r="N1593" s="244"/>
      <c r="P1593" s="252"/>
      <c r="Q1593" s="252"/>
      <c r="R1593" s="252"/>
      <c r="S1593" s="256"/>
      <c r="T1593" s="256"/>
      <c r="U1593" s="256"/>
      <c r="V1593" s="252"/>
      <c r="W1593" s="524"/>
      <c r="X1593" s="256"/>
      <c r="Y1593" s="252"/>
      <c r="AA1593" s="257"/>
      <c r="AD1593" s="244"/>
      <c r="AE1593" s="256"/>
      <c r="AF1593" s="256"/>
    </row>
    <row r="1594" spans="4:32" x14ac:dyDescent="0.3">
      <c r="D1594" s="513"/>
      <c r="E1594" s="513"/>
      <c r="F1594" s="515"/>
      <c r="G1594" s="515"/>
      <c r="I1594" s="513"/>
      <c r="J1594" s="255"/>
      <c r="K1594" s="255"/>
      <c r="L1594" s="513"/>
      <c r="M1594" s="244"/>
      <c r="N1594" s="244"/>
      <c r="O1594" s="244"/>
      <c r="P1594" s="252"/>
      <c r="Q1594" s="252"/>
      <c r="R1594" s="252"/>
      <c r="S1594" s="256"/>
      <c r="T1594" s="256"/>
      <c r="U1594" s="256"/>
      <c r="V1594" s="252"/>
      <c r="W1594" s="524"/>
      <c r="X1594" s="256"/>
      <c r="Y1594" s="252"/>
      <c r="AA1594" s="257"/>
      <c r="AD1594" s="244"/>
      <c r="AE1594" s="256"/>
      <c r="AF1594" s="256"/>
    </row>
    <row r="1595" spans="4:32" x14ac:dyDescent="0.3">
      <c r="D1595" s="513"/>
      <c r="E1595" s="513"/>
      <c r="F1595" s="515"/>
      <c r="G1595" s="515"/>
      <c r="I1595" s="513"/>
      <c r="J1595" s="255"/>
      <c r="K1595" s="255"/>
      <c r="L1595" s="513"/>
      <c r="M1595" s="244"/>
      <c r="N1595" s="244"/>
      <c r="O1595" s="244"/>
      <c r="P1595" s="252"/>
      <c r="Q1595" s="252"/>
      <c r="R1595" s="252"/>
      <c r="S1595" s="256"/>
      <c r="T1595" s="256"/>
      <c r="U1595" s="256"/>
      <c r="V1595" s="252"/>
      <c r="W1595" s="524"/>
      <c r="X1595" s="256"/>
      <c r="Y1595" s="252"/>
      <c r="AA1595" s="257"/>
      <c r="AD1595" s="244"/>
      <c r="AE1595" s="256"/>
      <c r="AF1595" s="256"/>
    </row>
    <row r="1596" spans="4:32" x14ac:dyDescent="0.3">
      <c r="D1596" s="513"/>
      <c r="E1596" s="513"/>
      <c r="F1596" s="515"/>
      <c r="G1596" s="515"/>
      <c r="I1596" s="513"/>
      <c r="J1596" s="255"/>
      <c r="K1596" s="255"/>
      <c r="L1596" s="513"/>
      <c r="M1596" s="244"/>
      <c r="N1596" s="244"/>
      <c r="P1596" s="252"/>
      <c r="Q1596" s="252"/>
      <c r="R1596" s="252"/>
      <c r="S1596" s="256"/>
      <c r="T1596" s="256"/>
      <c r="U1596" s="256"/>
      <c r="V1596" s="252"/>
      <c r="W1596" s="524"/>
      <c r="X1596" s="256"/>
      <c r="Y1596" s="252"/>
      <c r="AA1596" s="257"/>
      <c r="AD1596" s="244"/>
      <c r="AE1596" s="256"/>
      <c r="AF1596" s="256"/>
    </row>
    <row r="1597" spans="4:32" x14ac:dyDescent="0.3">
      <c r="D1597" s="513"/>
      <c r="E1597" s="513"/>
      <c r="F1597" s="515"/>
      <c r="G1597" s="515"/>
      <c r="I1597" s="513"/>
      <c r="J1597" s="255"/>
      <c r="K1597" s="255"/>
      <c r="L1597" s="513"/>
      <c r="M1597" s="244"/>
      <c r="N1597" s="244"/>
      <c r="O1597" s="244"/>
      <c r="P1597" s="252"/>
      <c r="Q1597" s="252"/>
      <c r="R1597" s="252"/>
      <c r="S1597" s="256"/>
      <c r="T1597" s="256"/>
      <c r="U1597" s="256"/>
      <c r="V1597" s="252"/>
      <c r="W1597" s="524"/>
      <c r="X1597" s="256"/>
      <c r="Y1597" s="252"/>
      <c r="AA1597" s="257"/>
      <c r="AD1597" s="244"/>
      <c r="AE1597" s="256"/>
      <c r="AF1597" s="256"/>
    </row>
    <row r="1598" spans="4:32" x14ac:dyDescent="0.3">
      <c r="D1598" s="513"/>
      <c r="E1598" s="513"/>
      <c r="F1598" s="515"/>
      <c r="G1598" s="515"/>
      <c r="I1598" s="513"/>
      <c r="J1598" s="255"/>
      <c r="K1598" s="255"/>
      <c r="L1598" s="513"/>
      <c r="M1598" s="244"/>
      <c r="N1598" s="244"/>
      <c r="O1598" s="244"/>
      <c r="P1598" s="252"/>
      <c r="Q1598" s="252"/>
      <c r="R1598" s="252"/>
      <c r="S1598" s="256"/>
      <c r="T1598" s="256"/>
      <c r="U1598" s="256"/>
      <c r="V1598" s="252"/>
      <c r="W1598" s="524"/>
      <c r="X1598" s="256"/>
      <c r="Y1598" s="252"/>
      <c r="AA1598" s="257"/>
      <c r="AD1598" s="244"/>
      <c r="AE1598" s="256"/>
      <c r="AF1598" s="256"/>
    </row>
    <row r="1599" spans="4:32" x14ac:dyDescent="0.3">
      <c r="D1599" s="513"/>
      <c r="E1599" s="513"/>
      <c r="F1599" s="515"/>
      <c r="G1599" s="515"/>
      <c r="I1599" s="513"/>
      <c r="J1599" s="255"/>
      <c r="K1599" s="255"/>
      <c r="L1599" s="513"/>
      <c r="M1599" s="244"/>
      <c r="N1599" s="244"/>
      <c r="P1599" s="252"/>
      <c r="Q1599" s="252"/>
      <c r="R1599" s="252"/>
      <c r="S1599" s="256"/>
      <c r="T1599" s="256"/>
      <c r="U1599" s="256"/>
      <c r="V1599" s="252"/>
      <c r="W1599" s="524"/>
      <c r="X1599" s="256"/>
      <c r="Y1599" s="252"/>
      <c r="AA1599" s="257"/>
      <c r="AD1599" s="244"/>
      <c r="AE1599" s="256"/>
      <c r="AF1599" s="256"/>
    </row>
    <row r="1600" spans="4:32" x14ac:dyDescent="0.3">
      <c r="D1600" s="513"/>
      <c r="E1600" s="513"/>
      <c r="F1600" s="515"/>
      <c r="G1600" s="515"/>
      <c r="I1600" s="513"/>
      <c r="J1600" s="255"/>
      <c r="K1600" s="255"/>
      <c r="L1600" s="513"/>
      <c r="M1600" s="244"/>
      <c r="N1600" s="244"/>
      <c r="O1600" s="244"/>
      <c r="P1600" s="252"/>
      <c r="Q1600" s="252"/>
      <c r="R1600" s="252"/>
      <c r="S1600" s="256"/>
      <c r="T1600" s="256"/>
      <c r="U1600" s="256"/>
      <c r="V1600" s="252"/>
      <c r="W1600" s="524"/>
      <c r="X1600" s="256"/>
      <c r="Y1600" s="252"/>
      <c r="AA1600" s="257"/>
      <c r="AD1600" s="244"/>
      <c r="AE1600" s="256"/>
      <c r="AF1600" s="256"/>
    </row>
    <row r="1601" spans="4:32" x14ac:dyDescent="0.3">
      <c r="D1601" s="513"/>
      <c r="E1601" s="513"/>
      <c r="F1601" s="515"/>
      <c r="G1601" s="515"/>
      <c r="I1601" s="513"/>
      <c r="J1601" s="255"/>
      <c r="K1601" s="255"/>
      <c r="L1601" s="513"/>
      <c r="M1601" s="244"/>
      <c r="N1601" s="244"/>
      <c r="O1601" s="244"/>
      <c r="P1601" s="252"/>
      <c r="Q1601" s="252"/>
      <c r="R1601" s="252"/>
      <c r="S1601" s="256"/>
      <c r="T1601" s="256"/>
      <c r="U1601" s="256"/>
      <c r="V1601" s="252"/>
      <c r="W1601" s="524"/>
      <c r="X1601" s="256"/>
      <c r="Y1601" s="252"/>
      <c r="AA1601" s="257"/>
      <c r="AD1601" s="244"/>
      <c r="AE1601" s="256"/>
      <c r="AF1601" s="256"/>
    </row>
    <row r="1602" spans="4:32" x14ac:dyDescent="0.3">
      <c r="D1602" s="513"/>
      <c r="E1602" s="513"/>
      <c r="F1602" s="515"/>
      <c r="G1602" s="515"/>
      <c r="I1602" s="513"/>
      <c r="J1602" s="255"/>
      <c r="K1602" s="255"/>
      <c r="L1602" s="513"/>
      <c r="M1602" s="244"/>
      <c r="N1602" s="244"/>
      <c r="P1602" s="252"/>
      <c r="Q1602" s="252"/>
      <c r="R1602" s="252"/>
      <c r="S1602" s="256"/>
      <c r="T1602" s="256"/>
      <c r="U1602" s="256"/>
      <c r="V1602" s="252"/>
      <c r="W1602" s="524"/>
      <c r="X1602" s="256"/>
      <c r="Y1602" s="252"/>
      <c r="AA1602" s="257"/>
      <c r="AD1602" s="244"/>
      <c r="AE1602" s="256"/>
      <c r="AF1602" s="256"/>
    </row>
    <row r="1603" spans="4:32" x14ac:dyDescent="0.3">
      <c r="D1603" s="513"/>
      <c r="E1603" s="513"/>
      <c r="F1603" s="515"/>
      <c r="G1603" s="515"/>
      <c r="I1603" s="513"/>
      <c r="J1603" s="255"/>
      <c r="K1603" s="255"/>
      <c r="L1603" s="513"/>
      <c r="M1603" s="244"/>
      <c r="N1603" s="244"/>
      <c r="O1603" s="244"/>
      <c r="P1603" s="252"/>
      <c r="Q1603" s="252"/>
      <c r="R1603" s="252"/>
      <c r="S1603" s="256"/>
      <c r="T1603" s="256"/>
      <c r="U1603" s="256"/>
      <c r="V1603" s="252"/>
      <c r="W1603" s="524"/>
      <c r="X1603" s="256"/>
      <c r="Y1603" s="252"/>
      <c r="AA1603" s="257"/>
      <c r="AD1603" s="244"/>
      <c r="AE1603" s="256"/>
      <c r="AF1603" s="256"/>
    </row>
    <row r="1604" spans="4:32" x14ac:dyDescent="0.3">
      <c r="D1604" s="513"/>
      <c r="E1604" s="513"/>
      <c r="F1604" s="515"/>
      <c r="G1604" s="515"/>
      <c r="I1604" s="513"/>
      <c r="J1604" s="255"/>
      <c r="K1604" s="255"/>
      <c r="L1604" s="513"/>
      <c r="M1604" s="244"/>
      <c r="N1604" s="244"/>
      <c r="O1604" s="244"/>
      <c r="P1604" s="252"/>
      <c r="Q1604" s="252"/>
      <c r="R1604" s="252"/>
      <c r="S1604" s="256"/>
      <c r="T1604" s="256"/>
      <c r="U1604" s="256"/>
      <c r="V1604" s="252"/>
      <c r="W1604" s="524"/>
      <c r="X1604" s="256"/>
      <c r="Y1604" s="252"/>
      <c r="AA1604" s="257"/>
      <c r="AD1604" s="244"/>
      <c r="AE1604" s="256"/>
      <c r="AF1604" s="256"/>
    </row>
    <row r="1605" spans="4:32" x14ac:dyDescent="0.3">
      <c r="D1605" s="513"/>
      <c r="E1605" s="513"/>
      <c r="F1605" s="515"/>
      <c r="G1605" s="515"/>
      <c r="I1605" s="513"/>
      <c r="J1605" s="255"/>
      <c r="K1605" s="255"/>
      <c r="L1605" s="513"/>
      <c r="M1605" s="244"/>
      <c r="N1605" s="244"/>
      <c r="P1605" s="252"/>
      <c r="Q1605" s="252"/>
      <c r="R1605" s="252"/>
      <c r="S1605" s="256"/>
      <c r="T1605" s="256"/>
      <c r="U1605" s="256"/>
      <c r="V1605" s="252"/>
      <c r="W1605" s="524"/>
      <c r="X1605" s="256"/>
      <c r="Y1605" s="252"/>
      <c r="AA1605" s="257"/>
      <c r="AD1605" s="244"/>
      <c r="AE1605" s="256"/>
      <c r="AF1605" s="256"/>
    </row>
    <row r="1606" spans="4:32" x14ac:dyDescent="0.3">
      <c r="D1606" s="513"/>
      <c r="E1606" s="513"/>
      <c r="F1606" s="515"/>
      <c r="G1606" s="515"/>
      <c r="I1606" s="513"/>
      <c r="J1606" s="255"/>
      <c r="K1606" s="255"/>
      <c r="L1606" s="513"/>
      <c r="M1606" s="244"/>
      <c r="N1606" s="244"/>
      <c r="O1606" s="244"/>
      <c r="P1606" s="252"/>
      <c r="Q1606" s="252"/>
      <c r="R1606" s="252"/>
      <c r="S1606" s="256"/>
      <c r="T1606" s="256"/>
      <c r="U1606" s="256"/>
      <c r="V1606" s="252"/>
      <c r="W1606" s="524"/>
      <c r="X1606" s="256"/>
      <c r="Y1606" s="252"/>
      <c r="AA1606" s="257"/>
      <c r="AD1606" s="244"/>
      <c r="AE1606" s="256"/>
      <c r="AF1606" s="256"/>
    </row>
    <row r="1607" spans="4:32" x14ac:dyDescent="0.3">
      <c r="D1607" s="513"/>
      <c r="E1607" s="513"/>
      <c r="F1607" s="515"/>
      <c r="G1607" s="515"/>
      <c r="I1607" s="513"/>
      <c r="J1607" s="255"/>
      <c r="K1607" s="255"/>
      <c r="L1607" s="513"/>
      <c r="M1607" s="244"/>
      <c r="N1607" s="244"/>
      <c r="O1607" s="244"/>
      <c r="P1607" s="252"/>
      <c r="Q1607" s="252"/>
      <c r="R1607" s="252"/>
      <c r="S1607" s="256"/>
      <c r="T1607" s="256"/>
      <c r="U1607" s="256"/>
      <c r="V1607" s="252"/>
      <c r="W1607" s="524"/>
      <c r="X1607" s="256"/>
      <c r="Y1607" s="252"/>
      <c r="AA1607" s="257"/>
      <c r="AD1607" s="244"/>
      <c r="AE1607" s="256"/>
      <c r="AF1607" s="256"/>
    </row>
    <row r="1608" spans="4:32" x14ac:dyDescent="0.3">
      <c r="D1608" s="513"/>
      <c r="E1608" s="513"/>
      <c r="F1608" s="515"/>
      <c r="G1608" s="515"/>
      <c r="I1608" s="513"/>
      <c r="J1608" s="255"/>
      <c r="K1608" s="255"/>
      <c r="L1608" s="513"/>
      <c r="M1608" s="244"/>
      <c r="N1608" s="244"/>
      <c r="P1608" s="252"/>
      <c r="Q1608" s="252"/>
      <c r="R1608" s="252"/>
      <c r="S1608" s="256"/>
      <c r="T1608" s="256"/>
      <c r="U1608" s="256"/>
      <c r="V1608" s="252"/>
      <c r="W1608" s="524"/>
      <c r="X1608" s="256"/>
      <c r="Y1608" s="252"/>
      <c r="AA1608" s="257"/>
      <c r="AD1608" s="244"/>
      <c r="AE1608" s="256"/>
      <c r="AF1608" s="256"/>
    </row>
    <row r="1609" spans="4:32" x14ac:dyDescent="0.3">
      <c r="D1609" s="513"/>
      <c r="E1609" s="513"/>
      <c r="F1609" s="515"/>
      <c r="G1609" s="515"/>
      <c r="I1609" s="513"/>
      <c r="J1609" s="255"/>
      <c r="K1609" s="255"/>
      <c r="L1609" s="513"/>
      <c r="M1609" s="244"/>
      <c r="N1609" s="244"/>
      <c r="P1609" s="252"/>
      <c r="Q1609" s="252"/>
      <c r="R1609" s="252"/>
      <c r="S1609" s="256"/>
      <c r="T1609" s="256"/>
      <c r="U1609" s="256"/>
      <c r="V1609" s="252"/>
      <c r="W1609" s="524"/>
      <c r="X1609" s="256"/>
      <c r="Y1609" s="252"/>
      <c r="AA1609" s="257"/>
      <c r="AD1609" s="244"/>
      <c r="AE1609" s="256"/>
      <c r="AF1609" s="256"/>
    </row>
    <row r="1610" spans="4:32" x14ac:dyDescent="0.3">
      <c r="D1610" s="513"/>
      <c r="E1610" s="513"/>
      <c r="F1610" s="515"/>
      <c r="G1610" s="515"/>
      <c r="I1610" s="513"/>
      <c r="J1610" s="255"/>
      <c r="K1610" s="255"/>
      <c r="L1610" s="513"/>
      <c r="M1610" s="244"/>
      <c r="N1610" s="244"/>
      <c r="P1610" s="252"/>
      <c r="Q1610" s="252"/>
      <c r="R1610" s="252"/>
      <c r="S1610" s="256"/>
      <c r="T1610" s="256"/>
      <c r="U1610" s="256"/>
      <c r="V1610" s="252"/>
      <c r="W1610" s="524"/>
      <c r="X1610" s="256"/>
      <c r="Y1610" s="252"/>
      <c r="AA1610" s="257"/>
      <c r="AD1610" s="244"/>
      <c r="AE1610" s="256"/>
      <c r="AF1610" s="256"/>
    </row>
    <row r="1611" spans="4:32" x14ac:dyDescent="0.3">
      <c r="D1611" s="513"/>
      <c r="E1611" s="513"/>
      <c r="F1611" s="515"/>
      <c r="G1611" s="515"/>
      <c r="I1611" s="513"/>
      <c r="J1611" s="255"/>
      <c r="K1611" s="255"/>
      <c r="L1611" s="513"/>
      <c r="M1611" s="244"/>
      <c r="N1611" s="244"/>
      <c r="O1611" s="244"/>
      <c r="P1611" s="252"/>
      <c r="Q1611" s="252"/>
      <c r="R1611" s="252"/>
      <c r="S1611" s="256"/>
      <c r="T1611" s="256"/>
      <c r="U1611" s="256"/>
      <c r="V1611" s="252"/>
      <c r="W1611" s="524"/>
      <c r="X1611" s="256"/>
      <c r="Y1611" s="252"/>
      <c r="AA1611" s="257"/>
      <c r="AD1611" s="244"/>
      <c r="AE1611" s="256"/>
      <c r="AF1611" s="256"/>
    </row>
    <row r="1612" spans="4:32" x14ac:dyDescent="0.3">
      <c r="D1612" s="513"/>
      <c r="E1612" s="513"/>
      <c r="F1612" s="515"/>
      <c r="G1612" s="515"/>
      <c r="I1612" s="513"/>
      <c r="J1612" s="255"/>
      <c r="K1612" s="255"/>
      <c r="L1612" s="513"/>
      <c r="M1612" s="244"/>
      <c r="N1612" s="244"/>
      <c r="O1612" s="244"/>
      <c r="P1612" s="252"/>
      <c r="Q1612" s="252"/>
      <c r="R1612" s="252"/>
      <c r="S1612" s="256"/>
      <c r="T1612" s="256"/>
      <c r="U1612" s="256"/>
      <c r="V1612" s="252"/>
      <c r="W1612" s="524"/>
      <c r="X1612" s="256"/>
      <c r="Y1612" s="252"/>
      <c r="AA1612" s="257"/>
      <c r="AD1612" s="244"/>
      <c r="AE1612" s="256"/>
      <c r="AF1612" s="256"/>
    </row>
    <row r="1613" spans="4:32" x14ac:dyDescent="0.3">
      <c r="D1613" s="513"/>
      <c r="E1613" s="513"/>
      <c r="F1613" s="515"/>
      <c r="G1613" s="515"/>
      <c r="I1613" s="513"/>
      <c r="J1613" s="255"/>
      <c r="K1613" s="255"/>
      <c r="L1613" s="513"/>
      <c r="M1613" s="244"/>
      <c r="N1613" s="244"/>
      <c r="P1613" s="252"/>
      <c r="Q1613" s="252"/>
      <c r="R1613" s="252"/>
      <c r="S1613" s="256"/>
      <c r="T1613" s="256"/>
      <c r="U1613" s="256"/>
      <c r="V1613" s="252"/>
      <c r="W1613" s="524"/>
      <c r="X1613" s="256"/>
      <c r="Y1613" s="252"/>
      <c r="AA1613" s="257"/>
      <c r="AD1613" s="244"/>
      <c r="AE1613" s="256"/>
      <c r="AF1613" s="256"/>
    </row>
    <row r="1614" spans="4:32" x14ac:dyDescent="0.3">
      <c r="D1614" s="513"/>
      <c r="E1614" s="513"/>
      <c r="F1614" s="515"/>
      <c r="G1614" s="515"/>
      <c r="I1614" s="513"/>
      <c r="J1614" s="255"/>
      <c r="K1614" s="255"/>
      <c r="L1614" s="513"/>
      <c r="M1614" s="244"/>
      <c r="N1614" s="244"/>
      <c r="O1614" s="244"/>
      <c r="P1614" s="252"/>
      <c r="Q1614" s="252"/>
      <c r="R1614" s="252"/>
      <c r="S1614" s="256"/>
      <c r="T1614" s="256"/>
      <c r="U1614" s="256"/>
      <c r="V1614" s="252"/>
      <c r="W1614" s="524"/>
      <c r="X1614" s="256"/>
      <c r="Y1614" s="252"/>
      <c r="AA1614" s="257"/>
      <c r="AD1614" s="244"/>
      <c r="AE1614" s="256"/>
      <c r="AF1614" s="256"/>
    </row>
    <row r="1615" spans="4:32" x14ac:dyDescent="0.3">
      <c r="D1615" s="513"/>
      <c r="E1615" s="513"/>
      <c r="F1615" s="515"/>
      <c r="G1615" s="515"/>
      <c r="I1615" s="513"/>
      <c r="J1615" s="255"/>
      <c r="K1615" s="255"/>
      <c r="L1615" s="513"/>
      <c r="M1615" s="244"/>
      <c r="N1615" s="244"/>
      <c r="O1615" s="244"/>
      <c r="P1615" s="252"/>
      <c r="Q1615" s="252"/>
      <c r="R1615" s="252"/>
      <c r="S1615" s="256"/>
      <c r="T1615" s="256"/>
      <c r="U1615" s="256"/>
      <c r="V1615" s="252"/>
      <c r="W1615" s="524"/>
      <c r="X1615" s="256"/>
      <c r="Y1615" s="252"/>
      <c r="AA1615" s="257"/>
      <c r="AD1615" s="244"/>
      <c r="AE1615" s="256"/>
      <c r="AF1615" s="256"/>
    </row>
    <row r="1616" spans="4:32" x14ac:dyDescent="0.3">
      <c r="D1616" s="513"/>
      <c r="E1616" s="513"/>
      <c r="F1616" s="515"/>
      <c r="G1616" s="515"/>
      <c r="I1616" s="513"/>
      <c r="J1616" s="255"/>
      <c r="K1616" s="255"/>
      <c r="L1616" s="513"/>
      <c r="M1616" s="244"/>
      <c r="N1616" s="244"/>
      <c r="P1616" s="252"/>
      <c r="Q1616" s="252"/>
      <c r="R1616" s="252"/>
      <c r="S1616" s="256"/>
      <c r="T1616" s="256"/>
      <c r="U1616" s="256"/>
      <c r="V1616" s="252"/>
      <c r="W1616" s="524"/>
      <c r="X1616" s="256"/>
      <c r="Y1616" s="252"/>
      <c r="AA1616" s="257"/>
      <c r="AD1616" s="244"/>
      <c r="AE1616" s="256"/>
      <c r="AF1616" s="256"/>
    </row>
    <row r="1617" spans="4:32" x14ac:dyDescent="0.3">
      <c r="D1617" s="513"/>
      <c r="E1617" s="513"/>
      <c r="F1617" s="515"/>
      <c r="G1617" s="515"/>
      <c r="I1617" s="513"/>
      <c r="J1617" s="255"/>
      <c r="K1617" s="255"/>
      <c r="L1617" s="513"/>
      <c r="M1617" s="244"/>
      <c r="N1617" s="244"/>
      <c r="P1617" s="252"/>
      <c r="Q1617" s="252"/>
      <c r="R1617" s="252"/>
      <c r="S1617" s="256"/>
      <c r="T1617" s="256"/>
      <c r="U1617" s="256"/>
      <c r="V1617" s="252"/>
      <c r="W1617" s="524"/>
      <c r="X1617" s="256"/>
      <c r="Y1617" s="252"/>
      <c r="AA1617" s="257"/>
      <c r="AD1617" s="244"/>
      <c r="AE1617" s="256"/>
      <c r="AF1617" s="256"/>
    </row>
    <row r="1618" spans="4:32" x14ac:dyDescent="0.3">
      <c r="D1618" s="513"/>
      <c r="E1618" s="513"/>
      <c r="F1618" s="515"/>
      <c r="G1618" s="515"/>
      <c r="I1618" s="513"/>
      <c r="J1618" s="255"/>
      <c r="K1618" s="255"/>
      <c r="L1618" s="513"/>
      <c r="M1618" s="244"/>
      <c r="N1618" s="244"/>
      <c r="P1618" s="252"/>
      <c r="Q1618" s="252"/>
      <c r="R1618" s="252"/>
      <c r="S1618" s="256"/>
      <c r="T1618" s="256"/>
      <c r="U1618" s="256"/>
      <c r="V1618" s="252"/>
      <c r="W1618" s="524"/>
      <c r="X1618" s="256"/>
      <c r="Y1618" s="252"/>
      <c r="AA1618" s="257"/>
      <c r="AD1618" s="244"/>
      <c r="AE1618" s="256"/>
      <c r="AF1618" s="256"/>
    </row>
    <row r="1619" spans="4:32" x14ac:dyDescent="0.3">
      <c r="D1619" s="513"/>
      <c r="E1619" s="513"/>
      <c r="F1619" s="515"/>
      <c r="G1619" s="515"/>
      <c r="I1619" s="513"/>
      <c r="J1619" s="255"/>
      <c r="K1619" s="255"/>
      <c r="L1619" s="513"/>
      <c r="M1619" s="244"/>
      <c r="N1619" s="244"/>
      <c r="O1619" s="244"/>
      <c r="P1619" s="252"/>
      <c r="Q1619" s="252"/>
      <c r="R1619" s="252"/>
      <c r="S1619" s="256"/>
      <c r="T1619" s="256"/>
      <c r="U1619" s="256"/>
      <c r="V1619" s="252"/>
      <c r="W1619" s="524"/>
      <c r="X1619" s="256"/>
      <c r="Y1619" s="252"/>
      <c r="AA1619" s="257"/>
      <c r="AD1619" s="244"/>
      <c r="AE1619" s="256"/>
      <c r="AF1619" s="256"/>
    </row>
    <row r="1620" spans="4:32" x14ac:dyDescent="0.3">
      <c r="D1620" s="513"/>
      <c r="E1620" s="513"/>
      <c r="F1620" s="515"/>
      <c r="G1620" s="515"/>
      <c r="I1620" s="513"/>
      <c r="J1620" s="255"/>
      <c r="K1620" s="255"/>
      <c r="L1620" s="513"/>
      <c r="M1620" s="244"/>
      <c r="N1620" s="244"/>
      <c r="O1620" s="244"/>
      <c r="P1620" s="252"/>
      <c r="Q1620" s="252"/>
      <c r="R1620" s="252"/>
      <c r="S1620" s="256"/>
      <c r="T1620" s="256"/>
      <c r="U1620" s="256"/>
      <c r="V1620" s="252"/>
      <c r="W1620" s="524"/>
      <c r="X1620" s="256"/>
      <c r="Y1620" s="252"/>
      <c r="AA1620" s="257"/>
      <c r="AD1620" s="244"/>
      <c r="AE1620" s="256"/>
      <c r="AF1620" s="256"/>
    </row>
    <row r="1621" spans="4:32" x14ac:dyDescent="0.3">
      <c r="D1621" s="513"/>
      <c r="E1621" s="513"/>
      <c r="F1621" s="515"/>
      <c r="G1621" s="515"/>
      <c r="I1621" s="513"/>
      <c r="J1621" s="255"/>
      <c r="K1621" s="255"/>
      <c r="L1621" s="513"/>
      <c r="M1621" s="244"/>
      <c r="N1621" s="244"/>
      <c r="P1621" s="252"/>
      <c r="Q1621" s="252"/>
      <c r="R1621" s="252"/>
      <c r="S1621" s="256"/>
      <c r="T1621" s="256"/>
      <c r="U1621" s="256"/>
      <c r="V1621" s="252"/>
      <c r="W1621" s="524"/>
      <c r="X1621" s="256"/>
      <c r="Y1621" s="252"/>
      <c r="AA1621" s="257"/>
      <c r="AD1621" s="244"/>
      <c r="AE1621" s="256"/>
      <c r="AF1621" s="256"/>
    </row>
    <row r="1622" spans="4:32" x14ac:dyDescent="0.3">
      <c r="D1622" s="513"/>
      <c r="E1622" s="513"/>
      <c r="F1622" s="515"/>
      <c r="G1622" s="515"/>
      <c r="I1622" s="513"/>
      <c r="J1622" s="255"/>
      <c r="K1622" s="255"/>
      <c r="L1622" s="513"/>
      <c r="M1622" s="244"/>
      <c r="N1622" s="244"/>
      <c r="O1622" s="244"/>
      <c r="P1622" s="252"/>
      <c r="Q1622" s="252"/>
      <c r="R1622" s="252"/>
      <c r="S1622" s="256"/>
      <c r="T1622" s="256"/>
      <c r="U1622" s="256"/>
      <c r="V1622" s="252"/>
      <c r="W1622" s="524"/>
      <c r="X1622" s="256"/>
      <c r="Y1622" s="252"/>
      <c r="AA1622" s="257"/>
      <c r="AD1622" s="244"/>
      <c r="AE1622" s="256"/>
      <c r="AF1622" s="256"/>
    </row>
    <row r="1623" spans="4:32" x14ac:dyDescent="0.3">
      <c r="D1623" s="513"/>
      <c r="E1623" s="513"/>
      <c r="F1623" s="515"/>
      <c r="G1623" s="515"/>
      <c r="I1623" s="513"/>
      <c r="J1623" s="255"/>
      <c r="K1623" s="255"/>
      <c r="L1623" s="513"/>
      <c r="M1623" s="244"/>
      <c r="N1623" s="244"/>
      <c r="O1623" s="244"/>
      <c r="P1623" s="252"/>
      <c r="Q1623" s="252"/>
      <c r="R1623" s="252"/>
      <c r="S1623" s="256"/>
      <c r="T1623" s="256"/>
      <c r="U1623" s="256"/>
      <c r="V1623" s="252"/>
      <c r="W1623" s="524"/>
      <c r="X1623" s="256"/>
      <c r="Y1623" s="252"/>
      <c r="AA1623" s="257"/>
      <c r="AD1623" s="244"/>
      <c r="AE1623" s="256"/>
      <c r="AF1623" s="256"/>
    </row>
    <row r="1624" spans="4:32" x14ac:dyDescent="0.3">
      <c r="D1624" s="513"/>
      <c r="E1624" s="513"/>
      <c r="F1624" s="515"/>
      <c r="G1624" s="515"/>
      <c r="I1624" s="513"/>
      <c r="J1624" s="255"/>
      <c r="K1624" s="255"/>
      <c r="L1624" s="513"/>
      <c r="M1624" s="244"/>
      <c r="N1624" s="244"/>
      <c r="P1624" s="252"/>
      <c r="Q1624" s="252"/>
      <c r="R1624" s="252"/>
      <c r="S1624" s="256"/>
      <c r="T1624" s="256"/>
      <c r="U1624" s="256"/>
      <c r="V1624" s="252"/>
      <c r="W1624" s="524"/>
      <c r="X1624" s="256"/>
      <c r="Y1624" s="252"/>
      <c r="AA1624" s="257"/>
      <c r="AD1624" s="244"/>
      <c r="AE1624" s="256"/>
      <c r="AF1624" s="256"/>
    </row>
    <row r="1625" spans="4:32" x14ac:dyDescent="0.3">
      <c r="D1625" s="513"/>
      <c r="E1625" s="513"/>
      <c r="F1625" s="515"/>
      <c r="G1625" s="515"/>
      <c r="I1625" s="513"/>
      <c r="J1625" s="255"/>
      <c r="K1625" s="255"/>
      <c r="L1625" s="513"/>
      <c r="M1625" s="244"/>
      <c r="N1625" s="244"/>
      <c r="O1625" s="244"/>
      <c r="P1625" s="252"/>
      <c r="Q1625" s="252"/>
      <c r="R1625" s="252"/>
      <c r="S1625" s="256"/>
      <c r="T1625" s="256"/>
      <c r="U1625" s="256"/>
      <c r="V1625" s="252"/>
      <c r="W1625" s="524"/>
      <c r="X1625" s="256"/>
      <c r="Y1625" s="252"/>
      <c r="AA1625" s="257"/>
      <c r="AD1625" s="244"/>
      <c r="AE1625" s="256"/>
      <c r="AF1625" s="256"/>
    </row>
    <row r="1626" spans="4:32" x14ac:dyDescent="0.3">
      <c r="D1626" s="513"/>
      <c r="E1626" s="513"/>
      <c r="F1626" s="515"/>
      <c r="G1626" s="515"/>
      <c r="I1626" s="513"/>
      <c r="J1626" s="255"/>
      <c r="K1626" s="255"/>
      <c r="L1626" s="513"/>
      <c r="M1626" s="244"/>
      <c r="N1626" s="244"/>
      <c r="O1626" s="244"/>
      <c r="P1626" s="252"/>
      <c r="Q1626" s="252"/>
      <c r="R1626" s="252"/>
      <c r="S1626" s="256"/>
      <c r="T1626" s="256"/>
      <c r="U1626" s="256"/>
      <c r="V1626" s="252"/>
      <c r="W1626" s="524"/>
      <c r="X1626" s="256"/>
      <c r="Y1626" s="252"/>
      <c r="AA1626" s="257"/>
      <c r="AD1626" s="244"/>
      <c r="AE1626" s="256"/>
      <c r="AF1626" s="256"/>
    </row>
    <row r="1627" spans="4:32" x14ac:dyDescent="0.3">
      <c r="D1627" s="513"/>
      <c r="E1627" s="513"/>
      <c r="F1627" s="515"/>
      <c r="G1627" s="515"/>
      <c r="I1627" s="513"/>
      <c r="J1627" s="255"/>
      <c r="K1627" s="255"/>
      <c r="L1627" s="513"/>
      <c r="M1627" s="244"/>
      <c r="N1627" s="244"/>
      <c r="P1627" s="252"/>
      <c r="Q1627" s="252"/>
      <c r="R1627" s="252"/>
      <c r="S1627" s="256"/>
      <c r="T1627" s="256"/>
      <c r="U1627" s="256"/>
      <c r="V1627" s="252"/>
      <c r="W1627" s="524"/>
      <c r="X1627" s="256"/>
      <c r="Y1627" s="252"/>
      <c r="AA1627" s="257"/>
      <c r="AD1627" s="244"/>
      <c r="AE1627" s="256"/>
      <c r="AF1627" s="256"/>
    </row>
    <row r="1628" spans="4:32" x14ac:dyDescent="0.3">
      <c r="D1628" s="513"/>
      <c r="E1628" s="513"/>
      <c r="F1628" s="515"/>
      <c r="G1628" s="515"/>
      <c r="I1628" s="513"/>
      <c r="J1628" s="255"/>
      <c r="K1628" s="255"/>
      <c r="L1628" s="513"/>
      <c r="M1628" s="244"/>
      <c r="N1628" s="244"/>
      <c r="O1628" s="244"/>
      <c r="P1628" s="252"/>
      <c r="Q1628" s="252"/>
      <c r="R1628" s="252"/>
      <c r="S1628" s="256"/>
      <c r="T1628" s="256"/>
      <c r="U1628" s="256"/>
      <c r="V1628" s="252"/>
      <c r="W1628" s="524"/>
      <c r="X1628" s="256"/>
      <c r="Y1628" s="252"/>
      <c r="AA1628" s="257"/>
      <c r="AD1628" s="244"/>
      <c r="AE1628" s="256"/>
      <c r="AF1628" s="256"/>
    </row>
    <row r="1629" spans="4:32" x14ac:dyDescent="0.3">
      <c r="D1629" s="513"/>
      <c r="E1629" s="513"/>
      <c r="F1629" s="515"/>
      <c r="G1629" s="515"/>
      <c r="I1629" s="513"/>
      <c r="J1629" s="255"/>
      <c r="K1629" s="255"/>
      <c r="L1629" s="513"/>
      <c r="M1629" s="244"/>
      <c r="N1629" s="244"/>
      <c r="O1629" s="244"/>
      <c r="P1629" s="252"/>
      <c r="Q1629" s="252"/>
      <c r="R1629" s="252"/>
      <c r="S1629" s="256"/>
      <c r="T1629" s="256"/>
      <c r="U1629" s="256"/>
      <c r="V1629" s="252"/>
      <c r="W1629" s="524"/>
      <c r="X1629" s="256"/>
      <c r="Y1629" s="252"/>
      <c r="AA1629" s="257"/>
      <c r="AD1629" s="244"/>
      <c r="AE1629" s="256"/>
      <c r="AF1629" s="256"/>
    </row>
    <row r="1630" spans="4:32" x14ac:dyDescent="0.3">
      <c r="D1630" s="513"/>
      <c r="E1630" s="513"/>
      <c r="F1630" s="515"/>
      <c r="G1630" s="515"/>
      <c r="I1630" s="513"/>
      <c r="J1630" s="255"/>
      <c r="K1630" s="255"/>
      <c r="L1630" s="513"/>
      <c r="M1630" s="244"/>
      <c r="N1630" s="244"/>
      <c r="P1630" s="252"/>
      <c r="Q1630" s="252"/>
      <c r="R1630" s="252"/>
      <c r="S1630" s="256"/>
      <c r="T1630" s="256"/>
      <c r="U1630" s="256"/>
      <c r="V1630" s="252"/>
      <c r="W1630" s="524"/>
      <c r="X1630" s="256"/>
      <c r="Y1630" s="252"/>
      <c r="AA1630" s="257"/>
      <c r="AD1630" s="244"/>
      <c r="AE1630" s="256"/>
      <c r="AF1630" s="256"/>
    </row>
    <row r="1631" spans="4:32" x14ac:dyDescent="0.3">
      <c r="D1631" s="513"/>
      <c r="E1631" s="513"/>
      <c r="F1631" s="515"/>
      <c r="G1631" s="515"/>
      <c r="I1631" s="513"/>
      <c r="J1631" s="255"/>
      <c r="K1631" s="255"/>
      <c r="L1631" s="513"/>
      <c r="M1631" s="244"/>
      <c r="N1631" s="244"/>
      <c r="O1631" s="244"/>
      <c r="P1631" s="252"/>
      <c r="Q1631" s="252"/>
      <c r="R1631" s="252"/>
      <c r="S1631" s="256"/>
      <c r="T1631" s="256"/>
      <c r="U1631" s="256"/>
      <c r="V1631" s="252"/>
      <c r="W1631" s="524"/>
      <c r="X1631" s="256"/>
      <c r="Y1631" s="252"/>
      <c r="AA1631" s="257"/>
      <c r="AD1631" s="244"/>
      <c r="AE1631" s="256"/>
      <c r="AF1631" s="256"/>
    </row>
    <row r="1632" spans="4:32" x14ac:dyDescent="0.3">
      <c r="D1632" s="513"/>
      <c r="E1632" s="513"/>
      <c r="F1632" s="515"/>
      <c r="G1632" s="515"/>
      <c r="I1632" s="513"/>
      <c r="J1632" s="255"/>
      <c r="K1632" s="255"/>
      <c r="L1632" s="513"/>
      <c r="M1632" s="244"/>
      <c r="N1632" s="244"/>
      <c r="O1632" s="244"/>
      <c r="P1632" s="252"/>
      <c r="Q1632" s="252"/>
      <c r="R1632" s="252"/>
      <c r="S1632" s="256"/>
      <c r="T1632" s="256"/>
      <c r="U1632" s="256"/>
      <c r="V1632" s="252"/>
      <c r="W1632" s="524"/>
      <c r="X1632" s="256"/>
      <c r="Y1632" s="252"/>
      <c r="AA1632" s="257"/>
      <c r="AD1632" s="244"/>
      <c r="AE1632" s="256"/>
      <c r="AF1632" s="256"/>
    </row>
    <row r="1633" spans="4:32" x14ac:dyDescent="0.3">
      <c r="D1633" s="513"/>
      <c r="E1633" s="513"/>
      <c r="F1633" s="515"/>
      <c r="G1633" s="515"/>
      <c r="I1633" s="513"/>
      <c r="J1633" s="255"/>
      <c r="K1633" s="255"/>
      <c r="L1633" s="513"/>
      <c r="M1633" s="244"/>
      <c r="N1633" s="244"/>
      <c r="P1633" s="252"/>
      <c r="Q1633" s="252"/>
      <c r="R1633" s="252"/>
      <c r="S1633" s="256"/>
      <c r="T1633" s="256"/>
      <c r="U1633" s="256"/>
      <c r="V1633" s="252"/>
      <c r="W1633" s="524"/>
      <c r="X1633" s="256"/>
      <c r="Y1633" s="252"/>
      <c r="AA1633" s="257"/>
      <c r="AD1633" s="244"/>
      <c r="AE1633" s="256"/>
      <c r="AF1633" s="256"/>
    </row>
    <row r="1634" spans="4:32" x14ac:dyDescent="0.3">
      <c r="D1634" s="513"/>
      <c r="E1634" s="513"/>
      <c r="F1634" s="515"/>
      <c r="G1634" s="515"/>
      <c r="I1634" s="513"/>
      <c r="J1634" s="255"/>
      <c r="K1634" s="255"/>
      <c r="L1634" s="513"/>
      <c r="M1634" s="244"/>
      <c r="N1634" s="244"/>
      <c r="O1634" s="244"/>
      <c r="P1634" s="252"/>
      <c r="Q1634" s="252"/>
      <c r="R1634" s="252"/>
      <c r="S1634" s="256"/>
      <c r="T1634" s="256"/>
      <c r="U1634" s="256"/>
      <c r="V1634" s="252"/>
      <c r="W1634" s="524"/>
      <c r="X1634" s="256"/>
      <c r="Y1634" s="252"/>
      <c r="AA1634" s="257"/>
      <c r="AD1634" s="244"/>
      <c r="AE1634" s="256"/>
      <c r="AF1634" s="256"/>
    </row>
    <row r="1635" spans="4:32" x14ac:dyDescent="0.3">
      <c r="D1635" s="513"/>
      <c r="E1635" s="513"/>
      <c r="F1635" s="515"/>
      <c r="G1635" s="515"/>
      <c r="I1635" s="513"/>
      <c r="J1635" s="255"/>
      <c r="K1635" s="255"/>
      <c r="L1635" s="513"/>
      <c r="M1635" s="244"/>
      <c r="N1635" s="244"/>
      <c r="O1635" s="244"/>
      <c r="P1635" s="252"/>
      <c r="Q1635" s="252"/>
      <c r="R1635" s="252"/>
      <c r="S1635" s="256"/>
      <c r="T1635" s="256"/>
      <c r="U1635" s="256"/>
      <c r="V1635" s="252"/>
      <c r="W1635" s="524"/>
      <c r="X1635" s="256"/>
      <c r="Y1635" s="252"/>
      <c r="AA1635" s="257"/>
      <c r="AD1635" s="244"/>
      <c r="AE1635" s="256"/>
      <c r="AF1635" s="256"/>
    </row>
    <row r="1636" spans="4:32" x14ac:dyDescent="0.3">
      <c r="D1636" s="513"/>
      <c r="E1636" s="513"/>
      <c r="F1636" s="515"/>
      <c r="G1636" s="515"/>
      <c r="I1636" s="513"/>
      <c r="J1636" s="255"/>
      <c r="K1636" s="255"/>
      <c r="L1636" s="513"/>
      <c r="M1636" s="244"/>
      <c r="N1636" s="244"/>
      <c r="P1636" s="252"/>
      <c r="Q1636" s="252"/>
      <c r="R1636" s="252"/>
      <c r="S1636" s="256"/>
      <c r="T1636" s="256"/>
      <c r="U1636" s="256"/>
      <c r="V1636" s="252"/>
      <c r="W1636" s="524"/>
      <c r="X1636" s="256"/>
      <c r="Y1636" s="252"/>
      <c r="AA1636" s="257"/>
      <c r="AD1636" s="244"/>
      <c r="AE1636" s="256"/>
      <c r="AF1636" s="256"/>
    </row>
    <row r="1637" spans="4:32" x14ac:dyDescent="0.3">
      <c r="D1637" s="513"/>
      <c r="E1637" s="513"/>
      <c r="F1637" s="515"/>
      <c r="G1637" s="515"/>
      <c r="I1637" s="513"/>
      <c r="J1637" s="255"/>
      <c r="K1637" s="255"/>
      <c r="L1637" s="513"/>
      <c r="M1637" s="244"/>
      <c r="N1637" s="244"/>
      <c r="O1637" s="244"/>
      <c r="P1637" s="252"/>
      <c r="Q1637" s="252"/>
      <c r="R1637" s="252"/>
      <c r="S1637" s="256"/>
      <c r="T1637" s="256"/>
      <c r="U1637" s="256"/>
      <c r="V1637" s="252"/>
      <c r="W1637" s="524"/>
      <c r="X1637" s="256"/>
      <c r="Y1637" s="252"/>
      <c r="AA1637" s="257"/>
      <c r="AD1637" s="244"/>
      <c r="AE1637" s="256"/>
      <c r="AF1637" s="256"/>
    </row>
    <row r="1638" spans="4:32" x14ac:dyDescent="0.3">
      <c r="D1638" s="513"/>
      <c r="E1638" s="513"/>
      <c r="F1638" s="515"/>
      <c r="G1638" s="515"/>
      <c r="I1638" s="513"/>
      <c r="J1638" s="255"/>
      <c r="K1638" s="255"/>
      <c r="L1638" s="513"/>
      <c r="M1638" s="244"/>
      <c r="N1638" s="244"/>
      <c r="O1638" s="244"/>
      <c r="P1638" s="252"/>
      <c r="Q1638" s="252"/>
      <c r="R1638" s="252"/>
      <c r="S1638" s="256"/>
      <c r="T1638" s="256"/>
      <c r="U1638" s="256"/>
      <c r="V1638" s="252"/>
      <c r="W1638" s="524"/>
      <c r="X1638" s="256"/>
      <c r="Y1638" s="252"/>
      <c r="AA1638" s="257"/>
      <c r="AD1638" s="244"/>
      <c r="AE1638" s="256"/>
      <c r="AF1638" s="256"/>
    </row>
    <row r="1639" spans="4:32" x14ac:dyDescent="0.3">
      <c r="D1639" s="513"/>
      <c r="E1639" s="513"/>
      <c r="F1639" s="515"/>
      <c r="G1639" s="515"/>
      <c r="I1639" s="513"/>
      <c r="J1639" s="255"/>
      <c r="K1639" s="255"/>
      <c r="L1639" s="513"/>
      <c r="M1639" s="244"/>
      <c r="N1639" s="244"/>
      <c r="P1639" s="252"/>
      <c r="Q1639" s="252"/>
      <c r="R1639" s="252"/>
      <c r="S1639" s="256"/>
      <c r="T1639" s="256"/>
      <c r="U1639" s="256"/>
      <c r="V1639" s="252"/>
      <c r="W1639" s="524"/>
      <c r="X1639" s="256"/>
      <c r="Y1639" s="252"/>
      <c r="AA1639" s="257"/>
      <c r="AD1639" s="244"/>
      <c r="AE1639" s="256"/>
      <c r="AF1639" s="256"/>
    </row>
    <row r="1640" spans="4:32" x14ac:dyDescent="0.3">
      <c r="D1640" s="513"/>
      <c r="E1640" s="513"/>
      <c r="F1640" s="515"/>
      <c r="G1640" s="515"/>
      <c r="I1640" s="513"/>
      <c r="J1640" s="255"/>
      <c r="K1640" s="255"/>
      <c r="L1640" s="513"/>
      <c r="M1640" s="244"/>
      <c r="N1640" s="244"/>
      <c r="O1640" s="244"/>
      <c r="P1640" s="252"/>
      <c r="Q1640" s="252"/>
      <c r="R1640" s="252"/>
      <c r="S1640" s="256"/>
      <c r="T1640" s="256"/>
      <c r="U1640" s="256"/>
      <c r="V1640" s="252"/>
      <c r="W1640" s="524"/>
      <c r="X1640" s="256"/>
      <c r="Y1640" s="252"/>
      <c r="AA1640" s="257"/>
      <c r="AD1640" s="244"/>
      <c r="AE1640" s="256"/>
      <c r="AF1640" s="256"/>
    </row>
    <row r="1641" spans="4:32" x14ac:dyDescent="0.3">
      <c r="D1641" s="513"/>
      <c r="E1641" s="513"/>
      <c r="F1641" s="515"/>
      <c r="G1641" s="515"/>
      <c r="I1641" s="513"/>
      <c r="J1641" s="255"/>
      <c r="K1641" s="255"/>
      <c r="L1641" s="513"/>
      <c r="M1641" s="244"/>
      <c r="N1641" s="244"/>
      <c r="O1641" s="244"/>
      <c r="P1641" s="252"/>
      <c r="Q1641" s="252"/>
      <c r="R1641" s="252"/>
      <c r="S1641" s="256"/>
      <c r="T1641" s="256"/>
      <c r="U1641" s="256"/>
      <c r="V1641" s="252"/>
      <c r="W1641" s="524"/>
      <c r="X1641" s="256"/>
      <c r="Y1641" s="252"/>
      <c r="AA1641" s="257"/>
      <c r="AD1641" s="244"/>
      <c r="AE1641" s="256"/>
      <c r="AF1641" s="256"/>
    </row>
    <row r="1642" spans="4:32" x14ac:dyDescent="0.3">
      <c r="D1642" s="513"/>
      <c r="E1642" s="513"/>
      <c r="F1642" s="515"/>
      <c r="G1642" s="515"/>
      <c r="I1642" s="513"/>
      <c r="J1642" s="255"/>
      <c r="K1642" s="255"/>
      <c r="L1642" s="513"/>
      <c r="M1642" s="244"/>
      <c r="N1642" s="244"/>
      <c r="P1642" s="252"/>
      <c r="Q1642" s="252"/>
      <c r="R1642" s="252"/>
      <c r="S1642" s="256"/>
      <c r="T1642" s="256"/>
      <c r="U1642" s="256"/>
      <c r="V1642" s="252"/>
      <c r="W1642" s="524"/>
      <c r="X1642" s="256"/>
      <c r="Y1642" s="252"/>
      <c r="AA1642" s="257"/>
      <c r="AD1642" s="244"/>
      <c r="AE1642" s="256"/>
      <c r="AF1642" s="256"/>
    </row>
    <row r="1643" spans="4:32" x14ac:dyDescent="0.3">
      <c r="D1643" s="513"/>
      <c r="E1643" s="513"/>
      <c r="F1643" s="515"/>
      <c r="G1643" s="515"/>
      <c r="I1643" s="513"/>
      <c r="J1643" s="255"/>
      <c r="K1643" s="255"/>
      <c r="L1643" s="513"/>
      <c r="M1643" s="244"/>
      <c r="N1643" s="244"/>
      <c r="O1643" s="244"/>
      <c r="P1643" s="252"/>
      <c r="Q1643" s="252"/>
      <c r="R1643" s="252"/>
      <c r="S1643" s="256"/>
      <c r="T1643" s="256"/>
      <c r="U1643" s="256"/>
      <c r="V1643" s="252"/>
      <c r="W1643" s="524"/>
      <c r="X1643" s="256"/>
      <c r="Y1643" s="252"/>
      <c r="AA1643" s="257"/>
      <c r="AD1643" s="244"/>
      <c r="AE1643" s="256"/>
      <c r="AF1643" s="256"/>
    </row>
    <row r="1644" spans="4:32" x14ac:dyDescent="0.3">
      <c r="D1644" s="513"/>
      <c r="E1644" s="513"/>
      <c r="F1644" s="515"/>
      <c r="G1644" s="515"/>
      <c r="I1644" s="513"/>
      <c r="J1644" s="255"/>
      <c r="K1644" s="255"/>
      <c r="L1644" s="513"/>
      <c r="M1644" s="244"/>
      <c r="N1644" s="244"/>
      <c r="O1644" s="244"/>
      <c r="P1644" s="252"/>
      <c r="Q1644" s="252"/>
      <c r="R1644" s="252"/>
      <c r="S1644" s="256"/>
      <c r="T1644" s="256"/>
      <c r="U1644" s="256"/>
      <c r="V1644" s="252"/>
      <c r="W1644" s="524"/>
      <c r="X1644" s="256"/>
      <c r="Y1644" s="252"/>
      <c r="AA1644" s="257"/>
      <c r="AD1644" s="244"/>
      <c r="AE1644" s="256"/>
      <c r="AF1644" s="256"/>
    </row>
    <row r="1645" spans="4:32" x14ac:dyDescent="0.3">
      <c r="D1645" s="513"/>
      <c r="E1645" s="513"/>
      <c r="F1645" s="515"/>
      <c r="G1645" s="515"/>
      <c r="I1645" s="513"/>
      <c r="J1645" s="255"/>
      <c r="K1645" s="255"/>
      <c r="L1645" s="513"/>
      <c r="M1645" s="244"/>
      <c r="N1645" s="244"/>
      <c r="P1645" s="252"/>
      <c r="Q1645" s="252"/>
      <c r="R1645" s="252"/>
      <c r="S1645" s="256"/>
      <c r="T1645" s="256"/>
      <c r="U1645" s="256"/>
      <c r="V1645" s="252"/>
      <c r="W1645" s="524"/>
      <c r="X1645" s="256"/>
      <c r="Y1645" s="252"/>
      <c r="AA1645" s="257"/>
      <c r="AD1645" s="244"/>
      <c r="AE1645" s="256"/>
      <c r="AF1645" s="256"/>
    </row>
    <row r="1646" spans="4:32" x14ac:dyDescent="0.3">
      <c r="D1646" s="513"/>
      <c r="E1646" s="513"/>
      <c r="F1646" s="515"/>
      <c r="G1646" s="515"/>
      <c r="I1646" s="513"/>
      <c r="J1646" s="255"/>
      <c r="K1646" s="255"/>
      <c r="L1646" s="513"/>
      <c r="M1646" s="244"/>
      <c r="N1646" s="244"/>
      <c r="O1646" s="244"/>
      <c r="P1646" s="252"/>
      <c r="Q1646" s="252"/>
      <c r="R1646" s="252"/>
      <c r="S1646" s="256"/>
      <c r="T1646" s="256"/>
      <c r="U1646" s="256"/>
      <c r="V1646" s="252"/>
      <c r="W1646" s="524"/>
      <c r="X1646" s="256"/>
      <c r="Y1646" s="252"/>
      <c r="AA1646" s="257"/>
      <c r="AD1646" s="244"/>
      <c r="AE1646" s="256"/>
      <c r="AF1646" s="256"/>
    </row>
    <row r="1647" spans="4:32" x14ac:dyDescent="0.3">
      <c r="D1647" s="513"/>
      <c r="E1647" s="513"/>
      <c r="F1647" s="515"/>
      <c r="G1647" s="515"/>
      <c r="I1647" s="513"/>
      <c r="J1647" s="255"/>
      <c r="K1647" s="255"/>
      <c r="L1647" s="513"/>
      <c r="M1647" s="244"/>
      <c r="N1647" s="244"/>
      <c r="O1647" s="244"/>
      <c r="P1647" s="252"/>
      <c r="Q1647" s="252"/>
      <c r="R1647" s="252"/>
      <c r="S1647" s="256"/>
      <c r="T1647" s="256"/>
      <c r="U1647" s="256"/>
      <c r="V1647" s="252"/>
      <c r="W1647" s="524"/>
      <c r="X1647" s="256"/>
      <c r="Y1647" s="252"/>
      <c r="AA1647" s="257"/>
      <c r="AD1647" s="244"/>
      <c r="AE1647" s="256"/>
      <c r="AF1647" s="256"/>
    </row>
    <row r="1648" spans="4:32" x14ac:dyDescent="0.3">
      <c r="D1648" s="513"/>
      <c r="E1648" s="513"/>
      <c r="F1648" s="515"/>
      <c r="G1648" s="515"/>
      <c r="I1648" s="513"/>
      <c r="J1648" s="255"/>
      <c r="K1648" s="255"/>
      <c r="L1648" s="513"/>
      <c r="M1648" s="244"/>
      <c r="N1648" s="244"/>
      <c r="P1648" s="252"/>
      <c r="Q1648" s="252"/>
      <c r="R1648" s="252"/>
      <c r="S1648" s="256"/>
      <c r="T1648" s="256"/>
      <c r="U1648" s="256"/>
      <c r="V1648" s="252"/>
      <c r="W1648" s="524"/>
      <c r="X1648" s="256"/>
      <c r="Y1648" s="252"/>
      <c r="AA1648" s="257"/>
      <c r="AD1648" s="244"/>
      <c r="AE1648" s="256"/>
      <c r="AF1648" s="256"/>
    </row>
    <row r="1649" spans="4:32" x14ac:dyDescent="0.3">
      <c r="D1649" s="513"/>
      <c r="E1649" s="513"/>
      <c r="F1649" s="515"/>
      <c r="G1649" s="515"/>
      <c r="I1649" s="513"/>
      <c r="J1649" s="255"/>
      <c r="K1649" s="255"/>
      <c r="L1649" s="513"/>
      <c r="M1649" s="244"/>
      <c r="N1649" s="244"/>
      <c r="O1649" s="244"/>
      <c r="P1649" s="252"/>
      <c r="Q1649" s="252"/>
      <c r="R1649" s="252"/>
      <c r="S1649" s="256"/>
      <c r="T1649" s="256"/>
      <c r="U1649" s="256"/>
      <c r="V1649" s="252"/>
      <c r="W1649" s="524"/>
      <c r="X1649" s="256"/>
      <c r="Y1649" s="252"/>
      <c r="AA1649" s="257"/>
      <c r="AD1649" s="244"/>
      <c r="AE1649" s="256"/>
      <c r="AF1649" s="256"/>
    </row>
    <row r="1650" spans="4:32" x14ac:dyDescent="0.3">
      <c r="D1650" s="513"/>
      <c r="E1650" s="513"/>
      <c r="F1650" s="515"/>
      <c r="G1650" s="515"/>
      <c r="I1650" s="513"/>
      <c r="J1650" s="255"/>
      <c r="K1650" s="255"/>
      <c r="L1650" s="513"/>
      <c r="M1650" s="244"/>
      <c r="N1650" s="244"/>
      <c r="O1650" s="244"/>
      <c r="P1650" s="252"/>
      <c r="Q1650" s="252"/>
      <c r="R1650" s="252"/>
      <c r="S1650" s="256"/>
      <c r="T1650" s="256"/>
      <c r="U1650" s="256"/>
      <c r="V1650" s="252"/>
      <c r="W1650" s="524"/>
      <c r="X1650" s="256"/>
      <c r="Y1650" s="252"/>
      <c r="AA1650" s="257"/>
      <c r="AD1650" s="244"/>
      <c r="AE1650" s="256"/>
      <c r="AF1650" s="256"/>
    </row>
    <row r="1651" spans="4:32" x14ac:dyDescent="0.3">
      <c r="D1651" s="513"/>
      <c r="E1651" s="513"/>
      <c r="F1651" s="515"/>
      <c r="G1651" s="515"/>
      <c r="I1651" s="513"/>
      <c r="J1651" s="255"/>
      <c r="K1651" s="255"/>
      <c r="L1651" s="513"/>
      <c r="M1651" s="244"/>
      <c r="N1651" s="244"/>
      <c r="P1651" s="252"/>
      <c r="Q1651" s="252"/>
      <c r="R1651" s="252"/>
      <c r="S1651" s="256"/>
      <c r="T1651" s="256"/>
      <c r="U1651" s="256"/>
      <c r="V1651" s="252"/>
      <c r="W1651" s="524"/>
      <c r="X1651" s="256"/>
      <c r="Y1651" s="252"/>
      <c r="AA1651" s="257"/>
      <c r="AD1651" s="244"/>
      <c r="AE1651" s="256"/>
      <c r="AF1651" s="256"/>
    </row>
    <row r="1652" spans="4:32" x14ac:dyDescent="0.3">
      <c r="D1652" s="513"/>
      <c r="E1652" s="513"/>
      <c r="F1652" s="515"/>
      <c r="G1652" s="515"/>
      <c r="I1652" s="513"/>
      <c r="J1652" s="255"/>
      <c r="K1652" s="255"/>
      <c r="L1652" s="513"/>
      <c r="M1652" s="244"/>
      <c r="N1652" s="244"/>
      <c r="O1652" s="244"/>
      <c r="P1652" s="252"/>
      <c r="Q1652" s="252"/>
      <c r="R1652" s="252"/>
      <c r="S1652" s="256"/>
      <c r="T1652" s="256"/>
      <c r="U1652" s="256"/>
      <c r="V1652" s="252"/>
      <c r="W1652" s="524"/>
      <c r="X1652" s="256"/>
      <c r="Y1652" s="252"/>
      <c r="AA1652" s="257"/>
      <c r="AD1652" s="244"/>
      <c r="AE1652" s="256"/>
      <c r="AF1652" s="256"/>
    </row>
    <row r="1653" spans="4:32" x14ac:dyDescent="0.3">
      <c r="D1653" s="513"/>
      <c r="E1653" s="513"/>
      <c r="F1653" s="515"/>
      <c r="G1653" s="515"/>
      <c r="I1653" s="513"/>
      <c r="J1653" s="255"/>
      <c r="K1653" s="255"/>
      <c r="L1653" s="513"/>
      <c r="M1653" s="244"/>
      <c r="N1653" s="244"/>
      <c r="O1653" s="244"/>
      <c r="P1653" s="252"/>
      <c r="Q1653" s="252"/>
      <c r="R1653" s="252"/>
      <c r="S1653" s="256"/>
      <c r="T1653" s="256"/>
      <c r="U1653" s="256"/>
      <c r="V1653" s="252"/>
      <c r="W1653" s="524"/>
      <c r="X1653" s="256"/>
      <c r="Y1653" s="252"/>
      <c r="AA1653" s="257"/>
      <c r="AD1653" s="244"/>
      <c r="AE1653" s="256"/>
      <c r="AF1653" s="256"/>
    </row>
    <row r="1654" spans="4:32" x14ac:dyDescent="0.3">
      <c r="D1654" s="513"/>
      <c r="E1654" s="513"/>
      <c r="F1654" s="515"/>
      <c r="G1654" s="515"/>
      <c r="I1654" s="513"/>
      <c r="J1654" s="255"/>
      <c r="K1654" s="255"/>
      <c r="L1654" s="513"/>
      <c r="M1654" s="244"/>
      <c r="N1654" s="244"/>
      <c r="P1654" s="252"/>
      <c r="Q1654" s="252"/>
      <c r="R1654" s="252"/>
      <c r="S1654" s="256"/>
      <c r="T1654" s="256"/>
      <c r="U1654" s="256"/>
      <c r="V1654" s="252"/>
      <c r="W1654" s="524"/>
      <c r="X1654" s="256"/>
      <c r="Y1654" s="252"/>
      <c r="AA1654" s="257"/>
      <c r="AD1654" s="244"/>
      <c r="AE1654" s="256"/>
      <c r="AF1654" s="256"/>
    </row>
    <row r="1655" spans="4:32" x14ac:dyDescent="0.3">
      <c r="D1655" s="513"/>
      <c r="E1655" s="513"/>
      <c r="F1655" s="515"/>
      <c r="G1655" s="515"/>
      <c r="I1655" s="513"/>
      <c r="J1655" s="255"/>
      <c r="K1655" s="255"/>
      <c r="L1655" s="513"/>
      <c r="M1655" s="244"/>
      <c r="N1655" s="244"/>
      <c r="O1655" s="244"/>
      <c r="P1655" s="252"/>
      <c r="Q1655" s="252"/>
      <c r="R1655" s="252"/>
      <c r="S1655" s="256"/>
      <c r="T1655" s="256"/>
      <c r="U1655" s="256"/>
      <c r="V1655" s="252"/>
      <c r="W1655" s="524"/>
      <c r="X1655" s="256"/>
      <c r="Y1655" s="252"/>
      <c r="AA1655" s="257"/>
      <c r="AD1655" s="244"/>
      <c r="AE1655" s="256"/>
      <c r="AF1655" s="256"/>
    </row>
    <row r="1656" spans="4:32" x14ac:dyDescent="0.3">
      <c r="D1656" s="513"/>
      <c r="E1656" s="513"/>
      <c r="F1656" s="515"/>
      <c r="G1656" s="515"/>
      <c r="I1656" s="513"/>
      <c r="J1656" s="255"/>
      <c r="K1656" s="255"/>
      <c r="L1656" s="513"/>
      <c r="M1656" s="244"/>
      <c r="N1656" s="244"/>
      <c r="O1656" s="244"/>
      <c r="P1656" s="252"/>
      <c r="Q1656" s="252"/>
      <c r="R1656" s="252"/>
      <c r="S1656" s="256"/>
      <c r="T1656" s="256"/>
      <c r="U1656" s="256"/>
      <c r="V1656" s="252"/>
      <c r="W1656" s="524"/>
      <c r="X1656" s="256"/>
      <c r="Y1656" s="252"/>
      <c r="AA1656" s="257"/>
      <c r="AD1656" s="244"/>
      <c r="AE1656" s="256"/>
      <c r="AF1656" s="256"/>
    </row>
    <row r="1657" spans="4:32" x14ac:dyDescent="0.3">
      <c r="D1657" s="513"/>
      <c r="E1657" s="513"/>
      <c r="F1657" s="515"/>
      <c r="G1657" s="515"/>
      <c r="I1657" s="513"/>
      <c r="J1657" s="255"/>
      <c r="K1657" s="255"/>
      <c r="L1657" s="513"/>
      <c r="M1657" s="244"/>
      <c r="N1657" s="244"/>
      <c r="P1657" s="252"/>
      <c r="Q1657" s="252"/>
      <c r="R1657" s="252"/>
      <c r="S1657" s="256"/>
      <c r="T1657" s="256"/>
      <c r="U1657" s="256"/>
      <c r="V1657" s="252"/>
      <c r="W1657" s="524"/>
      <c r="X1657" s="256"/>
      <c r="Y1657" s="252"/>
      <c r="AA1657" s="257"/>
      <c r="AD1657" s="244"/>
      <c r="AE1657" s="256"/>
      <c r="AF1657" s="256"/>
    </row>
    <row r="1658" spans="4:32" x14ac:dyDescent="0.3">
      <c r="D1658" s="513"/>
      <c r="E1658" s="513"/>
      <c r="F1658" s="515"/>
      <c r="G1658" s="515"/>
      <c r="I1658" s="513"/>
      <c r="J1658" s="255"/>
      <c r="K1658" s="255"/>
      <c r="L1658" s="513"/>
      <c r="M1658" s="244"/>
      <c r="N1658" s="244"/>
      <c r="O1658" s="244"/>
      <c r="P1658" s="252"/>
      <c r="Q1658" s="252"/>
      <c r="R1658" s="252"/>
      <c r="S1658" s="256"/>
      <c r="T1658" s="256"/>
      <c r="U1658" s="256"/>
      <c r="V1658" s="252"/>
      <c r="W1658" s="524"/>
      <c r="X1658" s="256"/>
      <c r="Y1658" s="252"/>
      <c r="AA1658" s="257"/>
      <c r="AD1658" s="244"/>
      <c r="AE1658" s="256"/>
      <c r="AF1658" s="256"/>
    </row>
    <row r="1659" spans="4:32" x14ac:dyDescent="0.3">
      <c r="D1659" s="513"/>
      <c r="E1659" s="513"/>
      <c r="F1659" s="515"/>
      <c r="G1659" s="515"/>
      <c r="I1659" s="513"/>
      <c r="J1659" s="255"/>
      <c r="K1659" s="255"/>
      <c r="L1659" s="513"/>
      <c r="M1659" s="244"/>
      <c r="N1659" s="244"/>
      <c r="O1659" s="244"/>
      <c r="P1659" s="252"/>
      <c r="Q1659" s="252"/>
      <c r="R1659" s="252"/>
      <c r="S1659" s="256"/>
      <c r="T1659" s="256"/>
      <c r="U1659" s="256"/>
      <c r="V1659" s="252"/>
      <c r="W1659" s="524"/>
      <c r="X1659" s="256"/>
      <c r="Y1659" s="252"/>
      <c r="AA1659" s="257"/>
      <c r="AD1659" s="244"/>
      <c r="AE1659" s="256"/>
      <c r="AF1659" s="256"/>
    </row>
    <row r="1660" spans="4:32" x14ac:dyDescent="0.3">
      <c r="D1660" s="513"/>
      <c r="E1660" s="513"/>
      <c r="F1660" s="515"/>
      <c r="G1660" s="515"/>
      <c r="I1660" s="513"/>
      <c r="J1660" s="255"/>
      <c r="K1660" s="255"/>
      <c r="L1660" s="513"/>
      <c r="M1660" s="244"/>
      <c r="N1660" s="244"/>
      <c r="P1660" s="252"/>
      <c r="Q1660" s="252"/>
      <c r="R1660" s="252"/>
      <c r="S1660" s="256"/>
      <c r="T1660" s="256"/>
      <c r="U1660" s="256"/>
      <c r="V1660" s="252"/>
      <c r="W1660" s="524"/>
      <c r="X1660" s="256"/>
      <c r="Y1660" s="252"/>
      <c r="AA1660" s="257"/>
      <c r="AD1660" s="244"/>
      <c r="AE1660" s="256"/>
      <c r="AF1660" s="256"/>
    </row>
    <row r="1661" spans="4:32" x14ac:dyDescent="0.3">
      <c r="D1661" s="513"/>
      <c r="E1661" s="513"/>
      <c r="F1661" s="515"/>
      <c r="G1661" s="515"/>
      <c r="I1661" s="513"/>
      <c r="J1661" s="255"/>
      <c r="K1661" s="255"/>
      <c r="L1661" s="513"/>
      <c r="M1661" s="244"/>
      <c r="N1661" s="244"/>
      <c r="O1661" s="244"/>
      <c r="P1661" s="252"/>
      <c r="Q1661" s="252"/>
      <c r="R1661" s="252"/>
      <c r="S1661" s="256"/>
      <c r="T1661" s="256"/>
      <c r="U1661" s="256"/>
      <c r="V1661" s="252"/>
      <c r="W1661" s="524"/>
      <c r="X1661" s="256"/>
      <c r="Y1661" s="252"/>
      <c r="AA1661" s="257"/>
      <c r="AD1661" s="244"/>
      <c r="AE1661" s="256"/>
      <c r="AF1661" s="256"/>
    </row>
    <row r="1662" spans="4:32" x14ac:dyDescent="0.3">
      <c r="D1662" s="513"/>
      <c r="E1662" s="513"/>
      <c r="F1662" s="515"/>
      <c r="G1662" s="515"/>
      <c r="I1662" s="513"/>
      <c r="J1662" s="255"/>
      <c r="K1662" s="255"/>
      <c r="L1662" s="513"/>
      <c r="M1662" s="244"/>
      <c r="N1662" s="244"/>
      <c r="O1662" s="244"/>
      <c r="P1662" s="252"/>
      <c r="Q1662" s="252"/>
      <c r="R1662" s="252"/>
      <c r="S1662" s="256"/>
      <c r="T1662" s="256"/>
      <c r="U1662" s="256"/>
      <c r="V1662" s="252"/>
      <c r="W1662" s="524"/>
      <c r="X1662" s="256"/>
      <c r="Y1662" s="252"/>
      <c r="AA1662" s="257"/>
      <c r="AD1662" s="244"/>
      <c r="AE1662" s="256"/>
      <c r="AF1662" s="256"/>
    </row>
    <row r="1663" spans="4:32" x14ac:dyDescent="0.3">
      <c r="D1663" s="513"/>
      <c r="E1663" s="513"/>
      <c r="F1663" s="515"/>
      <c r="G1663" s="515"/>
      <c r="I1663" s="513"/>
      <c r="J1663" s="255"/>
      <c r="K1663" s="255"/>
      <c r="L1663" s="513"/>
      <c r="M1663" s="244"/>
      <c r="N1663" s="244"/>
      <c r="P1663" s="252"/>
      <c r="Q1663" s="252"/>
      <c r="R1663" s="252"/>
      <c r="S1663" s="256"/>
      <c r="T1663" s="256"/>
      <c r="U1663" s="256"/>
      <c r="V1663" s="252"/>
      <c r="W1663" s="524"/>
      <c r="X1663" s="256"/>
      <c r="Y1663" s="252"/>
      <c r="AA1663" s="257"/>
      <c r="AD1663" s="244"/>
      <c r="AE1663" s="256"/>
      <c r="AF1663" s="256"/>
    </row>
    <row r="1664" spans="4:32" x14ac:dyDescent="0.3">
      <c r="D1664" s="513"/>
      <c r="E1664" s="513"/>
      <c r="F1664" s="515"/>
      <c r="G1664" s="515"/>
      <c r="I1664" s="513"/>
      <c r="J1664" s="255"/>
      <c r="K1664" s="255"/>
      <c r="L1664" s="513"/>
      <c r="M1664" s="244"/>
      <c r="N1664" s="244"/>
      <c r="O1664" s="244"/>
      <c r="P1664" s="252"/>
      <c r="Q1664" s="252"/>
      <c r="R1664" s="252"/>
      <c r="S1664" s="256"/>
      <c r="T1664" s="256"/>
      <c r="U1664" s="256"/>
      <c r="V1664" s="252"/>
      <c r="W1664" s="524"/>
      <c r="X1664" s="256"/>
      <c r="Y1664" s="252"/>
      <c r="AA1664" s="257"/>
      <c r="AD1664" s="244"/>
      <c r="AE1664" s="256"/>
      <c r="AF1664" s="256"/>
    </row>
    <row r="1665" spans="4:32" x14ac:dyDescent="0.3">
      <c r="D1665" s="513"/>
      <c r="E1665" s="513"/>
      <c r="F1665" s="515"/>
      <c r="G1665" s="515"/>
      <c r="I1665" s="513"/>
      <c r="J1665" s="255"/>
      <c r="K1665" s="255"/>
      <c r="L1665" s="513"/>
      <c r="M1665" s="244"/>
      <c r="N1665" s="244"/>
      <c r="O1665" s="244"/>
      <c r="P1665" s="252"/>
      <c r="Q1665" s="252"/>
      <c r="R1665" s="252"/>
      <c r="S1665" s="256"/>
      <c r="T1665" s="256"/>
      <c r="U1665" s="256"/>
      <c r="V1665" s="252"/>
      <c r="W1665" s="524"/>
      <c r="X1665" s="256"/>
      <c r="Y1665" s="252"/>
      <c r="AA1665" s="257"/>
      <c r="AD1665" s="244"/>
      <c r="AE1665" s="256"/>
      <c r="AF1665" s="256"/>
    </row>
    <row r="1666" spans="4:32" x14ac:dyDescent="0.3">
      <c r="D1666" s="513"/>
      <c r="E1666" s="513"/>
      <c r="F1666" s="515"/>
      <c r="G1666" s="515"/>
      <c r="I1666" s="513"/>
      <c r="J1666" s="255"/>
      <c r="K1666" s="255"/>
      <c r="L1666" s="513"/>
      <c r="M1666" s="244"/>
      <c r="N1666" s="244"/>
      <c r="P1666" s="252"/>
      <c r="Q1666" s="252"/>
      <c r="R1666" s="252"/>
      <c r="S1666" s="256"/>
      <c r="T1666" s="256"/>
      <c r="U1666" s="256"/>
      <c r="V1666" s="252"/>
      <c r="W1666" s="524"/>
      <c r="X1666" s="256"/>
      <c r="Y1666" s="252"/>
      <c r="AA1666" s="257"/>
      <c r="AD1666" s="244"/>
      <c r="AE1666" s="256"/>
      <c r="AF1666" s="256"/>
    </row>
    <row r="1667" spans="4:32" x14ac:dyDescent="0.3">
      <c r="D1667" s="513"/>
      <c r="E1667" s="513"/>
      <c r="F1667" s="515"/>
      <c r="G1667" s="515"/>
      <c r="I1667" s="513"/>
      <c r="J1667" s="255"/>
      <c r="K1667" s="255"/>
      <c r="L1667" s="513"/>
      <c r="M1667" s="244"/>
      <c r="N1667" s="244"/>
      <c r="O1667" s="244"/>
      <c r="P1667" s="252"/>
      <c r="Q1667" s="252"/>
      <c r="R1667" s="252"/>
      <c r="S1667" s="256"/>
      <c r="T1667" s="256"/>
      <c r="U1667" s="256"/>
      <c r="V1667" s="252"/>
      <c r="W1667" s="524"/>
      <c r="X1667" s="256"/>
      <c r="Y1667" s="252"/>
      <c r="AA1667" s="257"/>
      <c r="AD1667" s="244"/>
      <c r="AE1667" s="256"/>
      <c r="AF1667" s="256"/>
    </row>
    <row r="1668" spans="4:32" x14ac:dyDescent="0.3">
      <c r="D1668" s="513"/>
      <c r="E1668" s="513"/>
      <c r="F1668" s="515"/>
      <c r="G1668" s="515"/>
      <c r="I1668" s="513"/>
      <c r="J1668" s="255"/>
      <c r="K1668" s="255"/>
      <c r="L1668" s="513"/>
      <c r="M1668" s="244"/>
      <c r="N1668" s="244"/>
      <c r="O1668" s="244"/>
      <c r="P1668" s="252"/>
      <c r="Q1668" s="252"/>
      <c r="R1668" s="252"/>
      <c r="S1668" s="256"/>
      <c r="T1668" s="256"/>
      <c r="U1668" s="256"/>
      <c r="V1668" s="252"/>
      <c r="W1668" s="524"/>
      <c r="X1668" s="256"/>
      <c r="Y1668" s="252"/>
      <c r="AA1668" s="257"/>
      <c r="AD1668" s="244"/>
      <c r="AE1668" s="256"/>
      <c r="AF1668" s="256"/>
    </row>
    <row r="1669" spans="4:32" x14ac:dyDescent="0.3">
      <c r="D1669" s="513"/>
      <c r="E1669" s="513"/>
      <c r="F1669" s="515"/>
      <c r="G1669" s="515"/>
      <c r="I1669" s="513"/>
      <c r="J1669" s="255"/>
      <c r="K1669" s="255"/>
      <c r="L1669" s="513"/>
      <c r="M1669" s="244"/>
      <c r="N1669" s="244"/>
      <c r="P1669" s="252"/>
      <c r="Q1669" s="252"/>
      <c r="R1669" s="252"/>
      <c r="S1669" s="256"/>
      <c r="T1669" s="256"/>
      <c r="U1669" s="256"/>
      <c r="V1669" s="252"/>
      <c r="W1669" s="524"/>
      <c r="X1669" s="256"/>
      <c r="Y1669" s="252"/>
      <c r="AA1669" s="257"/>
      <c r="AD1669" s="244"/>
      <c r="AE1669" s="256"/>
      <c r="AF1669" s="256"/>
    </row>
    <row r="1670" spans="4:32" x14ac:dyDescent="0.3">
      <c r="D1670" s="513"/>
      <c r="E1670" s="513"/>
      <c r="F1670" s="515"/>
      <c r="G1670" s="515"/>
      <c r="I1670" s="513"/>
      <c r="J1670" s="255"/>
      <c r="K1670" s="255"/>
      <c r="L1670" s="513"/>
      <c r="M1670" s="244"/>
      <c r="N1670" s="244"/>
      <c r="O1670" s="244"/>
      <c r="P1670" s="252"/>
      <c r="Q1670" s="252"/>
      <c r="R1670" s="252"/>
      <c r="S1670" s="256"/>
      <c r="T1670" s="256"/>
      <c r="U1670" s="256"/>
      <c r="V1670" s="252"/>
      <c r="W1670" s="524"/>
      <c r="X1670" s="256"/>
      <c r="Y1670" s="252"/>
      <c r="AA1670" s="257"/>
      <c r="AD1670" s="244"/>
      <c r="AE1670" s="256"/>
      <c r="AF1670" s="256"/>
    </row>
    <row r="1671" spans="4:32" x14ac:dyDescent="0.3">
      <c r="D1671" s="513"/>
      <c r="E1671" s="513"/>
      <c r="F1671" s="515"/>
      <c r="G1671" s="515"/>
      <c r="I1671" s="513"/>
      <c r="J1671" s="255"/>
      <c r="K1671" s="255"/>
      <c r="L1671" s="513"/>
      <c r="M1671" s="244"/>
      <c r="N1671" s="244"/>
      <c r="O1671" s="244"/>
      <c r="P1671" s="252"/>
      <c r="Q1671" s="252"/>
      <c r="R1671" s="252"/>
      <c r="S1671" s="256"/>
      <c r="T1671" s="256"/>
      <c r="U1671" s="256"/>
      <c r="V1671" s="252"/>
      <c r="W1671" s="524"/>
      <c r="X1671" s="256"/>
      <c r="Y1671" s="252"/>
      <c r="AA1671" s="257"/>
      <c r="AD1671" s="244"/>
      <c r="AE1671" s="256"/>
      <c r="AF1671" s="256"/>
    </row>
    <row r="1672" spans="4:32" x14ac:dyDescent="0.3">
      <c r="D1672" s="513"/>
      <c r="E1672" s="513"/>
      <c r="F1672" s="515"/>
      <c r="G1672" s="515"/>
      <c r="I1672" s="513"/>
      <c r="J1672" s="255"/>
      <c r="K1672" s="255"/>
      <c r="L1672" s="513"/>
      <c r="M1672" s="244"/>
      <c r="N1672" s="244"/>
      <c r="P1672" s="252"/>
      <c r="Q1672" s="252"/>
      <c r="R1672" s="252"/>
      <c r="S1672" s="256"/>
      <c r="T1672" s="256"/>
      <c r="U1672" s="256"/>
      <c r="V1672" s="252"/>
      <c r="W1672" s="524"/>
      <c r="X1672" s="256"/>
      <c r="Y1672" s="252"/>
      <c r="AA1672" s="257"/>
      <c r="AD1672" s="244"/>
      <c r="AE1672" s="256"/>
      <c r="AF1672" s="256"/>
    </row>
    <row r="1673" spans="4:32" x14ac:dyDescent="0.3">
      <c r="D1673" s="513"/>
      <c r="E1673" s="513"/>
      <c r="F1673" s="515"/>
      <c r="G1673" s="515"/>
      <c r="I1673" s="513"/>
      <c r="J1673" s="255"/>
      <c r="K1673" s="255"/>
      <c r="L1673" s="513"/>
      <c r="M1673" s="244"/>
      <c r="N1673" s="244"/>
      <c r="P1673" s="252"/>
      <c r="Q1673" s="252"/>
      <c r="R1673" s="252"/>
      <c r="S1673" s="256"/>
      <c r="T1673" s="256"/>
      <c r="U1673" s="256"/>
      <c r="V1673" s="252"/>
      <c r="W1673" s="524"/>
      <c r="X1673" s="256"/>
      <c r="Y1673" s="252"/>
      <c r="AA1673" s="257"/>
      <c r="AD1673" s="244"/>
      <c r="AE1673" s="256"/>
      <c r="AF1673" s="256"/>
    </row>
    <row r="1674" spans="4:32" x14ac:dyDescent="0.3">
      <c r="D1674" s="513"/>
      <c r="E1674" s="513"/>
      <c r="F1674" s="515"/>
      <c r="G1674" s="515"/>
      <c r="I1674" s="513"/>
      <c r="J1674" s="255"/>
      <c r="K1674" s="255"/>
      <c r="L1674" s="513"/>
      <c r="M1674" s="244"/>
      <c r="N1674" s="244"/>
      <c r="P1674" s="252"/>
      <c r="Q1674" s="252"/>
      <c r="R1674" s="252"/>
      <c r="S1674" s="256"/>
      <c r="T1674" s="256"/>
      <c r="U1674" s="256"/>
      <c r="V1674" s="252"/>
      <c r="W1674" s="524"/>
      <c r="X1674" s="256"/>
      <c r="Y1674" s="252"/>
      <c r="AA1674" s="257"/>
      <c r="AD1674" s="244"/>
      <c r="AE1674" s="256"/>
      <c r="AF1674" s="256"/>
    </row>
    <row r="1675" spans="4:32" x14ac:dyDescent="0.3">
      <c r="D1675" s="513"/>
      <c r="E1675" s="513"/>
      <c r="F1675" s="515"/>
      <c r="G1675" s="515"/>
      <c r="I1675" s="513"/>
      <c r="J1675" s="255"/>
      <c r="K1675" s="255"/>
      <c r="L1675" s="513"/>
      <c r="M1675" s="244"/>
      <c r="N1675" s="244"/>
      <c r="P1675" s="252"/>
      <c r="Q1675" s="252"/>
      <c r="R1675" s="252"/>
      <c r="S1675" s="256"/>
      <c r="T1675" s="256"/>
      <c r="U1675" s="256"/>
      <c r="V1675" s="252"/>
      <c r="W1675" s="524"/>
      <c r="X1675" s="256"/>
      <c r="Y1675" s="252"/>
      <c r="AA1675" s="257"/>
      <c r="AD1675" s="244"/>
      <c r="AE1675" s="256"/>
      <c r="AF1675" s="256"/>
    </row>
    <row r="1676" spans="4:32" x14ac:dyDescent="0.3">
      <c r="D1676" s="513"/>
      <c r="E1676" s="513"/>
      <c r="F1676" s="515"/>
      <c r="G1676" s="515"/>
      <c r="I1676" s="513"/>
      <c r="J1676" s="255"/>
      <c r="K1676" s="255"/>
      <c r="L1676" s="513"/>
      <c r="M1676" s="244"/>
      <c r="N1676" s="244"/>
      <c r="P1676" s="252"/>
      <c r="Q1676" s="252"/>
      <c r="R1676" s="252"/>
      <c r="S1676" s="256"/>
      <c r="T1676" s="256"/>
      <c r="U1676" s="256"/>
      <c r="V1676" s="252"/>
      <c r="W1676" s="524"/>
      <c r="X1676" s="256"/>
      <c r="Y1676" s="252"/>
      <c r="AA1676" s="257"/>
      <c r="AD1676" s="244"/>
      <c r="AE1676" s="256"/>
      <c r="AF1676" s="256"/>
    </row>
    <row r="1677" spans="4:32" x14ac:dyDescent="0.3">
      <c r="D1677" s="513"/>
      <c r="E1677" s="513"/>
      <c r="F1677" s="515"/>
      <c r="G1677" s="515"/>
      <c r="I1677" s="513"/>
      <c r="J1677" s="255"/>
      <c r="K1677" s="255"/>
      <c r="L1677" s="513"/>
      <c r="M1677" s="244"/>
      <c r="N1677" s="244"/>
      <c r="P1677" s="252"/>
      <c r="Q1677" s="252"/>
      <c r="R1677" s="252"/>
      <c r="S1677" s="256"/>
      <c r="T1677" s="256"/>
      <c r="U1677" s="256"/>
      <c r="V1677" s="252"/>
      <c r="W1677" s="524"/>
      <c r="X1677" s="256"/>
      <c r="Y1677" s="252"/>
      <c r="AA1677" s="257"/>
      <c r="AD1677" s="244"/>
      <c r="AE1677" s="256"/>
      <c r="AF1677" s="256"/>
    </row>
    <row r="1678" spans="4:32" x14ac:dyDescent="0.3">
      <c r="D1678" s="513"/>
      <c r="E1678" s="513"/>
      <c r="F1678" s="515"/>
      <c r="G1678" s="515"/>
      <c r="I1678" s="513"/>
      <c r="J1678" s="255"/>
      <c r="K1678" s="255"/>
      <c r="L1678" s="513"/>
      <c r="M1678" s="244"/>
      <c r="N1678" s="244"/>
      <c r="P1678" s="252"/>
      <c r="Q1678" s="252"/>
      <c r="R1678" s="252"/>
      <c r="S1678" s="256"/>
      <c r="T1678" s="256"/>
      <c r="U1678" s="256"/>
      <c r="V1678" s="252"/>
      <c r="W1678" s="524"/>
      <c r="X1678" s="256"/>
      <c r="Y1678" s="252"/>
      <c r="AA1678" s="257"/>
      <c r="AD1678" s="244"/>
      <c r="AE1678" s="256"/>
      <c r="AF1678" s="256"/>
    </row>
    <row r="1679" spans="4:32" x14ac:dyDescent="0.3">
      <c r="D1679" s="513"/>
      <c r="E1679" s="513"/>
      <c r="F1679" s="515"/>
      <c r="G1679" s="515"/>
      <c r="I1679" s="513"/>
      <c r="J1679" s="255"/>
      <c r="K1679" s="255"/>
      <c r="L1679" s="513"/>
      <c r="M1679" s="244"/>
      <c r="N1679" s="244"/>
      <c r="P1679" s="252"/>
      <c r="Q1679" s="252"/>
      <c r="R1679" s="252"/>
      <c r="S1679" s="256"/>
      <c r="T1679" s="256"/>
      <c r="U1679" s="256"/>
      <c r="V1679" s="252"/>
      <c r="W1679" s="524"/>
      <c r="X1679" s="256"/>
      <c r="Y1679" s="252"/>
      <c r="AA1679" s="257"/>
      <c r="AD1679" s="244"/>
      <c r="AE1679" s="256"/>
      <c r="AF1679" s="256"/>
    </row>
    <row r="1680" spans="4:32" x14ac:dyDescent="0.3">
      <c r="D1680" s="513"/>
      <c r="E1680" s="513"/>
      <c r="F1680" s="515"/>
      <c r="G1680" s="515"/>
      <c r="I1680" s="513"/>
      <c r="J1680" s="255"/>
      <c r="K1680" s="255"/>
      <c r="L1680" s="513"/>
      <c r="M1680" s="244"/>
      <c r="N1680" s="244"/>
      <c r="P1680" s="252"/>
      <c r="Q1680" s="252"/>
      <c r="R1680" s="252"/>
      <c r="S1680" s="256"/>
      <c r="T1680" s="256"/>
      <c r="U1680" s="256"/>
      <c r="V1680" s="252"/>
      <c r="W1680" s="524"/>
      <c r="X1680" s="256"/>
      <c r="Y1680" s="252"/>
      <c r="AA1680" s="257"/>
      <c r="AD1680" s="244"/>
      <c r="AE1680" s="256"/>
      <c r="AF1680" s="256"/>
    </row>
    <row r="1681" spans="4:32" x14ac:dyDescent="0.3">
      <c r="D1681" s="513"/>
      <c r="E1681" s="513"/>
      <c r="F1681" s="515"/>
      <c r="G1681" s="515"/>
      <c r="I1681" s="513"/>
      <c r="J1681" s="255"/>
      <c r="K1681" s="255"/>
      <c r="L1681" s="513"/>
      <c r="M1681" s="244"/>
      <c r="N1681" s="244"/>
      <c r="P1681" s="252"/>
      <c r="Q1681" s="252"/>
      <c r="R1681" s="252"/>
      <c r="S1681" s="256"/>
      <c r="T1681" s="256"/>
      <c r="U1681" s="256"/>
      <c r="V1681" s="252"/>
      <c r="W1681" s="524"/>
      <c r="X1681" s="256"/>
      <c r="Y1681" s="252"/>
      <c r="AA1681" s="257"/>
      <c r="AD1681" s="244"/>
      <c r="AE1681" s="256"/>
      <c r="AF1681" s="256"/>
    </row>
    <row r="1682" spans="4:32" x14ac:dyDescent="0.3">
      <c r="D1682" s="513"/>
      <c r="E1682" s="513"/>
      <c r="F1682" s="515"/>
      <c r="G1682" s="515"/>
      <c r="I1682" s="513"/>
      <c r="J1682" s="255"/>
      <c r="K1682" s="255"/>
      <c r="L1682" s="513"/>
      <c r="M1682" s="244"/>
      <c r="N1682" s="244"/>
      <c r="P1682" s="252"/>
      <c r="Q1682" s="252"/>
      <c r="R1682" s="252"/>
      <c r="S1682" s="256"/>
      <c r="T1682" s="256"/>
      <c r="U1682" s="256"/>
      <c r="V1682" s="252"/>
      <c r="W1682" s="524"/>
      <c r="X1682" s="256"/>
      <c r="Y1682" s="252"/>
      <c r="AA1682" s="257"/>
      <c r="AD1682" s="244"/>
      <c r="AE1682" s="256"/>
      <c r="AF1682" s="256"/>
    </row>
    <row r="1683" spans="4:32" x14ac:dyDescent="0.3">
      <c r="D1683" s="513"/>
      <c r="E1683" s="513"/>
      <c r="F1683" s="515"/>
      <c r="G1683" s="515"/>
      <c r="I1683" s="513"/>
      <c r="J1683" s="255"/>
      <c r="K1683" s="255"/>
      <c r="L1683" s="513"/>
      <c r="M1683" s="244"/>
      <c r="N1683" s="244"/>
      <c r="P1683" s="252"/>
      <c r="Q1683" s="252"/>
      <c r="R1683" s="252"/>
      <c r="S1683" s="256"/>
      <c r="T1683" s="256"/>
      <c r="U1683" s="256"/>
      <c r="V1683" s="252"/>
      <c r="W1683" s="524"/>
      <c r="X1683" s="256"/>
      <c r="Y1683" s="252"/>
      <c r="AA1683" s="257"/>
      <c r="AD1683" s="244"/>
      <c r="AE1683" s="256"/>
      <c r="AF1683" s="256"/>
    </row>
    <row r="1684" spans="4:32" x14ac:dyDescent="0.3">
      <c r="D1684" s="513"/>
      <c r="E1684" s="513"/>
      <c r="F1684" s="515"/>
      <c r="G1684" s="515"/>
      <c r="I1684" s="513"/>
      <c r="J1684" s="255"/>
      <c r="K1684" s="255"/>
      <c r="L1684" s="513"/>
      <c r="M1684" s="244"/>
      <c r="N1684" s="244"/>
      <c r="P1684" s="252"/>
      <c r="Q1684" s="252"/>
      <c r="R1684" s="252"/>
      <c r="S1684" s="256"/>
      <c r="T1684" s="256"/>
      <c r="U1684" s="256"/>
      <c r="V1684" s="252"/>
      <c r="W1684" s="524"/>
      <c r="X1684" s="256"/>
      <c r="Y1684" s="252"/>
      <c r="AA1684" s="257"/>
      <c r="AD1684" s="244"/>
      <c r="AE1684" s="256"/>
      <c r="AF1684" s="256"/>
    </row>
    <row r="1685" spans="4:32" x14ac:dyDescent="0.3">
      <c r="D1685" s="513"/>
      <c r="E1685" s="513"/>
      <c r="F1685" s="515"/>
      <c r="G1685" s="515"/>
      <c r="I1685" s="513"/>
      <c r="J1685" s="255"/>
      <c r="K1685" s="255"/>
      <c r="L1685" s="513"/>
      <c r="M1685" s="244"/>
      <c r="N1685" s="244"/>
      <c r="P1685" s="252"/>
      <c r="Q1685" s="252"/>
      <c r="R1685" s="252"/>
      <c r="S1685" s="256"/>
      <c r="T1685" s="256"/>
      <c r="U1685" s="256"/>
      <c r="V1685" s="252"/>
      <c r="W1685" s="524"/>
      <c r="X1685" s="256"/>
      <c r="Y1685" s="252"/>
      <c r="AA1685" s="257"/>
      <c r="AD1685" s="244"/>
      <c r="AE1685" s="256"/>
      <c r="AF1685" s="256"/>
    </row>
    <row r="1686" spans="4:32" x14ac:dyDescent="0.3">
      <c r="D1686" s="513"/>
      <c r="E1686" s="513"/>
      <c r="F1686" s="515"/>
      <c r="G1686" s="515"/>
      <c r="I1686" s="513"/>
      <c r="J1686" s="255"/>
      <c r="K1686" s="255"/>
      <c r="L1686" s="513"/>
      <c r="M1686" s="244"/>
      <c r="N1686" s="244"/>
      <c r="P1686" s="252"/>
      <c r="Q1686" s="252"/>
      <c r="R1686" s="252"/>
      <c r="S1686" s="256"/>
      <c r="T1686" s="256"/>
      <c r="U1686" s="256"/>
      <c r="V1686" s="252"/>
      <c r="W1686" s="524"/>
      <c r="X1686" s="256"/>
      <c r="Y1686" s="252"/>
      <c r="AA1686" s="257"/>
      <c r="AD1686" s="244"/>
      <c r="AE1686" s="256"/>
      <c r="AF1686" s="256"/>
    </row>
    <row r="1687" spans="4:32" x14ac:dyDescent="0.3">
      <c r="D1687" s="513"/>
      <c r="E1687" s="513"/>
      <c r="F1687" s="515"/>
      <c r="G1687" s="515"/>
      <c r="I1687" s="513"/>
      <c r="J1687" s="255"/>
      <c r="K1687" s="255"/>
      <c r="L1687" s="513"/>
      <c r="M1687" s="244"/>
      <c r="N1687" s="244"/>
      <c r="P1687" s="252"/>
      <c r="Q1687" s="252"/>
      <c r="R1687" s="252"/>
      <c r="S1687" s="256"/>
      <c r="T1687" s="256"/>
      <c r="U1687" s="256"/>
      <c r="V1687" s="252"/>
      <c r="W1687" s="524"/>
      <c r="X1687" s="256"/>
      <c r="Y1687" s="252"/>
      <c r="AA1687" s="257"/>
      <c r="AD1687" s="244"/>
      <c r="AE1687" s="256"/>
      <c r="AF1687" s="256"/>
    </row>
    <row r="1688" spans="4:32" x14ac:dyDescent="0.3">
      <c r="D1688" s="513"/>
      <c r="E1688" s="513"/>
      <c r="F1688" s="515"/>
      <c r="G1688" s="515"/>
      <c r="I1688" s="513"/>
      <c r="J1688" s="255"/>
      <c r="K1688" s="255"/>
      <c r="L1688" s="513"/>
      <c r="M1688" s="244"/>
      <c r="N1688" s="244"/>
      <c r="P1688" s="252"/>
      <c r="Q1688" s="252"/>
      <c r="R1688" s="252"/>
      <c r="S1688" s="256"/>
      <c r="T1688" s="256"/>
      <c r="U1688" s="256"/>
      <c r="V1688" s="252"/>
      <c r="W1688" s="524"/>
      <c r="X1688" s="256"/>
      <c r="Y1688" s="252"/>
      <c r="AA1688" s="257"/>
      <c r="AD1688" s="244"/>
      <c r="AE1688" s="256"/>
      <c r="AF1688" s="256"/>
    </row>
    <row r="1689" spans="4:32" x14ac:dyDescent="0.3">
      <c r="D1689" s="513"/>
      <c r="E1689" s="513"/>
      <c r="F1689" s="515"/>
      <c r="G1689" s="515"/>
      <c r="I1689" s="513"/>
      <c r="J1689" s="255"/>
      <c r="K1689" s="255"/>
      <c r="L1689" s="513"/>
      <c r="M1689" s="244"/>
      <c r="N1689" s="244"/>
      <c r="O1689" s="244"/>
      <c r="P1689" s="252"/>
      <c r="Q1689" s="252"/>
      <c r="R1689" s="252"/>
      <c r="S1689" s="256"/>
      <c r="T1689" s="256"/>
      <c r="U1689" s="256"/>
      <c r="V1689" s="252"/>
      <c r="W1689" s="524"/>
      <c r="X1689" s="256"/>
      <c r="Y1689" s="252"/>
      <c r="AA1689" s="257"/>
      <c r="AD1689" s="244"/>
      <c r="AE1689" s="256"/>
      <c r="AF1689" s="256"/>
    </row>
    <row r="1690" spans="4:32" x14ac:dyDescent="0.3">
      <c r="D1690" s="513"/>
      <c r="E1690" s="513"/>
      <c r="F1690" s="515"/>
      <c r="G1690" s="515"/>
      <c r="I1690" s="513"/>
      <c r="J1690" s="255"/>
      <c r="K1690" s="255"/>
      <c r="L1690" s="513"/>
      <c r="M1690" s="244"/>
      <c r="N1690" s="244"/>
      <c r="O1690" s="244"/>
      <c r="P1690" s="252"/>
      <c r="Q1690" s="252"/>
      <c r="R1690" s="252"/>
      <c r="S1690" s="256"/>
      <c r="T1690" s="256"/>
      <c r="U1690" s="256"/>
      <c r="V1690" s="252"/>
      <c r="W1690" s="524"/>
      <c r="X1690" s="256"/>
      <c r="Y1690" s="252"/>
      <c r="AA1690" s="257"/>
      <c r="AD1690" s="244"/>
      <c r="AE1690" s="256"/>
      <c r="AF1690" s="256"/>
    </row>
    <row r="1691" spans="4:32" x14ac:dyDescent="0.3">
      <c r="D1691" s="513"/>
      <c r="E1691" s="513"/>
      <c r="F1691" s="515"/>
      <c r="G1691" s="515"/>
      <c r="I1691" s="513"/>
      <c r="J1691" s="255"/>
      <c r="K1691" s="255"/>
      <c r="L1691" s="513"/>
      <c r="M1691" s="244"/>
      <c r="N1691" s="244"/>
      <c r="O1691" s="244"/>
      <c r="P1691" s="252"/>
      <c r="Q1691" s="252"/>
      <c r="R1691" s="252"/>
      <c r="S1691" s="256"/>
      <c r="T1691" s="256"/>
      <c r="U1691" s="256"/>
      <c r="V1691" s="252"/>
      <c r="W1691" s="524"/>
      <c r="X1691" s="256"/>
      <c r="Y1691" s="252"/>
      <c r="AA1691" s="257"/>
      <c r="AD1691" s="244"/>
      <c r="AE1691" s="256"/>
      <c r="AF1691" s="256"/>
    </row>
    <row r="1692" spans="4:32" x14ac:dyDescent="0.3">
      <c r="D1692" s="513"/>
      <c r="E1692" s="513"/>
      <c r="F1692" s="515"/>
      <c r="G1692" s="515"/>
      <c r="I1692" s="513"/>
      <c r="J1692" s="255"/>
      <c r="K1692" s="255"/>
      <c r="L1692" s="513"/>
      <c r="M1692" s="244"/>
      <c r="N1692" s="244"/>
      <c r="P1692" s="252"/>
      <c r="Q1692" s="252"/>
      <c r="R1692" s="252"/>
      <c r="S1692" s="256"/>
      <c r="T1692" s="256"/>
      <c r="U1692" s="256"/>
      <c r="V1692" s="252"/>
      <c r="W1692" s="524"/>
      <c r="X1692" s="256"/>
      <c r="Y1692" s="252"/>
      <c r="AA1692" s="257"/>
      <c r="AD1692" s="244"/>
      <c r="AE1692" s="256"/>
      <c r="AF1692" s="256"/>
    </row>
    <row r="1693" spans="4:32" x14ac:dyDescent="0.3">
      <c r="D1693" s="513"/>
      <c r="E1693" s="513"/>
      <c r="F1693" s="515"/>
      <c r="G1693" s="515"/>
      <c r="I1693" s="513"/>
      <c r="J1693" s="255"/>
      <c r="K1693" s="255"/>
      <c r="L1693" s="513"/>
      <c r="M1693" s="244"/>
      <c r="N1693" s="244"/>
      <c r="O1693" s="244"/>
      <c r="P1693" s="252"/>
      <c r="Q1693" s="252"/>
      <c r="R1693" s="252"/>
      <c r="S1693" s="256"/>
      <c r="T1693" s="256"/>
      <c r="U1693" s="256"/>
      <c r="V1693" s="252"/>
      <c r="W1693" s="524"/>
      <c r="X1693" s="256"/>
      <c r="Y1693" s="252"/>
      <c r="AA1693" s="257"/>
      <c r="AD1693" s="244"/>
      <c r="AE1693" s="256"/>
      <c r="AF1693" s="256"/>
    </row>
    <row r="1694" spans="4:32" x14ac:dyDescent="0.3">
      <c r="D1694" s="513"/>
      <c r="E1694" s="513"/>
      <c r="F1694" s="515"/>
      <c r="G1694" s="515"/>
      <c r="I1694" s="513"/>
      <c r="J1694" s="255"/>
      <c r="K1694" s="255"/>
      <c r="L1694" s="513"/>
      <c r="M1694" s="244"/>
      <c r="N1694" s="244"/>
      <c r="O1694" s="244"/>
      <c r="P1694" s="252"/>
      <c r="Q1694" s="252"/>
      <c r="R1694" s="252"/>
      <c r="S1694" s="256"/>
      <c r="T1694" s="256"/>
      <c r="U1694" s="256"/>
      <c r="V1694" s="252"/>
      <c r="W1694" s="524"/>
      <c r="X1694" s="256"/>
      <c r="Y1694" s="252"/>
      <c r="AA1694" s="257"/>
      <c r="AD1694" s="244"/>
      <c r="AE1694" s="256"/>
      <c r="AF1694" s="256"/>
    </row>
    <row r="1695" spans="4:32" x14ac:dyDescent="0.3">
      <c r="D1695" s="513"/>
      <c r="E1695" s="513"/>
      <c r="F1695" s="515"/>
      <c r="G1695" s="515"/>
      <c r="I1695" s="513"/>
      <c r="J1695" s="255"/>
      <c r="K1695" s="255"/>
      <c r="L1695" s="513"/>
      <c r="M1695" s="244"/>
      <c r="N1695" s="244"/>
      <c r="P1695" s="252"/>
      <c r="Q1695" s="252"/>
      <c r="R1695" s="252"/>
      <c r="S1695" s="256"/>
      <c r="T1695" s="256"/>
      <c r="U1695" s="256"/>
      <c r="V1695" s="252"/>
      <c r="W1695" s="524"/>
      <c r="X1695" s="256"/>
      <c r="Y1695" s="252"/>
      <c r="AA1695" s="257"/>
      <c r="AD1695" s="244"/>
      <c r="AE1695" s="256"/>
      <c r="AF1695" s="256"/>
    </row>
    <row r="1696" spans="4:32" x14ac:dyDescent="0.3">
      <c r="D1696" s="513"/>
      <c r="E1696" s="513"/>
      <c r="F1696" s="515"/>
      <c r="G1696" s="515"/>
      <c r="I1696" s="513"/>
      <c r="J1696" s="255"/>
      <c r="K1696" s="255"/>
      <c r="L1696" s="513"/>
      <c r="M1696" s="244"/>
      <c r="N1696" s="244"/>
      <c r="P1696" s="252"/>
      <c r="Q1696" s="252"/>
      <c r="R1696" s="252"/>
      <c r="S1696" s="256"/>
      <c r="T1696" s="256"/>
      <c r="U1696" s="256"/>
      <c r="V1696" s="252"/>
      <c r="W1696" s="524"/>
      <c r="X1696" s="256"/>
      <c r="Y1696" s="252"/>
      <c r="AA1696" s="257"/>
      <c r="AD1696" s="244"/>
      <c r="AE1696" s="256"/>
      <c r="AF1696" s="256"/>
    </row>
    <row r="1697" spans="2:32" x14ac:dyDescent="0.3">
      <c r="D1697" s="513"/>
      <c r="E1697" s="513"/>
      <c r="F1697" s="515"/>
      <c r="G1697" s="515"/>
      <c r="I1697" s="513"/>
      <c r="J1697" s="255"/>
      <c r="K1697" s="255"/>
      <c r="L1697" s="513"/>
      <c r="M1697" s="244"/>
      <c r="N1697" s="244"/>
      <c r="P1697" s="252"/>
      <c r="Q1697" s="252"/>
      <c r="R1697" s="252"/>
      <c r="S1697" s="256"/>
      <c r="T1697" s="256"/>
      <c r="U1697" s="256"/>
      <c r="V1697" s="252"/>
      <c r="W1697" s="524"/>
      <c r="X1697" s="256"/>
      <c r="Y1697" s="252"/>
      <c r="AA1697" s="257"/>
      <c r="AD1697" s="244"/>
      <c r="AE1697" s="256"/>
      <c r="AF1697" s="256"/>
    </row>
    <row r="1698" spans="2:32" x14ac:dyDescent="0.3">
      <c r="D1698" s="513"/>
      <c r="E1698" s="513"/>
      <c r="F1698" s="515"/>
      <c r="G1698" s="515"/>
      <c r="I1698" s="513"/>
      <c r="J1698" s="255"/>
      <c r="K1698" s="255"/>
      <c r="L1698" s="513"/>
      <c r="M1698" s="244"/>
      <c r="N1698" s="244"/>
      <c r="P1698" s="252"/>
      <c r="Q1698" s="252"/>
      <c r="R1698" s="252"/>
      <c r="S1698" s="256"/>
      <c r="T1698" s="256"/>
      <c r="U1698" s="256"/>
      <c r="V1698" s="252"/>
      <c r="W1698" s="524"/>
      <c r="X1698" s="256"/>
      <c r="Y1698" s="252"/>
      <c r="AA1698" s="257"/>
      <c r="AD1698" s="244"/>
      <c r="AE1698" s="256"/>
      <c r="AF1698" s="256"/>
    </row>
    <row r="1699" spans="2:32" x14ac:dyDescent="0.3">
      <c r="D1699" s="513"/>
      <c r="E1699" s="513"/>
      <c r="F1699" s="515"/>
      <c r="G1699" s="515"/>
      <c r="I1699" s="513"/>
      <c r="J1699" s="255"/>
      <c r="K1699" s="255"/>
      <c r="L1699" s="513"/>
      <c r="M1699" s="244"/>
      <c r="N1699" s="244"/>
      <c r="P1699" s="252"/>
      <c r="Q1699" s="252"/>
      <c r="R1699" s="252"/>
      <c r="S1699" s="256"/>
      <c r="T1699" s="256"/>
      <c r="U1699" s="256"/>
      <c r="V1699" s="252"/>
      <c r="W1699" s="524"/>
      <c r="X1699" s="256"/>
      <c r="Y1699" s="252"/>
      <c r="AA1699" s="257"/>
      <c r="AD1699" s="244"/>
      <c r="AE1699" s="256"/>
      <c r="AF1699" s="256"/>
    </row>
    <row r="1700" spans="2:32" x14ac:dyDescent="0.3">
      <c r="D1700" s="513"/>
      <c r="E1700" s="513"/>
      <c r="F1700" s="515"/>
      <c r="G1700" s="515"/>
      <c r="I1700" s="513"/>
      <c r="J1700" s="255"/>
      <c r="K1700" s="255"/>
      <c r="L1700" s="513"/>
      <c r="M1700" s="244"/>
      <c r="N1700" s="244"/>
      <c r="P1700" s="252"/>
      <c r="Q1700" s="252"/>
      <c r="R1700" s="252"/>
      <c r="S1700" s="256"/>
      <c r="T1700" s="256"/>
      <c r="U1700" s="256"/>
      <c r="V1700" s="252"/>
      <c r="W1700" s="524"/>
      <c r="X1700" s="256"/>
      <c r="Y1700" s="252"/>
      <c r="AA1700" s="257"/>
      <c r="AD1700" s="244"/>
      <c r="AE1700" s="256"/>
      <c r="AF1700" s="256"/>
    </row>
    <row r="1701" spans="2:32" x14ac:dyDescent="0.3">
      <c r="D1701" s="513"/>
      <c r="E1701" s="513"/>
      <c r="F1701" s="515"/>
      <c r="G1701" s="515"/>
      <c r="I1701" s="513"/>
      <c r="J1701" s="255"/>
      <c r="K1701" s="255"/>
      <c r="L1701" s="513"/>
      <c r="M1701" s="244"/>
      <c r="N1701" s="244"/>
      <c r="P1701" s="252"/>
      <c r="Q1701" s="252"/>
      <c r="R1701" s="252"/>
      <c r="S1701" s="256"/>
      <c r="T1701" s="256"/>
      <c r="U1701" s="256"/>
      <c r="V1701" s="252"/>
      <c r="W1701" s="524"/>
      <c r="X1701" s="256"/>
      <c r="Y1701" s="252"/>
      <c r="AA1701" s="257"/>
      <c r="AD1701" s="244"/>
      <c r="AE1701" s="256"/>
      <c r="AF1701" s="256"/>
    </row>
    <row r="1702" spans="2:32" x14ac:dyDescent="0.3">
      <c r="D1702" s="513"/>
      <c r="E1702" s="513"/>
      <c r="F1702" s="515"/>
      <c r="G1702" s="515"/>
      <c r="I1702" s="513"/>
      <c r="J1702" s="255"/>
      <c r="K1702" s="255"/>
      <c r="L1702" s="513"/>
      <c r="M1702" s="244"/>
      <c r="N1702" s="244"/>
      <c r="P1702" s="252"/>
      <c r="Q1702" s="252"/>
      <c r="R1702" s="252"/>
      <c r="S1702" s="256"/>
      <c r="T1702" s="256"/>
      <c r="U1702" s="256"/>
      <c r="V1702" s="252"/>
      <c r="W1702" s="524"/>
      <c r="X1702" s="256"/>
      <c r="Y1702" s="252"/>
      <c r="AA1702" s="257"/>
      <c r="AD1702" s="244"/>
      <c r="AE1702" s="256"/>
      <c r="AF1702" s="256"/>
    </row>
    <row r="1703" spans="2:32" x14ac:dyDescent="0.3">
      <c r="D1703" s="513"/>
      <c r="E1703" s="513"/>
      <c r="F1703" s="515"/>
      <c r="G1703" s="515"/>
      <c r="I1703" s="513"/>
      <c r="J1703" s="255"/>
      <c r="K1703" s="255"/>
      <c r="L1703" s="513"/>
      <c r="M1703" s="244"/>
      <c r="N1703" s="244"/>
      <c r="P1703" s="252"/>
      <c r="Q1703" s="252"/>
      <c r="R1703" s="252"/>
      <c r="S1703" s="256"/>
      <c r="T1703" s="256"/>
      <c r="U1703" s="256"/>
      <c r="V1703" s="252"/>
      <c r="W1703" s="524"/>
      <c r="X1703" s="256"/>
      <c r="Y1703" s="252"/>
      <c r="AA1703" s="257"/>
      <c r="AD1703" s="244"/>
      <c r="AE1703" s="256"/>
      <c r="AF1703" s="256"/>
    </row>
    <row r="1704" spans="2:32" ht="15.6" x14ac:dyDescent="0.3">
      <c r="B1704" s="508"/>
      <c r="C1704" s="531"/>
      <c r="D1704" s="513"/>
      <c r="E1704" s="513"/>
      <c r="F1704" s="515"/>
      <c r="G1704" s="515"/>
      <c r="I1704" s="513"/>
      <c r="J1704" s="244"/>
      <c r="K1704" s="244"/>
      <c r="L1704" s="513"/>
      <c r="M1704" s="244"/>
      <c r="N1704" s="244"/>
      <c r="O1704" s="244"/>
      <c r="P1704" s="244"/>
      <c r="Q1704" s="244"/>
      <c r="R1704" s="244"/>
      <c r="S1704" s="244"/>
      <c r="T1704" s="244"/>
      <c r="U1704" s="244"/>
      <c r="V1704" s="244"/>
      <c r="W1704" s="526"/>
      <c r="X1704" s="520"/>
      <c r="Y1704" s="244"/>
      <c r="AA1704" s="244"/>
      <c r="AB1704" s="244"/>
      <c r="AC1704" s="244"/>
      <c r="AD1704" s="244"/>
      <c r="AE1704" s="244"/>
      <c r="AF1704" s="244"/>
    </row>
    <row r="1705" spans="2:32" x14ac:dyDescent="0.3">
      <c r="B1705" s="247"/>
      <c r="C1705" s="532"/>
      <c r="D1705" s="513"/>
      <c r="E1705" s="513"/>
      <c r="F1705" s="515"/>
      <c r="G1705" s="515"/>
      <c r="I1705" s="513"/>
      <c r="J1705" s="244"/>
      <c r="K1705" s="244"/>
      <c r="L1705" s="513"/>
      <c r="M1705" s="244"/>
      <c r="N1705" s="244"/>
      <c r="O1705" s="244"/>
      <c r="P1705" s="244"/>
      <c r="Q1705" s="244"/>
      <c r="R1705" s="244"/>
      <c r="S1705" s="244"/>
      <c r="T1705" s="244"/>
      <c r="U1705" s="244"/>
      <c r="V1705" s="244"/>
      <c r="W1705" s="526"/>
      <c r="X1705" s="520"/>
      <c r="Y1705" s="244"/>
      <c r="AA1705" s="244"/>
      <c r="AC1705" s="244"/>
      <c r="AD1705" s="244"/>
      <c r="AE1705" s="244"/>
      <c r="AF1705" s="244"/>
    </row>
    <row r="1706" spans="2:32" x14ac:dyDescent="0.3">
      <c r="D1706" s="513"/>
      <c r="E1706" s="513"/>
      <c r="F1706" s="515"/>
      <c r="G1706" s="515"/>
      <c r="I1706" s="513"/>
      <c r="J1706" s="244"/>
      <c r="K1706" s="244"/>
      <c r="L1706" s="513"/>
      <c r="M1706" s="244"/>
      <c r="N1706" s="244"/>
      <c r="O1706" s="244"/>
      <c r="P1706" s="244"/>
      <c r="Q1706" s="244"/>
      <c r="R1706" s="244"/>
      <c r="S1706" s="244"/>
      <c r="T1706" s="244"/>
      <c r="U1706" s="244"/>
      <c r="V1706" s="244"/>
      <c r="W1706" s="526"/>
      <c r="X1706" s="520"/>
      <c r="Y1706" s="244"/>
      <c r="AA1706" s="244"/>
      <c r="AC1706" s="244"/>
      <c r="AD1706" s="244"/>
      <c r="AE1706" s="244"/>
      <c r="AF1706" s="244"/>
    </row>
    <row r="1707" spans="2:32" x14ac:dyDescent="0.3">
      <c r="D1707" s="513"/>
      <c r="E1707" s="513"/>
      <c r="F1707" s="515"/>
      <c r="G1707" s="515"/>
      <c r="I1707" s="513"/>
      <c r="J1707" s="244"/>
      <c r="K1707" s="244"/>
      <c r="L1707" s="513"/>
      <c r="M1707" s="244"/>
      <c r="N1707" s="244"/>
      <c r="O1707" s="244"/>
      <c r="P1707" s="244"/>
      <c r="Q1707" s="244"/>
      <c r="R1707" s="244"/>
      <c r="S1707" s="244"/>
      <c r="T1707" s="244"/>
      <c r="U1707" s="244"/>
      <c r="V1707" s="244"/>
      <c r="W1707" s="526"/>
      <c r="X1707" s="520"/>
      <c r="Y1707" s="244"/>
      <c r="AA1707" s="244"/>
      <c r="AC1707" s="244"/>
      <c r="AD1707" s="244"/>
      <c r="AE1707" s="244"/>
      <c r="AF1707" s="244"/>
    </row>
    <row r="1708" spans="2:32" x14ac:dyDescent="0.3">
      <c r="D1708" s="513"/>
      <c r="E1708" s="513"/>
      <c r="F1708" s="515"/>
      <c r="G1708" s="515"/>
      <c r="I1708" s="513"/>
      <c r="J1708" s="244"/>
      <c r="K1708" s="244"/>
      <c r="L1708" s="513"/>
      <c r="M1708" s="244"/>
      <c r="N1708" s="244"/>
      <c r="O1708" s="244"/>
      <c r="P1708" s="244"/>
      <c r="Q1708" s="244"/>
      <c r="R1708" s="244"/>
      <c r="S1708" s="244"/>
      <c r="T1708" s="244"/>
      <c r="U1708" s="244"/>
      <c r="V1708" s="244"/>
      <c r="W1708" s="526"/>
      <c r="X1708" s="520"/>
      <c r="Y1708" s="244"/>
      <c r="AA1708" s="244"/>
      <c r="AC1708" s="244"/>
      <c r="AD1708" s="244"/>
      <c r="AE1708" s="244"/>
      <c r="AF1708" s="244"/>
    </row>
    <row r="1709" spans="2:32" x14ac:dyDescent="0.3">
      <c r="D1709" s="513"/>
      <c r="E1709" s="513"/>
      <c r="F1709" s="515"/>
      <c r="G1709" s="515"/>
      <c r="I1709" s="513"/>
      <c r="J1709" s="244"/>
      <c r="K1709" s="244"/>
      <c r="L1709" s="513"/>
      <c r="M1709" s="244"/>
      <c r="N1709" s="244"/>
      <c r="O1709" s="244"/>
      <c r="P1709" s="244"/>
      <c r="Q1709" s="244"/>
      <c r="R1709" s="244"/>
      <c r="S1709" s="244"/>
      <c r="T1709" s="244"/>
      <c r="U1709" s="244"/>
      <c r="V1709" s="244"/>
      <c r="W1709" s="526"/>
      <c r="X1709" s="520"/>
      <c r="Y1709" s="244"/>
      <c r="AA1709" s="244"/>
      <c r="AC1709" s="244"/>
      <c r="AD1709" s="244"/>
      <c r="AE1709" s="244"/>
      <c r="AF1709" s="244"/>
    </row>
    <row r="1710" spans="2:32" x14ac:dyDescent="0.3">
      <c r="D1710" s="513"/>
      <c r="E1710" s="513"/>
      <c r="F1710" s="515"/>
      <c r="G1710" s="515"/>
      <c r="I1710" s="513"/>
      <c r="J1710" s="244"/>
      <c r="K1710" s="244"/>
      <c r="L1710" s="513"/>
      <c r="M1710" s="244"/>
      <c r="N1710" s="244"/>
      <c r="O1710" s="244"/>
      <c r="P1710" s="244"/>
      <c r="Q1710" s="244"/>
      <c r="R1710" s="244"/>
      <c r="S1710" s="244"/>
      <c r="T1710" s="244"/>
      <c r="U1710" s="244"/>
      <c r="V1710" s="244"/>
      <c r="W1710" s="526"/>
      <c r="X1710" s="520"/>
      <c r="Y1710" s="244"/>
      <c r="AA1710" s="244"/>
      <c r="AC1710" s="244"/>
      <c r="AD1710" s="244"/>
      <c r="AE1710" s="244"/>
      <c r="AF1710" s="244"/>
    </row>
    <row r="1711" spans="2:32" x14ac:dyDescent="0.3">
      <c r="D1711" s="513"/>
      <c r="E1711" s="513"/>
      <c r="F1711" s="515"/>
      <c r="G1711" s="515"/>
      <c r="I1711" s="513"/>
      <c r="J1711" s="244"/>
      <c r="K1711" s="244"/>
      <c r="L1711" s="513"/>
      <c r="M1711" s="244"/>
      <c r="N1711" s="244"/>
      <c r="O1711" s="244"/>
      <c r="P1711" s="244"/>
      <c r="Q1711" s="244"/>
      <c r="R1711" s="244"/>
      <c r="S1711" s="244"/>
      <c r="T1711" s="244"/>
      <c r="U1711" s="244"/>
      <c r="V1711" s="244"/>
      <c r="W1711" s="526"/>
      <c r="X1711" s="520"/>
      <c r="Y1711" s="244"/>
      <c r="AA1711" s="244"/>
      <c r="AC1711" s="244"/>
      <c r="AD1711" s="244"/>
      <c r="AE1711" s="244"/>
      <c r="AF1711" s="244"/>
    </row>
    <row r="1712" spans="2:32" x14ac:dyDescent="0.3">
      <c r="D1712" s="513"/>
      <c r="E1712" s="513"/>
      <c r="F1712" s="515"/>
      <c r="G1712" s="515"/>
      <c r="I1712" s="513"/>
      <c r="J1712" s="244"/>
      <c r="K1712" s="244"/>
      <c r="L1712" s="513"/>
      <c r="M1712" s="244"/>
      <c r="N1712" s="244"/>
      <c r="O1712" s="244"/>
      <c r="P1712" s="244"/>
      <c r="Q1712" s="244"/>
      <c r="R1712" s="244"/>
      <c r="S1712" s="244"/>
      <c r="T1712" s="244"/>
      <c r="U1712" s="244"/>
      <c r="V1712" s="244"/>
      <c r="W1712" s="526"/>
      <c r="X1712" s="520"/>
      <c r="Y1712" s="244"/>
      <c r="AA1712" s="244"/>
      <c r="AC1712" s="244"/>
      <c r="AD1712" s="244"/>
      <c r="AE1712" s="244"/>
      <c r="AF1712" s="244"/>
    </row>
    <row r="1713" spans="4:32" x14ac:dyDescent="0.3">
      <c r="D1713" s="513"/>
      <c r="E1713" s="513"/>
      <c r="F1713" s="515"/>
      <c r="G1713" s="515"/>
      <c r="I1713" s="513"/>
      <c r="J1713" s="244"/>
      <c r="K1713" s="244"/>
      <c r="L1713" s="513"/>
      <c r="M1713" s="244"/>
      <c r="N1713" s="244"/>
      <c r="O1713" s="244"/>
      <c r="P1713" s="244"/>
      <c r="Q1713" s="244"/>
      <c r="R1713" s="244"/>
      <c r="S1713" s="244"/>
      <c r="T1713" s="244"/>
      <c r="U1713" s="244"/>
      <c r="V1713" s="244"/>
      <c r="W1713" s="526"/>
      <c r="X1713" s="520"/>
      <c r="Y1713" s="244"/>
      <c r="AA1713" s="244"/>
      <c r="AC1713" s="244"/>
      <c r="AD1713" s="244"/>
      <c r="AE1713" s="244"/>
      <c r="AF1713" s="244"/>
    </row>
    <row r="1714" spans="4:32" x14ac:dyDescent="0.3">
      <c r="D1714" s="513"/>
      <c r="E1714" s="513"/>
      <c r="F1714" s="515"/>
      <c r="G1714" s="515"/>
      <c r="I1714" s="513"/>
      <c r="J1714" s="244"/>
      <c r="K1714" s="244"/>
      <c r="L1714" s="513"/>
      <c r="M1714" s="244"/>
      <c r="N1714" s="244"/>
      <c r="O1714" s="244"/>
      <c r="P1714" s="244"/>
      <c r="Q1714" s="244"/>
      <c r="R1714" s="244"/>
      <c r="S1714" s="244"/>
      <c r="T1714" s="244"/>
      <c r="U1714" s="244"/>
      <c r="V1714" s="244"/>
      <c r="W1714" s="526"/>
      <c r="X1714" s="520"/>
      <c r="Y1714" s="244"/>
      <c r="AA1714" s="244"/>
      <c r="AC1714" s="244"/>
      <c r="AD1714" s="244"/>
      <c r="AE1714" s="244"/>
      <c r="AF1714" s="244"/>
    </row>
    <row r="1715" spans="4:32" x14ac:dyDescent="0.3">
      <c r="D1715" s="513"/>
      <c r="E1715" s="513"/>
      <c r="F1715" s="515"/>
      <c r="G1715" s="515"/>
      <c r="I1715" s="513"/>
      <c r="J1715" s="244"/>
      <c r="K1715" s="244"/>
      <c r="L1715" s="513"/>
      <c r="M1715" s="244"/>
      <c r="N1715" s="244"/>
      <c r="O1715" s="244"/>
      <c r="P1715" s="244"/>
      <c r="Q1715" s="244"/>
      <c r="R1715" s="244"/>
      <c r="S1715" s="244"/>
      <c r="T1715" s="244"/>
      <c r="U1715" s="244"/>
      <c r="V1715" s="244"/>
      <c r="W1715" s="526"/>
      <c r="X1715" s="520"/>
      <c r="Y1715" s="244"/>
      <c r="AA1715" s="244"/>
      <c r="AC1715" s="244"/>
      <c r="AD1715" s="244"/>
      <c r="AE1715" s="244"/>
      <c r="AF1715" s="244"/>
    </row>
    <row r="1716" spans="4:32" x14ac:dyDescent="0.3">
      <c r="D1716" s="513"/>
      <c r="E1716" s="513"/>
      <c r="F1716" s="515"/>
      <c r="G1716" s="515"/>
      <c r="I1716" s="513"/>
      <c r="J1716" s="244"/>
      <c r="K1716" s="244"/>
      <c r="L1716" s="513"/>
      <c r="M1716" s="244"/>
      <c r="N1716" s="244"/>
      <c r="O1716" s="244"/>
      <c r="P1716" s="244"/>
      <c r="Q1716" s="244"/>
      <c r="R1716" s="244"/>
      <c r="S1716" s="244"/>
      <c r="T1716" s="244"/>
      <c r="U1716" s="244"/>
      <c r="V1716" s="244"/>
      <c r="W1716" s="526"/>
      <c r="X1716" s="520"/>
      <c r="Y1716" s="244"/>
      <c r="AA1716" s="244"/>
      <c r="AC1716" s="244"/>
      <c r="AD1716" s="244"/>
      <c r="AE1716" s="244"/>
      <c r="AF1716" s="244"/>
    </row>
    <row r="1717" spans="4:32" x14ac:dyDescent="0.3">
      <c r="D1717" s="513"/>
      <c r="E1717" s="513"/>
      <c r="F1717" s="515"/>
      <c r="G1717" s="515"/>
      <c r="I1717" s="513"/>
      <c r="J1717" s="244"/>
      <c r="K1717" s="244"/>
      <c r="L1717" s="513"/>
      <c r="M1717" s="244"/>
      <c r="N1717" s="244"/>
      <c r="O1717" s="244"/>
      <c r="P1717" s="244"/>
      <c r="Q1717" s="244"/>
      <c r="R1717" s="244"/>
      <c r="S1717" s="244"/>
      <c r="T1717" s="244"/>
      <c r="U1717" s="244"/>
      <c r="V1717" s="244"/>
      <c r="W1717" s="526"/>
      <c r="X1717" s="520"/>
      <c r="Y1717" s="244"/>
      <c r="AA1717" s="244"/>
      <c r="AC1717" s="244"/>
      <c r="AD1717" s="244"/>
      <c r="AE1717" s="244"/>
      <c r="AF1717" s="244"/>
    </row>
    <row r="1718" spans="4:32" x14ac:dyDescent="0.3">
      <c r="D1718" s="513"/>
      <c r="E1718" s="513"/>
      <c r="F1718" s="515"/>
      <c r="G1718" s="515"/>
      <c r="I1718" s="513"/>
      <c r="J1718" s="244"/>
      <c r="K1718" s="244"/>
      <c r="L1718" s="513"/>
      <c r="M1718" s="244"/>
      <c r="N1718" s="244"/>
      <c r="O1718" s="244"/>
      <c r="P1718" s="244"/>
      <c r="Q1718" s="244"/>
      <c r="R1718" s="244"/>
      <c r="S1718" s="244"/>
      <c r="T1718" s="244"/>
      <c r="U1718" s="244"/>
      <c r="V1718" s="244"/>
      <c r="W1718" s="526"/>
      <c r="X1718" s="520"/>
      <c r="Y1718" s="244"/>
      <c r="AA1718" s="244"/>
      <c r="AC1718" s="244"/>
      <c r="AD1718" s="244"/>
      <c r="AE1718" s="244"/>
      <c r="AF1718" s="244"/>
    </row>
    <row r="1719" spans="4:32" x14ac:dyDescent="0.3">
      <c r="D1719" s="513"/>
      <c r="E1719" s="513"/>
      <c r="F1719" s="515"/>
      <c r="G1719" s="515"/>
      <c r="I1719" s="513"/>
      <c r="J1719" s="244"/>
      <c r="K1719" s="244"/>
      <c r="L1719" s="513"/>
      <c r="M1719" s="244"/>
      <c r="N1719" s="244"/>
      <c r="O1719" s="244"/>
      <c r="P1719" s="244"/>
      <c r="Q1719" s="244"/>
      <c r="R1719" s="244"/>
      <c r="S1719" s="244"/>
      <c r="T1719" s="244"/>
      <c r="U1719" s="244"/>
      <c r="V1719" s="244"/>
      <c r="W1719" s="526"/>
      <c r="X1719" s="520"/>
      <c r="Y1719" s="244"/>
      <c r="AA1719" s="244"/>
      <c r="AC1719" s="244"/>
      <c r="AD1719" s="244"/>
      <c r="AE1719" s="244"/>
      <c r="AF1719" s="244"/>
    </row>
    <row r="1720" spans="4:32" x14ac:dyDescent="0.3">
      <c r="D1720" s="513"/>
      <c r="E1720" s="513"/>
      <c r="F1720" s="515"/>
      <c r="G1720" s="515"/>
      <c r="I1720" s="513"/>
      <c r="J1720" s="244"/>
      <c r="K1720" s="244"/>
      <c r="L1720" s="513"/>
      <c r="M1720" s="244"/>
      <c r="N1720" s="244"/>
      <c r="O1720" s="244"/>
      <c r="P1720" s="244"/>
      <c r="Q1720" s="244"/>
      <c r="R1720" s="244"/>
      <c r="S1720" s="244"/>
      <c r="T1720" s="244"/>
      <c r="U1720" s="244"/>
      <c r="V1720" s="244"/>
      <c r="W1720" s="526"/>
      <c r="X1720" s="520"/>
      <c r="Y1720" s="244"/>
      <c r="AA1720" s="244"/>
      <c r="AC1720" s="244"/>
      <c r="AD1720" s="244"/>
      <c r="AE1720" s="244"/>
      <c r="AF1720" s="244"/>
    </row>
    <row r="1721" spans="4:32" x14ac:dyDescent="0.3">
      <c r="D1721" s="513"/>
      <c r="E1721" s="513"/>
      <c r="F1721" s="515"/>
      <c r="G1721" s="515"/>
      <c r="I1721" s="513"/>
      <c r="J1721" s="244"/>
      <c r="K1721" s="244"/>
      <c r="L1721" s="513"/>
      <c r="M1721" s="244"/>
      <c r="N1721" s="244"/>
      <c r="O1721" s="244"/>
      <c r="P1721" s="244"/>
      <c r="Q1721" s="244"/>
      <c r="R1721" s="244"/>
      <c r="S1721" s="244"/>
      <c r="T1721" s="244"/>
      <c r="U1721" s="244"/>
      <c r="V1721" s="244"/>
      <c r="W1721" s="526"/>
      <c r="X1721" s="520"/>
      <c r="Y1721" s="244"/>
      <c r="AA1721" s="244"/>
      <c r="AC1721" s="244"/>
      <c r="AD1721" s="244"/>
      <c r="AE1721" s="244"/>
      <c r="AF1721" s="244"/>
    </row>
    <row r="1722" spans="4:32" x14ac:dyDescent="0.3">
      <c r="D1722" s="513"/>
      <c r="E1722" s="513"/>
      <c r="F1722" s="515"/>
      <c r="G1722" s="515"/>
      <c r="I1722" s="513"/>
      <c r="J1722" s="244"/>
      <c r="K1722" s="244"/>
      <c r="L1722" s="513"/>
      <c r="M1722" s="244"/>
      <c r="N1722" s="244"/>
      <c r="O1722" s="244"/>
      <c r="P1722" s="244"/>
      <c r="Q1722" s="244"/>
      <c r="R1722" s="244"/>
      <c r="S1722" s="244"/>
      <c r="T1722" s="244"/>
      <c r="U1722" s="244"/>
      <c r="V1722" s="244"/>
      <c r="W1722" s="526"/>
      <c r="X1722" s="520"/>
      <c r="Y1722" s="244"/>
      <c r="AA1722" s="244"/>
      <c r="AC1722" s="244"/>
      <c r="AD1722" s="244"/>
      <c r="AE1722" s="244"/>
      <c r="AF1722" s="244"/>
    </row>
    <row r="1723" spans="4:32" x14ac:dyDescent="0.3">
      <c r="D1723" s="513"/>
      <c r="E1723" s="513"/>
      <c r="F1723" s="515"/>
      <c r="G1723" s="515"/>
      <c r="I1723" s="513"/>
      <c r="J1723" s="244"/>
      <c r="K1723" s="244"/>
      <c r="L1723" s="513"/>
      <c r="M1723" s="244"/>
      <c r="N1723" s="244"/>
      <c r="O1723" s="244"/>
      <c r="P1723" s="244"/>
      <c r="Q1723" s="244"/>
      <c r="R1723" s="244"/>
      <c r="S1723" s="244"/>
      <c r="T1723" s="244"/>
      <c r="U1723" s="244"/>
      <c r="V1723" s="244"/>
      <c r="W1723" s="526"/>
      <c r="X1723" s="520"/>
      <c r="Y1723" s="244"/>
      <c r="AA1723" s="244"/>
      <c r="AC1723" s="244"/>
      <c r="AD1723" s="244"/>
      <c r="AE1723" s="244"/>
      <c r="AF1723" s="244"/>
    </row>
    <row r="1724" spans="4:32" x14ac:dyDescent="0.3">
      <c r="D1724" s="513"/>
      <c r="E1724" s="513"/>
      <c r="F1724" s="515"/>
      <c r="G1724" s="515"/>
      <c r="I1724" s="513"/>
      <c r="J1724" s="244"/>
      <c r="K1724" s="244"/>
      <c r="L1724" s="513"/>
      <c r="M1724" s="244"/>
      <c r="N1724" s="244"/>
      <c r="O1724" s="244"/>
      <c r="P1724" s="244"/>
      <c r="Q1724" s="244"/>
      <c r="R1724" s="244"/>
      <c r="S1724" s="244"/>
      <c r="T1724" s="244"/>
      <c r="U1724" s="244"/>
      <c r="V1724" s="244"/>
      <c r="W1724" s="526"/>
      <c r="X1724" s="520"/>
      <c r="Y1724" s="244"/>
      <c r="AA1724" s="244"/>
      <c r="AC1724" s="244"/>
      <c r="AD1724" s="244"/>
      <c r="AE1724" s="244"/>
      <c r="AF1724" s="244"/>
    </row>
    <row r="1725" spans="4:32" x14ac:dyDescent="0.3">
      <c r="D1725" s="513"/>
      <c r="E1725" s="513"/>
      <c r="F1725" s="515"/>
      <c r="G1725" s="515"/>
      <c r="I1725" s="513"/>
      <c r="J1725" s="244"/>
      <c r="K1725" s="244"/>
      <c r="L1725" s="513"/>
      <c r="M1725" s="244"/>
      <c r="N1725" s="244"/>
      <c r="O1725" s="244"/>
      <c r="P1725" s="244"/>
      <c r="Q1725" s="244"/>
      <c r="R1725" s="244"/>
      <c r="S1725" s="244"/>
      <c r="T1725" s="244"/>
      <c r="U1725" s="244"/>
      <c r="V1725" s="244"/>
      <c r="W1725" s="526"/>
      <c r="X1725" s="520"/>
      <c r="Y1725" s="244"/>
      <c r="AA1725" s="244"/>
      <c r="AC1725" s="244"/>
      <c r="AD1725" s="244"/>
      <c r="AE1725" s="244"/>
      <c r="AF1725" s="244"/>
    </row>
    <row r="1726" spans="4:32" x14ac:dyDescent="0.3">
      <c r="D1726" s="513"/>
      <c r="E1726" s="513"/>
      <c r="F1726" s="515"/>
      <c r="G1726" s="515"/>
      <c r="I1726" s="513"/>
      <c r="J1726" s="244"/>
      <c r="K1726" s="244"/>
      <c r="L1726" s="513"/>
      <c r="M1726" s="244"/>
      <c r="N1726" s="244"/>
      <c r="O1726" s="244"/>
      <c r="P1726" s="244"/>
      <c r="Q1726" s="244"/>
      <c r="R1726" s="244"/>
      <c r="S1726" s="244"/>
      <c r="T1726" s="244"/>
      <c r="U1726" s="244"/>
      <c r="V1726" s="244"/>
      <c r="W1726" s="526"/>
      <c r="X1726" s="520"/>
      <c r="Y1726" s="244"/>
      <c r="AA1726" s="244"/>
      <c r="AC1726" s="244"/>
      <c r="AD1726" s="244"/>
      <c r="AE1726" s="244"/>
      <c r="AF1726" s="244"/>
    </row>
    <row r="1727" spans="4:32" x14ac:dyDescent="0.3">
      <c r="D1727" s="513"/>
      <c r="E1727" s="513"/>
      <c r="F1727" s="515"/>
      <c r="G1727" s="515"/>
      <c r="I1727" s="513"/>
      <c r="J1727" s="244"/>
      <c r="K1727" s="244"/>
      <c r="L1727" s="513"/>
      <c r="M1727" s="244"/>
      <c r="N1727" s="244"/>
      <c r="O1727" s="244"/>
      <c r="P1727" s="244"/>
      <c r="Q1727" s="244"/>
      <c r="R1727" s="244"/>
      <c r="S1727" s="244"/>
      <c r="T1727" s="244"/>
      <c r="U1727" s="244"/>
      <c r="V1727" s="244"/>
      <c r="W1727" s="526"/>
      <c r="X1727" s="520"/>
      <c r="Y1727" s="244"/>
      <c r="AA1727" s="244"/>
      <c r="AC1727" s="244"/>
      <c r="AD1727" s="244"/>
      <c r="AE1727" s="244"/>
      <c r="AF1727" s="244"/>
    </row>
    <row r="1728" spans="4:32" x14ac:dyDescent="0.3">
      <c r="D1728" s="513"/>
      <c r="E1728" s="513"/>
      <c r="F1728" s="515"/>
      <c r="G1728" s="515"/>
      <c r="I1728" s="513"/>
      <c r="J1728" s="244"/>
      <c r="K1728" s="244"/>
      <c r="L1728" s="513"/>
      <c r="M1728" s="244"/>
      <c r="N1728" s="244"/>
      <c r="O1728" s="244"/>
      <c r="P1728" s="244"/>
      <c r="Q1728" s="244"/>
      <c r="R1728" s="244"/>
      <c r="S1728" s="244"/>
      <c r="T1728" s="244"/>
      <c r="U1728" s="244"/>
      <c r="V1728" s="244"/>
      <c r="W1728" s="526"/>
      <c r="X1728" s="520"/>
      <c r="Y1728" s="244"/>
      <c r="AA1728" s="244"/>
      <c r="AC1728" s="244"/>
      <c r="AD1728" s="244"/>
      <c r="AE1728" s="244"/>
      <c r="AF1728" s="244"/>
    </row>
    <row r="1729" spans="4:32" x14ac:dyDescent="0.3">
      <c r="D1729" s="513"/>
      <c r="E1729" s="513"/>
      <c r="F1729" s="515"/>
      <c r="G1729" s="515"/>
      <c r="I1729" s="513"/>
      <c r="J1729" s="244"/>
      <c r="K1729" s="244"/>
      <c r="L1729" s="513"/>
      <c r="M1729" s="244"/>
      <c r="N1729" s="244"/>
      <c r="O1729" s="244"/>
      <c r="P1729" s="244"/>
      <c r="Q1729" s="244"/>
      <c r="R1729" s="244"/>
      <c r="S1729" s="244"/>
      <c r="T1729" s="244"/>
      <c r="U1729" s="244"/>
      <c r="V1729" s="244"/>
      <c r="W1729" s="526"/>
      <c r="X1729" s="520"/>
      <c r="Y1729" s="244"/>
      <c r="AA1729" s="244"/>
      <c r="AC1729" s="244"/>
      <c r="AD1729" s="244"/>
      <c r="AE1729" s="244"/>
      <c r="AF1729" s="244"/>
    </row>
    <row r="1730" spans="4:32" x14ac:dyDescent="0.3">
      <c r="D1730" s="513"/>
      <c r="E1730" s="513"/>
      <c r="F1730" s="515"/>
      <c r="G1730" s="515"/>
      <c r="I1730" s="513"/>
      <c r="J1730" s="244"/>
      <c r="K1730" s="244"/>
      <c r="L1730" s="513"/>
      <c r="M1730" s="244"/>
      <c r="N1730" s="244"/>
      <c r="O1730" s="244"/>
      <c r="P1730" s="244"/>
      <c r="Q1730" s="244"/>
      <c r="R1730" s="244"/>
      <c r="S1730" s="244"/>
      <c r="T1730" s="244"/>
      <c r="U1730" s="244"/>
      <c r="V1730" s="244"/>
      <c r="W1730" s="526"/>
      <c r="X1730" s="520"/>
      <c r="Y1730" s="244"/>
      <c r="AA1730" s="244"/>
      <c r="AC1730" s="244"/>
      <c r="AD1730" s="244"/>
      <c r="AE1730" s="244"/>
      <c r="AF1730" s="244"/>
    </row>
    <row r="1731" spans="4:32" x14ac:dyDescent="0.3">
      <c r="D1731" s="513"/>
      <c r="E1731" s="513"/>
      <c r="F1731" s="515"/>
      <c r="G1731" s="515"/>
      <c r="I1731" s="513"/>
      <c r="J1731" s="244"/>
      <c r="K1731" s="244"/>
      <c r="L1731" s="513"/>
      <c r="M1731" s="244"/>
      <c r="N1731" s="244"/>
      <c r="O1731" s="244"/>
      <c r="P1731" s="244"/>
      <c r="Q1731" s="244"/>
      <c r="R1731" s="244"/>
      <c r="S1731" s="244"/>
      <c r="T1731" s="244"/>
      <c r="U1731" s="244"/>
      <c r="V1731" s="244"/>
      <c r="W1731" s="526"/>
      <c r="X1731" s="520"/>
      <c r="Y1731" s="244"/>
      <c r="AA1731" s="244"/>
      <c r="AC1731" s="244"/>
      <c r="AD1731" s="244"/>
      <c r="AE1731" s="244"/>
      <c r="AF1731" s="244"/>
    </row>
    <row r="1732" spans="4:32" x14ac:dyDescent="0.3">
      <c r="D1732" s="513"/>
      <c r="E1732" s="513"/>
      <c r="F1732" s="515"/>
      <c r="G1732" s="515"/>
      <c r="I1732" s="513"/>
      <c r="J1732" s="244"/>
      <c r="K1732" s="244"/>
      <c r="L1732" s="513"/>
      <c r="M1732" s="244"/>
      <c r="N1732" s="244"/>
      <c r="O1732" s="244"/>
      <c r="P1732" s="244"/>
      <c r="Q1732" s="244"/>
      <c r="R1732" s="244"/>
      <c r="S1732" s="244"/>
      <c r="T1732" s="244"/>
      <c r="U1732" s="244"/>
      <c r="V1732" s="244"/>
      <c r="W1732" s="526"/>
      <c r="X1732" s="520"/>
      <c r="Y1732" s="244"/>
      <c r="AA1732" s="244"/>
      <c r="AC1732" s="244"/>
      <c r="AD1732" s="244"/>
      <c r="AE1732" s="244"/>
      <c r="AF1732" s="244"/>
    </row>
    <row r="1733" spans="4:32" x14ac:dyDescent="0.3">
      <c r="D1733" s="513"/>
      <c r="E1733" s="513"/>
      <c r="F1733" s="515"/>
      <c r="G1733" s="515"/>
      <c r="I1733" s="513"/>
      <c r="J1733" s="244"/>
      <c r="K1733" s="244"/>
      <c r="L1733" s="513"/>
      <c r="M1733" s="244"/>
      <c r="N1733" s="244"/>
      <c r="O1733" s="244"/>
      <c r="P1733" s="244"/>
      <c r="Q1733" s="244"/>
      <c r="R1733" s="244"/>
      <c r="S1733" s="244"/>
      <c r="T1733" s="244"/>
      <c r="U1733" s="244"/>
      <c r="V1733" s="244"/>
      <c r="W1733" s="526"/>
      <c r="X1733" s="520"/>
      <c r="Y1733" s="244"/>
      <c r="AA1733" s="244"/>
      <c r="AC1733" s="244"/>
      <c r="AD1733" s="244"/>
      <c r="AE1733" s="244"/>
      <c r="AF1733" s="244"/>
    </row>
    <row r="1734" spans="4:32" x14ac:dyDescent="0.3">
      <c r="D1734" s="513"/>
      <c r="E1734" s="513"/>
      <c r="F1734" s="515"/>
      <c r="G1734" s="515"/>
      <c r="I1734" s="513"/>
      <c r="J1734" s="244"/>
      <c r="K1734" s="244"/>
      <c r="L1734" s="513"/>
      <c r="M1734" s="244"/>
      <c r="N1734" s="244"/>
      <c r="O1734" s="244"/>
      <c r="P1734" s="244"/>
      <c r="Q1734" s="244"/>
      <c r="R1734" s="244"/>
      <c r="S1734" s="244"/>
      <c r="T1734" s="244"/>
      <c r="U1734" s="244"/>
      <c r="V1734" s="244"/>
      <c r="W1734" s="526"/>
      <c r="X1734" s="520"/>
      <c r="Y1734" s="244"/>
      <c r="AA1734" s="244"/>
      <c r="AC1734" s="244"/>
      <c r="AD1734" s="244"/>
      <c r="AE1734" s="244"/>
      <c r="AF1734" s="244"/>
    </row>
    <row r="1735" spans="4:32" x14ac:dyDescent="0.3">
      <c r="D1735" s="513"/>
      <c r="E1735" s="513"/>
      <c r="F1735" s="515"/>
      <c r="G1735" s="515"/>
      <c r="I1735" s="513"/>
      <c r="J1735" s="244"/>
      <c r="K1735" s="244"/>
      <c r="L1735" s="513"/>
      <c r="M1735" s="244"/>
      <c r="N1735" s="244"/>
      <c r="O1735" s="244"/>
      <c r="P1735" s="244"/>
      <c r="Q1735" s="244"/>
      <c r="R1735" s="244"/>
      <c r="S1735" s="244"/>
      <c r="T1735" s="244"/>
      <c r="U1735" s="244"/>
      <c r="V1735" s="244"/>
      <c r="W1735" s="526"/>
      <c r="X1735" s="520"/>
      <c r="Y1735" s="244"/>
      <c r="AA1735" s="244"/>
      <c r="AC1735" s="244"/>
      <c r="AD1735" s="244"/>
      <c r="AE1735" s="244"/>
      <c r="AF1735" s="244"/>
    </row>
    <row r="1736" spans="4:32" x14ac:dyDescent="0.3">
      <c r="D1736" s="513"/>
      <c r="E1736" s="513"/>
      <c r="F1736" s="515"/>
      <c r="G1736" s="515"/>
      <c r="I1736" s="513"/>
      <c r="J1736" s="244"/>
      <c r="K1736" s="244"/>
      <c r="L1736" s="513"/>
      <c r="M1736" s="244"/>
      <c r="N1736" s="244"/>
      <c r="O1736" s="244"/>
      <c r="P1736" s="244"/>
      <c r="Q1736" s="244"/>
      <c r="R1736" s="244"/>
      <c r="S1736" s="244"/>
      <c r="T1736" s="244"/>
      <c r="U1736" s="244"/>
      <c r="V1736" s="244"/>
      <c r="W1736" s="526"/>
      <c r="X1736" s="520"/>
      <c r="Y1736" s="244"/>
      <c r="AA1736" s="244"/>
      <c r="AC1736" s="244"/>
      <c r="AD1736" s="244"/>
      <c r="AE1736" s="244"/>
      <c r="AF1736" s="244"/>
    </row>
    <row r="1737" spans="4:32" x14ac:dyDescent="0.3">
      <c r="D1737" s="513"/>
      <c r="E1737" s="513"/>
      <c r="F1737" s="515"/>
      <c r="G1737" s="515"/>
      <c r="I1737" s="513"/>
      <c r="J1737" s="244"/>
      <c r="K1737" s="244"/>
      <c r="L1737" s="513"/>
      <c r="M1737" s="244"/>
      <c r="N1737" s="244"/>
      <c r="O1737" s="244"/>
      <c r="P1737" s="244"/>
      <c r="Q1737" s="244"/>
      <c r="R1737" s="244"/>
      <c r="S1737" s="244"/>
      <c r="T1737" s="244"/>
      <c r="U1737" s="244"/>
      <c r="V1737" s="244"/>
      <c r="W1737" s="526"/>
      <c r="X1737" s="520"/>
      <c r="Y1737" s="244"/>
      <c r="AA1737" s="244"/>
      <c r="AC1737" s="244"/>
      <c r="AD1737" s="244"/>
      <c r="AE1737" s="244"/>
      <c r="AF1737" s="244"/>
    </row>
    <row r="1738" spans="4:32" x14ac:dyDescent="0.3">
      <c r="D1738" s="513"/>
      <c r="E1738" s="513"/>
      <c r="F1738" s="515"/>
      <c r="G1738" s="515"/>
      <c r="I1738" s="513"/>
      <c r="J1738" s="244"/>
      <c r="K1738" s="244"/>
      <c r="L1738" s="513"/>
      <c r="M1738" s="244"/>
      <c r="N1738" s="244"/>
      <c r="O1738" s="244"/>
      <c r="P1738" s="244"/>
      <c r="Q1738" s="244"/>
      <c r="R1738" s="244"/>
      <c r="S1738" s="244"/>
      <c r="T1738" s="244"/>
      <c r="U1738" s="244"/>
      <c r="V1738" s="244"/>
      <c r="W1738" s="526"/>
      <c r="X1738" s="520"/>
      <c r="Y1738" s="244"/>
      <c r="AA1738" s="244"/>
      <c r="AC1738" s="244"/>
      <c r="AD1738" s="244"/>
      <c r="AE1738" s="244"/>
      <c r="AF1738" s="244"/>
    </row>
    <row r="1739" spans="4:32" x14ac:dyDescent="0.3">
      <c r="D1739" s="513"/>
      <c r="E1739" s="513"/>
      <c r="F1739" s="515"/>
      <c r="G1739" s="515"/>
      <c r="I1739" s="513"/>
      <c r="J1739" s="244"/>
      <c r="K1739" s="244"/>
      <c r="L1739" s="513"/>
      <c r="M1739" s="244"/>
      <c r="N1739" s="244"/>
      <c r="O1739" s="244"/>
      <c r="P1739" s="244"/>
      <c r="Q1739" s="244"/>
      <c r="R1739" s="244"/>
      <c r="S1739" s="244"/>
      <c r="T1739" s="244"/>
      <c r="U1739" s="244"/>
      <c r="V1739" s="244"/>
      <c r="W1739" s="526"/>
      <c r="X1739" s="520"/>
      <c r="Y1739" s="244"/>
      <c r="AA1739" s="244"/>
      <c r="AC1739" s="244"/>
      <c r="AD1739" s="244"/>
      <c r="AE1739" s="244"/>
      <c r="AF1739" s="244"/>
    </row>
    <row r="1740" spans="4:32" x14ac:dyDescent="0.3">
      <c r="D1740" s="513"/>
      <c r="E1740" s="513"/>
      <c r="F1740" s="515"/>
      <c r="G1740" s="515"/>
      <c r="I1740" s="513"/>
      <c r="J1740" s="244"/>
      <c r="K1740" s="244"/>
      <c r="L1740" s="513"/>
      <c r="M1740" s="244"/>
      <c r="N1740" s="244"/>
      <c r="O1740" s="244"/>
      <c r="P1740" s="244"/>
      <c r="Q1740" s="244"/>
      <c r="R1740" s="244"/>
      <c r="S1740" s="244"/>
      <c r="T1740" s="244"/>
      <c r="U1740" s="244"/>
      <c r="V1740" s="244"/>
      <c r="W1740" s="526"/>
      <c r="X1740" s="520"/>
      <c r="Y1740" s="244"/>
      <c r="AA1740" s="244"/>
      <c r="AC1740" s="244"/>
      <c r="AD1740" s="244"/>
      <c r="AE1740" s="244"/>
      <c r="AF1740" s="244"/>
    </row>
    <row r="1741" spans="4:32" x14ac:dyDescent="0.3">
      <c r="D1741" s="513"/>
      <c r="E1741" s="513"/>
      <c r="F1741" s="515"/>
      <c r="G1741" s="515"/>
      <c r="I1741" s="513"/>
      <c r="J1741" s="244"/>
      <c r="K1741" s="244"/>
      <c r="L1741" s="513"/>
      <c r="M1741" s="244"/>
      <c r="N1741" s="244"/>
      <c r="O1741" s="244"/>
      <c r="P1741" s="244"/>
      <c r="Q1741" s="244"/>
      <c r="R1741" s="244"/>
      <c r="S1741" s="244"/>
      <c r="T1741" s="244"/>
      <c r="U1741" s="244"/>
      <c r="V1741" s="244"/>
      <c r="W1741" s="526"/>
      <c r="X1741" s="520"/>
      <c r="Y1741" s="244"/>
      <c r="AA1741" s="244"/>
      <c r="AC1741" s="244"/>
      <c r="AD1741" s="244"/>
      <c r="AE1741" s="244"/>
      <c r="AF1741" s="244"/>
    </row>
    <row r="1742" spans="4:32" x14ac:dyDescent="0.3">
      <c r="D1742" s="513"/>
      <c r="E1742" s="513"/>
      <c r="F1742" s="515"/>
      <c r="G1742" s="515"/>
      <c r="I1742" s="513"/>
      <c r="J1742" s="244"/>
      <c r="K1742" s="244"/>
      <c r="L1742" s="513"/>
      <c r="M1742" s="244"/>
      <c r="N1742" s="244"/>
      <c r="O1742" s="244"/>
      <c r="P1742" s="244"/>
      <c r="Q1742" s="244"/>
      <c r="R1742" s="244"/>
      <c r="S1742" s="244"/>
      <c r="T1742" s="244"/>
      <c r="U1742" s="244"/>
      <c r="V1742" s="244"/>
      <c r="W1742" s="526"/>
      <c r="X1742" s="520"/>
      <c r="Y1742" s="244"/>
      <c r="AA1742" s="244"/>
      <c r="AC1742" s="244"/>
      <c r="AD1742" s="244"/>
      <c r="AE1742" s="244"/>
      <c r="AF1742" s="244"/>
    </row>
    <row r="1743" spans="4:32" x14ac:dyDescent="0.3">
      <c r="D1743" s="513"/>
      <c r="E1743" s="513"/>
      <c r="F1743" s="515"/>
      <c r="G1743" s="515"/>
      <c r="I1743" s="513"/>
      <c r="J1743" s="244"/>
      <c r="K1743" s="244"/>
      <c r="L1743" s="513"/>
      <c r="M1743" s="244"/>
      <c r="N1743" s="244"/>
      <c r="O1743" s="244"/>
      <c r="P1743" s="244"/>
      <c r="Q1743" s="244"/>
      <c r="R1743" s="244"/>
      <c r="S1743" s="244"/>
      <c r="T1743" s="244"/>
      <c r="U1743" s="244"/>
      <c r="V1743" s="244"/>
      <c r="W1743" s="526"/>
      <c r="X1743" s="520"/>
      <c r="Y1743" s="244"/>
      <c r="AA1743" s="244"/>
      <c r="AC1743" s="244"/>
      <c r="AD1743" s="244"/>
      <c r="AE1743" s="244"/>
      <c r="AF1743" s="244"/>
    </row>
    <row r="1744" spans="4:32" x14ac:dyDescent="0.3">
      <c r="D1744" s="513"/>
      <c r="E1744" s="513"/>
      <c r="F1744" s="515"/>
      <c r="G1744" s="515"/>
      <c r="I1744" s="513"/>
      <c r="J1744" s="244"/>
      <c r="K1744" s="244"/>
      <c r="L1744" s="513"/>
      <c r="M1744" s="244"/>
      <c r="N1744" s="244"/>
      <c r="O1744" s="244"/>
      <c r="P1744" s="244"/>
      <c r="Q1744" s="244"/>
      <c r="R1744" s="244"/>
      <c r="S1744" s="244"/>
      <c r="T1744" s="244"/>
      <c r="U1744" s="244"/>
      <c r="V1744" s="244"/>
      <c r="W1744" s="526"/>
      <c r="X1744" s="520"/>
      <c r="Y1744" s="244"/>
      <c r="AA1744" s="244"/>
      <c r="AC1744" s="244"/>
      <c r="AD1744" s="244"/>
      <c r="AE1744" s="244"/>
      <c r="AF1744" s="244"/>
    </row>
    <row r="1745" spans="4:32" x14ac:dyDescent="0.3">
      <c r="D1745" s="513"/>
      <c r="E1745" s="513"/>
      <c r="F1745" s="515"/>
      <c r="G1745" s="515"/>
      <c r="I1745" s="513"/>
      <c r="J1745" s="244"/>
      <c r="K1745" s="244"/>
      <c r="L1745" s="513"/>
      <c r="M1745" s="244"/>
      <c r="N1745" s="244"/>
      <c r="O1745" s="244"/>
      <c r="P1745" s="244"/>
      <c r="Q1745" s="244"/>
      <c r="R1745" s="244"/>
      <c r="S1745" s="244"/>
      <c r="T1745" s="244"/>
      <c r="U1745" s="244"/>
      <c r="V1745" s="244"/>
      <c r="W1745" s="526"/>
      <c r="X1745" s="520"/>
      <c r="Y1745" s="244"/>
      <c r="AA1745" s="244"/>
      <c r="AC1745" s="244"/>
      <c r="AD1745" s="244"/>
      <c r="AE1745" s="244"/>
      <c r="AF1745" s="244"/>
    </row>
    <row r="1746" spans="4:32" x14ac:dyDescent="0.3">
      <c r="D1746" s="513"/>
      <c r="E1746" s="513"/>
      <c r="F1746" s="515"/>
      <c r="G1746" s="515"/>
      <c r="I1746" s="513"/>
      <c r="J1746" s="244"/>
      <c r="K1746" s="244"/>
      <c r="L1746" s="513"/>
      <c r="M1746" s="244"/>
      <c r="N1746" s="244"/>
      <c r="O1746" s="244"/>
      <c r="P1746" s="244"/>
      <c r="Q1746" s="244"/>
      <c r="R1746" s="244"/>
      <c r="S1746" s="244"/>
      <c r="T1746" s="244"/>
      <c r="U1746" s="244"/>
      <c r="V1746" s="244"/>
      <c r="W1746" s="526"/>
      <c r="X1746" s="520"/>
      <c r="Y1746" s="244"/>
      <c r="AA1746" s="244"/>
      <c r="AC1746" s="244"/>
      <c r="AD1746" s="244"/>
      <c r="AE1746" s="244"/>
      <c r="AF1746" s="244"/>
    </row>
    <row r="1747" spans="4:32" x14ac:dyDescent="0.3">
      <c r="D1747" s="513"/>
      <c r="E1747" s="513"/>
      <c r="F1747" s="515"/>
      <c r="G1747" s="515"/>
      <c r="I1747" s="513"/>
      <c r="J1747" s="244"/>
      <c r="K1747" s="244"/>
      <c r="L1747" s="513"/>
      <c r="M1747" s="244"/>
      <c r="N1747" s="244"/>
      <c r="O1747" s="244"/>
      <c r="P1747" s="244"/>
      <c r="Q1747" s="244"/>
      <c r="R1747" s="244"/>
      <c r="S1747" s="244"/>
      <c r="T1747" s="244"/>
      <c r="U1747" s="244"/>
      <c r="V1747" s="244"/>
      <c r="W1747" s="526"/>
      <c r="X1747" s="520"/>
      <c r="Y1747" s="244"/>
      <c r="AA1747" s="244"/>
      <c r="AC1747" s="244"/>
      <c r="AD1747" s="244"/>
      <c r="AE1747" s="244"/>
      <c r="AF1747" s="244"/>
    </row>
    <row r="1748" spans="4:32" x14ac:dyDescent="0.3">
      <c r="D1748" s="513"/>
      <c r="E1748" s="513"/>
      <c r="F1748" s="515"/>
      <c r="G1748" s="515"/>
      <c r="I1748" s="513"/>
      <c r="J1748" s="244"/>
      <c r="K1748" s="244"/>
      <c r="L1748" s="513"/>
      <c r="M1748" s="244"/>
      <c r="N1748" s="244"/>
      <c r="O1748" s="244"/>
      <c r="P1748" s="244"/>
      <c r="Q1748" s="244"/>
      <c r="R1748" s="244"/>
      <c r="S1748" s="244"/>
      <c r="T1748" s="244"/>
      <c r="U1748" s="244"/>
      <c r="V1748" s="244"/>
      <c r="W1748" s="526"/>
      <c r="X1748" s="520"/>
      <c r="Y1748" s="244"/>
      <c r="AA1748" s="244"/>
      <c r="AC1748" s="244"/>
      <c r="AD1748" s="244"/>
      <c r="AE1748" s="244"/>
      <c r="AF1748" s="244"/>
    </row>
    <row r="1749" spans="4:32" x14ac:dyDescent="0.3">
      <c r="D1749" s="513"/>
      <c r="E1749" s="513"/>
      <c r="F1749" s="515"/>
      <c r="G1749" s="515"/>
      <c r="I1749" s="513"/>
      <c r="J1749" s="244"/>
      <c r="K1749" s="244"/>
      <c r="L1749" s="513"/>
      <c r="M1749" s="244"/>
      <c r="N1749" s="244"/>
      <c r="O1749" s="244"/>
      <c r="P1749" s="244"/>
      <c r="Q1749" s="244"/>
      <c r="R1749" s="244"/>
      <c r="S1749" s="244"/>
      <c r="T1749" s="244"/>
      <c r="U1749" s="244"/>
      <c r="V1749" s="244"/>
      <c r="W1749" s="526"/>
      <c r="X1749" s="520"/>
      <c r="Y1749" s="244"/>
      <c r="AA1749" s="244"/>
      <c r="AC1749" s="244"/>
      <c r="AD1749" s="244"/>
      <c r="AE1749" s="244"/>
      <c r="AF1749" s="244"/>
    </row>
    <row r="1750" spans="4:32" x14ac:dyDescent="0.3">
      <c r="D1750" s="513"/>
      <c r="E1750" s="513"/>
      <c r="F1750" s="515"/>
      <c r="G1750" s="515"/>
      <c r="I1750" s="513"/>
      <c r="J1750" s="244"/>
      <c r="K1750" s="244"/>
      <c r="L1750" s="513"/>
      <c r="M1750" s="244"/>
      <c r="N1750" s="244"/>
      <c r="O1750" s="244"/>
      <c r="P1750" s="244"/>
      <c r="Q1750" s="244"/>
      <c r="R1750" s="244"/>
      <c r="S1750" s="244"/>
      <c r="T1750" s="244"/>
      <c r="U1750" s="244"/>
      <c r="V1750" s="244"/>
      <c r="W1750" s="526"/>
      <c r="X1750" s="520"/>
      <c r="Y1750" s="244"/>
      <c r="AA1750" s="244"/>
      <c r="AC1750" s="244"/>
      <c r="AD1750" s="244"/>
      <c r="AE1750" s="244"/>
      <c r="AF1750" s="244"/>
    </row>
    <row r="1751" spans="4:32" x14ac:dyDescent="0.3">
      <c r="D1751" s="513"/>
      <c r="E1751" s="513"/>
      <c r="F1751" s="515"/>
      <c r="G1751" s="515"/>
      <c r="I1751" s="513"/>
      <c r="J1751" s="244"/>
      <c r="K1751" s="244"/>
      <c r="L1751" s="513"/>
      <c r="M1751" s="244"/>
      <c r="N1751" s="244"/>
      <c r="O1751" s="244"/>
      <c r="P1751" s="244"/>
      <c r="Q1751" s="244"/>
      <c r="R1751" s="244"/>
      <c r="S1751" s="244"/>
      <c r="T1751" s="244"/>
      <c r="U1751" s="244"/>
      <c r="V1751" s="244"/>
      <c r="W1751" s="526"/>
      <c r="X1751" s="520"/>
      <c r="Y1751" s="244"/>
      <c r="AA1751" s="244"/>
      <c r="AC1751" s="244"/>
      <c r="AD1751" s="244"/>
      <c r="AE1751" s="244"/>
      <c r="AF1751" s="244"/>
    </row>
    <row r="1752" spans="4:32" x14ac:dyDescent="0.3">
      <c r="D1752" s="513"/>
      <c r="E1752" s="513"/>
      <c r="F1752" s="515"/>
      <c r="G1752" s="515"/>
      <c r="I1752" s="513"/>
      <c r="J1752" s="244"/>
      <c r="K1752" s="244"/>
      <c r="L1752" s="513"/>
      <c r="M1752" s="244"/>
      <c r="N1752" s="244"/>
      <c r="O1752" s="244"/>
      <c r="P1752" s="244"/>
      <c r="Q1752" s="244"/>
      <c r="R1752" s="244"/>
      <c r="S1752" s="244"/>
      <c r="T1752" s="244"/>
      <c r="U1752" s="244"/>
      <c r="V1752" s="244"/>
      <c r="W1752" s="526"/>
      <c r="X1752" s="520"/>
      <c r="Y1752" s="244"/>
      <c r="AA1752" s="244"/>
      <c r="AC1752" s="244"/>
      <c r="AD1752" s="244"/>
      <c r="AE1752" s="244"/>
      <c r="AF1752" s="244"/>
    </row>
    <row r="1753" spans="4:32" x14ac:dyDescent="0.3">
      <c r="D1753" s="513"/>
      <c r="E1753" s="513"/>
      <c r="F1753" s="515"/>
      <c r="G1753" s="515"/>
      <c r="I1753" s="513"/>
      <c r="J1753" s="244"/>
      <c r="K1753" s="244"/>
      <c r="L1753" s="513"/>
      <c r="M1753" s="244"/>
      <c r="N1753" s="244"/>
      <c r="O1753" s="244"/>
      <c r="P1753" s="244"/>
      <c r="Q1753" s="244"/>
      <c r="R1753" s="244"/>
      <c r="S1753" s="244"/>
      <c r="T1753" s="244"/>
      <c r="U1753" s="244"/>
      <c r="V1753" s="244"/>
      <c r="W1753" s="526"/>
      <c r="X1753" s="520"/>
      <c r="Y1753" s="244"/>
      <c r="AA1753" s="244"/>
      <c r="AC1753" s="244"/>
      <c r="AD1753" s="244"/>
      <c r="AE1753" s="244"/>
      <c r="AF1753" s="244"/>
    </row>
    <row r="1754" spans="4:32" x14ac:dyDescent="0.3">
      <c r="D1754" s="513"/>
      <c r="E1754" s="513"/>
      <c r="F1754" s="515"/>
      <c r="G1754" s="515"/>
      <c r="I1754" s="513"/>
      <c r="J1754" s="244"/>
      <c r="K1754" s="244"/>
      <c r="L1754" s="513"/>
      <c r="M1754" s="244"/>
      <c r="N1754" s="244"/>
      <c r="O1754" s="244"/>
      <c r="P1754" s="244"/>
      <c r="Q1754" s="244"/>
      <c r="R1754" s="244"/>
      <c r="S1754" s="244"/>
      <c r="T1754" s="244"/>
      <c r="U1754" s="244"/>
      <c r="V1754" s="244"/>
      <c r="W1754" s="526"/>
      <c r="X1754" s="520"/>
      <c r="Y1754" s="244"/>
      <c r="AA1754" s="244"/>
      <c r="AC1754" s="244"/>
      <c r="AD1754" s="244"/>
      <c r="AE1754" s="244"/>
      <c r="AF1754" s="244"/>
    </row>
    <row r="1755" spans="4:32" x14ac:dyDescent="0.3">
      <c r="D1755" s="513"/>
      <c r="E1755" s="513"/>
      <c r="F1755" s="515"/>
      <c r="G1755" s="515"/>
      <c r="I1755" s="513"/>
      <c r="J1755" s="244"/>
      <c r="K1755" s="244"/>
      <c r="L1755" s="513"/>
      <c r="M1755" s="244"/>
      <c r="N1755" s="244"/>
      <c r="O1755" s="244"/>
      <c r="P1755" s="244"/>
      <c r="Q1755" s="244"/>
      <c r="R1755" s="244"/>
      <c r="S1755" s="244"/>
      <c r="T1755" s="244"/>
      <c r="U1755" s="244"/>
      <c r="V1755" s="244"/>
      <c r="W1755" s="526"/>
      <c r="X1755" s="520"/>
      <c r="Y1755" s="244"/>
      <c r="AA1755" s="244"/>
      <c r="AC1755" s="244"/>
      <c r="AD1755" s="244"/>
      <c r="AE1755" s="244"/>
      <c r="AF1755" s="244"/>
    </row>
    <row r="1756" spans="4:32" x14ac:dyDescent="0.3">
      <c r="D1756" s="513"/>
      <c r="E1756" s="513"/>
      <c r="F1756" s="515"/>
      <c r="G1756" s="515"/>
      <c r="I1756" s="513"/>
      <c r="J1756" s="244"/>
      <c r="K1756" s="244"/>
      <c r="L1756" s="513"/>
      <c r="M1756" s="244"/>
      <c r="N1756" s="244"/>
      <c r="O1756" s="244"/>
      <c r="P1756" s="244"/>
      <c r="Q1756" s="244"/>
      <c r="R1756" s="244"/>
      <c r="S1756" s="244"/>
      <c r="T1756" s="244"/>
      <c r="U1756" s="244"/>
      <c r="V1756" s="244"/>
      <c r="W1756" s="526"/>
      <c r="X1756" s="520"/>
      <c r="Y1756" s="244"/>
      <c r="AA1756" s="244"/>
      <c r="AC1756" s="244"/>
      <c r="AD1756" s="244"/>
      <c r="AE1756" s="244"/>
      <c r="AF1756" s="244"/>
    </row>
    <row r="1757" spans="4:32" x14ac:dyDescent="0.3">
      <c r="D1757" s="513"/>
      <c r="E1757" s="513"/>
      <c r="F1757" s="515"/>
      <c r="G1757" s="515"/>
      <c r="I1757" s="513"/>
      <c r="J1757" s="244"/>
      <c r="K1757" s="244"/>
      <c r="L1757" s="513"/>
      <c r="M1757" s="244"/>
      <c r="N1757" s="244"/>
      <c r="O1757" s="244"/>
      <c r="P1757" s="244"/>
      <c r="Q1757" s="244"/>
      <c r="R1757" s="244"/>
      <c r="S1757" s="244"/>
      <c r="T1757" s="244"/>
      <c r="U1757" s="244"/>
      <c r="V1757" s="244"/>
      <c r="W1757" s="526"/>
      <c r="X1757" s="520"/>
      <c r="Y1757" s="244"/>
      <c r="AA1757" s="244"/>
      <c r="AC1757" s="244"/>
      <c r="AD1757" s="244"/>
      <c r="AE1757" s="244"/>
      <c r="AF1757" s="244"/>
    </row>
    <row r="1758" spans="4:32" x14ac:dyDescent="0.3">
      <c r="D1758" s="513"/>
      <c r="E1758" s="513"/>
      <c r="F1758" s="515"/>
      <c r="G1758" s="515"/>
      <c r="I1758" s="513"/>
      <c r="J1758" s="244"/>
      <c r="K1758" s="244"/>
      <c r="L1758" s="513"/>
      <c r="M1758" s="244"/>
      <c r="N1758" s="244"/>
      <c r="O1758" s="244"/>
      <c r="P1758" s="244"/>
      <c r="Q1758" s="244"/>
      <c r="R1758" s="244"/>
      <c r="S1758" s="244"/>
      <c r="T1758" s="244"/>
      <c r="U1758" s="244"/>
      <c r="V1758" s="244"/>
      <c r="W1758" s="526"/>
      <c r="X1758" s="520"/>
      <c r="Y1758" s="244"/>
      <c r="AA1758" s="244"/>
      <c r="AC1758" s="244"/>
      <c r="AD1758" s="244"/>
      <c r="AE1758" s="244"/>
      <c r="AF1758" s="244"/>
    </row>
    <row r="1759" spans="4:32" x14ac:dyDescent="0.3">
      <c r="D1759" s="513"/>
      <c r="E1759" s="513"/>
      <c r="F1759" s="515"/>
      <c r="G1759" s="515"/>
      <c r="I1759" s="513"/>
      <c r="J1759" s="244"/>
      <c r="K1759" s="244"/>
      <c r="L1759" s="513"/>
      <c r="M1759" s="244"/>
      <c r="N1759" s="244"/>
      <c r="O1759" s="244"/>
      <c r="P1759" s="244"/>
      <c r="Q1759" s="244"/>
      <c r="R1759" s="244"/>
      <c r="S1759" s="244"/>
      <c r="T1759" s="244"/>
      <c r="U1759" s="244"/>
      <c r="V1759" s="244"/>
      <c r="W1759" s="526"/>
      <c r="X1759" s="520"/>
      <c r="Y1759" s="244"/>
      <c r="AA1759" s="244"/>
      <c r="AC1759" s="244"/>
      <c r="AD1759" s="244"/>
      <c r="AE1759" s="244"/>
      <c r="AF1759" s="244"/>
    </row>
    <row r="1760" spans="4:32" x14ac:dyDescent="0.3">
      <c r="D1760" s="513"/>
      <c r="E1760" s="513"/>
      <c r="F1760" s="515"/>
      <c r="G1760" s="515"/>
      <c r="I1760" s="513"/>
      <c r="J1760" s="244"/>
      <c r="K1760" s="244"/>
      <c r="L1760" s="513"/>
      <c r="M1760" s="244"/>
      <c r="N1760" s="244"/>
      <c r="O1760" s="244"/>
      <c r="P1760" s="244"/>
      <c r="Q1760" s="244"/>
      <c r="R1760" s="244"/>
      <c r="S1760" s="244"/>
      <c r="T1760" s="244"/>
      <c r="U1760" s="244"/>
      <c r="V1760" s="244"/>
      <c r="W1760" s="526"/>
      <c r="X1760" s="520"/>
      <c r="Y1760" s="244"/>
      <c r="AA1760" s="244"/>
      <c r="AC1760" s="244"/>
      <c r="AD1760" s="244"/>
      <c r="AE1760" s="244"/>
      <c r="AF1760" s="244"/>
    </row>
    <row r="1761" spans="4:32" x14ac:dyDescent="0.3">
      <c r="D1761" s="513"/>
      <c r="E1761" s="513"/>
      <c r="F1761" s="515"/>
      <c r="G1761" s="515"/>
      <c r="I1761" s="513"/>
      <c r="J1761" s="244"/>
      <c r="K1761" s="244"/>
      <c r="L1761" s="513"/>
      <c r="M1761" s="244"/>
      <c r="N1761" s="244"/>
      <c r="O1761" s="244"/>
      <c r="P1761" s="244"/>
      <c r="Q1761" s="244"/>
      <c r="R1761" s="244"/>
      <c r="S1761" s="244"/>
      <c r="T1761" s="244"/>
      <c r="U1761" s="244"/>
      <c r="V1761" s="244"/>
      <c r="W1761" s="526"/>
      <c r="X1761" s="520"/>
      <c r="Y1761" s="244"/>
      <c r="AA1761" s="244"/>
      <c r="AC1761" s="244"/>
      <c r="AD1761" s="244"/>
      <c r="AE1761" s="244"/>
      <c r="AF1761" s="244"/>
    </row>
    <row r="1762" spans="4:32" x14ac:dyDescent="0.3">
      <c r="D1762" s="513"/>
      <c r="E1762" s="513"/>
      <c r="F1762" s="515"/>
      <c r="G1762" s="515"/>
      <c r="I1762" s="513"/>
      <c r="J1762" s="244"/>
      <c r="K1762" s="244"/>
      <c r="L1762" s="513"/>
      <c r="M1762" s="244"/>
      <c r="N1762" s="244"/>
      <c r="O1762" s="244"/>
      <c r="P1762" s="244"/>
      <c r="Q1762" s="244"/>
      <c r="R1762" s="244"/>
      <c r="S1762" s="244"/>
      <c r="T1762" s="244"/>
      <c r="U1762" s="244"/>
      <c r="V1762" s="244"/>
      <c r="W1762" s="526"/>
      <c r="X1762" s="520"/>
      <c r="Y1762" s="244"/>
      <c r="AA1762" s="244"/>
      <c r="AC1762" s="244"/>
      <c r="AD1762" s="244"/>
      <c r="AE1762" s="244"/>
      <c r="AF1762" s="244"/>
    </row>
    <row r="1763" spans="4:32" x14ac:dyDescent="0.3">
      <c r="D1763" s="513"/>
      <c r="E1763" s="513"/>
      <c r="F1763" s="515"/>
      <c r="G1763" s="515"/>
      <c r="I1763" s="513"/>
      <c r="J1763" s="244"/>
      <c r="K1763" s="244"/>
      <c r="L1763" s="513"/>
      <c r="M1763" s="244"/>
      <c r="N1763" s="244"/>
      <c r="O1763" s="244"/>
      <c r="P1763" s="244"/>
      <c r="Q1763" s="244"/>
      <c r="R1763" s="244"/>
      <c r="S1763" s="244"/>
      <c r="T1763" s="244"/>
      <c r="U1763" s="244"/>
      <c r="V1763" s="244"/>
      <c r="W1763" s="526"/>
      <c r="X1763" s="520"/>
      <c r="Y1763" s="244"/>
      <c r="AA1763" s="244"/>
      <c r="AC1763" s="244"/>
      <c r="AD1763" s="244"/>
      <c r="AE1763" s="244"/>
      <c r="AF1763" s="244"/>
    </row>
    <row r="1764" spans="4:32" x14ac:dyDescent="0.3">
      <c r="D1764" s="513"/>
      <c r="E1764" s="513"/>
      <c r="F1764" s="515"/>
      <c r="G1764" s="515"/>
      <c r="I1764" s="513"/>
      <c r="J1764" s="244"/>
      <c r="K1764" s="244"/>
      <c r="L1764" s="513"/>
      <c r="M1764" s="244"/>
      <c r="N1764" s="244"/>
      <c r="O1764" s="244"/>
      <c r="P1764" s="244"/>
      <c r="Q1764" s="244"/>
      <c r="R1764" s="244"/>
      <c r="S1764" s="244"/>
      <c r="T1764" s="244"/>
      <c r="U1764" s="244"/>
      <c r="V1764" s="244"/>
      <c r="W1764" s="526"/>
      <c r="X1764" s="520"/>
      <c r="Y1764" s="244"/>
      <c r="AA1764" s="244"/>
      <c r="AC1764" s="244"/>
      <c r="AD1764" s="244"/>
      <c r="AE1764" s="244"/>
      <c r="AF1764" s="244"/>
    </row>
    <row r="1765" spans="4:32" x14ac:dyDescent="0.3">
      <c r="D1765" s="513"/>
      <c r="E1765" s="513"/>
      <c r="F1765" s="515"/>
      <c r="G1765" s="515"/>
      <c r="I1765" s="513"/>
      <c r="J1765" s="244"/>
      <c r="K1765" s="244"/>
      <c r="L1765" s="513"/>
      <c r="M1765" s="244"/>
      <c r="N1765" s="244"/>
      <c r="O1765" s="244"/>
      <c r="P1765" s="244"/>
      <c r="Q1765" s="244"/>
      <c r="R1765" s="244"/>
      <c r="S1765" s="244"/>
      <c r="T1765" s="244"/>
      <c r="U1765" s="244"/>
      <c r="V1765" s="244"/>
      <c r="W1765" s="526"/>
      <c r="X1765" s="520"/>
      <c r="Y1765" s="244"/>
      <c r="AA1765" s="244"/>
      <c r="AC1765" s="244"/>
      <c r="AD1765" s="244"/>
      <c r="AE1765" s="244"/>
      <c r="AF1765" s="244"/>
    </row>
    <row r="1766" spans="4:32" x14ac:dyDescent="0.3">
      <c r="D1766" s="513"/>
      <c r="E1766" s="513"/>
      <c r="F1766" s="515"/>
      <c r="G1766" s="515"/>
      <c r="I1766" s="513"/>
      <c r="J1766" s="244"/>
      <c r="K1766" s="244"/>
      <c r="L1766" s="513"/>
      <c r="M1766" s="244"/>
      <c r="N1766" s="244"/>
      <c r="O1766" s="244"/>
      <c r="P1766" s="244"/>
      <c r="Q1766" s="244"/>
      <c r="R1766" s="244"/>
      <c r="S1766" s="244"/>
      <c r="T1766" s="244"/>
      <c r="U1766" s="244"/>
      <c r="V1766" s="244"/>
      <c r="W1766" s="526"/>
      <c r="X1766" s="520"/>
      <c r="Y1766" s="244"/>
      <c r="AA1766" s="244"/>
      <c r="AC1766" s="244"/>
      <c r="AD1766" s="244"/>
      <c r="AE1766" s="244"/>
      <c r="AF1766" s="244"/>
    </row>
    <row r="1767" spans="4:32" x14ac:dyDescent="0.3">
      <c r="D1767" s="513"/>
      <c r="E1767" s="513"/>
      <c r="F1767" s="515"/>
      <c r="G1767" s="515"/>
      <c r="I1767" s="513"/>
      <c r="J1767" s="244"/>
      <c r="K1767" s="244"/>
      <c r="L1767" s="513"/>
      <c r="M1767" s="244"/>
      <c r="N1767" s="244"/>
      <c r="O1767" s="244"/>
      <c r="P1767" s="244"/>
      <c r="Q1767" s="244"/>
      <c r="R1767" s="244"/>
      <c r="S1767" s="244"/>
      <c r="T1767" s="244"/>
      <c r="U1767" s="244"/>
      <c r="V1767" s="244"/>
      <c r="W1767" s="526"/>
      <c r="X1767" s="520"/>
      <c r="Y1767" s="244"/>
      <c r="AA1767" s="244"/>
      <c r="AC1767" s="244"/>
      <c r="AD1767" s="244"/>
      <c r="AE1767" s="244"/>
      <c r="AF1767" s="244"/>
    </row>
    <row r="1768" spans="4:32" x14ac:dyDescent="0.3">
      <c r="D1768" s="513"/>
      <c r="E1768" s="513"/>
      <c r="F1768" s="515"/>
      <c r="G1768" s="515"/>
      <c r="I1768" s="513"/>
      <c r="J1768" s="244"/>
      <c r="K1768" s="244"/>
      <c r="L1768" s="513"/>
      <c r="M1768" s="244"/>
      <c r="N1768" s="244"/>
      <c r="O1768" s="244"/>
      <c r="P1768" s="244"/>
      <c r="Q1768" s="244"/>
      <c r="R1768" s="244"/>
      <c r="S1768" s="244"/>
      <c r="T1768" s="244"/>
      <c r="U1768" s="244"/>
      <c r="V1768" s="244"/>
      <c r="W1768" s="526"/>
      <c r="X1768" s="520"/>
      <c r="Y1768" s="244"/>
      <c r="AA1768" s="244"/>
      <c r="AC1768" s="244"/>
      <c r="AD1768" s="244"/>
      <c r="AE1768" s="244"/>
      <c r="AF1768" s="244"/>
    </row>
    <row r="1769" spans="4:32" x14ac:dyDescent="0.3">
      <c r="D1769" s="513"/>
      <c r="E1769" s="513"/>
      <c r="F1769" s="515"/>
      <c r="G1769" s="515"/>
      <c r="I1769" s="513"/>
      <c r="J1769" s="244"/>
      <c r="K1769" s="244"/>
      <c r="L1769" s="513"/>
      <c r="M1769" s="244"/>
      <c r="N1769" s="244"/>
      <c r="O1769" s="244"/>
      <c r="P1769" s="244"/>
      <c r="Q1769" s="244"/>
      <c r="R1769" s="244"/>
      <c r="S1769" s="244"/>
      <c r="T1769" s="244"/>
      <c r="U1769" s="244"/>
      <c r="V1769" s="244"/>
      <c r="W1769" s="526"/>
      <c r="X1769" s="520"/>
      <c r="Y1769" s="244"/>
      <c r="AA1769" s="244"/>
      <c r="AC1769" s="244"/>
      <c r="AD1769" s="244"/>
      <c r="AE1769" s="244"/>
      <c r="AF1769" s="244"/>
    </row>
    <row r="1770" spans="4:32" x14ac:dyDescent="0.3">
      <c r="D1770" s="513"/>
      <c r="E1770" s="513"/>
      <c r="F1770" s="515"/>
      <c r="G1770" s="515"/>
      <c r="I1770" s="513"/>
      <c r="J1770" s="244"/>
      <c r="K1770" s="244"/>
      <c r="L1770" s="513"/>
      <c r="M1770" s="244"/>
      <c r="N1770" s="244"/>
      <c r="O1770" s="244"/>
      <c r="P1770" s="244"/>
      <c r="Q1770" s="244"/>
      <c r="R1770" s="244"/>
      <c r="S1770" s="244"/>
      <c r="T1770" s="244"/>
      <c r="U1770" s="244"/>
      <c r="V1770" s="244"/>
      <c r="W1770" s="526"/>
      <c r="X1770" s="520"/>
      <c r="Y1770" s="244"/>
      <c r="AA1770" s="244"/>
      <c r="AC1770" s="244"/>
      <c r="AD1770" s="244"/>
      <c r="AE1770" s="244"/>
      <c r="AF1770" s="244"/>
    </row>
    <row r="1771" spans="4:32" x14ac:dyDescent="0.3">
      <c r="D1771" s="513"/>
      <c r="E1771" s="513"/>
      <c r="F1771" s="515"/>
      <c r="G1771" s="515"/>
      <c r="I1771" s="513"/>
      <c r="J1771" s="244"/>
      <c r="K1771" s="244"/>
      <c r="L1771" s="513"/>
      <c r="M1771" s="244"/>
      <c r="N1771" s="244"/>
      <c r="O1771" s="244"/>
      <c r="P1771" s="244"/>
      <c r="Q1771" s="244"/>
      <c r="R1771" s="244"/>
      <c r="S1771" s="244"/>
      <c r="T1771" s="244"/>
      <c r="U1771" s="244"/>
      <c r="V1771" s="244"/>
      <c r="W1771" s="526"/>
      <c r="X1771" s="520"/>
      <c r="Y1771" s="244"/>
      <c r="AA1771" s="244"/>
      <c r="AC1771" s="244"/>
      <c r="AD1771" s="244"/>
      <c r="AE1771" s="244"/>
      <c r="AF1771" s="244"/>
    </row>
    <row r="1772" spans="4:32" x14ac:dyDescent="0.3">
      <c r="D1772" s="513"/>
      <c r="E1772" s="513"/>
      <c r="F1772" s="515"/>
      <c r="G1772" s="515"/>
      <c r="I1772" s="513"/>
      <c r="J1772" s="244"/>
      <c r="K1772" s="244"/>
      <c r="L1772" s="513"/>
      <c r="M1772" s="244"/>
      <c r="N1772" s="244"/>
      <c r="O1772" s="244"/>
      <c r="P1772" s="244"/>
      <c r="Q1772" s="244"/>
      <c r="R1772" s="244"/>
      <c r="S1772" s="244"/>
      <c r="T1772" s="244"/>
      <c r="U1772" s="244"/>
      <c r="V1772" s="244"/>
      <c r="W1772" s="526"/>
      <c r="X1772" s="520"/>
      <c r="Y1772" s="244"/>
      <c r="AA1772" s="244"/>
      <c r="AC1772" s="244"/>
      <c r="AD1772" s="244"/>
      <c r="AE1772" s="244"/>
      <c r="AF1772" s="244"/>
    </row>
    <row r="1773" spans="4:32" x14ac:dyDescent="0.3">
      <c r="D1773" s="513"/>
      <c r="E1773" s="513"/>
      <c r="F1773" s="515"/>
      <c r="G1773" s="515"/>
      <c r="I1773" s="513"/>
      <c r="J1773" s="244"/>
      <c r="K1773" s="244"/>
      <c r="L1773" s="513"/>
      <c r="M1773" s="244"/>
      <c r="N1773" s="244"/>
      <c r="O1773" s="244"/>
      <c r="P1773" s="244"/>
      <c r="Q1773" s="244"/>
      <c r="R1773" s="244"/>
      <c r="S1773" s="244"/>
      <c r="T1773" s="244"/>
      <c r="U1773" s="244"/>
      <c r="V1773" s="244"/>
      <c r="W1773" s="526"/>
      <c r="X1773" s="520"/>
      <c r="Y1773" s="244"/>
      <c r="AA1773" s="244"/>
      <c r="AC1773" s="244"/>
      <c r="AD1773" s="244"/>
      <c r="AE1773" s="244"/>
      <c r="AF1773" s="244"/>
    </row>
    <row r="1774" spans="4:32" x14ac:dyDescent="0.3">
      <c r="D1774" s="513"/>
      <c r="E1774" s="513"/>
      <c r="F1774" s="515"/>
      <c r="G1774" s="515"/>
      <c r="I1774" s="513"/>
      <c r="J1774" s="244"/>
      <c r="K1774" s="244"/>
      <c r="L1774" s="513"/>
      <c r="M1774" s="244"/>
      <c r="N1774" s="244"/>
      <c r="O1774" s="244"/>
      <c r="P1774" s="244"/>
      <c r="Q1774" s="244"/>
      <c r="R1774" s="244"/>
      <c r="S1774" s="244"/>
      <c r="T1774" s="244"/>
      <c r="U1774" s="244"/>
      <c r="V1774" s="244"/>
      <c r="W1774" s="526"/>
      <c r="X1774" s="520"/>
      <c r="Y1774" s="244"/>
      <c r="AA1774" s="244"/>
      <c r="AC1774" s="244"/>
      <c r="AD1774" s="244"/>
      <c r="AE1774" s="244"/>
      <c r="AF1774" s="244"/>
    </row>
    <row r="1775" spans="4:32" x14ac:dyDescent="0.3">
      <c r="D1775" s="513"/>
      <c r="E1775" s="513"/>
      <c r="F1775" s="515"/>
      <c r="G1775" s="515"/>
      <c r="I1775" s="513"/>
      <c r="J1775" s="244"/>
      <c r="K1775" s="244"/>
      <c r="L1775" s="513"/>
      <c r="M1775" s="244"/>
      <c r="N1775" s="244"/>
      <c r="O1775" s="244"/>
      <c r="P1775" s="244"/>
      <c r="Q1775" s="244"/>
      <c r="R1775" s="244"/>
      <c r="S1775" s="244"/>
      <c r="T1775" s="244"/>
      <c r="U1775" s="244"/>
      <c r="V1775" s="244"/>
      <c r="W1775" s="526"/>
      <c r="X1775" s="520"/>
      <c r="Y1775" s="244"/>
      <c r="AA1775" s="244"/>
      <c r="AC1775" s="244"/>
      <c r="AD1775" s="244"/>
      <c r="AE1775" s="244"/>
      <c r="AF1775" s="244"/>
    </row>
    <row r="1776" spans="4:32" x14ac:dyDescent="0.3">
      <c r="D1776" s="513"/>
      <c r="E1776" s="513"/>
      <c r="F1776" s="515"/>
      <c r="G1776" s="515"/>
      <c r="I1776" s="513"/>
      <c r="J1776" s="244"/>
      <c r="K1776" s="244"/>
      <c r="L1776" s="513"/>
      <c r="M1776" s="244"/>
      <c r="N1776" s="244"/>
      <c r="O1776" s="244"/>
      <c r="P1776" s="244"/>
      <c r="Q1776" s="244"/>
      <c r="R1776" s="244"/>
      <c r="S1776" s="244"/>
      <c r="T1776" s="244"/>
      <c r="U1776" s="244"/>
      <c r="V1776" s="244"/>
      <c r="W1776" s="526"/>
      <c r="X1776" s="520"/>
      <c r="Y1776" s="244"/>
      <c r="AA1776" s="244"/>
      <c r="AC1776" s="244"/>
      <c r="AD1776" s="244"/>
      <c r="AE1776" s="244"/>
      <c r="AF1776" s="244"/>
    </row>
    <row r="1777" spans="4:32" x14ac:dyDescent="0.3">
      <c r="D1777" s="513"/>
      <c r="E1777" s="513"/>
      <c r="F1777" s="515"/>
      <c r="G1777" s="515"/>
      <c r="I1777" s="513"/>
      <c r="J1777" s="244"/>
      <c r="K1777" s="244"/>
      <c r="L1777" s="513"/>
      <c r="M1777" s="244"/>
      <c r="N1777" s="244"/>
      <c r="O1777" s="244"/>
      <c r="P1777" s="244"/>
      <c r="Q1777" s="244"/>
      <c r="R1777" s="244"/>
      <c r="S1777" s="244"/>
      <c r="T1777" s="244"/>
      <c r="U1777" s="244"/>
      <c r="V1777" s="244"/>
      <c r="W1777" s="526"/>
      <c r="X1777" s="520"/>
      <c r="Y1777" s="244"/>
      <c r="AA1777" s="244"/>
      <c r="AC1777" s="244"/>
      <c r="AD1777" s="244"/>
      <c r="AE1777" s="244"/>
      <c r="AF1777" s="244"/>
    </row>
    <row r="1778" spans="4:32" x14ac:dyDescent="0.3">
      <c r="D1778" s="513"/>
      <c r="E1778" s="513"/>
      <c r="F1778" s="515"/>
      <c r="G1778" s="515"/>
      <c r="I1778" s="513"/>
      <c r="J1778" s="244"/>
      <c r="K1778" s="244"/>
      <c r="L1778" s="513"/>
      <c r="M1778" s="244"/>
      <c r="N1778" s="244"/>
      <c r="O1778" s="244"/>
      <c r="P1778" s="244"/>
      <c r="Q1778" s="244"/>
      <c r="R1778" s="244"/>
      <c r="S1778" s="244"/>
      <c r="T1778" s="244"/>
      <c r="U1778" s="244"/>
      <c r="V1778" s="244"/>
      <c r="W1778" s="526"/>
      <c r="X1778" s="520"/>
      <c r="Y1778" s="244"/>
      <c r="AA1778" s="244"/>
      <c r="AC1778" s="244"/>
      <c r="AD1778" s="244"/>
      <c r="AE1778" s="244"/>
      <c r="AF1778" s="244"/>
    </row>
    <row r="1779" spans="4:32" x14ac:dyDescent="0.3">
      <c r="D1779" s="513"/>
      <c r="E1779" s="513"/>
      <c r="F1779" s="515"/>
      <c r="G1779" s="515"/>
      <c r="I1779" s="513"/>
      <c r="J1779" s="244"/>
      <c r="K1779" s="244"/>
      <c r="L1779" s="513"/>
      <c r="M1779" s="244"/>
      <c r="N1779" s="244"/>
      <c r="O1779" s="244"/>
      <c r="P1779" s="244"/>
      <c r="Q1779" s="244"/>
      <c r="R1779" s="244"/>
      <c r="S1779" s="244"/>
      <c r="T1779" s="244"/>
      <c r="U1779" s="244"/>
      <c r="V1779" s="244"/>
      <c r="W1779" s="526"/>
      <c r="X1779" s="520"/>
      <c r="Y1779" s="244"/>
      <c r="AA1779" s="244"/>
      <c r="AC1779" s="244"/>
      <c r="AD1779" s="244"/>
      <c r="AE1779" s="244"/>
      <c r="AF1779" s="244"/>
    </row>
    <row r="1780" spans="4:32" x14ac:dyDescent="0.3">
      <c r="D1780" s="513"/>
      <c r="E1780" s="513"/>
      <c r="F1780" s="515"/>
      <c r="G1780" s="515"/>
      <c r="I1780" s="513"/>
      <c r="J1780" s="244"/>
      <c r="K1780" s="244"/>
      <c r="L1780" s="513"/>
      <c r="M1780" s="244"/>
      <c r="N1780" s="244"/>
      <c r="O1780" s="244"/>
      <c r="P1780" s="244"/>
      <c r="Q1780" s="244"/>
      <c r="R1780" s="244"/>
      <c r="S1780" s="244"/>
      <c r="T1780" s="244"/>
      <c r="U1780" s="244"/>
      <c r="V1780" s="244"/>
      <c r="W1780" s="526"/>
      <c r="X1780" s="520"/>
      <c r="Y1780" s="244"/>
      <c r="AA1780" s="244"/>
      <c r="AC1780" s="244"/>
      <c r="AD1780" s="244"/>
      <c r="AE1780" s="244"/>
      <c r="AF1780" s="244"/>
    </row>
    <row r="1781" spans="4:32" x14ac:dyDescent="0.3">
      <c r="D1781" s="513"/>
      <c r="E1781" s="513"/>
      <c r="F1781" s="515"/>
      <c r="G1781" s="515"/>
      <c r="I1781" s="513"/>
      <c r="J1781" s="244"/>
      <c r="K1781" s="244"/>
      <c r="L1781" s="513"/>
      <c r="M1781" s="244"/>
      <c r="N1781" s="244"/>
      <c r="O1781" s="244"/>
      <c r="P1781" s="244"/>
      <c r="Q1781" s="244"/>
      <c r="R1781" s="244"/>
      <c r="S1781" s="244"/>
      <c r="T1781" s="244"/>
      <c r="U1781" s="244"/>
      <c r="V1781" s="244"/>
      <c r="W1781" s="526"/>
      <c r="X1781" s="520"/>
      <c r="Y1781" s="244"/>
      <c r="AA1781" s="244"/>
      <c r="AC1781" s="244"/>
      <c r="AD1781" s="244"/>
      <c r="AE1781" s="244"/>
      <c r="AF1781" s="244"/>
    </row>
    <row r="1782" spans="4:32" x14ac:dyDescent="0.3">
      <c r="D1782" s="513"/>
      <c r="E1782" s="513"/>
      <c r="F1782" s="515"/>
      <c r="G1782" s="515"/>
      <c r="I1782" s="513"/>
      <c r="J1782" s="244"/>
      <c r="K1782" s="244"/>
      <c r="L1782" s="513"/>
      <c r="M1782" s="244"/>
      <c r="N1782" s="244"/>
      <c r="O1782" s="244"/>
      <c r="P1782" s="244"/>
      <c r="Q1782" s="244"/>
      <c r="R1782" s="244"/>
      <c r="S1782" s="244"/>
      <c r="T1782" s="244"/>
      <c r="U1782" s="244"/>
      <c r="V1782" s="244"/>
      <c r="W1782" s="526"/>
      <c r="X1782" s="520"/>
      <c r="Y1782" s="244"/>
      <c r="AA1782" s="244"/>
      <c r="AC1782" s="244"/>
      <c r="AD1782" s="244"/>
      <c r="AE1782" s="244"/>
      <c r="AF1782" s="244"/>
    </row>
    <row r="1783" spans="4:32" x14ac:dyDescent="0.3">
      <c r="D1783" s="513"/>
      <c r="E1783" s="513"/>
      <c r="F1783" s="515"/>
      <c r="G1783" s="515"/>
      <c r="I1783" s="513"/>
      <c r="J1783" s="244"/>
      <c r="K1783" s="244"/>
      <c r="L1783" s="513"/>
      <c r="M1783" s="244"/>
      <c r="N1783" s="244"/>
      <c r="O1783" s="244"/>
      <c r="P1783" s="244"/>
      <c r="Q1783" s="244"/>
      <c r="R1783" s="244"/>
      <c r="S1783" s="244"/>
      <c r="T1783" s="244"/>
      <c r="U1783" s="244"/>
      <c r="V1783" s="244"/>
      <c r="W1783" s="526"/>
      <c r="X1783" s="520"/>
      <c r="Y1783" s="244"/>
      <c r="AA1783" s="244"/>
      <c r="AC1783" s="244"/>
      <c r="AD1783" s="244"/>
      <c r="AE1783" s="244"/>
      <c r="AF1783" s="244"/>
    </row>
    <row r="1784" spans="4:32" x14ac:dyDescent="0.3">
      <c r="D1784" s="513"/>
      <c r="E1784" s="513"/>
      <c r="F1784" s="515"/>
      <c r="G1784" s="515"/>
      <c r="I1784" s="513"/>
      <c r="J1784" s="244"/>
      <c r="K1784" s="244"/>
      <c r="L1784" s="513"/>
      <c r="M1784" s="244"/>
      <c r="N1784" s="244"/>
      <c r="O1784" s="244"/>
      <c r="P1784" s="244"/>
      <c r="Q1784" s="244"/>
      <c r="R1784" s="244"/>
      <c r="S1784" s="244"/>
      <c r="T1784" s="244"/>
      <c r="U1784" s="244"/>
      <c r="V1784" s="244"/>
      <c r="W1784" s="526"/>
      <c r="X1784" s="520"/>
      <c r="Y1784" s="244"/>
      <c r="AA1784" s="244"/>
      <c r="AC1784" s="244"/>
      <c r="AD1784" s="244"/>
      <c r="AE1784" s="244"/>
      <c r="AF1784" s="244"/>
    </row>
    <row r="1785" spans="4:32" x14ac:dyDescent="0.3">
      <c r="D1785" s="513"/>
      <c r="E1785" s="513"/>
      <c r="F1785" s="515"/>
      <c r="G1785" s="515"/>
      <c r="I1785" s="513"/>
      <c r="J1785" s="244"/>
      <c r="K1785" s="244"/>
      <c r="L1785" s="513"/>
      <c r="M1785" s="244"/>
      <c r="N1785" s="244"/>
      <c r="O1785" s="244"/>
      <c r="P1785" s="244"/>
      <c r="Q1785" s="244"/>
      <c r="R1785" s="244"/>
      <c r="S1785" s="244"/>
      <c r="T1785" s="244"/>
      <c r="U1785" s="244"/>
      <c r="V1785" s="244"/>
      <c r="W1785" s="526"/>
      <c r="X1785" s="520"/>
      <c r="Y1785" s="244"/>
      <c r="AA1785" s="244"/>
      <c r="AC1785" s="244"/>
      <c r="AD1785" s="244"/>
      <c r="AE1785" s="244"/>
      <c r="AF1785" s="244"/>
    </row>
    <row r="1786" spans="4:32" x14ac:dyDescent="0.3">
      <c r="D1786" s="513"/>
      <c r="E1786" s="513"/>
      <c r="F1786" s="515"/>
      <c r="G1786" s="515"/>
      <c r="I1786" s="513"/>
      <c r="J1786" s="244"/>
      <c r="K1786" s="244"/>
      <c r="L1786" s="513"/>
      <c r="M1786" s="244"/>
      <c r="N1786" s="244"/>
      <c r="O1786" s="244"/>
      <c r="P1786" s="244"/>
      <c r="Q1786" s="244"/>
      <c r="R1786" s="244"/>
      <c r="S1786" s="244"/>
      <c r="T1786" s="244"/>
      <c r="U1786" s="244"/>
      <c r="V1786" s="244"/>
      <c r="W1786" s="526"/>
      <c r="X1786" s="520"/>
      <c r="Y1786" s="244"/>
      <c r="AA1786" s="244"/>
      <c r="AC1786" s="244"/>
      <c r="AD1786" s="244"/>
      <c r="AE1786" s="244"/>
      <c r="AF1786" s="244"/>
    </row>
    <row r="1787" spans="4:32" x14ac:dyDescent="0.3">
      <c r="D1787" s="513"/>
      <c r="E1787" s="513"/>
      <c r="F1787" s="515"/>
      <c r="G1787" s="515"/>
      <c r="I1787" s="513"/>
      <c r="J1787" s="244"/>
      <c r="K1787" s="244"/>
      <c r="L1787" s="513"/>
      <c r="M1787" s="244"/>
      <c r="N1787" s="244"/>
      <c r="O1787" s="244"/>
      <c r="P1787" s="244"/>
      <c r="Q1787" s="244"/>
      <c r="R1787" s="244"/>
      <c r="S1787" s="244"/>
      <c r="T1787" s="244"/>
      <c r="U1787" s="244"/>
      <c r="V1787" s="244"/>
      <c r="W1787" s="526"/>
      <c r="X1787" s="520"/>
      <c r="Y1787" s="244"/>
      <c r="AA1787" s="244"/>
      <c r="AC1787" s="244"/>
      <c r="AD1787" s="244"/>
      <c r="AE1787" s="244"/>
      <c r="AF1787" s="244"/>
    </row>
    <row r="1788" spans="4:32" x14ac:dyDescent="0.3">
      <c r="D1788" s="513"/>
      <c r="E1788" s="513"/>
      <c r="F1788" s="515"/>
      <c r="G1788" s="515"/>
      <c r="I1788" s="513"/>
      <c r="J1788" s="244"/>
      <c r="K1788" s="244"/>
      <c r="L1788" s="513"/>
      <c r="M1788" s="244"/>
      <c r="N1788" s="244"/>
      <c r="O1788" s="244"/>
      <c r="P1788" s="244"/>
      <c r="Q1788" s="244"/>
      <c r="R1788" s="244"/>
      <c r="S1788" s="244"/>
      <c r="T1788" s="244"/>
      <c r="U1788" s="244"/>
      <c r="V1788" s="244"/>
      <c r="W1788" s="526"/>
      <c r="X1788" s="520"/>
      <c r="Y1788" s="244"/>
      <c r="AA1788" s="244"/>
      <c r="AC1788" s="244"/>
      <c r="AD1788" s="244"/>
      <c r="AE1788" s="244"/>
      <c r="AF1788" s="244"/>
    </row>
    <row r="1789" spans="4:32" x14ac:dyDescent="0.3">
      <c r="D1789" s="513"/>
      <c r="E1789" s="513"/>
      <c r="F1789" s="515"/>
      <c r="G1789" s="515"/>
      <c r="I1789" s="513"/>
      <c r="J1789" s="244"/>
      <c r="K1789" s="244"/>
      <c r="L1789" s="513"/>
      <c r="M1789" s="244"/>
      <c r="N1789" s="244"/>
      <c r="O1789" s="244"/>
      <c r="P1789" s="244"/>
      <c r="Q1789" s="244"/>
      <c r="R1789" s="244"/>
      <c r="S1789" s="244"/>
      <c r="T1789" s="244"/>
      <c r="U1789" s="244"/>
      <c r="V1789" s="244"/>
      <c r="W1789" s="526"/>
      <c r="X1789" s="520"/>
      <c r="Y1789" s="244"/>
      <c r="AA1789" s="244"/>
      <c r="AC1789" s="244"/>
      <c r="AD1789" s="244"/>
      <c r="AE1789" s="244"/>
      <c r="AF1789" s="244"/>
    </row>
    <row r="1790" spans="4:32" x14ac:dyDescent="0.3">
      <c r="D1790" s="513"/>
      <c r="E1790" s="513"/>
      <c r="F1790" s="515"/>
      <c r="G1790" s="515"/>
      <c r="I1790" s="513"/>
      <c r="J1790" s="244"/>
      <c r="K1790" s="244"/>
      <c r="L1790" s="513"/>
      <c r="M1790" s="244"/>
      <c r="N1790" s="244"/>
      <c r="O1790" s="244"/>
      <c r="P1790" s="244"/>
      <c r="Q1790" s="244"/>
      <c r="R1790" s="244"/>
      <c r="S1790" s="244"/>
      <c r="T1790" s="244"/>
      <c r="U1790" s="244"/>
      <c r="V1790" s="244"/>
      <c r="W1790" s="526"/>
      <c r="X1790" s="520"/>
      <c r="Y1790" s="244"/>
      <c r="AA1790" s="244"/>
      <c r="AC1790" s="244"/>
      <c r="AD1790" s="244"/>
      <c r="AE1790" s="244"/>
      <c r="AF1790" s="244"/>
    </row>
    <row r="1791" spans="4:32" x14ac:dyDescent="0.3">
      <c r="D1791" s="513"/>
      <c r="E1791" s="513"/>
      <c r="F1791" s="515"/>
      <c r="G1791" s="515"/>
      <c r="I1791" s="513"/>
      <c r="J1791" s="244"/>
      <c r="K1791" s="244"/>
      <c r="L1791" s="513"/>
      <c r="M1791" s="244"/>
      <c r="N1791" s="244"/>
      <c r="O1791" s="244"/>
      <c r="P1791" s="244"/>
      <c r="Q1791" s="244"/>
      <c r="R1791" s="244"/>
      <c r="S1791" s="244"/>
      <c r="T1791" s="244"/>
      <c r="U1791" s="244"/>
      <c r="V1791" s="244"/>
      <c r="W1791" s="526"/>
      <c r="X1791" s="520"/>
      <c r="Y1791" s="244"/>
      <c r="AA1791" s="244"/>
      <c r="AC1791" s="244"/>
      <c r="AD1791" s="244"/>
      <c r="AE1791" s="244"/>
      <c r="AF1791" s="244"/>
    </row>
    <row r="1792" spans="4:32" x14ac:dyDescent="0.3">
      <c r="D1792" s="513"/>
      <c r="E1792" s="513"/>
      <c r="F1792" s="515"/>
      <c r="G1792" s="515"/>
      <c r="I1792" s="513"/>
      <c r="J1792" s="244"/>
      <c r="K1792" s="244"/>
      <c r="L1792" s="513"/>
      <c r="M1792" s="244"/>
      <c r="N1792" s="244"/>
      <c r="O1792" s="244"/>
      <c r="P1792" s="244"/>
      <c r="Q1792" s="244"/>
      <c r="R1792" s="244"/>
      <c r="S1792" s="244"/>
      <c r="T1792" s="244"/>
      <c r="U1792" s="244"/>
      <c r="V1792" s="244"/>
      <c r="W1792" s="526"/>
      <c r="X1792" s="520"/>
      <c r="Y1792" s="244"/>
      <c r="AA1792" s="244"/>
      <c r="AC1792" s="244"/>
      <c r="AD1792" s="244"/>
      <c r="AE1792" s="244"/>
      <c r="AF1792" s="244"/>
    </row>
    <row r="1793" spans="4:32" x14ac:dyDescent="0.3">
      <c r="D1793" s="513"/>
      <c r="E1793" s="513"/>
      <c r="F1793" s="515"/>
      <c r="G1793" s="515"/>
      <c r="I1793" s="513"/>
      <c r="J1793" s="244"/>
      <c r="K1793" s="244"/>
      <c r="L1793" s="513"/>
      <c r="M1793" s="244"/>
      <c r="N1793" s="244"/>
      <c r="O1793" s="244"/>
      <c r="P1793" s="244"/>
      <c r="Q1793" s="244"/>
      <c r="R1793" s="244"/>
      <c r="S1793" s="244"/>
      <c r="T1793" s="244"/>
      <c r="U1793" s="244"/>
      <c r="V1793" s="244"/>
      <c r="W1793" s="526"/>
      <c r="X1793" s="520"/>
      <c r="Y1793" s="244"/>
      <c r="AA1793" s="244"/>
      <c r="AC1793" s="244"/>
      <c r="AD1793" s="244"/>
      <c r="AE1793" s="244"/>
      <c r="AF1793" s="244"/>
    </row>
    <row r="1794" spans="4:32" x14ac:dyDescent="0.3">
      <c r="D1794" s="513"/>
      <c r="E1794" s="513"/>
      <c r="F1794" s="515"/>
      <c r="G1794" s="515"/>
      <c r="I1794" s="513"/>
      <c r="J1794" s="244"/>
      <c r="K1794" s="244"/>
      <c r="L1794" s="513"/>
      <c r="M1794" s="244"/>
      <c r="N1794" s="244"/>
      <c r="O1794" s="244"/>
      <c r="P1794" s="244"/>
      <c r="Q1794" s="244"/>
      <c r="R1794" s="244"/>
      <c r="S1794" s="244"/>
      <c r="T1794" s="244"/>
      <c r="U1794" s="244"/>
      <c r="V1794" s="244"/>
      <c r="W1794" s="526"/>
      <c r="X1794" s="520"/>
      <c r="Y1794" s="244"/>
      <c r="AA1794" s="244"/>
      <c r="AC1794" s="244"/>
      <c r="AD1794" s="244"/>
      <c r="AE1794" s="244"/>
      <c r="AF1794" s="244"/>
    </row>
    <row r="1795" spans="4:32" x14ac:dyDescent="0.3">
      <c r="D1795" s="513"/>
      <c r="E1795" s="513"/>
      <c r="F1795" s="515"/>
      <c r="G1795" s="515"/>
      <c r="I1795" s="513"/>
      <c r="J1795" s="244"/>
      <c r="K1795" s="244"/>
      <c r="L1795" s="513"/>
      <c r="M1795" s="244"/>
      <c r="N1795" s="244"/>
      <c r="O1795" s="244"/>
      <c r="P1795" s="244"/>
      <c r="Q1795" s="244"/>
      <c r="R1795" s="244"/>
      <c r="S1795" s="244"/>
      <c r="T1795" s="244"/>
      <c r="U1795" s="244"/>
      <c r="V1795" s="244"/>
      <c r="W1795" s="526"/>
      <c r="X1795" s="520"/>
      <c r="Y1795" s="244"/>
      <c r="AA1795" s="244"/>
      <c r="AC1795" s="244"/>
      <c r="AD1795" s="244"/>
      <c r="AE1795" s="244"/>
      <c r="AF1795" s="244"/>
    </row>
    <row r="1796" spans="4:32" x14ac:dyDescent="0.3">
      <c r="D1796" s="513"/>
      <c r="E1796" s="513"/>
      <c r="F1796" s="515"/>
      <c r="G1796" s="515"/>
      <c r="I1796" s="513"/>
      <c r="J1796" s="244"/>
      <c r="K1796" s="244"/>
      <c r="L1796" s="513"/>
      <c r="M1796" s="244"/>
      <c r="N1796" s="244"/>
      <c r="O1796" s="244"/>
      <c r="P1796" s="244"/>
      <c r="Q1796" s="244"/>
      <c r="R1796" s="244"/>
      <c r="S1796" s="244"/>
      <c r="T1796" s="244"/>
      <c r="U1796" s="244"/>
      <c r="V1796" s="244"/>
      <c r="W1796" s="526"/>
      <c r="X1796" s="520"/>
      <c r="Y1796" s="244"/>
      <c r="AA1796" s="244"/>
      <c r="AC1796" s="244"/>
      <c r="AD1796" s="244"/>
      <c r="AE1796" s="244"/>
      <c r="AF1796" s="244"/>
    </row>
    <row r="1797" spans="4:32" x14ac:dyDescent="0.3">
      <c r="D1797" s="513"/>
      <c r="E1797" s="513"/>
      <c r="F1797" s="515"/>
      <c r="G1797" s="515"/>
      <c r="I1797" s="513"/>
      <c r="J1797" s="244"/>
      <c r="K1797" s="244"/>
      <c r="L1797" s="513"/>
      <c r="M1797" s="244"/>
      <c r="N1797" s="244"/>
      <c r="O1797" s="244"/>
      <c r="P1797" s="244"/>
      <c r="Q1797" s="244"/>
      <c r="R1797" s="244"/>
      <c r="S1797" s="244"/>
      <c r="T1797" s="244"/>
      <c r="U1797" s="244"/>
      <c r="V1797" s="244"/>
      <c r="W1797" s="526"/>
      <c r="X1797" s="520"/>
      <c r="Y1797" s="244"/>
      <c r="AA1797" s="244"/>
      <c r="AC1797" s="244"/>
      <c r="AD1797" s="244"/>
      <c r="AE1797" s="244"/>
      <c r="AF1797" s="244"/>
    </row>
    <row r="1798" spans="4:32" x14ac:dyDescent="0.3">
      <c r="D1798" s="513"/>
      <c r="E1798" s="513"/>
      <c r="F1798" s="515"/>
      <c r="G1798" s="515"/>
      <c r="I1798" s="513"/>
      <c r="J1798" s="244"/>
      <c r="K1798" s="244"/>
      <c r="L1798" s="513"/>
      <c r="M1798" s="244"/>
      <c r="N1798" s="244"/>
      <c r="O1798" s="244"/>
      <c r="P1798" s="244"/>
      <c r="Q1798" s="244"/>
      <c r="R1798" s="244"/>
      <c r="S1798" s="244"/>
      <c r="T1798" s="244"/>
      <c r="U1798" s="244"/>
      <c r="V1798" s="244"/>
      <c r="W1798" s="526"/>
      <c r="X1798" s="520"/>
      <c r="Y1798" s="244"/>
      <c r="AA1798" s="244"/>
      <c r="AC1798" s="244"/>
      <c r="AD1798" s="244"/>
      <c r="AE1798" s="244"/>
      <c r="AF1798" s="244"/>
    </row>
    <row r="1799" spans="4:32" x14ac:dyDescent="0.3">
      <c r="D1799" s="513"/>
      <c r="E1799" s="513"/>
      <c r="F1799" s="515"/>
      <c r="G1799" s="515"/>
      <c r="I1799" s="513"/>
      <c r="J1799" s="244"/>
      <c r="K1799" s="244"/>
      <c r="L1799" s="513"/>
      <c r="M1799" s="244"/>
      <c r="N1799" s="244"/>
      <c r="O1799" s="244"/>
      <c r="P1799" s="244"/>
      <c r="Q1799" s="244"/>
      <c r="R1799" s="244"/>
      <c r="S1799" s="244"/>
      <c r="T1799" s="244"/>
      <c r="U1799" s="244"/>
      <c r="V1799" s="244"/>
      <c r="W1799" s="526"/>
      <c r="X1799" s="520"/>
      <c r="Y1799" s="244"/>
      <c r="AA1799" s="244"/>
      <c r="AC1799" s="244"/>
      <c r="AD1799" s="244"/>
      <c r="AE1799" s="244"/>
      <c r="AF1799" s="244"/>
    </row>
    <row r="1800" spans="4:32" x14ac:dyDescent="0.3">
      <c r="D1800" s="513"/>
      <c r="E1800" s="513"/>
      <c r="F1800" s="515"/>
      <c r="G1800" s="515"/>
      <c r="I1800" s="513"/>
      <c r="J1800" s="244"/>
      <c r="K1800" s="244"/>
      <c r="L1800" s="513"/>
      <c r="M1800" s="244"/>
      <c r="N1800" s="244"/>
      <c r="O1800" s="244"/>
      <c r="P1800" s="244"/>
      <c r="Q1800" s="244"/>
      <c r="R1800" s="244"/>
      <c r="S1800" s="244"/>
      <c r="T1800" s="244"/>
      <c r="U1800" s="244"/>
      <c r="V1800" s="244"/>
      <c r="W1800" s="526"/>
      <c r="X1800" s="520"/>
      <c r="Y1800" s="244"/>
      <c r="AA1800" s="244"/>
      <c r="AC1800" s="244"/>
      <c r="AD1800" s="244"/>
      <c r="AE1800" s="244"/>
      <c r="AF1800" s="244"/>
    </row>
    <row r="1801" spans="4:32" x14ac:dyDescent="0.3">
      <c r="D1801" s="513"/>
      <c r="E1801" s="513"/>
      <c r="F1801" s="515"/>
      <c r="G1801" s="515"/>
      <c r="I1801" s="513"/>
      <c r="J1801" s="244"/>
      <c r="K1801" s="244"/>
      <c r="L1801" s="513"/>
      <c r="M1801" s="244"/>
      <c r="N1801" s="244"/>
      <c r="O1801" s="244"/>
      <c r="P1801" s="244"/>
      <c r="Q1801" s="244"/>
      <c r="R1801" s="244"/>
      <c r="S1801" s="244"/>
      <c r="T1801" s="244"/>
      <c r="U1801" s="244"/>
      <c r="V1801" s="244"/>
      <c r="W1801" s="526"/>
      <c r="X1801" s="520"/>
      <c r="Y1801" s="244"/>
      <c r="AA1801" s="244"/>
      <c r="AC1801" s="244"/>
      <c r="AD1801" s="244"/>
      <c r="AE1801" s="244"/>
      <c r="AF1801" s="244"/>
    </row>
    <row r="1802" spans="4:32" x14ac:dyDescent="0.3">
      <c r="D1802" s="513"/>
      <c r="E1802" s="513"/>
      <c r="F1802" s="515"/>
      <c r="G1802" s="515"/>
      <c r="I1802" s="513"/>
      <c r="J1802" s="244"/>
      <c r="K1802" s="244"/>
      <c r="L1802" s="513"/>
      <c r="M1802" s="244"/>
      <c r="N1802" s="244"/>
      <c r="O1802" s="244"/>
      <c r="P1802" s="244"/>
      <c r="Q1802" s="244"/>
      <c r="R1802" s="244"/>
      <c r="S1802" s="244"/>
      <c r="T1802" s="244"/>
      <c r="U1802" s="244"/>
      <c r="V1802" s="244"/>
      <c r="W1802" s="526"/>
      <c r="X1802" s="520"/>
      <c r="Y1802" s="244"/>
      <c r="AA1802" s="244"/>
      <c r="AC1802" s="244"/>
      <c r="AD1802" s="244"/>
      <c r="AE1802" s="244"/>
      <c r="AF1802" s="244"/>
    </row>
    <row r="1803" spans="4:32" x14ac:dyDescent="0.3">
      <c r="D1803" s="513"/>
      <c r="E1803" s="513"/>
      <c r="F1803" s="515"/>
      <c r="G1803" s="515"/>
      <c r="I1803" s="513"/>
      <c r="J1803" s="244"/>
      <c r="K1803" s="244"/>
      <c r="L1803" s="513"/>
      <c r="M1803" s="244"/>
      <c r="N1803" s="244"/>
      <c r="O1803" s="244"/>
      <c r="P1803" s="244"/>
      <c r="Q1803" s="244"/>
      <c r="R1803" s="244"/>
      <c r="S1803" s="244"/>
      <c r="T1803" s="244"/>
      <c r="U1803" s="244"/>
      <c r="V1803" s="244"/>
      <c r="W1803" s="526"/>
      <c r="X1803" s="520"/>
      <c r="Y1803" s="244"/>
      <c r="AA1803" s="244"/>
      <c r="AC1803" s="244"/>
      <c r="AD1803" s="244"/>
      <c r="AE1803" s="244"/>
      <c r="AF1803" s="244"/>
    </row>
    <row r="1804" spans="4:32" x14ac:dyDescent="0.3">
      <c r="D1804" s="513"/>
      <c r="E1804" s="513"/>
      <c r="F1804" s="515"/>
      <c r="G1804" s="515"/>
      <c r="I1804" s="513"/>
      <c r="J1804" s="244"/>
      <c r="K1804" s="244"/>
      <c r="L1804" s="513"/>
      <c r="M1804" s="244"/>
      <c r="N1804" s="244"/>
      <c r="O1804" s="244"/>
      <c r="P1804" s="244"/>
      <c r="Q1804" s="244"/>
      <c r="R1804" s="244"/>
      <c r="S1804" s="244"/>
      <c r="T1804" s="244"/>
      <c r="U1804" s="244"/>
      <c r="V1804" s="244"/>
      <c r="W1804" s="526"/>
      <c r="X1804" s="520"/>
      <c r="Y1804" s="244"/>
      <c r="AA1804" s="244"/>
      <c r="AC1804" s="244"/>
      <c r="AD1804" s="244"/>
      <c r="AE1804" s="244"/>
      <c r="AF1804" s="244"/>
    </row>
    <row r="1805" spans="4:32" x14ac:dyDescent="0.3">
      <c r="D1805" s="513"/>
      <c r="E1805" s="513"/>
      <c r="F1805" s="515"/>
      <c r="G1805" s="515"/>
      <c r="I1805" s="513"/>
      <c r="J1805" s="244"/>
      <c r="K1805" s="244"/>
      <c r="L1805" s="513"/>
      <c r="M1805" s="244"/>
      <c r="N1805" s="244"/>
      <c r="O1805" s="244"/>
      <c r="P1805" s="244"/>
      <c r="Q1805" s="244"/>
      <c r="R1805" s="244"/>
      <c r="S1805" s="244"/>
      <c r="T1805" s="244"/>
      <c r="U1805" s="244"/>
      <c r="V1805" s="244"/>
      <c r="W1805" s="526"/>
      <c r="X1805" s="520"/>
      <c r="Y1805" s="244"/>
      <c r="AA1805" s="244"/>
      <c r="AC1805" s="244"/>
      <c r="AD1805" s="244"/>
      <c r="AE1805" s="244"/>
      <c r="AF1805" s="244"/>
    </row>
    <row r="1806" spans="4:32" x14ac:dyDescent="0.3">
      <c r="D1806" s="513"/>
      <c r="E1806" s="513"/>
      <c r="F1806" s="515"/>
      <c r="G1806" s="515"/>
      <c r="I1806" s="513"/>
      <c r="J1806" s="244"/>
      <c r="K1806" s="244"/>
      <c r="L1806" s="513"/>
      <c r="M1806" s="244"/>
      <c r="N1806" s="244"/>
      <c r="O1806" s="244"/>
      <c r="P1806" s="244"/>
      <c r="Q1806" s="244"/>
      <c r="R1806" s="244"/>
      <c r="S1806" s="244"/>
      <c r="T1806" s="244"/>
      <c r="U1806" s="244"/>
      <c r="V1806" s="244"/>
      <c r="W1806" s="526"/>
      <c r="X1806" s="520"/>
      <c r="Y1806" s="244"/>
      <c r="AA1806" s="244"/>
      <c r="AC1806" s="244"/>
      <c r="AD1806" s="244"/>
      <c r="AE1806" s="244"/>
      <c r="AF1806" s="244"/>
    </row>
    <row r="1807" spans="4:32" x14ac:dyDescent="0.3">
      <c r="D1807" s="513"/>
      <c r="E1807" s="513"/>
      <c r="F1807" s="515"/>
      <c r="G1807" s="515"/>
      <c r="I1807" s="513"/>
      <c r="J1807" s="244"/>
      <c r="K1807" s="244"/>
      <c r="L1807" s="513"/>
      <c r="M1807" s="244"/>
      <c r="N1807" s="244"/>
      <c r="O1807" s="244"/>
      <c r="P1807" s="244"/>
      <c r="Q1807" s="244"/>
      <c r="R1807" s="244"/>
      <c r="S1807" s="244"/>
      <c r="T1807" s="244"/>
      <c r="U1807" s="244"/>
      <c r="V1807" s="244"/>
      <c r="W1807" s="526"/>
      <c r="X1807" s="520"/>
      <c r="Y1807" s="244"/>
      <c r="AA1807" s="244"/>
      <c r="AC1807" s="244"/>
      <c r="AD1807" s="244"/>
      <c r="AE1807" s="244"/>
      <c r="AF1807" s="244"/>
    </row>
    <row r="1808" spans="4:32" x14ac:dyDescent="0.3">
      <c r="D1808" s="513"/>
      <c r="E1808" s="513"/>
      <c r="F1808" s="515"/>
      <c r="G1808" s="515"/>
      <c r="I1808" s="513"/>
      <c r="J1808" s="244"/>
      <c r="K1808" s="244"/>
      <c r="L1808" s="513"/>
      <c r="M1808" s="244"/>
      <c r="N1808" s="244"/>
      <c r="O1808" s="244"/>
      <c r="P1808" s="244"/>
      <c r="Q1808" s="244"/>
      <c r="R1808" s="244"/>
      <c r="S1808" s="244"/>
      <c r="T1808" s="244"/>
      <c r="U1808" s="244"/>
      <c r="V1808" s="244"/>
      <c r="W1808" s="526"/>
      <c r="X1808" s="520"/>
      <c r="Y1808" s="244"/>
      <c r="AA1808" s="244"/>
      <c r="AC1808" s="244"/>
      <c r="AD1808" s="244"/>
      <c r="AE1808" s="244"/>
      <c r="AF1808" s="244"/>
    </row>
    <row r="1809" spans="4:32" x14ac:dyDescent="0.3">
      <c r="D1809" s="513"/>
      <c r="E1809" s="513"/>
      <c r="F1809" s="515"/>
      <c r="G1809" s="515"/>
      <c r="I1809" s="513"/>
      <c r="J1809" s="244"/>
      <c r="K1809" s="244"/>
      <c r="L1809" s="513"/>
      <c r="M1809" s="244"/>
      <c r="N1809" s="244"/>
      <c r="O1809" s="244"/>
      <c r="P1809" s="244"/>
      <c r="Q1809" s="244"/>
      <c r="R1809" s="244"/>
      <c r="S1809" s="244"/>
      <c r="T1809" s="244"/>
      <c r="U1809" s="244"/>
      <c r="V1809" s="244"/>
      <c r="W1809" s="526"/>
      <c r="X1809" s="520"/>
      <c r="Y1809" s="244"/>
      <c r="AA1809" s="244"/>
      <c r="AC1809" s="244"/>
      <c r="AD1809" s="244"/>
      <c r="AE1809" s="244"/>
      <c r="AF1809" s="244"/>
    </row>
    <row r="1810" spans="4:32" x14ac:dyDescent="0.3">
      <c r="D1810" s="513"/>
      <c r="E1810" s="513"/>
      <c r="F1810" s="515"/>
      <c r="G1810" s="515"/>
      <c r="I1810" s="513"/>
      <c r="J1810" s="244"/>
      <c r="K1810" s="244"/>
      <c r="L1810" s="513"/>
      <c r="M1810" s="244"/>
      <c r="N1810" s="244"/>
      <c r="O1810" s="244"/>
      <c r="P1810" s="244"/>
      <c r="Q1810" s="244"/>
      <c r="R1810" s="244"/>
      <c r="S1810" s="244"/>
      <c r="T1810" s="244"/>
      <c r="U1810" s="244"/>
      <c r="V1810" s="244"/>
      <c r="W1810" s="526"/>
      <c r="X1810" s="520"/>
      <c r="Y1810" s="244"/>
      <c r="AA1810" s="244"/>
      <c r="AC1810" s="244"/>
      <c r="AD1810" s="244"/>
      <c r="AE1810" s="244"/>
      <c r="AF1810" s="244"/>
    </row>
    <row r="1811" spans="4:32" x14ac:dyDescent="0.3">
      <c r="D1811" s="513"/>
      <c r="E1811" s="513"/>
      <c r="F1811" s="515"/>
      <c r="G1811" s="515"/>
      <c r="I1811" s="513"/>
      <c r="J1811" s="244"/>
      <c r="K1811" s="244"/>
      <c r="L1811" s="513"/>
      <c r="M1811" s="244"/>
      <c r="N1811" s="244"/>
      <c r="O1811" s="244"/>
      <c r="P1811" s="244"/>
      <c r="Q1811" s="244"/>
      <c r="R1811" s="244"/>
      <c r="S1811" s="244"/>
      <c r="T1811" s="244"/>
      <c r="U1811" s="244"/>
      <c r="V1811" s="244"/>
      <c r="W1811" s="526"/>
      <c r="X1811" s="520"/>
      <c r="Y1811" s="244"/>
      <c r="AA1811" s="244"/>
      <c r="AC1811" s="244"/>
      <c r="AD1811" s="244"/>
      <c r="AE1811" s="244"/>
      <c r="AF1811" s="244"/>
    </row>
    <row r="1812" spans="4:32" x14ac:dyDescent="0.3">
      <c r="D1812" s="513"/>
      <c r="E1812" s="513"/>
      <c r="F1812" s="515"/>
      <c r="G1812" s="515"/>
      <c r="I1812" s="513"/>
      <c r="J1812" s="244"/>
      <c r="K1812" s="244"/>
      <c r="L1812" s="513"/>
      <c r="M1812" s="244"/>
      <c r="N1812" s="244"/>
      <c r="O1812" s="244"/>
      <c r="P1812" s="244"/>
      <c r="Q1812" s="244"/>
      <c r="R1812" s="244"/>
      <c r="S1812" s="244"/>
      <c r="T1812" s="244"/>
      <c r="U1812" s="244"/>
      <c r="V1812" s="244"/>
      <c r="W1812" s="526"/>
      <c r="X1812" s="520"/>
      <c r="Y1812" s="244"/>
      <c r="AA1812" s="244"/>
      <c r="AC1812" s="244"/>
      <c r="AD1812" s="244"/>
      <c r="AE1812" s="244"/>
      <c r="AF1812" s="244"/>
    </row>
    <row r="1813" spans="4:32" x14ac:dyDescent="0.3">
      <c r="D1813" s="513"/>
      <c r="E1813" s="513"/>
      <c r="F1813" s="515"/>
      <c r="G1813" s="515"/>
      <c r="I1813" s="513"/>
      <c r="J1813" s="244"/>
      <c r="K1813" s="244"/>
      <c r="L1813" s="513"/>
      <c r="M1813" s="244"/>
      <c r="N1813" s="244"/>
      <c r="O1813" s="244"/>
      <c r="P1813" s="244"/>
      <c r="Q1813" s="244"/>
      <c r="R1813" s="244"/>
      <c r="S1813" s="244"/>
      <c r="T1813" s="244"/>
      <c r="U1813" s="244"/>
      <c r="V1813" s="244"/>
      <c r="W1813" s="526"/>
      <c r="X1813" s="520"/>
      <c r="Y1813" s="244"/>
      <c r="AA1813" s="244"/>
      <c r="AC1813" s="244"/>
      <c r="AD1813" s="244"/>
      <c r="AE1813" s="244"/>
      <c r="AF1813" s="244"/>
    </row>
    <row r="1814" spans="4:32" x14ac:dyDescent="0.3">
      <c r="D1814" s="513"/>
      <c r="E1814" s="513"/>
      <c r="F1814" s="515"/>
      <c r="G1814" s="515"/>
      <c r="I1814" s="513"/>
      <c r="J1814" s="244"/>
      <c r="K1814" s="244"/>
      <c r="L1814" s="513"/>
      <c r="M1814" s="244"/>
      <c r="N1814" s="244"/>
      <c r="O1814" s="244"/>
      <c r="P1814" s="244"/>
      <c r="Q1814" s="244"/>
      <c r="R1814" s="244"/>
      <c r="S1814" s="244"/>
      <c r="T1814" s="244"/>
      <c r="U1814" s="244"/>
      <c r="V1814" s="244"/>
      <c r="W1814" s="526"/>
      <c r="X1814" s="520"/>
      <c r="Y1814" s="244"/>
      <c r="AA1814" s="244"/>
      <c r="AC1814" s="244"/>
      <c r="AD1814" s="244"/>
      <c r="AE1814" s="244"/>
      <c r="AF1814" s="244"/>
    </row>
    <row r="1815" spans="4:32" x14ac:dyDescent="0.3">
      <c r="D1815" s="513"/>
      <c r="E1815" s="513"/>
      <c r="F1815" s="515"/>
      <c r="G1815" s="515"/>
      <c r="I1815" s="513"/>
      <c r="J1815" s="244"/>
      <c r="K1815" s="244"/>
      <c r="L1815" s="513"/>
      <c r="M1815" s="244"/>
      <c r="N1815" s="244"/>
      <c r="O1815" s="244"/>
      <c r="P1815" s="244"/>
      <c r="Q1815" s="244"/>
      <c r="R1815" s="244"/>
      <c r="S1815" s="244"/>
      <c r="T1815" s="244"/>
      <c r="U1815" s="244"/>
      <c r="V1815" s="244"/>
      <c r="W1815" s="526"/>
      <c r="X1815" s="520"/>
      <c r="Y1815" s="244"/>
      <c r="AA1815" s="244"/>
      <c r="AC1815" s="244"/>
      <c r="AD1815" s="244"/>
      <c r="AE1815" s="244"/>
      <c r="AF1815" s="244"/>
    </row>
    <row r="1816" spans="4:32" x14ac:dyDescent="0.3">
      <c r="D1816" s="513"/>
      <c r="E1816" s="513"/>
      <c r="F1816" s="515"/>
      <c r="G1816" s="515"/>
      <c r="I1816" s="513"/>
      <c r="J1816" s="244"/>
      <c r="K1816" s="244"/>
      <c r="L1816" s="513"/>
      <c r="M1816" s="244"/>
      <c r="N1816" s="244"/>
      <c r="O1816" s="244"/>
      <c r="P1816" s="244"/>
      <c r="Q1816" s="244"/>
      <c r="R1816" s="244"/>
      <c r="S1816" s="244"/>
      <c r="T1816" s="244"/>
      <c r="U1816" s="244"/>
      <c r="V1816" s="244"/>
      <c r="W1816" s="526"/>
      <c r="X1816" s="520"/>
      <c r="Y1816" s="244"/>
      <c r="AA1816" s="244"/>
      <c r="AC1816" s="244"/>
      <c r="AD1816" s="244"/>
      <c r="AE1816" s="244"/>
      <c r="AF1816" s="244"/>
    </row>
    <row r="1817" spans="4:32" x14ac:dyDescent="0.3">
      <c r="D1817" s="513"/>
      <c r="E1817" s="513"/>
      <c r="F1817" s="515"/>
      <c r="G1817" s="515"/>
      <c r="I1817" s="513"/>
      <c r="J1817" s="244"/>
      <c r="K1817" s="244"/>
      <c r="L1817" s="513"/>
      <c r="M1817" s="244"/>
      <c r="N1817" s="244"/>
      <c r="O1817" s="244"/>
      <c r="P1817" s="244"/>
      <c r="Q1817" s="244"/>
      <c r="R1817" s="244"/>
      <c r="S1817" s="244"/>
      <c r="T1817" s="244"/>
      <c r="U1817" s="244"/>
      <c r="V1817" s="244"/>
      <c r="W1817" s="526"/>
      <c r="X1817" s="520"/>
      <c r="Y1817" s="244"/>
      <c r="AA1817" s="244"/>
      <c r="AC1817" s="244"/>
      <c r="AD1817" s="244"/>
      <c r="AE1817" s="244"/>
      <c r="AF1817" s="244"/>
    </row>
    <row r="1818" spans="4:32" x14ac:dyDescent="0.3">
      <c r="D1818" s="513"/>
      <c r="E1818" s="513"/>
      <c r="F1818" s="515"/>
      <c r="G1818" s="515"/>
      <c r="I1818" s="513"/>
      <c r="J1818" s="244"/>
      <c r="K1818" s="244"/>
      <c r="L1818" s="513"/>
      <c r="M1818" s="244"/>
      <c r="N1818" s="244"/>
      <c r="O1818" s="244"/>
      <c r="P1818" s="244"/>
      <c r="Q1818" s="244"/>
      <c r="R1818" s="244"/>
      <c r="S1818" s="244"/>
      <c r="T1818" s="244"/>
      <c r="U1818" s="244"/>
      <c r="V1818" s="244"/>
      <c r="W1818" s="526"/>
      <c r="X1818" s="520"/>
      <c r="Y1818" s="244"/>
      <c r="AA1818" s="244"/>
      <c r="AC1818" s="244"/>
      <c r="AD1818" s="244"/>
      <c r="AE1818" s="244"/>
      <c r="AF1818" s="244"/>
    </row>
    <row r="1819" spans="4:32" x14ac:dyDescent="0.3">
      <c r="D1819" s="513"/>
      <c r="E1819" s="513"/>
      <c r="F1819" s="515"/>
      <c r="G1819" s="515"/>
      <c r="I1819" s="513"/>
      <c r="J1819" s="244"/>
      <c r="K1819" s="244"/>
      <c r="L1819" s="513"/>
      <c r="M1819" s="244"/>
      <c r="N1819" s="244"/>
      <c r="O1819" s="244"/>
      <c r="P1819" s="244"/>
      <c r="Q1819" s="244"/>
      <c r="R1819" s="244"/>
      <c r="S1819" s="244"/>
      <c r="T1819" s="244"/>
      <c r="U1819" s="244"/>
      <c r="V1819" s="244"/>
      <c r="W1819" s="526"/>
      <c r="X1819" s="520"/>
      <c r="Y1819" s="244"/>
      <c r="AA1819" s="244"/>
      <c r="AC1819" s="244"/>
      <c r="AD1819" s="244"/>
      <c r="AE1819" s="244"/>
      <c r="AF1819" s="244"/>
    </row>
    <row r="1820" spans="4:32" x14ac:dyDescent="0.3">
      <c r="D1820" s="513"/>
      <c r="E1820" s="513"/>
      <c r="F1820" s="515"/>
      <c r="G1820" s="515"/>
      <c r="I1820" s="513"/>
      <c r="J1820" s="244"/>
      <c r="K1820" s="244"/>
      <c r="L1820" s="513"/>
      <c r="M1820" s="244"/>
      <c r="N1820" s="244"/>
      <c r="O1820" s="244"/>
      <c r="P1820" s="244"/>
      <c r="Q1820" s="244"/>
      <c r="R1820" s="244"/>
      <c r="S1820" s="244"/>
      <c r="T1820" s="244"/>
      <c r="U1820" s="244"/>
      <c r="V1820" s="244"/>
      <c r="W1820" s="526"/>
      <c r="X1820" s="520"/>
      <c r="Y1820" s="244"/>
      <c r="AA1820" s="244"/>
      <c r="AC1820" s="244"/>
      <c r="AD1820" s="244"/>
      <c r="AE1820" s="244"/>
      <c r="AF1820" s="244"/>
    </row>
    <row r="1821" spans="4:32" x14ac:dyDescent="0.3">
      <c r="D1821" s="513"/>
      <c r="E1821" s="513"/>
      <c r="F1821" s="515"/>
      <c r="G1821" s="515"/>
      <c r="I1821" s="513"/>
      <c r="J1821" s="244"/>
      <c r="K1821" s="244"/>
      <c r="L1821" s="513"/>
      <c r="M1821" s="244"/>
      <c r="N1821" s="244"/>
      <c r="O1821" s="244"/>
      <c r="P1821" s="244"/>
      <c r="Q1821" s="244"/>
      <c r="R1821" s="244"/>
      <c r="S1821" s="244"/>
      <c r="T1821" s="244"/>
      <c r="U1821" s="244"/>
      <c r="V1821" s="244"/>
      <c r="W1821" s="526"/>
      <c r="X1821" s="520"/>
      <c r="Y1821" s="244"/>
      <c r="AA1821" s="244"/>
      <c r="AC1821" s="244"/>
      <c r="AD1821" s="244"/>
      <c r="AE1821" s="244"/>
      <c r="AF1821" s="244"/>
    </row>
    <row r="1822" spans="4:32" x14ac:dyDescent="0.3">
      <c r="D1822" s="513"/>
      <c r="E1822" s="513"/>
      <c r="F1822" s="515"/>
      <c r="G1822" s="515"/>
      <c r="I1822" s="513"/>
      <c r="J1822" s="244"/>
      <c r="K1822" s="244"/>
      <c r="L1822" s="513"/>
      <c r="M1822" s="244"/>
      <c r="N1822" s="244"/>
      <c r="O1822" s="244"/>
      <c r="P1822" s="244"/>
      <c r="Q1822" s="244"/>
      <c r="R1822" s="244"/>
      <c r="S1822" s="244"/>
      <c r="T1822" s="244"/>
      <c r="U1822" s="244"/>
      <c r="V1822" s="244"/>
      <c r="W1822" s="526"/>
      <c r="X1822" s="520"/>
      <c r="Y1822" s="244"/>
      <c r="AA1822" s="244"/>
      <c r="AC1822" s="244"/>
      <c r="AD1822" s="244"/>
      <c r="AE1822" s="244"/>
      <c r="AF1822" s="244"/>
    </row>
    <row r="1823" spans="4:32" x14ac:dyDescent="0.3">
      <c r="D1823" s="513"/>
      <c r="E1823" s="513"/>
      <c r="F1823" s="515"/>
      <c r="G1823" s="515"/>
      <c r="I1823" s="513"/>
      <c r="J1823" s="244"/>
      <c r="K1823" s="244"/>
      <c r="L1823" s="513"/>
      <c r="M1823" s="244"/>
      <c r="N1823" s="244"/>
      <c r="O1823" s="244"/>
      <c r="P1823" s="244"/>
      <c r="Q1823" s="244"/>
      <c r="R1823" s="244"/>
      <c r="S1823" s="244"/>
      <c r="T1823" s="244"/>
      <c r="U1823" s="244"/>
      <c r="V1823" s="244"/>
      <c r="W1823" s="526"/>
      <c r="X1823" s="520"/>
      <c r="Y1823" s="244"/>
      <c r="AA1823" s="244"/>
      <c r="AC1823" s="244"/>
      <c r="AD1823" s="244"/>
      <c r="AE1823" s="244"/>
      <c r="AF1823" s="244"/>
    </row>
    <row r="1824" spans="4:32" x14ac:dyDescent="0.3">
      <c r="D1824" s="513"/>
      <c r="E1824" s="513"/>
      <c r="F1824" s="515"/>
      <c r="G1824" s="515"/>
      <c r="I1824" s="513"/>
      <c r="J1824" s="244"/>
      <c r="K1824" s="244"/>
      <c r="L1824" s="513"/>
      <c r="M1824" s="244"/>
      <c r="N1824" s="244"/>
      <c r="O1824" s="244"/>
      <c r="P1824" s="244"/>
      <c r="Q1824" s="244"/>
      <c r="R1824" s="244"/>
      <c r="S1824" s="244"/>
      <c r="T1824" s="244"/>
      <c r="U1824" s="244"/>
      <c r="V1824" s="244"/>
      <c r="W1824" s="526"/>
      <c r="X1824" s="520"/>
      <c r="Y1824" s="244"/>
      <c r="AA1824" s="244"/>
      <c r="AC1824" s="244"/>
      <c r="AD1824" s="244"/>
      <c r="AE1824" s="244"/>
      <c r="AF1824" s="244"/>
    </row>
    <row r="1825" spans="4:32" x14ac:dyDescent="0.3">
      <c r="D1825" s="513"/>
      <c r="E1825" s="513"/>
      <c r="F1825" s="515"/>
      <c r="G1825" s="515"/>
      <c r="I1825" s="513"/>
      <c r="J1825" s="244"/>
      <c r="K1825" s="244"/>
      <c r="L1825" s="513"/>
      <c r="M1825" s="244"/>
      <c r="N1825" s="244"/>
      <c r="O1825" s="244"/>
      <c r="P1825" s="244"/>
      <c r="Q1825" s="244"/>
      <c r="R1825" s="244"/>
      <c r="S1825" s="244"/>
      <c r="T1825" s="244"/>
      <c r="U1825" s="244"/>
      <c r="V1825" s="244"/>
      <c r="W1825" s="526"/>
      <c r="X1825" s="520"/>
      <c r="Y1825" s="244"/>
      <c r="AA1825" s="244"/>
      <c r="AC1825" s="244"/>
      <c r="AD1825" s="244"/>
      <c r="AE1825" s="244"/>
      <c r="AF1825" s="244"/>
    </row>
    <row r="1826" spans="4:32" x14ac:dyDescent="0.3">
      <c r="D1826" s="513"/>
      <c r="E1826" s="513"/>
      <c r="F1826" s="515"/>
      <c r="G1826" s="515"/>
      <c r="I1826" s="513"/>
      <c r="J1826" s="244"/>
      <c r="K1826" s="244"/>
      <c r="L1826" s="513"/>
      <c r="M1826" s="244"/>
      <c r="N1826" s="244"/>
      <c r="O1826" s="244"/>
      <c r="P1826" s="244"/>
      <c r="Q1826" s="244"/>
      <c r="R1826" s="244"/>
      <c r="S1826" s="244"/>
      <c r="T1826" s="244"/>
      <c r="U1826" s="244"/>
      <c r="V1826" s="244"/>
      <c r="W1826" s="526"/>
      <c r="X1826" s="520"/>
      <c r="Y1826" s="244"/>
      <c r="AA1826" s="244"/>
      <c r="AC1826" s="244"/>
      <c r="AD1826" s="244"/>
      <c r="AE1826" s="244"/>
      <c r="AF1826" s="244"/>
    </row>
    <row r="1827" spans="4:32" x14ac:dyDescent="0.3">
      <c r="D1827" s="513"/>
      <c r="E1827" s="513"/>
      <c r="F1827" s="515"/>
      <c r="G1827" s="515"/>
      <c r="I1827" s="513"/>
      <c r="J1827" s="244"/>
      <c r="K1827" s="244"/>
      <c r="L1827" s="513"/>
      <c r="M1827" s="244"/>
      <c r="N1827" s="244"/>
      <c r="O1827" s="244"/>
      <c r="P1827" s="244"/>
      <c r="Q1827" s="244"/>
      <c r="R1827" s="244"/>
      <c r="S1827" s="244"/>
      <c r="T1827" s="244"/>
      <c r="U1827" s="244"/>
      <c r="V1827" s="244"/>
      <c r="W1827" s="526"/>
      <c r="X1827" s="520"/>
      <c r="Y1827" s="244"/>
      <c r="AA1827" s="244"/>
      <c r="AC1827" s="244"/>
      <c r="AD1827" s="244"/>
      <c r="AE1827" s="244"/>
      <c r="AF1827" s="244"/>
    </row>
    <row r="1828" spans="4:32" x14ac:dyDescent="0.3">
      <c r="D1828" s="513"/>
      <c r="E1828" s="513"/>
      <c r="F1828" s="515"/>
      <c r="G1828" s="515"/>
      <c r="I1828" s="513"/>
      <c r="J1828" s="244"/>
      <c r="K1828" s="244"/>
      <c r="L1828" s="513"/>
      <c r="M1828" s="244"/>
      <c r="N1828" s="244"/>
      <c r="O1828" s="244"/>
      <c r="P1828" s="244"/>
      <c r="Q1828" s="244"/>
      <c r="R1828" s="244"/>
      <c r="S1828" s="244"/>
      <c r="T1828" s="244"/>
      <c r="U1828" s="244"/>
      <c r="V1828" s="244"/>
      <c r="W1828" s="526"/>
      <c r="X1828" s="520"/>
      <c r="Y1828" s="244"/>
      <c r="AA1828" s="244"/>
      <c r="AC1828" s="244"/>
      <c r="AD1828" s="244"/>
      <c r="AE1828" s="244"/>
      <c r="AF1828" s="244"/>
    </row>
    <row r="1829" spans="4:32" x14ac:dyDescent="0.3">
      <c r="D1829" s="513"/>
      <c r="E1829" s="513"/>
      <c r="F1829" s="515"/>
      <c r="G1829" s="515"/>
      <c r="I1829" s="513"/>
      <c r="J1829" s="244"/>
      <c r="K1829" s="244"/>
      <c r="L1829" s="513"/>
      <c r="M1829" s="244"/>
      <c r="N1829" s="244"/>
      <c r="O1829" s="244"/>
      <c r="P1829" s="244"/>
      <c r="Q1829" s="244"/>
      <c r="R1829" s="244"/>
      <c r="S1829" s="244"/>
      <c r="T1829" s="244"/>
      <c r="U1829" s="244"/>
      <c r="V1829" s="244"/>
      <c r="W1829" s="526"/>
      <c r="X1829" s="520"/>
      <c r="Y1829" s="244"/>
      <c r="AA1829" s="244"/>
      <c r="AC1829" s="244"/>
      <c r="AD1829" s="244"/>
      <c r="AE1829" s="244"/>
      <c r="AF1829" s="244"/>
    </row>
    <row r="1830" spans="4:32" x14ac:dyDescent="0.3">
      <c r="D1830" s="513"/>
      <c r="E1830" s="513"/>
      <c r="F1830" s="515"/>
      <c r="G1830" s="515"/>
      <c r="I1830" s="513"/>
      <c r="J1830" s="244"/>
      <c r="K1830" s="244"/>
      <c r="L1830" s="513"/>
      <c r="M1830" s="244"/>
      <c r="N1830" s="244"/>
      <c r="O1830" s="244"/>
      <c r="P1830" s="244"/>
      <c r="Q1830" s="244"/>
      <c r="R1830" s="244"/>
      <c r="S1830" s="244"/>
      <c r="T1830" s="244"/>
      <c r="U1830" s="244"/>
      <c r="V1830" s="244"/>
      <c r="W1830" s="526"/>
      <c r="X1830" s="520"/>
      <c r="Y1830" s="244"/>
      <c r="AA1830" s="244"/>
      <c r="AC1830" s="244"/>
      <c r="AD1830" s="244"/>
      <c r="AE1830" s="244"/>
      <c r="AF1830" s="244"/>
    </row>
    <row r="1831" spans="4:32" x14ac:dyDescent="0.3">
      <c r="D1831" s="513"/>
      <c r="E1831" s="513"/>
      <c r="F1831" s="515"/>
      <c r="G1831" s="515"/>
      <c r="I1831" s="513"/>
      <c r="J1831" s="244"/>
      <c r="K1831" s="244"/>
      <c r="L1831" s="513"/>
      <c r="M1831" s="244"/>
      <c r="N1831" s="244"/>
      <c r="O1831" s="244"/>
      <c r="P1831" s="244"/>
      <c r="Q1831" s="244"/>
      <c r="R1831" s="244"/>
      <c r="S1831" s="244"/>
      <c r="T1831" s="244"/>
      <c r="U1831" s="244"/>
      <c r="V1831" s="244"/>
      <c r="W1831" s="526"/>
      <c r="X1831" s="520"/>
      <c r="Y1831" s="244"/>
      <c r="AA1831" s="244"/>
      <c r="AC1831" s="244"/>
      <c r="AD1831" s="244"/>
      <c r="AE1831" s="244"/>
      <c r="AF1831" s="244"/>
    </row>
    <row r="1832" spans="4:32" x14ac:dyDescent="0.3">
      <c r="D1832" s="513"/>
      <c r="E1832" s="513"/>
      <c r="F1832" s="515"/>
      <c r="G1832" s="515"/>
      <c r="I1832" s="513"/>
      <c r="J1832" s="244"/>
      <c r="K1832" s="244"/>
      <c r="L1832" s="513"/>
      <c r="M1832" s="244"/>
      <c r="N1832" s="244"/>
      <c r="O1832" s="244"/>
      <c r="P1832" s="244"/>
      <c r="Q1832" s="244"/>
      <c r="R1832" s="244"/>
      <c r="S1832" s="244"/>
      <c r="T1832" s="244"/>
      <c r="U1832" s="244"/>
      <c r="V1832" s="244"/>
      <c r="W1832" s="526"/>
      <c r="X1832" s="520"/>
      <c r="Y1832" s="244"/>
      <c r="AA1832" s="244"/>
      <c r="AC1832" s="244"/>
      <c r="AD1832" s="244"/>
      <c r="AE1832" s="244"/>
      <c r="AF1832" s="244"/>
    </row>
    <row r="1833" spans="4:32" x14ac:dyDescent="0.3">
      <c r="D1833" s="513"/>
      <c r="E1833" s="513"/>
      <c r="F1833" s="515"/>
      <c r="G1833" s="515"/>
      <c r="I1833" s="513"/>
      <c r="J1833" s="244"/>
      <c r="K1833" s="244"/>
      <c r="L1833" s="513"/>
      <c r="M1833" s="244"/>
      <c r="N1833" s="244"/>
      <c r="O1833" s="244"/>
      <c r="P1833" s="244"/>
      <c r="Q1833" s="244"/>
      <c r="R1833" s="244"/>
      <c r="S1833" s="244"/>
      <c r="T1833" s="244"/>
      <c r="U1833" s="244"/>
      <c r="V1833" s="244"/>
      <c r="W1833" s="526"/>
      <c r="X1833" s="520"/>
      <c r="Y1833" s="244"/>
      <c r="AA1833" s="244"/>
      <c r="AC1833" s="244"/>
      <c r="AD1833" s="244"/>
      <c r="AE1833" s="244"/>
      <c r="AF1833" s="244"/>
    </row>
    <row r="1834" spans="4:32" x14ac:dyDescent="0.3">
      <c r="D1834" s="513"/>
      <c r="E1834" s="513"/>
      <c r="F1834" s="515"/>
      <c r="G1834" s="515"/>
      <c r="I1834" s="513"/>
      <c r="J1834" s="244"/>
      <c r="K1834" s="244"/>
      <c r="L1834" s="513"/>
      <c r="M1834" s="244"/>
      <c r="N1834" s="244"/>
      <c r="O1834" s="244"/>
      <c r="P1834" s="244"/>
      <c r="Q1834" s="244"/>
      <c r="R1834" s="244"/>
      <c r="S1834" s="244"/>
      <c r="T1834" s="244"/>
      <c r="U1834" s="244"/>
      <c r="V1834" s="244"/>
      <c r="W1834" s="526"/>
      <c r="X1834" s="520"/>
      <c r="Y1834" s="244"/>
      <c r="AA1834" s="244"/>
      <c r="AC1834" s="244"/>
      <c r="AD1834" s="244"/>
      <c r="AE1834" s="244"/>
      <c r="AF1834" s="244"/>
    </row>
    <row r="1835" spans="4:32" x14ac:dyDescent="0.3">
      <c r="D1835" s="513"/>
      <c r="E1835" s="513"/>
      <c r="F1835" s="515"/>
      <c r="G1835" s="515"/>
      <c r="I1835" s="513"/>
      <c r="J1835" s="244"/>
      <c r="K1835" s="244"/>
      <c r="L1835" s="513"/>
      <c r="M1835" s="244"/>
      <c r="N1835" s="244"/>
      <c r="O1835" s="244"/>
      <c r="P1835" s="244"/>
      <c r="Q1835" s="244"/>
      <c r="R1835" s="244"/>
      <c r="S1835" s="244"/>
      <c r="T1835" s="244"/>
      <c r="U1835" s="244"/>
      <c r="V1835" s="244"/>
      <c r="W1835" s="526"/>
      <c r="X1835" s="520"/>
      <c r="Y1835" s="244"/>
      <c r="AA1835" s="244"/>
      <c r="AC1835" s="244"/>
      <c r="AD1835" s="244"/>
      <c r="AE1835" s="244"/>
      <c r="AF1835" s="244"/>
    </row>
    <row r="1836" spans="4:32" x14ac:dyDescent="0.3">
      <c r="D1836" s="513"/>
      <c r="E1836" s="513"/>
      <c r="F1836" s="515"/>
      <c r="G1836" s="515"/>
      <c r="I1836" s="513"/>
      <c r="J1836" s="244"/>
      <c r="K1836" s="244"/>
      <c r="L1836" s="513"/>
      <c r="M1836" s="244"/>
      <c r="N1836" s="244"/>
      <c r="O1836" s="244"/>
      <c r="P1836" s="244"/>
      <c r="Q1836" s="244"/>
      <c r="R1836" s="244"/>
      <c r="S1836" s="244"/>
      <c r="T1836" s="244"/>
      <c r="U1836" s="244"/>
      <c r="V1836" s="244"/>
      <c r="W1836" s="526"/>
      <c r="X1836" s="520"/>
      <c r="Y1836" s="244"/>
      <c r="AA1836" s="244"/>
      <c r="AC1836" s="244"/>
      <c r="AD1836" s="244"/>
      <c r="AE1836" s="244"/>
      <c r="AF1836" s="244"/>
    </row>
    <row r="1837" spans="4:32" x14ac:dyDescent="0.3">
      <c r="D1837" s="513"/>
      <c r="E1837" s="513"/>
      <c r="F1837" s="515"/>
      <c r="G1837" s="515"/>
      <c r="I1837" s="513"/>
      <c r="J1837" s="244"/>
      <c r="K1837" s="244"/>
      <c r="L1837" s="513"/>
      <c r="M1837" s="244"/>
      <c r="N1837" s="244"/>
      <c r="O1837" s="244"/>
      <c r="P1837" s="244"/>
      <c r="Q1837" s="244"/>
      <c r="R1837" s="244"/>
      <c r="S1837" s="244"/>
      <c r="T1837" s="244"/>
      <c r="U1837" s="244"/>
      <c r="V1837" s="244"/>
      <c r="W1837" s="526"/>
      <c r="X1837" s="520"/>
      <c r="Y1837" s="244"/>
      <c r="AA1837" s="244"/>
      <c r="AC1837" s="244"/>
      <c r="AD1837" s="244"/>
      <c r="AE1837" s="244"/>
      <c r="AF1837" s="244"/>
    </row>
    <row r="1838" spans="4:32" x14ac:dyDescent="0.3">
      <c r="D1838" s="513"/>
      <c r="E1838" s="513"/>
      <c r="F1838" s="515"/>
      <c r="G1838" s="515"/>
      <c r="I1838" s="513"/>
      <c r="J1838" s="244"/>
      <c r="K1838" s="244"/>
      <c r="L1838" s="513"/>
      <c r="M1838" s="244"/>
      <c r="N1838" s="244"/>
      <c r="O1838" s="244"/>
      <c r="P1838" s="244"/>
      <c r="Q1838" s="244"/>
      <c r="R1838" s="244"/>
      <c r="S1838" s="244"/>
      <c r="T1838" s="244"/>
      <c r="U1838" s="244"/>
      <c r="V1838" s="244"/>
      <c r="W1838" s="526"/>
      <c r="X1838" s="520"/>
      <c r="Y1838" s="244"/>
      <c r="AA1838" s="244"/>
      <c r="AC1838" s="244"/>
      <c r="AD1838" s="244"/>
      <c r="AE1838" s="244"/>
      <c r="AF1838" s="244"/>
    </row>
    <row r="1839" spans="4:32" x14ac:dyDescent="0.3">
      <c r="D1839" s="513"/>
      <c r="E1839" s="513"/>
      <c r="F1839" s="515"/>
      <c r="G1839" s="515"/>
      <c r="I1839" s="513"/>
      <c r="J1839" s="244"/>
      <c r="K1839" s="244"/>
      <c r="L1839" s="513"/>
      <c r="M1839" s="244"/>
      <c r="N1839" s="244"/>
      <c r="O1839" s="244"/>
      <c r="P1839" s="244"/>
      <c r="Q1839" s="244"/>
      <c r="R1839" s="244"/>
      <c r="S1839" s="244"/>
      <c r="T1839" s="244"/>
      <c r="U1839" s="244"/>
      <c r="V1839" s="244"/>
      <c r="W1839" s="526"/>
      <c r="X1839" s="520"/>
      <c r="Y1839" s="244"/>
      <c r="AA1839" s="244"/>
      <c r="AC1839" s="244"/>
      <c r="AD1839" s="244"/>
      <c r="AE1839" s="244"/>
      <c r="AF1839" s="244"/>
    </row>
    <row r="1840" spans="4:32" x14ac:dyDescent="0.3">
      <c r="D1840" s="513"/>
      <c r="E1840" s="513"/>
      <c r="F1840" s="515"/>
      <c r="G1840" s="515"/>
      <c r="I1840" s="513"/>
      <c r="J1840" s="244"/>
      <c r="K1840" s="244"/>
      <c r="L1840" s="513"/>
      <c r="M1840" s="244"/>
      <c r="N1840" s="244"/>
      <c r="O1840" s="244"/>
      <c r="P1840" s="244"/>
      <c r="Q1840" s="244"/>
      <c r="R1840" s="244"/>
      <c r="S1840" s="244"/>
      <c r="T1840" s="244"/>
      <c r="U1840" s="244"/>
      <c r="V1840" s="244"/>
      <c r="W1840" s="526"/>
      <c r="X1840" s="520"/>
      <c r="Y1840" s="244"/>
      <c r="AA1840" s="244"/>
      <c r="AC1840" s="244"/>
      <c r="AD1840" s="244"/>
      <c r="AE1840" s="244"/>
      <c r="AF1840" s="244"/>
    </row>
    <row r="1841" spans="4:32" x14ac:dyDescent="0.3">
      <c r="D1841" s="513"/>
      <c r="E1841" s="513"/>
      <c r="F1841" s="515"/>
      <c r="G1841" s="515"/>
      <c r="I1841" s="513"/>
      <c r="J1841" s="244"/>
      <c r="K1841" s="244"/>
      <c r="L1841" s="513"/>
      <c r="M1841" s="244"/>
      <c r="N1841" s="244"/>
      <c r="O1841" s="244"/>
      <c r="P1841" s="244"/>
      <c r="Q1841" s="244"/>
      <c r="R1841" s="244"/>
      <c r="S1841" s="244"/>
      <c r="T1841" s="244"/>
      <c r="U1841" s="244"/>
      <c r="V1841" s="244"/>
      <c r="W1841" s="526"/>
      <c r="X1841" s="520"/>
      <c r="Y1841" s="244"/>
      <c r="AA1841" s="244"/>
      <c r="AC1841" s="244"/>
      <c r="AD1841" s="244"/>
      <c r="AE1841" s="244"/>
      <c r="AF1841" s="244"/>
    </row>
    <row r="1842" spans="4:32" x14ac:dyDescent="0.3">
      <c r="D1842" s="513"/>
      <c r="E1842" s="513"/>
      <c r="F1842" s="515"/>
      <c r="G1842" s="515"/>
      <c r="I1842" s="513"/>
      <c r="J1842" s="244"/>
      <c r="K1842" s="244"/>
      <c r="L1842" s="513"/>
      <c r="M1842" s="244"/>
      <c r="N1842" s="244"/>
      <c r="O1842" s="244"/>
      <c r="P1842" s="244"/>
      <c r="Q1842" s="244"/>
      <c r="R1842" s="244"/>
      <c r="S1842" s="244"/>
      <c r="T1842" s="244"/>
      <c r="U1842" s="244"/>
      <c r="V1842" s="244"/>
      <c r="W1842" s="526"/>
      <c r="X1842" s="520"/>
      <c r="Y1842" s="244"/>
      <c r="AA1842" s="244"/>
      <c r="AC1842" s="244"/>
      <c r="AD1842" s="244"/>
      <c r="AE1842" s="244"/>
      <c r="AF1842" s="244"/>
    </row>
    <row r="1843" spans="4:32" x14ac:dyDescent="0.3">
      <c r="D1843" s="513"/>
      <c r="E1843" s="513"/>
      <c r="F1843" s="515"/>
      <c r="G1843" s="515"/>
      <c r="I1843" s="513"/>
      <c r="J1843" s="244"/>
      <c r="K1843" s="244"/>
      <c r="L1843" s="513"/>
      <c r="M1843" s="244"/>
      <c r="N1843" s="244"/>
      <c r="O1843" s="244"/>
      <c r="P1843" s="244"/>
      <c r="Q1843" s="244"/>
      <c r="R1843" s="244"/>
      <c r="S1843" s="244"/>
      <c r="T1843" s="244"/>
      <c r="U1843" s="244"/>
      <c r="V1843" s="244"/>
      <c r="W1843" s="526"/>
      <c r="X1843" s="520"/>
      <c r="Y1843" s="244"/>
      <c r="AA1843" s="244"/>
      <c r="AC1843" s="244"/>
      <c r="AD1843" s="244"/>
      <c r="AE1843" s="244"/>
      <c r="AF1843" s="244"/>
    </row>
    <row r="1844" spans="4:32" x14ac:dyDescent="0.3">
      <c r="D1844" s="513"/>
      <c r="E1844" s="513"/>
      <c r="F1844" s="515"/>
      <c r="G1844" s="515"/>
      <c r="I1844" s="513"/>
      <c r="J1844" s="244"/>
      <c r="K1844" s="244"/>
      <c r="L1844" s="513"/>
      <c r="M1844" s="244"/>
      <c r="N1844" s="244"/>
      <c r="O1844" s="244"/>
      <c r="P1844" s="244"/>
      <c r="Q1844" s="244"/>
      <c r="R1844" s="244"/>
      <c r="S1844" s="244"/>
      <c r="T1844" s="244"/>
      <c r="U1844" s="244"/>
      <c r="V1844" s="244"/>
      <c r="W1844" s="526"/>
      <c r="X1844" s="520"/>
      <c r="Y1844" s="244"/>
      <c r="AA1844" s="244"/>
      <c r="AC1844" s="244"/>
      <c r="AD1844" s="244"/>
      <c r="AE1844" s="244"/>
      <c r="AF1844" s="244"/>
    </row>
    <row r="1845" spans="4:32" x14ac:dyDescent="0.3">
      <c r="D1845" s="513"/>
      <c r="E1845" s="513"/>
      <c r="F1845" s="515"/>
      <c r="G1845" s="515"/>
      <c r="I1845" s="513"/>
      <c r="J1845" s="244"/>
      <c r="K1845" s="244"/>
      <c r="L1845" s="513"/>
      <c r="M1845" s="244"/>
      <c r="N1845" s="244"/>
      <c r="O1845" s="244"/>
      <c r="P1845" s="244"/>
      <c r="Q1845" s="244"/>
      <c r="R1845" s="244"/>
      <c r="S1845" s="244"/>
      <c r="T1845" s="244"/>
      <c r="U1845" s="244"/>
      <c r="V1845" s="244"/>
      <c r="W1845" s="526"/>
      <c r="X1845" s="520"/>
      <c r="Y1845" s="244"/>
      <c r="AA1845" s="244"/>
      <c r="AC1845" s="244"/>
      <c r="AD1845" s="244"/>
      <c r="AE1845" s="244"/>
      <c r="AF1845" s="244"/>
    </row>
    <row r="1846" spans="4:32" x14ac:dyDescent="0.3">
      <c r="D1846" s="513"/>
      <c r="E1846" s="513"/>
      <c r="F1846" s="515"/>
      <c r="G1846" s="515"/>
      <c r="I1846" s="513"/>
      <c r="J1846" s="244"/>
      <c r="K1846" s="244"/>
      <c r="L1846" s="513"/>
      <c r="M1846" s="244"/>
      <c r="N1846" s="244"/>
      <c r="O1846" s="244"/>
      <c r="P1846" s="244"/>
      <c r="Q1846" s="244"/>
      <c r="R1846" s="244"/>
      <c r="S1846" s="244"/>
      <c r="T1846" s="244"/>
      <c r="U1846" s="244"/>
      <c r="V1846" s="244"/>
      <c r="W1846" s="526"/>
      <c r="X1846" s="520"/>
      <c r="Y1846" s="244"/>
      <c r="AA1846" s="244"/>
      <c r="AC1846" s="244"/>
      <c r="AD1846" s="244"/>
      <c r="AE1846" s="244"/>
      <c r="AF1846" s="244"/>
    </row>
    <row r="1847" spans="4:32" x14ac:dyDescent="0.3">
      <c r="D1847" s="513"/>
      <c r="E1847" s="513"/>
      <c r="F1847" s="515"/>
      <c r="G1847" s="515"/>
      <c r="I1847" s="513"/>
      <c r="J1847" s="244"/>
      <c r="K1847" s="244"/>
      <c r="L1847" s="513"/>
      <c r="M1847" s="244"/>
      <c r="N1847" s="244"/>
      <c r="O1847" s="244"/>
      <c r="P1847" s="244"/>
      <c r="Q1847" s="244"/>
      <c r="R1847" s="244"/>
      <c r="S1847" s="244"/>
      <c r="T1847" s="244"/>
      <c r="U1847" s="244"/>
      <c r="V1847" s="244"/>
      <c r="W1847" s="526"/>
      <c r="X1847" s="520"/>
      <c r="Y1847" s="244"/>
      <c r="AA1847" s="244"/>
      <c r="AC1847" s="244"/>
      <c r="AD1847" s="244"/>
      <c r="AE1847" s="244"/>
      <c r="AF1847" s="244"/>
    </row>
    <row r="1848" spans="4:32" x14ac:dyDescent="0.3">
      <c r="D1848" s="513"/>
      <c r="E1848" s="513"/>
      <c r="F1848" s="515"/>
      <c r="G1848" s="515"/>
      <c r="I1848" s="513"/>
      <c r="J1848" s="244"/>
      <c r="K1848" s="244"/>
      <c r="L1848" s="513"/>
      <c r="M1848" s="244"/>
      <c r="N1848" s="244"/>
      <c r="O1848" s="244"/>
      <c r="P1848" s="244"/>
      <c r="Q1848" s="244"/>
      <c r="R1848" s="244"/>
      <c r="S1848" s="244"/>
      <c r="T1848" s="244"/>
      <c r="U1848" s="244"/>
      <c r="V1848" s="244"/>
      <c r="W1848" s="526"/>
      <c r="X1848" s="520"/>
      <c r="Y1848" s="244"/>
      <c r="AA1848" s="244"/>
      <c r="AC1848" s="244"/>
      <c r="AD1848" s="244"/>
      <c r="AE1848" s="244"/>
      <c r="AF1848" s="244"/>
    </row>
    <row r="1849" spans="4:32" x14ac:dyDescent="0.3">
      <c r="D1849" s="513"/>
      <c r="E1849" s="513"/>
      <c r="F1849" s="515"/>
      <c r="G1849" s="515"/>
      <c r="I1849" s="513"/>
      <c r="J1849" s="244"/>
      <c r="K1849" s="244"/>
      <c r="L1849" s="513"/>
      <c r="M1849" s="244"/>
      <c r="N1849" s="244"/>
      <c r="O1849" s="244"/>
      <c r="P1849" s="244"/>
      <c r="Q1849" s="244"/>
      <c r="R1849" s="244"/>
      <c r="S1849" s="244"/>
      <c r="T1849" s="244"/>
      <c r="U1849" s="244"/>
      <c r="V1849" s="244"/>
      <c r="W1849" s="526"/>
      <c r="X1849" s="520"/>
      <c r="Y1849" s="244"/>
      <c r="AA1849" s="244"/>
      <c r="AC1849" s="244"/>
      <c r="AD1849" s="244"/>
      <c r="AE1849" s="244"/>
      <c r="AF1849" s="244"/>
    </row>
    <row r="1850" spans="4:32" x14ac:dyDescent="0.3">
      <c r="D1850" s="513"/>
      <c r="E1850" s="513"/>
      <c r="F1850" s="515"/>
      <c r="G1850" s="515"/>
      <c r="I1850" s="513"/>
      <c r="J1850" s="244"/>
      <c r="K1850" s="244"/>
      <c r="L1850" s="513"/>
      <c r="M1850" s="244"/>
      <c r="N1850" s="244"/>
      <c r="O1850" s="244"/>
      <c r="P1850" s="244"/>
      <c r="Q1850" s="244"/>
      <c r="R1850" s="244"/>
      <c r="S1850" s="244"/>
      <c r="T1850" s="244"/>
      <c r="U1850" s="244"/>
      <c r="V1850" s="244"/>
      <c r="W1850" s="526"/>
      <c r="X1850" s="520"/>
      <c r="Y1850" s="244"/>
      <c r="AA1850" s="244"/>
      <c r="AC1850" s="244"/>
      <c r="AD1850" s="244"/>
      <c r="AE1850" s="244"/>
      <c r="AF1850" s="244"/>
    </row>
    <row r="1851" spans="4:32" x14ac:dyDescent="0.3">
      <c r="D1851" s="513"/>
      <c r="E1851" s="513"/>
      <c r="F1851" s="515"/>
      <c r="G1851" s="515"/>
      <c r="I1851" s="513"/>
      <c r="J1851" s="244"/>
      <c r="K1851" s="244"/>
      <c r="L1851" s="513"/>
      <c r="M1851" s="244"/>
      <c r="N1851" s="244"/>
      <c r="O1851" s="244"/>
      <c r="P1851" s="244"/>
      <c r="Q1851" s="244"/>
      <c r="R1851" s="244"/>
      <c r="S1851" s="244"/>
      <c r="T1851" s="244"/>
      <c r="U1851" s="244"/>
      <c r="V1851" s="244"/>
      <c r="W1851" s="526"/>
      <c r="X1851" s="520"/>
      <c r="Y1851" s="244"/>
      <c r="AA1851" s="244"/>
      <c r="AC1851" s="244"/>
      <c r="AD1851" s="244"/>
      <c r="AE1851" s="244"/>
      <c r="AF1851" s="244"/>
    </row>
    <row r="1852" spans="4:32" x14ac:dyDescent="0.3">
      <c r="D1852" s="513"/>
      <c r="E1852" s="513"/>
      <c r="F1852" s="515"/>
      <c r="G1852" s="515"/>
      <c r="I1852" s="513"/>
      <c r="J1852" s="244"/>
      <c r="K1852" s="244"/>
      <c r="L1852" s="513"/>
      <c r="M1852" s="244"/>
      <c r="N1852" s="244"/>
      <c r="O1852" s="244"/>
      <c r="P1852" s="244"/>
      <c r="Q1852" s="244"/>
      <c r="R1852" s="244"/>
      <c r="S1852" s="244"/>
      <c r="T1852" s="244"/>
      <c r="U1852" s="244"/>
      <c r="V1852" s="244"/>
      <c r="W1852" s="526"/>
      <c r="X1852" s="520"/>
      <c r="Y1852" s="244"/>
      <c r="AA1852" s="244"/>
      <c r="AC1852" s="244"/>
      <c r="AD1852" s="244"/>
      <c r="AE1852" s="244"/>
      <c r="AF1852" s="244"/>
    </row>
    <row r="1853" spans="4:32" x14ac:dyDescent="0.3">
      <c r="D1853" s="513"/>
      <c r="E1853" s="513"/>
      <c r="F1853" s="515"/>
      <c r="G1853" s="515"/>
      <c r="I1853" s="513"/>
      <c r="J1853" s="244"/>
      <c r="K1853" s="244"/>
      <c r="L1853" s="513"/>
      <c r="M1853" s="244"/>
      <c r="N1853" s="244"/>
      <c r="O1853" s="244"/>
      <c r="P1853" s="244"/>
      <c r="Q1853" s="244"/>
      <c r="R1853" s="244"/>
      <c r="S1853" s="244"/>
      <c r="T1853" s="244"/>
      <c r="U1853" s="244"/>
      <c r="V1853" s="244"/>
      <c r="W1853" s="526"/>
      <c r="X1853" s="520"/>
      <c r="Y1853" s="244"/>
      <c r="AA1853" s="244"/>
      <c r="AC1853" s="244"/>
      <c r="AD1853" s="244"/>
      <c r="AE1853" s="244"/>
      <c r="AF1853" s="244"/>
    </row>
    <row r="1854" spans="4:32" x14ac:dyDescent="0.3">
      <c r="D1854" s="513"/>
      <c r="E1854" s="513"/>
      <c r="F1854" s="515"/>
      <c r="G1854" s="515"/>
      <c r="I1854" s="513"/>
      <c r="J1854" s="244"/>
      <c r="K1854" s="244"/>
      <c r="L1854" s="513"/>
      <c r="M1854" s="244"/>
      <c r="N1854" s="244"/>
      <c r="O1854" s="244"/>
      <c r="P1854" s="244"/>
      <c r="Q1854" s="244"/>
      <c r="R1854" s="244"/>
      <c r="S1854" s="244"/>
      <c r="T1854" s="244"/>
      <c r="U1854" s="244"/>
      <c r="V1854" s="244"/>
      <c r="W1854" s="526"/>
      <c r="X1854" s="520"/>
      <c r="Y1854" s="244"/>
      <c r="AA1854" s="244"/>
      <c r="AC1854" s="244"/>
      <c r="AD1854" s="244"/>
      <c r="AE1854" s="244"/>
      <c r="AF1854" s="244"/>
    </row>
    <row r="1855" spans="4:32" x14ac:dyDescent="0.3">
      <c r="D1855" s="513"/>
      <c r="E1855" s="513"/>
      <c r="F1855" s="515"/>
      <c r="G1855" s="515"/>
      <c r="I1855" s="513"/>
      <c r="J1855" s="244"/>
      <c r="K1855" s="244"/>
      <c r="L1855" s="513"/>
      <c r="M1855" s="244"/>
      <c r="N1855" s="244"/>
      <c r="O1855" s="244"/>
      <c r="P1855" s="244"/>
      <c r="Q1855" s="244"/>
      <c r="R1855" s="244"/>
      <c r="S1855" s="244"/>
      <c r="T1855" s="244"/>
      <c r="U1855" s="244"/>
      <c r="V1855" s="244"/>
      <c r="W1855" s="526"/>
      <c r="X1855" s="520"/>
      <c r="Y1855" s="244"/>
      <c r="AA1855" s="244"/>
      <c r="AC1855" s="244"/>
      <c r="AD1855" s="244"/>
      <c r="AE1855" s="244"/>
      <c r="AF1855" s="244"/>
    </row>
    <row r="1856" spans="4:32" x14ac:dyDescent="0.3">
      <c r="D1856" s="513"/>
      <c r="E1856" s="513"/>
      <c r="F1856" s="515"/>
      <c r="G1856" s="515"/>
      <c r="I1856" s="513"/>
      <c r="J1856" s="244"/>
      <c r="K1856" s="244"/>
      <c r="L1856" s="513"/>
      <c r="M1856" s="244"/>
      <c r="N1856" s="244"/>
      <c r="O1856" s="244"/>
      <c r="P1856" s="244"/>
      <c r="Q1856" s="244"/>
      <c r="R1856" s="244"/>
      <c r="S1856" s="244"/>
      <c r="T1856" s="244"/>
      <c r="U1856" s="244"/>
      <c r="V1856" s="244"/>
      <c r="W1856" s="526"/>
      <c r="X1856" s="520"/>
      <c r="Y1856" s="244"/>
      <c r="AA1856" s="244"/>
      <c r="AC1856" s="244"/>
      <c r="AD1856" s="244"/>
      <c r="AE1856" s="244"/>
      <c r="AF1856" s="244"/>
    </row>
    <row r="1857" spans="4:32" x14ac:dyDescent="0.3">
      <c r="D1857" s="513"/>
      <c r="E1857" s="513"/>
      <c r="F1857" s="515"/>
      <c r="G1857" s="515"/>
      <c r="I1857" s="513"/>
      <c r="J1857" s="244"/>
      <c r="K1857" s="244"/>
      <c r="L1857" s="513"/>
      <c r="M1857" s="244"/>
      <c r="N1857" s="244"/>
      <c r="O1857" s="244"/>
      <c r="P1857" s="244"/>
      <c r="Q1857" s="244"/>
      <c r="R1857" s="244"/>
      <c r="S1857" s="244"/>
      <c r="T1857" s="244"/>
      <c r="U1857" s="244"/>
      <c r="V1857" s="244"/>
      <c r="W1857" s="526"/>
      <c r="X1857" s="520"/>
      <c r="Y1857" s="244"/>
      <c r="AA1857" s="244"/>
      <c r="AC1857" s="244"/>
      <c r="AD1857" s="244"/>
      <c r="AE1857" s="244"/>
      <c r="AF1857" s="244"/>
    </row>
    <row r="1858" spans="4:32" x14ac:dyDescent="0.3">
      <c r="D1858" s="513"/>
      <c r="E1858" s="513"/>
      <c r="F1858" s="515"/>
      <c r="G1858" s="515"/>
      <c r="I1858" s="513"/>
      <c r="J1858" s="244"/>
      <c r="K1858" s="244"/>
      <c r="L1858" s="513"/>
      <c r="M1858" s="244"/>
      <c r="N1858" s="244"/>
      <c r="O1858" s="244"/>
      <c r="P1858" s="244"/>
      <c r="Q1858" s="244"/>
      <c r="R1858" s="244"/>
      <c r="S1858" s="244"/>
      <c r="T1858" s="244"/>
      <c r="U1858" s="244"/>
      <c r="V1858" s="244"/>
      <c r="W1858" s="526"/>
      <c r="X1858" s="520"/>
      <c r="Y1858" s="244"/>
      <c r="AA1858" s="244"/>
      <c r="AC1858" s="244"/>
      <c r="AD1858" s="244"/>
      <c r="AE1858" s="244"/>
      <c r="AF1858" s="244"/>
    </row>
    <row r="1859" spans="4:32" x14ac:dyDescent="0.3">
      <c r="D1859" s="513"/>
      <c r="E1859" s="513"/>
      <c r="F1859" s="515"/>
      <c r="G1859" s="515"/>
      <c r="I1859" s="513"/>
      <c r="J1859" s="244"/>
      <c r="K1859" s="244"/>
      <c r="L1859" s="513"/>
      <c r="M1859" s="244"/>
      <c r="N1859" s="244"/>
      <c r="O1859" s="244"/>
      <c r="P1859" s="244"/>
      <c r="Q1859" s="244"/>
      <c r="R1859" s="244"/>
      <c r="S1859" s="244"/>
      <c r="T1859" s="244"/>
      <c r="U1859" s="244"/>
      <c r="V1859" s="244"/>
      <c r="W1859" s="526"/>
      <c r="X1859" s="520"/>
      <c r="Y1859" s="244"/>
      <c r="AA1859" s="244"/>
      <c r="AC1859" s="244"/>
      <c r="AD1859" s="244"/>
      <c r="AE1859" s="244"/>
      <c r="AF1859" s="244"/>
    </row>
    <row r="1860" spans="4:32" x14ac:dyDescent="0.3">
      <c r="D1860" s="513"/>
      <c r="E1860" s="513"/>
      <c r="F1860" s="515"/>
      <c r="G1860" s="515"/>
      <c r="I1860" s="513"/>
      <c r="J1860" s="244"/>
      <c r="K1860" s="244"/>
      <c r="L1860" s="513"/>
      <c r="M1860" s="244"/>
      <c r="N1860" s="244"/>
      <c r="O1860" s="244"/>
      <c r="P1860" s="244"/>
      <c r="Q1860" s="244"/>
      <c r="R1860" s="244"/>
      <c r="S1860" s="244"/>
      <c r="T1860" s="244"/>
      <c r="U1860" s="244"/>
      <c r="V1860" s="244"/>
      <c r="W1860" s="526"/>
      <c r="X1860" s="520"/>
      <c r="Y1860" s="244"/>
      <c r="AA1860" s="244"/>
      <c r="AC1860" s="244"/>
      <c r="AD1860" s="244"/>
      <c r="AE1860" s="244"/>
      <c r="AF1860" s="244"/>
    </row>
    <row r="1861" spans="4:32" x14ac:dyDescent="0.3">
      <c r="D1861" s="513"/>
      <c r="E1861" s="513"/>
      <c r="F1861" s="515"/>
      <c r="G1861" s="515"/>
      <c r="I1861" s="513"/>
      <c r="J1861" s="244"/>
      <c r="K1861" s="244"/>
      <c r="L1861" s="513"/>
      <c r="M1861" s="244"/>
      <c r="N1861" s="244"/>
      <c r="O1861" s="244"/>
      <c r="P1861" s="244"/>
      <c r="Q1861" s="244"/>
      <c r="R1861" s="244"/>
      <c r="S1861" s="244"/>
      <c r="T1861" s="244"/>
      <c r="U1861" s="244"/>
      <c r="V1861" s="244"/>
      <c r="W1861" s="526"/>
      <c r="X1861" s="520"/>
      <c r="Y1861" s="244"/>
      <c r="AA1861" s="244"/>
      <c r="AC1861" s="244"/>
      <c r="AD1861" s="244"/>
      <c r="AE1861" s="244"/>
      <c r="AF1861" s="244"/>
    </row>
    <row r="1862" spans="4:32" x14ac:dyDescent="0.3">
      <c r="D1862" s="513"/>
      <c r="E1862" s="513"/>
      <c r="F1862" s="515"/>
      <c r="G1862" s="515"/>
      <c r="I1862" s="513"/>
      <c r="J1862" s="244"/>
      <c r="K1862" s="244"/>
      <c r="L1862" s="513"/>
      <c r="M1862" s="244"/>
      <c r="N1862" s="244"/>
      <c r="O1862" s="244"/>
      <c r="P1862" s="244"/>
      <c r="Q1862" s="244"/>
      <c r="R1862" s="244"/>
      <c r="S1862" s="244"/>
      <c r="T1862" s="244"/>
      <c r="U1862" s="244"/>
      <c r="V1862" s="244"/>
      <c r="W1862" s="526"/>
      <c r="X1862" s="520"/>
      <c r="Y1862" s="244"/>
      <c r="AA1862" s="244"/>
      <c r="AC1862" s="244"/>
      <c r="AD1862" s="244"/>
      <c r="AE1862" s="244"/>
      <c r="AF1862" s="244"/>
    </row>
    <row r="1863" spans="4:32" x14ac:dyDescent="0.3">
      <c r="D1863" s="513"/>
      <c r="E1863" s="513"/>
      <c r="F1863" s="515"/>
      <c r="G1863" s="515"/>
      <c r="I1863" s="513"/>
      <c r="J1863" s="244"/>
      <c r="K1863" s="244"/>
      <c r="L1863" s="513"/>
      <c r="M1863" s="244"/>
      <c r="N1863" s="244"/>
      <c r="O1863" s="244"/>
      <c r="P1863" s="244"/>
      <c r="Q1863" s="244"/>
      <c r="R1863" s="244"/>
      <c r="S1863" s="244"/>
      <c r="T1863" s="244"/>
      <c r="U1863" s="244"/>
      <c r="V1863" s="244"/>
      <c r="W1863" s="526"/>
      <c r="X1863" s="520"/>
      <c r="Y1863" s="244"/>
      <c r="AA1863" s="244"/>
      <c r="AC1863" s="244"/>
      <c r="AD1863" s="244"/>
      <c r="AE1863" s="244"/>
      <c r="AF1863" s="244"/>
    </row>
    <row r="1864" spans="4:32" x14ac:dyDescent="0.3">
      <c r="D1864" s="513"/>
      <c r="E1864" s="513"/>
      <c r="F1864" s="515"/>
      <c r="G1864" s="515"/>
      <c r="I1864" s="513"/>
      <c r="J1864" s="244"/>
      <c r="K1864" s="244"/>
      <c r="L1864" s="513"/>
      <c r="M1864" s="244"/>
      <c r="N1864" s="244"/>
      <c r="O1864" s="244"/>
      <c r="P1864" s="244"/>
      <c r="Q1864" s="244"/>
      <c r="R1864" s="244"/>
      <c r="S1864" s="244"/>
      <c r="T1864" s="244"/>
      <c r="U1864" s="244"/>
      <c r="V1864" s="244"/>
      <c r="W1864" s="526"/>
      <c r="X1864" s="520"/>
      <c r="Y1864" s="244"/>
      <c r="AA1864" s="244"/>
      <c r="AC1864" s="244"/>
      <c r="AD1864" s="244"/>
      <c r="AE1864" s="244"/>
      <c r="AF1864" s="244"/>
    </row>
    <row r="1865" spans="4:32" x14ac:dyDescent="0.3">
      <c r="D1865" s="513"/>
      <c r="E1865" s="513"/>
      <c r="F1865" s="515"/>
      <c r="G1865" s="515"/>
      <c r="I1865" s="513"/>
      <c r="J1865" s="244"/>
      <c r="K1865" s="244"/>
      <c r="L1865" s="513"/>
      <c r="M1865" s="244"/>
      <c r="N1865" s="244"/>
      <c r="O1865" s="244"/>
      <c r="P1865" s="244"/>
      <c r="Q1865" s="244"/>
      <c r="R1865" s="244"/>
      <c r="S1865" s="244"/>
      <c r="T1865" s="244"/>
      <c r="U1865" s="244"/>
      <c r="V1865" s="244"/>
      <c r="W1865" s="526"/>
      <c r="X1865" s="520"/>
      <c r="Y1865" s="244"/>
      <c r="AA1865" s="244"/>
      <c r="AC1865" s="244"/>
      <c r="AD1865" s="244"/>
      <c r="AE1865" s="244"/>
      <c r="AF1865" s="244"/>
    </row>
    <row r="1866" spans="4:32" x14ac:dyDescent="0.3">
      <c r="D1866" s="513"/>
      <c r="E1866" s="513"/>
      <c r="F1866" s="515"/>
      <c r="G1866" s="515"/>
      <c r="I1866" s="513"/>
      <c r="J1866" s="244"/>
      <c r="K1866" s="244"/>
      <c r="L1866" s="513"/>
      <c r="M1866" s="244"/>
      <c r="N1866" s="244"/>
      <c r="O1866" s="244"/>
      <c r="P1866" s="244"/>
      <c r="Q1866" s="244"/>
      <c r="R1866" s="244"/>
      <c r="S1866" s="244"/>
      <c r="T1866" s="244"/>
      <c r="U1866" s="244"/>
      <c r="V1866" s="244"/>
      <c r="W1866" s="526"/>
      <c r="X1866" s="520"/>
      <c r="Y1866" s="244"/>
      <c r="AA1866" s="244"/>
      <c r="AC1866" s="244"/>
      <c r="AD1866" s="244"/>
      <c r="AE1866" s="244"/>
      <c r="AF1866" s="244"/>
    </row>
    <row r="1867" spans="4:32" x14ac:dyDescent="0.3">
      <c r="D1867" s="513"/>
      <c r="E1867" s="513"/>
      <c r="F1867" s="515"/>
      <c r="G1867" s="515"/>
      <c r="I1867" s="513"/>
      <c r="J1867" s="244"/>
      <c r="K1867" s="244"/>
      <c r="L1867" s="513"/>
      <c r="M1867" s="244"/>
      <c r="N1867" s="244"/>
      <c r="O1867" s="244"/>
      <c r="P1867" s="244"/>
      <c r="Q1867" s="244"/>
      <c r="R1867" s="244"/>
      <c r="S1867" s="244"/>
      <c r="T1867" s="244"/>
      <c r="U1867" s="244"/>
      <c r="V1867" s="244"/>
      <c r="W1867" s="526"/>
      <c r="X1867" s="520"/>
      <c r="Y1867" s="244"/>
      <c r="AA1867" s="244"/>
      <c r="AC1867" s="244"/>
      <c r="AD1867" s="244"/>
      <c r="AE1867" s="244"/>
      <c r="AF1867" s="244"/>
    </row>
    <row r="1868" spans="4:32" x14ac:dyDescent="0.3">
      <c r="D1868" s="513"/>
      <c r="E1868" s="513"/>
      <c r="F1868" s="515"/>
      <c r="G1868" s="515"/>
      <c r="I1868" s="513"/>
      <c r="J1868" s="244"/>
      <c r="K1868" s="244"/>
      <c r="L1868" s="513"/>
      <c r="M1868" s="244"/>
      <c r="N1868" s="244"/>
      <c r="O1868" s="244"/>
      <c r="P1868" s="244"/>
      <c r="Q1868" s="244"/>
      <c r="R1868" s="244"/>
      <c r="S1868" s="244"/>
      <c r="T1868" s="244"/>
      <c r="U1868" s="244"/>
      <c r="V1868" s="244"/>
      <c r="W1868" s="526"/>
      <c r="X1868" s="520"/>
      <c r="Y1868" s="244"/>
      <c r="AA1868" s="244"/>
      <c r="AC1868" s="244"/>
      <c r="AD1868" s="244"/>
      <c r="AE1868" s="244"/>
      <c r="AF1868" s="244"/>
    </row>
    <row r="1869" spans="4:32" x14ac:dyDescent="0.3">
      <c r="D1869" s="513"/>
      <c r="E1869" s="513"/>
      <c r="F1869" s="515"/>
      <c r="G1869" s="515"/>
      <c r="I1869" s="513"/>
      <c r="J1869" s="244"/>
      <c r="K1869" s="244"/>
      <c r="L1869" s="513"/>
      <c r="M1869" s="244"/>
      <c r="N1869" s="244"/>
      <c r="O1869" s="244"/>
      <c r="P1869" s="244"/>
      <c r="Q1869" s="244"/>
      <c r="R1869" s="244"/>
      <c r="S1869" s="244"/>
      <c r="T1869" s="244"/>
      <c r="U1869" s="244"/>
      <c r="V1869" s="244"/>
      <c r="W1869" s="526"/>
      <c r="X1869" s="520"/>
      <c r="Y1869" s="244"/>
      <c r="AA1869" s="244"/>
      <c r="AC1869" s="244"/>
      <c r="AD1869" s="244"/>
      <c r="AE1869" s="244"/>
      <c r="AF1869" s="244"/>
    </row>
    <row r="1870" spans="4:32" x14ac:dyDescent="0.3">
      <c r="D1870" s="513"/>
      <c r="E1870" s="513"/>
      <c r="F1870" s="515"/>
      <c r="G1870" s="515"/>
      <c r="I1870" s="513"/>
      <c r="J1870" s="244"/>
      <c r="K1870" s="244"/>
      <c r="L1870" s="513"/>
      <c r="M1870" s="244"/>
      <c r="N1870" s="244"/>
      <c r="O1870" s="244"/>
      <c r="P1870" s="244"/>
      <c r="Q1870" s="244"/>
      <c r="R1870" s="244"/>
      <c r="S1870" s="244"/>
      <c r="T1870" s="244"/>
      <c r="U1870" s="244"/>
      <c r="V1870" s="244"/>
      <c r="W1870" s="526"/>
      <c r="X1870" s="520"/>
      <c r="Y1870" s="244"/>
      <c r="AA1870" s="244"/>
      <c r="AC1870" s="244"/>
      <c r="AD1870" s="244"/>
      <c r="AE1870" s="244"/>
      <c r="AF1870" s="244"/>
    </row>
    <row r="1871" spans="4:32" x14ac:dyDescent="0.3">
      <c r="D1871" s="513"/>
      <c r="E1871" s="513"/>
      <c r="F1871" s="515"/>
      <c r="G1871" s="515"/>
      <c r="I1871" s="513"/>
      <c r="J1871" s="244"/>
      <c r="K1871" s="244"/>
      <c r="L1871" s="513"/>
      <c r="M1871" s="244"/>
      <c r="N1871" s="244"/>
      <c r="O1871" s="244"/>
      <c r="P1871" s="244"/>
      <c r="Q1871" s="244"/>
      <c r="R1871" s="244"/>
      <c r="S1871" s="244"/>
      <c r="T1871" s="244"/>
      <c r="U1871" s="244"/>
      <c r="V1871" s="244"/>
      <c r="W1871" s="526"/>
      <c r="X1871" s="520"/>
      <c r="Y1871" s="244"/>
      <c r="AA1871" s="244"/>
      <c r="AC1871" s="244"/>
      <c r="AD1871" s="244"/>
      <c r="AE1871" s="244"/>
      <c r="AF1871" s="244"/>
    </row>
    <row r="1872" spans="4:32" x14ac:dyDescent="0.3">
      <c r="D1872" s="513"/>
      <c r="E1872" s="513"/>
      <c r="F1872" s="515"/>
      <c r="G1872" s="515"/>
      <c r="I1872" s="513"/>
      <c r="J1872" s="244"/>
      <c r="K1872" s="244"/>
      <c r="L1872" s="513"/>
      <c r="M1872" s="244"/>
      <c r="N1872" s="244"/>
      <c r="O1872" s="244"/>
      <c r="P1872" s="244"/>
      <c r="Q1872" s="244"/>
      <c r="R1872" s="244"/>
      <c r="S1872" s="244"/>
      <c r="T1872" s="244"/>
      <c r="U1872" s="244"/>
      <c r="V1872" s="244"/>
      <c r="W1872" s="526"/>
      <c r="X1872" s="520"/>
      <c r="Y1872" s="244"/>
      <c r="AA1872" s="244"/>
      <c r="AC1872" s="244"/>
      <c r="AD1872" s="244"/>
      <c r="AE1872" s="244"/>
      <c r="AF1872" s="244"/>
    </row>
    <row r="1873" spans="4:32" x14ac:dyDescent="0.3">
      <c r="D1873" s="513"/>
      <c r="E1873" s="513"/>
      <c r="F1873" s="515"/>
      <c r="G1873" s="515"/>
      <c r="I1873" s="513"/>
      <c r="J1873" s="244"/>
      <c r="K1873" s="244"/>
      <c r="L1873" s="513"/>
      <c r="M1873" s="244"/>
      <c r="N1873" s="244"/>
      <c r="O1873" s="244"/>
      <c r="P1873" s="244"/>
      <c r="Q1873" s="244"/>
      <c r="R1873" s="244"/>
      <c r="S1873" s="244"/>
      <c r="T1873" s="244"/>
      <c r="U1873" s="244"/>
      <c r="V1873" s="244"/>
      <c r="W1873" s="526"/>
      <c r="X1873" s="520"/>
      <c r="Y1873" s="244"/>
      <c r="AA1873" s="244"/>
      <c r="AC1873" s="244"/>
      <c r="AD1873" s="244"/>
      <c r="AE1873" s="244"/>
      <c r="AF1873" s="244"/>
    </row>
    <row r="1874" spans="4:32" x14ac:dyDescent="0.3">
      <c r="D1874" s="513"/>
      <c r="E1874" s="513"/>
      <c r="F1874" s="515"/>
      <c r="G1874" s="515"/>
      <c r="I1874" s="513"/>
      <c r="J1874" s="244"/>
      <c r="K1874" s="244"/>
      <c r="L1874" s="513"/>
      <c r="M1874" s="244"/>
      <c r="N1874" s="244"/>
      <c r="O1874" s="244"/>
      <c r="P1874" s="244"/>
      <c r="Q1874" s="244"/>
      <c r="R1874" s="244"/>
      <c r="S1874" s="244"/>
      <c r="T1874" s="244"/>
      <c r="U1874" s="244"/>
      <c r="V1874" s="244"/>
      <c r="W1874" s="526"/>
      <c r="X1874" s="520"/>
      <c r="Y1874" s="244"/>
      <c r="AA1874" s="244"/>
      <c r="AC1874" s="244"/>
      <c r="AD1874" s="244"/>
      <c r="AE1874" s="244"/>
      <c r="AF1874" s="244"/>
    </row>
    <row r="1875" spans="4:32" x14ac:dyDescent="0.3">
      <c r="D1875" s="513"/>
      <c r="E1875" s="513"/>
      <c r="F1875" s="515"/>
      <c r="G1875" s="515"/>
      <c r="I1875" s="513"/>
      <c r="J1875" s="244"/>
      <c r="K1875" s="244"/>
      <c r="L1875" s="513"/>
      <c r="M1875" s="244"/>
      <c r="N1875" s="244"/>
      <c r="O1875" s="244"/>
      <c r="P1875" s="244"/>
      <c r="Q1875" s="244"/>
      <c r="R1875" s="244"/>
      <c r="S1875" s="244"/>
      <c r="T1875" s="244"/>
      <c r="U1875" s="244"/>
      <c r="V1875" s="244"/>
      <c r="W1875" s="526"/>
      <c r="X1875" s="520"/>
      <c r="Y1875" s="244"/>
      <c r="AA1875" s="244"/>
      <c r="AC1875" s="244"/>
      <c r="AD1875" s="244"/>
      <c r="AE1875" s="244"/>
      <c r="AF1875" s="244"/>
    </row>
    <row r="1876" spans="4:32" x14ac:dyDescent="0.3">
      <c r="D1876" s="513"/>
      <c r="E1876" s="513"/>
      <c r="F1876" s="515"/>
      <c r="G1876" s="515"/>
      <c r="I1876" s="513"/>
      <c r="J1876" s="244"/>
      <c r="K1876" s="244"/>
      <c r="L1876" s="513"/>
      <c r="M1876" s="244"/>
      <c r="N1876" s="244"/>
      <c r="O1876" s="244"/>
      <c r="P1876" s="244"/>
      <c r="Q1876" s="244"/>
      <c r="R1876" s="244"/>
      <c r="S1876" s="244"/>
      <c r="T1876" s="244"/>
      <c r="U1876" s="244"/>
      <c r="V1876" s="244"/>
      <c r="W1876" s="526"/>
      <c r="X1876" s="520"/>
      <c r="Y1876" s="244"/>
      <c r="AA1876" s="244"/>
      <c r="AC1876" s="244"/>
      <c r="AD1876" s="244"/>
      <c r="AE1876" s="244"/>
      <c r="AF1876" s="244"/>
    </row>
    <row r="1877" spans="4:32" x14ac:dyDescent="0.3">
      <c r="D1877" s="513"/>
      <c r="E1877" s="513"/>
      <c r="F1877" s="515"/>
      <c r="G1877" s="515"/>
      <c r="I1877" s="513"/>
      <c r="J1877" s="244"/>
      <c r="K1877" s="244"/>
      <c r="L1877" s="513"/>
      <c r="M1877" s="244"/>
      <c r="N1877" s="244"/>
      <c r="O1877" s="244"/>
      <c r="P1877" s="244"/>
      <c r="Q1877" s="244"/>
      <c r="R1877" s="244"/>
      <c r="S1877" s="244"/>
      <c r="T1877" s="244"/>
      <c r="U1877" s="244"/>
      <c r="V1877" s="244"/>
      <c r="W1877" s="526"/>
      <c r="X1877" s="520"/>
      <c r="Y1877" s="244"/>
      <c r="AA1877" s="244"/>
      <c r="AC1877" s="244"/>
      <c r="AD1877" s="244"/>
      <c r="AE1877" s="244"/>
      <c r="AF1877" s="244"/>
    </row>
    <row r="1878" spans="4:32" x14ac:dyDescent="0.3">
      <c r="D1878" s="513"/>
      <c r="E1878" s="513"/>
      <c r="F1878" s="515"/>
      <c r="G1878" s="515"/>
      <c r="I1878" s="513"/>
      <c r="J1878" s="244"/>
      <c r="K1878" s="244"/>
      <c r="L1878" s="513"/>
      <c r="M1878" s="244"/>
      <c r="N1878" s="244"/>
      <c r="O1878" s="244"/>
      <c r="P1878" s="244"/>
      <c r="Q1878" s="244"/>
      <c r="R1878" s="244"/>
      <c r="S1878" s="244"/>
      <c r="T1878" s="244"/>
      <c r="U1878" s="244"/>
      <c r="V1878" s="244"/>
      <c r="W1878" s="526"/>
      <c r="X1878" s="520"/>
      <c r="Y1878" s="244"/>
      <c r="AA1878" s="244"/>
      <c r="AC1878" s="244"/>
      <c r="AD1878" s="244"/>
      <c r="AE1878" s="244"/>
      <c r="AF1878" s="244"/>
    </row>
    <row r="1879" spans="4:32" x14ac:dyDescent="0.3">
      <c r="D1879" s="513"/>
      <c r="E1879" s="513"/>
      <c r="F1879" s="515"/>
      <c r="G1879" s="515"/>
      <c r="I1879" s="513"/>
      <c r="J1879" s="244"/>
      <c r="K1879" s="244"/>
      <c r="L1879" s="513"/>
      <c r="M1879" s="244"/>
      <c r="N1879" s="244"/>
      <c r="O1879" s="244"/>
      <c r="P1879" s="244"/>
      <c r="Q1879" s="244"/>
      <c r="R1879" s="244"/>
      <c r="S1879" s="244"/>
      <c r="T1879" s="244"/>
      <c r="U1879" s="244"/>
      <c r="V1879" s="244"/>
      <c r="W1879" s="526"/>
      <c r="X1879" s="520"/>
      <c r="Y1879" s="244"/>
      <c r="AA1879" s="244"/>
      <c r="AC1879" s="244"/>
      <c r="AD1879" s="244"/>
      <c r="AE1879" s="244"/>
      <c r="AF1879" s="244"/>
    </row>
    <row r="1880" spans="4:32" x14ac:dyDescent="0.3">
      <c r="D1880" s="513"/>
      <c r="E1880" s="513"/>
      <c r="F1880" s="515"/>
      <c r="G1880" s="515"/>
      <c r="I1880" s="513"/>
      <c r="J1880" s="244"/>
      <c r="K1880" s="244"/>
      <c r="L1880" s="513"/>
      <c r="M1880" s="244"/>
      <c r="N1880" s="244"/>
      <c r="O1880" s="244"/>
      <c r="P1880" s="244"/>
      <c r="Q1880" s="244"/>
      <c r="R1880" s="244"/>
      <c r="S1880" s="244"/>
      <c r="T1880" s="244"/>
      <c r="U1880" s="244"/>
      <c r="V1880" s="244"/>
      <c r="W1880" s="526"/>
      <c r="X1880" s="520"/>
      <c r="Y1880" s="244"/>
      <c r="AA1880" s="244"/>
      <c r="AC1880" s="244"/>
      <c r="AD1880" s="244"/>
      <c r="AE1880" s="244"/>
      <c r="AF1880" s="244"/>
    </row>
    <row r="1881" spans="4:32" x14ac:dyDescent="0.3">
      <c r="D1881" s="513"/>
      <c r="E1881" s="513"/>
      <c r="F1881" s="515"/>
      <c r="G1881" s="515"/>
      <c r="I1881" s="513"/>
      <c r="J1881" s="244"/>
      <c r="K1881" s="244"/>
      <c r="L1881" s="513"/>
      <c r="M1881" s="244"/>
      <c r="N1881" s="244"/>
      <c r="O1881" s="244"/>
      <c r="P1881" s="244"/>
      <c r="Q1881" s="244"/>
      <c r="R1881" s="244"/>
      <c r="S1881" s="244"/>
      <c r="T1881" s="244"/>
      <c r="U1881" s="244"/>
      <c r="V1881" s="244"/>
      <c r="W1881" s="526"/>
      <c r="X1881" s="520"/>
      <c r="Y1881" s="244"/>
      <c r="AA1881" s="244"/>
      <c r="AC1881" s="244"/>
      <c r="AD1881" s="244"/>
      <c r="AE1881" s="244"/>
      <c r="AF1881" s="244"/>
    </row>
    <row r="1882" spans="4:32" x14ac:dyDescent="0.3">
      <c r="D1882" s="513"/>
      <c r="E1882" s="513"/>
      <c r="F1882" s="515"/>
      <c r="G1882" s="515"/>
      <c r="I1882" s="513"/>
      <c r="J1882" s="244"/>
      <c r="K1882" s="244"/>
      <c r="L1882" s="513"/>
      <c r="M1882" s="244"/>
      <c r="N1882" s="244"/>
      <c r="O1882" s="244"/>
      <c r="P1882" s="244"/>
      <c r="Q1882" s="244"/>
      <c r="R1882" s="244"/>
      <c r="S1882" s="244"/>
      <c r="T1882" s="244"/>
      <c r="U1882" s="244"/>
      <c r="V1882" s="244"/>
      <c r="W1882" s="526"/>
      <c r="X1882" s="520"/>
      <c r="Y1882" s="244"/>
      <c r="AA1882" s="244"/>
      <c r="AC1882" s="244"/>
      <c r="AD1882" s="244"/>
      <c r="AE1882" s="244"/>
      <c r="AF1882" s="244"/>
    </row>
    <row r="1883" spans="4:32" x14ac:dyDescent="0.3">
      <c r="D1883" s="513"/>
      <c r="E1883" s="513"/>
      <c r="F1883" s="515"/>
      <c r="G1883" s="515"/>
      <c r="I1883" s="513"/>
      <c r="J1883" s="244"/>
      <c r="K1883" s="244"/>
      <c r="L1883" s="513"/>
      <c r="M1883" s="244"/>
      <c r="N1883" s="244"/>
      <c r="O1883" s="244"/>
      <c r="P1883" s="244"/>
      <c r="Q1883" s="244"/>
      <c r="R1883" s="244"/>
      <c r="S1883" s="244"/>
      <c r="T1883" s="244"/>
      <c r="U1883" s="244"/>
      <c r="V1883" s="244"/>
      <c r="W1883" s="526"/>
      <c r="X1883" s="520"/>
      <c r="Y1883" s="244"/>
      <c r="AA1883" s="244"/>
      <c r="AC1883" s="244"/>
      <c r="AD1883" s="244"/>
      <c r="AE1883" s="244"/>
      <c r="AF1883" s="244"/>
    </row>
    <row r="1884" spans="4:32" x14ac:dyDescent="0.3">
      <c r="D1884" s="513"/>
      <c r="E1884" s="513"/>
      <c r="F1884" s="515"/>
      <c r="G1884" s="515"/>
      <c r="I1884" s="513"/>
      <c r="J1884" s="244"/>
      <c r="K1884" s="244"/>
      <c r="L1884" s="513"/>
      <c r="M1884" s="244"/>
      <c r="N1884" s="244"/>
      <c r="O1884" s="244"/>
      <c r="P1884" s="244"/>
      <c r="Q1884" s="244"/>
      <c r="R1884" s="244"/>
      <c r="S1884" s="244"/>
      <c r="T1884" s="244"/>
      <c r="U1884" s="244"/>
      <c r="V1884" s="244"/>
      <c r="W1884" s="526"/>
      <c r="X1884" s="520"/>
      <c r="Y1884" s="244"/>
      <c r="AA1884" s="244"/>
      <c r="AC1884" s="244"/>
      <c r="AD1884" s="244"/>
      <c r="AE1884" s="244"/>
      <c r="AF1884" s="244"/>
    </row>
    <row r="1885" spans="4:32" x14ac:dyDescent="0.3">
      <c r="D1885" s="513"/>
      <c r="E1885" s="513"/>
      <c r="F1885" s="515"/>
      <c r="G1885" s="515"/>
      <c r="I1885" s="513"/>
      <c r="J1885" s="244"/>
      <c r="K1885" s="244"/>
      <c r="L1885" s="513"/>
      <c r="M1885" s="244"/>
      <c r="N1885" s="244"/>
      <c r="O1885" s="244"/>
      <c r="P1885" s="244"/>
      <c r="Q1885" s="244"/>
      <c r="R1885" s="244"/>
      <c r="S1885" s="244"/>
      <c r="T1885" s="244"/>
      <c r="U1885" s="244"/>
      <c r="V1885" s="244"/>
      <c r="W1885" s="526"/>
      <c r="X1885" s="520"/>
      <c r="Y1885" s="244"/>
      <c r="AA1885" s="244"/>
      <c r="AC1885" s="244"/>
      <c r="AD1885" s="244"/>
      <c r="AE1885" s="244"/>
      <c r="AF1885" s="244"/>
    </row>
    <row r="1886" spans="4:32" x14ac:dyDescent="0.3">
      <c r="D1886" s="513"/>
      <c r="E1886" s="513"/>
      <c r="F1886" s="515"/>
      <c r="G1886" s="515"/>
      <c r="I1886" s="513"/>
      <c r="J1886" s="244"/>
      <c r="K1886" s="244"/>
      <c r="L1886" s="513"/>
      <c r="M1886" s="244"/>
      <c r="N1886" s="244"/>
      <c r="O1886" s="244"/>
      <c r="P1886" s="244"/>
      <c r="Q1886" s="244"/>
      <c r="R1886" s="244"/>
      <c r="S1886" s="244"/>
      <c r="T1886" s="244"/>
      <c r="U1886" s="244"/>
      <c r="V1886" s="244"/>
      <c r="W1886" s="526"/>
      <c r="X1886" s="520"/>
      <c r="Y1886" s="244"/>
      <c r="AA1886" s="244"/>
      <c r="AC1886" s="244"/>
      <c r="AD1886" s="244"/>
      <c r="AE1886" s="244"/>
      <c r="AF1886" s="244"/>
    </row>
    <row r="1887" spans="4:32" x14ac:dyDescent="0.3">
      <c r="D1887" s="513"/>
      <c r="E1887" s="513"/>
      <c r="F1887" s="515"/>
      <c r="G1887" s="515"/>
      <c r="I1887" s="513"/>
      <c r="J1887" s="244"/>
      <c r="K1887" s="244"/>
      <c r="L1887" s="513"/>
      <c r="M1887" s="244"/>
      <c r="N1887" s="244"/>
      <c r="O1887" s="244"/>
      <c r="P1887" s="244"/>
      <c r="Q1887" s="244"/>
      <c r="R1887" s="244"/>
      <c r="S1887" s="244"/>
      <c r="T1887" s="244"/>
      <c r="U1887" s="244"/>
      <c r="V1887" s="244"/>
      <c r="W1887" s="526"/>
      <c r="X1887" s="520"/>
      <c r="Y1887" s="244"/>
      <c r="AA1887" s="244"/>
      <c r="AC1887" s="244"/>
      <c r="AD1887" s="244"/>
      <c r="AE1887" s="244"/>
      <c r="AF1887" s="244"/>
    </row>
    <row r="1888" spans="4:32" x14ac:dyDescent="0.3">
      <c r="D1888" s="513"/>
      <c r="E1888" s="513"/>
      <c r="F1888" s="515"/>
      <c r="G1888" s="515"/>
      <c r="I1888" s="513"/>
      <c r="J1888" s="244"/>
      <c r="K1888" s="244"/>
      <c r="L1888" s="513"/>
      <c r="M1888" s="244"/>
      <c r="N1888" s="244"/>
      <c r="O1888" s="244"/>
      <c r="P1888" s="244"/>
      <c r="Q1888" s="244"/>
      <c r="R1888" s="244"/>
      <c r="S1888" s="244"/>
      <c r="T1888" s="244"/>
      <c r="U1888" s="244"/>
      <c r="V1888" s="244"/>
      <c r="W1888" s="526"/>
      <c r="X1888" s="520"/>
      <c r="Y1888" s="244"/>
      <c r="AA1888" s="244"/>
      <c r="AC1888" s="244"/>
      <c r="AD1888" s="244"/>
      <c r="AE1888" s="244"/>
      <c r="AF1888" s="244"/>
    </row>
    <row r="1889" spans="4:32" x14ac:dyDescent="0.3">
      <c r="D1889" s="513"/>
      <c r="E1889" s="513"/>
      <c r="F1889" s="515"/>
      <c r="G1889" s="515"/>
      <c r="I1889" s="513"/>
      <c r="J1889" s="244"/>
      <c r="K1889" s="244"/>
      <c r="L1889" s="513"/>
      <c r="M1889" s="244"/>
      <c r="N1889" s="244"/>
      <c r="O1889" s="244"/>
      <c r="P1889" s="244"/>
      <c r="Q1889" s="244"/>
      <c r="R1889" s="244"/>
      <c r="S1889" s="244"/>
      <c r="T1889" s="244"/>
      <c r="U1889" s="244"/>
      <c r="V1889" s="244"/>
      <c r="W1889" s="526"/>
      <c r="X1889" s="520"/>
      <c r="Y1889" s="244"/>
      <c r="AA1889" s="244"/>
      <c r="AC1889" s="244"/>
      <c r="AD1889" s="244"/>
      <c r="AE1889" s="244"/>
      <c r="AF1889" s="244"/>
    </row>
    <row r="1890" spans="4:32" x14ac:dyDescent="0.3">
      <c r="D1890" s="513"/>
      <c r="E1890" s="513"/>
      <c r="F1890" s="515"/>
      <c r="G1890" s="515"/>
      <c r="I1890" s="513"/>
      <c r="J1890" s="244"/>
      <c r="K1890" s="244"/>
      <c r="L1890" s="513"/>
      <c r="M1890" s="244"/>
      <c r="N1890" s="244"/>
      <c r="O1890" s="244"/>
      <c r="P1890" s="244"/>
      <c r="Q1890" s="244"/>
      <c r="R1890" s="244"/>
      <c r="S1890" s="244"/>
      <c r="T1890" s="244"/>
      <c r="U1890" s="244"/>
      <c r="V1890" s="244"/>
      <c r="W1890" s="526"/>
      <c r="X1890" s="520"/>
      <c r="Y1890" s="244"/>
      <c r="AA1890" s="244"/>
      <c r="AC1890" s="244"/>
      <c r="AD1890" s="244"/>
      <c r="AE1890" s="244"/>
      <c r="AF1890" s="244"/>
    </row>
    <row r="1891" spans="4:32" x14ac:dyDescent="0.3">
      <c r="D1891" s="513"/>
      <c r="E1891" s="513"/>
      <c r="F1891" s="515"/>
      <c r="G1891" s="515"/>
      <c r="I1891" s="513"/>
      <c r="J1891" s="244"/>
      <c r="K1891" s="244"/>
      <c r="L1891" s="513"/>
      <c r="M1891" s="244"/>
      <c r="N1891" s="244"/>
      <c r="O1891" s="244"/>
      <c r="P1891" s="244"/>
      <c r="Q1891" s="244"/>
      <c r="R1891" s="244"/>
      <c r="S1891" s="244"/>
      <c r="T1891" s="244"/>
      <c r="U1891" s="244"/>
      <c r="V1891" s="244"/>
      <c r="W1891" s="526"/>
      <c r="X1891" s="520"/>
      <c r="Y1891" s="244"/>
      <c r="AA1891" s="244"/>
      <c r="AC1891" s="244"/>
      <c r="AD1891" s="244"/>
      <c r="AE1891" s="244"/>
      <c r="AF1891" s="244"/>
    </row>
    <row r="1892" spans="4:32" x14ac:dyDescent="0.3">
      <c r="D1892" s="513"/>
      <c r="E1892" s="513"/>
      <c r="F1892" s="515"/>
      <c r="G1892" s="515"/>
      <c r="I1892" s="513"/>
      <c r="J1892" s="244"/>
      <c r="K1892" s="244"/>
      <c r="L1892" s="513"/>
      <c r="M1892" s="244"/>
      <c r="N1892" s="244"/>
      <c r="O1892" s="244"/>
      <c r="P1892" s="244"/>
      <c r="Q1892" s="244"/>
      <c r="R1892" s="244"/>
      <c r="S1892" s="244"/>
      <c r="T1892" s="244"/>
      <c r="U1892" s="244"/>
      <c r="V1892" s="244"/>
      <c r="W1892" s="526"/>
      <c r="X1892" s="520"/>
      <c r="Y1892" s="244"/>
      <c r="AA1892" s="244"/>
      <c r="AC1892" s="244"/>
      <c r="AD1892" s="244"/>
      <c r="AE1892" s="244"/>
      <c r="AF1892" s="244"/>
    </row>
    <row r="1893" spans="4:32" x14ac:dyDescent="0.3">
      <c r="D1893" s="513"/>
      <c r="E1893" s="513"/>
      <c r="F1893" s="515"/>
      <c r="G1893" s="515"/>
      <c r="I1893" s="513"/>
      <c r="J1893" s="244"/>
      <c r="K1893" s="244"/>
      <c r="L1893" s="513"/>
      <c r="M1893" s="244"/>
      <c r="N1893" s="244"/>
      <c r="O1893" s="244"/>
      <c r="P1893" s="244"/>
      <c r="Q1893" s="244"/>
      <c r="R1893" s="244"/>
      <c r="S1893" s="244"/>
      <c r="T1893" s="244"/>
      <c r="U1893" s="244"/>
      <c r="V1893" s="244"/>
      <c r="W1893" s="526"/>
      <c r="X1893" s="520"/>
      <c r="Y1893" s="244"/>
      <c r="AA1893" s="244"/>
      <c r="AC1893" s="244"/>
      <c r="AD1893" s="244"/>
      <c r="AE1893" s="244"/>
      <c r="AF1893" s="244"/>
    </row>
    <row r="1894" spans="4:32" x14ac:dyDescent="0.3">
      <c r="D1894" s="513"/>
      <c r="E1894" s="513"/>
      <c r="F1894" s="515"/>
      <c r="G1894" s="515"/>
      <c r="I1894" s="513"/>
      <c r="J1894" s="244"/>
      <c r="K1894" s="244"/>
      <c r="L1894" s="513"/>
      <c r="M1894" s="244"/>
      <c r="N1894" s="244"/>
      <c r="O1894" s="244"/>
      <c r="P1894" s="244"/>
      <c r="Q1894" s="244"/>
      <c r="R1894" s="244"/>
      <c r="S1894" s="244"/>
      <c r="T1894" s="244"/>
      <c r="U1894" s="244"/>
      <c r="V1894" s="244"/>
      <c r="W1894" s="526"/>
      <c r="X1894" s="520"/>
      <c r="Y1894" s="244"/>
      <c r="AA1894" s="244"/>
      <c r="AC1894" s="244"/>
      <c r="AD1894" s="244"/>
      <c r="AE1894" s="244"/>
      <c r="AF1894" s="244"/>
    </row>
    <row r="1895" spans="4:32" x14ac:dyDescent="0.3">
      <c r="D1895" s="513"/>
      <c r="E1895" s="513"/>
      <c r="F1895" s="515"/>
      <c r="G1895" s="515"/>
      <c r="I1895" s="513"/>
      <c r="J1895" s="244"/>
      <c r="K1895" s="244"/>
      <c r="L1895" s="513"/>
      <c r="M1895" s="244"/>
      <c r="N1895" s="244"/>
      <c r="O1895" s="244"/>
      <c r="P1895" s="244"/>
      <c r="Q1895" s="244"/>
      <c r="R1895" s="244"/>
      <c r="S1895" s="244"/>
      <c r="T1895" s="244"/>
      <c r="U1895" s="244"/>
      <c r="V1895" s="244"/>
      <c r="W1895" s="526"/>
      <c r="X1895" s="520"/>
      <c r="Y1895" s="244"/>
      <c r="AA1895" s="244"/>
      <c r="AC1895" s="244"/>
      <c r="AD1895" s="244"/>
      <c r="AE1895" s="244"/>
      <c r="AF1895" s="244"/>
    </row>
    <row r="1896" spans="4:32" x14ac:dyDescent="0.3">
      <c r="D1896" s="513"/>
      <c r="E1896" s="513"/>
      <c r="F1896" s="515"/>
      <c r="G1896" s="515"/>
      <c r="I1896" s="513"/>
      <c r="J1896" s="244"/>
      <c r="K1896" s="244"/>
      <c r="L1896" s="513"/>
      <c r="M1896" s="244"/>
      <c r="N1896" s="244"/>
      <c r="O1896" s="244"/>
      <c r="P1896" s="244"/>
      <c r="Q1896" s="244"/>
      <c r="R1896" s="244"/>
      <c r="S1896" s="244"/>
      <c r="T1896" s="244"/>
      <c r="U1896" s="244"/>
      <c r="V1896" s="244"/>
      <c r="W1896" s="526"/>
      <c r="X1896" s="520"/>
      <c r="Y1896" s="244"/>
      <c r="AA1896" s="244"/>
      <c r="AC1896" s="244"/>
      <c r="AD1896" s="244"/>
      <c r="AE1896" s="244"/>
      <c r="AF1896" s="244"/>
    </row>
    <row r="1897" spans="4:32" x14ac:dyDescent="0.3">
      <c r="D1897" s="513"/>
      <c r="E1897" s="513"/>
      <c r="F1897" s="515"/>
      <c r="G1897" s="515"/>
      <c r="I1897" s="513"/>
      <c r="J1897" s="244"/>
      <c r="K1897" s="244"/>
      <c r="L1897" s="513"/>
      <c r="M1897" s="244"/>
      <c r="N1897" s="244"/>
      <c r="O1897" s="244"/>
      <c r="P1897" s="244"/>
      <c r="Q1897" s="244"/>
      <c r="R1897" s="244"/>
      <c r="S1897" s="244"/>
      <c r="T1897" s="244"/>
      <c r="U1897" s="244"/>
      <c r="V1897" s="244"/>
      <c r="W1897" s="526"/>
      <c r="X1897" s="520"/>
      <c r="Y1897" s="244"/>
      <c r="AA1897" s="244"/>
      <c r="AC1897" s="244"/>
      <c r="AD1897" s="244"/>
      <c r="AE1897" s="244"/>
      <c r="AF1897" s="244"/>
    </row>
    <row r="1898" spans="4:32" x14ac:dyDescent="0.3">
      <c r="D1898" s="513"/>
      <c r="E1898" s="513"/>
      <c r="F1898" s="515"/>
      <c r="G1898" s="515"/>
      <c r="I1898" s="513"/>
      <c r="J1898" s="244"/>
      <c r="K1898" s="244"/>
      <c r="L1898" s="513"/>
      <c r="M1898" s="244"/>
      <c r="N1898" s="244"/>
      <c r="O1898" s="244"/>
      <c r="P1898" s="244"/>
      <c r="Q1898" s="244"/>
      <c r="R1898" s="244"/>
      <c r="S1898" s="244"/>
      <c r="T1898" s="244"/>
      <c r="U1898" s="244"/>
      <c r="V1898" s="244"/>
      <c r="W1898" s="526"/>
      <c r="X1898" s="520"/>
      <c r="Y1898" s="244"/>
      <c r="AA1898" s="244"/>
      <c r="AC1898" s="244"/>
      <c r="AD1898" s="244"/>
      <c r="AE1898" s="244"/>
      <c r="AF1898" s="244"/>
    </row>
    <row r="1899" spans="4:32" x14ac:dyDescent="0.3">
      <c r="D1899" s="513"/>
      <c r="E1899" s="513"/>
      <c r="F1899" s="515"/>
      <c r="G1899" s="515"/>
      <c r="I1899" s="513"/>
      <c r="J1899" s="244"/>
      <c r="K1899" s="244"/>
      <c r="L1899" s="513"/>
      <c r="M1899" s="244"/>
      <c r="N1899" s="244"/>
      <c r="O1899" s="244"/>
      <c r="P1899" s="244"/>
      <c r="Q1899" s="244"/>
      <c r="R1899" s="244"/>
      <c r="S1899" s="244"/>
      <c r="T1899" s="244"/>
      <c r="U1899" s="244"/>
      <c r="V1899" s="244"/>
      <c r="W1899" s="526"/>
      <c r="X1899" s="520"/>
      <c r="Y1899" s="244"/>
      <c r="AA1899" s="244"/>
      <c r="AC1899" s="244"/>
      <c r="AD1899" s="244"/>
      <c r="AE1899" s="244"/>
      <c r="AF1899" s="244"/>
    </row>
    <row r="1900" spans="4:32" x14ac:dyDescent="0.3">
      <c r="D1900" s="513"/>
      <c r="E1900" s="513"/>
      <c r="F1900" s="515"/>
      <c r="G1900" s="515"/>
      <c r="I1900" s="513"/>
      <c r="J1900" s="244"/>
      <c r="K1900" s="244"/>
      <c r="L1900" s="513"/>
      <c r="M1900" s="244"/>
      <c r="N1900" s="244"/>
      <c r="O1900" s="244"/>
      <c r="P1900" s="244"/>
      <c r="Q1900" s="244"/>
      <c r="R1900" s="244"/>
      <c r="S1900" s="244"/>
      <c r="T1900" s="244"/>
      <c r="U1900" s="244"/>
      <c r="V1900" s="244"/>
      <c r="W1900" s="526"/>
      <c r="X1900" s="520"/>
      <c r="Y1900" s="244"/>
      <c r="AA1900" s="244"/>
      <c r="AC1900" s="244"/>
      <c r="AD1900" s="244"/>
      <c r="AE1900" s="244"/>
      <c r="AF1900" s="244"/>
    </row>
    <row r="1901" spans="4:32" x14ac:dyDescent="0.3">
      <c r="D1901" s="513"/>
      <c r="E1901" s="513"/>
      <c r="F1901" s="515"/>
      <c r="G1901" s="515"/>
      <c r="I1901" s="513"/>
      <c r="J1901" s="244"/>
      <c r="K1901" s="244"/>
      <c r="L1901" s="513"/>
      <c r="M1901" s="244"/>
      <c r="N1901" s="244"/>
      <c r="O1901" s="244"/>
      <c r="P1901" s="244"/>
      <c r="Q1901" s="244"/>
      <c r="R1901" s="244"/>
      <c r="S1901" s="244"/>
      <c r="T1901" s="244"/>
      <c r="U1901" s="244"/>
      <c r="V1901" s="244"/>
      <c r="W1901" s="526"/>
      <c r="X1901" s="520"/>
      <c r="Y1901" s="244"/>
      <c r="AA1901" s="244"/>
      <c r="AC1901" s="244"/>
      <c r="AD1901" s="244"/>
      <c r="AE1901" s="244"/>
      <c r="AF1901" s="244"/>
    </row>
    <row r="1902" spans="4:32" x14ac:dyDescent="0.3">
      <c r="D1902" s="513"/>
      <c r="E1902" s="513"/>
      <c r="F1902" s="515"/>
      <c r="G1902" s="515"/>
      <c r="I1902" s="513"/>
      <c r="J1902" s="244"/>
      <c r="K1902" s="244"/>
      <c r="L1902" s="513"/>
      <c r="M1902" s="244"/>
      <c r="N1902" s="244"/>
      <c r="O1902" s="244"/>
      <c r="P1902" s="244"/>
      <c r="Q1902" s="244"/>
      <c r="R1902" s="244"/>
      <c r="S1902" s="244"/>
      <c r="T1902" s="244"/>
      <c r="U1902" s="244"/>
      <c r="V1902" s="244"/>
      <c r="W1902" s="526"/>
      <c r="X1902" s="520"/>
      <c r="Y1902" s="244"/>
      <c r="AA1902" s="244"/>
      <c r="AC1902" s="244"/>
      <c r="AD1902" s="244"/>
      <c r="AE1902" s="244"/>
      <c r="AF1902" s="244"/>
    </row>
    <row r="1903" spans="4:32" x14ac:dyDescent="0.3">
      <c r="D1903" s="513"/>
      <c r="E1903" s="513"/>
      <c r="F1903" s="515"/>
      <c r="G1903" s="515"/>
      <c r="I1903" s="513"/>
      <c r="J1903" s="244"/>
      <c r="K1903" s="244"/>
      <c r="L1903" s="513"/>
      <c r="M1903" s="244"/>
      <c r="N1903" s="244"/>
      <c r="O1903" s="244"/>
      <c r="P1903" s="244"/>
      <c r="Q1903" s="244"/>
      <c r="R1903" s="244"/>
      <c r="S1903" s="244"/>
      <c r="T1903" s="244"/>
      <c r="U1903" s="244"/>
      <c r="V1903" s="244"/>
      <c r="W1903" s="526"/>
      <c r="X1903" s="520"/>
      <c r="Y1903" s="244"/>
      <c r="AA1903" s="244"/>
      <c r="AC1903" s="244"/>
      <c r="AD1903" s="244"/>
      <c r="AE1903" s="244"/>
      <c r="AF1903" s="244"/>
    </row>
    <row r="1904" spans="4:32" x14ac:dyDescent="0.3">
      <c r="D1904" s="513"/>
      <c r="E1904" s="513"/>
      <c r="F1904" s="515"/>
      <c r="G1904" s="515"/>
      <c r="I1904" s="513"/>
      <c r="J1904" s="244"/>
      <c r="K1904" s="244"/>
      <c r="L1904" s="513"/>
      <c r="M1904" s="244"/>
      <c r="N1904" s="244"/>
      <c r="O1904" s="244"/>
      <c r="P1904" s="244"/>
      <c r="Q1904" s="244"/>
      <c r="R1904" s="244"/>
      <c r="S1904" s="244"/>
      <c r="T1904" s="244"/>
      <c r="U1904" s="244"/>
      <c r="V1904" s="244"/>
      <c r="W1904" s="526"/>
      <c r="X1904" s="520"/>
      <c r="Y1904" s="244"/>
      <c r="AA1904" s="244"/>
      <c r="AC1904" s="244"/>
      <c r="AD1904" s="244"/>
      <c r="AE1904" s="244"/>
      <c r="AF1904" s="244"/>
    </row>
    <row r="1905" spans="4:32" x14ac:dyDescent="0.3">
      <c r="D1905" s="513"/>
      <c r="E1905" s="513"/>
      <c r="F1905" s="515"/>
      <c r="G1905" s="515"/>
      <c r="I1905" s="513"/>
      <c r="J1905" s="244"/>
      <c r="K1905" s="244"/>
      <c r="L1905" s="513"/>
      <c r="M1905" s="244"/>
      <c r="N1905" s="244"/>
      <c r="O1905" s="244"/>
      <c r="P1905" s="244"/>
      <c r="Q1905" s="244"/>
      <c r="R1905" s="244"/>
      <c r="S1905" s="244"/>
      <c r="T1905" s="244"/>
      <c r="U1905" s="244"/>
      <c r="V1905" s="244"/>
      <c r="W1905" s="526"/>
      <c r="X1905" s="520"/>
      <c r="Y1905" s="244"/>
      <c r="AA1905" s="244"/>
      <c r="AC1905" s="244"/>
      <c r="AD1905" s="244"/>
      <c r="AE1905" s="244"/>
      <c r="AF1905" s="244"/>
    </row>
    <row r="1906" spans="4:32" x14ac:dyDescent="0.3">
      <c r="D1906" s="513"/>
      <c r="E1906" s="513"/>
      <c r="F1906" s="515"/>
      <c r="G1906" s="515"/>
      <c r="I1906" s="513"/>
      <c r="J1906" s="244"/>
      <c r="K1906" s="244"/>
      <c r="L1906" s="513"/>
      <c r="M1906" s="244"/>
      <c r="N1906" s="244"/>
      <c r="O1906" s="244"/>
      <c r="P1906" s="244"/>
      <c r="Q1906" s="244"/>
      <c r="R1906" s="244"/>
      <c r="S1906" s="244"/>
      <c r="T1906" s="244"/>
      <c r="U1906" s="244"/>
      <c r="V1906" s="244"/>
      <c r="W1906" s="526"/>
      <c r="X1906" s="520"/>
      <c r="Y1906" s="244"/>
      <c r="AA1906" s="244"/>
      <c r="AC1906" s="244"/>
      <c r="AD1906" s="244"/>
      <c r="AE1906" s="244"/>
      <c r="AF1906" s="244"/>
    </row>
    <row r="1907" spans="4:32" x14ac:dyDescent="0.3">
      <c r="D1907" s="513"/>
      <c r="E1907" s="513"/>
      <c r="F1907" s="515"/>
      <c r="G1907" s="515"/>
      <c r="I1907" s="513"/>
      <c r="J1907" s="244"/>
      <c r="K1907" s="244"/>
      <c r="L1907" s="513"/>
      <c r="M1907" s="244"/>
      <c r="N1907" s="244"/>
      <c r="O1907" s="244"/>
      <c r="P1907" s="244"/>
      <c r="Q1907" s="244"/>
      <c r="R1907" s="244"/>
      <c r="S1907" s="244"/>
      <c r="T1907" s="244"/>
      <c r="U1907" s="244"/>
      <c r="V1907" s="244"/>
      <c r="W1907" s="526"/>
      <c r="X1907" s="520"/>
      <c r="Y1907" s="244"/>
      <c r="AA1907" s="244"/>
      <c r="AC1907" s="244"/>
      <c r="AD1907" s="244"/>
      <c r="AE1907" s="244"/>
      <c r="AF1907" s="244"/>
    </row>
    <row r="1908" spans="4:32" x14ac:dyDescent="0.3">
      <c r="D1908" s="513"/>
      <c r="E1908" s="513"/>
      <c r="F1908" s="515"/>
      <c r="G1908" s="515"/>
      <c r="I1908" s="513"/>
      <c r="J1908" s="244"/>
      <c r="K1908" s="244"/>
      <c r="L1908" s="513"/>
      <c r="M1908" s="244"/>
      <c r="N1908" s="244"/>
      <c r="O1908" s="244"/>
      <c r="P1908" s="244"/>
      <c r="Q1908" s="244"/>
      <c r="R1908" s="244"/>
      <c r="S1908" s="244"/>
      <c r="T1908" s="244"/>
      <c r="U1908" s="244"/>
      <c r="V1908" s="244"/>
      <c r="W1908" s="526"/>
      <c r="X1908" s="520"/>
      <c r="Y1908" s="244"/>
      <c r="AA1908" s="244"/>
      <c r="AC1908" s="244"/>
      <c r="AD1908" s="244"/>
      <c r="AE1908" s="244"/>
      <c r="AF1908" s="244"/>
    </row>
    <row r="1909" spans="4:32" x14ac:dyDescent="0.3">
      <c r="D1909" s="513"/>
      <c r="E1909" s="513"/>
      <c r="F1909" s="515"/>
      <c r="G1909" s="515"/>
      <c r="I1909" s="513"/>
      <c r="J1909" s="244"/>
      <c r="K1909" s="244"/>
      <c r="L1909" s="513"/>
      <c r="M1909" s="244"/>
      <c r="N1909" s="244"/>
      <c r="O1909" s="244"/>
      <c r="P1909" s="244"/>
      <c r="Q1909" s="244"/>
      <c r="R1909" s="244"/>
      <c r="S1909" s="244"/>
      <c r="T1909" s="244"/>
      <c r="U1909" s="244"/>
      <c r="V1909" s="244"/>
      <c r="W1909" s="526"/>
      <c r="X1909" s="520"/>
      <c r="Y1909" s="244"/>
      <c r="AA1909" s="244"/>
      <c r="AC1909" s="244"/>
      <c r="AD1909" s="244"/>
      <c r="AE1909" s="244"/>
      <c r="AF1909" s="244"/>
    </row>
    <row r="1910" spans="4:32" x14ac:dyDescent="0.3">
      <c r="D1910" s="513"/>
      <c r="E1910" s="513"/>
      <c r="F1910" s="515"/>
      <c r="G1910" s="515"/>
      <c r="I1910" s="513"/>
      <c r="J1910" s="244"/>
      <c r="K1910" s="244"/>
      <c r="L1910" s="513"/>
      <c r="M1910" s="244"/>
      <c r="N1910" s="244"/>
      <c r="O1910" s="244"/>
      <c r="P1910" s="244"/>
      <c r="Q1910" s="244"/>
      <c r="R1910" s="244"/>
      <c r="S1910" s="244"/>
      <c r="T1910" s="244"/>
      <c r="U1910" s="244"/>
      <c r="V1910" s="244"/>
      <c r="W1910" s="526"/>
      <c r="X1910" s="520"/>
      <c r="Y1910" s="244"/>
      <c r="AA1910" s="244"/>
      <c r="AC1910" s="244"/>
      <c r="AD1910" s="244"/>
      <c r="AE1910" s="244"/>
      <c r="AF1910" s="244"/>
    </row>
    <row r="1911" spans="4:32" x14ac:dyDescent="0.3">
      <c r="D1911" s="513"/>
      <c r="E1911" s="513"/>
      <c r="F1911" s="515"/>
      <c r="G1911" s="515"/>
      <c r="I1911" s="513"/>
      <c r="J1911" s="244"/>
      <c r="K1911" s="244"/>
      <c r="L1911" s="513"/>
      <c r="M1911" s="244"/>
      <c r="N1911" s="244"/>
      <c r="O1911" s="244"/>
      <c r="P1911" s="244"/>
      <c r="Q1911" s="244"/>
      <c r="R1911" s="244"/>
      <c r="S1911" s="244"/>
      <c r="T1911" s="244"/>
      <c r="U1911" s="244"/>
      <c r="V1911" s="244"/>
      <c r="W1911" s="526"/>
      <c r="X1911" s="520"/>
      <c r="Y1911" s="244"/>
      <c r="AA1911" s="244"/>
      <c r="AC1911" s="244"/>
      <c r="AD1911" s="244"/>
      <c r="AE1911" s="244"/>
      <c r="AF1911" s="244"/>
    </row>
    <row r="1912" spans="4:32" x14ac:dyDescent="0.3">
      <c r="D1912" s="513"/>
      <c r="E1912" s="513"/>
      <c r="F1912" s="515"/>
      <c r="G1912" s="515"/>
      <c r="I1912" s="513"/>
      <c r="J1912" s="244"/>
      <c r="K1912" s="244"/>
      <c r="L1912" s="513"/>
      <c r="M1912" s="244"/>
      <c r="N1912" s="244"/>
      <c r="O1912" s="244"/>
      <c r="P1912" s="244"/>
      <c r="Q1912" s="244"/>
      <c r="R1912" s="244"/>
      <c r="S1912" s="244"/>
      <c r="T1912" s="244"/>
      <c r="U1912" s="244"/>
      <c r="V1912" s="244"/>
      <c r="W1912" s="526"/>
      <c r="X1912" s="520"/>
      <c r="Y1912" s="244"/>
      <c r="AA1912" s="244"/>
      <c r="AC1912" s="244"/>
      <c r="AD1912" s="244"/>
      <c r="AE1912" s="244"/>
      <c r="AF1912" s="244"/>
    </row>
    <row r="1913" spans="4:32" x14ac:dyDescent="0.3">
      <c r="D1913" s="513"/>
      <c r="E1913" s="513"/>
      <c r="F1913" s="515"/>
      <c r="G1913" s="515"/>
      <c r="I1913" s="513"/>
      <c r="J1913" s="244"/>
      <c r="K1913" s="244"/>
      <c r="L1913" s="513"/>
      <c r="M1913" s="244"/>
      <c r="N1913" s="244"/>
      <c r="O1913" s="244"/>
      <c r="P1913" s="244"/>
      <c r="Q1913" s="244"/>
      <c r="R1913" s="244"/>
      <c r="S1913" s="244"/>
      <c r="T1913" s="244"/>
      <c r="U1913" s="244"/>
      <c r="V1913" s="244"/>
      <c r="W1913" s="526"/>
      <c r="X1913" s="520"/>
      <c r="Y1913" s="244"/>
      <c r="AA1913" s="244"/>
      <c r="AC1913" s="244"/>
      <c r="AD1913" s="244"/>
      <c r="AE1913" s="244"/>
      <c r="AF1913" s="244"/>
    </row>
    <row r="1914" spans="4:32" x14ac:dyDescent="0.3">
      <c r="D1914" s="513"/>
      <c r="E1914" s="513"/>
      <c r="F1914" s="515"/>
      <c r="G1914" s="515"/>
      <c r="I1914" s="513"/>
      <c r="J1914" s="244"/>
      <c r="K1914" s="244"/>
      <c r="L1914" s="513"/>
      <c r="M1914" s="244"/>
      <c r="N1914" s="244"/>
      <c r="O1914" s="244"/>
      <c r="P1914" s="244"/>
      <c r="Q1914" s="244"/>
      <c r="R1914" s="244"/>
      <c r="S1914" s="244"/>
      <c r="T1914" s="244"/>
      <c r="U1914" s="244"/>
      <c r="V1914" s="244"/>
      <c r="W1914" s="526"/>
      <c r="X1914" s="520"/>
      <c r="Y1914" s="244"/>
      <c r="AA1914" s="244"/>
      <c r="AC1914" s="244"/>
      <c r="AD1914" s="244"/>
      <c r="AE1914" s="244"/>
      <c r="AF1914" s="244"/>
    </row>
    <row r="1915" spans="4:32" x14ac:dyDescent="0.3">
      <c r="D1915" s="513"/>
      <c r="E1915" s="513"/>
      <c r="F1915" s="515"/>
      <c r="G1915" s="515"/>
      <c r="I1915" s="513"/>
      <c r="J1915" s="244"/>
      <c r="K1915" s="244"/>
      <c r="L1915" s="513"/>
      <c r="M1915" s="244"/>
      <c r="N1915" s="244"/>
      <c r="O1915" s="244"/>
      <c r="P1915" s="244"/>
      <c r="Q1915" s="244"/>
      <c r="R1915" s="244"/>
      <c r="S1915" s="244"/>
      <c r="T1915" s="244"/>
      <c r="U1915" s="244"/>
      <c r="V1915" s="244"/>
      <c r="W1915" s="526"/>
      <c r="X1915" s="520"/>
      <c r="Y1915" s="244"/>
      <c r="AA1915" s="244"/>
      <c r="AC1915" s="244"/>
      <c r="AD1915" s="244"/>
      <c r="AE1915" s="244"/>
      <c r="AF1915" s="244"/>
    </row>
    <row r="1916" spans="4:32" x14ac:dyDescent="0.3">
      <c r="D1916" s="513"/>
      <c r="E1916" s="513"/>
      <c r="F1916" s="515"/>
      <c r="G1916" s="515"/>
      <c r="I1916" s="513"/>
      <c r="J1916" s="244"/>
      <c r="K1916" s="244"/>
      <c r="L1916" s="513"/>
      <c r="M1916" s="244"/>
      <c r="N1916" s="244"/>
      <c r="O1916" s="244"/>
      <c r="P1916" s="244"/>
      <c r="Q1916" s="244"/>
      <c r="R1916" s="244"/>
      <c r="S1916" s="244"/>
      <c r="T1916" s="244"/>
      <c r="U1916" s="244"/>
      <c r="V1916" s="244"/>
      <c r="W1916" s="526"/>
      <c r="X1916" s="520"/>
      <c r="Y1916" s="244"/>
      <c r="AA1916" s="244"/>
      <c r="AC1916" s="244"/>
      <c r="AD1916" s="244"/>
      <c r="AE1916" s="244"/>
      <c r="AF1916" s="244"/>
    </row>
    <row r="1917" spans="4:32" x14ac:dyDescent="0.3">
      <c r="D1917" s="513"/>
      <c r="E1917" s="513"/>
      <c r="F1917" s="515"/>
      <c r="G1917" s="515"/>
      <c r="I1917" s="513"/>
      <c r="J1917" s="244"/>
      <c r="K1917" s="244"/>
      <c r="L1917" s="513"/>
      <c r="M1917" s="244"/>
      <c r="N1917" s="244"/>
      <c r="O1917" s="244"/>
      <c r="P1917" s="244"/>
      <c r="Q1917" s="244"/>
      <c r="R1917" s="244"/>
      <c r="S1917" s="244"/>
      <c r="T1917" s="244"/>
      <c r="U1917" s="244"/>
      <c r="V1917" s="244"/>
      <c r="W1917" s="526"/>
      <c r="X1917" s="520"/>
      <c r="Y1917" s="244"/>
      <c r="AA1917" s="244"/>
      <c r="AC1917" s="244"/>
      <c r="AD1917" s="244"/>
      <c r="AE1917" s="244"/>
      <c r="AF1917" s="244"/>
    </row>
    <row r="1918" spans="4:32" x14ac:dyDescent="0.3">
      <c r="D1918" s="513"/>
      <c r="E1918" s="513"/>
      <c r="F1918" s="515"/>
      <c r="G1918" s="515"/>
      <c r="I1918" s="513"/>
      <c r="J1918" s="244"/>
      <c r="K1918" s="244"/>
      <c r="L1918" s="513"/>
      <c r="M1918" s="244"/>
      <c r="N1918" s="244"/>
      <c r="O1918" s="244"/>
      <c r="P1918" s="244"/>
      <c r="Q1918" s="244"/>
      <c r="R1918" s="244"/>
      <c r="S1918" s="244"/>
      <c r="T1918" s="244"/>
      <c r="U1918" s="244"/>
      <c r="V1918" s="244"/>
      <c r="W1918" s="526"/>
      <c r="X1918" s="520"/>
      <c r="Y1918" s="244"/>
      <c r="AA1918" s="244"/>
      <c r="AC1918" s="244"/>
      <c r="AD1918" s="244"/>
      <c r="AE1918" s="244"/>
      <c r="AF1918" s="244"/>
    </row>
    <row r="1919" spans="4:32" x14ac:dyDescent="0.3">
      <c r="D1919" s="513"/>
      <c r="E1919" s="513"/>
      <c r="F1919" s="515"/>
      <c r="G1919" s="515"/>
      <c r="I1919" s="513"/>
      <c r="J1919" s="244"/>
      <c r="K1919" s="244"/>
      <c r="L1919" s="513"/>
      <c r="M1919" s="244"/>
      <c r="N1919" s="244"/>
      <c r="O1919" s="244"/>
      <c r="P1919" s="244"/>
      <c r="Q1919" s="244"/>
      <c r="R1919" s="244"/>
      <c r="S1919" s="244"/>
      <c r="T1919" s="244"/>
      <c r="U1919" s="244"/>
      <c r="V1919" s="244"/>
      <c r="W1919" s="526"/>
      <c r="X1919" s="520"/>
      <c r="Y1919" s="244"/>
      <c r="AA1919" s="244"/>
      <c r="AC1919" s="244"/>
      <c r="AD1919" s="244"/>
      <c r="AE1919" s="244"/>
      <c r="AF1919" s="244"/>
    </row>
    <row r="1920" spans="4:32" x14ac:dyDescent="0.3">
      <c r="D1920" s="513"/>
      <c r="E1920" s="513"/>
      <c r="F1920" s="515"/>
      <c r="G1920" s="515"/>
      <c r="I1920" s="513"/>
      <c r="J1920" s="244"/>
      <c r="K1920" s="244"/>
      <c r="L1920" s="513"/>
      <c r="M1920" s="244"/>
      <c r="N1920" s="244"/>
      <c r="O1920" s="244"/>
      <c r="P1920" s="244"/>
      <c r="Q1920" s="244"/>
      <c r="R1920" s="244"/>
      <c r="S1920" s="244"/>
      <c r="T1920" s="244"/>
      <c r="U1920" s="244"/>
      <c r="V1920" s="244"/>
      <c r="W1920" s="526"/>
      <c r="X1920" s="520"/>
      <c r="Y1920" s="244"/>
      <c r="AA1920" s="244"/>
      <c r="AC1920" s="244"/>
      <c r="AD1920" s="244"/>
      <c r="AE1920" s="244"/>
      <c r="AF1920" s="244"/>
    </row>
    <row r="1921" spans="4:32" x14ac:dyDescent="0.3">
      <c r="D1921" s="513"/>
      <c r="E1921" s="513"/>
      <c r="F1921" s="515"/>
      <c r="G1921" s="515"/>
      <c r="I1921" s="513"/>
      <c r="J1921" s="244"/>
      <c r="K1921" s="244"/>
      <c r="L1921" s="513"/>
      <c r="M1921" s="244"/>
      <c r="N1921" s="244"/>
      <c r="O1921" s="244"/>
      <c r="P1921" s="244"/>
      <c r="Q1921" s="244"/>
      <c r="R1921" s="244"/>
      <c r="S1921" s="244"/>
      <c r="T1921" s="244"/>
      <c r="U1921" s="244"/>
      <c r="V1921" s="244"/>
      <c r="W1921" s="526"/>
      <c r="X1921" s="520"/>
      <c r="Y1921" s="244"/>
      <c r="AA1921" s="244"/>
      <c r="AC1921" s="244"/>
      <c r="AD1921" s="244"/>
      <c r="AE1921" s="244"/>
      <c r="AF1921" s="244"/>
    </row>
    <row r="1922" spans="4:32" x14ac:dyDescent="0.3">
      <c r="D1922" s="513"/>
      <c r="E1922" s="513"/>
      <c r="F1922" s="515"/>
      <c r="G1922" s="515"/>
      <c r="I1922" s="513"/>
      <c r="J1922" s="244"/>
      <c r="K1922" s="244"/>
      <c r="L1922" s="513"/>
      <c r="M1922" s="244"/>
      <c r="N1922" s="244"/>
      <c r="O1922" s="244"/>
      <c r="P1922" s="244"/>
      <c r="Q1922" s="244"/>
      <c r="R1922" s="244"/>
      <c r="S1922" s="244"/>
      <c r="T1922" s="244"/>
      <c r="U1922" s="244"/>
      <c r="V1922" s="244"/>
      <c r="W1922" s="526"/>
      <c r="X1922" s="520"/>
      <c r="Y1922" s="244"/>
      <c r="AA1922" s="244"/>
      <c r="AC1922" s="244"/>
      <c r="AD1922" s="244"/>
      <c r="AE1922" s="244"/>
      <c r="AF1922" s="244"/>
    </row>
    <row r="1923" spans="4:32" x14ac:dyDescent="0.3">
      <c r="D1923" s="513"/>
      <c r="E1923" s="513"/>
      <c r="F1923" s="515"/>
      <c r="G1923" s="515"/>
      <c r="I1923" s="513"/>
      <c r="J1923" s="244"/>
      <c r="K1923" s="244"/>
      <c r="L1923" s="513"/>
      <c r="M1923" s="244"/>
      <c r="N1923" s="244"/>
      <c r="O1923" s="244"/>
      <c r="P1923" s="244"/>
      <c r="Q1923" s="244"/>
      <c r="R1923" s="244"/>
      <c r="S1923" s="244"/>
      <c r="T1923" s="244"/>
      <c r="U1923" s="244"/>
      <c r="V1923" s="244"/>
      <c r="W1923" s="526"/>
      <c r="X1923" s="520"/>
      <c r="Y1923" s="244"/>
      <c r="AA1923" s="244"/>
      <c r="AC1923" s="244"/>
      <c r="AD1923" s="244"/>
      <c r="AE1923" s="244"/>
      <c r="AF1923" s="244"/>
    </row>
    <row r="1924" spans="4:32" x14ac:dyDescent="0.3">
      <c r="D1924" s="513"/>
      <c r="E1924" s="513"/>
      <c r="F1924" s="515"/>
      <c r="G1924" s="515"/>
      <c r="I1924" s="513"/>
      <c r="J1924" s="244"/>
      <c r="K1924" s="244"/>
      <c r="L1924" s="513"/>
      <c r="M1924" s="244"/>
      <c r="N1924" s="244"/>
      <c r="O1924" s="244"/>
      <c r="P1924" s="244"/>
      <c r="Q1924" s="244"/>
      <c r="R1924" s="244"/>
      <c r="S1924" s="244"/>
      <c r="T1924" s="244"/>
      <c r="U1924" s="244"/>
      <c r="V1924" s="244"/>
      <c r="W1924" s="526"/>
      <c r="X1924" s="520"/>
      <c r="Y1924" s="244"/>
      <c r="AA1924" s="244"/>
      <c r="AC1924" s="244"/>
      <c r="AD1924" s="244"/>
      <c r="AE1924" s="244"/>
      <c r="AF1924" s="244"/>
    </row>
    <row r="1925" spans="4:32" x14ac:dyDescent="0.3">
      <c r="D1925" s="513"/>
      <c r="E1925" s="513"/>
      <c r="F1925" s="515"/>
      <c r="G1925" s="515"/>
      <c r="I1925" s="513"/>
      <c r="J1925" s="244"/>
      <c r="K1925" s="244"/>
      <c r="L1925" s="513"/>
      <c r="M1925" s="244"/>
      <c r="N1925" s="244"/>
      <c r="O1925" s="244"/>
      <c r="P1925" s="244"/>
      <c r="Q1925" s="244"/>
      <c r="R1925" s="244"/>
      <c r="S1925" s="244"/>
      <c r="T1925" s="244"/>
      <c r="U1925" s="244"/>
      <c r="V1925" s="244"/>
      <c r="W1925" s="526"/>
      <c r="X1925" s="520"/>
      <c r="Y1925" s="244"/>
      <c r="AA1925" s="244"/>
      <c r="AC1925" s="244"/>
      <c r="AD1925" s="244"/>
      <c r="AE1925" s="244"/>
      <c r="AF1925" s="244"/>
    </row>
    <row r="1926" spans="4:32" x14ac:dyDescent="0.3">
      <c r="D1926" s="513"/>
      <c r="E1926" s="513"/>
      <c r="F1926" s="515"/>
      <c r="G1926" s="515"/>
      <c r="I1926" s="513"/>
      <c r="J1926" s="244"/>
      <c r="K1926" s="244"/>
      <c r="L1926" s="513"/>
      <c r="M1926" s="244"/>
      <c r="N1926" s="244"/>
      <c r="O1926" s="244"/>
      <c r="P1926" s="244"/>
      <c r="Q1926" s="244"/>
      <c r="R1926" s="244"/>
      <c r="S1926" s="244"/>
      <c r="T1926" s="244"/>
      <c r="U1926" s="244"/>
      <c r="V1926" s="244"/>
      <c r="W1926" s="526"/>
      <c r="X1926" s="520"/>
      <c r="Y1926" s="244"/>
      <c r="AA1926" s="244"/>
      <c r="AC1926" s="244"/>
      <c r="AD1926" s="244"/>
      <c r="AE1926" s="244"/>
      <c r="AF1926" s="244"/>
    </row>
    <row r="1927" spans="4:32" x14ac:dyDescent="0.3">
      <c r="D1927" s="513"/>
      <c r="E1927" s="513"/>
      <c r="F1927" s="515"/>
      <c r="G1927" s="515"/>
      <c r="I1927" s="513"/>
      <c r="J1927" s="244"/>
      <c r="K1927" s="244"/>
      <c r="L1927" s="513"/>
      <c r="M1927" s="244"/>
      <c r="N1927" s="244"/>
      <c r="O1927" s="244"/>
      <c r="P1927" s="244"/>
      <c r="Q1927" s="244"/>
      <c r="R1927" s="244"/>
      <c r="S1927" s="244"/>
      <c r="T1927" s="244"/>
      <c r="U1927" s="244"/>
      <c r="V1927" s="244"/>
      <c r="W1927" s="526"/>
      <c r="X1927" s="520"/>
      <c r="Y1927" s="244"/>
      <c r="AA1927" s="244"/>
      <c r="AC1927" s="244"/>
      <c r="AD1927" s="244"/>
      <c r="AE1927" s="244"/>
      <c r="AF1927" s="244"/>
    </row>
    <row r="1928" spans="4:32" x14ac:dyDescent="0.3">
      <c r="D1928" s="513"/>
      <c r="E1928" s="513"/>
      <c r="F1928" s="515"/>
      <c r="G1928" s="515"/>
      <c r="I1928" s="513"/>
      <c r="J1928" s="244"/>
      <c r="K1928" s="244"/>
      <c r="L1928" s="513"/>
      <c r="M1928" s="244"/>
      <c r="N1928" s="244"/>
      <c r="O1928" s="244"/>
      <c r="P1928" s="244"/>
      <c r="Q1928" s="244"/>
      <c r="R1928" s="244"/>
      <c r="S1928" s="244"/>
      <c r="T1928" s="244"/>
      <c r="U1928" s="244"/>
      <c r="V1928" s="244"/>
      <c r="W1928" s="526"/>
      <c r="X1928" s="520"/>
      <c r="Y1928" s="244"/>
      <c r="AA1928" s="244"/>
      <c r="AC1928" s="244"/>
      <c r="AD1928" s="244"/>
      <c r="AE1928" s="244"/>
      <c r="AF1928" s="244"/>
    </row>
    <row r="1929" spans="4:32" x14ac:dyDescent="0.3">
      <c r="D1929" s="513"/>
      <c r="E1929" s="513"/>
      <c r="F1929" s="515"/>
      <c r="G1929" s="515"/>
      <c r="I1929" s="513"/>
      <c r="J1929" s="244"/>
      <c r="K1929" s="244"/>
      <c r="L1929" s="513"/>
      <c r="M1929" s="244"/>
      <c r="N1929" s="244"/>
      <c r="O1929" s="244"/>
      <c r="P1929" s="244"/>
      <c r="Q1929" s="244"/>
      <c r="R1929" s="244"/>
      <c r="S1929" s="244"/>
      <c r="T1929" s="244"/>
      <c r="U1929" s="244"/>
      <c r="V1929" s="244"/>
      <c r="W1929" s="526"/>
      <c r="X1929" s="520"/>
      <c r="Y1929" s="244"/>
      <c r="AA1929" s="244"/>
      <c r="AC1929" s="244"/>
      <c r="AD1929" s="244"/>
      <c r="AE1929" s="244"/>
      <c r="AF1929" s="244"/>
    </row>
    <row r="1930" spans="4:32" x14ac:dyDescent="0.3">
      <c r="D1930" s="513"/>
      <c r="E1930" s="513"/>
      <c r="F1930" s="515"/>
      <c r="G1930" s="515"/>
      <c r="I1930" s="513"/>
      <c r="J1930" s="244"/>
      <c r="K1930" s="244"/>
      <c r="L1930" s="513"/>
      <c r="M1930" s="244"/>
      <c r="N1930" s="244"/>
      <c r="O1930" s="244"/>
      <c r="P1930" s="244"/>
      <c r="Q1930" s="244"/>
      <c r="R1930" s="244"/>
      <c r="S1930" s="244"/>
      <c r="T1930" s="244"/>
      <c r="U1930" s="244"/>
      <c r="V1930" s="244"/>
      <c r="W1930" s="526"/>
      <c r="X1930" s="520"/>
      <c r="Y1930" s="244"/>
      <c r="AA1930" s="244"/>
      <c r="AC1930" s="244"/>
      <c r="AD1930" s="244"/>
      <c r="AE1930" s="244"/>
      <c r="AF1930" s="244"/>
    </row>
    <row r="1931" spans="4:32" x14ac:dyDescent="0.3">
      <c r="D1931" s="513"/>
      <c r="E1931" s="513"/>
      <c r="F1931" s="515"/>
      <c r="G1931" s="515"/>
      <c r="I1931" s="513"/>
      <c r="J1931" s="244"/>
      <c r="K1931" s="244"/>
      <c r="L1931" s="513"/>
      <c r="M1931" s="244"/>
      <c r="N1931" s="244"/>
      <c r="O1931" s="244"/>
      <c r="P1931" s="244"/>
      <c r="Q1931" s="244"/>
      <c r="R1931" s="244"/>
      <c r="S1931" s="244"/>
      <c r="T1931" s="244"/>
      <c r="U1931" s="244"/>
      <c r="V1931" s="244"/>
      <c r="W1931" s="526"/>
      <c r="X1931" s="520"/>
      <c r="Y1931" s="244"/>
      <c r="AA1931" s="244"/>
      <c r="AC1931" s="244"/>
      <c r="AD1931" s="244"/>
      <c r="AE1931" s="244"/>
      <c r="AF1931" s="244"/>
    </row>
    <row r="1932" spans="4:32" x14ac:dyDescent="0.3">
      <c r="D1932" s="513"/>
      <c r="E1932" s="513"/>
      <c r="F1932" s="515"/>
      <c r="G1932" s="515"/>
      <c r="I1932" s="513"/>
      <c r="J1932" s="244"/>
      <c r="K1932" s="244"/>
      <c r="L1932" s="513"/>
      <c r="M1932" s="244"/>
      <c r="N1932" s="244"/>
      <c r="O1932" s="244"/>
      <c r="P1932" s="244"/>
      <c r="Q1932" s="244"/>
      <c r="R1932" s="244"/>
      <c r="S1932" s="244"/>
      <c r="T1932" s="244"/>
      <c r="U1932" s="244"/>
      <c r="V1932" s="244"/>
      <c r="W1932" s="526"/>
      <c r="X1932" s="520"/>
      <c r="Y1932" s="244"/>
      <c r="AA1932" s="244"/>
      <c r="AC1932" s="244"/>
      <c r="AD1932" s="244"/>
      <c r="AE1932" s="244"/>
      <c r="AF1932" s="244"/>
    </row>
    <row r="1933" spans="4:32" x14ac:dyDescent="0.3">
      <c r="D1933" s="513"/>
      <c r="E1933" s="513"/>
      <c r="F1933" s="515"/>
      <c r="G1933" s="515"/>
      <c r="I1933" s="513"/>
      <c r="J1933" s="244"/>
      <c r="K1933" s="244"/>
      <c r="L1933" s="513"/>
      <c r="M1933" s="244"/>
      <c r="N1933" s="244"/>
      <c r="O1933" s="244"/>
      <c r="P1933" s="244"/>
      <c r="Q1933" s="244"/>
      <c r="R1933" s="244"/>
      <c r="S1933" s="244"/>
      <c r="T1933" s="244"/>
      <c r="U1933" s="244"/>
      <c r="V1933" s="244"/>
      <c r="W1933" s="526"/>
      <c r="X1933" s="520"/>
      <c r="Y1933" s="244"/>
      <c r="AA1933" s="244"/>
      <c r="AC1933" s="244"/>
      <c r="AD1933" s="244"/>
      <c r="AE1933" s="244"/>
      <c r="AF1933" s="244"/>
    </row>
    <row r="1934" spans="4:32" x14ac:dyDescent="0.3">
      <c r="D1934" s="513"/>
      <c r="E1934" s="513"/>
      <c r="F1934" s="515"/>
      <c r="G1934" s="515"/>
      <c r="I1934" s="513"/>
      <c r="J1934" s="244"/>
      <c r="K1934" s="244"/>
      <c r="L1934" s="513"/>
      <c r="M1934" s="244"/>
      <c r="N1934" s="244"/>
      <c r="O1934" s="244"/>
      <c r="P1934" s="244"/>
      <c r="Q1934" s="244"/>
      <c r="R1934" s="244"/>
      <c r="S1934" s="244"/>
      <c r="T1934" s="244"/>
      <c r="U1934" s="244"/>
      <c r="V1934" s="244"/>
      <c r="W1934" s="526"/>
      <c r="X1934" s="520"/>
      <c r="Y1934" s="244"/>
      <c r="AA1934" s="244"/>
      <c r="AC1934" s="244"/>
      <c r="AD1934" s="244"/>
      <c r="AE1934" s="244"/>
      <c r="AF1934" s="244"/>
    </row>
    <row r="1935" spans="4:32" x14ac:dyDescent="0.3">
      <c r="D1935" s="513"/>
      <c r="E1935" s="513"/>
      <c r="F1935" s="515"/>
      <c r="G1935" s="515"/>
      <c r="I1935" s="513"/>
      <c r="J1935" s="244"/>
      <c r="K1935" s="244"/>
      <c r="L1935" s="513"/>
      <c r="M1935" s="244"/>
      <c r="N1935" s="244"/>
      <c r="O1935" s="244"/>
      <c r="P1935" s="244"/>
      <c r="Q1935" s="244"/>
      <c r="R1935" s="244"/>
      <c r="S1935" s="244"/>
      <c r="T1935" s="244"/>
      <c r="U1935" s="244"/>
      <c r="V1935" s="244"/>
      <c r="W1935" s="526"/>
      <c r="X1935" s="520"/>
      <c r="Y1935" s="244"/>
      <c r="AA1935" s="244"/>
      <c r="AC1935" s="244"/>
      <c r="AD1935" s="244"/>
      <c r="AE1935" s="244"/>
      <c r="AF1935" s="244"/>
    </row>
    <row r="1936" spans="4:32" x14ac:dyDescent="0.3">
      <c r="D1936" s="513"/>
      <c r="E1936" s="513"/>
      <c r="F1936" s="515"/>
      <c r="G1936" s="515"/>
      <c r="I1936" s="513"/>
      <c r="J1936" s="244"/>
      <c r="K1936" s="244"/>
      <c r="L1936" s="513"/>
      <c r="M1936" s="244"/>
      <c r="N1936" s="244"/>
      <c r="O1936" s="244"/>
      <c r="P1936" s="244"/>
      <c r="Q1936" s="244"/>
      <c r="R1936" s="244"/>
      <c r="S1936" s="244"/>
      <c r="T1936" s="244"/>
      <c r="U1936" s="244"/>
      <c r="V1936" s="244"/>
      <c r="W1936" s="526"/>
      <c r="X1936" s="520"/>
      <c r="Y1936" s="244"/>
      <c r="AA1936" s="244"/>
      <c r="AC1936" s="244"/>
      <c r="AD1936" s="244"/>
      <c r="AE1936" s="244"/>
      <c r="AF1936" s="244"/>
    </row>
    <row r="1937" spans="4:32" x14ac:dyDescent="0.3">
      <c r="D1937" s="513"/>
      <c r="E1937" s="513"/>
      <c r="F1937" s="515"/>
      <c r="G1937" s="515"/>
      <c r="I1937" s="513"/>
      <c r="J1937" s="244"/>
      <c r="K1937" s="244"/>
      <c r="L1937" s="513"/>
      <c r="M1937" s="244"/>
      <c r="N1937" s="244"/>
      <c r="O1937" s="244"/>
      <c r="P1937" s="244"/>
      <c r="Q1937" s="244"/>
      <c r="R1937" s="244"/>
      <c r="S1937" s="244"/>
      <c r="T1937" s="244"/>
      <c r="U1937" s="244"/>
      <c r="V1937" s="244"/>
      <c r="W1937" s="526"/>
      <c r="X1937" s="520"/>
      <c r="Y1937" s="244"/>
      <c r="AA1937" s="244"/>
      <c r="AC1937" s="244"/>
      <c r="AD1937" s="244"/>
      <c r="AE1937" s="244"/>
      <c r="AF1937" s="244"/>
    </row>
    <row r="1938" spans="4:32" x14ac:dyDescent="0.3">
      <c r="D1938" s="513"/>
      <c r="E1938" s="513"/>
      <c r="F1938" s="515"/>
      <c r="G1938" s="515"/>
      <c r="I1938" s="513"/>
      <c r="J1938" s="244"/>
      <c r="K1938" s="244"/>
      <c r="L1938" s="513"/>
      <c r="M1938" s="244"/>
      <c r="N1938" s="244"/>
      <c r="O1938" s="244"/>
      <c r="P1938" s="244"/>
      <c r="Q1938" s="244"/>
      <c r="R1938" s="244"/>
      <c r="S1938" s="244"/>
      <c r="T1938" s="244"/>
      <c r="U1938" s="244"/>
      <c r="V1938" s="244"/>
      <c r="W1938" s="526"/>
      <c r="X1938" s="520"/>
      <c r="Y1938" s="244"/>
      <c r="AA1938" s="244"/>
      <c r="AC1938" s="244"/>
      <c r="AD1938" s="244"/>
      <c r="AE1938" s="244"/>
      <c r="AF1938" s="244"/>
    </row>
    <row r="1939" spans="4:32" x14ac:dyDescent="0.3">
      <c r="D1939" s="513"/>
      <c r="E1939" s="513"/>
      <c r="F1939" s="515"/>
      <c r="G1939" s="515"/>
      <c r="I1939" s="513"/>
      <c r="J1939" s="244"/>
      <c r="K1939" s="244"/>
      <c r="L1939" s="513"/>
      <c r="M1939" s="244"/>
      <c r="N1939" s="244"/>
      <c r="O1939" s="244"/>
      <c r="P1939" s="244"/>
      <c r="Q1939" s="244"/>
      <c r="R1939" s="244"/>
      <c r="S1939" s="244"/>
      <c r="T1939" s="244"/>
      <c r="U1939" s="244"/>
      <c r="V1939" s="244"/>
      <c r="W1939" s="526"/>
      <c r="X1939" s="520"/>
      <c r="Y1939" s="244"/>
      <c r="AA1939" s="244"/>
      <c r="AC1939" s="244"/>
      <c r="AD1939" s="244"/>
      <c r="AE1939" s="244"/>
      <c r="AF1939" s="244"/>
    </row>
    <row r="1940" spans="4:32" x14ac:dyDescent="0.3">
      <c r="D1940" s="513"/>
      <c r="E1940" s="513"/>
      <c r="F1940" s="515"/>
      <c r="G1940" s="515"/>
      <c r="I1940" s="513"/>
      <c r="J1940" s="244"/>
      <c r="K1940" s="244"/>
      <c r="L1940" s="513"/>
      <c r="M1940" s="244"/>
      <c r="N1940" s="244"/>
      <c r="O1940" s="244"/>
      <c r="P1940" s="244"/>
      <c r="Q1940" s="244"/>
      <c r="R1940" s="244"/>
      <c r="S1940" s="244"/>
      <c r="T1940" s="244"/>
      <c r="U1940" s="244"/>
      <c r="V1940" s="244"/>
      <c r="W1940" s="526"/>
      <c r="X1940" s="520"/>
      <c r="Y1940" s="244"/>
      <c r="AA1940" s="244"/>
      <c r="AC1940" s="244"/>
      <c r="AD1940" s="244"/>
      <c r="AE1940" s="244"/>
      <c r="AF1940" s="244"/>
    </row>
    <row r="1941" spans="4:32" x14ac:dyDescent="0.3">
      <c r="D1941" s="513"/>
      <c r="E1941" s="513"/>
      <c r="F1941" s="515"/>
      <c r="G1941" s="515"/>
      <c r="I1941" s="513"/>
      <c r="J1941" s="244"/>
      <c r="K1941" s="244"/>
      <c r="L1941" s="513"/>
      <c r="M1941" s="244"/>
      <c r="N1941" s="244"/>
      <c r="O1941" s="244"/>
      <c r="P1941" s="244"/>
      <c r="Q1941" s="244"/>
      <c r="R1941" s="244"/>
      <c r="S1941" s="244"/>
      <c r="T1941" s="244"/>
      <c r="U1941" s="244"/>
      <c r="V1941" s="244"/>
      <c r="W1941" s="526"/>
      <c r="X1941" s="520"/>
      <c r="Y1941" s="244"/>
      <c r="AA1941" s="244"/>
      <c r="AC1941" s="244"/>
      <c r="AD1941" s="244"/>
      <c r="AE1941" s="244"/>
      <c r="AF1941" s="244"/>
    </row>
    <row r="1942" spans="4:32" x14ac:dyDescent="0.3">
      <c r="D1942" s="513"/>
      <c r="E1942" s="513"/>
      <c r="F1942" s="515"/>
      <c r="G1942" s="515"/>
      <c r="I1942" s="513"/>
      <c r="J1942" s="244"/>
      <c r="K1942" s="244"/>
      <c r="L1942" s="513"/>
      <c r="M1942" s="244"/>
      <c r="N1942" s="244"/>
      <c r="O1942" s="244"/>
      <c r="P1942" s="244"/>
      <c r="Q1942" s="244"/>
      <c r="R1942" s="244"/>
      <c r="S1942" s="244"/>
      <c r="T1942" s="244"/>
      <c r="U1942" s="244"/>
      <c r="V1942" s="244"/>
      <c r="W1942" s="526"/>
      <c r="X1942" s="520"/>
      <c r="Y1942" s="244"/>
      <c r="AA1942" s="244"/>
      <c r="AC1942" s="244"/>
      <c r="AD1942" s="244"/>
      <c r="AE1942" s="244"/>
      <c r="AF1942" s="244"/>
    </row>
    <row r="1943" spans="4:32" x14ac:dyDescent="0.3">
      <c r="D1943" s="513"/>
      <c r="E1943" s="513"/>
      <c r="F1943" s="515"/>
      <c r="G1943" s="515"/>
      <c r="I1943" s="513"/>
      <c r="J1943" s="244"/>
      <c r="K1943" s="244"/>
      <c r="L1943" s="513"/>
      <c r="M1943" s="244"/>
      <c r="N1943" s="244"/>
      <c r="O1943" s="244"/>
      <c r="P1943" s="244"/>
      <c r="Q1943" s="244"/>
      <c r="R1943" s="244"/>
      <c r="S1943" s="244"/>
      <c r="T1943" s="244"/>
      <c r="U1943" s="244"/>
      <c r="V1943" s="244"/>
      <c r="W1943" s="526"/>
      <c r="X1943" s="520"/>
      <c r="Y1943" s="244"/>
      <c r="AA1943" s="244"/>
      <c r="AC1943" s="244"/>
      <c r="AD1943" s="244"/>
      <c r="AE1943" s="244"/>
      <c r="AF1943" s="244"/>
    </row>
    <row r="1944" spans="4:32" x14ac:dyDescent="0.3">
      <c r="D1944" s="513"/>
      <c r="E1944" s="513"/>
      <c r="F1944" s="515"/>
      <c r="G1944" s="515"/>
      <c r="I1944" s="513"/>
      <c r="J1944" s="244"/>
      <c r="K1944" s="244"/>
      <c r="L1944" s="513"/>
      <c r="M1944" s="244"/>
      <c r="N1944" s="244"/>
      <c r="O1944" s="244"/>
      <c r="P1944" s="244"/>
      <c r="Q1944" s="244"/>
      <c r="R1944" s="244"/>
      <c r="S1944" s="244"/>
      <c r="T1944" s="244"/>
      <c r="U1944" s="244"/>
      <c r="V1944" s="244"/>
      <c r="W1944" s="526"/>
      <c r="X1944" s="520"/>
      <c r="Y1944" s="244"/>
      <c r="AA1944" s="244"/>
      <c r="AC1944" s="244"/>
      <c r="AD1944" s="244"/>
      <c r="AE1944" s="244"/>
      <c r="AF1944" s="244"/>
    </row>
    <row r="1945" spans="4:32" x14ac:dyDescent="0.3">
      <c r="D1945" s="513"/>
      <c r="E1945" s="513"/>
      <c r="F1945" s="515"/>
      <c r="G1945" s="515"/>
      <c r="I1945" s="513"/>
      <c r="J1945" s="244"/>
      <c r="K1945" s="244"/>
      <c r="L1945" s="513"/>
      <c r="M1945" s="244"/>
      <c r="N1945" s="244"/>
      <c r="O1945" s="244"/>
      <c r="P1945" s="244"/>
      <c r="Q1945" s="244"/>
      <c r="R1945" s="244"/>
      <c r="S1945" s="244"/>
      <c r="T1945" s="244"/>
      <c r="U1945" s="244"/>
      <c r="V1945" s="244"/>
      <c r="W1945" s="526"/>
      <c r="X1945" s="520"/>
      <c r="Y1945" s="244"/>
      <c r="AA1945" s="244"/>
      <c r="AC1945" s="244"/>
      <c r="AD1945" s="244"/>
      <c r="AE1945" s="244"/>
      <c r="AF1945" s="244"/>
    </row>
    <row r="1946" spans="4:32" x14ac:dyDescent="0.3">
      <c r="D1946" s="513"/>
      <c r="E1946" s="513"/>
      <c r="F1946" s="515"/>
      <c r="G1946" s="515"/>
      <c r="I1946" s="513"/>
      <c r="J1946" s="244"/>
      <c r="K1946" s="244"/>
      <c r="L1946" s="513"/>
      <c r="M1946" s="244"/>
      <c r="N1946" s="244"/>
      <c r="O1946" s="244"/>
      <c r="P1946" s="244"/>
      <c r="Q1946" s="244"/>
      <c r="R1946" s="244"/>
      <c r="S1946" s="244"/>
      <c r="T1946" s="244"/>
      <c r="U1946" s="244"/>
      <c r="V1946" s="244"/>
      <c r="W1946" s="526"/>
      <c r="X1946" s="520"/>
      <c r="Y1946" s="244"/>
      <c r="AA1946" s="244"/>
      <c r="AC1946" s="244"/>
      <c r="AD1946" s="244"/>
      <c r="AE1946" s="244"/>
      <c r="AF1946" s="244"/>
    </row>
    <row r="1947" spans="4:32" x14ac:dyDescent="0.3">
      <c r="D1947" s="513"/>
      <c r="E1947" s="513"/>
      <c r="F1947" s="515"/>
      <c r="G1947" s="515"/>
      <c r="I1947" s="513"/>
      <c r="J1947" s="244"/>
      <c r="K1947" s="244"/>
      <c r="L1947" s="513"/>
      <c r="M1947" s="244"/>
      <c r="N1947" s="244"/>
      <c r="O1947" s="244"/>
      <c r="P1947" s="244"/>
      <c r="Q1947" s="244"/>
      <c r="R1947" s="244"/>
      <c r="S1947" s="244"/>
      <c r="T1947" s="244"/>
      <c r="U1947" s="244"/>
      <c r="V1947" s="244"/>
      <c r="W1947" s="526"/>
      <c r="X1947" s="520"/>
      <c r="Y1947" s="244"/>
      <c r="AA1947" s="244"/>
      <c r="AC1947" s="244"/>
      <c r="AD1947" s="244"/>
      <c r="AE1947" s="244"/>
      <c r="AF1947" s="244"/>
    </row>
    <row r="1948" spans="4:32" x14ac:dyDescent="0.3">
      <c r="D1948" s="513"/>
      <c r="E1948" s="513"/>
      <c r="F1948" s="515"/>
      <c r="G1948" s="515"/>
      <c r="I1948" s="513"/>
      <c r="J1948" s="244"/>
      <c r="K1948" s="244"/>
      <c r="L1948" s="513"/>
      <c r="M1948" s="244"/>
      <c r="N1948" s="244"/>
      <c r="O1948" s="244"/>
      <c r="P1948" s="244"/>
      <c r="Q1948" s="244"/>
      <c r="R1948" s="244"/>
      <c r="S1948" s="244"/>
      <c r="T1948" s="244"/>
      <c r="U1948" s="244"/>
      <c r="V1948" s="244"/>
      <c r="W1948" s="526"/>
      <c r="X1948" s="520"/>
      <c r="Y1948" s="244"/>
      <c r="AA1948" s="244"/>
      <c r="AC1948" s="244"/>
      <c r="AD1948" s="244"/>
      <c r="AE1948" s="244"/>
      <c r="AF1948" s="244"/>
    </row>
    <row r="1949" spans="4:32" x14ac:dyDescent="0.3">
      <c r="D1949" s="513"/>
      <c r="E1949" s="513"/>
      <c r="F1949" s="515"/>
      <c r="G1949" s="515"/>
      <c r="I1949" s="513"/>
      <c r="J1949" s="244"/>
      <c r="K1949" s="244"/>
      <c r="L1949" s="513"/>
      <c r="M1949" s="244"/>
      <c r="N1949" s="244"/>
      <c r="O1949" s="244"/>
      <c r="P1949" s="244"/>
      <c r="Q1949" s="244"/>
      <c r="R1949" s="244"/>
      <c r="S1949" s="244"/>
      <c r="T1949" s="244"/>
      <c r="U1949" s="244"/>
      <c r="V1949" s="244"/>
      <c r="W1949" s="526"/>
      <c r="X1949" s="520"/>
      <c r="Y1949" s="244"/>
      <c r="AA1949" s="244"/>
      <c r="AC1949" s="244"/>
      <c r="AD1949" s="244"/>
      <c r="AE1949" s="244"/>
      <c r="AF1949" s="244"/>
    </row>
    <row r="1950" spans="4:32" x14ac:dyDescent="0.3">
      <c r="D1950" s="513"/>
      <c r="E1950" s="513"/>
      <c r="F1950" s="515"/>
      <c r="G1950" s="515"/>
      <c r="I1950" s="513"/>
      <c r="J1950" s="244"/>
      <c r="K1950" s="244"/>
      <c r="L1950" s="513"/>
      <c r="M1950" s="244"/>
      <c r="N1950" s="244"/>
      <c r="O1950" s="244"/>
      <c r="P1950" s="244"/>
      <c r="Q1950" s="244"/>
      <c r="R1950" s="244"/>
      <c r="S1950" s="244"/>
      <c r="T1950" s="244"/>
      <c r="U1950" s="244"/>
      <c r="V1950" s="244"/>
      <c r="W1950" s="526"/>
      <c r="X1950" s="520"/>
      <c r="Y1950" s="244"/>
      <c r="AA1950" s="244"/>
      <c r="AC1950" s="244"/>
      <c r="AD1950" s="244"/>
      <c r="AE1950" s="244"/>
      <c r="AF1950" s="244"/>
    </row>
    <row r="1951" spans="4:32" x14ac:dyDescent="0.3">
      <c r="D1951" s="513"/>
      <c r="E1951" s="513"/>
      <c r="F1951" s="515"/>
      <c r="G1951" s="515"/>
      <c r="I1951" s="513"/>
      <c r="J1951" s="244"/>
      <c r="K1951" s="244"/>
      <c r="L1951" s="513"/>
      <c r="M1951" s="244"/>
      <c r="N1951" s="244"/>
      <c r="O1951" s="244"/>
      <c r="P1951" s="244"/>
      <c r="Q1951" s="244"/>
      <c r="R1951" s="244"/>
      <c r="S1951" s="244"/>
      <c r="T1951" s="244"/>
      <c r="U1951" s="244"/>
      <c r="V1951" s="244"/>
      <c r="W1951" s="526"/>
      <c r="X1951" s="520"/>
      <c r="Y1951" s="244"/>
      <c r="AA1951" s="244"/>
      <c r="AC1951" s="244"/>
      <c r="AD1951" s="244"/>
      <c r="AE1951" s="244"/>
      <c r="AF1951" s="244"/>
    </row>
    <row r="1952" spans="4:32" x14ac:dyDescent="0.3">
      <c r="D1952" s="513"/>
      <c r="E1952" s="513"/>
      <c r="F1952" s="515"/>
      <c r="G1952" s="515"/>
      <c r="I1952" s="513"/>
      <c r="J1952" s="244"/>
      <c r="K1952" s="244"/>
      <c r="L1952" s="513"/>
      <c r="M1952" s="244"/>
      <c r="N1952" s="244"/>
      <c r="O1952" s="244"/>
      <c r="P1952" s="244"/>
      <c r="Q1952" s="244"/>
      <c r="R1952" s="244"/>
      <c r="S1952" s="244"/>
      <c r="T1952" s="244"/>
      <c r="U1952" s="244"/>
      <c r="V1952" s="244"/>
      <c r="W1952" s="526"/>
      <c r="X1952" s="520"/>
      <c r="Y1952" s="244"/>
      <c r="AA1952" s="244"/>
      <c r="AC1952" s="244"/>
      <c r="AD1952" s="244"/>
      <c r="AE1952" s="244"/>
      <c r="AF1952" s="244"/>
    </row>
    <row r="1953" spans="4:32" x14ac:dyDescent="0.3">
      <c r="D1953" s="513"/>
      <c r="E1953" s="513"/>
      <c r="F1953" s="515"/>
      <c r="G1953" s="515"/>
      <c r="I1953" s="513"/>
      <c r="J1953" s="244"/>
      <c r="K1953" s="244"/>
      <c r="L1953" s="513"/>
      <c r="M1953" s="244"/>
      <c r="N1953" s="244"/>
      <c r="O1953" s="244"/>
      <c r="P1953" s="244"/>
      <c r="Q1953" s="244"/>
      <c r="R1953" s="244"/>
      <c r="S1953" s="244"/>
      <c r="T1953" s="244"/>
      <c r="U1953" s="244"/>
      <c r="V1953" s="244"/>
      <c r="W1953" s="526"/>
      <c r="X1953" s="520"/>
      <c r="Y1953" s="244"/>
      <c r="AA1953" s="244"/>
      <c r="AC1953" s="244"/>
      <c r="AD1953" s="244"/>
      <c r="AE1953" s="244"/>
      <c r="AF1953" s="244"/>
    </row>
    <row r="1954" spans="4:32" x14ac:dyDescent="0.3">
      <c r="D1954" s="513"/>
      <c r="E1954" s="513"/>
      <c r="F1954" s="515"/>
      <c r="G1954" s="515"/>
      <c r="I1954" s="513"/>
      <c r="J1954" s="244"/>
      <c r="K1954" s="244"/>
      <c r="L1954" s="513"/>
      <c r="M1954" s="244"/>
      <c r="N1954" s="244"/>
      <c r="O1954" s="244"/>
      <c r="P1954" s="244"/>
      <c r="Q1954" s="244"/>
      <c r="R1954" s="244"/>
      <c r="S1954" s="244"/>
      <c r="T1954" s="244"/>
      <c r="U1954" s="244"/>
      <c r="V1954" s="244"/>
      <c r="W1954" s="526"/>
      <c r="X1954" s="520"/>
      <c r="Y1954" s="244"/>
      <c r="AA1954" s="244"/>
      <c r="AC1954" s="244"/>
      <c r="AD1954" s="244"/>
      <c r="AE1954" s="244"/>
      <c r="AF1954" s="244"/>
    </row>
    <row r="1955" spans="4:32" x14ac:dyDescent="0.3">
      <c r="D1955" s="513"/>
      <c r="E1955" s="513"/>
      <c r="F1955" s="515"/>
      <c r="G1955" s="515"/>
      <c r="I1955" s="513"/>
      <c r="J1955" s="244"/>
      <c r="K1955" s="244"/>
      <c r="L1955" s="513"/>
      <c r="M1955" s="244"/>
      <c r="N1955" s="244"/>
      <c r="O1955" s="244"/>
      <c r="P1955" s="244"/>
      <c r="Q1955" s="244"/>
      <c r="R1955" s="244"/>
      <c r="S1955" s="244"/>
      <c r="T1955" s="244"/>
      <c r="U1955" s="244"/>
      <c r="V1955" s="244"/>
      <c r="W1955" s="526"/>
      <c r="X1955" s="520"/>
      <c r="Y1955" s="244"/>
      <c r="AA1955" s="244"/>
      <c r="AC1955" s="244"/>
      <c r="AD1955" s="244"/>
      <c r="AE1955" s="244"/>
      <c r="AF1955" s="244"/>
    </row>
    <row r="1956" spans="4:32" x14ac:dyDescent="0.3">
      <c r="D1956" s="513"/>
      <c r="E1956" s="513"/>
      <c r="F1956" s="515"/>
      <c r="G1956" s="515"/>
      <c r="I1956" s="513"/>
      <c r="J1956" s="244"/>
      <c r="K1956" s="244"/>
      <c r="L1956" s="513"/>
      <c r="M1956" s="244"/>
      <c r="N1956" s="244"/>
      <c r="O1956" s="244"/>
      <c r="P1956" s="244"/>
      <c r="Q1956" s="244"/>
      <c r="R1956" s="244"/>
      <c r="S1956" s="244"/>
      <c r="T1956" s="244"/>
      <c r="U1956" s="244"/>
      <c r="V1956" s="244"/>
      <c r="W1956" s="526"/>
      <c r="X1956" s="520"/>
      <c r="Y1956" s="244"/>
      <c r="AA1956" s="244"/>
      <c r="AC1956" s="244"/>
      <c r="AD1956" s="244"/>
      <c r="AE1956" s="244"/>
      <c r="AF1956" s="244"/>
    </row>
    <row r="1957" spans="4:32" x14ac:dyDescent="0.3">
      <c r="D1957" s="513"/>
      <c r="E1957" s="513"/>
      <c r="F1957" s="515"/>
      <c r="G1957" s="515"/>
      <c r="I1957" s="513"/>
      <c r="J1957" s="244"/>
      <c r="K1957" s="244"/>
      <c r="L1957" s="513"/>
      <c r="M1957" s="244"/>
      <c r="N1957" s="244"/>
      <c r="O1957" s="244"/>
      <c r="P1957" s="244"/>
      <c r="Q1957" s="244"/>
      <c r="R1957" s="244"/>
      <c r="S1957" s="244"/>
      <c r="T1957" s="244"/>
      <c r="U1957" s="244"/>
      <c r="V1957" s="244"/>
      <c r="W1957" s="526"/>
      <c r="X1957" s="520"/>
      <c r="Y1957" s="244"/>
      <c r="AA1957" s="244"/>
      <c r="AC1957" s="244"/>
      <c r="AD1957" s="244"/>
      <c r="AE1957" s="244"/>
      <c r="AF1957" s="244"/>
    </row>
    <row r="1958" spans="4:32" x14ac:dyDescent="0.3">
      <c r="D1958" s="513"/>
      <c r="E1958" s="513"/>
      <c r="F1958" s="515"/>
      <c r="G1958" s="515"/>
      <c r="I1958" s="513"/>
      <c r="J1958" s="244"/>
      <c r="K1958" s="244"/>
      <c r="L1958" s="513"/>
      <c r="M1958" s="244"/>
      <c r="N1958" s="244"/>
      <c r="O1958" s="244"/>
      <c r="P1958" s="244"/>
      <c r="Q1958" s="244"/>
      <c r="R1958" s="244"/>
      <c r="S1958" s="244"/>
      <c r="T1958" s="244"/>
      <c r="U1958" s="244"/>
      <c r="V1958" s="244"/>
      <c r="W1958" s="526"/>
      <c r="X1958" s="520"/>
      <c r="Y1958" s="244"/>
      <c r="AA1958" s="244"/>
      <c r="AC1958" s="244"/>
      <c r="AD1958" s="244"/>
      <c r="AE1958" s="244"/>
      <c r="AF1958" s="244"/>
    </row>
    <row r="1959" spans="4:32" x14ac:dyDescent="0.3">
      <c r="D1959" s="513"/>
      <c r="E1959" s="513"/>
      <c r="F1959" s="515"/>
      <c r="G1959" s="515"/>
      <c r="I1959" s="513"/>
      <c r="J1959" s="244"/>
      <c r="K1959" s="244"/>
      <c r="L1959" s="513"/>
      <c r="M1959" s="244"/>
      <c r="N1959" s="244"/>
      <c r="O1959" s="244"/>
      <c r="P1959" s="244"/>
      <c r="Q1959" s="244"/>
      <c r="R1959" s="244"/>
      <c r="S1959" s="244"/>
      <c r="T1959" s="244"/>
      <c r="U1959" s="244"/>
      <c r="V1959" s="244"/>
      <c r="W1959" s="526"/>
      <c r="X1959" s="520"/>
      <c r="Y1959" s="244"/>
      <c r="AA1959" s="244"/>
      <c r="AC1959" s="244"/>
      <c r="AD1959" s="244"/>
      <c r="AE1959" s="244"/>
      <c r="AF1959" s="244"/>
    </row>
    <row r="1960" spans="4:32" x14ac:dyDescent="0.3">
      <c r="D1960" s="513"/>
      <c r="E1960" s="513"/>
      <c r="F1960" s="515"/>
      <c r="G1960" s="515"/>
      <c r="I1960" s="513"/>
      <c r="J1960" s="244"/>
      <c r="K1960" s="244"/>
      <c r="L1960" s="513"/>
      <c r="M1960" s="244"/>
      <c r="N1960" s="244"/>
      <c r="O1960" s="244"/>
      <c r="P1960" s="244"/>
      <c r="Q1960" s="244"/>
      <c r="R1960" s="244"/>
      <c r="S1960" s="244"/>
      <c r="T1960" s="244"/>
      <c r="U1960" s="244"/>
      <c r="V1960" s="244"/>
      <c r="W1960" s="526"/>
      <c r="X1960" s="520"/>
      <c r="Y1960" s="244"/>
      <c r="AA1960" s="244"/>
      <c r="AC1960" s="244"/>
      <c r="AD1960" s="244"/>
      <c r="AE1960" s="244"/>
      <c r="AF1960" s="244"/>
    </row>
    <row r="1961" spans="4:32" x14ac:dyDescent="0.3">
      <c r="D1961" s="513"/>
      <c r="E1961" s="513"/>
      <c r="F1961" s="515"/>
      <c r="G1961" s="515"/>
      <c r="I1961" s="513"/>
      <c r="J1961" s="244"/>
      <c r="K1961" s="244"/>
      <c r="L1961" s="513"/>
      <c r="M1961" s="244"/>
      <c r="N1961" s="244"/>
      <c r="O1961" s="244"/>
      <c r="P1961" s="244"/>
      <c r="Q1961" s="244"/>
      <c r="R1961" s="244"/>
      <c r="S1961" s="244"/>
      <c r="T1961" s="244"/>
      <c r="U1961" s="244"/>
      <c r="V1961" s="244"/>
      <c r="W1961" s="526"/>
      <c r="X1961" s="520"/>
      <c r="Y1961" s="244"/>
      <c r="AA1961" s="244"/>
      <c r="AC1961" s="244"/>
      <c r="AD1961" s="244"/>
      <c r="AE1961" s="244"/>
      <c r="AF1961" s="244"/>
    </row>
    <row r="1962" spans="4:32" x14ac:dyDescent="0.3">
      <c r="D1962" s="513"/>
      <c r="E1962" s="513"/>
      <c r="F1962" s="515"/>
      <c r="G1962" s="515"/>
      <c r="I1962" s="513"/>
      <c r="J1962" s="244"/>
      <c r="K1962" s="244"/>
      <c r="L1962" s="513"/>
      <c r="M1962" s="244"/>
      <c r="N1962" s="244"/>
      <c r="O1962" s="244"/>
      <c r="P1962" s="244"/>
      <c r="Q1962" s="244"/>
      <c r="R1962" s="244"/>
      <c r="S1962" s="244"/>
      <c r="T1962" s="244"/>
      <c r="U1962" s="244"/>
      <c r="V1962" s="244"/>
      <c r="W1962" s="526"/>
      <c r="X1962" s="520"/>
      <c r="Y1962" s="244"/>
      <c r="AA1962" s="244"/>
      <c r="AC1962" s="244"/>
      <c r="AD1962" s="244"/>
      <c r="AE1962" s="244"/>
      <c r="AF1962" s="244"/>
    </row>
    <row r="1963" spans="4:32" x14ac:dyDescent="0.3">
      <c r="D1963" s="513"/>
      <c r="E1963" s="513"/>
      <c r="F1963" s="515"/>
      <c r="G1963" s="515"/>
      <c r="I1963" s="513"/>
      <c r="J1963" s="244"/>
      <c r="K1963" s="244"/>
      <c r="L1963" s="513"/>
      <c r="M1963" s="244"/>
      <c r="N1963" s="244"/>
      <c r="O1963" s="244"/>
      <c r="P1963" s="244"/>
      <c r="Q1963" s="244"/>
      <c r="R1963" s="244"/>
      <c r="S1963" s="244"/>
      <c r="T1963" s="244"/>
      <c r="U1963" s="244"/>
      <c r="V1963" s="244"/>
      <c r="W1963" s="526"/>
      <c r="X1963" s="520"/>
      <c r="Y1963" s="244"/>
      <c r="AA1963" s="244"/>
      <c r="AC1963" s="244"/>
      <c r="AD1963" s="244"/>
      <c r="AE1963" s="244"/>
      <c r="AF1963" s="244"/>
    </row>
    <row r="1964" spans="4:32" x14ac:dyDescent="0.3">
      <c r="D1964" s="513"/>
      <c r="E1964" s="513"/>
      <c r="F1964" s="515"/>
      <c r="G1964" s="515"/>
      <c r="I1964" s="513"/>
      <c r="J1964" s="244"/>
      <c r="K1964" s="244"/>
      <c r="L1964" s="513"/>
      <c r="M1964" s="244"/>
      <c r="N1964" s="244"/>
      <c r="O1964" s="244"/>
      <c r="P1964" s="244"/>
      <c r="Q1964" s="244"/>
      <c r="R1964" s="244"/>
      <c r="S1964" s="244"/>
      <c r="T1964" s="244"/>
      <c r="U1964" s="244"/>
      <c r="V1964" s="244"/>
      <c r="W1964" s="526"/>
      <c r="X1964" s="520"/>
      <c r="Y1964" s="244"/>
      <c r="AA1964" s="244"/>
      <c r="AC1964" s="244"/>
      <c r="AD1964" s="244"/>
      <c r="AE1964" s="244"/>
      <c r="AF1964" s="244"/>
    </row>
    <row r="1965" spans="4:32" x14ac:dyDescent="0.3">
      <c r="D1965" s="513"/>
      <c r="E1965" s="513"/>
      <c r="F1965" s="515"/>
      <c r="G1965" s="515"/>
      <c r="I1965" s="513"/>
      <c r="J1965" s="244"/>
      <c r="K1965" s="244"/>
      <c r="L1965" s="513"/>
      <c r="M1965" s="244"/>
      <c r="N1965" s="244"/>
      <c r="O1965" s="244"/>
      <c r="P1965" s="244"/>
      <c r="Q1965" s="244"/>
      <c r="R1965" s="244"/>
      <c r="S1965" s="244"/>
      <c r="T1965" s="244"/>
      <c r="U1965" s="244"/>
      <c r="V1965" s="244"/>
      <c r="W1965" s="526"/>
      <c r="X1965" s="520"/>
      <c r="Y1965" s="244"/>
      <c r="AA1965" s="244"/>
      <c r="AC1965" s="244"/>
      <c r="AD1965" s="244"/>
      <c r="AE1965" s="244"/>
      <c r="AF1965" s="244"/>
    </row>
    <row r="1966" spans="4:32" x14ac:dyDescent="0.3">
      <c r="D1966" s="513"/>
      <c r="E1966" s="513"/>
      <c r="F1966" s="515"/>
      <c r="G1966" s="515"/>
      <c r="I1966" s="513"/>
      <c r="J1966" s="244"/>
      <c r="K1966" s="244"/>
      <c r="L1966" s="513"/>
      <c r="M1966" s="244"/>
      <c r="N1966" s="244"/>
      <c r="O1966" s="244"/>
      <c r="P1966" s="244"/>
      <c r="Q1966" s="244"/>
      <c r="R1966" s="244"/>
      <c r="S1966" s="244"/>
      <c r="T1966" s="244"/>
      <c r="U1966" s="244"/>
      <c r="V1966" s="244"/>
      <c r="W1966" s="526"/>
      <c r="X1966" s="520"/>
      <c r="Y1966" s="244"/>
      <c r="AA1966" s="244"/>
      <c r="AC1966" s="244"/>
      <c r="AD1966" s="244"/>
      <c r="AE1966" s="244"/>
      <c r="AF1966" s="244"/>
    </row>
    <row r="1967" spans="4:32" x14ac:dyDescent="0.3">
      <c r="D1967" s="513"/>
      <c r="E1967" s="513"/>
      <c r="F1967" s="515"/>
      <c r="G1967" s="515"/>
      <c r="I1967" s="513"/>
      <c r="J1967" s="244"/>
      <c r="K1967" s="244"/>
      <c r="L1967" s="513"/>
      <c r="M1967" s="244"/>
      <c r="N1967" s="244"/>
      <c r="O1967" s="244"/>
      <c r="P1967" s="244"/>
      <c r="Q1967" s="244"/>
      <c r="R1967" s="244"/>
      <c r="S1967" s="244"/>
      <c r="T1967" s="244"/>
      <c r="U1967" s="244"/>
      <c r="V1967" s="244"/>
      <c r="W1967" s="526"/>
      <c r="X1967" s="520"/>
      <c r="Y1967" s="244"/>
      <c r="AA1967" s="244"/>
      <c r="AC1967" s="244"/>
      <c r="AD1967" s="244"/>
      <c r="AE1967" s="244"/>
      <c r="AF1967" s="244"/>
    </row>
    <row r="1968" spans="4:32" x14ac:dyDescent="0.3">
      <c r="D1968" s="513"/>
      <c r="E1968" s="513"/>
      <c r="F1968" s="515"/>
      <c r="G1968" s="515"/>
      <c r="I1968" s="513"/>
      <c r="J1968" s="244"/>
      <c r="K1968" s="244"/>
      <c r="L1968" s="513"/>
      <c r="M1968" s="244"/>
      <c r="N1968" s="244"/>
      <c r="O1968" s="244"/>
      <c r="P1968" s="244"/>
      <c r="Q1968" s="244"/>
      <c r="R1968" s="244"/>
      <c r="S1968" s="244"/>
      <c r="T1968" s="244"/>
      <c r="U1968" s="244"/>
      <c r="V1968" s="244"/>
      <c r="W1968" s="526"/>
      <c r="X1968" s="520"/>
      <c r="Y1968" s="244"/>
      <c r="AA1968" s="244"/>
      <c r="AC1968" s="244"/>
      <c r="AD1968" s="244"/>
      <c r="AE1968" s="244"/>
      <c r="AF1968" s="244"/>
    </row>
    <row r="1969" spans="4:32" x14ac:dyDescent="0.3">
      <c r="D1969" s="513"/>
      <c r="E1969" s="513"/>
      <c r="F1969" s="515"/>
      <c r="G1969" s="515"/>
      <c r="I1969" s="513"/>
      <c r="J1969" s="244"/>
      <c r="K1969" s="244"/>
      <c r="L1969" s="513"/>
      <c r="M1969" s="244"/>
      <c r="N1969" s="244"/>
      <c r="O1969" s="244"/>
      <c r="P1969" s="244"/>
      <c r="Q1969" s="244"/>
      <c r="R1969" s="244"/>
      <c r="S1969" s="244"/>
      <c r="T1969" s="244"/>
      <c r="U1969" s="244"/>
      <c r="V1969" s="244"/>
      <c r="W1969" s="526"/>
      <c r="X1969" s="520"/>
      <c r="Y1969" s="244"/>
      <c r="AA1969" s="244"/>
      <c r="AC1969" s="244"/>
      <c r="AD1969" s="244"/>
      <c r="AE1969" s="244"/>
      <c r="AF1969" s="244"/>
    </row>
    <row r="1970" spans="4:32" x14ac:dyDescent="0.3">
      <c r="D1970" s="513"/>
      <c r="E1970" s="513"/>
      <c r="F1970" s="515"/>
      <c r="G1970" s="515"/>
      <c r="I1970" s="513"/>
      <c r="J1970" s="244"/>
      <c r="K1970" s="244"/>
      <c r="L1970" s="513"/>
      <c r="M1970" s="244"/>
      <c r="N1970" s="244"/>
      <c r="O1970" s="244"/>
      <c r="P1970" s="244"/>
      <c r="Q1970" s="244"/>
      <c r="R1970" s="244"/>
      <c r="S1970" s="244"/>
      <c r="T1970" s="244"/>
      <c r="U1970" s="244"/>
      <c r="V1970" s="244"/>
      <c r="W1970" s="526"/>
      <c r="X1970" s="520"/>
      <c r="Y1970" s="244"/>
      <c r="AA1970" s="244"/>
      <c r="AC1970" s="244"/>
      <c r="AD1970" s="244"/>
      <c r="AE1970" s="244"/>
      <c r="AF1970" s="244"/>
    </row>
    <row r="1971" spans="4:32" x14ac:dyDescent="0.3">
      <c r="D1971" s="513"/>
      <c r="E1971" s="513"/>
      <c r="F1971" s="515"/>
      <c r="G1971" s="515"/>
      <c r="I1971" s="513"/>
      <c r="J1971" s="244"/>
      <c r="K1971" s="244"/>
      <c r="L1971" s="513"/>
      <c r="M1971" s="244"/>
      <c r="N1971" s="244"/>
      <c r="O1971" s="244"/>
      <c r="P1971" s="244"/>
      <c r="Q1971" s="244"/>
      <c r="R1971" s="244"/>
      <c r="S1971" s="244"/>
      <c r="T1971" s="244"/>
      <c r="U1971" s="244"/>
      <c r="V1971" s="244"/>
      <c r="W1971" s="526"/>
      <c r="X1971" s="520"/>
      <c r="Y1971" s="244"/>
      <c r="AA1971" s="244"/>
      <c r="AC1971" s="244"/>
      <c r="AD1971" s="244"/>
      <c r="AE1971" s="244"/>
      <c r="AF1971" s="244"/>
    </row>
    <row r="1972" spans="4:32" x14ac:dyDescent="0.3">
      <c r="D1972" s="513"/>
      <c r="E1972" s="513"/>
      <c r="F1972" s="515"/>
      <c r="G1972" s="515"/>
      <c r="I1972" s="513"/>
      <c r="J1972" s="244"/>
      <c r="K1972" s="244"/>
      <c r="L1972" s="513"/>
      <c r="M1972" s="244"/>
      <c r="N1972" s="244"/>
      <c r="O1972" s="244"/>
      <c r="P1972" s="244"/>
      <c r="Q1972" s="244"/>
      <c r="R1972" s="244"/>
      <c r="S1972" s="244"/>
      <c r="T1972" s="244"/>
      <c r="U1972" s="244"/>
      <c r="V1972" s="244"/>
      <c r="W1972" s="526"/>
      <c r="X1972" s="520"/>
      <c r="Y1972" s="244"/>
      <c r="AA1972" s="244"/>
      <c r="AC1972" s="244"/>
      <c r="AD1972" s="244"/>
      <c r="AE1972" s="244"/>
      <c r="AF1972" s="244"/>
    </row>
    <row r="1973" spans="4:32" x14ac:dyDescent="0.3">
      <c r="D1973" s="513"/>
      <c r="E1973" s="513"/>
      <c r="F1973" s="515"/>
      <c r="G1973" s="515"/>
      <c r="I1973" s="513"/>
      <c r="J1973" s="244"/>
      <c r="K1973" s="244"/>
      <c r="L1973" s="513"/>
      <c r="M1973" s="244"/>
      <c r="N1973" s="244"/>
      <c r="O1973" s="244"/>
      <c r="P1973" s="244"/>
      <c r="Q1973" s="244"/>
      <c r="R1973" s="244"/>
      <c r="S1973" s="244"/>
      <c r="T1973" s="244"/>
      <c r="U1973" s="244"/>
      <c r="V1973" s="244"/>
      <c r="W1973" s="526"/>
      <c r="X1973" s="520"/>
      <c r="Y1973" s="244"/>
      <c r="AA1973" s="244"/>
      <c r="AC1973" s="244"/>
      <c r="AD1973" s="244"/>
      <c r="AE1973" s="244"/>
      <c r="AF1973" s="244"/>
    </row>
    <row r="1974" spans="4:32" x14ac:dyDescent="0.3">
      <c r="D1974" s="513"/>
      <c r="E1974" s="513"/>
      <c r="F1974" s="515"/>
      <c r="G1974" s="515"/>
      <c r="I1974" s="513"/>
      <c r="J1974" s="244"/>
      <c r="K1974" s="244"/>
      <c r="L1974" s="513"/>
      <c r="M1974" s="244"/>
      <c r="N1974" s="244"/>
      <c r="O1974" s="244"/>
      <c r="P1974" s="244"/>
      <c r="Q1974" s="244"/>
      <c r="R1974" s="244"/>
      <c r="S1974" s="244"/>
      <c r="T1974" s="244"/>
      <c r="U1974" s="244"/>
      <c r="V1974" s="244"/>
      <c r="W1974" s="526"/>
      <c r="X1974" s="520"/>
      <c r="Y1974" s="244"/>
      <c r="AA1974" s="244"/>
      <c r="AC1974" s="244"/>
      <c r="AD1974" s="244"/>
      <c r="AE1974" s="244"/>
      <c r="AF1974" s="244"/>
    </row>
    <row r="1975" spans="4:32" x14ac:dyDescent="0.3">
      <c r="D1975" s="513"/>
      <c r="E1975" s="513"/>
      <c r="F1975" s="515"/>
      <c r="G1975" s="515"/>
      <c r="I1975" s="513"/>
      <c r="J1975" s="244"/>
      <c r="K1975" s="244"/>
      <c r="L1975" s="513"/>
      <c r="M1975" s="244"/>
      <c r="N1975" s="244"/>
      <c r="O1975" s="244"/>
      <c r="P1975" s="244"/>
      <c r="Q1975" s="244"/>
      <c r="R1975" s="244"/>
      <c r="S1975" s="244"/>
      <c r="T1975" s="244"/>
      <c r="U1975" s="244"/>
      <c r="V1975" s="244"/>
      <c r="W1975" s="526"/>
      <c r="X1975" s="520"/>
      <c r="Y1975" s="244"/>
      <c r="AA1975" s="244"/>
      <c r="AC1975" s="244"/>
      <c r="AD1975" s="244"/>
      <c r="AE1975" s="244"/>
      <c r="AF1975" s="244"/>
    </row>
    <row r="1976" spans="4:32" x14ac:dyDescent="0.3">
      <c r="D1976" s="513"/>
      <c r="E1976" s="513"/>
      <c r="F1976" s="515"/>
      <c r="G1976" s="515"/>
      <c r="I1976" s="513"/>
      <c r="J1976" s="244"/>
      <c r="K1976" s="244"/>
      <c r="L1976" s="513"/>
      <c r="M1976" s="244"/>
      <c r="N1976" s="244"/>
      <c r="O1976" s="244"/>
      <c r="P1976" s="244"/>
      <c r="Q1976" s="244"/>
      <c r="R1976" s="244"/>
      <c r="S1976" s="244"/>
      <c r="T1976" s="244"/>
      <c r="U1976" s="244"/>
      <c r="V1976" s="244"/>
      <c r="W1976" s="526"/>
      <c r="X1976" s="520"/>
      <c r="Y1976" s="244"/>
      <c r="AA1976" s="244"/>
      <c r="AC1976" s="244"/>
      <c r="AD1976" s="244"/>
      <c r="AE1976" s="244"/>
      <c r="AF1976" s="244"/>
    </row>
    <row r="1977" spans="4:32" x14ac:dyDescent="0.3">
      <c r="D1977" s="513"/>
      <c r="E1977" s="513"/>
      <c r="F1977" s="515"/>
      <c r="G1977" s="515"/>
      <c r="I1977" s="513"/>
      <c r="J1977" s="244"/>
      <c r="K1977" s="244"/>
      <c r="L1977" s="513"/>
      <c r="M1977" s="244"/>
      <c r="N1977" s="244"/>
      <c r="O1977" s="244"/>
      <c r="P1977" s="244"/>
      <c r="Q1977" s="244"/>
      <c r="R1977" s="244"/>
      <c r="S1977" s="244"/>
      <c r="T1977" s="244"/>
      <c r="U1977" s="244"/>
      <c r="V1977" s="244"/>
      <c r="W1977" s="526"/>
      <c r="X1977" s="520"/>
      <c r="Y1977" s="244"/>
      <c r="AA1977" s="244"/>
      <c r="AC1977" s="244"/>
      <c r="AD1977" s="244"/>
      <c r="AE1977" s="244"/>
      <c r="AF1977" s="244"/>
    </row>
    <row r="1978" spans="4:32" x14ac:dyDescent="0.3">
      <c r="D1978" s="513"/>
      <c r="E1978" s="513"/>
      <c r="F1978" s="515"/>
      <c r="G1978" s="515"/>
      <c r="I1978" s="513"/>
      <c r="J1978" s="244"/>
      <c r="K1978" s="244"/>
      <c r="L1978" s="513"/>
      <c r="M1978" s="244"/>
      <c r="N1978" s="244"/>
      <c r="O1978" s="244"/>
      <c r="P1978" s="244"/>
      <c r="Q1978" s="244"/>
      <c r="R1978" s="244"/>
      <c r="S1978" s="244"/>
      <c r="T1978" s="244"/>
      <c r="U1978" s="244"/>
      <c r="V1978" s="244"/>
      <c r="W1978" s="526"/>
      <c r="X1978" s="520"/>
      <c r="Y1978" s="244"/>
      <c r="AA1978" s="244"/>
      <c r="AC1978" s="244"/>
      <c r="AD1978" s="244"/>
      <c r="AE1978" s="244"/>
      <c r="AF1978" s="244"/>
    </row>
    <row r="1979" spans="4:32" x14ac:dyDescent="0.3">
      <c r="D1979" s="513"/>
      <c r="E1979" s="513"/>
      <c r="F1979" s="515"/>
      <c r="G1979" s="515"/>
      <c r="I1979" s="513"/>
      <c r="J1979" s="244"/>
      <c r="K1979" s="244"/>
      <c r="L1979" s="513"/>
      <c r="M1979" s="244"/>
      <c r="N1979" s="244"/>
      <c r="O1979" s="244"/>
      <c r="P1979" s="244"/>
      <c r="Q1979" s="244"/>
      <c r="R1979" s="244"/>
      <c r="S1979" s="244"/>
      <c r="T1979" s="244"/>
      <c r="U1979" s="244"/>
      <c r="V1979" s="244"/>
      <c r="W1979" s="526"/>
      <c r="X1979" s="520"/>
      <c r="Y1979" s="244"/>
      <c r="AA1979" s="244"/>
      <c r="AC1979" s="244"/>
      <c r="AD1979" s="244"/>
      <c r="AE1979" s="244"/>
      <c r="AF1979" s="244"/>
    </row>
    <row r="1980" spans="4:32" x14ac:dyDescent="0.3">
      <c r="D1980" s="513"/>
      <c r="E1980" s="513"/>
      <c r="F1980" s="515"/>
      <c r="G1980" s="515"/>
      <c r="I1980" s="513"/>
      <c r="J1980" s="244"/>
      <c r="K1980" s="244"/>
      <c r="L1980" s="513"/>
      <c r="M1980" s="244"/>
      <c r="N1980" s="244"/>
      <c r="O1980" s="244"/>
      <c r="P1980" s="244"/>
      <c r="Q1980" s="244"/>
      <c r="R1980" s="244"/>
      <c r="S1980" s="244"/>
      <c r="T1980" s="244"/>
      <c r="U1980" s="244"/>
      <c r="V1980" s="244"/>
      <c r="W1980" s="526"/>
      <c r="X1980" s="520"/>
      <c r="Y1980" s="244"/>
      <c r="AA1980" s="244"/>
      <c r="AC1980" s="244"/>
      <c r="AD1980" s="244"/>
      <c r="AE1980" s="244"/>
      <c r="AF1980" s="244"/>
    </row>
    <row r="1981" spans="4:32" x14ac:dyDescent="0.3">
      <c r="D1981" s="513"/>
      <c r="E1981" s="513"/>
      <c r="F1981" s="515"/>
      <c r="G1981" s="515"/>
      <c r="I1981" s="513"/>
      <c r="J1981" s="244"/>
      <c r="K1981" s="244"/>
      <c r="L1981" s="513"/>
      <c r="M1981" s="244"/>
      <c r="N1981" s="244"/>
      <c r="O1981" s="244"/>
      <c r="P1981" s="244"/>
      <c r="Q1981" s="244"/>
      <c r="R1981" s="244"/>
      <c r="S1981" s="244"/>
      <c r="T1981" s="244"/>
      <c r="U1981" s="244"/>
      <c r="V1981" s="244"/>
      <c r="W1981" s="526"/>
      <c r="X1981" s="520"/>
      <c r="Y1981" s="244"/>
      <c r="AA1981" s="244"/>
      <c r="AC1981" s="244"/>
      <c r="AD1981" s="244"/>
      <c r="AE1981" s="244"/>
      <c r="AF1981" s="244"/>
    </row>
    <row r="1982" spans="4:32" x14ac:dyDescent="0.3">
      <c r="D1982" s="513"/>
      <c r="E1982" s="513"/>
      <c r="F1982" s="515"/>
      <c r="G1982" s="515"/>
      <c r="I1982" s="513"/>
      <c r="J1982" s="244"/>
      <c r="K1982" s="244"/>
      <c r="L1982" s="513"/>
      <c r="M1982" s="244"/>
      <c r="N1982" s="244"/>
      <c r="O1982" s="244"/>
      <c r="P1982" s="244"/>
      <c r="Q1982" s="244"/>
      <c r="R1982" s="244"/>
      <c r="S1982" s="244"/>
      <c r="T1982" s="244"/>
      <c r="U1982" s="244"/>
      <c r="V1982" s="244"/>
      <c r="W1982" s="526"/>
      <c r="X1982" s="520"/>
      <c r="Y1982" s="244"/>
      <c r="AA1982" s="244"/>
      <c r="AC1982" s="244"/>
      <c r="AD1982" s="244"/>
      <c r="AE1982" s="244"/>
      <c r="AF1982" s="244"/>
    </row>
    <row r="1983" spans="4:32" x14ac:dyDescent="0.3">
      <c r="D1983" s="513"/>
      <c r="E1983" s="513"/>
      <c r="F1983" s="515"/>
      <c r="G1983" s="515"/>
      <c r="I1983" s="513"/>
      <c r="J1983" s="244"/>
      <c r="K1983" s="244"/>
      <c r="L1983" s="513"/>
      <c r="M1983" s="244"/>
      <c r="N1983" s="244"/>
      <c r="O1983" s="244"/>
      <c r="P1983" s="244"/>
      <c r="Q1983" s="244"/>
      <c r="R1983" s="244"/>
      <c r="S1983" s="244"/>
      <c r="T1983" s="244"/>
      <c r="U1983" s="244"/>
      <c r="V1983" s="244"/>
      <c r="W1983" s="526"/>
      <c r="X1983" s="520"/>
      <c r="Y1983" s="244"/>
      <c r="AA1983" s="244"/>
      <c r="AC1983" s="244"/>
      <c r="AD1983" s="244"/>
      <c r="AE1983" s="244"/>
      <c r="AF1983" s="244"/>
    </row>
    <row r="1984" spans="4:32" x14ac:dyDescent="0.3">
      <c r="D1984" s="513"/>
      <c r="E1984" s="513"/>
      <c r="F1984" s="515"/>
      <c r="G1984" s="515"/>
      <c r="I1984" s="513"/>
      <c r="J1984" s="244"/>
      <c r="K1984" s="244"/>
      <c r="L1984" s="513"/>
      <c r="M1984" s="244"/>
      <c r="N1984" s="244"/>
      <c r="O1984" s="244"/>
      <c r="P1984" s="244"/>
      <c r="Q1984" s="244"/>
      <c r="R1984" s="244"/>
      <c r="S1984" s="244"/>
      <c r="T1984" s="244"/>
      <c r="U1984" s="244"/>
      <c r="V1984" s="244"/>
      <c r="W1984" s="526"/>
      <c r="X1984" s="520"/>
      <c r="Y1984" s="244"/>
      <c r="AA1984" s="244"/>
      <c r="AC1984" s="244"/>
      <c r="AD1984" s="244"/>
      <c r="AE1984" s="244"/>
      <c r="AF1984" s="244"/>
    </row>
    <row r="1985" spans="4:32" x14ac:dyDescent="0.3">
      <c r="D1985" s="513"/>
      <c r="E1985" s="513"/>
      <c r="F1985" s="515"/>
      <c r="G1985" s="515"/>
      <c r="I1985" s="513"/>
      <c r="J1985" s="244"/>
      <c r="K1985" s="244"/>
      <c r="L1985" s="513"/>
      <c r="M1985" s="244"/>
      <c r="N1985" s="244"/>
      <c r="O1985" s="244"/>
      <c r="P1985" s="244"/>
      <c r="Q1985" s="244"/>
      <c r="R1985" s="244"/>
      <c r="S1985" s="244"/>
      <c r="T1985" s="244"/>
      <c r="U1985" s="244"/>
      <c r="V1985" s="244"/>
      <c r="W1985" s="526"/>
      <c r="X1985" s="520"/>
      <c r="Y1985" s="244"/>
      <c r="AA1985" s="244"/>
      <c r="AC1985" s="244"/>
      <c r="AD1985" s="244"/>
      <c r="AE1985" s="244"/>
      <c r="AF1985" s="244"/>
    </row>
    <row r="1986" spans="4:32" x14ac:dyDescent="0.3">
      <c r="D1986" s="513"/>
      <c r="E1986" s="513"/>
      <c r="F1986" s="515"/>
      <c r="G1986" s="515"/>
      <c r="I1986" s="513"/>
      <c r="J1986" s="244"/>
      <c r="K1986" s="244"/>
      <c r="L1986" s="513"/>
      <c r="M1986" s="244"/>
      <c r="N1986" s="244"/>
      <c r="O1986" s="244"/>
      <c r="P1986" s="244"/>
      <c r="Q1986" s="244"/>
      <c r="R1986" s="244"/>
      <c r="S1986" s="244"/>
      <c r="T1986" s="244"/>
      <c r="U1986" s="244"/>
      <c r="V1986" s="244"/>
      <c r="W1986" s="526"/>
      <c r="X1986" s="520"/>
      <c r="Y1986" s="244"/>
      <c r="AA1986" s="244"/>
      <c r="AC1986" s="244"/>
      <c r="AD1986" s="244"/>
      <c r="AE1986" s="244"/>
      <c r="AF1986" s="244"/>
    </row>
    <row r="1987" spans="4:32" x14ac:dyDescent="0.3">
      <c r="D1987" s="513"/>
      <c r="E1987" s="513"/>
      <c r="F1987" s="515"/>
      <c r="G1987" s="515"/>
      <c r="I1987" s="513"/>
      <c r="J1987" s="244"/>
      <c r="K1987" s="244"/>
      <c r="L1987" s="513"/>
      <c r="M1987" s="244"/>
      <c r="N1987" s="244"/>
      <c r="O1987" s="244"/>
      <c r="P1987" s="244"/>
      <c r="Q1987" s="244"/>
      <c r="R1987" s="244"/>
      <c r="S1987" s="244"/>
      <c r="T1987" s="244"/>
      <c r="U1987" s="244"/>
      <c r="V1987" s="244"/>
      <c r="W1987" s="526"/>
      <c r="X1987" s="520"/>
      <c r="Y1987" s="244"/>
      <c r="AA1987" s="244"/>
      <c r="AC1987" s="244"/>
      <c r="AD1987" s="244"/>
      <c r="AE1987" s="244"/>
      <c r="AF1987" s="244"/>
    </row>
    <row r="1988" spans="4:32" x14ac:dyDescent="0.3">
      <c r="D1988" s="513"/>
      <c r="E1988" s="513"/>
      <c r="F1988" s="515"/>
      <c r="G1988" s="515"/>
      <c r="I1988" s="513"/>
      <c r="J1988" s="244"/>
      <c r="K1988" s="244"/>
      <c r="L1988" s="513"/>
      <c r="M1988" s="244"/>
      <c r="N1988" s="244"/>
      <c r="O1988" s="244"/>
      <c r="P1988" s="244"/>
      <c r="Q1988" s="244"/>
      <c r="R1988" s="244"/>
      <c r="S1988" s="244"/>
      <c r="T1988" s="244"/>
      <c r="U1988" s="244"/>
      <c r="V1988" s="244"/>
      <c r="W1988" s="526"/>
      <c r="X1988" s="520"/>
      <c r="Y1988" s="244"/>
      <c r="AA1988" s="244"/>
      <c r="AC1988" s="244"/>
      <c r="AD1988" s="244"/>
      <c r="AE1988" s="244"/>
      <c r="AF1988" s="244"/>
    </row>
    <row r="1989" spans="4:32" x14ac:dyDescent="0.3">
      <c r="D1989" s="513"/>
      <c r="E1989" s="513"/>
      <c r="F1989" s="515"/>
      <c r="G1989" s="515"/>
      <c r="I1989" s="513"/>
      <c r="J1989" s="244"/>
      <c r="K1989" s="244"/>
      <c r="L1989" s="513"/>
      <c r="M1989" s="244"/>
      <c r="N1989" s="244"/>
      <c r="O1989" s="244"/>
      <c r="P1989" s="244"/>
      <c r="Q1989" s="244"/>
      <c r="R1989" s="244"/>
      <c r="S1989" s="244"/>
      <c r="T1989" s="244"/>
      <c r="U1989" s="244"/>
      <c r="V1989" s="244"/>
      <c r="W1989" s="526"/>
      <c r="X1989" s="520"/>
      <c r="Y1989" s="244"/>
      <c r="AA1989" s="244"/>
      <c r="AC1989" s="244"/>
      <c r="AD1989" s="244"/>
      <c r="AE1989" s="244"/>
      <c r="AF1989" s="244"/>
    </row>
    <row r="1990" spans="4:32" x14ac:dyDescent="0.3">
      <c r="D1990" s="513"/>
      <c r="E1990" s="513"/>
      <c r="F1990" s="515"/>
      <c r="G1990" s="515"/>
      <c r="I1990" s="513"/>
      <c r="J1990" s="244"/>
      <c r="K1990" s="244"/>
      <c r="L1990" s="513"/>
      <c r="M1990" s="244"/>
      <c r="N1990" s="244"/>
      <c r="O1990" s="244"/>
      <c r="P1990" s="244"/>
      <c r="Q1990" s="244"/>
      <c r="R1990" s="244"/>
      <c r="S1990" s="244"/>
      <c r="T1990" s="244"/>
      <c r="U1990" s="244"/>
      <c r="V1990" s="244"/>
      <c r="W1990" s="526"/>
      <c r="X1990" s="520"/>
      <c r="Y1990" s="244"/>
      <c r="AA1990" s="244"/>
      <c r="AC1990" s="244"/>
      <c r="AD1990" s="244"/>
      <c r="AE1990" s="244"/>
      <c r="AF1990" s="244"/>
    </row>
    <row r="1991" spans="4:32" x14ac:dyDescent="0.3">
      <c r="D1991" s="513"/>
      <c r="E1991" s="513"/>
      <c r="F1991" s="515"/>
      <c r="G1991" s="515"/>
      <c r="I1991" s="513"/>
      <c r="J1991" s="244"/>
      <c r="K1991" s="244"/>
      <c r="L1991" s="513"/>
      <c r="M1991" s="244"/>
      <c r="N1991" s="244"/>
      <c r="O1991" s="244"/>
      <c r="P1991" s="244"/>
      <c r="Q1991" s="244"/>
      <c r="R1991" s="244"/>
      <c r="S1991" s="244"/>
      <c r="T1991" s="244"/>
      <c r="U1991" s="244"/>
      <c r="V1991" s="244"/>
      <c r="W1991" s="526"/>
      <c r="X1991" s="520"/>
      <c r="Y1991" s="244"/>
      <c r="AA1991" s="244"/>
      <c r="AC1991" s="244"/>
      <c r="AD1991" s="244"/>
      <c r="AE1991" s="244"/>
      <c r="AF1991" s="244"/>
    </row>
    <row r="1992" spans="4:32" x14ac:dyDescent="0.3">
      <c r="D1992" s="513"/>
      <c r="E1992" s="513"/>
      <c r="F1992" s="515"/>
      <c r="G1992" s="515"/>
      <c r="I1992" s="513"/>
      <c r="J1992" s="244"/>
      <c r="K1992" s="244"/>
      <c r="L1992" s="513"/>
      <c r="M1992" s="244"/>
      <c r="N1992" s="244"/>
      <c r="O1992" s="244"/>
      <c r="P1992" s="244"/>
      <c r="Q1992" s="244"/>
      <c r="R1992" s="244"/>
      <c r="S1992" s="244"/>
      <c r="T1992" s="244"/>
      <c r="U1992" s="244"/>
      <c r="V1992" s="244"/>
      <c r="W1992" s="526"/>
      <c r="X1992" s="520"/>
      <c r="Y1992" s="244"/>
      <c r="AA1992" s="244"/>
      <c r="AC1992" s="244"/>
      <c r="AD1992" s="244"/>
      <c r="AE1992" s="244"/>
      <c r="AF1992" s="244"/>
    </row>
    <row r="1993" spans="4:32" x14ac:dyDescent="0.3">
      <c r="D1993" s="513"/>
      <c r="E1993" s="513"/>
      <c r="F1993" s="515"/>
      <c r="G1993" s="515"/>
      <c r="I1993" s="513"/>
      <c r="J1993" s="244"/>
      <c r="K1993" s="244"/>
      <c r="L1993" s="513"/>
      <c r="M1993" s="244"/>
      <c r="N1993" s="244"/>
      <c r="O1993" s="244"/>
      <c r="P1993" s="244"/>
      <c r="Q1993" s="244"/>
      <c r="R1993" s="244"/>
      <c r="S1993" s="244"/>
      <c r="T1993" s="244"/>
      <c r="U1993" s="244"/>
      <c r="V1993" s="244"/>
      <c r="W1993" s="526"/>
      <c r="X1993" s="520"/>
      <c r="Y1993" s="244"/>
      <c r="AA1993" s="244"/>
      <c r="AC1993" s="244"/>
      <c r="AD1993" s="244"/>
      <c r="AE1993" s="244"/>
      <c r="AF1993" s="244"/>
    </row>
    <row r="1994" spans="4:32" x14ac:dyDescent="0.3">
      <c r="D1994" s="513"/>
      <c r="E1994" s="513"/>
      <c r="F1994" s="515"/>
      <c r="G1994" s="515"/>
      <c r="I1994" s="513"/>
      <c r="J1994" s="244"/>
      <c r="K1994" s="244"/>
      <c r="L1994" s="513"/>
      <c r="M1994" s="244"/>
      <c r="N1994" s="244"/>
      <c r="O1994" s="244"/>
      <c r="P1994" s="244"/>
      <c r="Q1994" s="244"/>
      <c r="R1994" s="244"/>
      <c r="S1994" s="244"/>
      <c r="T1994" s="244"/>
      <c r="U1994" s="244"/>
      <c r="V1994" s="244"/>
      <c r="W1994" s="526"/>
      <c r="X1994" s="520"/>
      <c r="Y1994" s="244"/>
      <c r="AA1994" s="244"/>
      <c r="AC1994" s="244"/>
      <c r="AD1994" s="244"/>
      <c r="AE1994" s="244"/>
      <c r="AF1994" s="244"/>
    </row>
    <row r="1995" spans="4:32" x14ac:dyDescent="0.3">
      <c r="D1995" s="513"/>
      <c r="E1995" s="513"/>
      <c r="F1995" s="515"/>
      <c r="G1995" s="515"/>
      <c r="I1995" s="513"/>
      <c r="J1995" s="244"/>
      <c r="K1995" s="244"/>
      <c r="L1995" s="513"/>
      <c r="M1995" s="244"/>
      <c r="N1995" s="244"/>
      <c r="O1995" s="244"/>
      <c r="P1995" s="244"/>
      <c r="Q1995" s="244"/>
      <c r="R1995" s="244"/>
      <c r="S1995" s="244"/>
      <c r="T1995" s="244"/>
      <c r="U1995" s="244"/>
      <c r="V1995" s="244"/>
      <c r="W1995" s="526"/>
      <c r="X1995" s="520"/>
      <c r="Y1995" s="244"/>
      <c r="AA1995" s="244"/>
      <c r="AC1995" s="244"/>
      <c r="AD1995" s="244"/>
      <c r="AE1995" s="244"/>
      <c r="AF1995" s="244"/>
    </row>
    <row r="1996" spans="4:32" x14ac:dyDescent="0.3">
      <c r="D1996" s="513"/>
      <c r="E1996" s="513"/>
      <c r="F1996" s="515"/>
      <c r="G1996" s="515"/>
      <c r="I1996" s="513"/>
      <c r="J1996" s="244"/>
      <c r="K1996" s="244"/>
      <c r="L1996" s="513"/>
      <c r="M1996" s="244"/>
      <c r="N1996" s="244"/>
      <c r="O1996" s="244"/>
      <c r="P1996" s="244"/>
      <c r="Q1996" s="244"/>
      <c r="R1996" s="244"/>
      <c r="S1996" s="244"/>
      <c r="T1996" s="244"/>
      <c r="U1996" s="244"/>
      <c r="V1996" s="244"/>
      <c r="W1996" s="526"/>
      <c r="X1996" s="520"/>
      <c r="Y1996" s="244"/>
      <c r="AA1996" s="244"/>
      <c r="AC1996" s="244"/>
      <c r="AD1996" s="244"/>
      <c r="AE1996" s="244"/>
      <c r="AF1996" s="244"/>
    </row>
    <row r="1997" spans="4:32" x14ac:dyDescent="0.3">
      <c r="D1997" s="513"/>
      <c r="E1997" s="513"/>
      <c r="F1997" s="515"/>
      <c r="G1997" s="515"/>
      <c r="I1997" s="513"/>
      <c r="J1997" s="244"/>
      <c r="K1997" s="244"/>
      <c r="L1997" s="513"/>
      <c r="M1997" s="244"/>
      <c r="N1997" s="244"/>
      <c r="O1997" s="244"/>
      <c r="P1997" s="244"/>
      <c r="Q1997" s="244"/>
      <c r="R1997" s="244"/>
      <c r="S1997" s="244"/>
      <c r="T1997" s="244"/>
      <c r="U1997" s="244"/>
      <c r="V1997" s="244"/>
      <c r="W1997" s="526"/>
      <c r="X1997" s="520"/>
      <c r="Y1997" s="244"/>
      <c r="AA1997" s="244"/>
      <c r="AC1997" s="244"/>
      <c r="AD1997" s="244"/>
      <c r="AE1997" s="244"/>
      <c r="AF1997" s="244"/>
    </row>
    <row r="1998" spans="4:32" x14ac:dyDescent="0.3">
      <c r="D1998" s="513"/>
      <c r="E1998" s="513"/>
      <c r="F1998" s="515"/>
      <c r="G1998" s="515"/>
      <c r="I1998" s="513"/>
      <c r="J1998" s="244"/>
      <c r="K1998" s="244"/>
      <c r="L1998" s="513"/>
      <c r="M1998" s="244"/>
      <c r="N1998" s="244"/>
      <c r="O1998" s="244"/>
      <c r="P1998" s="244"/>
      <c r="Q1998" s="244"/>
      <c r="R1998" s="244"/>
      <c r="S1998" s="244"/>
      <c r="T1998" s="244"/>
      <c r="U1998" s="244"/>
      <c r="V1998" s="244"/>
      <c r="W1998" s="526"/>
      <c r="X1998" s="520"/>
      <c r="Y1998" s="244"/>
      <c r="AA1998" s="244"/>
      <c r="AC1998" s="244"/>
      <c r="AD1998" s="244"/>
      <c r="AE1998" s="244"/>
      <c r="AF1998" s="244"/>
    </row>
    <row r="1999" spans="4:32" x14ac:dyDescent="0.3">
      <c r="D1999" s="513"/>
      <c r="E1999" s="513"/>
      <c r="F1999" s="515"/>
      <c r="G1999" s="515"/>
      <c r="I1999" s="513"/>
      <c r="J1999" s="244"/>
      <c r="K1999" s="244"/>
      <c r="L1999" s="513"/>
      <c r="M1999" s="244"/>
      <c r="N1999" s="244"/>
      <c r="O1999" s="244"/>
      <c r="P1999" s="244"/>
      <c r="Q1999" s="244"/>
      <c r="R1999" s="244"/>
      <c r="S1999" s="244"/>
      <c r="T1999" s="244"/>
      <c r="U1999" s="244"/>
      <c r="V1999" s="244"/>
      <c r="W1999" s="526"/>
      <c r="X1999" s="520"/>
      <c r="Y1999" s="244"/>
      <c r="AA1999" s="244"/>
      <c r="AC1999" s="244"/>
      <c r="AD1999" s="244"/>
      <c r="AE1999" s="244"/>
      <c r="AF1999" s="244"/>
    </row>
    <row r="2000" spans="4:32" x14ac:dyDescent="0.3">
      <c r="D2000" s="513"/>
      <c r="E2000" s="513"/>
      <c r="F2000" s="515"/>
      <c r="G2000" s="515"/>
      <c r="I2000" s="513"/>
      <c r="J2000" s="244"/>
      <c r="K2000" s="244"/>
      <c r="L2000" s="513"/>
      <c r="M2000" s="244"/>
      <c r="N2000" s="244"/>
      <c r="O2000" s="244"/>
      <c r="P2000" s="244"/>
      <c r="Q2000" s="244"/>
      <c r="R2000" s="244"/>
      <c r="S2000" s="244"/>
      <c r="T2000" s="244"/>
      <c r="U2000" s="244"/>
      <c r="V2000" s="244"/>
      <c r="W2000" s="526"/>
      <c r="X2000" s="520"/>
      <c r="Y2000" s="244"/>
      <c r="AA2000" s="244"/>
      <c r="AC2000" s="244"/>
      <c r="AD2000" s="244"/>
      <c r="AE2000" s="244"/>
      <c r="AF2000" s="244"/>
    </row>
    <row r="2001" spans="4:32" x14ac:dyDescent="0.3">
      <c r="D2001" s="513"/>
      <c r="E2001" s="513"/>
      <c r="F2001" s="515"/>
      <c r="G2001" s="515"/>
      <c r="I2001" s="513"/>
      <c r="J2001" s="244"/>
      <c r="K2001" s="244"/>
      <c r="L2001" s="513"/>
      <c r="M2001" s="244"/>
      <c r="N2001" s="244"/>
      <c r="O2001" s="244"/>
      <c r="P2001" s="244"/>
      <c r="Q2001" s="244"/>
      <c r="R2001" s="244"/>
      <c r="S2001" s="244"/>
      <c r="T2001" s="244"/>
      <c r="U2001" s="244"/>
      <c r="V2001" s="244"/>
      <c r="W2001" s="526"/>
      <c r="X2001" s="520"/>
      <c r="Y2001" s="244"/>
      <c r="AA2001" s="244"/>
      <c r="AC2001" s="244"/>
      <c r="AD2001" s="244"/>
      <c r="AE2001" s="244"/>
      <c r="AF2001" s="244"/>
    </row>
    <row r="2002" spans="4:32" x14ac:dyDescent="0.3">
      <c r="D2002" s="513"/>
      <c r="E2002" s="513"/>
      <c r="F2002" s="515"/>
      <c r="G2002" s="515"/>
      <c r="I2002" s="513"/>
      <c r="J2002" s="244"/>
      <c r="K2002" s="244"/>
      <c r="L2002" s="513"/>
      <c r="M2002" s="244"/>
      <c r="N2002" s="244"/>
      <c r="O2002" s="244"/>
      <c r="P2002" s="244"/>
      <c r="Q2002" s="244"/>
      <c r="R2002" s="244"/>
      <c r="S2002" s="244"/>
      <c r="T2002" s="244"/>
      <c r="U2002" s="244"/>
      <c r="V2002" s="244"/>
      <c r="W2002" s="526"/>
      <c r="X2002" s="520"/>
      <c r="Y2002" s="244"/>
      <c r="AA2002" s="244"/>
      <c r="AC2002" s="244"/>
      <c r="AD2002" s="244"/>
      <c r="AE2002" s="244"/>
      <c r="AF2002" s="244"/>
    </row>
    <row r="2003" spans="4:32" x14ac:dyDescent="0.3">
      <c r="D2003" s="513"/>
      <c r="E2003" s="513"/>
      <c r="F2003" s="515"/>
      <c r="G2003" s="515"/>
      <c r="I2003" s="513"/>
      <c r="J2003" s="244"/>
      <c r="K2003" s="244"/>
      <c r="L2003" s="513"/>
      <c r="M2003" s="244"/>
      <c r="N2003" s="244"/>
      <c r="O2003" s="244"/>
      <c r="P2003" s="244"/>
      <c r="Q2003" s="244"/>
      <c r="R2003" s="244"/>
      <c r="S2003" s="244"/>
      <c r="T2003" s="244"/>
      <c r="U2003" s="244"/>
      <c r="V2003" s="244"/>
      <c r="W2003" s="526"/>
      <c r="X2003" s="520"/>
      <c r="Y2003" s="244"/>
      <c r="AA2003" s="244"/>
      <c r="AC2003" s="244"/>
      <c r="AD2003" s="244"/>
      <c r="AE2003" s="244"/>
      <c r="AF2003" s="244"/>
    </row>
    <row r="2004" spans="4:32" x14ac:dyDescent="0.3">
      <c r="D2004" s="513"/>
      <c r="E2004" s="513"/>
      <c r="F2004" s="515"/>
      <c r="G2004" s="515"/>
      <c r="I2004" s="513"/>
      <c r="J2004" s="244"/>
      <c r="K2004" s="244"/>
      <c r="L2004" s="513"/>
      <c r="M2004" s="244"/>
      <c r="N2004" s="244"/>
      <c r="O2004" s="244"/>
      <c r="P2004" s="244"/>
      <c r="Q2004" s="244"/>
      <c r="R2004" s="244"/>
      <c r="S2004" s="244"/>
      <c r="T2004" s="244"/>
      <c r="U2004" s="244"/>
      <c r="V2004" s="244"/>
      <c r="W2004" s="526"/>
      <c r="X2004" s="520"/>
      <c r="Y2004" s="244"/>
      <c r="AA2004" s="244"/>
      <c r="AC2004" s="244"/>
      <c r="AD2004" s="244"/>
      <c r="AE2004" s="244"/>
      <c r="AF2004" s="244"/>
    </row>
    <row r="2005" spans="4:32" x14ac:dyDescent="0.3">
      <c r="D2005" s="513"/>
      <c r="E2005" s="513"/>
      <c r="F2005" s="515"/>
      <c r="G2005" s="515"/>
      <c r="I2005" s="513"/>
      <c r="J2005" s="244"/>
      <c r="K2005" s="244"/>
      <c r="L2005" s="513"/>
      <c r="M2005" s="244"/>
      <c r="N2005" s="244"/>
      <c r="O2005" s="244"/>
      <c r="P2005" s="244"/>
      <c r="Q2005" s="244"/>
      <c r="R2005" s="244"/>
      <c r="S2005" s="244"/>
      <c r="T2005" s="244"/>
      <c r="U2005" s="244"/>
      <c r="V2005" s="244"/>
      <c r="W2005" s="526"/>
      <c r="X2005" s="520"/>
      <c r="Y2005" s="244"/>
      <c r="AA2005" s="244"/>
      <c r="AC2005" s="244"/>
      <c r="AD2005" s="244"/>
      <c r="AE2005" s="244"/>
      <c r="AF2005" s="244"/>
    </row>
    <row r="2006" spans="4:32" x14ac:dyDescent="0.3">
      <c r="D2006" s="513"/>
      <c r="E2006" s="513"/>
      <c r="F2006" s="515"/>
      <c r="G2006" s="515"/>
      <c r="I2006" s="513"/>
      <c r="J2006" s="244"/>
      <c r="K2006" s="244"/>
      <c r="L2006" s="513"/>
      <c r="M2006" s="244"/>
      <c r="N2006" s="244"/>
      <c r="O2006" s="244"/>
      <c r="P2006" s="244"/>
      <c r="Q2006" s="244"/>
      <c r="R2006" s="244"/>
      <c r="S2006" s="244"/>
      <c r="T2006" s="244"/>
      <c r="U2006" s="244"/>
      <c r="V2006" s="244"/>
      <c r="W2006" s="526"/>
      <c r="X2006" s="520"/>
      <c r="Y2006" s="244"/>
      <c r="AA2006" s="244"/>
      <c r="AC2006" s="244"/>
      <c r="AD2006" s="244"/>
      <c r="AE2006" s="244"/>
      <c r="AF2006" s="244"/>
    </row>
    <row r="2007" spans="4:32" x14ac:dyDescent="0.3">
      <c r="D2007" s="513"/>
      <c r="E2007" s="513"/>
      <c r="F2007" s="515"/>
      <c r="G2007" s="515"/>
      <c r="I2007" s="513"/>
      <c r="J2007" s="244"/>
      <c r="K2007" s="244"/>
      <c r="L2007" s="513"/>
      <c r="M2007" s="244"/>
      <c r="N2007" s="244"/>
      <c r="O2007" s="244"/>
      <c r="P2007" s="244"/>
      <c r="Q2007" s="244"/>
      <c r="R2007" s="244"/>
      <c r="S2007" s="244"/>
      <c r="T2007" s="244"/>
      <c r="U2007" s="244"/>
      <c r="V2007" s="244"/>
      <c r="W2007" s="526"/>
      <c r="X2007" s="520"/>
      <c r="Y2007" s="244"/>
      <c r="AA2007" s="244"/>
      <c r="AC2007" s="244"/>
      <c r="AD2007" s="244"/>
      <c r="AE2007" s="244"/>
      <c r="AF2007" s="244"/>
    </row>
    <row r="2008" spans="4:32" x14ac:dyDescent="0.3">
      <c r="D2008" s="513"/>
      <c r="E2008" s="513"/>
      <c r="F2008" s="515"/>
      <c r="G2008" s="515"/>
      <c r="I2008" s="513"/>
      <c r="J2008" s="244"/>
      <c r="K2008" s="244"/>
      <c r="L2008" s="513"/>
      <c r="M2008" s="244"/>
      <c r="N2008" s="244"/>
      <c r="O2008" s="244"/>
      <c r="P2008" s="244"/>
      <c r="Q2008" s="244"/>
      <c r="R2008" s="244"/>
      <c r="S2008" s="244"/>
      <c r="T2008" s="244"/>
      <c r="U2008" s="244"/>
      <c r="V2008" s="244"/>
      <c r="W2008" s="526"/>
      <c r="X2008" s="520"/>
      <c r="Y2008" s="244"/>
      <c r="AA2008" s="244"/>
      <c r="AC2008" s="244"/>
      <c r="AD2008" s="244"/>
      <c r="AE2008" s="244"/>
      <c r="AF2008" s="244"/>
    </row>
    <row r="2009" spans="4:32" x14ac:dyDescent="0.3">
      <c r="D2009" s="513"/>
      <c r="E2009" s="513"/>
      <c r="F2009" s="515"/>
      <c r="G2009" s="515"/>
      <c r="I2009" s="513"/>
      <c r="J2009" s="244"/>
      <c r="K2009" s="244"/>
      <c r="L2009" s="513"/>
      <c r="M2009" s="244"/>
      <c r="N2009" s="244"/>
      <c r="O2009" s="244"/>
      <c r="P2009" s="244"/>
      <c r="Q2009" s="244"/>
      <c r="R2009" s="244"/>
      <c r="S2009" s="244"/>
      <c r="T2009" s="244"/>
      <c r="U2009" s="244"/>
      <c r="V2009" s="244"/>
      <c r="W2009" s="526"/>
      <c r="X2009" s="520"/>
      <c r="Y2009" s="244"/>
      <c r="AA2009" s="244"/>
      <c r="AC2009" s="244"/>
      <c r="AD2009" s="244"/>
      <c r="AE2009" s="244"/>
      <c r="AF2009" s="244"/>
    </row>
    <row r="2010" spans="4:32" x14ac:dyDescent="0.3">
      <c r="D2010" s="513"/>
      <c r="E2010" s="513"/>
      <c r="F2010" s="515"/>
      <c r="G2010" s="515"/>
      <c r="I2010" s="513"/>
      <c r="J2010" s="244"/>
      <c r="K2010" s="244"/>
      <c r="L2010" s="513"/>
      <c r="M2010" s="244"/>
      <c r="N2010" s="244"/>
      <c r="O2010" s="244"/>
      <c r="P2010" s="244"/>
      <c r="Q2010" s="244"/>
      <c r="R2010" s="244"/>
      <c r="S2010" s="244"/>
      <c r="T2010" s="244"/>
      <c r="U2010" s="244"/>
      <c r="V2010" s="244"/>
      <c r="W2010" s="526"/>
      <c r="X2010" s="520"/>
      <c r="Y2010" s="244"/>
      <c r="AA2010" s="244"/>
      <c r="AC2010" s="244"/>
      <c r="AD2010" s="244"/>
      <c r="AE2010" s="244"/>
      <c r="AF2010" s="244"/>
    </row>
    <row r="2011" spans="4:32" x14ac:dyDescent="0.3">
      <c r="D2011" s="513"/>
      <c r="E2011" s="513"/>
      <c r="F2011" s="515"/>
      <c r="G2011" s="515"/>
      <c r="I2011" s="513"/>
      <c r="J2011" s="244"/>
      <c r="K2011" s="244"/>
      <c r="L2011" s="513"/>
      <c r="M2011" s="244"/>
      <c r="N2011" s="244"/>
      <c r="O2011" s="244"/>
      <c r="P2011" s="244"/>
      <c r="Q2011" s="244"/>
      <c r="R2011" s="244"/>
      <c r="S2011" s="244"/>
      <c r="T2011" s="244"/>
      <c r="U2011" s="244"/>
      <c r="V2011" s="244"/>
      <c r="W2011" s="526"/>
      <c r="X2011" s="520"/>
      <c r="Y2011" s="244"/>
      <c r="AA2011" s="244"/>
      <c r="AC2011" s="244"/>
      <c r="AD2011" s="244"/>
      <c r="AE2011" s="244"/>
      <c r="AF2011" s="244"/>
    </row>
    <row r="2012" spans="4:32" x14ac:dyDescent="0.3">
      <c r="D2012" s="513"/>
      <c r="E2012" s="513"/>
      <c r="F2012" s="515"/>
      <c r="G2012" s="515"/>
      <c r="I2012" s="513"/>
      <c r="J2012" s="244"/>
      <c r="K2012" s="244"/>
      <c r="L2012" s="513"/>
      <c r="M2012" s="244"/>
      <c r="N2012" s="244"/>
      <c r="O2012" s="244"/>
      <c r="P2012" s="244"/>
      <c r="Q2012" s="244"/>
      <c r="R2012" s="244"/>
      <c r="S2012" s="244"/>
      <c r="T2012" s="244"/>
      <c r="U2012" s="244"/>
      <c r="V2012" s="244"/>
      <c r="W2012" s="526"/>
      <c r="X2012" s="520"/>
      <c r="Y2012" s="244"/>
      <c r="AA2012" s="244"/>
      <c r="AC2012" s="244"/>
      <c r="AD2012" s="244"/>
      <c r="AE2012" s="244"/>
      <c r="AF2012" s="244"/>
    </row>
    <row r="2013" spans="4:32" x14ac:dyDescent="0.3">
      <c r="D2013" s="513"/>
      <c r="E2013" s="513"/>
      <c r="F2013" s="515"/>
      <c r="G2013" s="515"/>
      <c r="I2013" s="513"/>
      <c r="J2013" s="244"/>
      <c r="K2013" s="244"/>
      <c r="L2013" s="513"/>
      <c r="M2013" s="244"/>
      <c r="N2013" s="244"/>
      <c r="O2013" s="244"/>
      <c r="P2013" s="244"/>
      <c r="Q2013" s="244"/>
      <c r="R2013" s="244"/>
      <c r="S2013" s="244"/>
      <c r="T2013" s="244"/>
      <c r="U2013" s="244"/>
      <c r="V2013" s="244"/>
      <c r="W2013" s="526"/>
      <c r="X2013" s="520"/>
      <c r="Y2013" s="244"/>
      <c r="AA2013" s="244"/>
      <c r="AC2013" s="244"/>
      <c r="AD2013" s="244"/>
      <c r="AE2013" s="244"/>
      <c r="AF2013" s="244"/>
    </row>
    <row r="2014" spans="4:32" x14ac:dyDescent="0.3">
      <c r="D2014" s="513"/>
      <c r="E2014" s="513"/>
      <c r="F2014" s="515"/>
      <c r="G2014" s="515"/>
      <c r="I2014" s="513"/>
      <c r="J2014" s="244"/>
      <c r="K2014" s="244"/>
      <c r="L2014" s="513"/>
      <c r="M2014" s="244"/>
      <c r="N2014" s="244"/>
      <c r="O2014" s="244"/>
      <c r="P2014" s="244"/>
      <c r="Q2014" s="244"/>
      <c r="R2014" s="244"/>
      <c r="S2014" s="244"/>
      <c r="T2014" s="244"/>
      <c r="U2014" s="244"/>
      <c r="V2014" s="244"/>
      <c r="W2014" s="526"/>
      <c r="X2014" s="520"/>
      <c r="Y2014" s="244"/>
      <c r="AA2014" s="244"/>
      <c r="AC2014" s="244"/>
      <c r="AD2014" s="244"/>
      <c r="AE2014" s="244"/>
      <c r="AF2014" s="244"/>
    </row>
    <row r="2015" spans="4:32" x14ac:dyDescent="0.3">
      <c r="D2015" s="513"/>
      <c r="E2015" s="513"/>
      <c r="F2015" s="515"/>
      <c r="G2015" s="515"/>
      <c r="I2015" s="513"/>
      <c r="J2015" s="244"/>
      <c r="K2015" s="244"/>
      <c r="L2015" s="513"/>
      <c r="M2015" s="244"/>
      <c r="N2015" s="244"/>
      <c r="O2015" s="244"/>
      <c r="P2015" s="244"/>
      <c r="Q2015" s="244"/>
      <c r="R2015" s="244"/>
      <c r="S2015" s="244"/>
      <c r="T2015" s="244"/>
      <c r="U2015" s="244"/>
      <c r="V2015" s="244"/>
      <c r="W2015" s="526"/>
      <c r="X2015" s="520"/>
      <c r="Y2015" s="244"/>
      <c r="AA2015" s="244"/>
      <c r="AC2015" s="244"/>
      <c r="AD2015" s="244"/>
      <c r="AE2015" s="244"/>
      <c r="AF2015" s="244"/>
    </row>
    <row r="2016" spans="4:32" x14ac:dyDescent="0.3">
      <c r="D2016" s="513"/>
      <c r="E2016" s="513"/>
      <c r="F2016" s="515"/>
      <c r="G2016" s="515"/>
      <c r="I2016" s="513"/>
      <c r="J2016" s="244"/>
      <c r="K2016" s="244"/>
      <c r="L2016" s="513"/>
      <c r="M2016" s="244"/>
      <c r="N2016" s="244"/>
      <c r="O2016" s="244"/>
      <c r="P2016" s="244"/>
      <c r="Q2016" s="244"/>
      <c r="R2016" s="244"/>
      <c r="S2016" s="244"/>
      <c r="T2016" s="244"/>
      <c r="U2016" s="244"/>
      <c r="V2016" s="244"/>
      <c r="W2016" s="526"/>
      <c r="X2016" s="520"/>
      <c r="Y2016" s="244"/>
      <c r="AA2016" s="244"/>
      <c r="AC2016" s="244"/>
      <c r="AD2016" s="244"/>
      <c r="AE2016" s="244"/>
      <c r="AF2016" s="244"/>
    </row>
    <row r="2017" spans="4:32" x14ac:dyDescent="0.3">
      <c r="D2017" s="513"/>
      <c r="E2017" s="513"/>
      <c r="F2017" s="515"/>
      <c r="G2017" s="515"/>
      <c r="I2017" s="513"/>
      <c r="J2017" s="244"/>
      <c r="K2017" s="244"/>
      <c r="L2017" s="513"/>
      <c r="M2017" s="244"/>
      <c r="N2017" s="244"/>
      <c r="O2017" s="244"/>
      <c r="P2017" s="244"/>
      <c r="Q2017" s="244"/>
      <c r="R2017" s="244"/>
      <c r="S2017" s="244"/>
      <c r="T2017" s="244"/>
      <c r="U2017" s="244"/>
      <c r="V2017" s="244"/>
      <c r="W2017" s="526"/>
      <c r="X2017" s="520"/>
      <c r="Y2017" s="244"/>
      <c r="AA2017" s="244"/>
      <c r="AC2017" s="244"/>
      <c r="AD2017" s="244"/>
      <c r="AE2017" s="244"/>
      <c r="AF2017" s="244"/>
    </row>
    <row r="2018" spans="4:32" x14ac:dyDescent="0.3">
      <c r="D2018" s="513"/>
      <c r="E2018" s="513"/>
      <c r="F2018" s="515"/>
      <c r="G2018" s="515"/>
      <c r="I2018" s="513"/>
      <c r="J2018" s="244"/>
      <c r="K2018" s="244"/>
      <c r="L2018" s="513"/>
      <c r="M2018" s="244"/>
      <c r="N2018" s="244"/>
      <c r="O2018" s="244"/>
      <c r="P2018" s="244"/>
      <c r="Q2018" s="244"/>
      <c r="R2018" s="244"/>
      <c r="S2018" s="244"/>
      <c r="T2018" s="244"/>
      <c r="U2018" s="244"/>
      <c r="V2018" s="244"/>
      <c r="W2018" s="526"/>
      <c r="X2018" s="520"/>
      <c r="Y2018" s="244"/>
      <c r="AA2018" s="244"/>
      <c r="AC2018" s="244"/>
      <c r="AD2018" s="244"/>
      <c r="AE2018" s="244"/>
      <c r="AF2018" s="244"/>
    </row>
    <row r="2019" spans="4:32" x14ac:dyDescent="0.3">
      <c r="D2019" s="513"/>
      <c r="E2019" s="513"/>
      <c r="F2019" s="515"/>
      <c r="G2019" s="515"/>
      <c r="I2019" s="513"/>
      <c r="J2019" s="244"/>
      <c r="K2019" s="244"/>
      <c r="L2019" s="513"/>
      <c r="M2019" s="244"/>
      <c r="N2019" s="244"/>
      <c r="O2019" s="244"/>
      <c r="P2019" s="244"/>
      <c r="Q2019" s="244"/>
      <c r="R2019" s="244"/>
      <c r="S2019" s="244"/>
      <c r="T2019" s="244"/>
      <c r="U2019" s="244"/>
      <c r="V2019" s="244"/>
      <c r="W2019" s="526"/>
      <c r="X2019" s="520"/>
      <c r="Y2019" s="244"/>
      <c r="AA2019" s="244"/>
      <c r="AC2019" s="244"/>
      <c r="AD2019" s="244"/>
      <c r="AE2019" s="244"/>
      <c r="AF2019" s="244"/>
    </row>
    <row r="2020" spans="4:32" x14ac:dyDescent="0.3">
      <c r="D2020" s="513"/>
      <c r="E2020" s="513"/>
      <c r="F2020" s="515"/>
      <c r="G2020" s="515"/>
      <c r="I2020" s="513"/>
      <c r="J2020" s="244"/>
      <c r="K2020" s="244"/>
      <c r="L2020" s="513"/>
      <c r="M2020" s="244"/>
      <c r="N2020" s="244"/>
      <c r="O2020" s="244"/>
      <c r="P2020" s="244"/>
      <c r="Q2020" s="244"/>
      <c r="R2020" s="244"/>
      <c r="S2020" s="244"/>
      <c r="T2020" s="244"/>
      <c r="U2020" s="244"/>
      <c r="V2020" s="244"/>
      <c r="W2020" s="526"/>
      <c r="X2020" s="520"/>
      <c r="Y2020" s="244"/>
      <c r="AA2020" s="244"/>
      <c r="AC2020" s="244"/>
      <c r="AD2020" s="244"/>
      <c r="AE2020" s="244"/>
      <c r="AF2020" s="244"/>
    </row>
    <row r="2021" spans="4:32" x14ac:dyDescent="0.3">
      <c r="D2021" s="513"/>
      <c r="E2021" s="513"/>
      <c r="F2021" s="515"/>
      <c r="G2021" s="515"/>
      <c r="I2021" s="513"/>
      <c r="J2021" s="244"/>
      <c r="K2021" s="244"/>
      <c r="L2021" s="513"/>
      <c r="M2021" s="244"/>
      <c r="N2021" s="244"/>
      <c r="O2021" s="244"/>
      <c r="P2021" s="244"/>
      <c r="Q2021" s="244"/>
      <c r="R2021" s="244"/>
      <c r="S2021" s="244"/>
      <c r="T2021" s="244"/>
      <c r="U2021" s="244"/>
      <c r="V2021" s="244"/>
      <c r="W2021" s="526"/>
      <c r="X2021" s="520"/>
      <c r="Y2021" s="244"/>
      <c r="AA2021" s="244"/>
      <c r="AC2021" s="244"/>
      <c r="AD2021" s="244"/>
      <c r="AE2021" s="244"/>
      <c r="AF2021" s="244"/>
    </row>
    <row r="2022" spans="4:32" x14ac:dyDescent="0.3">
      <c r="D2022" s="513"/>
      <c r="E2022" s="513"/>
      <c r="F2022" s="515"/>
      <c r="G2022" s="515"/>
      <c r="I2022" s="513"/>
      <c r="J2022" s="244"/>
      <c r="K2022" s="244"/>
      <c r="L2022" s="513"/>
      <c r="M2022" s="244"/>
      <c r="N2022" s="244"/>
      <c r="O2022" s="244"/>
      <c r="P2022" s="244"/>
      <c r="Q2022" s="244"/>
      <c r="R2022" s="244"/>
      <c r="S2022" s="244"/>
      <c r="T2022" s="244"/>
      <c r="U2022" s="244"/>
      <c r="V2022" s="244"/>
      <c r="W2022" s="526"/>
      <c r="X2022" s="520"/>
      <c r="Y2022" s="244"/>
      <c r="AA2022" s="244"/>
      <c r="AC2022" s="244"/>
      <c r="AD2022" s="244"/>
      <c r="AE2022" s="244"/>
      <c r="AF2022" s="244"/>
    </row>
    <row r="2023" spans="4:32" x14ac:dyDescent="0.3">
      <c r="D2023" s="513"/>
      <c r="E2023" s="513"/>
      <c r="F2023" s="515"/>
      <c r="G2023" s="515"/>
      <c r="I2023" s="513"/>
      <c r="J2023" s="244"/>
      <c r="K2023" s="244"/>
      <c r="L2023" s="513"/>
      <c r="M2023" s="244"/>
      <c r="N2023" s="244"/>
      <c r="O2023" s="244"/>
      <c r="P2023" s="244"/>
      <c r="Q2023" s="244"/>
      <c r="R2023" s="244"/>
      <c r="S2023" s="244"/>
      <c r="T2023" s="244"/>
      <c r="U2023" s="244"/>
      <c r="V2023" s="244"/>
      <c r="W2023" s="526"/>
      <c r="X2023" s="520"/>
      <c r="Y2023" s="244"/>
      <c r="AA2023" s="244"/>
      <c r="AC2023" s="244"/>
      <c r="AD2023" s="244"/>
      <c r="AE2023" s="244"/>
      <c r="AF2023" s="244"/>
    </row>
    <row r="2024" spans="4:32" x14ac:dyDescent="0.3">
      <c r="D2024" s="513"/>
      <c r="E2024" s="513"/>
      <c r="F2024" s="515"/>
      <c r="G2024" s="515"/>
      <c r="I2024" s="513"/>
      <c r="J2024" s="244"/>
      <c r="K2024" s="244"/>
      <c r="L2024" s="513"/>
      <c r="M2024" s="244"/>
      <c r="N2024" s="244"/>
      <c r="O2024" s="244"/>
      <c r="P2024" s="244"/>
      <c r="Q2024" s="244"/>
      <c r="R2024" s="244"/>
      <c r="S2024" s="244"/>
      <c r="T2024" s="244"/>
      <c r="U2024" s="244"/>
      <c r="V2024" s="244"/>
      <c r="W2024" s="526"/>
      <c r="X2024" s="520"/>
      <c r="Y2024" s="244"/>
      <c r="AA2024" s="244"/>
      <c r="AC2024" s="244"/>
      <c r="AD2024" s="244"/>
      <c r="AE2024" s="244"/>
      <c r="AF2024" s="244"/>
    </row>
    <row r="2025" spans="4:32" x14ac:dyDescent="0.3">
      <c r="D2025" s="513"/>
      <c r="E2025" s="513"/>
      <c r="F2025" s="515"/>
      <c r="G2025" s="515"/>
      <c r="I2025" s="513"/>
      <c r="J2025" s="244"/>
      <c r="K2025" s="244"/>
      <c r="L2025" s="513"/>
      <c r="M2025" s="244"/>
      <c r="N2025" s="244"/>
      <c r="O2025" s="244"/>
      <c r="P2025" s="244"/>
      <c r="Q2025" s="244"/>
      <c r="R2025" s="244"/>
      <c r="S2025" s="244"/>
      <c r="T2025" s="244"/>
      <c r="U2025" s="244"/>
      <c r="V2025" s="244"/>
      <c r="W2025" s="526"/>
      <c r="X2025" s="520"/>
      <c r="Y2025" s="244"/>
      <c r="AA2025" s="244"/>
      <c r="AC2025" s="244"/>
      <c r="AD2025" s="244"/>
      <c r="AE2025" s="244"/>
      <c r="AF2025" s="244"/>
    </row>
    <row r="2026" spans="4:32" x14ac:dyDescent="0.3">
      <c r="D2026" s="513"/>
      <c r="E2026" s="513"/>
      <c r="F2026" s="515"/>
      <c r="G2026" s="515"/>
      <c r="I2026" s="513"/>
      <c r="J2026" s="244"/>
      <c r="K2026" s="244"/>
      <c r="L2026" s="513"/>
      <c r="M2026" s="244"/>
      <c r="N2026" s="244"/>
      <c r="O2026" s="244"/>
      <c r="P2026" s="244"/>
      <c r="Q2026" s="244"/>
      <c r="R2026" s="244"/>
      <c r="S2026" s="244"/>
      <c r="T2026" s="244"/>
      <c r="U2026" s="244"/>
      <c r="V2026" s="244"/>
      <c r="W2026" s="526"/>
      <c r="X2026" s="520"/>
      <c r="Y2026" s="244"/>
      <c r="AA2026" s="244"/>
      <c r="AC2026" s="244"/>
      <c r="AD2026" s="244"/>
      <c r="AE2026" s="244"/>
      <c r="AF2026" s="244"/>
    </row>
    <row r="2027" spans="4:32" x14ac:dyDescent="0.3">
      <c r="D2027" s="513"/>
      <c r="E2027" s="513"/>
      <c r="F2027" s="515"/>
      <c r="G2027" s="515"/>
      <c r="I2027" s="513"/>
      <c r="J2027" s="244"/>
      <c r="K2027" s="244"/>
      <c r="L2027" s="513"/>
      <c r="M2027" s="244"/>
      <c r="N2027" s="244"/>
      <c r="O2027" s="244"/>
      <c r="P2027" s="244"/>
      <c r="Q2027" s="244"/>
      <c r="R2027" s="244"/>
      <c r="S2027" s="244"/>
      <c r="T2027" s="244"/>
      <c r="U2027" s="244"/>
      <c r="V2027" s="244"/>
      <c r="W2027" s="526"/>
      <c r="X2027" s="520"/>
      <c r="Y2027" s="244"/>
      <c r="AA2027" s="244"/>
      <c r="AC2027" s="244"/>
      <c r="AD2027" s="244"/>
      <c r="AE2027" s="244"/>
      <c r="AF2027" s="244"/>
    </row>
    <row r="2028" spans="4:32" x14ac:dyDescent="0.3">
      <c r="D2028" s="513"/>
      <c r="E2028" s="513"/>
      <c r="F2028" s="515"/>
      <c r="G2028" s="515"/>
      <c r="I2028" s="513"/>
      <c r="J2028" s="244"/>
      <c r="K2028" s="244"/>
      <c r="L2028" s="513"/>
      <c r="M2028" s="244"/>
      <c r="N2028" s="244"/>
      <c r="O2028" s="244"/>
      <c r="P2028" s="244"/>
      <c r="Q2028" s="244"/>
      <c r="R2028" s="244"/>
      <c r="S2028" s="244"/>
      <c r="T2028" s="244"/>
      <c r="U2028" s="244"/>
      <c r="V2028" s="244"/>
      <c r="W2028" s="526"/>
      <c r="X2028" s="520"/>
      <c r="Y2028" s="244"/>
      <c r="AA2028" s="244"/>
      <c r="AC2028" s="244"/>
      <c r="AD2028" s="244"/>
      <c r="AE2028" s="244"/>
      <c r="AF2028" s="244"/>
    </row>
    <row r="2029" spans="4:32" x14ac:dyDescent="0.3">
      <c r="D2029" s="513"/>
      <c r="E2029" s="513"/>
      <c r="F2029" s="515"/>
      <c r="G2029" s="515"/>
      <c r="I2029" s="513"/>
      <c r="J2029" s="244"/>
      <c r="K2029" s="244"/>
      <c r="L2029" s="513"/>
      <c r="M2029" s="244"/>
      <c r="N2029" s="244"/>
      <c r="O2029" s="244"/>
      <c r="P2029" s="244"/>
      <c r="Q2029" s="244"/>
      <c r="R2029" s="244"/>
      <c r="S2029" s="244"/>
      <c r="T2029" s="244"/>
      <c r="U2029" s="244"/>
      <c r="V2029" s="244"/>
      <c r="W2029" s="526"/>
      <c r="X2029" s="520"/>
      <c r="Y2029" s="244"/>
      <c r="AA2029" s="244"/>
      <c r="AC2029" s="244"/>
      <c r="AD2029" s="244"/>
      <c r="AE2029" s="244"/>
      <c r="AF2029" s="244"/>
    </row>
    <row r="2030" spans="4:32" x14ac:dyDescent="0.3">
      <c r="D2030" s="513"/>
      <c r="E2030" s="513"/>
      <c r="F2030" s="515"/>
      <c r="G2030" s="515"/>
      <c r="I2030" s="513"/>
      <c r="J2030" s="244"/>
      <c r="K2030" s="244"/>
      <c r="L2030" s="513"/>
      <c r="M2030" s="244"/>
      <c r="N2030" s="244"/>
      <c r="O2030" s="244"/>
      <c r="P2030" s="244"/>
      <c r="Q2030" s="244"/>
      <c r="R2030" s="244"/>
      <c r="S2030" s="244"/>
      <c r="T2030" s="244"/>
      <c r="U2030" s="244"/>
      <c r="V2030" s="244"/>
      <c r="W2030" s="526"/>
      <c r="X2030" s="520"/>
      <c r="Y2030" s="244"/>
      <c r="AA2030" s="244"/>
      <c r="AC2030" s="244"/>
      <c r="AD2030" s="244"/>
      <c r="AE2030" s="244"/>
      <c r="AF2030" s="244"/>
    </row>
    <row r="2031" spans="4:32" x14ac:dyDescent="0.3">
      <c r="D2031" s="513"/>
      <c r="E2031" s="513"/>
      <c r="F2031" s="515"/>
      <c r="G2031" s="515"/>
      <c r="I2031" s="513"/>
      <c r="J2031" s="244"/>
      <c r="K2031" s="244"/>
      <c r="L2031" s="513"/>
      <c r="M2031" s="244"/>
      <c r="N2031" s="244"/>
      <c r="O2031" s="244"/>
      <c r="P2031" s="244"/>
      <c r="Q2031" s="244"/>
      <c r="R2031" s="244"/>
      <c r="S2031" s="244"/>
      <c r="T2031" s="244"/>
      <c r="U2031" s="244"/>
      <c r="V2031" s="244"/>
      <c r="W2031" s="526"/>
      <c r="X2031" s="520"/>
      <c r="Y2031" s="244"/>
      <c r="AA2031" s="244"/>
      <c r="AC2031" s="244"/>
      <c r="AD2031" s="244"/>
      <c r="AE2031" s="244"/>
      <c r="AF2031" s="244"/>
    </row>
    <row r="2032" spans="4:32" x14ac:dyDescent="0.3">
      <c r="D2032" s="513"/>
      <c r="E2032" s="513"/>
      <c r="F2032" s="515"/>
      <c r="G2032" s="515"/>
      <c r="I2032" s="513"/>
      <c r="J2032" s="244"/>
      <c r="K2032" s="244"/>
      <c r="L2032" s="513"/>
      <c r="M2032" s="244"/>
      <c r="N2032" s="244"/>
      <c r="O2032" s="244"/>
      <c r="P2032" s="244"/>
      <c r="Q2032" s="244"/>
      <c r="R2032" s="244"/>
      <c r="S2032" s="244"/>
      <c r="T2032" s="244"/>
      <c r="U2032" s="244"/>
      <c r="V2032" s="244"/>
      <c r="W2032" s="526"/>
      <c r="X2032" s="520"/>
      <c r="Y2032" s="244"/>
      <c r="AA2032" s="244"/>
      <c r="AC2032" s="244"/>
      <c r="AD2032" s="244"/>
      <c r="AE2032" s="244"/>
      <c r="AF2032" s="244"/>
    </row>
    <row r="2033" spans="4:32" x14ac:dyDescent="0.3">
      <c r="D2033" s="513"/>
      <c r="E2033" s="513"/>
      <c r="F2033" s="515"/>
      <c r="G2033" s="515"/>
      <c r="I2033" s="513"/>
      <c r="J2033" s="244"/>
      <c r="K2033" s="244"/>
      <c r="L2033" s="513"/>
      <c r="M2033" s="244"/>
      <c r="N2033" s="244"/>
      <c r="O2033" s="244"/>
      <c r="P2033" s="244"/>
      <c r="Q2033" s="244"/>
      <c r="R2033" s="244"/>
      <c r="S2033" s="244"/>
      <c r="T2033" s="244"/>
      <c r="U2033" s="244"/>
      <c r="V2033" s="244"/>
      <c r="W2033" s="526"/>
      <c r="X2033" s="520"/>
      <c r="Y2033" s="244"/>
      <c r="AA2033" s="244"/>
      <c r="AC2033" s="244"/>
      <c r="AD2033" s="244"/>
      <c r="AE2033" s="244"/>
      <c r="AF2033" s="244"/>
    </row>
    <row r="2034" spans="4:32" x14ac:dyDescent="0.3">
      <c r="D2034" s="513"/>
      <c r="E2034" s="513"/>
      <c r="F2034" s="515"/>
      <c r="G2034" s="515"/>
      <c r="I2034" s="513"/>
      <c r="J2034" s="244"/>
      <c r="K2034" s="244"/>
      <c r="L2034" s="513"/>
      <c r="M2034" s="244"/>
      <c r="N2034" s="244"/>
      <c r="O2034" s="244"/>
      <c r="P2034" s="244"/>
      <c r="Q2034" s="244"/>
      <c r="R2034" s="244"/>
      <c r="S2034" s="244"/>
      <c r="T2034" s="244"/>
      <c r="U2034" s="244"/>
      <c r="V2034" s="244"/>
      <c r="W2034" s="526"/>
      <c r="X2034" s="520"/>
      <c r="Y2034" s="244"/>
      <c r="AA2034" s="244"/>
      <c r="AC2034" s="244"/>
      <c r="AD2034" s="244"/>
      <c r="AE2034" s="244"/>
      <c r="AF2034" s="244"/>
    </row>
    <row r="2035" spans="4:32" x14ac:dyDescent="0.3">
      <c r="D2035" s="513"/>
      <c r="E2035" s="513"/>
      <c r="F2035" s="515"/>
      <c r="G2035" s="515"/>
      <c r="I2035" s="513"/>
      <c r="J2035" s="244"/>
      <c r="K2035" s="244"/>
      <c r="L2035" s="513"/>
      <c r="M2035" s="244"/>
      <c r="N2035" s="244"/>
      <c r="O2035" s="244"/>
      <c r="P2035" s="244"/>
      <c r="Q2035" s="244"/>
      <c r="R2035" s="244"/>
      <c r="S2035" s="244"/>
      <c r="T2035" s="244"/>
      <c r="U2035" s="244"/>
      <c r="V2035" s="244"/>
      <c r="W2035" s="526"/>
      <c r="X2035" s="520"/>
      <c r="Y2035" s="244"/>
      <c r="AA2035" s="244"/>
      <c r="AC2035" s="244"/>
      <c r="AD2035" s="244"/>
      <c r="AE2035" s="244"/>
      <c r="AF2035" s="244"/>
    </row>
    <row r="2036" spans="4:32" x14ac:dyDescent="0.3">
      <c r="D2036" s="513"/>
      <c r="E2036" s="513"/>
      <c r="F2036" s="515"/>
      <c r="G2036" s="515"/>
      <c r="I2036" s="513"/>
      <c r="J2036" s="244"/>
      <c r="K2036" s="244"/>
      <c r="L2036" s="513"/>
      <c r="M2036" s="244"/>
      <c r="N2036" s="244"/>
      <c r="O2036" s="244"/>
      <c r="P2036" s="244"/>
      <c r="Q2036" s="244"/>
      <c r="R2036" s="244"/>
      <c r="S2036" s="244"/>
      <c r="T2036" s="244"/>
      <c r="U2036" s="244"/>
      <c r="V2036" s="244"/>
      <c r="W2036" s="526"/>
      <c r="X2036" s="520"/>
      <c r="Y2036" s="244"/>
      <c r="AA2036" s="244"/>
      <c r="AC2036" s="244"/>
      <c r="AD2036" s="244"/>
      <c r="AE2036" s="244"/>
      <c r="AF2036" s="244"/>
    </row>
    <row r="2037" spans="4:32" x14ac:dyDescent="0.3">
      <c r="D2037" s="513"/>
      <c r="E2037" s="513"/>
      <c r="F2037" s="515"/>
      <c r="G2037" s="515"/>
      <c r="I2037" s="513"/>
      <c r="J2037" s="244"/>
      <c r="K2037" s="244"/>
      <c r="L2037" s="513"/>
      <c r="M2037" s="244"/>
      <c r="N2037" s="244"/>
      <c r="O2037" s="244"/>
      <c r="P2037" s="244"/>
      <c r="Q2037" s="244"/>
      <c r="R2037" s="244"/>
      <c r="S2037" s="244"/>
      <c r="T2037" s="244"/>
      <c r="U2037" s="244"/>
      <c r="V2037" s="244"/>
      <c r="W2037" s="526"/>
      <c r="X2037" s="520"/>
      <c r="Y2037" s="244"/>
      <c r="AA2037" s="244"/>
      <c r="AC2037" s="244"/>
      <c r="AD2037" s="244"/>
      <c r="AE2037" s="244"/>
      <c r="AF2037" s="244"/>
    </row>
    <row r="2038" spans="4:32" x14ac:dyDescent="0.3">
      <c r="D2038" s="513"/>
      <c r="E2038" s="513"/>
      <c r="F2038" s="515"/>
      <c r="G2038" s="515"/>
      <c r="I2038" s="513"/>
      <c r="J2038" s="244"/>
      <c r="K2038" s="244"/>
      <c r="L2038" s="513"/>
      <c r="M2038" s="244"/>
      <c r="N2038" s="244"/>
      <c r="O2038" s="244"/>
      <c r="P2038" s="244"/>
      <c r="Q2038" s="244"/>
      <c r="R2038" s="244"/>
      <c r="S2038" s="244"/>
      <c r="T2038" s="244"/>
      <c r="U2038" s="244"/>
      <c r="V2038" s="244"/>
      <c r="W2038" s="526"/>
      <c r="X2038" s="520"/>
      <c r="Y2038" s="244"/>
      <c r="AA2038" s="244"/>
      <c r="AC2038" s="244"/>
      <c r="AD2038" s="244"/>
      <c r="AE2038" s="244"/>
      <c r="AF2038" s="244"/>
    </row>
    <row r="2039" spans="4:32" x14ac:dyDescent="0.3">
      <c r="D2039" s="513"/>
      <c r="E2039" s="513"/>
      <c r="F2039" s="515"/>
      <c r="G2039" s="515"/>
      <c r="I2039" s="513"/>
      <c r="J2039" s="244"/>
      <c r="K2039" s="244"/>
      <c r="L2039" s="513"/>
      <c r="M2039" s="244"/>
      <c r="N2039" s="244"/>
      <c r="O2039" s="244"/>
      <c r="P2039" s="244"/>
      <c r="Q2039" s="244"/>
      <c r="R2039" s="244"/>
      <c r="S2039" s="244"/>
      <c r="T2039" s="244"/>
      <c r="U2039" s="244"/>
      <c r="V2039" s="244"/>
      <c r="W2039" s="526"/>
      <c r="X2039" s="520"/>
      <c r="Y2039" s="244"/>
      <c r="AA2039" s="244"/>
      <c r="AC2039" s="244"/>
      <c r="AD2039" s="244"/>
      <c r="AE2039" s="244"/>
      <c r="AF2039" s="244"/>
    </row>
    <row r="2040" spans="4:32" x14ac:dyDescent="0.3">
      <c r="D2040" s="513"/>
      <c r="E2040" s="513"/>
      <c r="F2040" s="515"/>
      <c r="G2040" s="515"/>
      <c r="I2040" s="513"/>
      <c r="J2040" s="244"/>
      <c r="K2040" s="244"/>
      <c r="L2040" s="513"/>
      <c r="M2040" s="244"/>
      <c r="N2040" s="244"/>
      <c r="O2040" s="244"/>
      <c r="P2040" s="244"/>
      <c r="Q2040" s="244"/>
      <c r="R2040" s="244"/>
      <c r="S2040" s="244"/>
      <c r="T2040" s="244"/>
      <c r="U2040" s="244"/>
      <c r="V2040" s="244"/>
      <c r="W2040" s="526"/>
      <c r="X2040" s="520"/>
      <c r="Y2040" s="244"/>
      <c r="AA2040" s="244"/>
      <c r="AC2040" s="244"/>
      <c r="AD2040" s="244"/>
      <c r="AE2040" s="244"/>
      <c r="AF2040" s="244"/>
    </row>
    <row r="2041" spans="4:32" x14ac:dyDescent="0.3">
      <c r="D2041" s="513"/>
      <c r="E2041" s="513"/>
      <c r="F2041" s="515"/>
      <c r="G2041" s="515"/>
      <c r="I2041" s="513"/>
      <c r="J2041" s="244"/>
      <c r="K2041" s="244"/>
      <c r="L2041" s="513"/>
      <c r="M2041" s="244"/>
      <c r="N2041" s="244"/>
      <c r="O2041" s="244"/>
      <c r="P2041" s="244"/>
      <c r="Q2041" s="244"/>
      <c r="R2041" s="244"/>
      <c r="S2041" s="244"/>
      <c r="T2041" s="244"/>
      <c r="U2041" s="244"/>
      <c r="V2041" s="244"/>
      <c r="W2041" s="526"/>
      <c r="X2041" s="520"/>
      <c r="Y2041" s="244"/>
      <c r="AA2041" s="244"/>
      <c r="AC2041" s="244"/>
      <c r="AD2041" s="244"/>
      <c r="AE2041" s="244"/>
      <c r="AF2041" s="244"/>
    </row>
    <row r="2042" spans="4:32" x14ac:dyDescent="0.3">
      <c r="D2042" s="513"/>
      <c r="E2042" s="513"/>
      <c r="F2042" s="515"/>
      <c r="G2042" s="515"/>
      <c r="I2042" s="513"/>
      <c r="J2042" s="244"/>
      <c r="K2042" s="244"/>
      <c r="L2042" s="513"/>
      <c r="M2042" s="244"/>
      <c r="N2042" s="244"/>
      <c r="O2042" s="244"/>
      <c r="P2042" s="244"/>
      <c r="Q2042" s="244"/>
      <c r="R2042" s="244"/>
      <c r="S2042" s="244"/>
      <c r="T2042" s="244"/>
      <c r="U2042" s="244"/>
      <c r="V2042" s="244"/>
      <c r="W2042" s="526"/>
      <c r="X2042" s="520"/>
      <c r="Y2042" s="244"/>
      <c r="AA2042" s="244"/>
      <c r="AC2042" s="244"/>
      <c r="AD2042" s="244"/>
      <c r="AE2042" s="244"/>
      <c r="AF2042" s="244"/>
    </row>
    <row r="2043" spans="4:32" x14ac:dyDescent="0.3">
      <c r="D2043" s="513"/>
      <c r="E2043" s="513"/>
      <c r="F2043" s="515"/>
      <c r="G2043" s="515"/>
      <c r="I2043" s="513"/>
      <c r="J2043" s="244"/>
      <c r="K2043" s="244"/>
      <c r="L2043" s="513"/>
      <c r="M2043" s="244"/>
      <c r="N2043" s="244"/>
      <c r="O2043" s="244"/>
      <c r="P2043" s="244"/>
      <c r="Q2043" s="244"/>
      <c r="R2043" s="244"/>
      <c r="S2043" s="244"/>
      <c r="T2043" s="244"/>
      <c r="U2043" s="244"/>
      <c r="V2043" s="244"/>
      <c r="W2043" s="526"/>
      <c r="X2043" s="520"/>
      <c r="Y2043" s="244"/>
      <c r="AA2043" s="244"/>
      <c r="AC2043" s="244"/>
      <c r="AD2043" s="244"/>
      <c r="AE2043" s="244"/>
      <c r="AF2043" s="244"/>
    </row>
    <row r="2044" spans="4:32" x14ac:dyDescent="0.3">
      <c r="D2044" s="513"/>
      <c r="E2044" s="513"/>
      <c r="F2044" s="515"/>
      <c r="G2044" s="515"/>
      <c r="I2044" s="513"/>
      <c r="J2044" s="244"/>
      <c r="K2044" s="244"/>
      <c r="L2044" s="513"/>
      <c r="M2044" s="244"/>
      <c r="N2044" s="244"/>
      <c r="O2044" s="244"/>
      <c r="P2044" s="244"/>
      <c r="Q2044" s="244"/>
      <c r="R2044" s="244"/>
      <c r="S2044" s="244"/>
      <c r="T2044" s="244"/>
      <c r="U2044" s="244"/>
      <c r="V2044" s="244"/>
      <c r="W2044" s="526"/>
      <c r="X2044" s="520"/>
      <c r="Y2044" s="244"/>
      <c r="AA2044" s="244"/>
      <c r="AC2044" s="244"/>
      <c r="AD2044" s="244"/>
      <c r="AE2044" s="244"/>
      <c r="AF2044" s="244"/>
    </row>
    <row r="2045" spans="4:32" x14ac:dyDescent="0.3">
      <c r="D2045" s="513"/>
      <c r="E2045" s="513"/>
      <c r="F2045" s="515"/>
      <c r="G2045" s="515"/>
      <c r="I2045" s="513"/>
      <c r="J2045" s="244"/>
      <c r="K2045" s="244"/>
      <c r="L2045" s="513"/>
      <c r="M2045" s="244"/>
      <c r="N2045" s="244"/>
      <c r="O2045" s="244"/>
      <c r="P2045" s="244"/>
      <c r="Q2045" s="244"/>
      <c r="R2045" s="244"/>
      <c r="S2045" s="244"/>
      <c r="T2045" s="244"/>
      <c r="U2045" s="244"/>
      <c r="V2045" s="244"/>
      <c r="W2045" s="526"/>
      <c r="X2045" s="520"/>
      <c r="Y2045" s="244"/>
      <c r="AA2045" s="244"/>
      <c r="AC2045" s="244"/>
      <c r="AD2045" s="244"/>
      <c r="AE2045" s="244"/>
      <c r="AF2045" s="244"/>
    </row>
    <row r="2046" spans="4:32" x14ac:dyDescent="0.3">
      <c r="D2046" s="513"/>
      <c r="E2046" s="513"/>
      <c r="F2046" s="515"/>
      <c r="G2046" s="515"/>
      <c r="I2046" s="513"/>
      <c r="J2046" s="244"/>
      <c r="K2046" s="244"/>
      <c r="L2046" s="513"/>
      <c r="M2046" s="244"/>
      <c r="N2046" s="244"/>
      <c r="O2046" s="244"/>
      <c r="P2046" s="244"/>
      <c r="Q2046" s="244"/>
      <c r="R2046" s="244"/>
      <c r="S2046" s="244"/>
      <c r="T2046" s="244"/>
      <c r="U2046" s="244"/>
      <c r="V2046" s="244"/>
      <c r="W2046" s="526"/>
      <c r="X2046" s="520"/>
      <c r="Y2046" s="244"/>
      <c r="AA2046" s="244"/>
      <c r="AC2046" s="244"/>
      <c r="AD2046" s="244"/>
      <c r="AE2046" s="244"/>
      <c r="AF2046" s="244"/>
    </row>
    <row r="2047" spans="4:32" x14ac:dyDescent="0.3">
      <c r="D2047" s="513"/>
      <c r="E2047" s="513"/>
      <c r="F2047" s="515"/>
      <c r="G2047" s="515"/>
      <c r="I2047" s="513"/>
      <c r="J2047" s="244"/>
      <c r="K2047" s="244"/>
      <c r="L2047" s="513"/>
      <c r="M2047" s="244"/>
      <c r="N2047" s="244"/>
      <c r="O2047" s="244"/>
      <c r="P2047" s="244"/>
      <c r="Q2047" s="244"/>
      <c r="R2047" s="244"/>
      <c r="S2047" s="244"/>
      <c r="T2047" s="244"/>
      <c r="U2047" s="244"/>
      <c r="V2047" s="244"/>
      <c r="W2047" s="526"/>
      <c r="X2047" s="520"/>
      <c r="Y2047" s="244"/>
      <c r="AA2047" s="244"/>
      <c r="AC2047" s="244"/>
      <c r="AD2047" s="244"/>
      <c r="AE2047" s="244"/>
      <c r="AF2047" s="244"/>
    </row>
    <row r="2048" spans="4:32" x14ac:dyDescent="0.3">
      <c r="D2048" s="513"/>
      <c r="E2048" s="513"/>
      <c r="F2048" s="515"/>
      <c r="G2048" s="515"/>
      <c r="I2048" s="513"/>
      <c r="J2048" s="244"/>
      <c r="K2048" s="244"/>
      <c r="L2048" s="513"/>
      <c r="M2048" s="244"/>
      <c r="N2048" s="244"/>
      <c r="O2048" s="244"/>
      <c r="P2048" s="244"/>
      <c r="Q2048" s="244"/>
      <c r="R2048" s="244"/>
      <c r="S2048" s="244"/>
      <c r="T2048" s="244"/>
      <c r="U2048" s="244"/>
      <c r="V2048" s="244"/>
      <c r="W2048" s="526"/>
      <c r="X2048" s="520"/>
      <c r="Y2048" s="244"/>
      <c r="AA2048" s="244"/>
      <c r="AC2048" s="244"/>
      <c r="AD2048" s="244"/>
      <c r="AE2048" s="244"/>
      <c r="AF2048" s="244"/>
    </row>
    <row r="2049" spans="4:32" x14ac:dyDescent="0.3">
      <c r="D2049" s="513"/>
      <c r="E2049" s="513"/>
      <c r="F2049" s="515"/>
      <c r="G2049" s="515"/>
      <c r="I2049" s="513"/>
      <c r="J2049" s="244"/>
      <c r="K2049" s="244"/>
      <c r="L2049" s="513"/>
      <c r="M2049" s="244"/>
      <c r="N2049" s="244"/>
      <c r="O2049" s="244"/>
      <c r="P2049" s="244"/>
      <c r="Q2049" s="244"/>
      <c r="R2049" s="244"/>
      <c r="S2049" s="244"/>
      <c r="T2049" s="244"/>
      <c r="U2049" s="244"/>
      <c r="V2049" s="244"/>
      <c r="W2049" s="526"/>
      <c r="X2049" s="520"/>
      <c r="Y2049" s="244"/>
      <c r="AA2049" s="244"/>
      <c r="AC2049" s="244"/>
      <c r="AD2049" s="244"/>
      <c r="AE2049" s="244"/>
      <c r="AF2049" s="244"/>
    </row>
    <row r="2050" spans="4:32" x14ac:dyDescent="0.3">
      <c r="D2050" s="513"/>
      <c r="E2050" s="513"/>
      <c r="F2050" s="515"/>
      <c r="G2050" s="515"/>
      <c r="I2050" s="513"/>
      <c r="J2050" s="244"/>
      <c r="K2050" s="244"/>
      <c r="L2050" s="513"/>
      <c r="M2050" s="244"/>
      <c r="N2050" s="244"/>
      <c r="O2050" s="244"/>
      <c r="P2050" s="244"/>
      <c r="Q2050" s="244"/>
      <c r="R2050" s="244"/>
      <c r="S2050" s="244"/>
      <c r="T2050" s="244"/>
      <c r="U2050" s="244"/>
      <c r="V2050" s="244"/>
      <c r="W2050" s="526"/>
      <c r="X2050" s="520"/>
      <c r="Y2050" s="244"/>
      <c r="AA2050" s="244"/>
      <c r="AC2050" s="244"/>
      <c r="AD2050" s="244"/>
      <c r="AE2050" s="244"/>
      <c r="AF2050" s="244"/>
    </row>
    <row r="2051" spans="4:32" x14ac:dyDescent="0.3">
      <c r="D2051" s="513"/>
      <c r="E2051" s="513"/>
      <c r="F2051" s="515"/>
      <c r="G2051" s="515"/>
      <c r="I2051" s="513"/>
      <c r="J2051" s="244"/>
      <c r="K2051" s="244"/>
      <c r="L2051" s="513"/>
      <c r="M2051" s="244"/>
      <c r="N2051" s="244"/>
      <c r="O2051" s="244"/>
      <c r="P2051" s="244"/>
      <c r="Q2051" s="244"/>
      <c r="R2051" s="244"/>
      <c r="S2051" s="244"/>
      <c r="T2051" s="244"/>
      <c r="U2051" s="244"/>
      <c r="V2051" s="244"/>
      <c r="W2051" s="526"/>
      <c r="X2051" s="520"/>
      <c r="Y2051" s="244"/>
      <c r="AA2051" s="244"/>
      <c r="AC2051" s="244"/>
      <c r="AD2051" s="244"/>
      <c r="AE2051" s="244"/>
      <c r="AF2051" s="244"/>
    </row>
    <row r="2052" spans="4:32" x14ac:dyDescent="0.3">
      <c r="D2052" s="513"/>
      <c r="E2052" s="513"/>
      <c r="F2052" s="515"/>
      <c r="G2052" s="515"/>
      <c r="I2052" s="513"/>
      <c r="J2052" s="244"/>
      <c r="K2052" s="244"/>
      <c r="L2052" s="513"/>
      <c r="M2052" s="244"/>
      <c r="N2052" s="244"/>
      <c r="O2052" s="244"/>
      <c r="P2052" s="244"/>
      <c r="Q2052" s="244"/>
      <c r="R2052" s="244"/>
      <c r="S2052" s="244"/>
      <c r="T2052" s="244"/>
      <c r="U2052" s="244"/>
      <c r="V2052" s="244"/>
      <c r="W2052" s="526"/>
      <c r="X2052" s="520"/>
      <c r="Y2052" s="244"/>
      <c r="AA2052" s="244"/>
      <c r="AC2052" s="244"/>
      <c r="AD2052" s="244"/>
      <c r="AE2052" s="244"/>
      <c r="AF2052" s="244"/>
    </row>
    <row r="2053" spans="4:32" x14ac:dyDescent="0.3">
      <c r="D2053" s="513"/>
      <c r="E2053" s="513"/>
      <c r="F2053" s="515"/>
      <c r="G2053" s="515"/>
      <c r="I2053" s="513"/>
      <c r="J2053" s="244"/>
      <c r="K2053" s="244"/>
      <c r="L2053" s="513"/>
      <c r="M2053" s="244"/>
      <c r="N2053" s="244"/>
      <c r="O2053" s="244"/>
      <c r="P2053" s="244"/>
      <c r="Q2053" s="244"/>
      <c r="R2053" s="244"/>
      <c r="S2053" s="244"/>
      <c r="T2053" s="244"/>
      <c r="U2053" s="244"/>
      <c r="V2053" s="244"/>
      <c r="W2053" s="526"/>
      <c r="X2053" s="520"/>
      <c r="Y2053" s="244"/>
      <c r="AA2053" s="244"/>
      <c r="AC2053" s="244"/>
      <c r="AD2053" s="244"/>
      <c r="AE2053" s="244"/>
      <c r="AF2053" s="244"/>
    </row>
    <row r="2054" spans="4:32" x14ac:dyDescent="0.3">
      <c r="D2054" s="513"/>
      <c r="E2054" s="513"/>
      <c r="F2054" s="515"/>
      <c r="G2054" s="515"/>
      <c r="I2054" s="513"/>
      <c r="J2054" s="244"/>
      <c r="K2054" s="244"/>
      <c r="L2054" s="513"/>
      <c r="M2054" s="244"/>
      <c r="N2054" s="244"/>
      <c r="O2054" s="244"/>
      <c r="P2054" s="244"/>
      <c r="Q2054" s="244"/>
      <c r="R2054" s="244"/>
      <c r="S2054" s="244"/>
      <c r="T2054" s="244"/>
      <c r="U2054" s="244"/>
      <c r="V2054" s="244"/>
      <c r="W2054" s="526"/>
      <c r="X2054" s="520"/>
      <c r="Y2054" s="244"/>
      <c r="AA2054" s="244"/>
      <c r="AC2054" s="244"/>
      <c r="AD2054" s="244"/>
      <c r="AE2054" s="244"/>
      <c r="AF2054" s="244"/>
    </row>
    <row r="2055" spans="4:32" x14ac:dyDescent="0.3">
      <c r="D2055" s="513"/>
      <c r="E2055" s="513"/>
      <c r="F2055" s="515"/>
      <c r="G2055" s="515"/>
      <c r="I2055" s="513"/>
      <c r="J2055" s="244"/>
      <c r="K2055" s="244"/>
      <c r="L2055" s="513"/>
      <c r="M2055" s="244"/>
      <c r="N2055" s="244"/>
      <c r="O2055" s="244"/>
      <c r="P2055" s="244"/>
      <c r="Q2055" s="244"/>
      <c r="R2055" s="244"/>
      <c r="S2055" s="244"/>
      <c r="T2055" s="244"/>
      <c r="U2055" s="244"/>
      <c r="V2055" s="244"/>
      <c r="W2055" s="526"/>
      <c r="X2055" s="520"/>
      <c r="Y2055" s="244"/>
      <c r="AA2055" s="244"/>
      <c r="AC2055" s="244"/>
      <c r="AD2055" s="244"/>
      <c r="AE2055" s="244"/>
      <c r="AF2055" s="244"/>
    </row>
    <row r="2056" spans="4:32" x14ac:dyDescent="0.3">
      <c r="D2056" s="513"/>
      <c r="E2056" s="513"/>
      <c r="F2056" s="515"/>
      <c r="G2056" s="515"/>
      <c r="I2056" s="513"/>
      <c r="J2056" s="244"/>
      <c r="K2056" s="244"/>
      <c r="L2056" s="513"/>
      <c r="M2056" s="244"/>
      <c r="N2056" s="244"/>
      <c r="O2056" s="244"/>
      <c r="P2056" s="244"/>
      <c r="Q2056" s="244"/>
      <c r="R2056" s="244"/>
      <c r="S2056" s="244"/>
      <c r="T2056" s="244"/>
      <c r="U2056" s="244"/>
      <c r="V2056" s="244"/>
      <c r="W2056" s="526"/>
      <c r="X2056" s="520"/>
      <c r="Y2056" s="244"/>
      <c r="AA2056" s="244"/>
      <c r="AC2056" s="244"/>
      <c r="AD2056" s="244"/>
      <c r="AE2056" s="244"/>
      <c r="AF2056" s="244"/>
    </row>
    <row r="2057" spans="4:32" x14ac:dyDescent="0.3">
      <c r="D2057" s="513"/>
      <c r="E2057" s="513"/>
      <c r="F2057" s="515"/>
      <c r="G2057" s="515"/>
      <c r="I2057" s="513"/>
      <c r="J2057" s="244"/>
      <c r="K2057" s="244"/>
      <c r="L2057" s="513"/>
      <c r="M2057" s="244"/>
      <c r="N2057" s="244"/>
      <c r="O2057" s="244"/>
      <c r="P2057" s="244"/>
      <c r="Q2057" s="244"/>
      <c r="R2057" s="244"/>
      <c r="S2057" s="244"/>
      <c r="T2057" s="244"/>
      <c r="U2057" s="244"/>
      <c r="V2057" s="244"/>
      <c r="W2057" s="526"/>
      <c r="X2057" s="520"/>
      <c r="Y2057" s="244"/>
      <c r="AA2057" s="244"/>
      <c r="AC2057" s="244"/>
      <c r="AD2057" s="244"/>
      <c r="AE2057" s="244"/>
      <c r="AF2057" s="244"/>
    </row>
    <row r="2058" spans="4:32" x14ac:dyDescent="0.3">
      <c r="D2058" s="513"/>
      <c r="E2058" s="513"/>
      <c r="F2058" s="515"/>
      <c r="G2058" s="515"/>
      <c r="I2058" s="513"/>
      <c r="J2058" s="244"/>
      <c r="K2058" s="244"/>
      <c r="L2058" s="513"/>
      <c r="M2058" s="244"/>
      <c r="N2058" s="244"/>
      <c r="O2058" s="244"/>
      <c r="P2058" s="244"/>
      <c r="Q2058" s="244"/>
      <c r="R2058" s="244"/>
      <c r="S2058" s="244"/>
      <c r="T2058" s="244"/>
      <c r="U2058" s="244"/>
      <c r="V2058" s="244"/>
      <c r="W2058" s="526"/>
      <c r="X2058" s="520"/>
      <c r="Y2058" s="244"/>
      <c r="AA2058" s="244"/>
      <c r="AC2058" s="244"/>
      <c r="AD2058" s="244"/>
      <c r="AE2058" s="244"/>
      <c r="AF2058" s="244"/>
    </row>
    <row r="2059" spans="4:32" x14ac:dyDescent="0.3">
      <c r="D2059" s="513"/>
      <c r="E2059" s="513"/>
      <c r="F2059" s="515"/>
      <c r="G2059" s="515"/>
      <c r="I2059" s="513"/>
      <c r="J2059" s="244"/>
      <c r="K2059" s="244"/>
      <c r="L2059" s="513"/>
      <c r="M2059" s="244"/>
      <c r="N2059" s="244"/>
      <c r="O2059" s="244"/>
      <c r="P2059" s="244"/>
      <c r="Q2059" s="244"/>
      <c r="R2059" s="244"/>
      <c r="S2059" s="244"/>
      <c r="T2059" s="244"/>
      <c r="U2059" s="244"/>
      <c r="V2059" s="244"/>
      <c r="W2059" s="526"/>
      <c r="X2059" s="520"/>
      <c r="Y2059" s="244"/>
      <c r="AA2059" s="244"/>
      <c r="AC2059" s="244"/>
      <c r="AD2059" s="244"/>
      <c r="AE2059" s="244"/>
      <c r="AF2059" s="244"/>
    </row>
    <row r="2060" spans="4:32" x14ac:dyDescent="0.3">
      <c r="D2060" s="513"/>
      <c r="E2060" s="513"/>
      <c r="F2060" s="515"/>
      <c r="G2060" s="515"/>
      <c r="I2060" s="513"/>
      <c r="J2060" s="244"/>
      <c r="K2060" s="244"/>
      <c r="L2060" s="513"/>
      <c r="M2060" s="244"/>
      <c r="N2060" s="244"/>
      <c r="O2060" s="244"/>
      <c r="P2060" s="244"/>
      <c r="Q2060" s="244"/>
      <c r="R2060" s="244"/>
      <c r="S2060" s="244"/>
      <c r="T2060" s="244"/>
      <c r="U2060" s="244"/>
      <c r="V2060" s="244"/>
      <c r="W2060" s="526"/>
      <c r="X2060" s="520"/>
      <c r="Y2060" s="244"/>
      <c r="AA2060" s="244"/>
      <c r="AC2060" s="244"/>
      <c r="AD2060" s="244"/>
      <c r="AE2060" s="244"/>
      <c r="AF2060" s="244"/>
    </row>
    <row r="2061" spans="4:32" x14ac:dyDescent="0.3">
      <c r="D2061" s="513"/>
      <c r="E2061" s="513"/>
      <c r="F2061" s="515"/>
      <c r="G2061" s="515"/>
      <c r="I2061" s="513"/>
      <c r="J2061" s="244"/>
      <c r="K2061" s="244"/>
      <c r="L2061" s="513"/>
      <c r="M2061" s="244"/>
      <c r="N2061" s="244"/>
      <c r="O2061" s="244"/>
      <c r="P2061" s="244"/>
      <c r="Q2061" s="244"/>
      <c r="R2061" s="244"/>
      <c r="S2061" s="244"/>
      <c r="T2061" s="244"/>
      <c r="U2061" s="244"/>
      <c r="V2061" s="244"/>
      <c r="W2061" s="526"/>
      <c r="X2061" s="520"/>
      <c r="Y2061" s="244"/>
      <c r="AA2061" s="244"/>
      <c r="AC2061" s="244"/>
      <c r="AD2061" s="244"/>
      <c r="AE2061" s="244"/>
      <c r="AF2061" s="244"/>
    </row>
    <row r="2062" spans="4:32" x14ac:dyDescent="0.3">
      <c r="D2062" s="513"/>
      <c r="E2062" s="513"/>
      <c r="F2062" s="515"/>
      <c r="G2062" s="515"/>
      <c r="I2062" s="513"/>
      <c r="J2062" s="244"/>
      <c r="K2062" s="244"/>
      <c r="L2062" s="513"/>
      <c r="M2062" s="244"/>
      <c r="N2062" s="244"/>
      <c r="O2062" s="244"/>
      <c r="P2062" s="244"/>
      <c r="Q2062" s="244"/>
      <c r="R2062" s="244"/>
      <c r="S2062" s="244"/>
      <c r="T2062" s="244"/>
      <c r="U2062" s="244"/>
      <c r="V2062" s="244"/>
      <c r="W2062" s="526"/>
      <c r="X2062" s="520"/>
      <c r="Y2062" s="244"/>
      <c r="AA2062" s="244"/>
      <c r="AC2062" s="244"/>
      <c r="AD2062" s="244"/>
      <c r="AE2062" s="244"/>
      <c r="AF2062" s="244"/>
    </row>
    <row r="2063" spans="4:32" x14ac:dyDescent="0.3">
      <c r="D2063" s="513"/>
      <c r="E2063" s="513"/>
      <c r="F2063" s="515"/>
      <c r="G2063" s="515"/>
      <c r="I2063" s="513"/>
      <c r="J2063" s="244"/>
      <c r="K2063" s="244"/>
      <c r="L2063" s="513"/>
      <c r="M2063" s="244"/>
      <c r="N2063" s="244"/>
      <c r="O2063" s="244"/>
      <c r="P2063" s="244"/>
      <c r="Q2063" s="244"/>
      <c r="R2063" s="244"/>
      <c r="S2063" s="244"/>
      <c r="T2063" s="244"/>
      <c r="U2063" s="244"/>
      <c r="V2063" s="244"/>
      <c r="W2063" s="526"/>
      <c r="X2063" s="520"/>
      <c r="Y2063" s="244"/>
      <c r="AA2063" s="244"/>
      <c r="AC2063" s="244"/>
      <c r="AD2063" s="244"/>
      <c r="AE2063" s="244"/>
      <c r="AF2063" s="244"/>
    </row>
    <row r="2064" spans="4:32" x14ac:dyDescent="0.3">
      <c r="D2064" s="513"/>
      <c r="E2064" s="513"/>
      <c r="F2064" s="515"/>
      <c r="G2064" s="515"/>
      <c r="I2064" s="513"/>
      <c r="J2064" s="244"/>
      <c r="K2064" s="244"/>
      <c r="L2064" s="513"/>
      <c r="M2064" s="244"/>
      <c r="N2064" s="244"/>
      <c r="O2064" s="244"/>
      <c r="P2064" s="244"/>
      <c r="Q2064" s="244"/>
      <c r="R2064" s="244"/>
      <c r="S2064" s="244"/>
      <c r="T2064" s="244"/>
      <c r="U2064" s="244"/>
      <c r="V2064" s="244"/>
      <c r="W2064" s="526"/>
      <c r="X2064" s="520"/>
      <c r="Y2064" s="244"/>
      <c r="AA2064" s="244"/>
      <c r="AC2064" s="244"/>
      <c r="AD2064" s="244"/>
      <c r="AE2064" s="244"/>
      <c r="AF2064" s="244"/>
    </row>
    <row r="2065" spans="4:32" x14ac:dyDescent="0.3">
      <c r="D2065" s="513"/>
      <c r="E2065" s="513"/>
      <c r="F2065" s="515"/>
      <c r="G2065" s="515"/>
      <c r="I2065" s="513"/>
      <c r="J2065" s="244"/>
      <c r="K2065" s="244"/>
      <c r="L2065" s="513"/>
      <c r="M2065" s="244"/>
      <c r="N2065" s="244"/>
      <c r="O2065" s="244"/>
      <c r="P2065" s="244"/>
      <c r="Q2065" s="244"/>
      <c r="R2065" s="244"/>
      <c r="S2065" s="244"/>
      <c r="T2065" s="244"/>
      <c r="U2065" s="244"/>
      <c r="V2065" s="244"/>
      <c r="W2065" s="526"/>
      <c r="X2065" s="520"/>
      <c r="Y2065" s="244"/>
      <c r="AA2065" s="244"/>
      <c r="AC2065" s="244"/>
      <c r="AD2065" s="244"/>
      <c r="AE2065" s="244"/>
      <c r="AF2065" s="244"/>
    </row>
    <row r="2066" spans="4:32" x14ac:dyDescent="0.3">
      <c r="D2066" s="513"/>
      <c r="E2066" s="513"/>
      <c r="F2066" s="515"/>
      <c r="G2066" s="515"/>
      <c r="I2066" s="513"/>
      <c r="J2066" s="244"/>
      <c r="K2066" s="244"/>
      <c r="L2066" s="513"/>
      <c r="M2066" s="244"/>
      <c r="N2066" s="244"/>
      <c r="O2066" s="244"/>
      <c r="P2066" s="244"/>
      <c r="Q2066" s="244"/>
      <c r="R2066" s="244"/>
      <c r="S2066" s="244"/>
      <c r="T2066" s="244"/>
      <c r="U2066" s="244"/>
      <c r="V2066" s="244"/>
      <c r="W2066" s="526"/>
      <c r="X2066" s="520"/>
      <c r="Y2066" s="244"/>
      <c r="AA2066" s="244"/>
      <c r="AC2066" s="244"/>
      <c r="AD2066" s="244"/>
      <c r="AE2066" s="244"/>
      <c r="AF2066" s="244"/>
    </row>
    <row r="2067" spans="4:32" x14ac:dyDescent="0.3">
      <c r="D2067" s="513"/>
      <c r="E2067" s="513"/>
      <c r="F2067" s="515"/>
      <c r="G2067" s="515"/>
      <c r="I2067" s="513"/>
      <c r="J2067" s="244"/>
      <c r="K2067" s="244"/>
      <c r="L2067" s="513"/>
      <c r="M2067" s="244"/>
      <c r="N2067" s="244"/>
      <c r="O2067" s="244"/>
      <c r="P2067" s="244"/>
      <c r="Q2067" s="244"/>
      <c r="R2067" s="244"/>
      <c r="S2067" s="244"/>
      <c r="T2067" s="244"/>
      <c r="U2067" s="244"/>
      <c r="V2067" s="244"/>
      <c r="W2067" s="526"/>
      <c r="X2067" s="520"/>
      <c r="Y2067" s="244"/>
      <c r="AA2067" s="244"/>
      <c r="AC2067" s="244"/>
      <c r="AD2067" s="244"/>
      <c r="AE2067" s="244"/>
      <c r="AF2067" s="244"/>
    </row>
    <row r="2068" spans="4:32" x14ac:dyDescent="0.3">
      <c r="D2068" s="513"/>
      <c r="E2068" s="513"/>
      <c r="F2068" s="515"/>
      <c r="G2068" s="515"/>
      <c r="I2068" s="513"/>
      <c r="J2068" s="244"/>
      <c r="K2068" s="244"/>
      <c r="L2068" s="513"/>
      <c r="M2068" s="244"/>
      <c r="N2068" s="244"/>
      <c r="O2068" s="244"/>
      <c r="P2068" s="244"/>
      <c r="Q2068" s="244"/>
      <c r="R2068" s="244"/>
      <c r="S2068" s="244"/>
      <c r="T2068" s="244"/>
      <c r="U2068" s="244"/>
      <c r="V2068" s="244"/>
      <c r="W2068" s="526"/>
      <c r="X2068" s="520"/>
      <c r="Y2068" s="244"/>
      <c r="AA2068" s="244"/>
      <c r="AC2068" s="244"/>
      <c r="AD2068" s="244"/>
      <c r="AE2068" s="244"/>
      <c r="AF2068" s="244"/>
    </row>
    <row r="2069" spans="4:32" x14ac:dyDescent="0.3">
      <c r="D2069" s="513"/>
      <c r="E2069" s="513"/>
      <c r="F2069" s="515"/>
      <c r="G2069" s="515"/>
      <c r="I2069" s="513"/>
      <c r="J2069" s="244"/>
      <c r="K2069" s="244"/>
      <c r="L2069" s="513"/>
      <c r="M2069" s="244"/>
      <c r="N2069" s="244"/>
      <c r="O2069" s="244"/>
      <c r="P2069" s="244"/>
      <c r="Q2069" s="244"/>
      <c r="R2069" s="244"/>
      <c r="S2069" s="244"/>
      <c r="T2069" s="244"/>
      <c r="U2069" s="244"/>
      <c r="V2069" s="244"/>
      <c r="W2069" s="526"/>
      <c r="X2069" s="520"/>
      <c r="Y2069" s="244"/>
      <c r="AA2069" s="244"/>
      <c r="AC2069" s="244"/>
      <c r="AD2069" s="244"/>
      <c r="AE2069" s="244"/>
      <c r="AF2069" s="244"/>
    </row>
    <row r="2070" spans="4:32" x14ac:dyDescent="0.3">
      <c r="D2070" s="513"/>
      <c r="E2070" s="513"/>
      <c r="F2070" s="515"/>
      <c r="G2070" s="515"/>
      <c r="I2070" s="513"/>
      <c r="J2070" s="244"/>
      <c r="K2070" s="244"/>
      <c r="L2070" s="513"/>
      <c r="M2070" s="244"/>
      <c r="N2070" s="244"/>
      <c r="O2070" s="244"/>
      <c r="P2070" s="244"/>
      <c r="Q2070" s="244"/>
      <c r="R2070" s="244"/>
      <c r="S2070" s="244"/>
      <c r="T2070" s="244"/>
      <c r="U2070" s="244"/>
      <c r="V2070" s="244"/>
      <c r="W2070" s="526"/>
      <c r="X2070" s="520"/>
      <c r="Y2070" s="244"/>
      <c r="AA2070" s="244"/>
      <c r="AC2070" s="244"/>
      <c r="AD2070" s="244"/>
      <c r="AE2070" s="244"/>
      <c r="AF2070" s="244"/>
    </row>
    <row r="2071" spans="4:32" x14ac:dyDescent="0.3">
      <c r="D2071" s="513"/>
      <c r="E2071" s="513"/>
      <c r="F2071" s="515"/>
      <c r="G2071" s="515"/>
      <c r="I2071" s="513"/>
      <c r="J2071" s="244"/>
      <c r="K2071" s="244"/>
      <c r="L2071" s="513"/>
      <c r="M2071" s="244"/>
      <c r="N2071" s="244"/>
      <c r="O2071" s="244"/>
      <c r="P2071" s="244"/>
      <c r="Q2071" s="244"/>
      <c r="R2071" s="244"/>
      <c r="S2071" s="244"/>
      <c r="T2071" s="244"/>
      <c r="U2071" s="244"/>
      <c r="V2071" s="244"/>
      <c r="W2071" s="526"/>
      <c r="X2071" s="520"/>
      <c r="Y2071" s="244"/>
      <c r="AA2071" s="244"/>
      <c r="AC2071" s="244"/>
      <c r="AD2071" s="244"/>
      <c r="AE2071" s="244"/>
      <c r="AF2071" s="244"/>
    </row>
    <row r="2072" spans="4:32" x14ac:dyDescent="0.3">
      <c r="D2072" s="513"/>
      <c r="E2072" s="513"/>
      <c r="F2072" s="515"/>
      <c r="G2072" s="515"/>
      <c r="I2072" s="513"/>
      <c r="J2072" s="244"/>
      <c r="K2072" s="244"/>
      <c r="L2072" s="513"/>
      <c r="M2072" s="244"/>
      <c r="N2072" s="244"/>
      <c r="O2072" s="244"/>
      <c r="P2072" s="244"/>
      <c r="Q2072" s="244"/>
      <c r="R2072" s="244"/>
      <c r="S2072" s="244"/>
      <c r="T2072" s="244"/>
      <c r="U2072" s="244"/>
      <c r="V2072" s="244"/>
      <c r="W2072" s="526"/>
      <c r="X2072" s="520"/>
      <c r="Y2072" s="244"/>
      <c r="AA2072" s="244"/>
      <c r="AC2072" s="244"/>
      <c r="AD2072" s="244"/>
      <c r="AE2072" s="244"/>
      <c r="AF2072" s="244"/>
    </row>
    <row r="2073" spans="4:32" x14ac:dyDescent="0.3">
      <c r="D2073" s="513"/>
      <c r="E2073" s="513"/>
      <c r="F2073" s="515"/>
      <c r="G2073" s="515"/>
      <c r="I2073" s="513"/>
      <c r="J2073" s="244"/>
      <c r="K2073" s="244"/>
      <c r="L2073" s="513"/>
      <c r="M2073" s="244"/>
      <c r="N2073" s="244"/>
      <c r="O2073" s="244"/>
      <c r="P2073" s="244"/>
      <c r="Q2073" s="244"/>
      <c r="R2073" s="244"/>
      <c r="S2073" s="244"/>
      <c r="T2073" s="244"/>
      <c r="U2073" s="244"/>
      <c r="V2073" s="244"/>
      <c r="W2073" s="526"/>
      <c r="X2073" s="520"/>
      <c r="Y2073" s="244"/>
      <c r="AA2073" s="244"/>
      <c r="AC2073" s="244"/>
      <c r="AD2073" s="244"/>
      <c r="AE2073" s="244"/>
      <c r="AF2073" s="244"/>
    </row>
    <row r="2074" spans="4:32" x14ac:dyDescent="0.3">
      <c r="D2074" s="513"/>
      <c r="E2074" s="513"/>
      <c r="F2074" s="515"/>
      <c r="G2074" s="515"/>
      <c r="I2074" s="513"/>
      <c r="J2074" s="244"/>
      <c r="K2074" s="244"/>
      <c r="L2074" s="513"/>
      <c r="M2074" s="244"/>
      <c r="N2074" s="244"/>
      <c r="O2074" s="244"/>
      <c r="P2074" s="244"/>
      <c r="Q2074" s="244"/>
      <c r="R2074" s="244"/>
      <c r="S2074" s="244"/>
      <c r="T2074" s="244"/>
      <c r="U2074" s="244"/>
      <c r="V2074" s="244"/>
      <c r="W2074" s="526"/>
      <c r="X2074" s="520"/>
      <c r="Y2074" s="244"/>
      <c r="AA2074" s="244"/>
      <c r="AC2074" s="244"/>
      <c r="AD2074" s="244"/>
      <c r="AE2074" s="244"/>
      <c r="AF2074" s="244"/>
    </row>
    <row r="2075" spans="4:32" x14ac:dyDescent="0.3">
      <c r="D2075" s="513"/>
      <c r="E2075" s="513"/>
      <c r="F2075" s="515"/>
      <c r="G2075" s="515"/>
      <c r="I2075" s="513"/>
      <c r="J2075" s="244"/>
      <c r="K2075" s="244"/>
      <c r="L2075" s="513"/>
      <c r="M2075" s="244"/>
      <c r="N2075" s="244"/>
      <c r="O2075" s="244"/>
      <c r="P2075" s="244"/>
      <c r="Q2075" s="244"/>
      <c r="R2075" s="244"/>
      <c r="S2075" s="244"/>
      <c r="T2075" s="244"/>
      <c r="U2075" s="244"/>
      <c r="V2075" s="244"/>
      <c r="W2075" s="526"/>
      <c r="X2075" s="520"/>
      <c r="Y2075" s="244"/>
      <c r="AA2075" s="244"/>
      <c r="AC2075" s="244"/>
      <c r="AD2075" s="244"/>
      <c r="AE2075" s="244"/>
      <c r="AF2075" s="244"/>
    </row>
    <row r="2076" spans="4:32" x14ac:dyDescent="0.3">
      <c r="D2076" s="513"/>
      <c r="E2076" s="513"/>
      <c r="F2076" s="515"/>
      <c r="G2076" s="515"/>
      <c r="I2076" s="513"/>
      <c r="J2076" s="244"/>
      <c r="K2076" s="244"/>
      <c r="L2076" s="513"/>
      <c r="M2076" s="244"/>
      <c r="N2076" s="244"/>
      <c r="O2076" s="244"/>
      <c r="P2076" s="244"/>
      <c r="Q2076" s="244"/>
      <c r="R2076" s="244"/>
      <c r="S2076" s="244"/>
      <c r="T2076" s="244"/>
      <c r="U2076" s="244"/>
      <c r="V2076" s="244"/>
      <c r="W2076" s="526"/>
      <c r="X2076" s="520"/>
      <c r="Y2076" s="244"/>
      <c r="AA2076" s="244"/>
      <c r="AC2076" s="244"/>
      <c r="AD2076" s="244"/>
      <c r="AE2076" s="244"/>
      <c r="AF2076" s="244"/>
    </row>
    <row r="2077" spans="4:32" x14ac:dyDescent="0.3">
      <c r="D2077" s="513"/>
      <c r="E2077" s="513"/>
      <c r="F2077" s="515"/>
      <c r="G2077" s="515"/>
      <c r="I2077" s="513"/>
      <c r="J2077" s="244"/>
      <c r="K2077" s="244"/>
      <c r="L2077" s="513"/>
      <c r="M2077" s="244"/>
      <c r="N2077" s="244"/>
      <c r="O2077" s="244"/>
      <c r="P2077" s="244"/>
      <c r="Q2077" s="244"/>
      <c r="R2077" s="244"/>
      <c r="S2077" s="244"/>
      <c r="T2077" s="244"/>
      <c r="U2077" s="244"/>
      <c r="V2077" s="244"/>
      <c r="W2077" s="526"/>
      <c r="X2077" s="520"/>
      <c r="Y2077" s="244"/>
      <c r="AA2077" s="244"/>
      <c r="AC2077" s="244"/>
      <c r="AD2077" s="244"/>
      <c r="AE2077" s="244"/>
      <c r="AF2077" s="244"/>
    </row>
    <row r="2078" spans="4:32" x14ac:dyDescent="0.3">
      <c r="D2078" s="513"/>
      <c r="E2078" s="513"/>
      <c r="F2078" s="515"/>
      <c r="G2078" s="515"/>
      <c r="I2078" s="513"/>
      <c r="J2078" s="244"/>
      <c r="K2078" s="244"/>
      <c r="L2078" s="513"/>
      <c r="M2078" s="244"/>
      <c r="N2078" s="244"/>
      <c r="O2078" s="244"/>
      <c r="P2078" s="244"/>
      <c r="Q2078" s="244"/>
      <c r="R2078" s="244"/>
      <c r="S2078" s="244"/>
      <c r="T2078" s="244"/>
      <c r="U2078" s="244"/>
      <c r="V2078" s="244"/>
      <c r="W2078" s="526"/>
      <c r="X2078" s="520"/>
      <c r="Y2078" s="244"/>
      <c r="AA2078" s="244"/>
      <c r="AC2078" s="244"/>
      <c r="AD2078" s="244"/>
      <c r="AE2078" s="244"/>
      <c r="AF2078" s="244"/>
    </row>
    <row r="2079" spans="4:32" x14ac:dyDescent="0.3">
      <c r="D2079" s="513"/>
      <c r="E2079" s="513"/>
      <c r="F2079" s="515"/>
      <c r="G2079" s="515"/>
      <c r="I2079" s="513"/>
      <c r="J2079" s="244"/>
      <c r="K2079" s="244"/>
      <c r="L2079" s="513"/>
      <c r="M2079" s="244"/>
      <c r="N2079" s="244"/>
      <c r="O2079" s="244"/>
      <c r="P2079" s="244"/>
      <c r="Q2079" s="244"/>
      <c r="R2079" s="244"/>
      <c r="S2079" s="244"/>
      <c r="T2079" s="244"/>
      <c r="U2079" s="244"/>
      <c r="V2079" s="244"/>
      <c r="W2079" s="526"/>
      <c r="X2079" s="520"/>
      <c r="Y2079" s="244"/>
      <c r="AA2079" s="244"/>
      <c r="AC2079" s="244"/>
      <c r="AD2079" s="244"/>
      <c r="AE2079" s="244"/>
      <c r="AF2079" s="244"/>
    </row>
    <row r="2080" spans="4:32" x14ac:dyDescent="0.3">
      <c r="D2080" s="513"/>
      <c r="E2080" s="513"/>
      <c r="F2080" s="515"/>
      <c r="G2080" s="515"/>
      <c r="I2080" s="513"/>
      <c r="J2080" s="244"/>
      <c r="K2080" s="244"/>
      <c r="L2080" s="513"/>
      <c r="M2080" s="244"/>
      <c r="N2080" s="244"/>
      <c r="O2080" s="244"/>
      <c r="P2080" s="244"/>
      <c r="Q2080" s="244"/>
      <c r="R2080" s="244"/>
      <c r="S2080" s="244"/>
      <c r="T2080" s="244"/>
      <c r="U2080" s="244"/>
      <c r="V2080" s="244"/>
      <c r="W2080" s="526"/>
      <c r="X2080" s="520"/>
      <c r="Y2080" s="244"/>
      <c r="AA2080" s="244"/>
      <c r="AC2080" s="244"/>
      <c r="AD2080" s="244"/>
      <c r="AE2080" s="244"/>
      <c r="AF2080" s="244"/>
    </row>
    <row r="2081" spans="4:32" x14ac:dyDescent="0.3">
      <c r="D2081" s="513"/>
      <c r="E2081" s="513"/>
      <c r="F2081" s="515"/>
      <c r="G2081" s="515"/>
      <c r="I2081" s="513"/>
      <c r="J2081" s="244"/>
      <c r="K2081" s="244"/>
      <c r="L2081" s="513"/>
      <c r="M2081" s="244"/>
      <c r="N2081" s="244"/>
      <c r="O2081" s="244"/>
      <c r="P2081" s="244"/>
      <c r="Q2081" s="244"/>
      <c r="R2081" s="244"/>
      <c r="S2081" s="244"/>
      <c r="T2081" s="244"/>
      <c r="U2081" s="244"/>
      <c r="V2081" s="244"/>
      <c r="W2081" s="526"/>
      <c r="X2081" s="520"/>
      <c r="Y2081" s="244"/>
      <c r="AA2081" s="244"/>
      <c r="AC2081" s="244"/>
      <c r="AD2081" s="244"/>
      <c r="AE2081" s="244"/>
      <c r="AF2081" s="244"/>
    </row>
    <row r="2082" spans="4:32" x14ac:dyDescent="0.3">
      <c r="D2082" s="513"/>
      <c r="E2082" s="513"/>
      <c r="F2082" s="515"/>
      <c r="G2082" s="515"/>
      <c r="I2082" s="513"/>
      <c r="J2082" s="244"/>
      <c r="K2082" s="244"/>
      <c r="L2082" s="513"/>
      <c r="M2082" s="244"/>
      <c r="N2082" s="244"/>
      <c r="O2082" s="244"/>
      <c r="P2082" s="244"/>
      <c r="Q2082" s="244"/>
      <c r="R2082" s="244"/>
      <c r="S2082" s="244"/>
      <c r="T2082" s="244"/>
      <c r="U2082" s="244"/>
      <c r="V2082" s="244"/>
      <c r="W2082" s="526"/>
      <c r="X2082" s="520"/>
      <c r="Y2082" s="244"/>
      <c r="AA2082" s="244"/>
      <c r="AC2082" s="244"/>
      <c r="AD2082" s="244"/>
      <c r="AE2082" s="244"/>
      <c r="AF2082" s="244"/>
    </row>
    <row r="2083" spans="4:32" x14ac:dyDescent="0.3">
      <c r="D2083" s="513"/>
      <c r="E2083" s="513"/>
      <c r="F2083" s="515"/>
      <c r="G2083" s="515"/>
      <c r="I2083" s="513"/>
      <c r="J2083" s="244"/>
      <c r="K2083" s="244"/>
      <c r="L2083" s="513"/>
      <c r="M2083" s="244"/>
      <c r="N2083" s="244"/>
      <c r="O2083" s="244"/>
      <c r="P2083" s="244"/>
      <c r="Q2083" s="244"/>
      <c r="R2083" s="244"/>
      <c r="S2083" s="244"/>
      <c r="T2083" s="244"/>
      <c r="U2083" s="244"/>
      <c r="V2083" s="244"/>
      <c r="W2083" s="526"/>
      <c r="X2083" s="520"/>
      <c r="Y2083" s="244"/>
      <c r="AA2083" s="244"/>
      <c r="AC2083" s="244"/>
      <c r="AD2083" s="244"/>
      <c r="AE2083" s="244"/>
      <c r="AF2083" s="244"/>
    </row>
    <row r="2084" spans="4:32" x14ac:dyDescent="0.3">
      <c r="D2084" s="513"/>
      <c r="E2084" s="513"/>
      <c r="F2084" s="515"/>
      <c r="G2084" s="515"/>
      <c r="I2084" s="513"/>
      <c r="J2084" s="244"/>
      <c r="K2084" s="244"/>
      <c r="L2084" s="513"/>
      <c r="M2084" s="244"/>
      <c r="N2084" s="244"/>
      <c r="O2084" s="244"/>
      <c r="P2084" s="244"/>
      <c r="Q2084" s="244"/>
      <c r="R2084" s="244"/>
      <c r="S2084" s="244"/>
      <c r="T2084" s="244"/>
      <c r="U2084" s="244"/>
      <c r="V2084" s="244"/>
      <c r="W2084" s="526"/>
      <c r="X2084" s="520"/>
      <c r="Y2084" s="244"/>
      <c r="AA2084" s="244"/>
      <c r="AC2084" s="244"/>
      <c r="AD2084" s="244"/>
      <c r="AE2084" s="244"/>
      <c r="AF2084" s="244"/>
    </row>
    <row r="2085" spans="4:32" x14ac:dyDescent="0.3">
      <c r="D2085" s="513"/>
      <c r="E2085" s="513"/>
      <c r="F2085" s="515"/>
      <c r="G2085" s="515"/>
      <c r="I2085" s="513"/>
      <c r="J2085" s="244"/>
      <c r="K2085" s="244"/>
      <c r="L2085" s="513"/>
      <c r="M2085" s="244"/>
      <c r="N2085" s="244"/>
      <c r="O2085" s="244"/>
      <c r="P2085" s="244"/>
      <c r="Q2085" s="244"/>
      <c r="R2085" s="244"/>
      <c r="S2085" s="244"/>
      <c r="T2085" s="244"/>
      <c r="U2085" s="244"/>
      <c r="V2085" s="244"/>
      <c r="W2085" s="526"/>
      <c r="X2085" s="520"/>
      <c r="Y2085" s="244"/>
      <c r="AA2085" s="244"/>
      <c r="AC2085" s="244"/>
      <c r="AD2085" s="244"/>
      <c r="AE2085" s="244"/>
      <c r="AF2085" s="244"/>
    </row>
    <row r="2086" spans="4:32" x14ac:dyDescent="0.3">
      <c r="D2086" s="513"/>
      <c r="E2086" s="513"/>
      <c r="F2086" s="515"/>
      <c r="G2086" s="515"/>
      <c r="I2086" s="513"/>
      <c r="J2086" s="244"/>
      <c r="K2086" s="244"/>
      <c r="L2086" s="513"/>
      <c r="M2086" s="244"/>
      <c r="N2086" s="244"/>
      <c r="O2086" s="244"/>
      <c r="P2086" s="244"/>
      <c r="Q2086" s="244"/>
      <c r="R2086" s="244"/>
      <c r="S2086" s="244"/>
      <c r="T2086" s="244"/>
      <c r="U2086" s="244"/>
      <c r="V2086" s="244"/>
      <c r="W2086" s="526"/>
      <c r="X2086" s="520"/>
      <c r="Y2086" s="244"/>
      <c r="AA2086" s="244"/>
      <c r="AC2086" s="244"/>
      <c r="AD2086" s="244"/>
      <c r="AE2086" s="244"/>
      <c r="AF2086" s="244"/>
    </row>
    <row r="2087" spans="4:32" x14ac:dyDescent="0.3">
      <c r="D2087" s="513"/>
      <c r="E2087" s="513"/>
      <c r="F2087" s="515"/>
      <c r="G2087" s="515"/>
      <c r="I2087" s="513"/>
      <c r="J2087" s="244"/>
      <c r="K2087" s="244"/>
      <c r="L2087" s="513"/>
      <c r="M2087" s="244"/>
      <c r="N2087" s="244"/>
      <c r="O2087" s="244"/>
      <c r="P2087" s="244"/>
      <c r="Q2087" s="244"/>
      <c r="R2087" s="244"/>
      <c r="S2087" s="244"/>
      <c r="T2087" s="244"/>
      <c r="U2087" s="244"/>
      <c r="V2087" s="244"/>
      <c r="W2087" s="526"/>
      <c r="X2087" s="520"/>
      <c r="Y2087" s="244"/>
      <c r="AA2087" s="244"/>
      <c r="AC2087" s="244"/>
      <c r="AD2087" s="244"/>
      <c r="AE2087" s="244"/>
      <c r="AF2087" s="244"/>
    </row>
    <row r="2088" spans="4:32" x14ac:dyDescent="0.3">
      <c r="D2088" s="513"/>
      <c r="E2088" s="513"/>
      <c r="F2088" s="515"/>
      <c r="G2088" s="515"/>
      <c r="I2088" s="513"/>
      <c r="J2088" s="244"/>
      <c r="K2088" s="244"/>
      <c r="L2088" s="513"/>
      <c r="M2088" s="244"/>
      <c r="N2088" s="244"/>
      <c r="O2088" s="244"/>
      <c r="P2088" s="244"/>
      <c r="Q2088" s="244"/>
      <c r="R2088" s="244"/>
      <c r="S2088" s="244"/>
      <c r="T2088" s="244"/>
      <c r="U2088" s="244"/>
      <c r="V2088" s="244"/>
      <c r="W2088" s="526"/>
      <c r="X2088" s="520"/>
      <c r="Y2088" s="244"/>
      <c r="AA2088" s="244"/>
      <c r="AC2088" s="244"/>
      <c r="AD2088" s="244"/>
      <c r="AE2088" s="244"/>
      <c r="AF2088" s="244"/>
    </row>
    <row r="2089" spans="4:32" x14ac:dyDescent="0.3">
      <c r="D2089" s="513"/>
      <c r="E2089" s="513"/>
      <c r="F2089" s="515"/>
      <c r="G2089" s="515"/>
      <c r="I2089" s="513"/>
      <c r="J2089" s="244"/>
      <c r="K2089" s="244"/>
      <c r="L2089" s="513"/>
      <c r="M2089" s="244"/>
      <c r="N2089" s="244"/>
      <c r="O2089" s="244"/>
      <c r="P2089" s="244"/>
      <c r="Q2089" s="244"/>
      <c r="R2089" s="244"/>
      <c r="S2089" s="244"/>
      <c r="T2089" s="244"/>
      <c r="U2089" s="244"/>
      <c r="V2089" s="244"/>
      <c r="W2089" s="526"/>
      <c r="X2089" s="520"/>
      <c r="Y2089" s="244"/>
      <c r="AA2089" s="244"/>
      <c r="AC2089" s="244"/>
      <c r="AD2089" s="244"/>
      <c r="AE2089" s="244"/>
      <c r="AF2089" s="244"/>
    </row>
    <row r="2090" spans="4:32" x14ac:dyDescent="0.3">
      <c r="D2090" s="513"/>
      <c r="E2090" s="513"/>
      <c r="F2090" s="515"/>
      <c r="G2090" s="515"/>
      <c r="I2090" s="513"/>
      <c r="J2090" s="244"/>
      <c r="K2090" s="244"/>
      <c r="L2090" s="513"/>
      <c r="M2090" s="244"/>
      <c r="N2090" s="244"/>
      <c r="O2090" s="244"/>
      <c r="P2090" s="244"/>
      <c r="Q2090" s="244"/>
      <c r="R2090" s="244"/>
      <c r="S2090" s="244"/>
      <c r="T2090" s="244"/>
      <c r="U2090" s="244"/>
      <c r="V2090" s="244"/>
      <c r="W2090" s="526"/>
      <c r="X2090" s="520"/>
      <c r="Y2090" s="244"/>
      <c r="AA2090" s="244"/>
      <c r="AC2090" s="244"/>
      <c r="AD2090" s="244"/>
      <c r="AE2090" s="244"/>
      <c r="AF2090" s="244"/>
    </row>
    <row r="2091" spans="4:32" x14ac:dyDescent="0.3">
      <c r="D2091" s="513"/>
      <c r="E2091" s="513"/>
      <c r="F2091" s="515"/>
      <c r="G2091" s="515"/>
      <c r="I2091" s="513"/>
      <c r="J2091" s="244"/>
      <c r="K2091" s="244"/>
      <c r="L2091" s="513"/>
      <c r="M2091" s="244"/>
      <c r="N2091" s="244"/>
      <c r="O2091" s="244"/>
      <c r="P2091" s="244"/>
      <c r="Q2091" s="244"/>
      <c r="R2091" s="244"/>
      <c r="S2091" s="244"/>
      <c r="T2091" s="244"/>
      <c r="U2091" s="244"/>
      <c r="V2091" s="244"/>
      <c r="W2091" s="526"/>
      <c r="X2091" s="520"/>
      <c r="Y2091" s="244"/>
      <c r="AA2091" s="244"/>
      <c r="AC2091" s="244"/>
      <c r="AD2091" s="244"/>
      <c r="AE2091" s="244"/>
      <c r="AF2091" s="244"/>
    </row>
    <row r="2092" spans="4:32" x14ac:dyDescent="0.3">
      <c r="D2092" s="513"/>
      <c r="E2092" s="513"/>
      <c r="F2092" s="515"/>
      <c r="G2092" s="515"/>
      <c r="I2092" s="513"/>
      <c r="J2092" s="244"/>
      <c r="K2092" s="244"/>
      <c r="L2092" s="513"/>
      <c r="M2092" s="244"/>
      <c r="N2092" s="244"/>
      <c r="O2092" s="244"/>
      <c r="P2092" s="244"/>
      <c r="Q2092" s="244"/>
      <c r="R2092" s="244"/>
      <c r="S2092" s="244"/>
      <c r="T2092" s="244"/>
      <c r="U2092" s="244"/>
      <c r="V2092" s="244"/>
      <c r="W2092" s="526"/>
      <c r="X2092" s="520"/>
      <c r="Y2092" s="244"/>
      <c r="AA2092" s="244"/>
      <c r="AC2092" s="244"/>
      <c r="AD2092" s="244"/>
      <c r="AE2092" s="244"/>
      <c r="AF2092" s="244"/>
    </row>
    <row r="2093" spans="4:32" x14ac:dyDescent="0.3">
      <c r="D2093" s="513"/>
      <c r="E2093" s="513"/>
      <c r="F2093" s="515"/>
      <c r="G2093" s="515"/>
      <c r="I2093" s="513"/>
      <c r="J2093" s="244"/>
      <c r="K2093" s="244"/>
      <c r="L2093" s="513"/>
      <c r="M2093" s="244"/>
      <c r="N2093" s="244"/>
      <c r="O2093" s="244"/>
      <c r="P2093" s="244"/>
      <c r="Q2093" s="244"/>
      <c r="R2093" s="244"/>
      <c r="S2093" s="244"/>
      <c r="T2093" s="244"/>
      <c r="U2093" s="244"/>
      <c r="V2093" s="244"/>
      <c r="W2093" s="526"/>
      <c r="X2093" s="520"/>
      <c r="Y2093" s="244"/>
      <c r="AA2093" s="244"/>
      <c r="AC2093" s="244"/>
      <c r="AD2093" s="244"/>
      <c r="AE2093" s="244"/>
      <c r="AF2093" s="244"/>
    </row>
    <row r="2094" spans="4:32" x14ac:dyDescent="0.3">
      <c r="D2094" s="513"/>
      <c r="E2094" s="513"/>
      <c r="F2094" s="515"/>
      <c r="G2094" s="515"/>
      <c r="I2094" s="513"/>
      <c r="J2094" s="244"/>
      <c r="K2094" s="244"/>
      <c r="L2094" s="513"/>
      <c r="M2094" s="244"/>
      <c r="N2094" s="244"/>
      <c r="O2094" s="244"/>
      <c r="P2094" s="244"/>
      <c r="Q2094" s="244"/>
      <c r="R2094" s="244"/>
      <c r="S2094" s="244"/>
      <c r="T2094" s="244"/>
      <c r="U2094" s="244"/>
      <c r="V2094" s="244"/>
      <c r="W2094" s="526"/>
      <c r="X2094" s="520"/>
      <c r="Y2094" s="244"/>
      <c r="AA2094" s="244"/>
      <c r="AC2094" s="244"/>
      <c r="AD2094" s="244"/>
      <c r="AE2094" s="244"/>
      <c r="AF2094" s="244"/>
    </row>
    <row r="2095" spans="4:32" x14ac:dyDescent="0.3">
      <c r="D2095" s="513"/>
      <c r="E2095" s="513"/>
      <c r="F2095" s="515"/>
      <c r="G2095" s="515"/>
      <c r="I2095" s="513"/>
      <c r="J2095" s="244"/>
      <c r="K2095" s="244"/>
      <c r="L2095" s="513"/>
      <c r="M2095" s="244"/>
      <c r="N2095" s="244"/>
      <c r="O2095" s="244"/>
      <c r="P2095" s="244"/>
      <c r="Q2095" s="244"/>
      <c r="R2095" s="244"/>
      <c r="S2095" s="244"/>
      <c r="T2095" s="244"/>
      <c r="U2095" s="244"/>
      <c r="V2095" s="244"/>
      <c r="W2095" s="526"/>
      <c r="X2095" s="520"/>
      <c r="Y2095" s="244"/>
      <c r="AA2095" s="244"/>
      <c r="AC2095" s="244"/>
      <c r="AD2095" s="244"/>
      <c r="AE2095" s="244"/>
      <c r="AF2095" s="244"/>
    </row>
    <row r="2096" spans="4:32" x14ac:dyDescent="0.3">
      <c r="D2096" s="513"/>
      <c r="E2096" s="513"/>
      <c r="F2096" s="515"/>
      <c r="G2096" s="515"/>
      <c r="I2096" s="513"/>
      <c r="J2096" s="244"/>
      <c r="K2096" s="244"/>
      <c r="L2096" s="513"/>
      <c r="M2096" s="244"/>
      <c r="N2096" s="244"/>
      <c r="O2096" s="244"/>
      <c r="P2096" s="244"/>
      <c r="Q2096" s="244"/>
      <c r="R2096" s="244"/>
      <c r="S2096" s="244"/>
      <c r="T2096" s="244"/>
      <c r="U2096" s="244"/>
      <c r="V2096" s="244"/>
      <c r="W2096" s="526"/>
      <c r="X2096" s="520"/>
      <c r="Y2096" s="244"/>
      <c r="AA2096" s="244"/>
      <c r="AC2096" s="244"/>
      <c r="AD2096" s="244"/>
      <c r="AE2096" s="244"/>
      <c r="AF2096" s="244"/>
    </row>
    <row r="2097" spans="4:32" x14ac:dyDescent="0.3">
      <c r="D2097" s="513"/>
      <c r="E2097" s="513"/>
      <c r="F2097" s="515"/>
      <c r="G2097" s="515"/>
      <c r="I2097" s="513"/>
      <c r="J2097" s="244"/>
      <c r="K2097" s="244"/>
      <c r="L2097" s="513"/>
      <c r="M2097" s="244"/>
      <c r="N2097" s="244"/>
      <c r="O2097" s="244"/>
      <c r="P2097" s="244"/>
      <c r="Q2097" s="244"/>
      <c r="R2097" s="244"/>
      <c r="S2097" s="244"/>
      <c r="T2097" s="244"/>
      <c r="U2097" s="244"/>
      <c r="V2097" s="244"/>
      <c r="W2097" s="526"/>
      <c r="X2097" s="520"/>
      <c r="Y2097" s="244"/>
      <c r="AA2097" s="244"/>
      <c r="AC2097" s="244"/>
      <c r="AD2097" s="244"/>
      <c r="AE2097" s="244"/>
      <c r="AF2097" s="244"/>
    </row>
    <row r="2098" spans="4:32" x14ac:dyDescent="0.3">
      <c r="D2098" s="513"/>
      <c r="E2098" s="513"/>
      <c r="F2098" s="515"/>
      <c r="G2098" s="515"/>
      <c r="I2098" s="513"/>
      <c r="J2098" s="244"/>
      <c r="K2098" s="244"/>
      <c r="L2098" s="513"/>
      <c r="M2098" s="244"/>
      <c r="N2098" s="244"/>
      <c r="O2098" s="244"/>
      <c r="P2098" s="244"/>
      <c r="Q2098" s="244"/>
      <c r="R2098" s="244"/>
      <c r="S2098" s="244"/>
      <c r="T2098" s="244"/>
      <c r="U2098" s="244"/>
      <c r="V2098" s="244"/>
      <c r="W2098" s="526"/>
      <c r="X2098" s="520"/>
      <c r="Y2098" s="244"/>
      <c r="AA2098" s="244"/>
      <c r="AC2098" s="244"/>
      <c r="AD2098" s="244"/>
      <c r="AE2098" s="244"/>
      <c r="AF2098" s="244"/>
    </row>
    <row r="2099" spans="4:32" x14ac:dyDescent="0.3">
      <c r="D2099" s="513"/>
      <c r="E2099" s="513"/>
      <c r="F2099" s="515"/>
      <c r="G2099" s="515"/>
      <c r="I2099" s="513"/>
      <c r="J2099" s="244"/>
      <c r="K2099" s="244"/>
      <c r="L2099" s="513"/>
      <c r="M2099" s="244"/>
      <c r="N2099" s="244"/>
      <c r="O2099" s="244"/>
      <c r="P2099" s="244"/>
      <c r="Q2099" s="244"/>
      <c r="R2099" s="244"/>
      <c r="S2099" s="244"/>
      <c r="T2099" s="244"/>
      <c r="U2099" s="244"/>
      <c r="V2099" s="244"/>
      <c r="W2099" s="526"/>
      <c r="X2099" s="520"/>
      <c r="Y2099" s="244"/>
      <c r="AA2099" s="244"/>
      <c r="AC2099" s="244"/>
      <c r="AD2099" s="244"/>
      <c r="AE2099" s="244"/>
      <c r="AF2099" s="244"/>
    </row>
    <row r="2100" spans="4:32" x14ac:dyDescent="0.3">
      <c r="D2100" s="513"/>
      <c r="E2100" s="513"/>
      <c r="F2100" s="515"/>
      <c r="G2100" s="515"/>
      <c r="I2100" s="513"/>
      <c r="J2100" s="244"/>
      <c r="K2100" s="244"/>
      <c r="L2100" s="513"/>
      <c r="M2100" s="244"/>
      <c r="N2100" s="244"/>
      <c r="O2100" s="244"/>
      <c r="P2100" s="244"/>
      <c r="Q2100" s="244"/>
      <c r="R2100" s="244"/>
      <c r="S2100" s="244"/>
      <c r="T2100" s="244"/>
      <c r="U2100" s="244"/>
      <c r="V2100" s="244"/>
      <c r="W2100" s="526"/>
      <c r="X2100" s="520"/>
      <c r="Y2100" s="244"/>
      <c r="Z2100" s="252"/>
      <c r="AA2100" s="244"/>
      <c r="AC2100" s="244"/>
      <c r="AD2100" s="244"/>
      <c r="AE2100" s="244"/>
      <c r="AF2100" s="244"/>
    </row>
    <row r="2101" spans="4:32" x14ac:dyDescent="0.3">
      <c r="D2101" s="513"/>
      <c r="E2101" s="513"/>
      <c r="F2101" s="515"/>
      <c r="G2101" s="515"/>
      <c r="I2101" s="513"/>
      <c r="J2101" s="244"/>
      <c r="K2101" s="244"/>
      <c r="L2101" s="513"/>
      <c r="M2101" s="244"/>
      <c r="N2101" s="244"/>
      <c r="O2101" s="244"/>
      <c r="P2101" s="244"/>
      <c r="Q2101" s="244"/>
      <c r="R2101" s="244"/>
      <c r="S2101" s="244"/>
      <c r="T2101" s="244"/>
      <c r="U2101" s="244"/>
      <c r="V2101" s="244"/>
      <c r="W2101" s="526"/>
      <c r="X2101" s="520"/>
      <c r="Y2101" s="244"/>
      <c r="Z2101" s="252"/>
      <c r="AA2101" s="244"/>
      <c r="AC2101" s="244"/>
      <c r="AD2101" s="244"/>
      <c r="AE2101" s="244"/>
      <c r="AF2101" s="244"/>
    </row>
    <row r="2102" spans="4:32" x14ac:dyDescent="0.3">
      <c r="D2102" s="513"/>
      <c r="E2102" s="513"/>
      <c r="F2102" s="515"/>
      <c r="G2102" s="515"/>
      <c r="I2102" s="513"/>
      <c r="J2102" s="244"/>
      <c r="K2102" s="244"/>
      <c r="L2102" s="513"/>
      <c r="M2102" s="244"/>
      <c r="N2102" s="244"/>
      <c r="O2102" s="244"/>
      <c r="P2102" s="244"/>
      <c r="Q2102" s="244"/>
      <c r="R2102" s="244"/>
      <c r="S2102" s="244"/>
      <c r="T2102" s="244"/>
      <c r="U2102" s="244"/>
      <c r="V2102" s="244"/>
      <c r="W2102" s="526"/>
      <c r="X2102" s="520"/>
      <c r="Y2102" s="244"/>
      <c r="Z2102" s="252"/>
      <c r="AA2102" s="244"/>
      <c r="AC2102" s="244"/>
      <c r="AD2102" s="244"/>
      <c r="AE2102" s="244"/>
      <c r="AF2102" s="244"/>
    </row>
    <row r="2103" spans="4:32" x14ac:dyDescent="0.3">
      <c r="D2103" s="513"/>
      <c r="E2103" s="513"/>
      <c r="F2103" s="515"/>
      <c r="G2103" s="515"/>
      <c r="I2103" s="513"/>
      <c r="J2103" s="244"/>
      <c r="K2103" s="244"/>
      <c r="L2103" s="513"/>
      <c r="M2103" s="244"/>
      <c r="N2103" s="244"/>
      <c r="O2103" s="244"/>
      <c r="P2103" s="244"/>
      <c r="Q2103" s="244"/>
      <c r="R2103" s="244"/>
      <c r="S2103" s="244"/>
      <c r="T2103" s="244"/>
      <c r="U2103" s="244"/>
      <c r="V2103" s="244"/>
      <c r="W2103" s="526"/>
      <c r="X2103" s="520"/>
      <c r="Y2103" s="244"/>
      <c r="Z2103" s="252"/>
      <c r="AA2103" s="244"/>
      <c r="AC2103" s="244"/>
      <c r="AD2103" s="244"/>
      <c r="AE2103" s="244"/>
      <c r="AF2103" s="244"/>
    </row>
    <row r="2104" spans="4:32" x14ac:dyDescent="0.3">
      <c r="D2104" s="513"/>
      <c r="E2104" s="513"/>
      <c r="F2104" s="515"/>
      <c r="G2104" s="515"/>
      <c r="I2104" s="513"/>
      <c r="J2104" s="244"/>
      <c r="K2104" s="244"/>
      <c r="L2104" s="513"/>
      <c r="M2104" s="244"/>
      <c r="N2104" s="244"/>
      <c r="O2104" s="244"/>
      <c r="P2104" s="244"/>
      <c r="Q2104" s="244"/>
      <c r="R2104" s="244"/>
      <c r="S2104" s="244"/>
      <c r="T2104" s="244"/>
      <c r="U2104" s="244"/>
      <c r="V2104" s="244"/>
      <c r="W2104" s="526"/>
      <c r="X2104" s="520"/>
      <c r="Y2104" s="244"/>
      <c r="Z2104" s="252"/>
      <c r="AA2104" s="244"/>
      <c r="AC2104" s="244"/>
      <c r="AD2104" s="244"/>
      <c r="AE2104" s="244"/>
      <c r="AF2104" s="244"/>
    </row>
    <row r="2105" spans="4:32" x14ac:dyDescent="0.3">
      <c r="D2105" s="513"/>
      <c r="E2105" s="513"/>
      <c r="F2105" s="515"/>
      <c r="G2105" s="515"/>
      <c r="I2105" s="513"/>
      <c r="J2105" s="244"/>
      <c r="K2105" s="244"/>
      <c r="L2105" s="513"/>
      <c r="M2105" s="244"/>
      <c r="N2105" s="244"/>
      <c r="O2105" s="244"/>
      <c r="P2105" s="244"/>
      <c r="Q2105" s="244"/>
      <c r="R2105" s="244"/>
      <c r="S2105" s="244"/>
      <c r="T2105" s="244"/>
      <c r="U2105" s="244"/>
      <c r="V2105" s="244"/>
      <c r="W2105" s="526"/>
      <c r="X2105" s="520"/>
      <c r="Y2105" s="244"/>
      <c r="Z2105" s="252"/>
      <c r="AA2105" s="244"/>
      <c r="AC2105" s="244"/>
      <c r="AD2105" s="244"/>
      <c r="AE2105" s="244"/>
      <c r="AF2105" s="244"/>
    </row>
    <row r="2106" spans="4:32" x14ac:dyDescent="0.3">
      <c r="D2106" s="513"/>
      <c r="E2106" s="513"/>
      <c r="F2106" s="515"/>
      <c r="G2106" s="515"/>
      <c r="I2106" s="513"/>
      <c r="J2106" s="244"/>
      <c r="K2106" s="244"/>
      <c r="L2106" s="513"/>
      <c r="M2106" s="244"/>
      <c r="N2106" s="244"/>
      <c r="O2106" s="244"/>
      <c r="P2106" s="244"/>
      <c r="Q2106" s="244"/>
      <c r="R2106" s="244"/>
      <c r="S2106" s="244"/>
      <c r="T2106" s="244"/>
      <c r="U2106" s="244"/>
      <c r="V2106" s="244"/>
      <c r="W2106" s="526"/>
      <c r="X2106" s="520"/>
      <c r="Y2106" s="244"/>
      <c r="Z2106" s="252"/>
      <c r="AA2106" s="244"/>
      <c r="AC2106" s="244"/>
      <c r="AD2106" s="244"/>
      <c r="AE2106" s="244"/>
      <c r="AF2106" s="244"/>
    </row>
  </sheetData>
  <conditionalFormatting sqref="H1:H1048576">
    <cfRule type="duplicateValues" dxfId="46"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DD966-F6A9-44FF-AFB2-9EBC8E4AEBBC}">
  <sheetPr>
    <tabColor rgb="FFFF0000"/>
  </sheetPr>
  <dimension ref="B2:Y184"/>
  <sheetViews>
    <sheetView topLeftCell="A46" zoomScale="50" zoomScaleNormal="80" workbookViewId="0">
      <selection activeCell="B200" sqref="B200"/>
    </sheetView>
  </sheetViews>
  <sheetFormatPr defaultRowHeight="14.4" x14ac:dyDescent="0.3"/>
  <cols>
    <col min="2" max="2" width="21.21875" bestFit="1" customWidth="1"/>
    <col min="7" max="7" width="8.88671875" style="246"/>
    <col min="8" max="8" width="19.109375" bestFit="1" customWidth="1"/>
    <col min="9" max="9" width="36" bestFit="1" customWidth="1"/>
    <col min="12" max="12" width="9" bestFit="1" customWidth="1"/>
    <col min="13" max="13" width="7.77734375" bestFit="1" customWidth="1"/>
    <col min="17" max="17" width="8.88671875" style="554"/>
    <col min="21" max="21" width="10.44140625" bestFit="1" customWidth="1"/>
  </cols>
  <sheetData>
    <row r="2" spans="2:25" x14ac:dyDescent="0.3">
      <c r="B2" s="258"/>
      <c r="C2" s="258"/>
      <c r="D2" s="258"/>
      <c r="E2" s="258"/>
      <c r="F2" s="258"/>
      <c r="G2" s="312"/>
      <c r="H2" s="258"/>
      <c r="I2" s="258"/>
      <c r="J2" s="258"/>
      <c r="K2" s="258"/>
      <c r="L2" s="258"/>
      <c r="M2" s="175"/>
      <c r="N2" s="175"/>
      <c r="O2" s="258"/>
      <c r="P2" s="259" t="s">
        <v>1139</v>
      </c>
      <c r="Q2" s="557"/>
      <c r="R2" s="259"/>
      <c r="S2" s="260"/>
      <c r="T2" s="260"/>
      <c r="U2" s="260"/>
      <c r="V2" s="260"/>
      <c r="W2" s="258"/>
      <c r="X2" s="260"/>
      <c r="Y2" s="261"/>
    </row>
    <row r="3" spans="2:25" ht="27.6" thickBot="1" x14ac:dyDescent="0.35">
      <c r="B3" s="258"/>
      <c r="C3" s="258"/>
      <c r="D3" s="258"/>
      <c r="E3" s="258"/>
      <c r="F3" s="258"/>
      <c r="G3" s="313"/>
      <c r="H3" s="262" t="s">
        <v>1110</v>
      </c>
      <c r="I3" s="263" t="s">
        <v>1111</v>
      </c>
      <c r="J3" s="263" t="s">
        <v>1125</v>
      </c>
      <c r="K3" s="264" t="s">
        <v>1126</v>
      </c>
      <c r="L3" s="264" t="s">
        <v>47</v>
      </c>
      <c r="M3" s="263" t="s">
        <v>49</v>
      </c>
      <c r="N3" s="263" t="s">
        <v>42</v>
      </c>
      <c r="O3" s="263" t="s">
        <v>51</v>
      </c>
      <c r="P3" s="265" t="s">
        <v>1140</v>
      </c>
      <c r="Q3" s="265" t="s">
        <v>1201</v>
      </c>
      <c r="R3" s="265" t="s">
        <v>1141</v>
      </c>
      <c r="S3" s="266" t="s">
        <v>76</v>
      </c>
      <c r="T3" s="265" t="s">
        <v>77</v>
      </c>
      <c r="U3" s="265" t="s">
        <v>1114</v>
      </c>
      <c r="V3" s="267" t="s">
        <v>66</v>
      </c>
      <c r="W3" s="268" t="s">
        <v>1115</v>
      </c>
      <c r="X3" s="258"/>
      <c r="Y3" s="260"/>
    </row>
    <row r="4" spans="2:25" ht="15" thickBot="1" x14ac:dyDescent="0.35">
      <c r="B4" s="258"/>
      <c r="C4" s="258"/>
      <c r="D4" s="258"/>
      <c r="E4" s="258"/>
      <c r="F4" s="258"/>
      <c r="G4" s="312"/>
      <c r="H4" s="269" t="s">
        <v>1116</v>
      </c>
      <c r="I4" s="269"/>
      <c r="J4" s="269"/>
      <c r="K4" s="269"/>
      <c r="L4" s="269"/>
      <c r="M4" s="269"/>
      <c r="N4" s="269"/>
      <c r="O4" s="269"/>
      <c r="P4" s="269"/>
      <c r="Q4" s="269"/>
      <c r="R4" s="269"/>
      <c r="S4" s="269" t="s">
        <v>1118</v>
      </c>
      <c r="T4" s="269" t="s">
        <v>1119</v>
      </c>
      <c r="U4" s="269" t="s">
        <v>1120</v>
      </c>
      <c r="V4" s="269" t="s">
        <v>130</v>
      </c>
      <c r="W4" s="270" t="s">
        <v>1121</v>
      </c>
      <c r="X4" s="258"/>
      <c r="Y4" s="260"/>
    </row>
    <row r="5" spans="2:25" x14ac:dyDescent="0.3">
      <c r="B5" s="271" t="s">
        <v>326</v>
      </c>
      <c r="C5" s="271"/>
      <c r="D5" s="272" t="s">
        <v>1142</v>
      </c>
      <c r="E5" s="271" t="s">
        <v>385</v>
      </c>
      <c r="F5" s="271" t="s">
        <v>1143</v>
      </c>
      <c r="H5" s="273" t="str">
        <f>LEFT(D5,8)&amp;("oOHo")&amp;RIGHT(L5,3)&amp;("01")</f>
        <v>RKAPAoOHoGAS01</v>
      </c>
      <c r="I5" s="273" t="str">
        <f>LEFT(D5,8)&amp;(B5)&amp;RIGHT(L5,3)&amp;(".BAU")</f>
        <v>RKAPAGasOvenHobsGAS.BAU</v>
      </c>
      <c r="J5" s="272" t="s">
        <v>239</v>
      </c>
      <c r="K5" s="274" t="s">
        <v>240</v>
      </c>
      <c r="L5" s="274" t="s">
        <v>1144</v>
      </c>
      <c r="M5" s="272" t="s">
        <v>1142</v>
      </c>
      <c r="N5" s="272">
        <f>X_RSD_HeatingDemand!$AA$14</f>
        <v>2019</v>
      </c>
      <c r="O5" s="272">
        <f>X_RSD_HeatingDemand!$AA$14</f>
        <v>2019</v>
      </c>
      <c r="P5" s="272">
        <v>0.88</v>
      </c>
      <c r="Q5" s="274">
        <f>VLOOKUP(B5,KEY_RSD_AF!$C$5:$D$52,2,FALSE)</f>
        <v>1</v>
      </c>
      <c r="R5" s="272"/>
      <c r="S5" s="275">
        <f>U5*0.01</f>
        <v>0.99582142857142841</v>
      </c>
      <c r="T5" s="272"/>
      <c r="U5" s="276">
        <f>278.83/185*U11</f>
        <v>99.582142857142841</v>
      </c>
      <c r="V5" s="272">
        <v>17</v>
      </c>
      <c r="W5" s="272">
        <v>31.536000000000001</v>
      </c>
      <c r="X5" s="258"/>
      <c r="Y5" s="260"/>
    </row>
    <row r="6" spans="2:25" x14ac:dyDescent="0.3">
      <c r="B6" s="271" t="s">
        <v>326</v>
      </c>
      <c r="C6" s="271"/>
      <c r="D6" s="272" t="s">
        <v>1142</v>
      </c>
      <c r="E6" s="271" t="s">
        <v>385</v>
      </c>
      <c r="F6" s="271" t="s">
        <v>1143</v>
      </c>
      <c r="H6" s="258" t="str">
        <f>LEFT(D6,8)&amp;("oOHo")&amp;RIGHT(L6,3)&amp;("02")</f>
        <v>RKAPAoOHoGAS02</v>
      </c>
      <c r="I6" s="258" t="str">
        <f>LEFT(D6,8)&amp;(B6)&amp;RIGHT(L6,3)&amp;(".BAT")</f>
        <v>RKAPAGasOvenHobsGAS.BAT</v>
      </c>
      <c r="J6" s="272" t="str">
        <f>J5</f>
        <v>MW</v>
      </c>
      <c r="K6" s="274" t="s">
        <v>240</v>
      </c>
      <c r="L6" s="274" t="s">
        <v>1144</v>
      </c>
      <c r="M6" s="272" t="s">
        <v>1142</v>
      </c>
      <c r="N6" s="272">
        <f>X_RSD_HeatingDemand!$AA$14</f>
        <v>2019</v>
      </c>
      <c r="O6" s="272">
        <f>X_RSD_HeatingDemand!$AA$14</f>
        <v>2019</v>
      </c>
      <c r="P6" s="272">
        <v>0.44</v>
      </c>
      <c r="Q6" s="274">
        <f>VLOOKUP(B6,KEY_RSD_AF!$C$5:$D$52,2,FALSE)</f>
        <v>1</v>
      </c>
      <c r="R6" s="272"/>
      <c r="S6" s="275">
        <f>U6*0.01</f>
        <v>0.84644821428571415</v>
      </c>
      <c r="T6" s="272"/>
      <c r="U6" s="276">
        <f>U5*0.85</f>
        <v>84.644821428571419</v>
      </c>
      <c r="V6" s="272">
        <v>17</v>
      </c>
      <c r="W6" s="272">
        <v>31.536000000000001</v>
      </c>
      <c r="X6" s="258"/>
      <c r="Y6" s="260"/>
    </row>
    <row r="7" spans="2:25" x14ac:dyDescent="0.3">
      <c r="B7" s="271" t="s">
        <v>328</v>
      </c>
      <c r="C7" s="271"/>
      <c r="D7" s="272" t="s">
        <v>1142</v>
      </c>
      <c r="E7" s="271" t="s">
        <v>99</v>
      </c>
      <c r="F7" s="271" t="s">
        <v>1143</v>
      </c>
      <c r="H7" s="273" t="str">
        <f>LEFT(D7,8)&amp;("oOHo")&amp;RIGHT(L7,3)&amp;("01")</f>
        <v>RKAPAoOHoELC01</v>
      </c>
      <c r="I7" s="273" t="str">
        <f>LEFT(D7,8)&amp;(B7)&amp;RIGHT(L7,3)&amp;(".BAU")</f>
        <v>RKAPAElectricOvenHobsELC.BAU</v>
      </c>
      <c r="J7" s="272" t="str">
        <f>J5</f>
        <v>MW</v>
      </c>
      <c r="K7" s="274" t="s">
        <v>240</v>
      </c>
      <c r="L7" s="274" t="s">
        <v>1145</v>
      </c>
      <c r="M7" s="272" t="s">
        <v>1142</v>
      </c>
      <c r="N7" s="272">
        <f>X_RSD_HeatingDemand!$AA$14</f>
        <v>2019</v>
      </c>
      <c r="O7" s="272">
        <f>X_RSD_HeatingDemand!$AA$14</f>
        <v>2019</v>
      </c>
      <c r="P7" s="272">
        <v>0.9</v>
      </c>
      <c r="Q7" s="274">
        <f>VLOOKUP(B7,KEY_RSD_AF!$C$5:$D$52,2,FALSE)</f>
        <v>1</v>
      </c>
      <c r="R7" s="272"/>
      <c r="S7" s="275">
        <f>U7*0.01</f>
        <v>5.4142857142857146</v>
      </c>
      <c r="T7" s="272"/>
      <c r="U7" s="276">
        <f>U10/405*758</f>
        <v>541.42857142857144</v>
      </c>
      <c r="V7" s="272">
        <v>17</v>
      </c>
      <c r="W7" s="272">
        <v>31.536000000000001</v>
      </c>
      <c r="X7" s="258"/>
      <c r="Y7" s="260"/>
    </row>
    <row r="8" spans="2:25" x14ac:dyDescent="0.3">
      <c r="B8" s="271" t="s">
        <v>328</v>
      </c>
      <c r="C8" s="271"/>
      <c r="D8" s="272" t="s">
        <v>1142</v>
      </c>
      <c r="E8" s="271" t="s">
        <v>99</v>
      </c>
      <c r="F8" s="271" t="s">
        <v>1143</v>
      </c>
      <c r="H8" s="258" t="str">
        <f>LEFT(D8,8)&amp;("oOHo")&amp;RIGHT(L8,3)&amp;("02")</f>
        <v>RKAPAoOHoELC02</v>
      </c>
      <c r="I8" s="258" t="str">
        <f t="shared" ref="I8:I16" si="0">LEFT(D8,8)&amp;(B8)&amp;RIGHT(L8,3)&amp;(".BAT")</f>
        <v>RKAPAElectricOvenHobsELC.BAT</v>
      </c>
      <c r="J8" s="272" t="str">
        <f>J5</f>
        <v>MW</v>
      </c>
      <c r="K8" s="274" t="s">
        <v>240</v>
      </c>
      <c r="L8" s="274" t="s">
        <v>1145</v>
      </c>
      <c r="M8" s="272" t="s">
        <v>1142</v>
      </c>
      <c r="N8" s="272">
        <f>X_RSD_HeatingDemand!$AA$14</f>
        <v>2019</v>
      </c>
      <c r="O8" s="272">
        <f>X_RSD_HeatingDemand!$AA$14</f>
        <v>2019</v>
      </c>
      <c r="P8" s="272">
        <v>0.7</v>
      </c>
      <c r="Q8" s="274">
        <f>VLOOKUP(B8,KEY_RSD_AF!$C$5:$D$52,2,FALSE)</f>
        <v>1</v>
      </c>
      <c r="R8" s="272"/>
      <c r="S8" s="275">
        <f>U8*0.01</f>
        <v>3.2485714285714282</v>
      </c>
      <c r="T8" s="272"/>
      <c r="U8" s="276">
        <f>U7*0.6</f>
        <v>324.85714285714283</v>
      </c>
      <c r="V8" s="272">
        <v>17</v>
      </c>
      <c r="W8" s="272">
        <v>31.536000000000001</v>
      </c>
      <c r="X8" s="258"/>
      <c r="Y8" s="260"/>
    </row>
    <row r="9" spans="2:25" x14ac:dyDescent="0.3">
      <c r="B9" s="271" t="s">
        <v>330</v>
      </c>
      <c r="C9" s="271"/>
      <c r="D9" s="272" t="s">
        <v>1142</v>
      </c>
      <c r="E9" s="271" t="s">
        <v>99</v>
      </c>
      <c r="F9" s="271" t="s">
        <v>1143</v>
      </c>
      <c r="H9" s="273" t="str">
        <f>LEFT(D9,8)&amp;("oOHo")&amp;RIGHT(L9,3)&amp;("02")</f>
        <v>RKAPAoOHoLPG02</v>
      </c>
      <c r="I9" s="273" t="str">
        <f t="shared" si="0"/>
        <v>RKAPALPGOvenHobsLPG.BAT</v>
      </c>
      <c r="J9" s="272" t="s">
        <v>239</v>
      </c>
      <c r="K9" s="274" t="s">
        <v>240</v>
      </c>
      <c r="L9" s="274" t="s">
        <v>1146</v>
      </c>
      <c r="M9" s="272" t="s">
        <v>1142</v>
      </c>
      <c r="N9" s="272">
        <f>X_RSD_HeatingDemand!$AA$14</f>
        <v>2019</v>
      </c>
      <c r="O9" s="272">
        <f>X_RSD_HeatingDemand!$AA$14</f>
        <v>2019</v>
      </c>
      <c r="P9" s="272">
        <v>0.44</v>
      </c>
      <c r="Q9" s="274">
        <f>VLOOKUP(B9,KEY_RSD_AF!$C$5:$D$52,2,FALSE)</f>
        <v>1</v>
      </c>
      <c r="R9" s="272"/>
      <c r="S9" s="275">
        <f>S5</f>
        <v>0.99582142857142841</v>
      </c>
      <c r="T9" s="272"/>
      <c r="U9" s="276">
        <f>U12*201/168</f>
        <v>26.799999999999997</v>
      </c>
      <c r="V9" s="272">
        <v>17</v>
      </c>
      <c r="W9" s="272">
        <v>31.536000000000001</v>
      </c>
      <c r="X9" s="258"/>
      <c r="Y9" s="260"/>
    </row>
    <row r="10" spans="2:25" x14ac:dyDescent="0.3">
      <c r="B10" s="271" t="s">
        <v>332</v>
      </c>
      <c r="C10" s="271"/>
      <c r="D10" s="272" t="s">
        <v>1142</v>
      </c>
      <c r="E10" s="271" t="s">
        <v>99</v>
      </c>
      <c r="F10" s="271" t="s">
        <v>1143</v>
      </c>
      <c r="H10" s="258" t="str">
        <f>LEFT(D10,8)&amp;("oRo")&amp;RIGHT(L10,3)&amp;("02")</f>
        <v>RKAPAoRoELC02</v>
      </c>
      <c r="I10" s="258" t="str">
        <f t="shared" si="0"/>
        <v>RKAPAElectricRangeELC.BAT</v>
      </c>
      <c r="J10" s="272" t="s">
        <v>239</v>
      </c>
      <c r="K10" s="274" t="s">
        <v>240</v>
      </c>
      <c r="L10" s="274" t="s">
        <v>1145</v>
      </c>
      <c r="M10" s="272" t="s">
        <v>1142</v>
      </c>
      <c r="N10" s="272">
        <f>X_RSD_HeatingDemand!$AA$14</f>
        <v>2019</v>
      </c>
      <c r="O10" s="272">
        <f>X_RSD_HeatingDemand!$AA$14</f>
        <v>2019</v>
      </c>
      <c r="P10" s="272">
        <v>0.88</v>
      </c>
      <c r="Q10" s="274">
        <f>VLOOKUP(B10,KEY_RSD_AF!$C$5:$D$52,2,FALSE)</f>
        <v>1</v>
      </c>
      <c r="R10" s="272"/>
      <c r="S10" s="275">
        <f>U10*0.01</f>
        <v>2.8928571428571428</v>
      </c>
      <c r="T10" s="272"/>
      <c r="U10" s="276">
        <f>405/1.4</f>
        <v>289.28571428571428</v>
      </c>
      <c r="V10" s="272">
        <v>17</v>
      </c>
      <c r="W10" s="272">
        <v>31.536000000000001</v>
      </c>
      <c r="X10" s="258"/>
      <c r="Y10" s="260"/>
    </row>
    <row r="11" spans="2:25" x14ac:dyDescent="0.3">
      <c r="B11" s="271" t="s">
        <v>334</v>
      </c>
      <c r="C11" s="271"/>
      <c r="D11" s="272" t="s">
        <v>1142</v>
      </c>
      <c r="E11" s="271" t="s">
        <v>385</v>
      </c>
      <c r="F11" s="271" t="s">
        <v>1143</v>
      </c>
      <c r="H11" s="273" t="str">
        <f>LEFT(D11,8)&amp;("oRo")&amp;RIGHT(L11,3)&amp;("02")</f>
        <v>RKAPAoRoGAS02</v>
      </c>
      <c r="I11" s="273" t="str">
        <f t="shared" si="0"/>
        <v>RKAPAGasRangeGAS.BAT</v>
      </c>
      <c r="J11" s="272" t="s">
        <v>239</v>
      </c>
      <c r="K11" s="274" t="s">
        <v>240</v>
      </c>
      <c r="L11" s="274" t="s">
        <v>1144</v>
      </c>
      <c r="M11" s="272" t="s">
        <v>1142</v>
      </c>
      <c r="N11" s="272">
        <f>X_RSD_HeatingDemand!$AA$14</f>
        <v>2019</v>
      </c>
      <c r="O11" s="272">
        <f>X_RSD_HeatingDemand!$AA$14</f>
        <v>2019</v>
      </c>
      <c r="P11" s="272">
        <v>0.44</v>
      </c>
      <c r="Q11" s="274">
        <f>VLOOKUP(B11,KEY_RSD_AF!$C$5:$D$52,2,FALSE)</f>
        <v>1</v>
      </c>
      <c r="R11" s="272"/>
      <c r="S11" s="275">
        <f>U11*0.01</f>
        <v>0.6607142857142857</v>
      </c>
      <c r="T11" s="272"/>
      <c r="U11" s="276">
        <f>185/2.8</f>
        <v>66.071428571428569</v>
      </c>
      <c r="V11" s="272">
        <v>17</v>
      </c>
      <c r="W11" s="272">
        <v>31.536000000000001</v>
      </c>
      <c r="X11" s="258"/>
      <c r="Y11" s="260"/>
    </row>
    <row r="12" spans="2:25" x14ac:dyDescent="0.3">
      <c r="B12" s="271" t="s">
        <v>336</v>
      </c>
      <c r="C12" s="271"/>
      <c r="D12" s="272" t="s">
        <v>1142</v>
      </c>
      <c r="E12" s="271" t="s">
        <v>322</v>
      </c>
      <c r="F12" s="271" t="s">
        <v>1143</v>
      </c>
      <c r="H12" s="258" t="str">
        <f>LEFT(D12,8)&amp;("oRo")&amp;RIGHT(L12,3)&amp;("02")</f>
        <v>RKAPAoRoLPG02</v>
      </c>
      <c r="I12" s="258" t="str">
        <f t="shared" si="0"/>
        <v>RKAPALPGRangeLPG.BAT</v>
      </c>
      <c r="J12" s="272" t="s">
        <v>239</v>
      </c>
      <c r="K12" s="274" t="s">
        <v>240</v>
      </c>
      <c r="L12" s="274" t="s">
        <v>1146</v>
      </c>
      <c r="M12" s="272" t="s">
        <v>1142</v>
      </c>
      <c r="N12" s="272">
        <f>X_RSD_HeatingDemand!$AA$14</f>
        <v>2019</v>
      </c>
      <c r="O12" s="272">
        <f>X_RSD_HeatingDemand!$AA$14</f>
        <v>2019</v>
      </c>
      <c r="P12" s="272">
        <v>0.44</v>
      </c>
      <c r="Q12" s="274">
        <f>VLOOKUP(B12,KEY_RSD_AF!$C$5:$D$52,2,FALSE)</f>
        <v>1</v>
      </c>
      <c r="R12" s="272"/>
      <c r="S12" s="275">
        <f>S11</f>
        <v>0.6607142857142857</v>
      </c>
      <c r="T12" s="272"/>
      <c r="U12" s="276">
        <f>168/7.5</f>
        <v>22.4</v>
      </c>
      <c r="V12" s="272">
        <v>17</v>
      </c>
      <c r="W12" s="272">
        <v>31.536000000000001</v>
      </c>
      <c r="X12" s="258"/>
      <c r="Y12" s="260"/>
    </row>
    <row r="13" spans="2:25" x14ac:dyDescent="0.3">
      <c r="B13" s="271" t="s">
        <v>338</v>
      </c>
      <c r="C13" s="271"/>
      <c r="D13" s="272" t="s">
        <v>1142</v>
      </c>
      <c r="E13" s="271" t="s">
        <v>99</v>
      </c>
      <c r="F13" s="271" t="s">
        <v>1143</v>
      </c>
      <c r="H13" s="273" t="str">
        <f>LEFT(D13,8)&amp;("oSto")&amp;RIGHT(L13,3)&amp;("02")</f>
        <v>RKAPAoStoELC02</v>
      </c>
      <c r="I13" s="273" t="str">
        <f t="shared" si="0"/>
        <v>RKAPAElectricSteamerELC.BAT</v>
      </c>
      <c r="J13" s="272" t="s">
        <v>239</v>
      </c>
      <c r="K13" s="274" t="s">
        <v>240</v>
      </c>
      <c r="L13" s="274" t="s">
        <v>1145</v>
      </c>
      <c r="M13" s="272" t="s">
        <v>1142</v>
      </c>
      <c r="N13" s="272">
        <f>X_RSD_HeatingDemand!$AA$14</f>
        <v>2019</v>
      </c>
      <c r="O13" s="272">
        <f>X_RSD_HeatingDemand!$AA$14</f>
        <v>2019</v>
      </c>
      <c r="P13" s="272">
        <v>0.75</v>
      </c>
      <c r="Q13" s="274">
        <f>VLOOKUP(B13,KEY_RSD_AF!$C$5:$D$52,2,FALSE)</f>
        <v>1</v>
      </c>
      <c r="R13" s="272"/>
      <c r="S13" s="275">
        <f t="shared" ref="S13:S20" si="1">U13*0.01</f>
        <v>0.52903225806451615</v>
      </c>
      <c r="T13" s="272"/>
      <c r="U13" s="276">
        <f>41/0.775</f>
        <v>52.903225806451609</v>
      </c>
      <c r="V13" s="272">
        <v>10</v>
      </c>
      <c r="W13" s="272">
        <v>31.536000000000001</v>
      </c>
      <c r="X13" s="258"/>
      <c r="Y13" s="260"/>
    </row>
    <row r="14" spans="2:25" x14ac:dyDescent="0.3">
      <c r="B14" s="271" t="s">
        <v>340</v>
      </c>
      <c r="C14" s="271"/>
      <c r="D14" s="272" t="s">
        <v>1142</v>
      </c>
      <c r="E14" s="271" t="s">
        <v>385</v>
      </c>
      <c r="F14" s="271" t="s">
        <v>1143</v>
      </c>
      <c r="H14" s="258" t="str">
        <f>LEFT(D14,8)&amp;("oSto")&amp;RIGHT(L14,3)&amp;("02")</f>
        <v>RKAPAoStoGAS02</v>
      </c>
      <c r="I14" s="258" t="str">
        <f t="shared" si="0"/>
        <v>RKAPAGasSteamerGAS.BAT</v>
      </c>
      <c r="J14" s="272" t="s">
        <v>239</v>
      </c>
      <c r="K14" s="274" t="s">
        <v>240</v>
      </c>
      <c r="L14" s="274" t="s">
        <v>1144</v>
      </c>
      <c r="M14" s="272" t="s">
        <v>1142</v>
      </c>
      <c r="N14" s="272">
        <f>X_RSD_HeatingDemand!$AA$14</f>
        <v>2019</v>
      </c>
      <c r="O14" s="272">
        <f>X_RSD_HeatingDemand!$AA$14</f>
        <v>2019</v>
      </c>
      <c r="P14" s="272">
        <v>0.55000000000000004</v>
      </c>
      <c r="Q14" s="274">
        <f>VLOOKUP(B14,KEY_RSD_AF!$C$5:$D$52,2,FALSE)</f>
        <v>1</v>
      </c>
      <c r="R14" s="272"/>
      <c r="S14" s="275">
        <f t="shared" si="1"/>
        <v>0.12082835523695737</v>
      </c>
      <c r="T14" s="272"/>
      <c r="U14" s="276">
        <f>U13*U11/U10</f>
        <v>12.082835523695737</v>
      </c>
      <c r="V14" s="272">
        <v>10</v>
      </c>
      <c r="W14" s="272">
        <v>31.536000000000001</v>
      </c>
      <c r="X14" s="258"/>
      <c r="Y14" s="260"/>
    </row>
    <row r="15" spans="2:25" x14ac:dyDescent="0.3">
      <c r="B15" s="271" t="s">
        <v>342</v>
      </c>
      <c r="C15" s="271"/>
      <c r="D15" s="272" t="s">
        <v>1142</v>
      </c>
      <c r="E15" s="271" t="s">
        <v>99</v>
      </c>
      <c r="F15" s="271" t="s">
        <v>1143</v>
      </c>
      <c r="H15" s="273" t="str">
        <f>LEFT(D15,8)&amp;("oFGo")&amp;RIGHT(L15,3)&amp;("02")</f>
        <v>RKAPAoFGoELC02</v>
      </c>
      <c r="I15" s="273" t="str">
        <f t="shared" si="0"/>
        <v>RKAPAElectricFryerGriddleELC.BAT</v>
      </c>
      <c r="J15" s="272" t="s">
        <v>239</v>
      </c>
      <c r="K15" s="274" t="s">
        <v>240</v>
      </c>
      <c r="L15" s="274" t="s">
        <v>1145</v>
      </c>
      <c r="M15" s="272" t="s">
        <v>1142</v>
      </c>
      <c r="N15" s="272">
        <f>X_RSD_HeatingDemand!$AA$14</f>
        <v>2019</v>
      </c>
      <c r="O15" s="272">
        <f>X_RSD_HeatingDemand!$AA$14</f>
        <v>2019</v>
      </c>
      <c r="P15" s="272">
        <v>0.75</v>
      </c>
      <c r="Q15" s="274">
        <f>VLOOKUP(B15,KEY_RSD_AF!$C$5:$D$52,2,FALSE)</f>
        <v>1</v>
      </c>
      <c r="R15" s="272"/>
      <c r="S15" s="275">
        <f t="shared" si="1"/>
        <v>1.9942857142857144</v>
      </c>
      <c r="T15" s="272"/>
      <c r="U15" s="276">
        <f>349*0.8/1.4</f>
        <v>199.42857142857144</v>
      </c>
      <c r="V15" s="272">
        <v>10</v>
      </c>
      <c r="W15" s="272">
        <v>31.536000000000001</v>
      </c>
      <c r="X15" s="258"/>
      <c r="Y15" s="260"/>
    </row>
    <row r="16" spans="2:25" x14ac:dyDescent="0.3">
      <c r="B16" s="271" t="s">
        <v>344</v>
      </c>
      <c r="C16" s="271"/>
      <c r="D16" s="272" t="s">
        <v>1142</v>
      </c>
      <c r="E16" s="271" t="s">
        <v>385</v>
      </c>
      <c r="F16" s="271" t="s">
        <v>1143</v>
      </c>
      <c r="H16" s="258" t="str">
        <f>LEFT(D16,8)&amp;("oFGo")&amp;RIGHT(L16,3)&amp;("02")</f>
        <v>RKAPAoFGoGAS02</v>
      </c>
      <c r="I16" s="258" t="str">
        <f t="shared" si="0"/>
        <v>RKAPAGasFryerGriddleGAS.BAT</v>
      </c>
      <c r="J16" s="272" t="s">
        <v>239</v>
      </c>
      <c r="K16" s="274" t="s">
        <v>240</v>
      </c>
      <c r="L16" s="274" t="s">
        <v>1144</v>
      </c>
      <c r="M16" s="272" t="s">
        <v>1142</v>
      </c>
      <c r="N16" s="272">
        <f>X_RSD_HeatingDemand!$AA$14</f>
        <v>2019</v>
      </c>
      <c r="O16" s="272">
        <f>X_RSD_HeatingDemand!$AA$14</f>
        <v>2019</v>
      </c>
      <c r="P16" s="272">
        <v>0.44</v>
      </c>
      <c r="Q16" s="274">
        <f>VLOOKUP(B16,KEY_RSD_AF!$C$5:$D$52,2,FALSE)</f>
        <v>1</v>
      </c>
      <c r="R16" s="272"/>
      <c r="S16" s="275">
        <f t="shared" si="1"/>
        <v>0.45868571428571436</v>
      </c>
      <c r="T16" s="272"/>
      <c r="U16" s="276">
        <f>U15*0.23</f>
        <v>45.868571428571435</v>
      </c>
      <c r="V16" s="272">
        <v>10</v>
      </c>
      <c r="W16" s="272">
        <v>31.536000000000001</v>
      </c>
      <c r="X16" s="258"/>
      <c r="Y16" s="260"/>
    </row>
    <row r="17" spans="2:25" x14ac:dyDescent="0.3">
      <c r="B17" s="277" t="s">
        <v>326</v>
      </c>
      <c r="C17" s="277"/>
      <c r="D17" s="278" t="s">
        <v>1147</v>
      </c>
      <c r="E17" s="277" t="s">
        <v>385</v>
      </c>
      <c r="F17" s="277" t="s">
        <v>1143</v>
      </c>
      <c r="H17" s="273" t="str">
        <f>LEFT(D17,8)&amp;("oOHo")&amp;RIGHT(L17,3)&amp;("01")</f>
        <v>RKAPBoOHoGAS01</v>
      </c>
      <c r="I17" s="273" t="str">
        <f>LEFT(D17,8)&amp;(B17)&amp;RIGHT(L17,3)&amp;(".BAU")</f>
        <v>RKAPBGasOvenHobsGAS.BAU</v>
      </c>
      <c r="J17" s="278" t="s">
        <v>239</v>
      </c>
      <c r="K17" s="279" t="s">
        <v>240</v>
      </c>
      <c r="L17" s="279" t="s">
        <v>1144</v>
      </c>
      <c r="M17" s="278" t="s">
        <v>1147</v>
      </c>
      <c r="N17" s="272">
        <f>X_RSD_HeatingDemand!$AA$14</f>
        <v>2019</v>
      </c>
      <c r="O17" s="272">
        <f>X_RSD_HeatingDemand!$AA$14</f>
        <v>2019</v>
      </c>
      <c r="P17" s="278">
        <v>0.88</v>
      </c>
      <c r="Q17" s="274">
        <f>VLOOKUP(B17,KEY_RSD_AF!$C$5:$D$52,2,FALSE)</f>
        <v>1</v>
      </c>
      <c r="R17" s="278"/>
      <c r="S17" s="280">
        <f t="shared" si="1"/>
        <v>0.99582142857142841</v>
      </c>
      <c r="T17" s="278"/>
      <c r="U17" s="281">
        <f>278.83/185*U23</f>
        <v>99.582142857142841</v>
      </c>
      <c r="V17" s="278">
        <v>17</v>
      </c>
      <c r="W17" s="272">
        <v>31.536000000000001</v>
      </c>
      <c r="X17" s="260"/>
      <c r="Y17" s="261"/>
    </row>
    <row r="18" spans="2:25" x14ac:dyDescent="0.3">
      <c r="B18" s="277" t="s">
        <v>326</v>
      </c>
      <c r="C18" s="277"/>
      <c r="D18" s="278" t="s">
        <v>1147</v>
      </c>
      <c r="E18" s="277" t="s">
        <v>385</v>
      </c>
      <c r="F18" s="277" t="s">
        <v>1143</v>
      </c>
      <c r="H18" s="258" t="str">
        <f>LEFT(D18,8)&amp;("oOHo")&amp;RIGHT(L18,3)&amp;("02")</f>
        <v>RKAPBoOHoGAS02</v>
      </c>
      <c r="I18" s="258" t="str">
        <f>LEFT(D18,8)&amp;(B18)&amp;RIGHT(L18,3)&amp;(".BAT")</f>
        <v>RKAPBGasOvenHobsGAS.BAT</v>
      </c>
      <c r="J18" s="278" t="str">
        <f>J17</f>
        <v>MW</v>
      </c>
      <c r="K18" s="279" t="s">
        <v>240</v>
      </c>
      <c r="L18" s="279" t="s">
        <v>1144</v>
      </c>
      <c r="M18" s="278" t="s">
        <v>1147</v>
      </c>
      <c r="N18" s="272">
        <f>X_RSD_HeatingDemand!$AA$14</f>
        <v>2019</v>
      </c>
      <c r="O18" s="272">
        <f>X_RSD_HeatingDemand!$AA$14</f>
        <v>2019</v>
      </c>
      <c r="P18" s="278">
        <v>0.44</v>
      </c>
      <c r="Q18" s="274">
        <f>VLOOKUP(B18,KEY_RSD_AF!$C$5:$D$52,2,FALSE)</f>
        <v>1</v>
      </c>
      <c r="R18" s="278"/>
      <c r="S18" s="280">
        <f t="shared" si="1"/>
        <v>0.84644821428571415</v>
      </c>
      <c r="T18" s="278"/>
      <c r="U18" s="281">
        <f>U17*0.85</f>
        <v>84.644821428571419</v>
      </c>
      <c r="V18" s="278">
        <v>17</v>
      </c>
      <c r="W18" s="272">
        <v>31.536000000000001</v>
      </c>
      <c r="X18" s="260"/>
      <c r="Y18" s="282"/>
    </row>
    <row r="19" spans="2:25" x14ac:dyDescent="0.3">
      <c r="B19" s="277" t="s">
        <v>328</v>
      </c>
      <c r="C19" s="277"/>
      <c r="D19" s="278" t="s">
        <v>1147</v>
      </c>
      <c r="E19" s="277" t="s">
        <v>99</v>
      </c>
      <c r="F19" s="277" t="s">
        <v>1143</v>
      </c>
      <c r="H19" s="273" t="str">
        <f>LEFT(D19,8)&amp;("oOHo")&amp;RIGHT(L19,3)&amp;("01")</f>
        <v>RKAPBoOHoELC01</v>
      </c>
      <c r="I19" s="273" t="str">
        <f>LEFT(D19,8)&amp;(B19)&amp;RIGHT(L19,3)&amp;(".BAU")</f>
        <v>RKAPBElectricOvenHobsELC.BAU</v>
      </c>
      <c r="J19" s="278" t="str">
        <f>J17</f>
        <v>MW</v>
      </c>
      <c r="K19" s="279" t="s">
        <v>240</v>
      </c>
      <c r="L19" s="279" t="s">
        <v>1145</v>
      </c>
      <c r="M19" s="278" t="s">
        <v>1147</v>
      </c>
      <c r="N19" s="272">
        <f>X_RSD_HeatingDemand!$AA$14</f>
        <v>2019</v>
      </c>
      <c r="O19" s="272">
        <f>X_RSD_HeatingDemand!$AA$14</f>
        <v>2019</v>
      </c>
      <c r="P19" s="278">
        <v>0.9</v>
      </c>
      <c r="Q19" s="274">
        <f>VLOOKUP(B19,KEY_RSD_AF!$C$5:$D$52,2,FALSE)</f>
        <v>1</v>
      </c>
      <c r="R19" s="278"/>
      <c r="S19" s="280">
        <f t="shared" si="1"/>
        <v>5.4142857142857146</v>
      </c>
      <c r="T19" s="278"/>
      <c r="U19" s="281">
        <f>U22/405*758</f>
        <v>541.42857142857144</v>
      </c>
      <c r="V19" s="278">
        <v>17</v>
      </c>
      <c r="W19" s="272">
        <v>31.536000000000001</v>
      </c>
    </row>
    <row r="20" spans="2:25" x14ac:dyDescent="0.3">
      <c r="B20" s="277" t="s">
        <v>328</v>
      </c>
      <c r="C20" s="277"/>
      <c r="D20" s="278" t="s">
        <v>1147</v>
      </c>
      <c r="E20" s="277" t="s">
        <v>99</v>
      </c>
      <c r="F20" s="277" t="s">
        <v>1143</v>
      </c>
      <c r="H20" s="258" t="str">
        <f>LEFT(D20,8)&amp;("oOHo")&amp;RIGHT(L20,3)&amp;("02")</f>
        <v>RKAPBoOHoELC02</v>
      </c>
      <c r="I20" s="258" t="str">
        <f t="shared" ref="I20:I28" si="2">LEFT(D20,8)&amp;(B20)&amp;RIGHT(L20,3)&amp;(".BAT")</f>
        <v>RKAPBElectricOvenHobsELC.BAT</v>
      </c>
      <c r="J20" s="278" t="str">
        <f>J17</f>
        <v>MW</v>
      </c>
      <c r="K20" s="279" t="s">
        <v>240</v>
      </c>
      <c r="L20" s="279" t="s">
        <v>1145</v>
      </c>
      <c r="M20" s="278" t="s">
        <v>1147</v>
      </c>
      <c r="N20" s="272">
        <f>X_RSD_HeatingDemand!$AA$14</f>
        <v>2019</v>
      </c>
      <c r="O20" s="272">
        <f>X_RSD_HeatingDemand!$AA$14</f>
        <v>2019</v>
      </c>
      <c r="P20" s="278">
        <v>0.7</v>
      </c>
      <c r="Q20" s="274">
        <f>VLOOKUP(B20,KEY_RSD_AF!$C$5:$D$52,2,FALSE)</f>
        <v>1</v>
      </c>
      <c r="R20" s="278"/>
      <c r="S20" s="280">
        <f t="shared" si="1"/>
        <v>3.2485714285714282</v>
      </c>
      <c r="T20" s="278"/>
      <c r="U20" s="281">
        <f>U19*0.6</f>
        <v>324.85714285714283</v>
      </c>
      <c r="V20" s="278">
        <v>17</v>
      </c>
      <c r="W20" s="272">
        <v>31.536000000000001</v>
      </c>
    </row>
    <row r="21" spans="2:25" x14ac:dyDescent="0.3">
      <c r="B21" s="277" t="s">
        <v>330</v>
      </c>
      <c r="C21" s="277"/>
      <c r="D21" s="278" t="s">
        <v>1147</v>
      </c>
      <c r="E21" s="277" t="s">
        <v>99</v>
      </c>
      <c r="F21" s="277" t="s">
        <v>1143</v>
      </c>
      <c r="H21" s="273" t="str">
        <f>LEFT(D21,8)&amp;("oOHo")&amp;RIGHT(L21,3)&amp;("02")</f>
        <v>RKAPBoOHoLPG02</v>
      </c>
      <c r="I21" s="273" t="str">
        <f t="shared" si="2"/>
        <v>RKAPBLPGOvenHobsLPG.BAT</v>
      </c>
      <c r="J21" s="278" t="s">
        <v>239</v>
      </c>
      <c r="K21" s="279" t="s">
        <v>240</v>
      </c>
      <c r="L21" s="279" t="s">
        <v>1146</v>
      </c>
      <c r="M21" s="278" t="s">
        <v>1147</v>
      </c>
      <c r="N21" s="272">
        <f>X_RSD_HeatingDemand!$AA$14</f>
        <v>2019</v>
      </c>
      <c r="O21" s="272">
        <f>X_RSD_HeatingDemand!$AA$14</f>
        <v>2019</v>
      </c>
      <c r="P21" s="278">
        <v>0.44</v>
      </c>
      <c r="Q21" s="274">
        <f>VLOOKUP(B21,KEY_RSD_AF!$C$5:$D$52,2,FALSE)</f>
        <v>1</v>
      </c>
      <c r="R21" s="278"/>
      <c r="S21" s="280">
        <f>S17</f>
        <v>0.99582142857142841</v>
      </c>
      <c r="T21" s="278"/>
      <c r="U21" s="281">
        <f>U24*201/168</f>
        <v>26.799999999999997</v>
      </c>
      <c r="V21" s="278">
        <v>17</v>
      </c>
      <c r="W21" s="272">
        <v>31.536000000000001</v>
      </c>
    </row>
    <row r="22" spans="2:25" x14ac:dyDescent="0.3">
      <c r="B22" s="277" t="s">
        <v>332</v>
      </c>
      <c r="C22" s="277"/>
      <c r="D22" s="278" t="s">
        <v>1147</v>
      </c>
      <c r="E22" s="277" t="s">
        <v>99</v>
      </c>
      <c r="F22" s="277" t="s">
        <v>1143</v>
      </c>
      <c r="H22" s="258" t="str">
        <f>LEFT(D22,8)&amp;("oRo")&amp;RIGHT(L22,3)&amp;("02")</f>
        <v>RKAPBoRoELC02</v>
      </c>
      <c r="I22" s="258" t="str">
        <f t="shared" si="2"/>
        <v>RKAPBElectricRangeELC.BAT</v>
      </c>
      <c r="J22" s="278" t="s">
        <v>239</v>
      </c>
      <c r="K22" s="279" t="s">
        <v>240</v>
      </c>
      <c r="L22" s="279" t="s">
        <v>1145</v>
      </c>
      <c r="M22" s="278" t="s">
        <v>1147</v>
      </c>
      <c r="N22" s="272">
        <f>X_RSD_HeatingDemand!$AA$14</f>
        <v>2019</v>
      </c>
      <c r="O22" s="272">
        <f>X_RSD_HeatingDemand!$AA$14</f>
        <v>2019</v>
      </c>
      <c r="P22" s="278">
        <v>0.88</v>
      </c>
      <c r="Q22" s="274">
        <f>VLOOKUP(B22,KEY_RSD_AF!$C$5:$D$52,2,FALSE)</f>
        <v>1</v>
      </c>
      <c r="R22" s="278"/>
      <c r="S22" s="280">
        <f>U22*0.01</f>
        <v>2.8928571428571428</v>
      </c>
      <c r="T22" s="278"/>
      <c r="U22" s="281">
        <f>405/1.4</f>
        <v>289.28571428571428</v>
      </c>
      <c r="V22" s="278">
        <v>17</v>
      </c>
      <c r="W22" s="272">
        <v>31.536000000000001</v>
      </c>
    </row>
    <row r="23" spans="2:25" x14ac:dyDescent="0.3">
      <c r="B23" s="277" t="s">
        <v>334</v>
      </c>
      <c r="C23" s="277"/>
      <c r="D23" s="278" t="s">
        <v>1147</v>
      </c>
      <c r="E23" s="277" t="s">
        <v>385</v>
      </c>
      <c r="F23" s="277" t="s">
        <v>1143</v>
      </c>
      <c r="H23" s="273" t="str">
        <f>LEFT(D23,8)&amp;("oRo")&amp;RIGHT(L23,3)&amp;("02")</f>
        <v>RKAPBoRoGAS02</v>
      </c>
      <c r="I23" s="273" t="str">
        <f t="shared" si="2"/>
        <v>RKAPBGasRangeGAS.BAT</v>
      </c>
      <c r="J23" s="278" t="s">
        <v>239</v>
      </c>
      <c r="K23" s="279" t="s">
        <v>240</v>
      </c>
      <c r="L23" s="279" t="s">
        <v>1144</v>
      </c>
      <c r="M23" s="278" t="s">
        <v>1147</v>
      </c>
      <c r="N23" s="272">
        <f>X_RSD_HeatingDemand!$AA$14</f>
        <v>2019</v>
      </c>
      <c r="O23" s="272">
        <f>X_RSD_HeatingDemand!$AA$14</f>
        <v>2019</v>
      </c>
      <c r="P23" s="278">
        <v>0.44</v>
      </c>
      <c r="Q23" s="274">
        <f>VLOOKUP(B23,KEY_RSD_AF!$C$5:$D$52,2,FALSE)</f>
        <v>1</v>
      </c>
      <c r="R23" s="278"/>
      <c r="S23" s="280">
        <f>U23*0.01</f>
        <v>0.6607142857142857</v>
      </c>
      <c r="T23" s="278"/>
      <c r="U23" s="281">
        <f>185/2.8</f>
        <v>66.071428571428569</v>
      </c>
      <c r="V23" s="278">
        <v>17</v>
      </c>
      <c r="W23" s="272">
        <v>31.536000000000001</v>
      </c>
    </row>
    <row r="24" spans="2:25" x14ac:dyDescent="0.3">
      <c r="B24" s="277" t="s">
        <v>336</v>
      </c>
      <c r="C24" s="277"/>
      <c r="D24" s="278" t="s">
        <v>1147</v>
      </c>
      <c r="E24" s="277" t="s">
        <v>322</v>
      </c>
      <c r="F24" s="277" t="s">
        <v>1143</v>
      </c>
      <c r="H24" s="258" t="str">
        <f>LEFT(D24,8)&amp;("oRo")&amp;RIGHT(L24,3)&amp;("02")</f>
        <v>RKAPBoRoLPG02</v>
      </c>
      <c r="I24" s="258" t="str">
        <f t="shared" si="2"/>
        <v>RKAPBLPGRangeLPG.BAT</v>
      </c>
      <c r="J24" s="278" t="s">
        <v>239</v>
      </c>
      <c r="K24" s="279" t="s">
        <v>240</v>
      </c>
      <c r="L24" s="279" t="s">
        <v>1146</v>
      </c>
      <c r="M24" s="278" t="s">
        <v>1147</v>
      </c>
      <c r="N24" s="272">
        <f>X_RSD_HeatingDemand!$AA$14</f>
        <v>2019</v>
      </c>
      <c r="O24" s="272">
        <f>X_RSD_HeatingDemand!$AA$14</f>
        <v>2019</v>
      </c>
      <c r="P24" s="278">
        <v>0.44</v>
      </c>
      <c r="Q24" s="274">
        <f>VLOOKUP(B24,KEY_RSD_AF!$C$5:$D$52,2,FALSE)</f>
        <v>1</v>
      </c>
      <c r="R24" s="278"/>
      <c r="S24" s="280">
        <f>S23</f>
        <v>0.6607142857142857</v>
      </c>
      <c r="T24" s="278"/>
      <c r="U24" s="281">
        <f>168/7.5</f>
        <v>22.4</v>
      </c>
      <c r="V24" s="278">
        <v>17</v>
      </c>
      <c r="W24" s="272">
        <v>31.536000000000001</v>
      </c>
    </row>
    <row r="25" spans="2:25" x14ac:dyDescent="0.3">
      <c r="B25" s="277" t="s">
        <v>338</v>
      </c>
      <c r="C25" s="277"/>
      <c r="D25" s="278" t="s">
        <v>1147</v>
      </c>
      <c r="E25" s="277" t="s">
        <v>99</v>
      </c>
      <c r="F25" s="277" t="s">
        <v>1143</v>
      </c>
      <c r="H25" s="273" t="str">
        <f>LEFT(D25,8)&amp;("oSto")&amp;RIGHT(L25,3)&amp;("02")</f>
        <v>RKAPBoStoELC02</v>
      </c>
      <c r="I25" s="273" t="str">
        <f t="shared" si="2"/>
        <v>RKAPBElectricSteamerELC.BAT</v>
      </c>
      <c r="J25" s="278" t="s">
        <v>239</v>
      </c>
      <c r="K25" s="279" t="s">
        <v>240</v>
      </c>
      <c r="L25" s="279" t="s">
        <v>1145</v>
      </c>
      <c r="M25" s="278" t="s">
        <v>1147</v>
      </c>
      <c r="N25" s="272">
        <f>X_RSD_HeatingDemand!$AA$14</f>
        <v>2019</v>
      </c>
      <c r="O25" s="272">
        <f>X_RSD_HeatingDemand!$AA$14</f>
        <v>2019</v>
      </c>
      <c r="P25" s="278">
        <v>0.75</v>
      </c>
      <c r="Q25" s="274">
        <f>VLOOKUP(B25,KEY_RSD_AF!$C$5:$D$52,2,FALSE)</f>
        <v>1</v>
      </c>
      <c r="R25" s="278"/>
      <c r="S25" s="280">
        <f t="shared" ref="S25:S32" si="3">U25*0.01</f>
        <v>0.52903225806451615</v>
      </c>
      <c r="T25" s="278"/>
      <c r="U25" s="281">
        <f>41/0.775</f>
        <v>52.903225806451609</v>
      </c>
      <c r="V25" s="278">
        <v>10</v>
      </c>
      <c r="W25" s="272">
        <v>31.536000000000001</v>
      </c>
    </row>
    <row r="26" spans="2:25" x14ac:dyDescent="0.3">
      <c r="B26" s="277" t="s">
        <v>340</v>
      </c>
      <c r="C26" s="277"/>
      <c r="D26" s="278" t="s">
        <v>1147</v>
      </c>
      <c r="E26" s="277" t="s">
        <v>385</v>
      </c>
      <c r="F26" s="277" t="s">
        <v>1143</v>
      </c>
      <c r="H26" s="258" t="str">
        <f>LEFT(D26,8)&amp;("oSto")&amp;RIGHT(L26,3)&amp;("02")</f>
        <v>RKAPBoStoGAS02</v>
      </c>
      <c r="I26" s="258" t="str">
        <f t="shared" si="2"/>
        <v>RKAPBGasSteamerGAS.BAT</v>
      </c>
      <c r="J26" s="278" t="s">
        <v>239</v>
      </c>
      <c r="K26" s="279" t="s">
        <v>240</v>
      </c>
      <c r="L26" s="279" t="s">
        <v>1144</v>
      </c>
      <c r="M26" s="278" t="s">
        <v>1147</v>
      </c>
      <c r="N26" s="272">
        <f>X_RSD_HeatingDemand!$AA$14</f>
        <v>2019</v>
      </c>
      <c r="O26" s="272">
        <f>X_RSD_HeatingDemand!$AA$14</f>
        <v>2019</v>
      </c>
      <c r="P26" s="278">
        <v>0.55000000000000004</v>
      </c>
      <c r="Q26" s="274">
        <f>VLOOKUP(B26,KEY_RSD_AF!$C$5:$D$52,2,FALSE)</f>
        <v>1</v>
      </c>
      <c r="R26" s="278"/>
      <c r="S26" s="280">
        <f t="shared" si="3"/>
        <v>0.12082835523695737</v>
      </c>
      <c r="T26" s="278"/>
      <c r="U26" s="281">
        <f>U25*U23/U22</f>
        <v>12.082835523695737</v>
      </c>
      <c r="V26" s="278">
        <v>10</v>
      </c>
      <c r="W26" s="272">
        <v>31.536000000000001</v>
      </c>
    </row>
    <row r="27" spans="2:25" x14ac:dyDescent="0.3">
      <c r="B27" s="277" t="s">
        <v>342</v>
      </c>
      <c r="C27" s="277"/>
      <c r="D27" s="278" t="s">
        <v>1147</v>
      </c>
      <c r="E27" s="277" t="s">
        <v>99</v>
      </c>
      <c r="F27" s="277" t="s">
        <v>1143</v>
      </c>
      <c r="H27" s="273" t="str">
        <f>LEFT(D27,8)&amp;("oFGo")&amp;RIGHT(L27,3)&amp;("02")</f>
        <v>RKAPBoFGoELC02</v>
      </c>
      <c r="I27" s="273" t="str">
        <f t="shared" si="2"/>
        <v>RKAPBElectricFryerGriddleELC.BAT</v>
      </c>
      <c r="J27" s="278" t="s">
        <v>239</v>
      </c>
      <c r="K27" s="279" t="s">
        <v>240</v>
      </c>
      <c r="L27" s="279" t="s">
        <v>1145</v>
      </c>
      <c r="M27" s="278" t="s">
        <v>1147</v>
      </c>
      <c r="N27" s="272">
        <f>X_RSD_HeatingDemand!$AA$14</f>
        <v>2019</v>
      </c>
      <c r="O27" s="272">
        <f>X_RSD_HeatingDemand!$AA$14</f>
        <v>2019</v>
      </c>
      <c r="P27" s="278">
        <v>0.75</v>
      </c>
      <c r="Q27" s="274">
        <f>VLOOKUP(B27,KEY_RSD_AF!$C$5:$D$52,2,FALSE)</f>
        <v>1</v>
      </c>
      <c r="R27" s="278"/>
      <c r="S27" s="280">
        <f t="shared" si="3"/>
        <v>1.9942857142857144</v>
      </c>
      <c r="T27" s="278"/>
      <c r="U27" s="281">
        <f>349*0.8/1.4</f>
        <v>199.42857142857144</v>
      </c>
      <c r="V27" s="278">
        <v>10</v>
      </c>
      <c r="W27" s="272">
        <v>31.536000000000001</v>
      </c>
    </row>
    <row r="28" spans="2:25" x14ac:dyDescent="0.3">
      <c r="B28" s="277" t="s">
        <v>344</v>
      </c>
      <c r="C28" s="277"/>
      <c r="D28" s="278" t="s">
        <v>1147</v>
      </c>
      <c r="E28" s="277" t="s">
        <v>385</v>
      </c>
      <c r="F28" s="277" t="s">
        <v>1143</v>
      </c>
      <c r="H28" s="258" t="str">
        <f>LEFT(D28,8)&amp;("oFGo")&amp;RIGHT(L28,3)&amp;("02")</f>
        <v>RKAPBoFGoGAS02</v>
      </c>
      <c r="I28" s="258" t="str">
        <f t="shared" si="2"/>
        <v>RKAPBGasFryerGriddleGAS.BAT</v>
      </c>
      <c r="J28" s="278" t="s">
        <v>239</v>
      </c>
      <c r="K28" s="279" t="s">
        <v>240</v>
      </c>
      <c r="L28" s="279" t="s">
        <v>1144</v>
      </c>
      <c r="M28" s="278" t="s">
        <v>1147</v>
      </c>
      <c r="N28" s="272">
        <f>X_RSD_HeatingDemand!$AA$14</f>
        <v>2019</v>
      </c>
      <c r="O28" s="272">
        <f>X_RSD_HeatingDemand!$AA$14</f>
        <v>2019</v>
      </c>
      <c r="P28" s="278">
        <v>0.44</v>
      </c>
      <c r="Q28" s="274">
        <f>VLOOKUP(B28,KEY_RSD_AF!$C$5:$D$52,2,FALSE)</f>
        <v>1</v>
      </c>
      <c r="R28" s="278"/>
      <c r="S28" s="280">
        <f t="shared" si="3"/>
        <v>0.45868571428571436</v>
      </c>
      <c r="T28" s="278"/>
      <c r="U28" s="281">
        <f>U27*0.23</f>
        <v>45.868571428571435</v>
      </c>
      <c r="V28" s="278">
        <v>10</v>
      </c>
      <c r="W28" s="272">
        <v>31.536000000000001</v>
      </c>
    </row>
    <row r="29" spans="2:25" x14ac:dyDescent="0.3">
      <c r="B29" s="271" t="s">
        <v>326</v>
      </c>
      <c r="C29" s="271"/>
      <c r="D29" s="272" t="s">
        <v>1148</v>
      </c>
      <c r="E29" s="271" t="s">
        <v>385</v>
      </c>
      <c r="F29" s="271" t="s">
        <v>1143</v>
      </c>
      <c r="H29" s="273" t="str">
        <f>LEFT(D29,8)&amp;("oOHo")&amp;RIGHT(L29,3)&amp;("01")</f>
        <v>RKAPCoOHoGAS01</v>
      </c>
      <c r="I29" s="273" t="str">
        <f>LEFT(D29,8)&amp;(B29)&amp;RIGHT(L29,3)&amp;(".BAU")</f>
        <v>RKAPCGasOvenHobsGAS.BAU</v>
      </c>
      <c r="J29" s="272" t="s">
        <v>239</v>
      </c>
      <c r="K29" s="274" t="s">
        <v>240</v>
      </c>
      <c r="L29" s="274" t="s">
        <v>1144</v>
      </c>
      <c r="M29" s="272" t="s">
        <v>1148</v>
      </c>
      <c r="N29" s="272">
        <f>X_RSD_HeatingDemand!$AA$14</f>
        <v>2019</v>
      </c>
      <c r="O29" s="272">
        <f>X_RSD_HeatingDemand!$AA$14</f>
        <v>2019</v>
      </c>
      <c r="P29" s="272">
        <v>0.88</v>
      </c>
      <c r="Q29" s="274">
        <f>VLOOKUP(B29,KEY_RSD_AF!$C$5:$D$52,2,FALSE)</f>
        <v>1</v>
      </c>
      <c r="R29" s="272"/>
      <c r="S29" s="275">
        <f t="shared" si="3"/>
        <v>0.99582142857142841</v>
      </c>
      <c r="T29" s="272"/>
      <c r="U29" s="276">
        <f>278.83/185*U35</f>
        <v>99.582142857142841</v>
      </c>
      <c r="V29" s="272">
        <v>17</v>
      </c>
      <c r="W29" s="272">
        <v>31.536000000000001</v>
      </c>
    </row>
    <row r="30" spans="2:25" x14ac:dyDescent="0.3">
      <c r="B30" s="271" t="s">
        <v>326</v>
      </c>
      <c r="C30" s="271"/>
      <c r="D30" s="272" t="s">
        <v>1148</v>
      </c>
      <c r="E30" s="271" t="s">
        <v>385</v>
      </c>
      <c r="F30" s="271" t="s">
        <v>1143</v>
      </c>
      <c r="H30" s="258" t="str">
        <f>LEFT(D30,8)&amp;("oOHo")&amp;RIGHT(L30,3)&amp;("02")</f>
        <v>RKAPCoOHoGAS02</v>
      </c>
      <c r="I30" s="258" t="str">
        <f>LEFT(D30,8)&amp;(B30)&amp;RIGHT(L30,3)&amp;(".BAT")</f>
        <v>RKAPCGasOvenHobsGAS.BAT</v>
      </c>
      <c r="J30" s="272" t="str">
        <f>J29</f>
        <v>MW</v>
      </c>
      <c r="K30" s="274" t="s">
        <v>240</v>
      </c>
      <c r="L30" s="274" t="s">
        <v>1144</v>
      </c>
      <c r="M30" s="272" t="s">
        <v>1148</v>
      </c>
      <c r="N30" s="272">
        <f>X_RSD_HeatingDemand!$AA$14</f>
        <v>2019</v>
      </c>
      <c r="O30" s="272">
        <f>X_RSD_HeatingDemand!$AA$14</f>
        <v>2019</v>
      </c>
      <c r="P30" s="272">
        <v>0.44</v>
      </c>
      <c r="Q30" s="274">
        <f>VLOOKUP(B30,KEY_RSD_AF!$C$5:$D$52,2,FALSE)</f>
        <v>1</v>
      </c>
      <c r="R30" s="272"/>
      <c r="S30" s="275">
        <f t="shared" si="3"/>
        <v>0.84644821428571415</v>
      </c>
      <c r="T30" s="272"/>
      <c r="U30" s="276">
        <f>U29*0.85</f>
        <v>84.644821428571419</v>
      </c>
      <c r="V30" s="272">
        <v>17</v>
      </c>
      <c r="W30" s="272">
        <v>31.536000000000001</v>
      </c>
    </row>
    <row r="31" spans="2:25" x14ac:dyDescent="0.3">
      <c r="B31" s="271" t="s">
        <v>328</v>
      </c>
      <c r="C31" s="271"/>
      <c r="D31" s="272" t="s">
        <v>1148</v>
      </c>
      <c r="E31" s="271" t="s">
        <v>99</v>
      </c>
      <c r="F31" s="271" t="s">
        <v>1143</v>
      </c>
      <c r="H31" s="273" t="str">
        <f>LEFT(D31,8)&amp;("oOHo")&amp;RIGHT(L31,3)&amp;("01")</f>
        <v>RKAPCoOHoELC01</v>
      </c>
      <c r="I31" s="273" t="str">
        <f>LEFT(D31,8)&amp;(B31)&amp;RIGHT(L31,3)&amp;(".BAU")</f>
        <v>RKAPCElectricOvenHobsELC.BAU</v>
      </c>
      <c r="J31" s="272" t="str">
        <f>J29</f>
        <v>MW</v>
      </c>
      <c r="K31" s="274" t="s">
        <v>240</v>
      </c>
      <c r="L31" s="274" t="s">
        <v>1145</v>
      </c>
      <c r="M31" s="272" t="s">
        <v>1148</v>
      </c>
      <c r="N31" s="272">
        <f>X_RSD_HeatingDemand!$AA$14</f>
        <v>2019</v>
      </c>
      <c r="O31" s="272">
        <f>X_RSD_HeatingDemand!$AA$14</f>
        <v>2019</v>
      </c>
      <c r="P31" s="272">
        <v>0.9</v>
      </c>
      <c r="Q31" s="274">
        <f>VLOOKUP(B31,KEY_RSD_AF!$C$5:$D$52,2,FALSE)</f>
        <v>1</v>
      </c>
      <c r="R31" s="272"/>
      <c r="S31" s="275">
        <f t="shared" si="3"/>
        <v>5.4142857142857146</v>
      </c>
      <c r="T31" s="272"/>
      <c r="U31" s="276">
        <f>U34/405*758</f>
        <v>541.42857142857144</v>
      </c>
      <c r="V31" s="272">
        <v>17</v>
      </c>
      <c r="W31" s="272">
        <v>31.536000000000001</v>
      </c>
    </row>
    <row r="32" spans="2:25" x14ac:dyDescent="0.3">
      <c r="B32" s="271" t="s">
        <v>328</v>
      </c>
      <c r="C32" s="271"/>
      <c r="D32" s="272" t="s">
        <v>1148</v>
      </c>
      <c r="E32" s="271" t="s">
        <v>99</v>
      </c>
      <c r="F32" s="271" t="s">
        <v>1143</v>
      </c>
      <c r="H32" s="258" t="str">
        <f>LEFT(D32,8)&amp;("oOHo")&amp;RIGHT(L32,3)&amp;("02")</f>
        <v>RKAPCoOHoELC02</v>
      </c>
      <c r="I32" s="258" t="str">
        <f t="shared" ref="I32:I40" si="4">LEFT(D32,8)&amp;(B32)&amp;RIGHT(L32,3)&amp;(".BAT")</f>
        <v>RKAPCElectricOvenHobsELC.BAT</v>
      </c>
      <c r="J32" s="272" t="str">
        <f>J29</f>
        <v>MW</v>
      </c>
      <c r="K32" s="274" t="s">
        <v>240</v>
      </c>
      <c r="L32" s="274" t="s">
        <v>1145</v>
      </c>
      <c r="M32" s="272" t="s">
        <v>1148</v>
      </c>
      <c r="N32" s="272">
        <f>X_RSD_HeatingDemand!$AA$14</f>
        <v>2019</v>
      </c>
      <c r="O32" s="272">
        <f>X_RSD_HeatingDemand!$AA$14</f>
        <v>2019</v>
      </c>
      <c r="P32" s="272">
        <v>0.7</v>
      </c>
      <c r="Q32" s="274">
        <f>VLOOKUP(B32,KEY_RSD_AF!$C$5:$D$52,2,FALSE)</f>
        <v>1</v>
      </c>
      <c r="R32" s="272"/>
      <c r="S32" s="275">
        <f t="shared" si="3"/>
        <v>3.2485714285714282</v>
      </c>
      <c r="T32" s="272"/>
      <c r="U32" s="276">
        <f>U31*0.6</f>
        <v>324.85714285714283</v>
      </c>
      <c r="V32" s="272">
        <v>17</v>
      </c>
      <c r="W32" s="272">
        <v>31.536000000000001</v>
      </c>
    </row>
    <row r="33" spans="2:25" x14ac:dyDescent="0.3">
      <c r="B33" s="271" t="s">
        <v>330</v>
      </c>
      <c r="C33" s="271"/>
      <c r="D33" s="272" t="s">
        <v>1148</v>
      </c>
      <c r="E33" s="271" t="s">
        <v>99</v>
      </c>
      <c r="F33" s="271" t="s">
        <v>1143</v>
      </c>
      <c r="H33" s="273" t="str">
        <f>LEFT(D33,8)&amp;("oOHo")&amp;RIGHT(L33,3)&amp;("02")</f>
        <v>RKAPCoOHoLPG02</v>
      </c>
      <c r="I33" s="273" t="str">
        <f t="shared" si="4"/>
        <v>RKAPCLPGOvenHobsLPG.BAT</v>
      </c>
      <c r="J33" s="272" t="s">
        <v>239</v>
      </c>
      <c r="K33" s="274" t="s">
        <v>240</v>
      </c>
      <c r="L33" s="274" t="s">
        <v>1146</v>
      </c>
      <c r="M33" s="272" t="s">
        <v>1148</v>
      </c>
      <c r="N33" s="272">
        <f>X_RSD_HeatingDemand!$AA$14</f>
        <v>2019</v>
      </c>
      <c r="O33" s="272">
        <f>X_RSD_HeatingDemand!$AA$14</f>
        <v>2019</v>
      </c>
      <c r="P33" s="272">
        <v>0.44</v>
      </c>
      <c r="Q33" s="274">
        <f>VLOOKUP(B33,KEY_RSD_AF!$C$5:$D$52,2,FALSE)</f>
        <v>1</v>
      </c>
      <c r="R33" s="272"/>
      <c r="S33" s="275">
        <f>S29</f>
        <v>0.99582142857142841</v>
      </c>
      <c r="T33" s="272"/>
      <c r="U33" s="276">
        <f>U36*201/168</f>
        <v>26.799999999999997</v>
      </c>
      <c r="V33" s="272">
        <v>17</v>
      </c>
      <c r="W33" s="272">
        <v>31.536000000000001</v>
      </c>
    </row>
    <row r="34" spans="2:25" x14ac:dyDescent="0.3">
      <c r="B34" s="271" t="s">
        <v>332</v>
      </c>
      <c r="C34" s="271"/>
      <c r="D34" s="272" t="s">
        <v>1148</v>
      </c>
      <c r="E34" s="271" t="s">
        <v>99</v>
      </c>
      <c r="F34" s="271" t="s">
        <v>1143</v>
      </c>
      <c r="H34" s="258" t="str">
        <f>LEFT(D34,8)&amp;("oRo")&amp;RIGHT(L34,3)&amp;("02")</f>
        <v>RKAPCoRoELC02</v>
      </c>
      <c r="I34" s="258" t="str">
        <f t="shared" si="4"/>
        <v>RKAPCElectricRangeELC.BAT</v>
      </c>
      <c r="J34" s="272" t="s">
        <v>239</v>
      </c>
      <c r="K34" s="274" t="s">
        <v>240</v>
      </c>
      <c r="L34" s="274" t="s">
        <v>1145</v>
      </c>
      <c r="M34" s="272" t="s">
        <v>1148</v>
      </c>
      <c r="N34" s="272">
        <f>X_RSD_HeatingDemand!$AA$14</f>
        <v>2019</v>
      </c>
      <c r="O34" s="272">
        <f>X_RSD_HeatingDemand!$AA$14</f>
        <v>2019</v>
      </c>
      <c r="P34" s="272">
        <v>0.88</v>
      </c>
      <c r="Q34" s="274">
        <f>VLOOKUP(B34,KEY_RSD_AF!$C$5:$D$52,2,FALSE)</f>
        <v>1</v>
      </c>
      <c r="R34" s="272"/>
      <c r="S34" s="275">
        <f>U34*0.01</f>
        <v>2.8928571428571428</v>
      </c>
      <c r="T34" s="272"/>
      <c r="U34" s="276">
        <f>405/1.4</f>
        <v>289.28571428571428</v>
      </c>
      <c r="V34" s="272">
        <v>17</v>
      </c>
      <c r="W34" s="272">
        <v>31.536000000000001</v>
      </c>
    </row>
    <row r="35" spans="2:25" x14ac:dyDescent="0.3">
      <c r="B35" s="271" t="s">
        <v>334</v>
      </c>
      <c r="C35" s="271"/>
      <c r="D35" s="272" t="s">
        <v>1148</v>
      </c>
      <c r="E35" s="271" t="s">
        <v>385</v>
      </c>
      <c r="F35" s="271" t="s">
        <v>1143</v>
      </c>
      <c r="H35" s="273" t="str">
        <f>LEFT(D35,8)&amp;("oRo")&amp;RIGHT(L35,3)&amp;("02")</f>
        <v>RKAPCoRoGAS02</v>
      </c>
      <c r="I35" s="273" t="str">
        <f t="shared" si="4"/>
        <v>RKAPCGasRangeGAS.BAT</v>
      </c>
      <c r="J35" s="272" t="s">
        <v>239</v>
      </c>
      <c r="K35" s="274" t="s">
        <v>240</v>
      </c>
      <c r="L35" s="274" t="s">
        <v>1144</v>
      </c>
      <c r="M35" s="272" t="s">
        <v>1148</v>
      </c>
      <c r="N35" s="272">
        <f>X_RSD_HeatingDemand!$AA$14</f>
        <v>2019</v>
      </c>
      <c r="O35" s="272">
        <f>X_RSD_HeatingDemand!$AA$14</f>
        <v>2019</v>
      </c>
      <c r="P35" s="272">
        <v>0.44</v>
      </c>
      <c r="Q35" s="274">
        <f>VLOOKUP(B35,KEY_RSD_AF!$C$5:$D$52,2,FALSE)</f>
        <v>1</v>
      </c>
      <c r="R35" s="272"/>
      <c r="S35" s="275">
        <f>U35*0.01</f>
        <v>0.6607142857142857</v>
      </c>
      <c r="T35" s="272"/>
      <c r="U35" s="276">
        <f>185/2.8</f>
        <v>66.071428571428569</v>
      </c>
      <c r="V35" s="272">
        <v>17</v>
      </c>
      <c r="W35" s="272">
        <v>31.536000000000001</v>
      </c>
    </row>
    <row r="36" spans="2:25" x14ac:dyDescent="0.3">
      <c r="B36" s="271" t="s">
        <v>336</v>
      </c>
      <c r="C36" s="271"/>
      <c r="D36" s="272" t="s">
        <v>1148</v>
      </c>
      <c r="E36" s="271" t="s">
        <v>322</v>
      </c>
      <c r="F36" s="271" t="s">
        <v>1143</v>
      </c>
      <c r="H36" s="258" t="str">
        <f>LEFT(D36,8)&amp;("oRo")&amp;RIGHT(L36,3)&amp;("02")</f>
        <v>RKAPCoRoLPG02</v>
      </c>
      <c r="I36" s="258" t="str">
        <f t="shared" si="4"/>
        <v>RKAPCLPGRangeLPG.BAT</v>
      </c>
      <c r="J36" s="272" t="s">
        <v>239</v>
      </c>
      <c r="K36" s="274" t="s">
        <v>240</v>
      </c>
      <c r="L36" s="274" t="s">
        <v>1146</v>
      </c>
      <c r="M36" s="272" t="s">
        <v>1148</v>
      </c>
      <c r="N36" s="272">
        <f>X_RSD_HeatingDemand!$AA$14</f>
        <v>2019</v>
      </c>
      <c r="O36" s="272">
        <f>X_RSD_HeatingDemand!$AA$14</f>
        <v>2019</v>
      </c>
      <c r="P36" s="272">
        <v>0.44</v>
      </c>
      <c r="Q36" s="274">
        <f>VLOOKUP(B36,KEY_RSD_AF!$C$5:$D$52,2,FALSE)</f>
        <v>1</v>
      </c>
      <c r="R36" s="272"/>
      <c r="S36" s="275">
        <f>S35</f>
        <v>0.6607142857142857</v>
      </c>
      <c r="T36" s="272"/>
      <c r="U36" s="276">
        <f>168/7.5</f>
        <v>22.4</v>
      </c>
      <c r="V36" s="272">
        <v>17</v>
      </c>
      <c r="W36" s="272">
        <v>31.536000000000001</v>
      </c>
    </row>
    <row r="37" spans="2:25" x14ac:dyDescent="0.3">
      <c r="B37" s="271" t="s">
        <v>338</v>
      </c>
      <c r="C37" s="271"/>
      <c r="D37" s="272" t="s">
        <v>1148</v>
      </c>
      <c r="E37" s="271" t="s">
        <v>99</v>
      </c>
      <c r="F37" s="271" t="s">
        <v>1143</v>
      </c>
      <c r="H37" s="273" t="str">
        <f>LEFT(D37,8)&amp;("oSto")&amp;RIGHT(L37,3)&amp;("02")</f>
        <v>RKAPCoStoELC02</v>
      </c>
      <c r="I37" s="273" t="str">
        <f t="shared" si="4"/>
        <v>RKAPCElectricSteamerELC.BAT</v>
      </c>
      <c r="J37" s="272" t="s">
        <v>239</v>
      </c>
      <c r="K37" s="274" t="s">
        <v>240</v>
      </c>
      <c r="L37" s="274" t="s">
        <v>1145</v>
      </c>
      <c r="M37" s="272" t="s">
        <v>1148</v>
      </c>
      <c r="N37" s="272">
        <f>X_RSD_HeatingDemand!$AA$14</f>
        <v>2019</v>
      </c>
      <c r="O37" s="272">
        <f>X_RSD_HeatingDemand!$AA$14</f>
        <v>2019</v>
      </c>
      <c r="P37" s="272">
        <v>0.75</v>
      </c>
      <c r="Q37" s="274">
        <f>VLOOKUP(B37,KEY_RSD_AF!$C$5:$D$52,2,FALSE)</f>
        <v>1</v>
      </c>
      <c r="R37" s="272"/>
      <c r="S37" s="275">
        <f t="shared" ref="S37:S44" si="5">U37*0.01</f>
        <v>0.52903225806451615</v>
      </c>
      <c r="T37" s="272"/>
      <c r="U37" s="276">
        <f>41/0.775</f>
        <v>52.903225806451609</v>
      </c>
      <c r="V37" s="272">
        <v>10</v>
      </c>
      <c r="W37" s="272">
        <v>31.536000000000001</v>
      </c>
      <c r="X37" s="260"/>
      <c r="Y37" s="261"/>
    </row>
    <row r="38" spans="2:25" x14ac:dyDescent="0.3">
      <c r="B38" s="271" t="s">
        <v>340</v>
      </c>
      <c r="C38" s="271"/>
      <c r="D38" s="272" t="s">
        <v>1148</v>
      </c>
      <c r="E38" s="271" t="s">
        <v>385</v>
      </c>
      <c r="F38" s="271" t="s">
        <v>1143</v>
      </c>
      <c r="H38" s="258" t="str">
        <f>LEFT(D38,8)&amp;("oSto")&amp;RIGHT(L38,3)&amp;("02")</f>
        <v>RKAPCoStoGAS02</v>
      </c>
      <c r="I38" s="258" t="str">
        <f t="shared" si="4"/>
        <v>RKAPCGasSteamerGAS.BAT</v>
      </c>
      <c r="J38" s="272" t="s">
        <v>239</v>
      </c>
      <c r="K38" s="274" t="s">
        <v>240</v>
      </c>
      <c r="L38" s="274" t="s">
        <v>1144</v>
      </c>
      <c r="M38" s="272" t="s">
        <v>1148</v>
      </c>
      <c r="N38" s="272">
        <f>X_RSD_HeatingDemand!$AA$14</f>
        <v>2019</v>
      </c>
      <c r="O38" s="272">
        <f>X_RSD_HeatingDemand!$AA$14</f>
        <v>2019</v>
      </c>
      <c r="P38" s="272">
        <v>0.55000000000000004</v>
      </c>
      <c r="Q38" s="274">
        <f>VLOOKUP(B38,KEY_RSD_AF!$C$5:$D$52,2,FALSE)</f>
        <v>1</v>
      </c>
      <c r="R38" s="272"/>
      <c r="S38" s="275">
        <f t="shared" si="5"/>
        <v>0.12082835523695737</v>
      </c>
      <c r="T38" s="272"/>
      <c r="U38" s="276">
        <f>U37*U35/U34</f>
        <v>12.082835523695737</v>
      </c>
      <c r="V38" s="272">
        <v>10</v>
      </c>
      <c r="W38" s="272">
        <v>31.536000000000001</v>
      </c>
    </row>
    <row r="39" spans="2:25" x14ac:dyDescent="0.3">
      <c r="B39" s="271" t="s">
        <v>342</v>
      </c>
      <c r="C39" s="271"/>
      <c r="D39" s="272" t="s">
        <v>1148</v>
      </c>
      <c r="E39" s="271" t="s">
        <v>99</v>
      </c>
      <c r="F39" s="271" t="s">
        <v>1143</v>
      </c>
      <c r="H39" s="273" t="str">
        <f>LEFT(D39,8)&amp;("oFGo")&amp;RIGHT(L39,3)&amp;("02")</f>
        <v>RKAPCoFGoELC02</v>
      </c>
      <c r="I39" s="273" t="str">
        <f t="shared" si="4"/>
        <v>RKAPCElectricFryerGriddleELC.BAT</v>
      </c>
      <c r="J39" s="272" t="s">
        <v>239</v>
      </c>
      <c r="K39" s="274" t="s">
        <v>240</v>
      </c>
      <c r="L39" s="274" t="s">
        <v>1145</v>
      </c>
      <c r="M39" s="272" t="s">
        <v>1148</v>
      </c>
      <c r="N39" s="272">
        <f>X_RSD_HeatingDemand!$AA$14</f>
        <v>2019</v>
      </c>
      <c r="O39" s="272">
        <f>X_RSD_HeatingDemand!$AA$14</f>
        <v>2019</v>
      </c>
      <c r="P39" s="272">
        <v>0.75</v>
      </c>
      <c r="Q39" s="274">
        <f>VLOOKUP(B39,KEY_RSD_AF!$C$5:$D$52,2,FALSE)</f>
        <v>1</v>
      </c>
      <c r="R39" s="272"/>
      <c r="S39" s="275">
        <f t="shared" si="5"/>
        <v>1.9942857142857144</v>
      </c>
      <c r="T39" s="272"/>
      <c r="U39" s="276">
        <f>349*0.8/1.4</f>
        <v>199.42857142857144</v>
      </c>
      <c r="V39" s="272">
        <v>10</v>
      </c>
      <c r="W39" s="272">
        <v>31.536000000000001</v>
      </c>
    </row>
    <row r="40" spans="2:25" x14ac:dyDescent="0.3">
      <c r="B40" s="271" t="s">
        <v>344</v>
      </c>
      <c r="C40" s="271"/>
      <c r="D40" s="272" t="s">
        <v>1148</v>
      </c>
      <c r="E40" s="271" t="s">
        <v>385</v>
      </c>
      <c r="F40" s="271" t="s">
        <v>1143</v>
      </c>
      <c r="H40" s="258" t="str">
        <f>LEFT(D40,8)&amp;("oFGo")&amp;RIGHT(L40,3)&amp;("02")</f>
        <v>RKAPCoFGoGAS02</v>
      </c>
      <c r="I40" s="258" t="str">
        <f t="shared" si="4"/>
        <v>RKAPCGasFryerGriddleGAS.BAT</v>
      </c>
      <c r="J40" s="272" t="s">
        <v>239</v>
      </c>
      <c r="K40" s="274" t="s">
        <v>240</v>
      </c>
      <c r="L40" s="274" t="s">
        <v>1144</v>
      </c>
      <c r="M40" s="272" t="s">
        <v>1148</v>
      </c>
      <c r="N40" s="272">
        <f>X_RSD_HeatingDemand!$AA$14</f>
        <v>2019</v>
      </c>
      <c r="O40" s="272">
        <f>X_RSD_HeatingDemand!$AA$14</f>
        <v>2019</v>
      </c>
      <c r="P40" s="272">
        <v>0.44</v>
      </c>
      <c r="Q40" s="274">
        <f>VLOOKUP(B40,KEY_RSD_AF!$C$5:$D$52,2,FALSE)</f>
        <v>1</v>
      </c>
      <c r="R40" s="272"/>
      <c r="S40" s="275">
        <f t="shared" si="5"/>
        <v>0.45868571428571436</v>
      </c>
      <c r="T40" s="272"/>
      <c r="U40" s="276">
        <f>U39*0.23</f>
        <v>45.868571428571435</v>
      </c>
      <c r="V40" s="272">
        <v>10</v>
      </c>
      <c r="W40" s="272">
        <v>31.536000000000001</v>
      </c>
    </row>
    <row r="41" spans="2:25" x14ac:dyDescent="0.3">
      <c r="B41" s="277" t="s">
        <v>326</v>
      </c>
      <c r="C41" s="277"/>
      <c r="D41" s="278" t="s">
        <v>1149</v>
      </c>
      <c r="E41" s="277" t="s">
        <v>385</v>
      </c>
      <c r="F41" s="277" t="s">
        <v>1143</v>
      </c>
      <c r="H41" s="273" t="str">
        <f>LEFT(D41,8)&amp;("oOHo")&amp;RIGHT(L41,3)&amp;("01")</f>
        <v>RKAPEoOHoGAS01</v>
      </c>
      <c r="I41" s="273" t="str">
        <f>LEFT(D41,8)&amp;(B41)&amp;RIGHT(L41,3)&amp;(".BAU")</f>
        <v>RKAPEGasOvenHobsGAS.BAU</v>
      </c>
      <c r="J41" s="278" t="s">
        <v>239</v>
      </c>
      <c r="K41" s="279" t="s">
        <v>240</v>
      </c>
      <c r="L41" s="279" t="s">
        <v>1144</v>
      </c>
      <c r="M41" s="278" t="s">
        <v>1149</v>
      </c>
      <c r="N41" s="272">
        <f>X_RSD_HeatingDemand!$AA$14</f>
        <v>2019</v>
      </c>
      <c r="O41" s="272">
        <f>X_RSD_HeatingDemand!$AA$14</f>
        <v>2019</v>
      </c>
      <c r="P41" s="278">
        <v>0.88</v>
      </c>
      <c r="Q41" s="274">
        <f>VLOOKUP(B41,KEY_RSD_AF!$C$5:$D$52,2,FALSE)</f>
        <v>1</v>
      </c>
      <c r="R41" s="278"/>
      <c r="S41" s="280">
        <f t="shared" si="5"/>
        <v>0.99582142857142841</v>
      </c>
      <c r="T41" s="278"/>
      <c r="U41" s="281">
        <f>278.83/185*U47</f>
        <v>99.582142857142841</v>
      </c>
      <c r="V41" s="278">
        <v>17</v>
      </c>
      <c r="W41" s="272">
        <v>31.536000000000001</v>
      </c>
    </row>
    <row r="42" spans="2:25" x14ac:dyDescent="0.3">
      <c r="B42" s="277" t="s">
        <v>326</v>
      </c>
      <c r="C42" s="277"/>
      <c r="D42" s="278" t="s">
        <v>1149</v>
      </c>
      <c r="E42" s="277" t="s">
        <v>385</v>
      </c>
      <c r="F42" s="277" t="s">
        <v>1143</v>
      </c>
      <c r="H42" s="258" t="str">
        <f>LEFT(D42,8)&amp;("oOHo")&amp;RIGHT(L42,3)&amp;("02")</f>
        <v>RKAPEoOHoGAS02</v>
      </c>
      <c r="I42" s="258" t="str">
        <f>LEFT(D42,8)&amp;(B42)&amp;RIGHT(L42,3)&amp;(".BAT")</f>
        <v>RKAPEGasOvenHobsGAS.BAT</v>
      </c>
      <c r="J42" s="278" t="str">
        <f>J41</f>
        <v>MW</v>
      </c>
      <c r="K42" s="279" t="s">
        <v>240</v>
      </c>
      <c r="L42" s="279" t="s">
        <v>1144</v>
      </c>
      <c r="M42" s="278" t="s">
        <v>1149</v>
      </c>
      <c r="N42" s="272">
        <f>X_RSD_HeatingDemand!$AA$14</f>
        <v>2019</v>
      </c>
      <c r="O42" s="272">
        <f>X_RSD_HeatingDemand!$AA$14</f>
        <v>2019</v>
      </c>
      <c r="P42" s="278">
        <v>0.44</v>
      </c>
      <c r="Q42" s="274">
        <f>VLOOKUP(B42,KEY_RSD_AF!$C$5:$D$52,2,FALSE)</f>
        <v>1</v>
      </c>
      <c r="R42" s="278"/>
      <c r="S42" s="280">
        <f t="shared" si="5"/>
        <v>0.84644821428571415</v>
      </c>
      <c r="T42" s="278"/>
      <c r="U42" s="281">
        <f>U41*0.85</f>
        <v>84.644821428571419</v>
      </c>
      <c r="V42" s="278">
        <v>17</v>
      </c>
      <c r="W42" s="272">
        <v>31.536000000000001</v>
      </c>
    </row>
    <row r="43" spans="2:25" x14ac:dyDescent="0.3">
      <c r="B43" s="277" t="s">
        <v>328</v>
      </c>
      <c r="C43" s="277"/>
      <c r="D43" s="278" t="s">
        <v>1149</v>
      </c>
      <c r="E43" s="277" t="s">
        <v>99</v>
      </c>
      <c r="F43" s="277" t="s">
        <v>1143</v>
      </c>
      <c r="H43" s="273" t="str">
        <f>LEFT(D43,8)&amp;("oOHo")&amp;RIGHT(L43,3)&amp;("01")</f>
        <v>RKAPEoOHoELC01</v>
      </c>
      <c r="I43" s="273" t="str">
        <f>LEFT(D43,8)&amp;(B43)&amp;RIGHT(L43,3)&amp;(".BAU")</f>
        <v>RKAPEElectricOvenHobsELC.BAU</v>
      </c>
      <c r="J43" s="278" t="str">
        <f>J41</f>
        <v>MW</v>
      </c>
      <c r="K43" s="279" t="s">
        <v>240</v>
      </c>
      <c r="L43" s="279" t="s">
        <v>1145</v>
      </c>
      <c r="M43" s="278" t="s">
        <v>1149</v>
      </c>
      <c r="N43" s="272">
        <f>X_RSD_HeatingDemand!$AA$14</f>
        <v>2019</v>
      </c>
      <c r="O43" s="272">
        <f>X_RSD_HeatingDemand!$AA$14</f>
        <v>2019</v>
      </c>
      <c r="P43" s="278">
        <v>0.9</v>
      </c>
      <c r="Q43" s="274">
        <f>VLOOKUP(B43,KEY_RSD_AF!$C$5:$D$52,2,FALSE)</f>
        <v>1</v>
      </c>
      <c r="R43" s="278"/>
      <c r="S43" s="280">
        <f t="shared" si="5"/>
        <v>5.4142857142857146</v>
      </c>
      <c r="T43" s="278"/>
      <c r="U43" s="281">
        <f>U46/405*758</f>
        <v>541.42857142857144</v>
      </c>
      <c r="V43" s="278">
        <v>17</v>
      </c>
      <c r="W43" s="272">
        <v>31.536000000000001</v>
      </c>
    </row>
    <row r="44" spans="2:25" x14ac:dyDescent="0.3">
      <c r="B44" s="277" t="s">
        <v>328</v>
      </c>
      <c r="C44" s="277"/>
      <c r="D44" s="278" t="s">
        <v>1149</v>
      </c>
      <c r="E44" s="277" t="s">
        <v>99</v>
      </c>
      <c r="F44" s="277" t="s">
        <v>1143</v>
      </c>
      <c r="H44" s="258" t="str">
        <f>LEFT(D44,8)&amp;("oOHo")&amp;RIGHT(L44,3)&amp;("02")</f>
        <v>RKAPEoOHoELC02</v>
      </c>
      <c r="I44" s="258" t="str">
        <f t="shared" ref="I44:I52" si="6">LEFT(D44,8)&amp;(B44)&amp;RIGHT(L44,3)&amp;(".BAT")</f>
        <v>RKAPEElectricOvenHobsELC.BAT</v>
      </c>
      <c r="J44" s="278" t="str">
        <f>J41</f>
        <v>MW</v>
      </c>
      <c r="K44" s="279" t="s">
        <v>240</v>
      </c>
      <c r="L44" s="279" t="s">
        <v>1145</v>
      </c>
      <c r="M44" s="278" t="s">
        <v>1149</v>
      </c>
      <c r="N44" s="272">
        <f>X_RSD_HeatingDemand!$AA$14</f>
        <v>2019</v>
      </c>
      <c r="O44" s="272">
        <f>X_RSD_HeatingDemand!$AA$14</f>
        <v>2019</v>
      </c>
      <c r="P44" s="278">
        <v>0.7</v>
      </c>
      <c r="Q44" s="274">
        <f>VLOOKUP(B44,KEY_RSD_AF!$C$5:$D$52,2,FALSE)</f>
        <v>1</v>
      </c>
      <c r="R44" s="278"/>
      <c r="S44" s="280">
        <f t="shared" si="5"/>
        <v>3.2485714285714282</v>
      </c>
      <c r="T44" s="278"/>
      <c r="U44" s="281">
        <f>U43*0.6</f>
        <v>324.85714285714283</v>
      </c>
      <c r="V44" s="278">
        <v>17</v>
      </c>
      <c r="W44" s="272">
        <v>31.536000000000001</v>
      </c>
    </row>
    <row r="45" spans="2:25" x14ac:dyDescent="0.3">
      <c r="B45" s="277" t="s">
        <v>330</v>
      </c>
      <c r="C45" s="277"/>
      <c r="D45" s="278" t="s">
        <v>1149</v>
      </c>
      <c r="E45" s="277" t="s">
        <v>99</v>
      </c>
      <c r="F45" s="277" t="s">
        <v>1143</v>
      </c>
      <c r="H45" s="273" t="str">
        <f>LEFT(D45,8)&amp;("oOHo")&amp;RIGHT(L45,3)&amp;("02")</f>
        <v>RKAPEoOHoLPG02</v>
      </c>
      <c r="I45" s="273" t="str">
        <f t="shared" si="6"/>
        <v>RKAPELPGOvenHobsLPG.BAT</v>
      </c>
      <c r="J45" s="278" t="s">
        <v>239</v>
      </c>
      <c r="K45" s="279" t="s">
        <v>240</v>
      </c>
      <c r="L45" s="279" t="s">
        <v>1146</v>
      </c>
      <c r="M45" s="278" t="s">
        <v>1149</v>
      </c>
      <c r="N45" s="272">
        <f>X_RSD_HeatingDemand!$AA$14</f>
        <v>2019</v>
      </c>
      <c r="O45" s="272">
        <f>X_RSD_HeatingDemand!$AA$14</f>
        <v>2019</v>
      </c>
      <c r="P45" s="278">
        <v>0.44</v>
      </c>
      <c r="Q45" s="274">
        <f>VLOOKUP(B45,KEY_RSD_AF!$C$5:$D$52,2,FALSE)</f>
        <v>1</v>
      </c>
      <c r="R45" s="278"/>
      <c r="S45" s="280">
        <f>S41</f>
        <v>0.99582142857142841</v>
      </c>
      <c r="T45" s="278"/>
      <c r="U45" s="281">
        <f>U48*201/168</f>
        <v>26.799999999999997</v>
      </c>
      <c r="V45" s="278">
        <v>17</v>
      </c>
      <c r="W45" s="272">
        <v>31.536000000000001</v>
      </c>
    </row>
    <row r="46" spans="2:25" x14ac:dyDescent="0.3">
      <c r="B46" s="277" t="s">
        <v>332</v>
      </c>
      <c r="C46" s="277"/>
      <c r="D46" s="278" t="s">
        <v>1149</v>
      </c>
      <c r="E46" s="277" t="s">
        <v>99</v>
      </c>
      <c r="F46" s="277" t="s">
        <v>1143</v>
      </c>
      <c r="H46" s="258" t="str">
        <f>LEFT(D46,8)&amp;("oRo")&amp;RIGHT(L46,3)&amp;("02")</f>
        <v>RKAPEoRoELC02</v>
      </c>
      <c r="I46" s="258" t="str">
        <f t="shared" si="6"/>
        <v>RKAPEElectricRangeELC.BAT</v>
      </c>
      <c r="J46" s="278" t="s">
        <v>239</v>
      </c>
      <c r="K46" s="279" t="s">
        <v>240</v>
      </c>
      <c r="L46" s="279" t="s">
        <v>1145</v>
      </c>
      <c r="M46" s="278" t="s">
        <v>1149</v>
      </c>
      <c r="N46" s="272">
        <f>X_RSD_HeatingDemand!$AA$14</f>
        <v>2019</v>
      </c>
      <c r="O46" s="272">
        <f>X_RSD_HeatingDemand!$AA$14</f>
        <v>2019</v>
      </c>
      <c r="P46" s="278">
        <v>0.88</v>
      </c>
      <c r="Q46" s="274">
        <f>VLOOKUP(B46,KEY_RSD_AF!$C$5:$D$52,2,FALSE)</f>
        <v>1</v>
      </c>
      <c r="R46" s="278"/>
      <c r="S46" s="280">
        <f>U46*0.01</f>
        <v>2.8928571428571428</v>
      </c>
      <c r="T46" s="278"/>
      <c r="U46" s="281">
        <f>405/1.4</f>
        <v>289.28571428571428</v>
      </c>
      <c r="V46" s="278">
        <v>17</v>
      </c>
      <c r="W46" s="272">
        <v>31.536000000000001</v>
      </c>
    </row>
    <row r="47" spans="2:25" x14ac:dyDescent="0.3">
      <c r="B47" s="277" t="s">
        <v>334</v>
      </c>
      <c r="C47" s="277"/>
      <c r="D47" s="278" t="s">
        <v>1149</v>
      </c>
      <c r="E47" s="277" t="s">
        <v>385</v>
      </c>
      <c r="F47" s="277" t="s">
        <v>1143</v>
      </c>
      <c r="H47" s="273" t="str">
        <f>LEFT(D47,8)&amp;("oRo")&amp;RIGHT(L47,3)&amp;("02")</f>
        <v>RKAPEoRoGAS02</v>
      </c>
      <c r="I47" s="273" t="str">
        <f t="shared" si="6"/>
        <v>RKAPEGasRangeGAS.BAT</v>
      </c>
      <c r="J47" s="278" t="s">
        <v>239</v>
      </c>
      <c r="K47" s="279" t="s">
        <v>240</v>
      </c>
      <c r="L47" s="279" t="s">
        <v>1144</v>
      </c>
      <c r="M47" s="278" t="s">
        <v>1149</v>
      </c>
      <c r="N47" s="272">
        <f>X_RSD_HeatingDemand!$AA$14</f>
        <v>2019</v>
      </c>
      <c r="O47" s="272">
        <f>X_RSD_HeatingDemand!$AA$14</f>
        <v>2019</v>
      </c>
      <c r="P47" s="278">
        <v>0.44</v>
      </c>
      <c r="Q47" s="274">
        <f>VLOOKUP(B47,KEY_RSD_AF!$C$5:$D$52,2,FALSE)</f>
        <v>1</v>
      </c>
      <c r="R47" s="278"/>
      <c r="S47" s="280">
        <f>U47*0.01</f>
        <v>0.6607142857142857</v>
      </c>
      <c r="T47" s="278"/>
      <c r="U47" s="281">
        <f>185/2.8</f>
        <v>66.071428571428569</v>
      </c>
      <c r="V47" s="278">
        <v>17</v>
      </c>
      <c r="W47" s="272">
        <v>31.536000000000001</v>
      </c>
    </row>
    <row r="48" spans="2:25" x14ac:dyDescent="0.3">
      <c r="B48" s="277" t="s">
        <v>336</v>
      </c>
      <c r="C48" s="277"/>
      <c r="D48" s="278" t="s">
        <v>1149</v>
      </c>
      <c r="E48" s="277" t="s">
        <v>322</v>
      </c>
      <c r="F48" s="277" t="s">
        <v>1143</v>
      </c>
      <c r="H48" s="258" t="str">
        <f>LEFT(D48,8)&amp;("oRo")&amp;RIGHT(L48,3)&amp;("02")</f>
        <v>RKAPEoRoLPG02</v>
      </c>
      <c r="I48" s="258" t="str">
        <f t="shared" si="6"/>
        <v>RKAPELPGRangeLPG.BAT</v>
      </c>
      <c r="J48" s="278" t="s">
        <v>239</v>
      </c>
      <c r="K48" s="279" t="s">
        <v>240</v>
      </c>
      <c r="L48" s="279" t="s">
        <v>1146</v>
      </c>
      <c r="M48" s="278" t="s">
        <v>1149</v>
      </c>
      <c r="N48" s="272">
        <f>X_RSD_HeatingDemand!$AA$14</f>
        <v>2019</v>
      </c>
      <c r="O48" s="272">
        <f>X_RSD_HeatingDemand!$AA$14</f>
        <v>2019</v>
      </c>
      <c r="P48" s="278">
        <v>0.44</v>
      </c>
      <c r="Q48" s="274">
        <f>VLOOKUP(B48,KEY_RSD_AF!$C$5:$D$52,2,FALSE)</f>
        <v>1</v>
      </c>
      <c r="R48" s="278"/>
      <c r="S48" s="280">
        <f>S47</f>
        <v>0.6607142857142857</v>
      </c>
      <c r="T48" s="278"/>
      <c r="U48" s="281">
        <f>168/7.5</f>
        <v>22.4</v>
      </c>
      <c r="V48" s="278">
        <v>17</v>
      </c>
      <c r="W48" s="272">
        <v>31.536000000000001</v>
      </c>
    </row>
    <row r="49" spans="2:23" x14ac:dyDescent="0.3">
      <c r="B49" s="277" t="s">
        <v>338</v>
      </c>
      <c r="C49" s="277"/>
      <c r="D49" s="278" t="s">
        <v>1149</v>
      </c>
      <c r="E49" s="277" t="s">
        <v>99</v>
      </c>
      <c r="F49" s="277" t="s">
        <v>1143</v>
      </c>
      <c r="H49" s="273" t="str">
        <f>LEFT(D49,8)&amp;("oSto")&amp;RIGHT(L49,3)&amp;("02")</f>
        <v>RKAPEoStoELC02</v>
      </c>
      <c r="I49" s="273" t="str">
        <f t="shared" si="6"/>
        <v>RKAPEElectricSteamerELC.BAT</v>
      </c>
      <c r="J49" s="278" t="s">
        <v>239</v>
      </c>
      <c r="K49" s="279" t="s">
        <v>240</v>
      </c>
      <c r="L49" s="279" t="s">
        <v>1145</v>
      </c>
      <c r="M49" s="278" t="s">
        <v>1149</v>
      </c>
      <c r="N49" s="272">
        <f>X_RSD_HeatingDemand!$AA$14</f>
        <v>2019</v>
      </c>
      <c r="O49" s="272">
        <f>X_RSD_HeatingDemand!$AA$14</f>
        <v>2019</v>
      </c>
      <c r="P49" s="278">
        <v>0.75</v>
      </c>
      <c r="Q49" s="274">
        <f>VLOOKUP(B49,KEY_RSD_AF!$C$5:$D$52,2,FALSE)</f>
        <v>1</v>
      </c>
      <c r="R49" s="278"/>
      <c r="S49" s="280">
        <f t="shared" ref="S49:S56" si="7">U49*0.01</f>
        <v>0.52903225806451615</v>
      </c>
      <c r="T49" s="278"/>
      <c r="U49" s="281">
        <f>41/0.775</f>
        <v>52.903225806451609</v>
      </c>
      <c r="V49" s="278">
        <v>10</v>
      </c>
      <c r="W49" s="272">
        <v>31.536000000000001</v>
      </c>
    </row>
    <row r="50" spans="2:23" x14ac:dyDescent="0.3">
      <c r="B50" s="277" t="s">
        <v>340</v>
      </c>
      <c r="C50" s="277"/>
      <c r="D50" s="278" t="s">
        <v>1149</v>
      </c>
      <c r="E50" s="277" t="s">
        <v>385</v>
      </c>
      <c r="F50" s="277" t="s">
        <v>1143</v>
      </c>
      <c r="H50" s="258" t="str">
        <f>LEFT(D50,8)&amp;("oSto")&amp;RIGHT(L50,3)&amp;("02")</f>
        <v>RKAPEoStoGAS02</v>
      </c>
      <c r="I50" s="258" t="str">
        <f t="shared" si="6"/>
        <v>RKAPEGasSteamerGAS.BAT</v>
      </c>
      <c r="J50" s="278" t="s">
        <v>239</v>
      </c>
      <c r="K50" s="279" t="s">
        <v>240</v>
      </c>
      <c r="L50" s="279" t="s">
        <v>1144</v>
      </c>
      <c r="M50" s="278" t="s">
        <v>1149</v>
      </c>
      <c r="N50" s="272">
        <f>X_RSD_HeatingDemand!$AA$14</f>
        <v>2019</v>
      </c>
      <c r="O50" s="272">
        <f>X_RSD_HeatingDemand!$AA$14</f>
        <v>2019</v>
      </c>
      <c r="P50" s="278">
        <v>0.55000000000000004</v>
      </c>
      <c r="Q50" s="274">
        <f>VLOOKUP(B50,KEY_RSD_AF!$C$5:$D$52,2,FALSE)</f>
        <v>1</v>
      </c>
      <c r="R50" s="278"/>
      <c r="S50" s="280">
        <f t="shared" si="7"/>
        <v>0.12082835523695737</v>
      </c>
      <c r="T50" s="278"/>
      <c r="U50" s="281">
        <f>U49*U47/U46</f>
        <v>12.082835523695737</v>
      </c>
      <c r="V50" s="278">
        <v>10</v>
      </c>
      <c r="W50" s="272">
        <v>31.536000000000001</v>
      </c>
    </row>
    <row r="51" spans="2:23" x14ac:dyDescent="0.3">
      <c r="B51" s="277" t="s">
        <v>342</v>
      </c>
      <c r="C51" s="277"/>
      <c r="D51" s="278" t="s">
        <v>1149</v>
      </c>
      <c r="E51" s="277" t="s">
        <v>99</v>
      </c>
      <c r="F51" s="277" t="s">
        <v>1143</v>
      </c>
      <c r="H51" s="273" t="str">
        <f>LEFT(D51,8)&amp;("oFGo")&amp;RIGHT(L51,3)&amp;("02")</f>
        <v>RKAPEoFGoELC02</v>
      </c>
      <c r="I51" s="273" t="str">
        <f t="shared" si="6"/>
        <v>RKAPEElectricFryerGriddleELC.BAT</v>
      </c>
      <c r="J51" s="278" t="s">
        <v>239</v>
      </c>
      <c r="K51" s="279" t="s">
        <v>240</v>
      </c>
      <c r="L51" s="279" t="s">
        <v>1145</v>
      </c>
      <c r="M51" s="278" t="s">
        <v>1149</v>
      </c>
      <c r="N51" s="272">
        <f>X_RSD_HeatingDemand!$AA$14</f>
        <v>2019</v>
      </c>
      <c r="O51" s="272">
        <f>X_RSD_HeatingDemand!$AA$14</f>
        <v>2019</v>
      </c>
      <c r="P51" s="278">
        <v>0.75</v>
      </c>
      <c r="Q51" s="274">
        <f>VLOOKUP(B51,KEY_RSD_AF!$C$5:$D$52,2,FALSE)</f>
        <v>1</v>
      </c>
      <c r="R51" s="278"/>
      <c r="S51" s="280">
        <f t="shared" si="7"/>
        <v>1.9942857142857144</v>
      </c>
      <c r="T51" s="278"/>
      <c r="U51" s="281">
        <f>349*0.8/1.4</f>
        <v>199.42857142857144</v>
      </c>
      <c r="V51" s="278">
        <v>10</v>
      </c>
      <c r="W51" s="272">
        <v>31.536000000000001</v>
      </c>
    </row>
    <row r="52" spans="2:23" x14ac:dyDescent="0.3">
      <c r="B52" s="277" t="s">
        <v>344</v>
      </c>
      <c r="C52" s="277"/>
      <c r="D52" s="278" t="s">
        <v>1149</v>
      </c>
      <c r="E52" s="277" t="s">
        <v>385</v>
      </c>
      <c r="F52" s="277" t="s">
        <v>1143</v>
      </c>
      <c r="H52" s="258" t="str">
        <f>LEFT(D52,8)&amp;("oFGo")&amp;RIGHT(L52,3)&amp;("02")</f>
        <v>RKAPEoFGoGAS02</v>
      </c>
      <c r="I52" s="258" t="str">
        <f t="shared" si="6"/>
        <v>RKAPEGasFryerGriddleGAS.BAT</v>
      </c>
      <c r="J52" s="278" t="s">
        <v>239</v>
      </c>
      <c r="K52" s="279" t="s">
        <v>240</v>
      </c>
      <c r="L52" s="279" t="s">
        <v>1144</v>
      </c>
      <c r="M52" s="278" t="s">
        <v>1149</v>
      </c>
      <c r="N52" s="272">
        <f>X_RSD_HeatingDemand!$AA$14</f>
        <v>2019</v>
      </c>
      <c r="O52" s="272">
        <f>X_RSD_HeatingDemand!$AA$14</f>
        <v>2019</v>
      </c>
      <c r="P52" s="278">
        <v>0.44</v>
      </c>
      <c r="Q52" s="274">
        <f>VLOOKUP(B52,KEY_RSD_AF!$C$5:$D$52,2,FALSE)</f>
        <v>1</v>
      </c>
      <c r="R52" s="278"/>
      <c r="S52" s="280">
        <f t="shared" si="7"/>
        <v>0.45868571428571436</v>
      </c>
      <c r="T52" s="278"/>
      <c r="U52" s="281">
        <f>U51*0.23</f>
        <v>45.868571428571435</v>
      </c>
      <c r="V52" s="278">
        <v>10</v>
      </c>
      <c r="W52" s="272">
        <v>31.536000000000001</v>
      </c>
    </row>
    <row r="53" spans="2:23" x14ac:dyDescent="0.3">
      <c r="B53" s="271" t="s">
        <v>326</v>
      </c>
      <c r="C53" s="271"/>
      <c r="D53" s="278" t="s">
        <v>1150</v>
      </c>
      <c r="E53" s="271" t="s">
        <v>385</v>
      </c>
      <c r="F53" s="271" t="s">
        <v>1143</v>
      </c>
      <c r="H53" s="273" t="str">
        <f>LEFT(D53,8)&amp;("oOHo")&amp;RIGHT(L53,3)&amp;("01")</f>
        <v>RKHSAoOHoGAS01</v>
      </c>
      <c r="I53" s="273" t="str">
        <f>LEFT(D53,8)&amp;(B53)&amp;RIGHT(L53,3)&amp;(".BAU")</f>
        <v>RKHSAGasOvenHobsGAS.BAU</v>
      </c>
      <c r="J53" s="272" t="s">
        <v>239</v>
      </c>
      <c r="K53" s="274" t="s">
        <v>240</v>
      </c>
      <c r="L53" s="274" t="s">
        <v>1144</v>
      </c>
      <c r="M53" s="278" t="s">
        <v>1150</v>
      </c>
      <c r="N53" s="272">
        <f>X_RSD_HeatingDemand!$AA$14</f>
        <v>2019</v>
      </c>
      <c r="O53" s="272">
        <f>X_RSD_HeatingDemand!$AA$14</f>
        <v>2019</v>
      </c>
      <c r="P53" s="272">
        <v>0.88</v>
      </c>
      <c r="Q53" s="274">
        <f>VLOOKUP(B53,KEY_RSD_AF!$C$5:$D$52,2,FALSE)</f>
        <v>1</v>
      </c>
      <c r="R53" s="272"/>
      <c r="S53" s="275">
        <f t="shared" si="7"/>
        <v>0.99582142857142841</v>
      </c>
      <c r="T53" s="272"/>
      <c r="U53" s="276">
        <f>278.83/185*U59</f>
        <v>99.582142857142841</v>
      </c>
      <c r="V53" s="272">
        <v>17</v>
      </c>
      <c r="W53" s="272">
        <v>31.536000000000001</v>
      </c>
    </row>
    <row r="54" spans="2:23" x14ac:dyDescent="0.3">
      <c r="B54" s="271" t="s">
        <v>326</v>
      </c>
      <c r="C54" s="271"/>
      <c r="D54" s="278" t="s">
        <v>1150</v>
      </c>
      <c r="E54" s="271" t="s">
        <v>385</v>
      </c>
      <c r="F54" s="271" t="s">
        <v>1143</v>
      </c>
      <c r="H54" s="258" t="str">
        <f>LEFT(D54,8)&amp;("oOHo")&amp;RIGHT(L54,3)&amp;("02")</f>
        <v>RKHSAoOHoGAS02</v>
      </c>
      <c r="I54" s="258" t="str">
        <f>LEFT(D54,8)&amp;(B54)&amp;RIGHT(L54,3)&amp;(".BAT")</f>
        <v>RKHSAGasOvenHobsGAS.BAT</v>
      </c>
      <c r="J54" s="272" t="str">
        <f>J53</f>
        <v>MW</v>
      </c>
      <c r="K54" s="274" t="s">
        <v>240</v>
      </c>
      <c r="L54" s="274" t="s">
        <v>1144</v>
      </c>
      <c r="M54" s="278" t="s">
        <v>1150</v>
      </c>
      <c r="N54" s="272">
        <f>X_RSD_HeatingDemand!$AA$14</f>
        <v>2019</v>
      </c>
      <c r="O54" s="272">
        <f>X_RSD_HeatingDemand!$AA$14</f>
        <v>2019</v>
      </c>
      <c r="P54" s="272">
        <v>0.44</v>
      </c>
      <c r="Q54" s="274">
        <f>VLOOKUP(B54,KEY_RSD_AF!$C$5:$D$52,2,FALSE)</f>
        <v>1</v>
      </c>
      <c r="R54" s="272"/>
      <c r="S54" s="275">
        <f t="shared" si="7"/>
        <v>0.84644821428571415</v>
      </c>
      <c r="T54" s="272"/>
      <c r="U54" s="276">
        <f>U53*0.85</f>
        <v>84.644821428571419</v>
      </c>
      <c r="V54" s="272">
        <v>17</v>
      </c>
      <c r="W54" s="272">
        <v>31.536000000000001</v>
      </c>
    </row>
    <row r="55" spans="2:23" x14ac:dyDescent="0.3">
      <c r="B55" s="271" t="s">
        <v>328</v>
      </c>
      <c r="C55" s="271"/>
      <c r="D55" s="278" t="s">
        <v>1150</v>
      </c>
      <c r="E55" s="271" t="s">
        <v>99</v>
      </c>
      <c r="F55" s="271" t="s">
        <v>1143</v>
      </c>
      <c r="H55" s="273" t="str">
        <f>LEFT(D55,8)&amp;("oOHo")&amp;RIGHT(L55,3)&amp;("01")</f>
        <v>RKHSAoOHoELC01</v>
      </c>
      <c r="I55" s="273" t="str">
        <f>LEFT(D55,8)&amp;(B55)&amp;RIGHT(L55,3)&amp;(".BAU")</f>
        <v>RKHSAElectricOvenHobsELC.BAU</v>
      </c>
      <c r="J55" s="272" t="str">
        <f>J53</f>
        <v>MW</v>
      </c>
      <c r="K55" s="274" t="s">
        <v>240</v>
      </c>
      <c r="L55" s="274" t="s">
        <v>1145</v>
      </c>
      <c r="M55" s="278" t="s">
        <v>1150</v>
      </c>
      <c r="N55" s="272">
        <f>X_RSD_HeatingDemand!$AA$14</f>
        <v>2019</v>
      </c>
      <c r="O55" s="272">
        <f>X_RSD_HeatingDemand!$AA$14</f>
        <v>2019</v>
      </c>
      <c r="P55" s="272">
        <v>0.9</v>
      </c>
      <c r="Q55" s="274">
        <f>VLOOKUP(B55,KEY_RSD_AF!$C$5:$D$52,2,FALSE)</f>
        <v>1</v>
      </c>
      <c r="R55" s="272"/>
      <c r="S55" s="275">
        <f t="shared" si="7"/>
        <v>5.4142857142857146</v>
      </c>
      <c r="T55" s="272"/>
      <c r="U55" s="276">
        <f>U58/405*758</f>
        <v>541.42857142857144</v>
      </c>
      <c r="V55" s="272">
        <v>17</v>
      </c>
      <c r="W55" s="272">
        <v>31.536000000000001</v>
      </c>
    </row>
    <row r="56" spans="2:23" x14ac:dyDescent="0.3">
      <c r="B56" s="271" t="s">
        <v>328</v>
      </c>
      <c r="C56" s="271"/>
      <c r="D56" s="278" t="s">
        <v>1150</v>
      </c>
      <c r="E56" s="271" t="s">
        <v>99</v>
      </c>
      <c r="F56" s="271" t="s">
        <v>1143</v>
      </c>
      <c r="H56" s="258" t="str">
        <f>LEFT(D56,8)&amp;("oOHo")&amp;RIGHT(L56,3)&amp;("02")</f>
        <v>RKHSAoOHoELC02</v>
      </c>
      <c r="I56" s="258" t="str">
        <f t="shared" ref="I56:I64" si="8">LEFT(D56,8)&amp;(B56)&amp;RIGHT(L56,3)&amp;(".BAT")</f>
        <v>RKHSAElectricOvenHobsELC.BAT</v>
      </c>
      <c r="J56" s="272" t="str">
        <f>J53</f>
        <v>MW</v>
      </c>
      <c r="K56" s="274" t="s">
        <v>240</v>
      </c>
      <c r="L56" s="274" t="s">
        <v>1145</v>
      </c>
      <c r="M56" s="278" t="s">
        <v>1150</v>
      </c>
      <c r="N56" s="272">
        <f>X_RSD_HeatingDemand!$AA$14</f>
        <v>2019</v>
      </c>
      <c r="O56" s="272">
        <f>X_RSD_HeatingDemand!$AA$14</f>
        <v>2019</v>
      </c>
      <c r="P56" s="272">
        <v>0.7</v>
      </c>
      <c r="Q56" s="274">
        <f>VLOOKUP(B56,KEY_RSD_AF!$C$5:$D$52,2,FALSE)</f>
        <v>1</v>
      </c>
      <c r="R56" s="272"/>
      <c r="S56" s="275">
        <f t="shared" si="7"/>
        <v>3.2485714285714282</v>
      </c>
      <c r="T56" s="272"/>
      <c r="U56" s="276">
        <f>U55*0.6</f>
        <v>324.85714285714283</v>
      </c>
      <c r="V56" s="272">
        <v>17</v>
      </c>
      <c r="W56" s="272">
        <v>31.536000000000001</v>
      </c>
    </row>
    <row r="57" spans="2:23" x14ac:dyDescent="0.3">
      <c r="B57" s="271" t="s">
        <v>330</v>
      </c>
      <c r="C57" s="271"/>
      <c r="D57" s="278" t="s">
        <v>1150</v>
      </c>
      <c r="E57" s="271" t="s">
        <v>99</v>
      </c>
      <c r="F57" s="271" t="s">
        <v>1143</v>
      </c>
      <c r="H57" s="273" t="str">
        <f>LEFT(D57,8)&amp;("oOHo")&amp;RIGHT(L57,3)&amp;("02")</f>
        <v>RKHSAoOHoLPG02</v>
      </c>
      <c r="I57" s="273" t="str">
        <f t="shared" si="8"/>
        <v>RKHSALPGOvenHobsLPG.BAT</v>
      </c>
      <c r="J57" s="272" t="s">
        <v>239</v>
      </c>
      <c r="K57" s="274" t="s">
        <v>240</v>
      </c>
      <c r="L57" s="274" t="s">
        <v>1146</v>
      </c>
      <c r="M57" s="278" t="s">
        <v>1150</v>
      </c>
      <c r="N57" s="272">
        <f>X_RSD_HeatingDemand!$AA$14</f>
        <v>2019</v>
      </c>
      <c r="O57" s="272">
        <f>X_RSD_HeatingDemand!$AA$14</f>
        <v>2019</v>
      </c>
      <c r="P57" s="272">
        <v>0.44</v>
      </c>
      <c r="Q57" s="274">
        <f>VLOOKUP(B57,KEY_RSD_AF!$C$5:$D$52,2,FALSE)</f>
        <v>1</v>
      </c>
      <c r="R57" s="272"/>
      <c r="S57" s="275">
        <f>S53</f>
        <v>0.99582142857142841</v>
      </c>
      <c r="T57" s="272"/>
      <c r="U57" s="276">
        <f>U60*201/168</f>
        <v>26.799999999999997</v>
      </c>
      <c r="V57" s="272">
        <v>17</v>
      </c>
      <c r="W57" s="272">
        <v>31.536000000000001</v>
      </c>
    </row>
    <row r="58" spans="2:23" x14ac:dyDescent="0.3">
      <c r="B58" s="271" t="s">
        <v>332</v>
      </c>
      <c r="C58" s="271"/>
      <c r="D58" s="278" t="s">
        <v>1150</v>
      </c>
      <c r="E58" s="271" t="s">
        <v>99</v>
      </c>
      <c r="F58" s="271" t="s">
        <v>1143</v>
      </c>
      <c r="H58" s="258" t="str">
        <f>LEFT(D58,8)&amp;("oRo")&amp;RIGHT(L58,3)&amp;("02")</f>
        <v>RKHSAoRoELC02</v>
      </c>
      <c r="I58" s="258" t="str">
        <f t="shared" si="8"/>
        <v>RKHSAElectricRangeELC.BAT</v>
      </c>
      <c r="J58" s="272" t="s">
        <v>239</v>
      </c>
      <c r="K58" s="274" t="s">
        <v>240</v>
      </c>
      <c r="L58" s="274" t="s">
        <v>1145</v>
      </c>
      <c r="M58" s="278" t="s">
        <v>1150</v>
      </c>
      <c r="N58" s="272">
        <f>X_RSD_HeatingDemand!$AA$14</f>
        <v>2019</v>
      </c>
      <c r="O58" s="272">
        <f>X_RSD_HeatingDemand!$AA$14</f>
        <v>2019</v>
      </c>
      <c r="P58" s="272">
        <v>0.88</v>
      </c>
      <c r="Q58" s="274">
        <f>VLOOKUP(B58,KEY_RSD_AF!$C$5:$D$52,2,FALSE)</f>
        <v>1</v>
      </c>
      <c r="R58" s="272"/>
      <c r="S58" s="275">
        <f>U58*0.01</f>
        <v>2.8928571428571428</v>
      </c>
      <c r="T58" s="272"/>
      <c r="U58" s="276">
        <f>405/1.4</f>
        <v>289.28571428571428</v>
      </c>
      <c r="V58" s="272">
        <v>17</v>
      </c>
      <c r="W58" s="272">
        <v>31.536000000000001</v>
      </c>
    </row>
    <row r="59" spans="2:23" x14ac:dyDescent="0.3">
      <c r="B59" s="271" t="s">
        <v>334</v>
      </c>
      <c r="C59" s="271"/>
      <c r="D59" s="278" t="s">
        <v>1150</v>
      </c>
      <c r="E59" s="271" t="s">
        <v>385</v>
      </c>
      <c r="F59" s="271" t="s">
        <v>1143</v>
      </c>
      <c r="H59" s="273" t="str">
        <f>LEFT(D59,8)&amp;("oRo")&amp;RIGHT(L59,3)&amp;("02")</f>
        <v>RKHSAoRoGAS02</v>
      </c>
      <c r="I59" s="273" t="str">
        <f t="shared" si="8"/>
        <v>RKHSAGasRangeGAS.BAT</v>
      </c>
      <c r="J59" s="272" t="s">
        <v>239</v>
      </c>
      <c r="K59" s="274" t="s">
        <v>240</v>
      </c>
      <c r="L59" s="274" t="s">
        <v>1144</v>
      </c>
      <c r="M59" s="278" t="s">
        <v>1150</v>
      </c>
      <c r="N59" s="272">
        <f>X_RSD_HeatingDemand!$AA$14</f>
        <v>2019</v>
      </c>
      <c r="O59" s="272">
        <f>X_RSD_HeatingDemand!$AA$14</f>
        <v>2019</v>
      </c>
      <c r="P59" s="272">
        <v>0.44</v>
      </c>
      <c r="Q59" s="274">
        <f>VLOOKUP(B59,KEY_RSD_AF!$C$5:$D$52,2,FALSE)</f>
        <v>1</v>
      </c>
      <c r="R59" s="272"/>
      <c r="S59" s="275">
        <f>U59*0.01</f>
        <v>0.6607142857142857</v>
      </c>
      <c r="T59" s="272"/>
      <c r="U59" s="276">
        <f>185/2.8</f>
        <v>66.071428571428569</v>
      </c>
      <c r="V59" s="272">
        <v>17</v>
      </c>
      <c r="W59" s="272">
        <v>31.536000000000001</v>
      </c>
    </row>
    <row r="60" spans="2:23" x14ac:dyDescent="0.3">
      <c r="B60" s="271" t="s">
        <v>336</v>
      </c>
      <c r="C60" s="271"/>
      <c r="D60" s="278" t="s">
        <v>1150</v>
      </c>
      <c r="E60" s="271" t="s">
        <v>322</v>
      </c>
      <c r="F60" s="271" t="s">
        <v>1143</v>
      </c>
      <c r="H60" s="258" t="str">
        <f>LEFT(D60,8)&amp;("oRo")&amp;RIGHT(L60,3)&amp;("02")</f>
        <v>RKHSAoRoLPG02</v>
      </c>
      <c r="I60" s="258" t="str">
        <f t="shared" si="8"/>
        <v>RKHSALPGRangeLPG.BAT</v>
      </c>
      <c r="J60" s="272" t="s">
        <v>239</v>
      </c>
      <c r="K60" s="274" t="s">
        <v>240</v>
      </c>
      <c r="L60" s="274" t="s">
        <v>1146</v>
      </c>
      <c r="M60" s="278" t="s">
        <v>1150</v>
      </c>
      <c r="N60" s="272">
        <f>X_RSD_HeatingDemand!$AA$14</f>
        <v>2019</v>
      </c>
      <c r="O60" s="272">
        <f>X_RSD_HeatingDemand!$AA$14</f>
        <v>2019</v>
      </c>
      <c r="P60" s="272">
        <v>0.44</v>
      </c>
      <c r="Q60" s="274">
        <f>VLOOKUP(B60,KEY_RSD_AF!$C$5:$D$52,2,FALSE)</f>
        <v>1</v>
      </c>
      <c r="R60" s="272"/>
      <c r="S60" s="275">
        <f>S59</f>
        <v>0.6607142857142857</v>
      </c>
      <c r="T60" s="272"/>
      <c r="U60" s="276">
        <f>168/7.5</f>
        <v>22.4</v>
      </c>
      <c r="V60" s="272">
        <v>17</v>
      </c>
      <c r="W60" s="272">
        <v>31.536000000000001</v>
      </c>
    </row>
    <row r="61" spans="2:23" x14ac:dyDescent="0.3">
      <c r="B61" s="271" t="s">
        <v>338</v>
      </c>
      <c r="C61" s="271"/>
      <c r="D61" s="278" t="s">
        <v>1150</v>
      </c>
      <c r="E61" s="271" t="s">
        <v>99</v>
      </c>
      <c r="F61" s="271" t="s">
        <v>1143</v>
      </c>
      <c r="H61" s="273" t="str">
        <f>LEFT(D61,8)&amp;("oSto")&amp;RIGHT(L61,3)&amp;("02")</f>
        <v>RKHSAoStoELC02</v>
      </c>
      <c r="I61" s="273" t="str">
        <f t="shared" si="8"/>
        <v>RKHSAElectricSteamerELC.BAT</v>
      </c>
      <c r="J61" s="272" t="s">
        <v>239</v>
      </c>
      <c r="K61" s="274" t="s">
        <v>240</v>
      </c>
      <c r="L61" s="274" t="s">
        <v>1145</v>
      </c>
      <c r="M61" s="278" t="s">
        <v>1150</v>
      </c>
      <c r="N61" s="272">
        <f>X_RSD_HeatingDemand!$AA$14</f>
        <v>2019</v>
      </c>
      <c r="O61" s="272">
        <f>X_RSD_HeatingDemand!$AA$14</f>
        <v>2019</v>
      </c>
      <c r="P61" s="272">
        <v>0.75</v>
      </c>
      <c r="Q61" s="274">
        <f>VLOOKUP(B61,KEY_RSD_AF!$C$5:$D$52,2,FALSE)</f>
        <v>1</v>
      </c>
      <c r="R61" s="272"/>
      <c r="S61" s="275">
        <f t="shared" ref="S61:S68" si="9">U61*0.01</f>
        <v>0.52903225806451615</v>
      </c>
      <c r="T61" s="272"/>
      <c r="U61" s="276">
        <f>41/0.775</f>
        <v>52.903225806451609</v>
      </c>
      <c r="V61" s="272">
        <v>10</v>
      </c>
      <c r="W61" s="272">
        <v>31.536000000000001</v>
      </c>
    </row>
    <row r="62" spans="2:23" x14ac:dyDescent="0.3">
      <c r="B62" s="271" t="s">
        <v>340</v>
      </c>
      <c r="C62" s="271"/>
      <c r="D62" s="278" t="s">
        <v>1150</v>
      </c>
      <c r="E62" s="271" t="s">
        <v>385</v>
      </c>
      <c r="F62" s="271" t="s">
        <v>1143</v>
      </c>
      <c r="H62" s="258" t="str">
        <f>LEFT(D62,8)&amp;("oSto")&amp;RIGHT(L62,3)&amp;("02")</f>
        <v>RKHSAoStoGAS02</v>
      </c>
      <c r="I62" s="258" t="str">
        <f t="shared" si="8"/>
        <v>RKHSAGasSteamerGAS.BAT</v>
      </c>
      <c r="J62" s="272" t="s">
        <v>239</v>
      </c>
      <c r="K62" s="274" t="s">
        <v>240</v>
      </c>
      <c r="L62" s="274" t="s">
        <v>1144</v>
      </c>
      <c r="M62" s="278" t="s">
        <v>1150</v>
      </c>
      <c r="N62" s="272">
        <f>X_RSD_HeatingDemand!$AA$14</f>
        <v>2019</v>
      </c>
      <c r="O62" s="272">
        <f>X_RSD_HeatingDemand!$AA$14</f>
        <v>2019</v>
      </c>
      <c r="P62" s="272">
        <v>0.55000000000000004</v>
      </c>
      <c r="Q62" s="274">
        <f>VLOOKUP(B62,KEY_RSD_AF!$C$5:$D$52,2,FALSE)</f>
        <v>1</v>
      </c>
      <c r="R62" s="272"/>
      <c r="S62" s="275">
        <f t="shared" si="9"/>
        <v>0.12082835523695737</v>
      </c>
      <c r="T62" s="272"/>
      <c r="U62" s="276">
        <f>U61*U59/U58</f>
        <v>12.082835523695737</v>
      </c>
      <c r="V62" s="272">
        <v>10</v>
      </c>
      <c r="W62" s="272">
        <v>31.536000000000001</v>
      </c>
    </row>
    <row r="63" spans="2:23" x14ac:dyDescent="0.3">
      <c r="B63" s="271" t="s">
        <v>342</v>
      </c>
      <c r="C63" s="271"/>
      <c r="D63" s="278" t="s">
        <v>1150</v>
      </c>
      <c r="E63" s="271" t="s">
        <v>99</v>
      </c>
      <c r="F63" s="271" t="s">
        <v>1143</v>
      </c>
      <c r="H63" s="273" t="str">
        <f>LEFT(D63,8)&amp;("oFGo")&amp;RIGHT(L63,3)&amp;("02")</f>
        <v>RKHSAoFGoELC02</v>
      </c>
      <c r="I63" s="273" t="str">
        <f t="shared" si="8"/>
        <v>RKHSAElectricFryerGriddleELC.BAT</v>
      </c>
      <c r="J63" s="272" t="s">
        <v>239</v>
      </c>
      <c r="K63" s="274" t="s">
        <v>240</v>
      </c>
      <c r="L63" s="274" t="s">
        <v>1145</v>
      </c>
      <c r="M63" s="278" t="s">
        <v>1150</v>
      </c>
      <c r="N63" s="272">
        <f>X_RSD_HeatingDemand!$AA$14</f>
        <v>2019</v>
      </c>
      <c r="O63" s="272">
        <f>X_RSD_HeatingDemand!$AA$14</f>
        <v>2019</v>
      </c>
      <c r="P63" s="272">
        <v>0.75</v>
      </c>
      <c r="Q63" s="274">
        <f>VLOOKUP(B63,KEY_RSD_AF!$C$5:$D$52,2,FALSE)</f>
        <v>1</v>
      </c>
      <c r="R63" s="272"/>
      <c r="S63" s="275">
        <f t="shared" si="9"/>
        <v>1.9942857142857144</v>
      </c>
      <c r="T63" s="272"/>
      <c r="U63" s="276">
        <f>349*0.8/1.4</f>
        <v>199.42857142857144</v>
      </c>
      <c r="V63" s="272">
        <v>10</v>
      </c>
      <c r="W63" s="272">
        <v>31.536000000000001</v>
      </c>
    </row>
    <row r="64" spans="2:23" x14ac:dyDescent="0.3">
      <c r="B64" s="271" t="s">
        <v>344</v>
      </c>
      <c r="C64" s="271"/>
      <c r="D64" s="278" t="s">
        <v>1150</v>
      </c>
      <c r="E64" s="271" t="s">
        <v>385</v>
      </c>
      <c r="F64" s="271" t="s">
        <v>1143</v>
      </c>
      <c r="H64" s="258" t="str">
        <f>LEFT(D64,8)&amp;("oFGo")&amp;RIGHT(L64,3)&amp;("02")</f>
        <v>RKHSAoFGoGAS02</v>
      </c>
      <c r="I64" s="258" t="str">
        <f t="shared" si="8"/>
        <v>RKHSAGasFryerGriddleGAS.BAT</v>
      </c>
      <c r="J64" s="272" t="s">
        <v>239</v>
      </c>
      <c r="K64" s="274" t="s">
        <v>240</v>
      </c>
      <c r="L64" s="274" t="s">
        <v>1144</v>
      </c>
      <c r="M64" s="278" t="s">
        <v>1150</v>
      </c>
      <c r="N64" s="272">
        <f>X_RSD_HeatingDemand!$AA$14</f>
        <v>2019</v>
      </c>
      <c r="O64" s="272">
        <f>X_RSD_HeatingDemand!$AA$14</f>
        <v>2019</v>
      </c>
      <c r="P64" s="272">
        <v>0.44</v>
      </c>
      <c r="Q64" s="274">
        <f>VLOOKUP(B64,KEY_RSD_AF!$C$5:$D$52,2,FALSE)</f>
        <v>1</v>
      </c>
      <c r="R64" s="272"/>
      <c r="S64" s="275">
        <f t="shared" si="9"/>
        <v>0.45868571428571436</v>
      </c>
      <c r="T64" s="272"/>
      <c r="U64" s="276">
        <f>U63*0.23</f>
        <v>45.868571428571435</v>
      </c>
      <c r="V64" s="272">
        <v>10</v>
      </c>
      <c r="W64" s="272">
        <v>31.536000000000001</v>
      </c>
    </row>
    <row r="65" spans="2:23" x14ac:dyDescent="0.3">
      <c r="B65" s="277" t="s">
        <v>326</v>
      </c>
      <c r="C65" s="277"/>
      <c r="D65" s="278" t="s">
        <v>1151</v>
      </c>
      <c r="E65" s="277" t="s">
        <v>385</v>
      </c>
      <c r="F65" s="277" t="s">
        <v>1143</v>
      </c>
      <c r="H65" s="273" t="str">
        <f>LEFT(D65,8)&amp;("oOHo")&amp;RIGHT(L65,3)&amp;("01")</f>
        <v>RKHSBoOHoGAS01</v>
      </c>
      <c r="I65" s="273" t="str">
        <f>LEFT(D65,8)&amp;(B65)&amp;RIGHT(L65,3)&amp;(".BAU")</f>
        <v>RKHSBGasOvenHobsGAS.BAU</v>
      </c>
      <c r="J65" s="278" t="s">
        <v>239</v>
      </c>
      <c r="K65" s="279" t="s">
        <v>240</v>
      </c>
      <c r="L65" s="279" t="s">
        <v>1144</v>
      </c>
      <c r="M65" s="278" t="s">
        <v>1151</v>
      </c>
      <c r="N65" s="272">
        <f>X_RSD_HeatingDemand!$AA$14</f>
        <v>2019</v>
      </c>
      <c r="O65" s="272">
        <f>X_RSD_HeatingDemand!$AA$14</f>
        <v>2019</v>
      </c>
      <c r="P65" s="278">
        <v>0.88</v>
      </c>
      <c r="Q65" s="274">
        <f>VLOOKUP(B65,KEY_RSD_AF!$C$5:$D$52,2,FALSE)</f>
        <v>1</v>
      </c>
      <c r="R65" s="278"/>
      <c r="S65" s="280">
        <f t="shared" si="9"/>
        <v>0.99582142857142841</v>
      </c>
      <c r="T65" s="278"/>
      <c r="U65" s="281">
        <f>278.83/185*U71</f>
        <v>99.582142857142841</v>
      </c>
      <c r="V65" s="278">
        <v>17</v>
      </c>
      <c r="W65" s="272">
        <v>31.536000000000001</v>
      </c>
    </row>
    <row r="66" spans="2:23" x14ac:dyDescent="0.3">
      <c r="B66" s="277" t="s">
        <v>326</v>
      </c>
      <c r="C66" s="277"/>
      <c r="D66" s="278" t="s">
        <v>1151</v>
      </c>
      <c r="E66" s="277" t="s">
        <v>385</v>
      </c>
      <c r="F66" s="277" t="s">
        <v>1143</v>
      </c>
      <c r="H66" s="258" t="str">
        <f>LEFT(D66,8)&amp;("oOHo")&amp;RIGHT(L66,3)&amp;("02")</f>
        <v>RKHSBoOHoGAS02</v>
      </c>
      <c r="I66" s="258" t="str">
        <f>LEFT(D66,8)&amp;(B66)&amp;RIGHT(L66,3)&amp;(".BAT")</f>
        <v>RKHSBGasOvenHobsGAS.BAT</v>
      </c>
      <c r="J66" s="278" t="str">
        <f>J65</f>
        <v>MW</v>
      </c>
      <c r="K66" s="279" t="s">
        <v>240</v>
      </c>
      <c r="L66" s="279" t="s">
        <v>1144</v>
      </c>
      <c r="M66" s="278" t="s">
        <v>1151</v>
      </c>
      <c r="N66" s="272">
        <f>X_RSD_HeatingDemand!$AA$14</f>
        <v>2019</v>
      </c>
      <c r="O66" s="272">
        <f>X_RSD_HeatingDemand!$AA$14</f>
        <v>2019</v>
      </c>
      <c r="P66" s="278">
        <v>0.44</v>
      </c>
      <c r="Q66" s="274">
        <f>VLOOKUP(B66,KEY_RSD_AF!$C$5:$D$52,2,FALSE)</f>
        <v>1</v>
      </c>
      <c r="R66" s="278"/>
      <c r="S66" s="280">
        <f t="shared" si="9"/>
        <v>0.84644821428571415</v>
      </c>
      <c r="T66" s="278"/>
      <c r="U66" s="281">
        <f>U65*0.85</f>
        <v>84.644821428571419</v>
      </c>
      <c r="V66" s="278">
        <v>17</v>
      </c>
      <c r="W66" s="272">
        <v>31.536000000000001</v>
      </c>
    </row>
    <row r="67" spans="2:23" x14ac:dyDescent="0.3">
      <c r="B67" s="277" t="s">
        <v>328</v>
      </c>
      <c r="C67" s="277"/>
      <c r="D67" s="278" t="s">
        <v>1151</v>
      </c>
      <c r="E67" s="277" t="s">
        <v>99</v>
      </c>
      <c r="F67" s="277" t="s">
        <v>1143</v>
      </c>
      <c r="H67" s="273" t="str">
        <f>LEFT(D67,8)&amp;("oOHo")&amp;RIGHT(L67,3)&amp;("01")</f>
        <v>RKHSBoOHoELC01</v>
      </c>
      <c r="I67" s="273" t="str">
        <f>LEFT(D67,8)&amp;(B67)&amp;RIGHT(L67,3)&amp;(".BAU")</f>
        <v>RKHSBElectricOvenHobsELC.BAU</v>
      </c>
      <c r="J67" s="278" t="str">
        <f>J65</f>
        <v>MW</v>
      </c>
      <c r="K67" s="279" t="s">
        <v>240</v>
      </c>
      <c r="L67" s="279" t="s">
        <v>1145</v>
      </c>
      <c r="M67" s="278" t="s">
        <v>1151</v>
      </c>
      <c r="N67" s="272">
        <f>X_RSD_HeatingDemand!$AA$14</f>
        <v>2019</v>
      </c>
      <c r="O67" s="272">
        <f>X_RSD_HeatingDemand!$AA$14</f>
        <v>2019</v>
      </c>
      <c r="P67" s="278">
        <v>0.9</v>
      </c>
      <c r="Q67" s="274">
        <f>VLOOKUP(B67,KEY_RSD_AF!$C$5:$D$52,2,FALSE)</f>
        <v>1</v>
      </c>
      <c r="R67" s="278"/>
      <c r="S67" s="280">
        <f t="shared" si="9"/>
        <v>5.4142857142857146</v>
      </c>
      <c r="T67" s="278"/>
      <c r="U67" s="281">
        <f>U70/405*758</f>
        <v>541.42857142857144</v>
      </c>
      <c r="V67" s="278">
        <v>17</v>
      </c>
      <c r="W67" s="272">
        <v>31.536000000000001</v>
      </c>
    </row>
    <row r="68" spans="2:23" x14ac:dyDescent="0.3">
      <c r="B68" s="277" t="s">
        <v>328</v>
      </c>
      <c r="C68" s="277"/>
      <c r="D68" s="278" t="s">
        <v>1151</v>
      </c>
      <c r="E68" s="277" t="s">
        <v>99</v>
      </c>
      <c r="F68" s="277" t="s">
        <v>1143</v>
      </c>
      <c r="H68" s="258" t="str">
        <f>LEFT(D68,8)&amp;("oOHo")&amp;RIGHT(L68,3)&amp;("02")</f>
        <v>RKHSBoOHoELC02</v>
      </c>
      <c r="I68" s="258" t="str">
        <f t="shared" ref="I68:I76" si="10">LEFT(D68,8)&amp;(B68)&amp;RIGHT(L68,3)&amp;(".BAT")</f>
        <v>RKHSBElectricOvenHobsELC.BAT</v>
      </c>
      <c r="J68" s="278" t="str">
        <f>J65</f>
        <v>MW</v>
      </c>
      <c r="K68" s="279" t="s">
        <v>240</v>
      </c>
      <c r="L68" s="279" t="s">
        <v>1145</v>
      </c>
      <c r="M68" s="278" t="s">
        <v>1151</v>
      </c>
      <c r="N68" s="272">
        <f>X_RSD_HeatingDemand!$AA$14</f>
        <v>2019</v>
      </c>
      <c r="O68" s="272">
        <f>X_RSD_HeatingDemand!$AA$14</f>
        <v>2019</v>
      </c>
      <c r="P68" s="278">
        <v>0.7</v>
      </c>
      <c r="Q68" s="274">
        <f>VLOOKUP(B68,KEY_RSD_AF!$C$5:$D$52,2,FALSE)</f>
        <v>1</v>
      </c>
      <c r="R68" s="278"/>
      <c r="S68" s="280">
        <f t="shared" si="9"/>
        <v>3.2485714285714282</v>
      </c>
      <c r="T68" s="278"/>
      <c r="U68" s="281">
        <f>U67*0.6</f>
        <v>324.85714285714283</v>
      </c>
      <c r="V68" s="278">
        <v>17</v>
      </c>
      <c r="W68" s="272">
        <v>31.536000000000001</v>
      </c>
    </row>
    <row r="69" spans="2:23" x14ac:dyDescent="0.3">
      <c r="B69" s="277" t="s">
        <v>330</v>
      </c>
      <c r="C69" s="277"/>
      <c r="D69" s="278" t="s">
        <v>1151</v>
      </c>
      <c r="E69" s="277" t="s">
        <v>99</v>
      </c>
      <c r="F69" s="277" t="s">
        <v>1143</v>
      </c>
      <c r="H69" s="273" t="str">
        <f>LEFT(D69,8)&amp;("oOHo")&amp;RIGHT(L69,3)&amp;("02")</f>
        <v>RKHSBoOHoLPG02</v>
      </c>
      <c r="I69" s="273" t="str">
        <f t="shared" si="10"/>
        <v>RKHSBLPGOvenHobsLPG.BAT</v>
      </c>
      <c r="J69" s="278" t="s">
        <v>239</v>
      </c>
      <c r="K69" s="279" t="s">
        <v>240</v>
      </c>
      <c r="L69" s="279" t="s">
        <v>1146</v>
      </c>
      <c r="M69" s="278" t="s">
        <v>1151</v>
      </c>
      <c r="N69" s="272">
        <f>X_RSD_HeatingDemand!$AA$14</f>
        <v>2019</v>
      </c>
      <c r="O69" s="272">
        <f>X_RSD_HeatingDemand!$AA$14</f>
        <v>2019</v>
      </c>
      <c r="P69" s="278">
        <v>0.44</v>
      </c>
      <c r="Q69" s="274">
        <f>VLOOKUP(B69,KEY_RSD_AF!$C$5:$D$52,2,FALSE)</f>
        <v>1</v>
      </c>
      <c r="R69" s="278"/>
      <c r="S69" s="280">
        <f>S65</f>
        <v>0.99582142857142841</v>
      </c>
      <c r="T69" s="278"/>
      <c r="U69" s="281">
        <f>U72*201/168</f>
        <v>26.799999999999997</v>
      </c>
      <c r="V69" s="278">
        <v>17</v>
      </c>
      <c r="W69" s="272">
        <v>31.536000000000001</v>
      </c>
    </row>
    <row r="70" spans="2:23" x14ac:dyDescent="0.3">
      <c r="B70" s="277" t="s">
        <v>332</v>
      </c>
      <c r="C70" s="277"/>
      <c r="D70" s="278" t="s">
        <v>1151</v>
      </c>
      <c r="E70" s="277" t="s">
        <v>99</v>
      </c>
      <c r="F70" s="277" t="s">
        <v>1143</v>
      </c>
      <c r="H70" s="258" t="str">
        <f>LEFT(D70,8)&amp;("oRo")&amp;RIGHT(L70,3)&amp;("02")</f>
        <v>RKHSBoRoELC02</v>
      </c>
      <c r="I70" s="258" t="str">
        <f t="shared" si="10"/>
        <v>RKHSBElectricRangeELC.BAT</v>
      </c>
      <c r="J70" s="278" t="s">
        <v>239</v>
      </c>
      <c r="K70" s="279" t="s">
        <v>240</v>
      </c>
      <c r="L70" s="279" t="s">
        <v>1145</v>
      </c>
      <c r="M70" s="278" t="s">
        <v>1151</v>
      </c>
      <c r="N70" s="272">
        <f>X_RSD_HeatingDemand!$AA$14</f>
        <v>2019</v>
      </c>
      <c r="O70" s="272">
        <f>X_RSD_HeatingDemand!$AA$14</f>
        <v>2019</v>
      </c>
      <c r="P70" s="278">
        <v>0.88</v>
      </c>
      <c r="Q70" s="274">
        <f>VLOOKUP(B70,KEY_RSD_AF!$C$5:$D$52,2,FALSE)</f>
        <v>1</v>
      </c>
      <c r="R70" s="278"/>
      <c r="S70" s="280">
        <f>U70*0.01</f>
        <v>2.8928571428571428</v>
      </c>
      <c r="T70" s="278"/>
      <c r="U70" s="281">
        <f>405/1.4</f>
        <v>289.28571428571428</v>
      </c>
      <c r="V70" s="278">
        <v>17</v>
      </c>
      <c r="W70" s="272">
        <v>31.536000000000001</v>
      </c>
    </row>
    <row r="71" spans="2:23" x14ac:dyDescent="0.3">
      <c r="B71" s="277" t="s">
        <v>334</v>
      </c>
      <c r="C71" s="277"/>
      <c r="D71" s="278" t="s">
        <v>1151</v>
      </c>
      <c r="E71" s="277" t="s">
        <v>385</v>
      </c>
      <c r="F71" s="277" t="s">
        <v>1143</v>
      </c>
      <c r="H71" s="273" t="str">
        <f>LEFT(D71,8)&amp;("oRo")&amp;RIGHT(L71,3)&amp;("02")</f>
        <v>RKHSBoRoGAS02</v>
      </c>
      <c r="I71" s="273" t="str">
        <f t="shared" si="10"/>
        <v>RKHSBGasRangeGAS.BAT</v>
      </c>
      <c r="J71" s="278" t="s">
        <v>239</v>
      </c>
      <c r="K71" s="279" t="s">
        <v>240</v>
      </c>
      <c r="L71" s="279" t="s">
        <v>1144</v>
      </c>
      <c r="M71" s="278" t="s">
        <v>1151</v>
      </c>
      <c r="N71" s="272">
        <f>X_RSD_HeatingDemand!$AA$14</f>
        <v>2019</v>
      </c>
      <c r="O71" s="272">
        <f>X_RSD_HeatingDemand!$AA$14</f>
        <v>2019</v>
      </c>
      <c r="P71" s="278">
        <v>0.44</v>
      </c>
      <c r="Q71" s="274">
        <f>VLOOKUP(B71,KEY_RSD_AF!$C$5:$D$52,2,FALSE)</f>
        <v>1</v>
      </c>
      <c r="R71" s="278"/>
      <c r="S71" s="280">
        <f>U71*0.01</f>
        <v>0.6607142857142857</v>
      </c>
      <c r="T71" s="278"/>
      <c r="U71" s="281">
        <f>185/2.8</f>
        <v>66.071428571428569</v>
      </c>
      <c r="V71" s="278">
        <v>17</v>
      </c>
      <c r="W71" s="272">
        <v>31.536000000000001</v>
      </c>
    </row>
    <row r="72" spans="2:23" x14ac:dyDescent="0.3">
      <c r="B72" s="277" t="s">
        <v>336</v>
      </c>
      <c r="C72" s="277"/>
      <c r="D72" s="278" t="s">
        <v>1151</v>
      </c>
      <c r="E72" s="277" t="s">
        <v>322</v>
      </c>
      <c r="F72" s="277" t="s">
        <v>1143</v>
      </c>
      <c r="H72" s="258" t="str">
        <f>LEFT(D72,8)&amp;("oRo")&amp;RIGHT(L72,3)&amp;("02")</f>
        <v>RKHSBoRoLPG02</v>
      </c>
      <c r="I72" s="258" t="str">
        <f t="shared" si="10"/>
        <v>RKHSBLPGRangeLPG.BAT</v>
      </c>
      <c r="J72" s="278" t="s">
        <v>239</v>
      </c>
      <c r="K72" s="279" t="s">
        <v>240</v>
      </c>
      <c r="L72" s="279" t="s">
        <v>1146</v>
      </c>
      <c r="M72" s="278" t="s">
        <v>1151</v>
      </c>
      <c r="N72" s="272">
        <f>X_RSD_HeatingDemand!$AA$14</f>
        <v>2019</v>
      </c>
      <c r="O72" s="272">
        <f>X_RSD_HeatingDemand!$AA$14</f>
        <v>2019</v>
      </c>
      <c r="P72" s="278">
        <v>0.44</v>
      </c>
      <c r="Q72" s="274">
        <f>VLOOKUP(B72,KEY_RSD_AF!$C$5:$D$52,2,FALSE)</f>
        <v>1</v>
      </c>
      <c r="R72" s="278"/>
      <c r="S72" s="280">
        <f>S71</f>
        <v>0.6607142857142857</v>
      </c>
      <c r="T72" s="278"/>
      <c r="U72" s="281">
        <f>168/7.5</f>
        <v>22.4</v>
      </c>
      <c r="V72" s="278">
        <v>17</v>
      </c>
      <c r="W72" s="272">
        <v>31.536000000000001</v>
      </c>
    </row>
    <row r="73" spans="2:23" x14ac:dyDescent="0.3">
      <c r="B73" s="277" t="s">
        <v>338</v>
      </c>
      <c r="C73" s="277"/>
      <c r="D73" s="278" t="s">
        <v>1151</v>
      </c>
      <c r="E73" s="277" t="s">
        <v>99</v>
      </c>
      <c r="F73" s="277" t="s">
        <v>1143</v>
      </c>
      <c r="H73" s="273" t="str">
        <f>LEFT(D73,8)&amp;("oSto")&amp;RIGHT(L73,3)&amp;("02")</f>
        <v>RKHSBoStoELC02</v>
      </c>
      <c r="I73" s="273" t="str">
        <f t="shared" si="10"/>
        <v>RKHSBElectricSteamerELC.BAT</v>
      </c>
      <c r="J73" s="278" t="s">
        <v>239</v>
      </c>
      <c r="K73" s="279" t="s">
        <v>240</v>
      </c>
      <c r="L73" s="279" t="s">
        <v>1145</v>
      </c>
      <c r="M73" s="278" t="s">
        <v>1151</v>
      </c>
      <c r="N73" s="272">
        <f>X_RSD_HeatingDemand!$AA$14</f>
        <v>2019</v>
      </c>
      <c r="O73" s="272">
        <f>X_RSD_HeatingDemand!$AA$14</f>
        <v>2019</v>
      </c>
      <c r="P73" s="278">
        <v>0.75</v>
      </c>
      <c r="Q73" s="274">
        <f>VLOOKUP(B73,KEY_RSD_AF!$C$5:$D$52,2,FALSE)</f>
        <v>1</v>
      </c>
      <c r="R73" s="278"/>
      <c r="S73" s="280">
        <f t="shared" ref="S73:S80" si="11">U73*0.01</f>
        <v>0.52903225806451615</v>
      </c>
      <c r="T73" s="278"/>
      <c r="U73" s="281">
        <f>41/0.775</f>
        <v>52.903225806451609</v>
      </c>
      <c r="V73" s="278">
        <v>10</v>
      </c>
      <c r="W73" s="272">
        <v>31.536000000000001</v>
      </c>
    </row>
    <row r="74" spans="2:23" x14ac:dyDescent="0.3">
      <c r="B74" s="277" t="s">
        <v>340</v>
      </c>
      <c r="C74" s="277"/>
      <c r="D74" s="278" t="s">
        <v>1151</v>
      </c>
      <c r="E74" s="277" t="s">
        <v>385</v>
      </c>
      <c r="F74" s="277" t="s">
        <v>1143</v>
      </c>
      <c r="H74" s="258" t="str">
        <f>LEFT(D74,8)&amp;("oSto")&amp;RIGHT(L74,3)&amp;("02")</f>
        <v>RKHSBoStoGAS02</v>
      </c>
      <c r="I74" s="258" t="str">
        <f t="shared" si="10"/>
        <v>RKHSBGasSteamerGAS.BAT</v>
      </c>
      <c r="J74" s="278" t="s">
        <v>239</v>
      </c>
      <c r="K74" s="279" t="s">
        <v>240</v>
      </c>
      <c r="L74" s="279" t="s">
        <v>1144</v>
      </c>
      <c r="M74" s="278" t="s">
        <v>1151</v>
      </c>
      <c r="N74" s="272">
        <f>X_RSD_HeatingDemand!$AA$14</f>
        <v>2019</v>
      </c>
      <c r="O74" s="272">
        <f>X_RSD_HeatingDemand!$AA$14</f>
        <v>2019</v>
      </c>
      <c r="P74" s="278">
        <v>0.55000000000000004</v>
      </c>
      <c r="Q74" s="274">
        <f>VLOOKUP(B74,KEY_RSD_AF!$C$5:$D$52,2,FALSE)</f>
        <v>1</v>
      </c>
      <c r="R74" s="278"/>
      <c r="S74" s="280">
        <f t="shared" si="11"/>
        <v>0.12082835523695737</v>
      </c>
      <c r="T74" s="278"/>
      <c r="U74" s="281">
        <f>U73*U71/U70</f>
        <v>12.082835523695737</v>
      </c>
      <c r="V74" s="278">
        <v>10</v>
      </c>
      <c r="W74" s="272">
        <v>31.536000000000001</v>
      </c>
    </row>
    <row r="75" spans="2:23" x14ac:dyDescent="0.3">
      <c r="B75" s="277" t="s">
        <v>342</v>
      </c>
      <c r="C75" s="277"/>
      <c r="D75" s="278" t="s">
        <v>1151</v>
      </c>
      <c r="E75" s="277" t="s">
        <v>99</v>
      </c>
      <c r="F75" s="277" t="s">
        <v>1143</v>
      </c>
      <c r="H75" s="273" t="str">
        <f>LEFT(D75,8)&amp;("oFGo")&amp;RIGHT(L75,3)&amp;("02")</f>
        <v>RKHSBoFGoELC02</v>
      </c>
      <c r="I75" s="273" t="str">
        <f t="shared" si="10"/>
        <v>RKHSBElectricFryerGriddleELC.BAT</v>
      </c>
      <c r="J75" s="278" t="s">
        <v>239</v>
      </c>
      <c r="K75" s="279" t="s">
        <v>240</v>
      </c>
      <c r="L75" s="279" t="s">
        <v>1145</v>
      </c>
      <c r="M75" s="278" t="s">
        <v>1151</v>
      </c>
      <c r="N75" s="272">
        <f>X_RSD_HeatingDemand!$AA$14</f>
        <v>2019</v>
      </c>
      <c r="O75" s="272">
        <f>X_RSD_HeatingDemand!$AA$14</f>
        <v>2019</v>
      </c>
      <c r="P75" s="278">
        <v>0.75</v>
      </c>
      <c r="Q75" s="274">
        <f>VLOOKUP(B75,KEY_RSD_AF!$C$5:$D$52,2,FALSE)</f>
        <v>1</v>
      </c>
      <c r="R75" s="278"/>
      <c r="S75" s="280">
        <f t="shared" si="11"/>
        <v>1.9942857142857144</v>
      </c>
      <c r="T75" s="278"/>
      <c r="U75" s="281">
        <f>349*0.8/1.4</f>
        <v>199.42857142857144</v>
      </c>
      <c r="V75" s="278">
        <v>10</v>
      </c>
      <c r="W75" s="272">
        <v>31.536000000000001</v>
      </c>
    </row>
    <row r="76" spans="2:23" x14ac:dyDescent="0.3">
      <c r="B76" s="277" t="s">
        <v>344</v>
      </c>
      <c r="C76" s="277"/>
      <c r="D76" s="278" t="s">
        <v>1151</v>
      </c>
      <c r="E76" s="277" t="s">
        <v>385</v>
      </c>
      <c r="F76" s="277" t="s">
        <v>1143</v>
      </c>
      <c r="H76" s="258" t="str">
        <f>LEFT(D76,8)&amp;("oFGo")&amp;RIGHT(L76,3)&amp;("02")</f>
        <v>RKHSBoFGoGAS02</v>
      </c>
      <c r="I76" s="258" t="str">
        <f t="shared" si="10"/>
        <v>RKHSBGasFryerGriddleGAS.BAT</v>
      </c>
      <c r="J76" s="278" t="s">
        <v>239</v>
      </c>
      <c r="K76" s="279" t="s">
        <v>240</v>
      </c>
      <c r="L76" s="279" t="s">
        <v>1144</v>
      </c>
      <c r="M76" s="278" t="s">
        <v>1151</v>
      </c>
      <c r="N76" s="272">
        <f>X_RSD_HeatingDemand!$AA$14</f>
        <v>2019</v>
      </c>
      <c r="O76" s="272">
        <f>X_RSD_HeatingDemand!$AA$14</f>
        <v>2019</v>
      </c>
      <c r="P76" s="278">
        <v>0.44</v>
      </c>
      <c r="Q76" s="274">
        <f>VLOOKUP(B76,KEY_RSD_AF!$C$5:$D$52,2,FALSE)</f>
        <v>1</v>
      </c>
      <c r="R76" s="278"/>
      <c r="S76" s="280">
        <f t="shared" si="11"/>
        <v>0.45868571428571436</v>
      </c>
      <c r="T76" s="278"/>
      <c r="U76" s="281">
        <f>U75*0.23</f>
        <v>45.868571428571435</v>
      </c>
      <c r="V76" s="278">
        <v>10</v>
      </c>
      <c r="W76" s="272">
        <v>31.536000000000001</v>
      </c>
    </row>
    <row r="77" spans="2:23" x14ac:dyDescent="0.3">
      <c r="B77" s="271" t="s">
        <v>326</v>
      </c>
      <c r="C77" s="271"/>
      <c r="D77" s="278" t="s">
        <v>1152</v>
      </c>
      <c r="E77" s="271" t="s">
        <v>385</v>
      </c>
      <c r="F77" s="271" t="s">
        <v>1143</v>
      </c>
      <c r="H77" s="273" t="str">
        <f>LEFT(D77,8)&amp;("oOHo")&amp;RIGHT(L77,3)&amp;("01")</f>
        <v>RKHSCoOHoGAS01</v>
      </c>
      <c r="I77" s="273" t="str">
        <f>LEFT(D77,8)&amp;(B77)&amp;RIGHT(L77,3)&amp;(".BAU")</f>
        <v>RKHSCGasOvenHobsGAS.BAU</v>
      </c>
      <c r="J77" s="272" t="s">
        <v>239</v>
      </c>
      <c r="K77" s="274" t="s">
        <v>240</v>
      </c>
      <c r="L77" s="274" t="s">
        <v>1144</v>
      </c>
      <c r="M77" s="278" t="s">
        <v>1152</v>
      </c>
      <c r="N77" s="272">
        <f>X_RSD_HeatingDemand!$AA$14</f>
        <v>2019</v>
      </c>
      <c r="O77" s="272">
        <f>X_RSD_HeatingDemand!$AA$14</f>
        <v>2019</v>
      </c>
      <c r="P77" s="272">
        <v>0.88</v>
      </c>
      <c r="Q77" s="274">
        <f>VLOOKUP(B77,KEY_RSD_AF!$C$5:$D$52,2,FALSE)</f>
        <v>1</v>
      </c>
      <c r="R77" s="272"/>
      <c r="S77" s="275">
        <f t="shared" si="11"/>
        <v>0.99582142857142841</v>
      </c>
      <c r="T77" s="272"/>
      <c r="U77" s="276">
        <f>278.83/185*U83</f>
        <v>99.582142857142841</v>
      </c>
      <c r="V77" s="272">
        <v>17</v>
      </c>
      <c r="W77" s="272">
        <v>31.536000000000001</v>
      </c>
    </row>
    <row r="78" spans="2:23" x14ac:dyDescent="0.3">
      <c r="B78" s="271" t="s">
        <v>326</v>
      </c>
      <c r="C78" s="271"/>
      <c r="D78" s="278" t="s">
        <v>1152</v>
      </c>
      <c r="E78" s="271" t="s">
        <v>385</v>
      </c>
      <c r="F78" s="271" t="s">
        <v>1143</v>
      </c>
      <c r="H78" s="258" t="str">
        <f>LEFT(D78,8)&amp;("oOHo")&amp;RIGHT(L78,3)&amp;("02")</f>
        <v>RKHSCoOHoGAS02</v>
      </c>
      <c r="I78" s="258" t="str">
        <f>LEFT(D78,8)&amp;(B78)&amp;RIGHT(L78,3)&amp;(".BAT")</f>
        <v>RKHSCGasOvenHobsGAS.BAT</v>
      </c>
      <c r="J78" s="272" t="str">
        <f>J77</f>
        <v>MW</v>
      </c>
      <c r="K78" s="274" t="s">
        <v>240</v>
      </c>
      <c r="L78" s="274" t="s">
        <v>1144</v>
      </c>
      <c r="M78" s="278" t="s">
        <v>1152</v>
      </c>
      <c r="N78" s="272">
        <f>X_RSD_HeatingDemand!$AA$14</f>
        <v>2019</v>
      </c>
      <c r="O78" s="272">
        <f>X_RSD_HeatingDemand!$AA$14</f>
        <v>2019</v>
      </c>
      <c r="P78" s="272">
        <v>0.44</v>
      </c>
      <c r="Q78" s="274">
        <f>VLOOKUP(B78,KEY_RSD_AF!$C$5:$D$52,2,FALSE)</f>
        <v>1</v>
      </c>
      <c r="R78" s="272"/>
      <c r="S78" s="275">
        <f t="shared" si="11"/>
        <v>0.84644821428571415</v>
      </c>
      <c r="T78" s="272"/>
      <c r="U78" s="276">
        <f>U77*0.85</f>
        <v>84.644821428571419</v>
      </c>
      <c r="V78" s="272">
        <v>17</v>
      </c>
      <c r="W78" s="272">
        <v>31.536000000000001</v>
      </c>
    </row>
    <row r="79" spans="2:23" x14ac:dyDescent="0.3">
      <c r="B79" s="271" t="s">
        <v>328</v>
      </c>
      <c r="C79" s="271"/>
      <c r="D79" s="278" t="s">
        <v>1152</v>
      </c>
      <c r="E79" s="271" t="s">
        <v>99</v>
      </c>
      <c r="F79" s="271" t="s">
        <v>1143</v>
      </c>
      <c r="H79" s="273" t="str">
        <f>LEFT(D79,8)&amp;("oOHo")&amp;RIGHT(L79,3)&amp;("01")</f>
        <v>RKHSCoOHoELC01</v>
      </c>
      <c r="I79" s="273" t="str">
        <f>LEFT(D79,8)&amp;(B79)&amp;RIGHT(L79,3)&amp;(".BAU")</f>
        <v>RKHSCElectricOvenHobsELC.BAU</v>
      </c>
      <c r="J79" s="272" t="str">
        <f>J77</f>
        <v>MW</v>
      </c>
      <c r="K79" s="274" t="s">
        <v>240</v>
      </c>
      <c r="L79" s="274" t="s">
        <v>1145</v>
      </c>
      <c r="M79" s="278" t="s">
        <v>1152</v>
      </c>
      <c r="N79" s="272">
        <f>X_RSD_HeatingDemand!$AA$14</f>
        <v>2019</v>
      </c>
      <c r="O79" s="272">
        <f>X_RSD_HeatingDemand!$AA$14</f>
        <v>2019</v>
      </c>
      <c r="P79" s="272">
        <v>0.9</v>
      </c>
      <c r="Q79" s="274">
        <f>VLOOKUP(B79,KEY_RSD_AF!$C$5:$D$52,2,FALSE)</f>
        <v>1</v>
      </c>
      <c r="R79" s="272"/>
      <c r="S79" s="275">
        <f t="shared" si="11"/>
        <v>5.4142857142857146</v>
      </c>
      <c r="T79" s="272"/>
      <c r="U79" s="276">
        <f>U82/405*758</f>
        <v>541.42857142857144</v>
      </c>
      <c r="V79" s="272">
        <v>17</v>
      </c>
      <c r="W79" s="272">
        <v>31.536000000000001</v>
      </c>
    </row>
    <row r="80" spans="2:23" x14ac:dyDescent="0.3">
      <c r="B80" s="271" t="s">
        <v>328</v>
      </c>
      <c r="C80" s="271"/>
      <c r="D80" s="278" t="s">
        <v>1152</v>
      </c>
      <c r="E80" s="271" t="s">
        <v>99</v>
      </c>
      <c r="F80" s="271" t="s">
        <v>1143</v>
      </c>
      <c r="H80" s="258" t="str">
        <f>LEFT(D80,8)&amp;("oOHo")&amp;RIGHT(L80,3)&amp;("02")</f>
        <v>RKHSCoOHoELC02</v>
      </c>
      <c r="I80" s="258" t="str">
        <f t="shared" ref="I80:I88" si="12">LEFT(D80,8)&amp;(B80)&amp;RIGHT(L80,3)&amp;(".BAT")</f>
        <v>RKHSCElectricOvenHobsELC.BAT</v>
      </c>
      <c r="J80" s="272" t="str">
        <f>J77</f>
        <v>MW</v>
      </c>
      <c r="K80" s="274" t="s">
        <v>240</v>
      </c>
      <c r="L80" s="274" t="s">
        <v>1145</v>
      </c>
      <c r="M80" s="278" t="s">
        <v>1152</v>
      </c>
      <c r="N80" s="272">
        <f>X_RSD_HeatingDemand!$AA$14</f>
        <v>2019</v>
      </c>
      <c r="O80" s="272">
        <f>X_RSD_HeatingDemand!$AA$14</f>
        <v>2019</v>
      </c>
      <c r="P80" s="272">
        <v>0.7</v>
      </c>
      <c r="Q80" s="274">
        <f>VLOOKUP(B80,KEY_RSD_AF!$C$5:$D$52,2,FALSE)</f>
        <v>1</v>
      </c>
      <c r="R80" s="272"/>
      <c r="S80" s="275">
        <f t="shared" si="11"/>
        <v>3.2485714285714282</v>
      </c>
      <c r="T80" s="272"/>
      <c r="U80" s="276">
        <f>U79*0.6</f>
        <v>324.85714285714283</v>
      </c>
      <c r="V80" s="272">
        <v>17</v>
      </c>
      <c r="W80" s="272">
        <v>31.536000000000001</v>
      </c>
    </row>
    <row r="81" spans="2:23" x14ac:dyDescent="0.3">
      <c r="B81" s="271" t="s">
        <v>330</v>
      </c>
      <c r="C81" s="271"/>
      <c r="D81" s="278" t="s">
        <v>1152</v>
      </c>
      <c r="E81" s="271" t="s">
        <v>99</v>
      </c>
      <c r="F81" s="271" t="s">
        <v>1143</v>
      </c>
      <c r="H81" s="273" t="str">
        <f>LEFT(D81,8)&amp;("oOHo")&amp;RIGHT(L81,3)&amp;("02")</f>
        <v>RKHSCoOHoLPG02</v>
      </c>
      <c r="I81" s="273" t="str">
        <f t="shared" si="12"/>
        <v>RKHSCLPGOvenHobsLPG.BAT</v>
      </c>
      <c r="J81" s="272" t="s">
        <v>239</v>
      </c>
      <c r="K81" s="274" t="s">
        <v>240</v>
      </c>
      <c r="L81" s="274" t="s">
        <v>1146</v>
      </c>
      <c r="M81" s="278" t="s">
        <v>1152</v>
      </c>
      <c r="N81" s="272">
        <f>X_RSD_HeatingDemand!$AA$14</f>
        <v>2019</v>
      </c>
      <c r="O81" s="272">
        <f>X_RSD_HeatingDemand!$AA$14</f>
        <v>2019</v>
      </c>
      <c r="P81" s="272">
        <v>0.44</v>
      </c>
      <c r="Q81" s="274">
        <f>VLOOKUP(B81,KEY_RSD_AF!$C$5:$D$52,2,FALSE)</f>
        <v>1</v>
      </c>
      <c r="R81" s="272"/>
      <c r="S81" s="275">
        <f>S77</f>
        <v>0.99582142857142841</v>
      </c>
      <c r="T81" s="272"/>
      <c r="U81" s="276">
        <f>U84*201/168</f>
        <v>26.799999999999997</v>
      </c>
      <c r="V81" s="272">
        <v>17</v>
      </c>
      <c r="W81" s="272">
        <v>31.536000000000001</v>
      </c>
    </row>
    <row r="82" spans="2:23" x14ac:dyDescent="0.3">
      <c r="B82" s="271" t="s">
        <v>332</v>
      </c>
      <c r="C82" s="271"/>
      <c r="D82" s="278" t="s">
        <v>1152</v>
      </c>
      <c r="E82" s="271" t="s">
        <v>99</v>
      </c>
      <c r="F82" s="271" t="s">
        <v>1143</v>
      </c>
      <c r="H82" s="258" t="str">
        <f>LEFT(D82,8)&amp;("oRo")&amp;RIGHT(L82,3)&amp;("02")</f>
        <v>RKHSCoRoELC02</v>
      </c>
      <c r="I82" s="258" t="str">
        <f t="shared" si="12"/>
        <v>RKHSCElectricRangeELC.BAT</v>
      </c>
      <c r="J82" s="272" t="s">
        <v>239</v>
      </c>
      <c r="K82" s="274" t="s">
        <v>240</v>
      </c>
      <c r="L82" s="274" t="s">
        <v>1145</v>
      </c>
      <c r="M82" s="278" t="s">
        <v>1152</v>
      </c>
      <c r="N82" s="272">
        <f>X_RSD_HeatingDemand!$AA$14</f>
        <v>2019</v>
      </c>
      <c r="O82" s="272">
        <f>X_RSD_HeatingDemand!$AA$14</f>
        <v>2019</v>
      </c>
      <c r="P82" s="272">
        <v>0.88</v>
      </c>
      <c r="Q82" s="274">
        <f>VLOOKUP(B82,KEY_RSD_AF!$C$5:$D$52,2,FALSE)</f>
        <v>1</v>
      </c>
      <c r="R82" s="272"/>
      <c r="S82" s="275">
        <f>U82*0.01</f>
        <v>2.8928571428571428</v>
      </c>
      <c r="T82" s="272"/>
      <c r="U82" s="276">
        <f>405/1.4</f>
        <v>289.28571428571428</v>
      </c>
      <c r="V82" s="272">
        <v>17</v>
      </c>
      <c r="W82" s="272">
        <v>31.536000000000001</v>
      </c>
    </row>
    <row r="83" spans="2:23" x14ac:dyDescent="0.3">
      <c r="B83" s="271" t="s">
        <v>334</v>
      </c>
      <c r="C83" s="271"/>
      <c r="D83" s="278" t="s">
        <v>1152</v>
      </c>
      <c r="E83" s="271" t="s">
        <v>385</v>
      </c>
      <c r="F83" s="271" t="s">
        <v>1143</v>
      </c>
      <c r="H83" s="273" t="str">
        <f>LEFT(D83,8)&amp;("oRo")&amp;RIGHT(L83,3)&amp;("02")</f>
        <v>RKHSCoRoGAS02</v>
      </c>
      <c r="I83" s="273" t="str">
        <f t="shared" si="12"/>
        <v>RKHSCGasRangeGAS.BAT</v>
      </c>
      <c r="J83" s="272" t="s">
        <v>239</v>
      </c>
      <c r="K83" s="274" t="s">
        <v>240</v>
      </c>
      <c r="L83" s="274" t="s">
        <v>1144</v>
      </c>
      <c r="M83" s="278" t="s">
        <v>1152</v>
      </c>
      <c r="N83" s="272">
        <f>X_RSD_HeatingDemand!$AA$14</f>
        <v>2019</v>
      </c>
      <c r="O83" s="272">
        <f>X_RSD_HeatingDemand!$AA$14</f>
        <v>2019</v>
      </c>
      <c r="P83" s="272">
        <v>0.44</v>
      </c>
      <c r="Q83" s="274">
        <f>VLOOKUP(B83,KEY_RSD_AF!$C$5:$D$52,2,FALSE)</f>
        <v>1</v>
      </c>
      <c r="R83" s="272"/>
      <c r="S83" s="275">
        <f>U83*0.01</f>
        <v>0.6607142857142857</v>
      </c>
      <c r="T83" s="272"/>
      <c r="U83" s="276">
        <f>185/2.8</f>
        <v>66.071428571428569</v>
      </c>
      <c r="V83" s="272">
        <v>17</v>
      </c>
      <c r="W83" s="272">
        <v>31.536000000000001</v>
      </c>
    </row>
    <row r="84" spans="2:23" x14ac:dyDescent="0.3">
      <c r="B84" s="271" t="s">
        <v>336</v>
      </c>
      <c r="C84" s="271"/>
      <c r="D84" s="278" t="s">
        <v>1152</v>
      </c>
      <c r="E84" s="271" t="s">
        <v>322</v>
      </c>
      <c r="F84" s="271" t="s">
        <v>1143</v>
      </c>
      <c r="H84" s="258" t="str">
        <f>LEFT(D84,8)&amp;("oRo")&amp;RIGHT(L84,3)&amp;("02")</f>
        <v>RKHSCoRoLPG02</v>
      </c>
      <c r="I84" s="258" t="str">
        <f t="shared" si="12"/>
        <v>RKHSCLPGRangeLPG.BAT</v>
      </c>
      <c r="J84" s="272" t="s">
        <v>239</v>
      </c>
      <c r="K84" s="274" t="s">
        <v>240</v>
      </c>
      <c r="L84" s="274" t="s">
        <v>1146</v>
      </c>
      <c r="M84" s="278" t="s">
        <v>1152</v>
      </c>
      <c r="N84" s="272">
        <f>X_RSD_HeatingDemand!$AA$14</f>
        <v>2019</v>
      </c>
      <c r="O84" s="272">
        <f>X_RSD_HeatingDemand!$AA$14</f>
        <v>2019</v>
      </c>
      <c r="P84" s="272">
        <v>0.44</v>
      </c>
      <c r="Q84" s="274">
        <f>VLOOKUP(B84,KEY_RSD_AF!$C$5:$D$52,2,FALSE)</f>
        <v>1</v>
      </c>
      <c r="R84" s="272"/>
      <c r="S84" s="275">
        <f>S83</f>
        <v>0.6607142857142857</v>
      </c>
      <c r="T84" s="272"/>
      <c r="U84" s="276">
        <f>168/7.5</f>
        <v>22.4</v>
      </c>
      <c r="V84" s="272">
        <v>17</v>
      </c>
      <c r="W84" s="272">
        <v>31.536000000000001</v>
      </c>
    </row>
    <row r="85" spans="2:23" x14ac:dyDescent="0.3">
      <c r="B85" s="271" t="s">
        <v>338</v>
      </c>
      <c r="C85" s="271"/>
      <c r="D85" s="278" t="s">
        <v>1152</v>
      </c>
      <c r="E85" s="271" t="s">
        <v>99</v>
      </c>
      <c r="F85" s="271" t="s">
        <v>1143</v>
      </c>
      <c r="H85" s="273" t="str">
        <f>LEFT(D85,8)&amp;("oSto")&amp;RIGHT(L85,3)&amp;("02")</f>
        <v>RKHSCoStoELC02</v>
      </c>
      <c r="I85" s="273" t="str">
        <f t="shared" si="12"/>
        <v>RKHSCElectricSteamerELC.BAT</v>
      </c>
      <c r="J85" s="272" t="s">
        <v>239</v>
      </c>
      <c r="K85" s="274" t="s">
        <v>240</v>
      </c>
      <c r="L85" s="274" t="s">
        <v>1145</v>
      </c>
      <c r="M85" s="278" t="s">
        <v>1152</v>
      </c>
      <c r="N85" s="272">
        <f>X_RSD_HeatingDemand!$AA$14</f>
        <v>2019</v>
      </c>
      <c r="O85" s="272">
        <f>X_RSD_HeatingDemand!$AA$14</f>
        <v>2019</v>
      </c>
      <c r="P85" s="272">
        <v>0.75</v>
      </c>
      <c r="Q85" s="274">
        <f>VLOOKUP(B85,KEY_RSD_AF!$C$5:$D$52,2,FALSE)</f>
        <v>1</v>
      </c>
      <c r="R85" s="272"/>
      <c r="S85" s="275">
        <f t="shared" ref="S85:S92" si="13">U85*0.01</f>
        <v>0.52903225806451615</v>
      </c>
      <c r="T85" s="272"/>
      <c r="U85" s="276">
        <f>41/0.775</f>
        <v>52.903225806451609</v>
      </c>
      <c r="V85" s="272">
        <v>10</v>
      </c>
      <c r="W85" s="272">
        <v>31.536000000000001</v>
      </c>
    </row>
    <row r="86" spans="2:23" x14ac:dyDescent="0.3">
      <c r="B86" s="271" t="s">
        <v>340</v>
      </c>
      <c r="C86" s="271"/>
      <c r="D86" s="278" t="s">
        <v>1152</v>
      </c>
      <c r="E86" s="271" t="s">
        <v>385</v>
      </c>
      <c r="F86" s="271" t="s">
        <v>1143</v>
      </c>
      <c r="H86" s="258" t="str">
        <f>LEFT(D86,8)&amp;("oSto")&amp;RIGHT(L86,3)&amp;("02")</f>
        <v>RKHSCoStoGAS02</v>
      </c>
      <c r="I86" s="258" t="str">
        <f t="shared" si="12"/>
        <v>RKHSCGasSteamerGAS.BAT</v>
      </c>
      <c r="J86" s="272" t="s">
        <v>239</v>
      </c>
      <c r="K86" s="274" t="s">
        <v>240</v>
      </c>
      <c r="L86" s="274" t="s">
        <v>1144</v>
      </c>
      <c r="M86" s="278" t="s">
        <v>1152</v>
      </c>
      <c r="N86" s="272">
        <f>X_RSD_HeatingDemand!$AA$14</f>
        <v>2019</v>
      </c>
      <c r="O86" s="272">
        <f>X_RSD_HeatingDemand!$AA$14</f>
        <v>2019</v>
      </c>
      <c r="P86" s="272">
        <v>0.55000000000000004</v>
      </c>
      <c r="Q86" s="274">
        <f>VLOOKUP(B86,KEY_RSD_AF!$C$5:$D$52,2,FALSE)</f>
        <v>1</v>
      </c>
      <c r="R86" s="272"/>
      <c r="S86" s="275">
        <f t="shared" si="13"/>
        <v>0.12082835523695737</v>
      </c>
      <c r="T86" s="272"/>
      <c r="U86" s="276">
        <f>U85*U83/U82</f>
        <v>12.082835523695737</v>
      </c>
      <c r="V86" s="272">
        <v>10</v>
      </c>
      <c r="W86" s="272">
        <v>31.536000000000001</v>
      </c>
    </row>
    <row r="87" spans="2:23" x14ac:dyDescent="0.3">
      <c r="B87" s="271" t="s">
        <v>342</v>
      </c>
      <c r="C87" s="271"/>
      <c r="D87" s="278" t="s">
        <v>1152</v>
      </c>
      <c r="E87" s="271" t="s">
        <v>99</v>
      </c>
      <c r="F87" s="271" t="s">
        <v>1143</v>
      </c>
      <c r="H87" s="273" t="str">
        <f>LEFT(D87,8)&amp;("oFGo")&amp;RIGHT(L87,3)&amp;("02")</f>
        <v>RKHSCoFGoELC02</v>
      </c>
      <c r="I87" s="273" t="str">
        <f t="shared" si="12"/>
        <v>RKHSCElectricFryerGriddleELC.BAT</v>
      </c>
      <c r="J87" s="272" t="s">
        <v>239</v>
      </c>
      <c r="K87" s="274" t="s">
        <v>240</v>
      </c>
      <c r="L87" s="274" t="s">
        <v>1145</v>
      </c>
      <c r="M87" s="278" t="s">
        <v>1152</v>
      </c>
      <c r="N87" s="272">
        <f>X_RSD_HeatingDemand!$AA$14</f>
        <v>2019</v>
      </c>
      <c r="O87" s="272">
        <f>X_RSD_HeatingDemand!$AA$14</f>
        <v>2019</v>
      </c>
      <c r="P87" s="272">
        <v>0.75</v>
      </c>
      <c r="Q87" s="274">
        <f>VLOOKUP(B87,KEY_RSD_AF!$C$5:$D$52,2,FALSE)</f>
        <v>1</v>
      </c>
      <c r="R87" s="272"/>
      <c r="S87" s="275">
        <f t="shared" si="13"/>
        <v>1.9942857142857144</v>
      </c>
      <c r="T87" s="272"/>
      <c r="U87" s="276">
        <f>349*0.8/1.4</f>
        <v>199.42857142857144</v>
      </c>
      <c r="V87" s="272">
        <v>10</v>
      </c>
      <c r="W87" s="272">
        <v>31.536000000000001</v>
      </c>
    </row>
    <row r="88" spans="2:23" x14ac:dyDescent="0.3">
      <c r="B88" s="271" t="s">
        <v>344</v>
      </c>
      <c r="C88" s="271"/>
      <c r="D88" s="278" t="s">
        <v>1152</v>
      </c>
      <c r="E88" s="271" t="s">
        <v>385</v>
      </c>
      <c r="F88" s="271" t="s">
        <v>1143</v>
      </c>
      <c r="H88" s="258" t="str">
        <f>LEFT(D88,8)&amp;("oFGo")&amp;RIGHT(L88,3)&amp;("02")</f>
        <v>RKHSCoFGoGAS02</v>
      </c>
      <c r="I88" s="258" t="str">
        <f t="shared" si="12"/>
        <v>RKHSCGasFryerGriddleGAS.BAT</v>
      </c>
      <c r="J88" s="272" t="s">
        <v>239</v>
      </c>
      <c r="K88" s="274" t="s">
        <v>240</v>
      </c>
      <c r="L88" s="274" t="s">
        <v>1144</v>
      </c>
      <c r="M88" s="278" t="s">
        <v>1152</v>
      </c>
      <c r="N88" s="272">
        <f>X_RSD_HeatingDemand!$AA$14</f>
        <v>2019</v>
      </c>
      <c r="O88" s="272">
        <f>X_RSD_HeatingDemand!$AA$14</f>
        <v>2019</v>
      </c>
      <c r="P88" s="272">
        <v>0.44</v>
      </c>
      <c r="Q88" s="274">
        <f>VLOOKUP(B88,KEY_RSD_AF!$C$5:$D$52,2,FALSE)</f>
        <v>1</v>
      </c>
      <c r="R88" s="272"/>
      <c r="S88" s="275">
        <f t="shared" si="13"/>
        <v>0.45868571428571436</v>
      </c>
      <c r="T88" s="272"/>
      <c r="U88" s="276">
        <f>U87*0.23</f>
        <v>45.868571428571435</v>
      </c>
      <c r="V88" s="272">
        <v>10</v>
      </c>
      <c r="W88" s="272">
        <v>31.536000000000001</v>
      </c>
    </row>
    <row r="89" spans="2:23" x14ac:dyDescent="0.3">
      <c r="B89" s="277" t="s">
        <v>326</v>
      </c>
      <c r="C89" s="277"/>
      <c r="D89" s="278" t="s">
        <v>1153</v>
      </c>
      <c r="E89" s="277" t="s">
        <v>385</v>
      </c>
      <c r="F89" s="277" t="s">
        <v>1143</v>
      </c>
      <c r="H89" s="273" t="str">
        <f>LEFT(D89,8)&amp;("oOHo")&amp;RIGHT(L89,3)&amp;("01")</f>
        <v>RKHSEoOHoGAS01</v>
      </c>
      <c r="I89" s="273" t="str">
        <f>LEFT(D89,8)&amp;(B89)&amp;RIGHT(L89,3)&amp;(".BAU")</f>
        <v>RKHSEGasOvenHobsGAS.BAU</v>
      </c>
      <c r="J89" s="278" t="s">
        <v>239</v>
      </c>
      <c r="K89" s="279" t="s">
        <v>240</v>
      </c>
      <c r="L89" s="279" t="s">
        <v>1144</v>
      </c>
      <c r="M89" s="278" t="s">
        <v>1153</v>
      </c>
      <c r="N89" s="272">
        <f>X_RSD_HeatingDemand!$AA$14</f>
        <v>2019</v>
      </c>
      <c r="O89" s="272">
        <f>X_RSD_HeatingDemand!$AA$14</f>
        <v>2019</v>
      </c>
      <c r="P89" s="278">
        <v>0.88</v>
      </c>
      <c r="Q89" s="274">
        <f>VLOOKUP(B89,KEY_RSD_AF!$C$5:$D$52,2,FALSE)</f>
        <v>1</v>
      </c>
      <c r="R89" s="278"/>
      <c r="S89" s="280">
        <f t="shared" si="13"/>
        <v>0.99582142857142841</v>
      </c>
      <c r="T89" s="278"/>
      <c r="U89" s="281">
        <f>278.83/185*U95</f>
        <v>99.582142857142841</v>
      </c>
      <c r="V89" s="278">
        <v>17</v>
      </c>
      <c r="W89" s="272">
        <v>31.536000000000001</v>
      </c>
    </row>
    <row r="90" spans="2:23" x14ac:dyDescent="0.3">
      <c r="B90" s="277" t="s">
        <v>326</v>
      </c>
      <c r="C90" s="277"/>
      <c r="D90" s="278" t="s">
        <v>1153</v>
      </c>
      <c r="E90" s="277" t="s">
        <v>385</v>
      </c>
      <c r="F90" s="277" t="s">
        <v>1143</v>
      </c>
      <c r="H90" s="258" t="str">
        <f>LEFT(D90,8)&amp;("oOHo")&amp;RIGHT(L90,3)&amp;("02")</f>
        <v>RKHSEoOHoGAS02</v>
      </c>
      <c r="I90" s="258" t="str">
        <f>LEFT(D90,8)&amp;(B90)&amp;RIGHT(L90,3)&amp;(".BAT")</f>
        <v>RKHSEGasOvenHobsGAS.BAT</v>
      </c>
      <c r="J90" s="278" t="str">
        <f>J89</f>
        <v>MW</v>
      </c>
      <c r="K90" s="279" t="s">
        <v>240</v>
      </c>
      <c r="L90" s="279" t="s">
        <v>1144</v>
      </c>
      <c r="M90" s="278" t="s">
        <v>1153</v>
      </c>
      <c r="N90" s="272">
        <f>X_RSD_HeatingDemand!$AA$14</f>
        <v>2019</v>
      </c>
      <c r="O90" s="272">
        <f>X_RSD_HeatingDemand!$AA$14</f>
        <v>2019</v>
      </c>
      <c r="P90" s="278">
        <v>0.44</v>
      </c>
      <c r="Q90" s="274">
        <f>VLOOKUP(B90,KEY_RSD_AF!$C$5:$D$52,2,FALSE)</f>
        <v>1</v>
      </c>
      <c r="R90" s="278"/>
      <c r="S90" s="280">
        <f t="shared" si="13"/>
        <v>0.84644821428571415</v>
      </c>
      <c r="T90" s="278"/>
      <c r="U90" s="281">
        <f>U89*0.85</f>
        <v>84.644821428571419</v>
      </c>
      <c r="V90" s="278">
        <v>17</v>
      </c>
      <c r="W90" s="272">
        <v>31.536000000000001</v>
      </c>
    </row>
    <row r="91" spans="2:23" x14ac:dyDescent="0.3">
      <c r="B91" s="277" t="s">
        <v>328</v>
      </c>
      <c r="C91" s="277"/>
      <c r="D91" s="278" t="s">
        <v>1153</v>
      </c>
      <c r="E91" s="277" t="s">
        <v>99</v>
      </c>
      <c r="F91" s="277" t="s">
        <v>1143</v>
      </c>
      <c r="H91" s="273" t="str">
        <f>LEFT(D91,8)&amp;("oOHo")&amp;RIGHT(L91,3)&amp;("01")</f>
        <v>RKHSEoOHoELC01</v>
      </c>
      <c r="I91" s="273" t="str">
        <f>LEFT(D91,8)&amp;(B91)&amp;RIGHT(L91,3)&amp;(".BAU")</f>
        <v>RKHSEElectricOvenHobsELC.BAU</v>
      </c>
      <c r="J91" s="278" t="str">
        <f>J89</f>
        <v>MW</v>
      </c>
      <c r="K91" s="279" t="s">
        <v>240</v>
      </c>
      <c r="L91" s="279" t="s">
        <v>1145</v>
      </c>
      <c r="M91" s="278" t="s">
        <v>1153</v>
      </c>
      <c r="N91" s="272">
        <f>X_RSD_HeatingDemand!$AA$14</f>
        <v>2019</v>
      </c>
      <c r="O91" s="272">
        <f>X_RSD_HeatingDemand!$AA$14</f>
        <v>2019</v>
      </c>
      <c r="P91" s="278">
        <v>0.9</v>
      </c>
      <c r="Q91" s="274">
        <f>VLOOKUP(B91,KEY_RSD_AF!$C$5:$D$52,2,FALSE)</f>
        <v>1</v>
      </c>
      <c r="R91" s="278"/>
      <c r="S91" s="280">
        <f t="shared" si="13"/>
        <v>5.4142857142857146</v>
      </c>
      <c r="T91" s="278"/>
      <c r="U91" s="281">
        <f>U94/405*758</f>
        <v>541.42857142857144</v>
      </c>
      <c r="V91" s="278">
        <v>17</v>
      </c>
      <c r="W91" s="272">
        <v>31.536000000000001</v>
      </c>
    </row>
    <row r="92" spans="2:23" x14ac:dyDescent="0.3">
      <c r="B92" s="277" t="s">
        <v>328</v>
      </c>
      <c r="C92" s="277"/>
      <c r="D92" s="278" t="s">
        <v>1153</v>
      </c>
      <c r="E92" s="277" t="s">
        <v>99</v>
      </c>
      <c r="F92" s="277" t="s">
        <v>1143</v>
      </c>
      <c r="H92" s="258" t="str">
        <f>LEFT(D92,8)&amp;("oOHo")&amp;RIGHT(L92,3)&amp;("02")</f>
        <v>RKHSEoOHoELC02</v>
      </c>
      <c r="I92" s="258" t="str">
        <f t="shared" ref="I92:I100" si="14">LEFT(D92,8)&amp;(B92)&amp;RIGHT(L92,3)&amp;(".BAT")</f>
        <v>RKHSEElectricOvenHobsELC.BAT</v>
      </c>
      <c r="J92" s="278" t="str">
        <f>J89</f>
        <v>MW</v>
      </c>
      <c r="K92" s="279" t="s">
        <v>240</v>
      </c>
      <c r="L92" s="279" t="s">
        <v>1145</v>
      </c>
      <c r="M92" s="278" t="s">
        <v>1153</v>
      </c>
      <c r="N92" s="272">
        <f>X_RSD_HeatingDemand!$AA$14</f>
        <v>2019</v>
      </c>
      <c r="O92" s="272">
        <f>X_RSD_HeatingDemand!$AA$14</f>
        <v>2019</v>
      </c>
      <c r="P92" s="278">
        <v>0.7</v>
      </c>
      <c r="Q92" s="274">
        <f>VLOOKUP(B92,KEY_RSD_AF!$C$5:$D$52,2,FALSE)</f>
        <v>1</v>
      </c>
      <c r="R92" s="278"/>
      <c r="S92" s="280">
        <f t="shared" si="13"/>
        <v>3.2485714285714282</v>
      </c>
      <c r="T92" s="278"/>
      <c r="U92" s="281">
        <f>U91*0.6</f>
        <v>324.85714285714283</v>
      </c>
      <c r="V92" s="278">
        <v>17</v>
      </c>
      <c r="W92" s="272">
        <v>31.536000000000001</v>
      </c>
    </row>
    <row r="93" spans="2:23" x14ac:dyDescent="0.3">
      <c r="B93" s="277" t="s">
        <v>330</v>
      </c>
      <c r="C93" s="277"/>
      <c r="D93" s="278" t="s">
        <v>1153</v>
      </c>
      <c r="E93" s="277" t="s">
        <v>99</v>
      </c>
      <c r="F93" s="277" t="s">
        <v>1143</v>
      </c>
      <c r="H93" s="273" t="str">
        <f>LEFT(D93,8)&amp;("oOHo")&amp;RIGHT(L93,3)&amp;("02")</f>
        <v>RKHSEoOHoLPG02</v>
      </c>
      <c r="I93" s="273" t="str">
        <f t="shared" si="14"/>
        <v>RKHSELPGOvenHobsLPG.BAT</v>
      </c>
      <c r="J93" s="278" t="s">
        <v>239</v>
      </c>
      <c r="K93" s="279" t="s">
        <v>240</v>
      </c>
      <c r="L93" s="279" t="s">
        <v>1146</v>
      </c>
      <c r="M93" s="278" t="s">
        <v>1153</v>
      </c>
      <c r="N93" s="272">
        <f>X_RSD_HeatingDemand!$AA$14</f>
        <v>2019</v>
      </c>
      <c r="O93" s="272">
        <f>X_RSD_HeatingDemand!$AA$14</f>
        <v>2019</v>
      </c>
      <c r="P93" s="278">
        <v>0.44</v>
      </c>
      <c r="Q93" s="274">
        <f>VLOOKUP(B93,KEY_RSD_AF!$C$5:$D$52,2,FALSE)</f>
        <v>1</v>
      </c>
      <c r="R93" s="278"/>
      <c r="S93" s="280">
        <f>S89</f>
        <v>0.99582142857142841</v>
      </c>
      <c r="T93" s="278"/>
      <c r="U93" s="281">
        <f>U96*201/168</f>
        <v>26.799999999999997</v>
      </c>
      <c r="V93" s="278">
        <v>17</v>
      </c>
      <c r="W93" s="272">
        <v>31.536000000000001</v>
      </c>
    </row>
    <row r="94" spans="2:23" x14ac:dyDescent="0.3">
      <c r="B94" s="277" t="s">
        <v>332</v>
      </c>
      <c r="C94" s="277"/>
      <c r="D94" s="278" t="s">
        <v>1153</v>
      </c>
      <c r="E94" s="277" t="s">
        <v>99</v>
      </c>
      <c r="F94" s="277" t="s">
        <v>1143</v>
      </c>
      <c r="H94" s="258" t="str">
        <f>LEFT(D94,8)&amp;("oRo")&amp;RIGHT(L94,3)&amp;("02")</f>
        <v>RKHSEoRoELC02</v>
      </c>
      <c r="I94" s="258" t="str">
        <f t="shared" si="14"/>
        <v>RKHSEElectricRangeELC.BAT</v>
      </c>
      <c r="J94" s="278" t="s">
        <v>239</v>
      </c>
      <c r="K94" s="279" t="s">
        <v>240</v>
      </c>
      <c r="L94" s="279" t="s">
        <v>1145</v>
      </c>
      <c r="M94" s="278" t="s">
        <v>1153</v>
      </c>
      <c r="N94" s="272">
        <f>X_RSD_HeatingDemand!$AA$14</f>
        <v>2019</v>
      </c>
      <c r="O94" s="272">
        <f>X_RSD_HeatingDemand!$AA$14</f>
        <v>2019</v>
      </c>
      <c r="P94" s="278">
        <v>0.88</v>
      </c>
      <c r="Q94" s="274">
        <f>VLOOKUP(B94,KEY_RSD_AF!$C$5:$D$52,2,FALSE)</f>
        <v>1</v>
      </c>
      <c r="R94" s="278"/>
      <c r="S94" s="280">
        <f>U94*0.01</f>
        <v>2.8928571428571428</v>
      </c>
      <c r="T94" s="278"/>
      <c r="U94" s="281">
        <f>405/1.4</f>
        <v>289.28571428571428</v>
      </c>
      <c r="V94" s="278">
        <v>17</v>
      </c>
      <c r="W94" s="272">
        <v>31.536000000000001</v>
      </c>
    </row>
    <row r="95" spans="2:23" x14ac:dyDescent="0.3">
      <c r="B95" s="277" t="s">
        <v>334</v>
      </c>
      <c r="C95" s="277"/>
      <c r="D95" s="278" t="s">
        <v>1153</v>
      </c>
      <c r="E95" s="277" t="s">
        <v>385</v>
      </c>
      <c r="F95" s="277" t="s">
        <v>1143</v>
      </c>
      <c r="H95" s="273" t="str">
        <f>LEFT(D95,8)&amp;("oRo")&amp;RIGHT(L95,3)&amp;("02")</f>
        <v>RKHSEoRoGAS02</v>
      </c>
      <c r="I95" s="273" t="str">
        <f t="shared" si="14"/>
        <v>RKHSEGasRangeGAS.BAT</v>
      </c>
      <c r="J95" s="278" t="s">
        <v>239</v>
      </c>
      <c r="K95" s="279" t="s">
        <v>240</v>
      </c>
      <c r="L95" s="279" t="s">
        <v>1144</v>
      </c>
      <c r="M95" s="278" t="s">
        <v>1153</v>
      </c>
      <c r="N95" s="272">
        <f>X_RSD_HeatingDemand!$AA$14</f>
        <v>2019</v>
      </c>
      <c r="O95" s="272">
        <f>X_RSD_HeatingDemand!$AA$14</f>
        <v>2019</v>
      </c>
      <c r="P95" s="278">
        <v>0.44</v>
      </c>
      <c r="Q95" s="274">
        <f>VLOOKUP(B95,KEY_RSD_AF!$C$5:$D$52,2,FALSE)</f>
        <v>1</v>
      </c>
      <c r="R95" s="278"/>
      <c r="S95" s="280">
        <f>U95*0.01</f>
        <v>0.6607142857142857</v>
      </c>
      <c r="T95" s="278"/>
      <c r="U95" s="281">
        <f>185/2.8</f>
        <v>66.071428571428569</v>
      </c>
      <c r="V95" s="278">
        <v>17</v>
      </c>
      <c r="W95" s="272">
        <v>31.536000000000001</v>
      </c>
    </row>
    <row r="96" spans="2:23" x14ac:dyDescent="0.3">
      <c r="B96" s="277" t="s">
        <v>336</v>
      </c>
      <c r="C96" s="277"/>
      <c r="D96" s="278" t="s">
        <v>1153</v>
      </c>
      <c r="E96" s="277" t="s">
        <v>322</v>
      </c>
      <c r="F96" s="277" t="s">
        <v>1143</v>
      </c>
      <c r="H96" s="258" t="str">
        <f>LEFT(D96,8)&amp;("oRo")&amp;RIGHT(L96,3)&amp;("02")</f>
        <v>RKHSEoRoLPG02</v>
      </c>
      <c r="I96" s="258" t="str">
        <f t="shared" si="14"/>
        <v>RKHSELPGRangeLPG.BAT</v>
      </c>
      <c r="J96" s="278" t="s">
        <v>239</v>
      </c>
      <c r="K96" s="279" t="s">
        <v>240</v>
      </c>
      <c r="L96" s="279" t="s">
        <v>1146</v>
      </c>
      <c r="M96" s="278" t="s">
        <v>1153</v>
      </c>
      <c r="N96" s="272">
        <f>X_RSD_HeatingDemand!$AA$14</f>
        <v>2019</v>
      </c>
      <c r="O96" s="272">
        <f>X_RSD_HeatingDemand!$AA$14</f>
        <v>2019</v>
      </c>
      <c r="P96" s="278">
        <v>0.44</v>
      </c>
      <c r="Q96" s="274">
        <f>VLOOKUP(B96,KEY_RSD_AF!$C$5:$D$52,2,FALSE)</f>
        <v>1</v>
      </c>
      <c r="R96" s="278"/>
      <c r="S96" s="280">
        <f>S95</f>
        <v>0.6607142857142857</v>
      </c>
      <c r="T96" s="278"/>
      <c r="U96" s="281">
        <f>168/7.5</f>
        <v>22.4</v>
      </c>
      <c r="V96" s="278">
        <v>17</v>
      </c>
      <c r="W96" s="272">
        <v>31.536000000000001</v>
      </c>
    </row>
    <row r="97" spans="2:23" x14ac:dyDescent="0.3">
      <c r="B97" s="277" t="s">
        <v>338</v>
      </c>
      <c r="C97" s="277"/>
      <c r="D97" s="278" t="s">
        <v>1153</v>
      </c>
      <c r="E97" s="277" t="s">
        <v>99</v>
      </c>
      <c r="F97" s="277" t="s">
        <v>1143</v>
      </c>
      <c r="H97" s="273" t="str">
        <f>LEFT(D97,8)&amp;("oSto")&amp;RIGHT(L97,3)&amp;("02")</f>
        <v>RKHSEoStoELC02</v>
      </c>
      <c r="I97" s="273" t="str">
        <f t="shared" si="14"/>
        <v>RKHSEElectricSteamerELC.BAT</v>
      </c>
      <c r="J97" s="278" t="s">
        <v>239</v>
      </c>
      <c r="K97" s="279" t="s">
        <v>240</v>
      </c>
      <c r="L97" s="279" t="s">
        <v>1145</v>
      </c>
      <c r="M97" s="278" t="s">
        <v>1153</v>
      </c>
      <c r="N97" s="272">
        <f>X_RSD_HeatingDemand!$AA$14</f>
        <v>2019</v>
      </c>
      <c r="O97" s="272">
        <f>X_RSD_HeatingDemand!$AA$14</f>
        <v>2019</v>
      </c>
      <c r="P97" s="278">
        <v>0.75</v>
      </c>
      <c r="Q97" s="274">
        <f>VLOOKUP(B97,KEY_RSD_AF!$C$5:$D$52,2,FALSE)</f>
        <v>1</v>
      </c>
      <c r="R97" s="278"/>
      <c r="S97" s="280">
        <f>U97*0.01</f>
        <v>0.52903225806451615</v>
      </c>
      <c r="T97" s="278"/>
      <c r="U97" s="281">
        <f>41/0.775</f>
        <v>52.903225806451609</v>
      </c>
      <c r="V97" s="278">
        <v>10</v>
      </c>
      <c r="W97" s="272">
        <v>31.536000000000001</v>
      </c>
    </row>
    <row r="98" spans="2:23" x14ac:dyDescent="0.3">
      <c r="B98" s="277" t="s">
        <v>340</v>
      </c>
      <c r="C98" s="277"/>
      <c r="D98" s="278" t="s">
        <v>1153</v>
      </c>
      <c r="E98" s="277" t="s">
        <v>385</v>
      </c>
      <c r="F98" s="277" t="s">
        <v>1143</v>
      </c>
      <c r="H98" s="258" t="str">
        <f>LEFT(D98,8)&amp;("oSto")&amp;RIGHT(L98,3)&amp;("02")</f>
        <v>RKHSEoStoGAS02</v>
      </c>
      <c r="I98" s="258" t="str">
        <f t="shared" si="14"/>
        <v>RKHSEGasSteamerGAS.BAT</v>
      </c>
      <c r="J98" s="278" t="s">
        <v>239</v>
      </c>
      <c r="K98" s="279" t="s">
        <v>240</v>
      </c>
      <c r="L98" s="279" t="s">
        <v>1144</v>
      </c>
      <c r="M98" s="278" t="s">
        <v>1153</v>
      </c>
      <c r="N98" s="272">
        <f>X_RSD_HeatingDemand!$AA$14</f>
        <v>2019</v>
      </c>
      <c r="O98" s="272">
        <f>X_RSD_HeatingDemand!$AA$14</f>
        <v>2019</v>
      </c>
      <c r="P98" s="278">
        <v>0.55000000000000004</v>
      </c>
      <c r="Q98" s="274">
        <f>VLOOKUP(B98,KEY_RSD_AF!$C$5:$D$52,2,FALSE)</f>
        <v>1</v>
      </c>
      <c r="R98" s="278"/>
      <c r="S98" s="280">
        <f>U98*0.01</f>
        <v>0.12082835523695737</v>
      </c>
      <c r="T98" s="278"/>
      <c r="U98" s="281">
        <f>U97*U95/U94</f>
        <v>12.082835523695737</v>
      </c>
      <c r="V98" s="278">
        <v>10</v>
      </c>
      <c r="W98" s="272">
        <v>31.536000000000001</v>
      </c>
    </row>
    <row r="99" spans="2:23" x14ac:dyDescent="0.3">
      <c r="B99" s="277" t="s">
        <v>342</v>
      </c>
      <c r="C99" s="277"/>
      <c r="D99" s="278" t="s">
        <v>1153</v>
      </c>
      <c r="E99" s="277" t="s">
        <v>99</v>
      </c>
      <c r="F99" s="277" t="s">
        <v>1143</v>
      </c>
      <c r="H99" s="273" t="str">
        <f>LEFT(D99,8)&amp;("oFGo")&amp;RIGHT(L99,3)&amp;("02")</f>
        <v>RKHSEoFGoELC02</v>
      </c>
      <c r="I99" s="273" t="str">
        <f t="shared" si="14"/>
        <v>RKHSEElectricFryerGriddleELC.BAT</v>
      </c>
      <c r="J99" s="278" t="s">
        <v>239</v>
      </c>
      <c r="K99" s="279" t="s">
        <v>240</v>
      </c>
      <c r="L99" s="279" t="s">
        <v>1145</v>
      </c>
      <c r="M99" s="278" t="s">
        <v>1153</v>
      </c>
      <c r="N99" s="272">
        <f>X_RSD_HeatingDemand!$AA$14</f>
        <v>2019</v>
      </c>
      <c r="O99" s="272">
        <f>X_RSD_HeatingDemand!$AA$14</f>
        <v>2019</v>
      </c>
      <c r="P99" s="278">
        <v>0.75</v>
      </c>
      <c r="Q99" s="274">
        <f>VLOOKUP(B99,KEY_RSD_AF!$C$5:$D$52,2,FALSE)</f>
        <v>1</v>
      </c>
      <c r="R99" s="278"/>
      <c r="S99" s="280">
        <f>U99*0.01</f>
        <v>1.9942857142857144</v>
      </c>
      <c r="T99" s="278"/>
      <c r="U99" s="281">
        <f>349*0.8/1.4</f>
        <v>199.42857142857144</v>
      </c>
      <c r="V99" s="278">
        <v>10</v>
      </c>
      <c r="W99" s="272">
        <v>31.536000000000001</v>
      </c>
    </row>
    <row r="100" spans="2:23" x14ac:dyDescent="0.3">
      <c r="B100" s="277" t="s">
        <v>344</v>
      </c>
      <c r="C100" s="277"/>
      <c r="D100" s="278" t="s">
        <v>1153</v>
      </c>
      <c r="E100" s="277" t="s">
        <v>385</v>
      </c>
      <c r="F100" s="277" t="s">
        <v>1143</v>
      </c>
      <c r="H100" s="258" t="str">
        <f>LEFT(D100,8)&amp;("oFGo")&amp;RIGHT(L100,3)&amp;("02")</f>
        <v>RKHSEoFGoGAS02</v>
      </c>
      <c r="I100" s="258" t="str">
        <f t="shared" si="14"/>
        <v>RKHSEGasFryerGriddleGAS.BAT</v>
      </c>
      <c r="J100" s="278" t="s">
        <v>239</v>
      </c>
      <c r="K100" s="279" t="s">
        <v>240</v>
      </c>
      <c r="L100" s="279" t="s">
        <v>1144</v>
      </c>
      <c r="M100" s="278" t="s">
        <v>1153</v>
      </c>
      <c r="N100" s="272">
        <f>X_RSD_HeatingDemand!$AA$14</f>
        <v>2019</v>
      </c>
      <c r="O100" s="272">
        <f>X_RSD_HeatingDemand!$AA$14</f>
        <v>2019</v>
      </c>
      <c r="P100" s="278">
        <v>0.44</v>
      </c>
      <c r="Q100" s="274">
        <f>VLOOKUP(B100,KEY_RSD_AF!$C$5:$D$52,2,FALSE)</f>
        <v>1</v>
      </c>
      <c r="R100" s="278"/>
      <c r="S100" s="280">
        <f>U100*0.01</f>
        <v>0.45868571428571436</v>
      </c>
      <c r="T100" s="278"/>
      <c r="U100" s="281">
        <f>U99*0.23</f>
        <v>45.868571428571435</v>
      </c>
      <c r="V100" s="278">
        <v>10</v>
      </c>
      <c r="W100" s="272">
        <v>31.536000000000001</v>
      </c>
    </row>
    <row r="103" spans="2:23" x14ac:dyDescent="0.3">
      <c r="H103" s="258"/>
      <c r="I103" s="258"/>
      <c r="J103" s="258"/>
      <c r="K103" s="258"/>
      <c r="L103" s="258"/>
      <c r="M103" s="175"/>
      <c r="N103" s="175"/>
      <c r="O103" s="258"/>
      <c r="P103" s="259" t="s">
        <v>1139</v>
      </c>
      <c r="Q103" s="557"/>
      <c r="R103" s="258"/>
      <c r="S103" s="258"/>
      <c r="T103" s="258"/>
      <c r="U103" s="258"/>
      <c r="V103" s="258"/>
      <c r="W103" s="258"/>
    </row>
    <row r="104" spans="2:23" ht="27.6" thickBot="1" x14ac:dyDescent="0.35">
      <c r="H104" s="262" t="s">
        <v>1110</v>
      </c>
      <c r="I104" s="263" t="s">
        <v>1111</v>
      </c>
      <c r="J104" s="263" t="s">
        <v>1125</v>
      </c>
      <c r="K104" s="264" t="s">
        <v>1126</v>
      </c>
      <c r="L104" s="264" t="s">
        <v>47</v>
      </c>
      <c r="M104" s="263" t="s">
        <v>49</v>
      </c>
      <c r="N104" s="263" t="s">
        <v>42</v>
      </c>
      <c r="O104" s="263" t="s">
        <v>51</v>
      </c>
      <c r="P104" s="265" t="s">
        <v>1140</v>
      </c>
      <c r="Q104" s="265" t="s">
        <v>1201</v>
      </c>
      <c r="R104" s="265" t="s">
        <v>1141</v>
      </c>
      <c r="S104" s="266" t="s">
        <v>76</v>
      </c>
      <c r="T104" s="265" t="s">
        <v>77</v>
      </c>
      <c r="U104" s="265" t="s">
        <v>1114</v>
      </c>
      <c r="V104" s="267" t="s">
        <v>66</v>
      </c>
      <c r="W104" s="267" t="s">
        <v>1115</v>
      </c>
    </row>
    <row r="105" spans="2:23" ht="15" thickBot="1" x14ac:dyDescent="0.35">
      <c r="H105" s="269" t="s">
        <v>1116</v>
      </c>
      <c r="I105" s="269"/>
      <c r="J105" s="269"/>
      <c r="K105" s="269"/>
      <c r="L105" s="269"/>
      <c r="M105" s="269"/>
      <c r="N105" s="269"/>
      <c r="O105" s="269"/>
      <c r="P105" s="269"/>
      <c r="Q105" s="269"/>
      <c r="R105" s="269"/>
      <c r="S105" s="269" t="s">
        <v>1118</v>
      </c>
      <c r="T105" s="269" t="s">
        <v>1119</v>
      </c>
      <c r="U105" s="269" t="s">
        <v>1120</v>
      </c>
      <c r="V105" s="269" t="s">
        <v>130</v>
      </c>
      <c r="W105" s="269" t="s">
        <v>1121</v>
      </c>
    </row>
    <row r="106" spans="2:23" x14ac:dyDescent="0.3">
      <c r="B106" t="s">
        <v>346</v>
      </c>
      <c r="D106" s="273" t="s">
        <v>1154</v>
      </c>
      <c r="E106" t="s">
        <v>99</v>
      </c>
      <c r="F106" t="s">
        <v>1155</v>
      </c>
      <c r="H106" s="273" t="str">
        <f>LEFT(D106,8)&amp;("o")&amp;RIGHT(L106,3)&amp;("01")</f>
        <v>ROAPAoELC01</v>
      </c>
      <c r="I106" s="273" t="str">
        <f>LEFT(D106,8)&amp;(B106)&amp;RIGHT(L106,3)&amp;(".BAU")</f>
        <v>ROAPAOtherAppliancesELC.BAU</v>
      </c>
      <c r="J106" s="273" t="s">
        <v>239</v>
      </c>
      <c r="K106" s="283" t="s">
        <v>240</v>
      </c>
      <c r="L106" s="283" t="s">
        <v>1145</v>
      </c>
      <c r="M106" s="273" t="s">
        <v>1154</v>
      </c>
      <c r="N106" s="273">
        <f>X_RSD_HeatingDemand!$AA$14</f>
        <v>2019</v>
      </c>
      <c r="O106" s="273">
        <f>X_RSD_HeatingDemand!$AA$14</f>
        <v>2019</v>
      </c>
      <c r="P106" s="273">
        <v>0.35</v>
      </c>
      <c r="Q106" s="283">
        <f>VLOOKUP(B106,KEY_RSD_AF!$C$5:$D$52,2,FALSE)</f>
        <v>1</v>
      </c>
      <c r="R106" s="273"/>
      <c r="S106" s="284">
        <f t="shared" ref="S106:S121" si="15">U106*0.01</f>
        <v>4.6153846153846149E-3</v>
      </c>
      <c r="T106" s="284"/>
      <c r="U106" s="285">
        <v>0.46153846153846151</v>
      </c>
      <c r="V106" s="273">
        <v>10</v>
      </c>
      <c r="W106" s="273">
        <f>RSD_Otherdemands_HS_AP!$W$5</f>
        <v>31.536000000000001</v>
      </c>
    </row>
    <row r="107" spans="2:23" x14ac:dyDescent="0.3">
      <c r="B107" t="s">
        <v>346</v>
      </c>
      <c r="D107" s="273" t="s">
        <v>1154</v>
      </c>
      <c r="E107" t="s">
        <v>99</v>
      </c>
      <c r="F107" t="s">
        <v>1155</v>
      </c>
      <c r="H107" s="258" t="str">
        <f>LEFT(D107,8)&amp;("o")&amp;RIGHT(L107,3)&amp;("02")</f>
        <v>ROAPAoELC02</v>
      </c>
      <c r="I107" s="258" t="str">
        <f>LEFT(D107,8)&amp;(B107)&amp;RIGHT(L107,3)&amp;(".BAT")</f>
        <v>ROAPAOtherAppliancesELC.BAT</v>
      </c>
      <c r="J107" s="258" t="s">
        <v>239</v>
      </c>
      <c r="K107" s="175" t="s">
        <v>240</v>
      </c>
      <c r="L107" s="175" t="s">
        <v>1145</v>
      </c>
      <c r="M107" s="273" t="s">
        <v>1154</v>
      </c>
      <c r="N107" s="273">
        <f>X_RSD_HeatingDemand!$AA$14</f>
        <v>2019</v>
      </c>
      <c r="O107" s="273">
        <f>X_RSD_HeatingDemand!$AA$14</f>
        <v>2019</v>
      </c>
      <c r="P107" s="258">
        <v>0.27</v>
      </c>
      <c r="Q107" s="283">
        <f>VLOOKUP(B107,KEY_RSD_AF!$C$5:$D$52,2,FALSE)</f>
        <v>1</v>
      </c>
      <c r="R107" s="258"/>
      <c r="S107" s="286">
        <f t="shared" si="15"/>
        <v>2.5384615384615385E-3</v>
      </c>
      <c r="T107" s="286"/>
      <c r="U107" s="260">
        <v>0.25384615384615383</v>
      </c>
      <c r="V107" s="258">
        <v>10</v>
      </c>
      <c r="W107" s="258">
        <f>RSD_Otherdemands_HS_AP!$W$5</f>
        <v>31.536000000000001</v>
      </c>
    </row>
    <row r="108" spans="2:23" x14ac:dyDescent="0.3">
      <c r="B108" t="s">
        <v>346</v>
      </c>
      <c r="D108" s="273" t="s">
        <v>1156</v>
      </c>
      <c r="E108" t="s">
        <v>99</v>
      </c>
      <c r="F108" t="s">
        <v>1155</v>
      </c>
      <c r="H108" s="273" t="str">
        <f>LEFT(D108,8)&amp;("o")&amp;RIGHT(L108,3)&amp;("01")</f>
        <v>ROAPBoELC01</v>
      </c>
      <c r="I108" s="273" t="str">
        <f>LEFT(D108,8)&amp;(B108)&amp;RIGHT(L108,3)&amp;(".BAU")</f>
        <v>ROAPBOtherAppliancesELC.BAU</v>
      </c>
      <c r="J108" s="273" t="s">
        <v>239</v>
      </c>
      <c r="K108" s="283" t="s">
        <v>240</v>
      </c>
      <c r="L108" s="283" t="s">
        <v>1145</v>
      </c>
      <c r="M108" s="273" t="s">
        <v>1156</v>
      </c>
      <c r="N108" s="273">
        <f>X_RSD_HeatingDemand!$AA$14</f>
        <v>2019</v>
      </c>
      <c r="O108" s="273">
        <f>X_RSD_HeatingDemand!$AA$14</f>
        <v>2019</v>
      </c>
      <c r="P108" s="273">
        <v>0.35</v>
      </c>
      <c r="Q108" s="283">
        <f>VLOOKUP(B108,KEY_RSD_AF!$C$5:$D$52,2,FALSE)</f>
        <v>1</v>
      </c>
      <c r="R108" s="273"/>
      <c r="S108" s="284">
        <f t="shared" si="15"/>
        <v>4.6153846153846149E-3</v>
      </c>
      <c r="T108" s="284"/>
      <c r="U108" s="285">
        <v>0.46153846153846151</v>
      </c>
      <c r="V108" s="273">
        <v>10</v>
      </c>
      <c r="W108" s="273">
        <f>RSD_Otherdemands_HS_AP!$W$5</f>
        <v>31.536000000000001</v>
      </c>
    </row>
    <row r="109" spans="2:23" x14ac:dyDescent="0.3">
      <c r="B109" t="s">
        <v>346</v>
      </c>
      <c r="D109" s="273" t="s">
        <v>1156</v>
      </c>
      <c r="E109" t="s">
        <v>99</v>
      </c>
      <c r="F109" t="s">
        <v>1155</v>
      </c>
      <c r="H109" s="258" t="str">
        <f>LEFT(D109,8)&amp;("o")&amp;RIGHT(L109,3)&amp;("02")</f>
        <v>ROAPBoELC02</v>
      </c>
      <c r="I109" s="258" t="str">
        <f>LEFT(D109,8)&amp;(B109)&amp;RIGHT(L109,3)&amp;(".BAT")</f>
        <v>ROAPBOtherAppliancesELC.BAT</v>
      </c>
      <c r="J109" s="258" t="s">
        <v>239</v>
      </c>
      <c r="K109" s="175" t="s">
        <v>240</v>
      </c>
      <c r="L109" s="175" t="s">
        <v>1145</v>
      </c>
      <c r="M109" s="273" t="s">
        <v>1156</v>
      </c>
      <c r="N109" s="273">
        <f>X_RSD_HeatingDemand!$AA$14</f>
        <v>2019</v>
      </c>
      <c r="O109" s="273">
        <f>X_RSD_HeatingDemand!$AA$14</f>
        <v>2019</v>
      </c>
      <c r="P109" s="258">
        <v>0.27</v>
      </c>
      <c r="Q109" s="283">
        <f>VLOOKUP(B109,KEY_RSD_AF!$C$5:$D$52,2,FALSE)</f>
        <v>1</v>
      </c>
      <c r="R109" s="258"/>
      <c r="S109" s="286">
        <f t="shared" si="15"/>
        <v>2.5384615384615385E-3</v>
      </c>
      <c r="T109" s="286"/>
      <c r="U109" s="260">
        <v>0.25384615384615383</v>
      </c>
      <c r="V109" s="258">
        <v>10</v>
      </c>
      <c r="W109" s="258">
        <f>RSD_Otherdemands_HS_AP!$W$5</f>
        <v>31.536000000000001</v>
      </c>
    </row>
    <row r="110" spans="2:23" x14ac:dyDescent="0.3">
      <c r="B110" t="s">
        <v>346</v>
      </c>
      <c r="D110" s="273" t="s">
        <v>1157</v>
      </c>
      <c r="E110" t="s">
        <v>99</v>
      </c>
      <c r="F110" t="s">
        <v>1155</v>
      </c>
      <c r="H110" s="273" t="str">
        <f>LEFT(D110,8)&amp;("o")&amp;RIGHT(L110,3)&amp;("01")</f>
        <v>ROAPCoELC01</v>
      </c>
      <c r="I110" s="273" t="str">
        <f>LEFT(D110,8)&amp;(B110)&amp;RIGHT(L110,3)&amp;(".BAU")</f>
        <v>ROAPCOtherAppliancesELC.BAU</v>
      </c>
      <c r="J110" s="273" t="s">
        <v>239</v>
      </c>
      <c r="K110" s="283" t="s">
        <v>240</v>
      </c>
      <c r="L110" s="283" t="s">
        <v>1145</v>
      </c>
      <c r="M110" s="273" t="s">
        <v>1157</v>
      </c>
      <c r="N110" s="273">
        <f>X_RSD_HeatingDemand!$AA$14</f>
        <v>2019</v>
      </c>
      <c r="O110" s="273">
        <f>X_RSD_HeatingDemand!$AA$14</f>
        <v>2019</v>
      </c>
      <c r="P110" s="273">
        <v>0.35</v>
      </c>
      <c r="Q110" s="283">
        <f>VLOOKUP(B110,KEY_RSD_AF!$C$5:$D$52,2,FALSE)</f>
        <v>1</v>
      </c>
      <c r="R110" s="273"/>
      <c r="S110" s="284">
        <f t="shared" si="15"/>
        <v>4.6153846153846149E-3</v>
      </c>
      <c r="T110" s="284"/>
      <c r="U110" s="285">
        <v>0.46153846153846151</v>
      </c>
      <c r="V110" s="273">
        <v>10</v>
      </c>
      <c r="W110" s="273">
        <f>RSD_Otherdemands_HS_AP!$W$5</f>
        <v>31.536000000000001</v>
      </c>
    </row>
    <row r="111" spans="2:23" x14ac:dyDescent="0.3">
      <c r="B111" t="s">
        <v>346</v>
      </c>
      <c r="D111" s="273" t="s">
        <v>1157</v>
      </c>
      <c r="E111" t="s">
        <v>99</v>
      </c>
      <c r="F111" t="s">
        <v>1155</v>
      </c>
      <c r="H111" s="258" t="str">
        <f>LEFT(D111,8)&amp;("o")&amp;RIGHT(L111,3)&amp;("02")</f>
        <v>ROAPCoELC02</v>
      </c>
      <c r="I111" s="258" t="str">
        <f>LEFT(D111,8)&amp;(B111)&amp;RIGHT(L111,3)&amp;(".BAT")</f>
        <v>ROAPCOtherAppliancesELC.BAT</v>
      </c>
      <c r="J111" s="258" t="s">
        <v>239</v>
      </c>
      <c r="K111" s="175" t="s">
        <v>240</v>
      </c>
      <c r="L111" s="175" t="s">
        <v>1145</v>
      </c>
      <c r="M111" s="273" t="s">
        <v>1157</v>
      </c>
      <c r="N111" s="273">
        <f>X_RSD_HeatingDemand!$AA$14</f>
        <v>2019</v>
      </c>
      <c r="O111" s="273">
        <f>X_RSD_HeatingDemand!$AA$14</f>
        <v>2019</v>
      </c>
      <c r="P111" s="258">
        <v>0.27</v>
      </c>
      <c r="Q111" s="283">
        <f>VLOOKUP(B111,KEY_RSD_AF!$C$5:$D$52,2,FALSE)</f>
        <v>1</v>
      </c>
      <c r="R111" s="258"/>
      <c r="S111" s="286">
        <f t="shared" si="15"/>
        <v>2.5384615384615385E-3</v>
      </c>
      <c r="T111" s="286"/>
      <c r="U111" s="260">
        <v>0.25384615384615383</v>
      </c>
      <c r="V111" s="258">
        <v>10</v>
      </c>
      <c r="W111" s="258">
        <f>RSD_Otherdemands_HS_AP!$W$5</f>
        <v>31.536000000000001</v>
      </c>
    </row>
    <row r="112" spans="2:23" x14ac:dyDescent="0.3">
      <c r="B112" t="s">
        <v>346</v>
      </c>
      <c r="D112" s="273" t="s">
        <v>1158</v>
      </c>
      <c r="E112" t="s">
        <v>99</v>
      </c>
      <c r="F112" t="s">
        <v>1155</v>
      </c>
      <c r="H112" s="273" t="str">
        <f>LEFT(D112,8)&amp;("o")&amp;RIGHT(L112,3)&amp;("01")</f>
        <v>ROAPEoELC01</v>
      </c>
      <c r="I112" s="273" t="str">
        <f>LEFT(D112,8)&amp;(B112)&amp;RIGHT(L112,3)&amp;(".BAU")</f>
        <v>ROAPEOtherAppliancesELC.BAU</v>
      </c>
      <c r="J112" s="273" t="s">
        <v>239</v>
      </c>
      <c r="K112" s="283" t="s">
        <v>240</v>
      </c>
      <c r="L112" s="283" t="s">
        <v>1145</v>
      </c>
      <c r="M112" s="273" t="s">
        <v>1158</v>
      </c>
      <c r="N112" s="273">
        <f>X_RSD_HeatingDemand!$AA$14</f>
        <v>2019</v>
      </c>
      <c r="O112" s="273">
        <f>X_RSD_HeatingDemand!$AA$14</f>
        <v>2019</v>
      </c>
      <c r="P112" s="273">
        <v>0.35</v>
      </c>
      <c r="Q112" s="283">
        <f>VLOOKUP(B112,KEY_RSD_AF!$C$5:$D$52,2,FALSE)</f>
        <v>1</v>
      </c>
      <c r="R112" s="273"/>
      <c r="S112" s="284">
        <f t="shared" si="15"/>
        <v>4.6153846153846149E-3</v>
      </c>
      <c r="T112" s="284"/>
      <c r="U112" s="285">
        <v>0.46153846153846151</v>
      </c>
      <c r="V112" s="273">
        <v>10</v>
      </c>
      <c r="W112" s="273">
        <f>RSD_Otherdemands_HS_AP!$W$5</f>
        <v>31.536000000000001</v>
      </c>
    </row>
    <row r="113" spans="2:24" x14ac:dyDescent="0.3">
      <c r="B113" t="s">
        <v>346</v>
      </c>
      <c r="D113" s="273" t="s">
        <v>1158</v>
      </c>
      <c r="E113" t="s">
        <v>99</v>
      </c>
      <c r="F113" t="s">
        <v>1155</v>
      </c>
      <c r="H113" s="258" t="str">
        <f>LEFT(D113,8)&amp;("o")&amp;RIGHT(L113,3)&amp;("02")</f>
        <v>ROAPEoELC02</v>
      </c>
      <c r="I113" s="258" t="str">
        <f>LEFT(D113,8)&amp;(B113)&amp;RIGHT(L113,3)&amp;(".BAT")</f>
        <v>ROAPEOtherAppliancesELC.BAT</v>
      </c>
      <c r="J113" s="258" t="s">
        <v>239</v>
      </c>
      <c r="K113" s="175" t="s">
        <v>240</v>
      </c>
      <c r="L113" s="175" t="s">
        <v>1145</v>
      </c>
      <c r="M113" s="273" t="s">
        <v>1158</v>
      </c>
      <c r="N113" s="273">
        <f>X_RSD_HeatingDemand!$AA$14</f>
        <v>2019</v>
      </c>
      <c r="O113" s="273">
        <f>X_RSD_HeatingDemand!$AA$14</f>
        <v>2019</v>
      </c>
      <c r="P113" s="258">
        <v>0.27</v>
      </c>
      <c r="Q113" s="283">
        <f>VLOOKUP(B113,KEY_RSD_AF!$C$5:$D$52,2,FALSE)</f>
        <v>1</v>
      </c>
      <c r="R113" s="258"/>
      <c r="S113" s="286">
        <f t="shared" si="15"/>
        <v>2.5384615384615385E-3</v>
      </c>
      <c r="T113" s="286"/>
      <c r="U113" s="260">
        <v>0.25384615384615383</v>
      </c>
      <c r="V113" s="258">
        <v>10</v>
      </c>
      <c r="W113" s="258">
        <f>RSD_Otherdemands_HS_AP!$W$5</f>
        <v>31.536000000000001</v>
      </c>
    </row>
    <row r="114" spans="2:24" x14ac:dyDescent="0.3">
      <c r="B114" t="s">
        <v>346</v>
      </c>
      <c r="D114" s="273" t="s">
        <v>1159</v>
      </c>
      <c r="E114" t="s">
        <v>99</v>
      </c>
      <c r="F114" t="s">
        <v>1155</v>
      </c>
      <c r="H114" s="273" t="str">
        <f>LEFT(D114,8)&amp;("o")&amp;RIGHT(L114,3)&amp;("01")</f>
        <v>ROHSAoELC01</v>
      </c>
      <c r="I114" s="273" t="str">
        <f>LEFT(D114,8)&amp;(B114)&amp;RIGHT(L114,3)&amp;(".BAU")</f>
        <v>ROHSAOtherAppliancesELC.BAU</v>
      </c>
      <c r="J114" s="273" t="s">
        <v>239</v>
      </c>
      <c r="K114" s="283" t="s">
        <v>240</v>
      </c>
      <c r="L114" s="283" t="s">
        <v>1145</v>
      </c>
      <c r="M114" s="273" t="s">
        <v>1159</v>
      </c>
      <c r="N114" s="273">
        <f>X_RSD_HeatingDemand!$AA$14</f>
        <v>2019</v>
      </c>
      <c r="O114" s="273">
        <f>X_RSD_HeatingDemand!$AA$14</f>
        <v>2019</v>
      </c>
      <c r="P114" s="273">
        <v>0.35</v>
      </c>
      <c r="Q114" s="283">
        <f>VLOOKUP(B114,KEY_RSD_AF!$C$5:$D$52,2,FALSE)</f>
        <v>1</v>
      </c>
      <c r="R114" s="273"/>
      <c r="S114" s="284">
        <f t="shared" si="15"/>
        <v>4.6153846153846149E-3</v>
      </c>
      <c r="T114" s="284"/>
      <c r="U114" s="285">
        <v>0.46153846153846151</v>
      </c>
      <c r="V114" s="273">
        <v>10</v>
      </c>
      <c r="W114" s="273">
        <f>RSD_Otherdemands_HS_AP!$W$5</f>
        <v>31.536000000000001</v>
      </c>
    </row>
    <row r="115" spans="2:24" x14ac:dyDescent="0.3">
      <c r="B115" t="s">
        <v>346</v>
      </c>
      <c r="D115" s="273" t="s">
        <v>1159</v>
      </c>
      <c r="E115" t="s">
        <v>99</v>
      </c>
      <c r="F115" t="s">
        <v>1155</v>
      </c>
      <c r="H115" s="258" t="str">
        <f>LEFT(D115,8)&amp;("o")&amp;RIGHT(L115,3)&amp;("02")</f>
        <v>ROHSAoELC02</v>
      </c>
      <c r="I115" s="258" t="str">
        <f>LEFT(D115,8)&amp;(B115)&amp;RIGHT(L115,3)&amp;(".BAT")</f>
        <v>ROHSAOtherAppliancesELC.BAT</v>
      </c>
      <c r="J115" s="258" t="s">
        <v>239</v>
      </c>
      <c r="K115" s="175" t="s">
        <v>240</v>
      </c>
      <c r="L115" s="175" t="s">
        <v>1145</v>
      </c>
      <c r="M115" s="273" t="s">
        <v>1159</v>
      </c>
      <c r="N115" s="273">
        <f>X_RSD_HeatingDemand!$AA$14</f>
        <v>2019</v>
      </c>
      <c r="O115" s="273">
        <f>X_RSD_HeatingDemand!$AA$14</f>
        <v>2019</v>
      </c>
      <c r="P115" s="258">
        <v>0.27</v>
      </c>
      <c r="Q115" s="283">
        <f>VLOOKUP(B115,KEY_RSD_AF!$C$5:$D$52,2,FALSE)</f>
        <v>1</v>
      </c>
      <c r="R115" s="258"/>
      <c r="S115" s="286">
        <f t="shared" si="15"/>
        <v>2.5384615384615385E-3</v>
      </c>
      <c r="T115" s="286"/>
      <c r="U115" s="260">
        <v>0.25384615384615383</v>
      </c>
      <c r="V115" s="258">
        <v>10</v>
      </c>
      <c r="W115" s="258">
        <f>RSD_Otherdemands_HS_AP!$W$5</f>
        <v>31.536000000000001</v>
      </c>
    </row>
    <row r="116" spans="2:24" x14ac:dyDescent="0.3">
      <c r="B116" t="s">
        <v>346</v>
      </c>
      <c r="D116" s="273" t="s">
        <v>1160</v>
      </c>
      <c r="E116" t="s">
        <v>99</v>
      </c>
      <c r="F116" t="s">
        <v>1155</v>
      </c>
      <c r="H116" s="273" t="str">
        <f>LEFT(D116,8)&amp;("o")&amp;RIGHT(L116,3)&amp;("01")</f>
        <v>ROHSBoELC01</v>
      </c>
      <c r="I116" s="273" t="str">
        <f>LEFT(D116,8)&amp;(B116)&amp;RIGHT(L116,3)&amp;(".BAU")</f>
        <v>ROHSBOtherAppliancesELC.BAU</v>
      </c>
      <c r="J116" s="273" t="s">
        <v>239</v>
      </c>
      <c r="K116" s="283" t="s">
        <v>240</v>
      </c>
      <c r="L116" s="283" t="s">
        <v>1145</v>
      </c>
      <c r="M116" s="273" t="s">
        <v>1160</v>
      </c>
      <c r="N116" s="273">
        <f>X_RSD_HeatingDemand!$AA$14</f>
        <v>2019</v>
      </c>
      <c r="O116" s="273">
        <f>X_RSD_HeatingDemand!$AA$14</f>
        <v>2019</v>
      </c>
      <c r="P116" s="273">
        <v>0.35</v>
      </c>
      <c r="Q116" s="283">
        <f>VLOOKUP(B116,KEY_RSD_AF!$C$5:$D$52,2,FALSE)</f>
        <v>1</v>
      </c>
      <c r="R116" s="273"/>
      <c r="S116" s="284">
        <f t="shared" si="15"/>
        <v>4.6153846153846149E-3</v>
      </c>
      <c r="T116" s="284"/>
      <c r="U116" s="285">
        <v>0.46153846153846151</v>
      </c>
      <c r="V116" s="273">
        <v>10</v>
      </c>
      <c r="W116" s="273">
        <f>RSD_Otherdemands_HS_AP!$W$5</f>
        <v>31.536000000000001</v>
      </c>
    </row>
    <row r="117" spans="2:24" x14ac:dyDescent="0.3">
      <c r="B117" t="s">
        <v>346</v>
      </c>
      <c r="D117" s="273" t="s">
        <v>1160</v>
      </c>
      <c r="E117" t="s">
        <v>99</v>
      </c>
      <c r="F117" t="s">
        <v>1155</v>
      </c>
      <c r="H117" s="258" t="str">
        <f>LEFT(D117,8)&amp;("o")&amp;RIGHT(L117,3)&amp;("02")</f>
        <v>ROHSBoELC02</v>
      </c>
      <c r="I117" s="258" t="str">
        <f>LEFT(D117,8)&amp;(B117)&amp;RIGHT(L117,3)&amp;(".BAT")</f>
        <v>ROHSBOtherAppliancesELC.BAT</v>
      </c>
      <c r="J117" s="258" t="s">
        <v>239</v>
      </c>
      <c r="K117" s="175" t="s">
        <v>240</v>
      </c>
      <c r="L117" s="175" t="s">
        <v>1145</v>
      </c>
      <c r="M117" s="273" t="s">
        <v>1160</v>
      </c>
      <c r="N117" s="273">
        <f>X_RSD_HeatingDemand!$AA$14</f>
        <v>2019</v>
      </c>
      <c r="O117" s="273">
        <f>X_RSD_HeatingDemand!$AA$14</f>
        <v>2019</v>
      </c>
      <c r="P117" s="258">
        <v>0.27</v>
      </c>
      <c r="Q117" s="283">
        <f>VLOOKUP(B117,KEY_RSD_AF!$C$5:$D$52,2,FALSE)</f>
        <v>1</v>
      </c>
      <c r="R117" s="258"/>
      <c r="S117" s="286">
        <f t="shared" si="15"/>
        <v>2.5384615384615385E-3</v>
      </c>
      <c r="T117" s="286"/>
      <c r="U117" s="260">
        <v>0.25384615384615383</v>
      </c>
      <c r="V117" s="258">
        <v>10</v>
      </c>
      <c r="W117" s="258">
        <f>RSD_Otherdemands_HS_AP!$W$5</f>
        <v>31.536000000000001</v>
      </c>
    </row>
    <row r="118" spans="2:24" x14ac:dyDescent="0.3">
      <c r="B118" t="s">
        <v>346</v>
      </c>
      <c r="D118" s="273" t="s">
        <v>1161</v>
      </c>
      <c r="E118" t="s">
        <v>99</v>
      </c>
      <c r="F118" t="s">
        <v>1155</v>
      </c>
      <c r="H118" s="273" t="str">
        <f>LEFT(D118,8)&amp;("o")&amp;RIGHT(L118,3)&amp;("01")</f>
        <v>ROHSCoELC01</v>
      </c>
      <c r="I118" s="273" t="str">
        <f>LEFT(D118,8)&amp;(B118)&amp;RIGHT(L118,3)&amp;(".BAU")</f>
        <v>ROHSCOtherAppliancesELC.BAU</v>
      </c>
      <c r="J118" s="273" t="s">
        <v>239</v>
      </c>
      <c r="K118" s="283" t="s">
        <v>240</v>
      </c>
      <c r="L118" s="283" t="s">
        <v>1145</v>
      </c>
      <c r="M118" s="273" t="s">
        <v>1161</v>
      </c>
      <c r="N118" s="273">
        <f>X_RSD_HeatingDemand!$AA$14</f>
        <v>2019</v>
      </c>
      <c r="O118" s="273">
        <f>X_RSD_HeatingDemand!$AA$14</f>
        <v>2019</v>
      </c>
      <c r="P118" s="273">
        <v>0.35</v>
      </c>
      <c r="Q118" s="283">
        <f>VLOOKUP(B118,KEY_RSD_AF!$C$5:$D$52,2,FALSE)</f>
        <v>1</v>
      </c>
      <c r="R118" s="273"/>
      <c r="S118" s="284">
        <f t="shared" si="15"/>
        <v>4.6153846153846149E-3</v>
      </c>
      <c r="T118" s="284"/>
      <c r="U118" s="285">
        <v>0.46153846153846151</v>
      </c>
      <c r="V118" s="273">
        <v>10</v>
      </c>
      <c r="W118" s="273">
        <f>RSD_Otherdemands_HS_AP!$W$5</f>
        <v>31.536000000000001</v>
      </c>
    </row>
    <row r="119" spans="2:24" x14ac:dyDescent="0.3">
      <c r="B119" t="s">
        <v>346</v>
      </c>
      <c r="D119" s="273" t="s">
        <v>1161</v>
      </c>
      <c r="E119" t="s">
        <v>99</v>
      </c>
      <c r="F119" t="s">
        <v>1155</v>
      </c>
      <c r="H119" s="258" t="str">
        <f>LEFT(D119,8)&amp;("o")&amp;RIGHT(L119,3)&amp;("02")</f>
        <v>ROHSCoELC02</v>
      </c>
      <c r="I119" s="258" t="str">
        <f>LEFT(D119,8)&amp;(B119)&amp;RIGHT(L119,3)&amp;(".BAT")</f>
        <v>ROHSCOtherAppliancesELC.BAT</v>
      </c>
      <c r="J119" s="258" t="s">
        <v>239</v>
      </c>
      <c r="K119" s="175" t="s">
        <v>240</v>
      </c>
      <c r="L119" s="175" t="s">
        <v>1145</v>
      </c>
      <c r="M119" s="273" t="s">
        <v>1161</v>
      </c>
      <c r="N119" s="273">
        <f>X_RSD_HeatingDemand!$AA$14</f>
        <v>2019</v>
      </c>
      <c r="O119" s="273">
        <f>X_RSD_HeatingDemand!$AA$14</f>
        <v>2019</v>
      </c>
      <c r="P119" s="258">
        <v>0.27</v>
      </c>
      <c r="Q119" s="283">
        <f>VLOOKUP(B119,KEY_RSD_AF!$C$5:$D$52,2,FALSE)</f>
        <v>1</v>
      </c>
      <c r="R119" s="258"/>
      <c r="S119" s="286">
        <f t="shared" si="15"/>
        <v>2.5384615384615385E-3</v>
      </c>
      <c r="T119" s="286"/>
      <c r="U119" s="260">
        <v>0.25384615384615383</v>
      </c>
      <c r="V119" s="258">
        <v>10</v>
      </c>
      <c r="W119" s="258">
        <f>RSD_Otherdemands_HS_AP!$W$5</f>
        <v>31.536000000000001</v>
      </c>
    </row>
    <row r="120" spans="2:24" x14ac:dyDescent="0.3">
      <c r="B120" t="s">
        <v>346</v>
      </c>
      <c r="D120" s="273" t="s">
        <v>1162</v>
      </c>
      <c r="E120" t="s">
        <v>99</v>
      </c>
      <c r="F120" t="s">
        <v>1155</v>
      </c>
      <c r="H120" s="273" t="str">
        <f>LEFT(D120,8)&amp;("o")&amp;RIGHT(L120,3)&amp;("01")</f>
        <v>ROHSEoELC01</v>
      </c>
      <c r="I120" s="273" t="str">
        <f>LEFT(D120,8)&amp;(B120)&amp;RIGHT(L120,3)&amp;(".BAU")</f>
        <v>ROHSEOtherAppliancesELC.BAU</v>
      </c>
      <c r="J120" s="273" t="s">
        <v>239</v>
      </c>
      <c r="K120" s="283" t="s">
        <v>240</v>
      </c>
      <c r="L120" s="283" t="s">
        <v>1145</v>
      </c>
      <c r="M120" s="273" t="s">
        <v>1162</v>
      </c>
      <c r="N120" s="273">
        <f>X_RSD_HeatingDemand!$AA$14</f>
        <v>2019</v>
      </c>
      <c r="O120" s="273">
        <f>X_RSD_HeatingDemand!$AA$14</f>
        <v>2019</v>
      </c>
      <c r="P120" s="273">
        <v>0.35</v>
      </c>
      <c r="Q120" s="283">
        <f>VLOOKUP(B120,KEY_RSD_AF!$C$5:$D$52,2,FALSE)</f>
        <v>1</v>
      </c>
      <c r="R120" s="273"/>
      <c r="S120" s="284">
        <f t="shared" si="15"/>
        <v>4.6153846153846149E-3</v>
      </c>
      <c r="T120" s="284"/>
      <c r="U120" s="285">
        <v>0.46153846153846151</v>
      </c>
      <c r="V120" s="273">
        <v>10</v>
      </c>
      <c r="W120" s="273">
        <f>RSD_Otherdemands_HS_AP!$W$5</f>
        <v>31.536000000000001</v>
      </c>
    </row>
    <row r="121" spans="2:24" x14ac:dyDescent="0.3">
      <c r="B121" t="s">
        <v>346</v>
      </c>
      <c r="D121" s="273" t="s">
        <v>1162</v>
      </c>
      <c r="E121" t="s">
        <v>99</v>
      </c>
      <c r="F121" t="s">
        <v>1155</v>
      </c>
      <c r="H121" s="258" t="str">
        <f>LEFT(D121,8)&amp;("o")&amp;RIGHT(L121,3)&amp;("02")</f>
        <v>ROHSEoELC02</v>
      </c>
      <c r="I121" s="258" t="str">
        <f>LEFT(D121,8)&amp;(B121)&amp;RIGHT(L121,3)&amp;(".BAT")</f>
        <v>ROHSEOtherAppliancesELC.BAT</v>
      </c>
      <c r="J121" s="258" t="s">
        <v>239</v>
      </c>
      <c r="K121" s="175" t="s">
        <v>240</v>
      </c>
      <c r="L121" s="175" t="s">
        <v>1145</v>
      </c>
      <c r="M121" s="273" t="s">
        <v>1162</v>
      </c>
      <c r="N121" s="273">
        <f>X_RSD_HeatingDemand!$AA$14</f>
        <v>2019</v>
      </c>
      <c r="O121" s="273">
        <f>X_RSD_HeatingDemand!$AA$14</f>
        <v>2019</v>
      </c>
      <c r="P121" s="258">
        <v>0.27</v>
      </c>
      <c r="Q121" s="283">
        <f>VLOOKUP(B121,KEY_RSD_AF!$C$5:$D$52,2,FALSE)</f>
        <v>1</v>
      </c>
      <c r="R121" s="258"/>
      <c r="S121" s="286">
        <f t="shared" si="15"/>
        <v>2.5384615384615385E-3</v>
      </c>
      <c r="T121" s="286"/>
      <c r="U121" s="260">
        <v>0.25384615384615383</v>
      </c>
      <c r="V121" s="258">
        <v>10</v>
      </c>
      <c r="W121" s="258">
        <f>RSD_Otherdemands_HS_AP!$W$5</f>
        <v>31.536000000000001</v>
      </c>
    </row>
    <row r="125" spans="2:24" x14ac:dyDescent="0.3">
      <c r="H125" s="258"/>
      <c r="I125" s="258"/>
      <c r="J125" s="258"/>
      <c r="K125" s="175"/>
      <c r="L125" s="175"/>
      <c r="M125" s="258"/>
      <c r="N125" s="258"/>
      <c r="O125" s="258"/>
      <c r="P125" s="258"/>
      <c r="Q125" s="175"/>
      <c r="R125" s="258"/>
      <c r="S125" s="258"/>
      <c r="T125" s="258"/>
      <c r="U125" s="258"/>
      <c r="V125" s="258"/>
      <c r="W125" s="258"/>
      <c r="X125" s="258"/>
    </row>
    <row r="126" spans="2:24" x14ac:dyDescent="0.3">
      <c r="H126" s="258"/>
      <c r="I126" s="258"/>
      <c r="J126" s="258"/>
      <c r="K126" s="175"/>
      <c r="L126" s="175"/>
      <c r="M126" s="258"/>
      <c r="N126" s="259" t="s">
        <v>1139</v>
      </c>
      <c r="O126" s="259"/>
      <c r="P126" s="258"/>
      <c r="Q126" s="175"/>
      <c r="R126" s="258"/>
      <c r="S126" s="258"/>
      <c r="T126" s="258"/>
      <c r="U126" s="258"/>
      <c r="V126" s="258"/>
      <c r="W126" s="258"/>
      <c r="X126" s="258"/>
    </row>
    <row r="127" spans="2:24" ht="27.6" thickBot="1" x14ac:dyDescent="0.35">
      <c r="H127" s="262" t="s">
        <v>1110</v>
      </c>
      <c r="I127" s="263" t="s">
        <v>1111</v>
      </c>
      <c r="J127" s="263" t="s">
        <v>1125</v>
      </c>
      <c r="K127" s="264" t="s">
        <v>1126</v>
      </c>
      <c r="L127" s="264" t="s">
        <v>47</v>
      </c>
      <c r="M127" s="263" t="s">
        <v>49</v>
      </c>
      <c r="N127" s="263" t="s">
        <v>42</v>
      </c>
      <c r="O127" s="263" t="s">
        <v>51</v>
      </c>
      <c r="P127" s="265" t="s">
        <v>1140</v>
      </c>
      <c r="Q127" s="265" t="s">
        <v>1201</v>
      </c>
      <c r="R127" s="265" t="s">
        <v>1141</v>
      </c>
      <c r="S127" s="266" t="s">
        <v>76</v>
      </c>
      <c r="T127" s="265" t="s">
        <v>77</v>
      </c>
      <c r="U127" s="265" t="s">
        <v>1114</v>
      </c>
      <c r="V127" s="267" t="s">
        <v>66</v>
      </c>
      <c r="W127" s="267" t="s">
        <v>1115</v>
      </c>
      <c r="X127" s="258"/>
    </row>
    <row r="128" spans="2:24" ht="15" thickBot="1" x14ac:dyDescent="0.35">
      <c r="H128" s="269" t="s">
        <v>1116</v>
      </c>
      <c r="I128" s="269"/>
      <c r="J128" s="269"/>
      <c r="K128" s="269"/>
      <c r="L128" s="269"/>
      <c r="M128" s="269"/>
      <c r="N128" s="269"/>
      <c r="O128" s="269"/>
      <c r="P128" s="269"/>
      <c r="Q128" s="269"/>
      <c r="R128" s="269"/>
      <c r="S128" s="269" t="s">
        <v>1118</v>
      </c>
      <c r="T128" s="269" t="s">
        <v>1119</v>
      </c>
      <c r="U128" s="269" t="s">
        <v>1120</v>
      </c>
      <c r="V128" s="269" t="s">
        <v>130</v>
      </c>
      <c r="W128" s="269" t="s">
        <v>1121</v>
      </c>
      <c r="X128" s="258"/>
    </row>
    <row r="129" spans="2:24" x14ac:dyDescent="0.3">
      <c r="B129" s="271" t="s">
        <v>348</v>
      </c>
      <c r="C129" s="271"/>
      <c r="D129" s="272" t="s">
        <v>1163</v>
      </c>
      <c r="E129" s="271" t="s">
        <v>99</v>
      </c>
      <c r="F129" s="271" t="s">
        <v>1164</v>
      </c>
      <c r="H129" s="273" t="str">
        <f>LEFT(D129,8)&amp;("04o")&amp;RIGHT(L129,3)&amp;("02")</f>
        <v>RLAPA04oELC02</v>
      </c>
      <c r="I129" s="273" t="str">
        <f>LEFT(D129,8)&amp;(B129)&amp;RIGHT(L129,3)&amp;(".BAT")</f>
        <v>RLAPAFluorescentTubesELC.BAT</v>
      </c>
      <c r="J129" s="272" t="s">
        <v>239</v>
      </c>
      <c r="K129" s="274" t="s">
        <v>240</v>
      </c>
      <c r="L129" s="274" t="s">
        <v>1145</v>
      </c>
      <c r="M129" s="272" t="s">
        <v>1163</v>
      </c>
      <c r="N129" s="272">
        <f>X_RSD_HeatingDemand!$AA$14</f>
        <v>2019</v>
      </c>
      <c r="O129" s="272">
        <f>X_RSD_HeatingDemand!$AA$14</f>
        <v>2019</v>
      </c>
      <c r="P129" s="287">
        <v>0.12637166666666663</v>
      </c>
      <c r="Q129" s="274">
        <f>VLOOKUP(B129,KEY_RSD_AF!$C$5:$D$52,2,FALSE)</f>
        <v>1</v>
      </c>
      <c r="R129" s="272"/>
      <c r="S129" s="272"/>
      <c r="T129" s="272"/>
      <c r="U129" s="314">
        <f>5.5/35/1000</f>
        <v>1.5714285714285713E-4</v>
      </c>
      <c r="V129" s="272">
        <v>21</v>
      </c>
      <c r="W129" s="272">
        <f>RSD_Otherdemands_HS_AP!$W$5</f>
        <v>31.536000000000001</v>
      </c>
      <c r="X129" s="258"/>
    </row>
    <row r="130" spans="2:24" x14ac:dyDescent="0.3">
      <c r="B130" s="271" t="s">
        <v>350</v>
      </c>
      <c r="C130" s="271"/>
      <c r="D130" s="272" t="s">
        <v>1163</v>
      </c>
      <c r="E130" s="271" t="s">
        <v>99</v>
      </c>
      <c r="F130" s="271" t="s">
        <v>1164</v>
      </c>
      <c r="H130" s="258" t="str">
        <f>LEFT(D130,8)&amp;("03o")&amp;RIGHT(L130,3)&amp;("02")</f>
        <v>RLAPA03oELC02</v>
      </c>
      <c r="I130" s="258" t="str">
        <f>LEFT(D130,8)&amp;(B130)&amp;RIGHT(L130,3)&amp;(".BAT")</f>
        <v>RLAPALEDELC.BAT</v>
      </c>
      <c r="J130" s="272" t="s">
        <v>239</v>
      </c>
      <c r="K130" s="274" t="s">
        <v>240</v>
      </c>
      <c r="L130" s="274" t="s">
        <v>1145</v>
      </c>
      <c r="M130" s="272" t="s">
        <v>1163</v>
      </c>
      <c r="N130" s="272">
        <f>X_RSD_HeatingDemand!$AA$14</f>
        <v>2019</v>
      </c>
      <c r="O130" s="272">
        <f>X_RSD_HeatingDemand!$AA$14</f>
        <v>2019</v>
      </c>
      <c r="P130" s="287">
        <v>0.11183333333333333</v>
      </c>
      <c r="Q130" s="274">
        <f>VLOOKUP(B130,KEY_RSD_AF!$C$5:$D$52,2,FALSE)</f>
        <v>1</v>
      </c>
      <c r="R130" s="272"/>
      <c r="S130" s="272"/>
      <c r="T130" s="272"/>
      <c r="U130" s="314">
        <v>5.2500000000000002E-5</v>
      </c>
      <c r="V130" s="272">
        <v>27</v>
      </c>
      <c r="W130" s="272">
        <f>RSD_Otherdemands_HS_AP!$W$5</f>
        <v>31.536000000000001</v>
      </c>
      <c r="X130" s="258"/>
    </row>
    <row r="131" spans="2:24" x14ac:dyDescent="0.3">
      <c r="B131" s="271" t="s">
        <v>352</v>
      </c>
      <c r="C131" s="271"/>
      <c r="D131" s="272" t="s">
        <v>1163</v>
      </c>
      <c r="E131" s="271" t="s">
        <v>99</v>
      </c>
      <c r="F131" s="271" t="s">
        <v>1164</v>
      </c>
      <c r="H131" s="273" t="str">
        <f>LEFT(D131,8)&amp;("02o")&amp;RIGHT(L131,3)&amp;("02")</f>
        <v>RLAPA02oELC02</v>
      </c>
      <c r="I131" s="273" t="str">
        <f>LEFT(D131,8)&amp;(B131)&amp;RIGHT(L131,3)&amp;(".BAT")</f>
        <v>RLAPAHalogenELC.BAT</v>
      </c>
      <c r="J131" s="272" t="s">
        <v>239</v>
      </c>
      <c r="K131" s="274" t="s">
        <v>240</v>
      </c>
      <c r="L131" s="274" t="s">
        <v>1145</v>
      </c>
      <c r="M131" s="272" t="s">
        <v>1163</v>
      </c>
      <c r="N131" s="272">
        <f>X_RSD_HeatingDemand!$AA$14</f>
        <v>2019</v>
      </c>
      <c r="O131" s="272">
        <f>X_RSD_HeatingDemand!$AA$14</f>
        <v>2019</v>
      </c>
      <c r="P131" s="287">
        <v>3.6666666666666667E-2</v>
      </c>
      <c r="Q131" s="274">
        <f>VLOOKUP(B131,KEY_RSD_AF!$C$5:$D$52,2,FALSE)</f>
        <v>1</v>
      </c>
      <c r="R131" s="272"/>
      <c r="S131" s="272"/>
      <c r="T131" s="272"/>
      <c r="U131" s="314">
        <f>5.12/1000/45</f>
        <v>1.1377777777777779E-4</v>
      </c>
      <c r="V131" s="272">
        <v>5</v>
      </c>
      <c r="W131" s="272">
        <f>RSD_Otherdemands_HS_AP!$W$5</f>
        <v>31.536000000000001</v>
      </c>
      <c r="X131" s="258"/>
    </row>
    <row r="132" spans="2:24" x14ac:dyDescent="0.3">
      <c r="B132" s="271" t="s">
        <v>354</v>
      </c>
      <c r="C132" s="271"/>
      <c r="D132" s="272" t="s">
        <v>1163</v>
      </c>
      <c r="E132" s="271" t="s">
        <v>99</v>
      </c>
      <c r="F132" s="271" t="s">
        <v>1164</v>
      </c>
      <c r="H132" s="258" t="str">
        <f>LEFT(D132,8)&amp;("o")&amp;RIGHT(L132,3)&amp;("02")</f>
        <v>RLAPAoELC02</v>
      </c>
      <c r="I132" s="258" t="str">
        <f>LEFT(D132,8)&amp;(B132)&amp;RIGHT(L132,3)&amp;(".BAT")</f>
        <v>RLAPAIncandescentImprovedELC.BAT</v>
      </c>
      <c r="J132" s="272" t="s">
        <v>239</v>
      </c>
      <c r="K132" s="274" t="s">
        <v>240</v>
      </c>
      <c r="L132" s="274" t="s">
        <v>1145</v>
      </c>
      <c r="M132" s="272" t="s">
        <v>1163</v>
      </c>
      <c r="N132" s="272">
        <f>X_RSD_HeatingDemand!$AA$14</f>
        <v>2019</v>
      </c>
      <c r="O132" s="272">
        <f>X_RSD_HeatingDemand!$AA$14</f>
        <v>2019</v>
      </c>
      <c r="P132" s="287">
        <v>2.1999999999999999E-2</v>
      </c>
      <c r="Q132" s="274">
        <f>VLOOKUP(B132,KEY_RSD_AF!$C$5:$D$52,2,FALSE)</f>
        <v>1</v>
      </c>
      <c r="R132" s="272"/>
      <c r="S132" s="272"/>
      <c r="T132" s="272"/>
      <c r="U132" s="314">
        <f>1.66/1000/60*1.05</f>
        <v>2.9050000000000001E-5</v>
      </c>
      <c r="V132" s="272">
        <v>1</v>
      </c>
      <c r="W132" s="272">
        <f>RSD_Otherdemands_HS_AP!$W$5</f>
        <v>31.536000000000001</v>
      </c>
      <c r="X132" s="258"/>
    </row>
    <row r="133" spans="2:24" x14ac:dyDescent="0.3">
      <c r="B133" s="271" t="s">
        <v>356</v>
      </c>
      <c r="C133" s="271"/>
      <c r="D133" s="272" t="s">
        <v>1163</v>
      </c>
      <c r="E133" s="271" t="s">
        <v>99</v>
      </c>
      <c r="F133" s="271" t="s">
        <v>1164</v>
      </c>
      <c r="H133" s="273" t="str">
        <f>LEFT(D133,8)&amp;("o")&amp;RIGHT(L133,3)&amp;("01")</f>
        <v>RLAPAoELC01</v>
      </c>
      <c r="I133" s="273" t="str">
        <f>LEFT(D133,8)&amp;(B133)&amp;RIGHT(L133,3)&amp;(".BAU")</f>
        <v>RLAPAIncandescentELC.BAU</v>
      </c>
      <c r="J133" s="272" t="s">
        <v>239</v>
      </c>
      <c r="K133" s="274" t="s">
        <v>240</v>
      </c>
      <c r="L133" s="274" t="s">
        <v>1145</v>
      </c>
      <c r="M133" s="272" t="s">
        <v>1163</v>
      </c>
      <c r="N133" s="272">
        <f>X_RSD_HeatingDemand!$AA$14</f>
        <v>2019</v>
      </c>
      <c r="O133" s="272">
        <f>X_RSD_HeatingDemand!$AA$14</f>
        <v>2019</v>
      </c>
      <c r="P133" s="287">
        <v>1.8333333333333333E-2</v>
      </c>
      <c r="Q133" s="274">
        <f>VLOOKUP(B133,KEY_RSD_AF!$C$5:$D$52,2,FALSE)</f>
        <v>1</v>
      </c>
      <c r="R133" s="272"/>
      <c r="S133" s="272"/>
      <c r="T133" s="272"/>
      <c r="U133" s="314">
        <f>1.66/1000/60</f>
        <v>2.7666666666666667E-5</v>
      </c>
      <c r="V133" s="272">
        <v>1</v>
      </c>
      <c r="W133" s="272">
        <f>RSD_Otherdemands_HS_AP!$W$5</f>
        <v>31.536000000000001</v>
      </c>
      <c r="X133" s="258"/>
    </row>
    <row r="134" spans="2:24" x14ac:dyDescent="0.3">
      <c r="B134" s="271" t="s">
        <v>358</v>
      </c>
      <c r="C134" s="271"/>
      <c r="D134" s="272" t="s">
        <v>1163</v>
      </c>
      <c r="E134" s="271" t="s">
        <v>99</v>
      </c>
      <c r="F134" s="271" t="s">
        <v>1164</v>
      </c>
      <c r="H134" s="258" t="str">
        <f>LEFT(D134,8)&amp;("05o")&amp;RIGHT(L134,3)&amp;("02")</f>
        <v>RLAPA05oELC02</v>
      </c>
      <c r="I134" s="258" t="str">
        <f t="shared" ref="I134:I139" si="16">LEFT(D134,8)&amp;(B134)&amp;RIGHT(L134,3)&amp;(".BAT")</f>
        <v>RLAPAPressureSodiumELC.BAT</v>
      </c>
      <c r="J134" s="272" t="s">
        <v>239</v>
      </c>
      <c r="K134" s="274" t="s">
        <v>240</v>
      </c>
      <c r="L134" s="274" t="s">
        <v>1145</v>
      </c>
      <c r="M134" s="272" t="s">
        <v>1163</v>
      </c>
      <c r="N134" s="272">
        <f>X_RSD_HeatingDemand!$AA$14</f>
        <v>2019</v>
      </c>
      <c r="O134" s="272">
        <f>X_RSD_HeatingDemand!$AA$14</f>
        <v>2019</v>
      </c>
      <c r="P134" s="287">
        <v>3.6666666666666667E-2</v>
      </c>
      <c r="Q134" s="274">
        <f>VLOOKUP(B134,KEY_RSD_AF!$C$5:$D$52,2,FALSE)</f>
        <v>1</v>
      </c>
      <c r="R134" s="272"/>
      <c r="S134" s="272"/>
      <c r="T134" s="272"/>
      <c r="U134" s="314">
        <f>14.7/70/1000</f>
        <v>2.0999999999999998E-4</v>
      </c>
      <c r="V134" s="272">
        <v>25</v>
      </c>
      <c r="W134" s="272">
        <f>RSD_Otherdemands_HS_AP!$W$5</f>
        <v>31.536000000000001</v>
      </c>
      <c r="X134" s="258"/>
    </row>
    <row r="135" spans="2:24" x14ac:dyDescent="0.3">
      <c r="B135" s="271" t="s">
        <v>360</v>
      </c>
      <c r="C135" s="271"/>
      <c r="D135" s="272" t="s">
        <v>1163</v>
      </c>
      <c r="E135" s="271" t="s">
        <v>99</v>
      </c>
      <c r="F135" s="271" t="s">
        <v>1164</v>
      </c>
      <c r="H135" s="273" t="str">
        <f>LEFT(D135,8)&amp;("06o")&amp;RIGHT(L135,3)&amp;("02")</f>
        <v>RLAPA06oELC02</v>
      </c>
      <c r="I135" s="273" t="str">
        <f t="shared" si="16"/>
        <v>RLAPAMetalHalideELC.BAT</v>
      </c>
      <c r="J135" s="272" t="s">
        <v>239</v>
      </c>
      <c r="K135" s="274" t="s">
        <v>240</v>
      </c>
      <c r="L135" s="274" t="s">
        <v>1145</v>
      </c>
      <c r="M135" s="272" t="s">
        <v>1163</v>
      </c>
      <c r="N135" s="272">
        <f>X_RSD_HeatingDemand!$AA$14</f>
        <v>2019</v>
      </c>
      <c r="O135" s="272">
        <f>X_RSD_HeatingDemand!$AA$14</f>
        <v>2019</v>
      </c>
      <c r="P135" s="287">
        <v>3.6666666666666667E-2</v>
      </c>
      <c r="Q135" s="274">
        <f>VLOOKUP(B135,KEY_RSD_AF!$C$5:$D$52,2,FALSE)</f>
        <v>1</v>
      </c>
      <c r="R135" s="272"/>
      <c r="S135" s="272"/>
      <c r="T135" s="272"/>
      <c r="U135" s="314">
        <f>70.9/70/1000</f>
        <v>1.0128571428571428E-3</v>
      </c>
      <c r="V135" s="272">
        <v>5.7</v>
      </c>
      <c r="W135" s="272">
        <f>RSD_Otherdemands_HS_AP!$W$5</f>
        <v>31.536000000000001</v>
      </c>
      <c r="X135" s="258"/>
    </row>
    <row r="136" spans="2:24" x14ac:dyDescent="0.3">
      <c r="B136" s="277" t="s">
        <v>348</v>
      </c>
      <c r="C136" s="277"/>
      <c r="D136" s="272" t="s">
        <v>1165</v>
      </c>
      <c r="E136" s="277" t="s">
        <v>99</v>
      </c>
      <c r="F136" s="277" t="s">
        <v>1164</v>
      </c>
      <c r="H136" s="273" t="str">
        <f>LEFT(D136,8)&amp;("04o")&amp;RIGHT(L136,3)&amp;("02")</f>
        <v>RLAPB04oELC02</v>
      </c>
      <c r="I136" s="273" t="str">
        <f t="shared" si="16"/>
        <v>RLAPBFluorescentTubesELC.BAT</v>
      </c>
      <c r="J136" s="278" t="s">
        <v>239</v>
      </c>
      <c r="K136" s="279" t="s">
        <v>240</v>
      </c>
      <c r="L136" s="279" t="s">
        <v>1145</v>
      </c>
      <c r="M136" s="272" t="s">
        <v>1165</v>
      </c>
      <c r="N136" s="272">
        <f>X_RSD_HeatingDemand!$AA$14</f>
        <v>2019</v>
      </c>
      <c r="O136" s="272">
        <f>X_RSD_HeatingDemand!$AA$14</f>
        <v>2019</v>
      </c>
      <c r="P136" s="288">
        <v>0.12637166666666663</v>
      </c>
      <c r="Q136" s="274">
        <f>VLOOKUP(B136,KEY_RSD_AF!$C$5:$D$52,2,FALSE)</f>
        <v>1</v>
      </c>
      <c r="R136" s="278"/>
      <c r="S136" s="278"/>
      <c r="T136" s="278"/>
      <c r="U136" s="315">
        <f>5.5/35/1000</f>
        <v>1.5714285714285713E-4</v>
      </c>
      <c r="V136" s="278">
        <v>21</v>
      </c>
      <c r="W136" s="278">
        <f>RSD_Otherdemands_HS_AP!$W$5</f>
        <v>31.536000000000001</v>
      </c>
      <c r="X136" s="260"/>
    </row>
    <row r="137" spans="2:24" x14ac:dyDescent="0.3">
      <c r="B137" s="277" t="s">
        <v>350</v>
      </c>
      <c r="C137" s="277"/>
      <c r="D137" s="272" t="s">
        <v>1165</v>
      </c>
      <c r="E137" s="277" t="s">
        <v>99</v>
      </c>
      <c r="F137" s="277" t="s">
        <v>1164</v>
      </c>
      <c r="H137" s="258" t="str">
        <f>LEFT(D137,8)&amp;("03o")&amp;RIGHT(L137,3)&amp;("02")</f>
        <v>RLAPB03oELC02</v>
      </c>
      <c r="I137" s="258" t="str">
        <f t="shared" si="16"/>
        <v>RLAPBLEDELC.BAT</v>
      </c>
      <c r="J137" s="278" t="s">
        <v>239</v>
      </c>
      <c r="K137" s="279" t="s">
        <v>240</v>
      </c>
      <c r="L137" s="279" t="s">
        <v>1145</v>
      </c>
      <c r="M137" s="272" t="s">
        <v>1165</v>
      </c>
      <c r="N137" s="272">
        <f>X_RSD_HeatingDemand!$AA$14</f>
        <v>2019</v>
      </c>
      <c r="O137" s="272">
        <f>X_RSD_HeatingDemand!$AA$14</f>
        <v>2019</v>
      </c>
      <c r="P137" s="288">
        <v>0.11183333333333333</v>
      </c>
      <c r="Q137" s="274">
        <f>VLOOKUP(B137,KEY_RSD_AF!$C$5:$D$52,2,FALSE)</f>
        <v>1</v>
      </c>
      <c r="R137" s="278"/>
      <c r="S137" s="278"/>
      <c r="T137" s="278"/>
      <c r="U137" s="315">
        <v>5.2500000000000002E-5</v>
      </c>
      <c r="V137" s="278">
        <v>27</v>
      </c>
      <c r="W137" s="278">
        <f>RSD_Otherdemands_HS_AP!$W$5</f>
        <v>31.536000000000001</v>
      </c>
      <c r="X137" s="258"/>
    </row>
    <row r="138" spans="2:24" x14ac:dyDescent="0.3">
      <c r="B138" s="277" t="s">
        <v>352</v>
      </c>
      <c r="C138" s="277"/>
      <c r="D138" s="272" t="s">
        <v>1165</v>
      </c>
      <c r="E138" s="277" t="s">
        <v>99</v>
      </c>
      <c r="F138" s="277" t="s">
        <v>1164</v>
      </c>
      <c r="H138" s="273" t="str">
        <f>LEFT(D138,8)&amp;("02o")&amp;RIGHT(L138,3)&amp;("02")</f>
        <v>RLAPB02oELC02</v>
      </c>
      <c r="I138" s="273" t="str">
        <f t="shared" si="16"/>
        <v>RLAPBHalogenELC.BAT</v>
      </c>
      <c r="J138" s="278" t="s">
        <v>239</v>
      </c>
      <c r="K138" s="279" t="s">
        <v>240</v>
      </c>
      <c r="L138" s="279" t="s">
        <v>1145</v>
      </c>
      <c r="M138" s="272" t="s">
        <v>1165</v>
      </c>
      <c r="N138" s="272">
        <f>X_RSD_HeatingDemand!$AA$14</f>
        <v>2019</v>
      </c>
      <c r="O138" s="272">
        <f>X_RSD_HeatingDemand!$AA$14</f>
        <v>2019</v>
      </c>
      <c r="P138" s="288">
        <v>3.6666666666666667E-2</v>
      </c>
      <c r="Q138" s="274">
        <f>VLOOKUP(B138,KEY_RSD_AF!$C$5:$D$52,2,FALSE)</f>
        <v>1</v>
      </c>
      <c r="R138" s="278"/>
      <c r="S138" s="278"/>
      <c r="T138" s="278"/>
      <c r="U138" s="315">
        <f>5.12/1000/45</f>
        <v>1.1377777777777779E-4</v>
      </c>
      <c r="V138" s="278">
        <v>5</v>
      </c>
      <c r="W138" s="278">
        <f>RSD_Otherdemands_HS_AP!$W$5</f>
        <v>31.536000000000001</v>
      </c>
      <c r="X138" s="258"/>
    </row>
    <row r="139" spans="2:24" x14ac:dyDescent="0.3">
      <c r="B139" s="277" t="s">
        <v>354</v>
      </c>
      <c r="C139" s="277"/>
      <c r="D139" s="272" t="s">
        <v>1165</v>
      </c>
      <c r="E139" s="277" t="s">
        <v>99</v>
      </c>
      <c r="F139" s="277" t="s">
        <v>1164</v>
      </c>
      <c r="H139" s="258" t="str">
        <f>LEFT(D139,8)&amp;("o")&amp;RIGHT(L139,3)&amp;("02")</f>
        <v>RLAPBoELC02</v>
      </c>
      <c r="I139" s="258" t="str">
        <f t="shared" si="16"/>
        <v>RLAPBIncandescentImprovedELC.BAT</v>
      </c>
      <c r="J139" s="278" t="s">
        <v>239</v>
      </c>
      <c r="K139" s="279" t="s">
        <v>240</v>
      </c>
      <c r="L139" s="279" t="s">
        <v>1145</v>
      </c>
      <c r="M139" s="272" t="s">
        <v>1165</v>
      </c>
      <c r="N139" s="272">
        <f>X_RSD_HeatingDemand!$AA$14</f>
        <v>2019</v>
      </c>
      <c r="O139" s="272">
        <f>X_RSD_HeatingDemand!$AA$14</f>
        <v>2019</v>
      </c>
      <c r="P139" s="288">
        <v>2.1999999999999999E-2</v>
      </c>
      <c r="Q139" s="274">
        <f>VLOOKUP(B139,KEY_RSD_AF!$C$5:$D$52,2,FALSE)</f>
        <v>1</v>
      </c>
      <c r="R139" s="278"/>
      <c r="S139" s="278"/>
      <c r="T139" s="278"/>
      <c r="U139" s="315">
        <f>1.66/1000/60*1.05</f>
        <v>2.9050000000000001E-5</v>
      </c>
      <c r="V139" s="278">
        <v>1</v>
      </c>
      <c r="W139" s="278">
        <f>RSD_Otherdemands_HS_AP!$W$5</f>
        <v>31.536000000000001</v>
      </c>
    </row>
    <row r="140" spans="2:24" x14ac:dyDescent="0.3">
      <c r="B140" s="277" t="s">
        <v>356</v>
      </c>
      <c r="C140" s="277"/>
      <c r="D140" s="272" t="s">
        <v>1165</v>
      </c>
      <c r="E140" s="277" t="s">
        <v>99</v>
      </c>
      <c r="F140" s="277" t="s">
        <v>1164</v>
      </c>
      <c r="H140" s="273" t="str">
        <f>LEFT(D140,8)&amp;("o")&amp;RIGHT(L140,3)&amp;("01")</f>
        <v>RLAPBoELC01</v>
      </c>
      <c r="I140" s="273" t="str">
        <f>LEFT(D140,8)&amp;(B140)&amp;RIGHT(L140,3)&amp;(".BAU")</f>
        <v>RLAPBIncandescentELC.BAU</v>
      </c>
      <c r="J140" s="278" t="s">
        <v>239</v>
      </c>
      <c r="K140" s="279" t="s">
        <v>240</v>
      </c>
      <c r="L140" s="279" t="s">
        <v>1145</v>
      </c>
      <c r="M140" s="272" t="s">
        <v>1165</v>
      </c>
      <c r="N140" s="272">
        <f>X_RSD_HeatingDemand!$AA$14</f>
        <v>2019</v>
      </c>
      <c r="O140" s="272">
        <f>X_RSD_HeatingDemand!$AA$14</f>
        <v>2019</v>
      </c>
      <c r="P140" s="288">
        <v>1.8333333333333333E-2</v>
      </c>
      <c r="Q140" s="274">
        <f>VLOOKUP(B140,KEY_RSD_AF!$C$5:$D$52,2,FALSE)</f>
        <v>1</v>
      </c>
      <c r="R140" s="278"/>
      <c r="S140" s="278"/>
      <c r="T140" s="278"/>
      <c r="U140" s="315">
        <f>1.66/1000/60</f>
        <v>2.7666666666666667E-5</v>
      </c>
      <c r="V140" s="278">
        <v>1</v>
      </c>
      <c r="W140" s="278">
        <f>RSD_Otherdemands_HS_AP!$W$5</f>
        <v>31.536000000000001</v>
      </c>
    </row>
    <row r="141" spans="2:24" x14ac:dyDescent="0.3">
      <c r="B141" s="277" t="s">
        <v>358</v>
      </c>
      <c r="C141" s="277"/>
      <c r="D141" s="272" t="s">
        <v>1165</v>
      </c>
      <c r="E141" s="277" t="s">
        <v>99</v>
      </c>
      <c r="F141" s="277" t="s">
        <v>1164</v>
      </c>
      <c r="H141" s="258" t="str">
        <f>LEFT(D141,8)&amp;("05o")&amp;RIGHT(L141,3)&amp;("02")</f>
        <v>RLAPB05oELC02</v>
      </c>
      <c r="I141" s="258" t="str">
        <f t="shared" ref="I141:I146" si="17">LEFT(D141,8)&amp;(B141)&amp;RIGHT(L141,3)&amp;(".BAT")</f>
        <v>RLAPBPressureSodiumELC.BAT</v>
      </c>
      <c r="J141" s="278" t="s">
        <v>239</v>
      </c>
      <c r="K141" s="279" t="s">
        <v>240</v>
      </c>
      <c r="L141" s="279" t="s">
        <v>1145</v>
      </c>
      <c r="M141" s="272" t="s">
        <v>1165</v>
      </c>
      <c r="N141" s="272">
        <f>X_RSD_HeatingDemand!$AA$14</f>
        <v>2019</v>
      </c>
      <c r="O141" s="272">
        <f>X_RSD_HeatingDemand!$AA$14</f>
        <v>2019</v>
      </c>
      <c r="P141" s="288">
        <v>3.6666666666666667E-2</v>
      </c>
      <c r="Q141" s="274">
        <f>VLOOKUP(B141,KEY_RSD_AF!$C$5:$D$52,2,FALSE)</f>
        <v>1</v>
      </c>
      <c r="R141" s="278"/>
      <c r="S141" s="278"/>
      <c r="T141" s="278"/>
      <c r="U141" s="315">
        <f>14.7/70/1000</f>
        <v>2.0999999999999998E-4</v>
      </c>
      <c r="V141" s="278">
        <v>25</v>
      </c>
      <c r="W141" s="278">
        <f>RSD_Otherdemands_HS_AP!$W$5</f>
        <v>31.536000000000001</v>
      </c>
    </row>
    <row r="142" spans="2:24" x14ac:dyDescent="0.3">
      <c r="B142" s="277" t="s">
        <v>360</v>
      </c>
      <c r="C142" s="277"/>
      <c r="D142" s="272" t="s">
        <v>1165</v>
      </c>
      <c r="E142" s="277" t="s">
        <v>99</v>
      </c>
      <c r="F142" s="277" t="s">
        <v>1164</v>
      </c>
      <c r="H142" s="273" t="str">
        <f>LEFT(D142,8)&amp;("06o")&amp;RIGHT(L142,3)&amp;("02")</f>
        <v>RLAPB06oELC02</v>
      </c>
      <c r="I142" s="273" t="str">
        <f t="shared" si="17"/>
        <v>RLAPBMetalHalideELC.BAT</v>
      </c>
      <c r="J142" s="278" t="s">
        <v>239</v>
      </c>
      <c r="K142" s="279" t="s">
        <v>240</v>
      </c>
      <c r="L142" s="279" t="s">
        <v>1145</v>
      </c>
      <c r="M142" s="272" t="s">
        <v>1165</v>
      </c>
      <c r="N142" s="272">
        <f>X_RSD_HeatingDemand!$AA$14</f>
        <v>2019</v>
      </c>
      <c r="O142" s="272">
        <f>X_RSD_HeatingDemand!$AA$14</f>
        <v>2019</v>
      </c>
      <c r="P142" s="288">
        <v>3.6666666666666667E-2</v>
      </c>
      <c r="Q142" s="274">
        <f>VLOOKUP(B142,KEY_RSD_AF!$C$5:$D$52,2,FALSE)</f>
        <v>1</v>
      </c>
      <c r="R142" s="278"/>
      <c r="S142" s="278"/>
      <c r="T142" s="278"/>
      <c r="U142" s="315">
        <f>70.9/70/1000</f>
        <v>1.0128571428571428E-3</v>
      </c>
      <c r="V142" s="278">
        <v>5.7</v>
      </c>
      <c r="W142" s="278">
        <f>RSD_Otherdemands_HS_AP!$W$5</f>
        <v>31.536000000000001</v>
      </c>
    </row>
    <row r="143" spans="2:24" x14ac:dyDescent="0.3">
      <c r="B143" s="271" t="s">
        <v>348</v>
      </c>
      <c r="C143" s="271"/>
      <c r="D143" s="272" t="s">
        <v>1166</v>
      </c>
      <c r="E143" s="271" t="s">
        <v>99</v>
      </c>
      <c r="F143" s="271" t="s">
        <v>1164</v>
      </c>
      <c r="H143" s="273" t="str">
        <f>LEFT(D143,8)&amp;("04o")&amp;RIGHT(L143,3)&amp;("02")</f>
        <v>RLAPC04oELC02</v>
      </c>
      <c r="I143" s="273" t="str">
        <f t="shared" si="17"/>
        <v>RLAPCFluorescentTubesELC.BAT</v>
      </c>
      <c r="J143" s="272" t="s">
        <v>239</v>
      </c>
      <c r="K143" s="274" t="s">
        <v>240</v>
      </c>
      <c r="L143" s="274" t="s">
        <v>1145</v>
      </c>
      <c r="M143" s="272" t="s">
        <v>1166</v>
      </c>
      <c r="N143" s="272">
        <f>X_RSD_HeatingDemand!$AA$14</f>
        <v>2019</v>
      </c>
      <c r="O143" s="272">
        <f>X_RSD_HeatingDemand!$AA$14</f>
        <v>2019</v>
      </c>
      <c r="P143" s="287">
        <v>0.12637166666666663</v>
      </c>
      <c r="Q143" s="274">
        <f>VLOOKUP(B143,KEY_RSD_AF!$C$5:$D$52,2,FALSE)</f>
        <v>1</v>
      </c>
      <c r="R143" s="272"/>
      <c r="S143" s="272"/>
      <c r="T143" s="272"/>
      <c r="U143" s="314">
        <f>5.5/35/1000</f>
        <v>1.5714285714285713E-4</v>
      </c>
      <c r="V143" s="272">
        <v>21</v>
      </c>
      <c r="W143" s="272">
        <f>RSD_Otherdemands_HS_AP!$W$5</f>
        <v>31.536000000000001</v>
      </c>
    </row>
    <row r="144" spans="2:24" x14ac:dyDescent="0.3">
      <c r="B144" s="271" t="s">
        <v>350</v>
      </c>
      <c r="C144" s="271"/>
      <c r="D144" s="272" t="s">
        <v>1166</v>
      </c>
      <c r="E144" s="271" t="s">
        <v>99</v>
      </c>
      <c r="F144" s="271" t="s">
        <v>1164</v>
      </c>
      <c r="H144" s="258" t="str">
        <f>LEFT(D144,8)&amp;("03o")&amp;RIGHT(L144,3)&amp;("02")</f>
        <v>RLAPC03oELC02</v>
      </c>
      <c r="I144" s="258" t="str">
        <f t="shared" si="17"/>
        <v>RLAPCLEDELC.BAT</v>
      </c>
      <c r="J144" s="272" t="s">
        <v>239</v>
      </c>
      <c r="K144" s="274" t="s">
        <v>240</v>
      </c>
      <c r="L144" s="274" t="s">
        <v>1145</v>
      </c>
      <c r="M144" s="272" t="s">
        <v>1166</v>
      </c>
      <c r="N144" s="272">
        <f>X_RSD_HeatingDemand!$AA$14</f>
        <v>2019</v>
      </c>
      <c r="O144" s="272">
        <f>X_RSD_HeatingDemand!$AA$14</f>
        <v>2019</v>
      </c>
      <c r="P144" s="287">
        <v>0.11183333333333333</v>
      </c>
      <c r="Q144" s="274">
        <f>VLOOKUP(B144,KEY_RSD_AF!$C$5:$D$52,2,FALSE)</f>
        <v>1</v>
      </c>
      <c r="R144" s="272"/>
      <c r="S144" s="272"/>
      <c r="T144" s="272"/>
      <c r="U144" s="314">
        <v>5.2500000000000002E-5</v>
      </c>
      <c r="V144" s="272">
        <v>27</v>
      </c>
      <c r="W144" s="272">
        <f>RSD_Otherdemands_HS_AP!$W$5</f>
        <v>31.536000000000001</v>
      </c>
    </row>
    <row r="145" spans="2:23" x14ac:dyDescent="0.3">
      <c r="B145" s="271" t="s">
        <v>352</v>
      </c>
      <c r="C145" s="271"/>
      <c r="D145" s="272" t="s">
        <v>1166</v>
      </c>
      <c r="E145" s="271" t="s">
        <v>99</v>
      </c>
      <c r="F145" s="271" t="s">
        <v>1164</v>
      </c>
      <c r="H145" s="273" t="str">
        <f>LEFT(D145,8)&amp;("02o")&amp;RIGHT(L145,3)&amp;("02")</f>
        <v>RLAPC02oELC02</v>
      </c>
      <c r="I145" s="273" t="str">
        <f t="shared" si="17"/>
        <v>RLAPCHalogenELC.BAT</v>
      </c>
      <c r="J145" s="272" t="s">
        <v>239</v>
      </c>
      <c r="K145" s="274" t="s">
        <v>240</v>
      </c>
      <c r="L145" s="274" t="s">
        <v>1145</v>
      </c>
      <c r="M145" s="272" t="s">
        <v>1166</v>
      </c>
      <c r="N145" s="272">
        <f>X_RSD_HeatingDemand!$AA$14</f>
        <v>2019</v>
      </c>
      <c r="O145" s="272">
        <f>X_RSD_HeatingDemand!$AA$14</f>
        <v>2019</v>
      </c>
      <c r="P145" s="287">
        <v>3.6666666666666667E-2</v>
      </c>
      <c r="Q145" s="274">
        <f>VLOOKUP(B145,KEY_RSD_AF!$C$5:$D$52,2,FALSE)</f>
        <v>1</v>
      </c>
      <c r="R145" s="272"/>
      <c r="S145" s="272"/>
      <c r="T145" s="272"/>
      <c r="U145" s="314">
        <f>5.12/1000/45</f>
        <v>1.1377777777777779E-4</v>
      </c>
      <c r="V145" s="272">
        <v>5</v>
      </c>
      <c r="W145" s="272">
        <f>RSD_Otherdemands_HS_AP!$W$5</f>
        <v>31.536000000000001</v>
      </c>
    </row>
    <row r="146" spans="2:23" x14ac:dyDescent="0.3">
      <c r="B146" s="271" t="s">
        <v>354</v>
      </c>
      <c r="C146" s="271"/>
      <c r="D146" s="272" t="s">
        <v>1166</v>
      </c>
      <c r="E146" s="271" t="s">
        <v>99</v>
      </c>
      <c r="F146" s="271" t="s">
        <v>1164</v>
      </c>
      <c r="H146" s="258" t="str">
        <f>LEFT(D146,8)&amp;("o")&amp;RIGHT(L146,3)&amp;("02")</f>
        <v>RLAPCoELC02</v>
      </c>
      <c r="I146" s="258" t="str">
        <f t="shared" si="17"/>
        <v>RLAPCIncandescentImprovedELC.BAT</v>
      </c>
      <c r="J146" s="272" t="s">
        <v>239</v>
      </c>
      <c r="K146" s="274" t="s">
        <v>240</v>
      </c>
      <c r="L146" s="274" t="s">
        <v>1145</v>
      </c>
      <c r="M146" s="272" t="s">
        <v>1166</v>
      </c>
      <c r="N146" s="272">
        <f>X_RSD_HeatingDemand!$AA$14</f>
        <v>2019</v>
      </c>
      <c r="O146" s="272">
        <f>X_RSD_HeatingDemand!$AA$14</f>
        <v>2019</v>
      </c>
      <c r="P146" s="287">
        <v>2.1999999999999999E-2</v>
      </c>
      <c r="Q146" s="274">
        <f>VLOOKUP(B146,KEY_RSD_AF!$C$5:$D$52,2,FALSE)</f>
        <v>1</v>
      </c>
      <c r="R146" s="272"/>
      <c r="S146" s="272"/>
      <c r="T146" s="272"/>
      <c r="U146" s="314">
        <f>1.66/1000/60*1.05</f>
        <v>2.9050000000000001E-5</v>
      </c>
      <c r="V146" s="272">
        <v>1</v>
      </c>
      <c r="W146" s="272">
        <f>RSD_Otherdemands_HS_AP!$W$5</f>
        <v>31.536000000000001</v>
      </c>
    </row>
    <row r="147" spans="2:23" x14ac:dyDescent="0.3">
      <c r="B147" s="271" t="s">
        <v>356</v>
      </c>
      <c r="C147" s="271"/>
      <c r="D147" s="272" t="s">
        <v>1166</v>
      </c>
      <c r="E147" s="271" t="s">
        <v>99</v>
      </c>
      <c r="F147" s="271" t="s">
        <v>1164</v>
      </c>
      <c r="H147" s="273" t="str">
        <f>LEFT(D147,8)&amp;("o")&amp;RIGHT(L147,3)&amp;("01")</f>
        <v>RLAPCoELC01</v>
      </c>
      <c r="I147" s="273" t="str">
        <f>LEFT(D147,8)&amp;(B147)&amp;RIGHT(L147,3)&amp;(".BAU")</f>
        <v>RLAPCIncandescentELC.BAU</v>
      </c>
      <c r="J147" s="272" t="s">
        <v>239</v>
      </c>
      <c r="K147" s="274" t="s">
        <v>240</v>
      </c>
      <c r="L147" s="274" t="s">
        <v>1145</v>
      </c>
      <c r="M147" s="272" t="s">
        <v>1166</v>
      </c>
      <c r="N147" s="272">
        <f>X_RSD_HeatingDemand!$AA$14</f>
        <v>2019</v>
      </c>
      <c r="O147" s="272">
        <f>X_RSD_HeatingDemand!$AA$14</f>
        <v>2019</v>
      </c>
      <c r="P147" s="287">
        <v>1.8333333333333333E-2</v>
      </c>
      <c r="Q147" s="274">
        <f>VLOOKUP(B147,KEY_RSD_AF!$C$5:$D$52,2,FALSE)</f>
        <v>1</v>
      </c>
      <c r="R147" s="272"/>
      <c r="S147" s="272"/>
      <c r="T147" s="272"/>
      <c r="U147" s="314">
        <f>1.66/1000/60</f>
        <v>2.7666666666666667E-5</v>
      </c>
      <c r="V147" s="272">
        <v>1</v>
      </c>
      <c r="W147" s="272">
        <f>RSD_Otherdemands_HS_AP!$W$5</f>
        <v>31.536000000000001</v>
      </c>
    </row>
    <row r="148" spans="2:23" x14ac:dyDescent="0.3">
      <c r="B148" s="271" t="s">
        <v>358</v>
      </c>
      <c r="C148" s="271"/>
      <c r="D148" s="272" t="s">
        <v>1166</v>
      </c>
      <c r="E148" s="271" t="s">
        <v>99</v>
      </c>
      <c r="F148" s="271" t="s">
        <v>1164</v>
      </c>
      <c r="H148" s="258" t="str">
        <f>LEFT(D148,8)&amp;("05o")&amp;RIGHT(L148,3)&amp;("02")</f>
        <v>RLAPC05oELC02</v>
      </c>
      <c r="I148" s="258" t="str">
        <f t="shared" ref="I148:I153" si="18">LEFT(D148,8)&amp;(B148)&amp;RIGHT(L148,3)&amp;(".BAT")</f>
        <v>RLAPCPressureSodiumELC.BAT</v>
      </c>
      <c r="J148" s="272" t="s">
        <v>239</v>
      </c>
      <c r="K148" s="274" t="s">
        <v>240</v>
      </c>
      <c r="L148" s="274" t="s">
        <v>1145</v>
      </c>
      <c r="M148" s="272" t="s">
        <v>1166</v>
      </c>
      <c r="N148" s="272">
        <f>X_RSD_HeatingDemand!$AA$14</f>
        <v>2019</v>
      </c>
      <c r="O148" s="272">
        <f>X_RSD_HeatingDemand!$AA$14</f>
        <v>2019</v>
      </c>
      <c r="P148" s="287">
        <v>3.6666666666666667E-2</v>
      </c>
      <c r="Q148" s="274">
        <f>VLOOKUP(B148,KEY_RSD_AF!$C$5:$D$52,2,FALSE)</f>
        <v>1</v>
      </c>
      <c r="R148" s="272"/>
      <c r="S148" s="272"/>
      <c r="T148" s="272"/>
      <c r="U148" s="314">
        <f>14.7/70/1000</f>
        <v>2.0999999999999998E-4</v>
      </c>
      <c r="V148" s="272">
        <v>25</v>
      </c>
      <c r="W148" s="272">
        <f>RSD_Otherdemands_HS_AP!$W$5</f>
        <v>31.536000000000001</v>
      </c>
    </row>
    <row r="149" spans="2:23" x14ac:dyDescent="0.3">
      <c r="B149" s="271" t="s">
        <v>360</v>
      </c>
      <c r="C149" s="271"/>
      <c r="D149" s="272" t="s">
        <v>1166</v>
      </c>
      <c r="E149" s="271" t="s">
        <v>99</v>
      </c>
      <c r="F149" s="271" t="s">
        <v>1164</v>
      </c>
      <c r="H149" s="273" t="str">
        <f>LEFT(D149,8)&amp;("06o")&amp;RIGHT(L149,3)&amp;("02")</f>
        <v>RLAPC06oELC02</v>
      </c>
      <c r="I149" s="273" t="str">
        <f t="shared" si="18"/>
        <v>RLAPCMetalHalideELC.BAT</v>
      </c>
      <c r="J149" s="272" t="s">
        <v>239</v>
      </c>
      <c r="K149" s="274" t="s">
        <v>240</v>
      </c>
      <c r="L149" s="274" t="s">
        <v>1145</v>
      </c>
      <c r="M149" s="272" t="s">
        <v>1166</v>
      </c>
      <c r="N149" s="272">
        <f>X_RSD_HeatingDemand!$AA$14</f>
        <v>2019</v>
      </c>
      <c r="O149" s="272">
        <f>X_RSD_HeatingDemand!$AA$14</f>
        <v>2019</v>
      </c>
      <c r="P149" s="287">
        <v>3.6666666666666667E-2</v>
      </c>
      <c r="Q149" s="274">
        <f>VLOOKUP(B149,KEY_RSD_AF!$C$5:$D$52,2,FALSE)</f>
        <v>1</v>
      </c>
      <c r="R149" s="272"/>
      <c r="S149" s="272"/>
      <c r="T149" s="272"/>
      <c r="U149" s="314">
        <f>70.9/70/1000</f>
        <v>1.0128571428571428E-3</v>
      </c>
      <c r="V149" s="272">
        <v>5.7</v>
      </c>
      <c r="W149" s="272">
        <f>RSD_Otherdemands_HS_AP!$W$5</f>
        <v>31.536000000000001</v>
      </c>
    </row>
    <row r="150" spans="2:23" x14ac:dyDescent="0.3">
      <c r="B150" s="277" t="s">
        <v>348</v>
      </c>
      <c r="C150" s="277"/>
      <c r="D150" s="272" t="s">
        <v>1167</v>
      </c>
      <c r="E150" s="277" t="s">
        <v>99</v>
      </c>
      <c r="F150" s="277" t="s">
        <v>1164</v>
      </c>
      <c r="H150" s="273" t="str">
        <f>LEFT(D150,8)&amp;("04o")&amp;RIGHT(L150,3)&amp;("02")</f>
        <v>RLAPE04oELC02</v>
      </c>
      <c r="I150" s="273" t="str">
        <f t="shared" si="18"/>
        <v>RLAPEFluorescentTubesELC.BAT</v>
      </c>
      <c r="J150" s="278" t="s">
        <v>239</v>
      </c>
      <c r="K150" s="279" t="s">
        <v>240</v>
      </c>
      <c r="L150" s="279" t="s">
        <v>1145</v>
      </c>
      <c r="M150" s="272" t="s">
        <v>1167</v>
      </c>
      <c r="N150" s="272">
        <f>X_RSD_HeatingDemand!$AA$14</f>
        <v>2019</v>
      </c>
      <c r="O150" s="272">
        <f>X_RSD_HeatingDemand!$AA$14</f>
        <v>2019</v>
      </c>
      <c r="P150" s="288">
        <v>0.12637166666666663</v>
      </c>
      <c r="Q150" s="274">
        <f>VLOOKUP(B150,KEY_RSD_AF!$C$5:$D$52,2,FALSE)</f>
        <v>1</v>
      </c>
      <c r="R150" s="278"/>
      <c r="S150" s="278"/>
      <c r="T150" s="278"/>
      <c r="U150" s="315">
        <f>5.5/35/1000</f>
        <v>1.5714285714285713E-4</v>
      </c>
      <c r="V150" s="278">
        <v>21</v>
      </c>
      <c r="W150" s="278">
        <f>RSD_Otherdemands_HS_AP!$W$5</f>
        <v>31.536000000000001</v>
      </c>
    </row>
    <row r="151" spans="2:23" x14ac:dyDescent="0.3">
      <c r="B151" s="277" t="s">
        <v>350</v>
      </c>
      <c r="C151" s="277"/>
      <c r="D151" s="272" t="s">
        <v>1167</v>
      </c>
      <c r="E151" s="277" t="s">
        <v>99</v>
      </c>
      <c r="F151" s="277" t="s">
        <v>1164</v>
      </c>
      <c r="H151" s="258" t="str">
        <f>LEFT(D151,8)&amp;("03o")&amp;RIGHT(L151,3)&amp;("02")</f>
        <v>RLAPE03oELC02</v>
      </c>
      <c r="I151" s="258" t="str">
        <f t="shared" si="18"/>
        <v>RLAPELEDELC.BAT</v>
      </c>
      <c r="J151" s="278" t="s">
        <v>239</v>
      </c>
      <c r="K151" s="279" t="s">
        <v>240</v>
      </c>
      <c r="L151" s="279" t="s">
        <v>1145</v>
      </c>
      <c r="M151" s="272" t="s">
        <v>1167</v>
      </c>
      <c r="N151" s="272">
        <f>X_RSD_HeatingDemand!$AA$14</f>
        <v>2019</v>
      </c>
      <c r="O151" s="272">
        <f>X_RSD_HeatingDemand!$AA$14</f>
        <v>2019</v>
      </c>
      <c r="P151" s="288">
        <v>0.11183333333333333</v>
      </c>
      <c r="Q151" s="274">
        <f>VLOOKUP(B151,KEY_RSD_AF!$C$5:$D$52,2,FALSE)</f>
        <v>1</v>
      </c>
      <c r="R151" s="278"/>
      <c r="S151" s="278"/>
      <c r="T151" s="278"/>
      <c r="U151" s="315">
        <v>5.2500000000000002E-5</v>
      </c>
      <c r="V151" s="278">
        <v>27</v>
      </c>
      <c r="W151" s="278">
        <f>RSD_Otherdemands_HS_AP!$W$5</f>
        <v>31.536000000000001</v>
      </c>
    </row>
    <row r="152" spans="2:23" x14ac:dyDescent="0.3">
      <c r="B152" s="277" t="s">
        <v>352</v>
      </c>
      <c r="C152" s="277"/>
      <c r="D152" s="272" t="s">
        <v>1167</v>
      </c>
      <c r="E152" s="277" t="s">
        <v>99</v>
      </c>
      <c r="F152" s="277" t="s">
        <v>1164</v>
      </c>
      <c r="H152" s="273" t="str">
        <f>LEFT(D152,8)&amp;("02o")&amp;RIGHT(L152,3)&amp;("02")</f>
        <v>RLAPE02oELC02</v>
      </c>
      <c r="I152" s="273" t="str">
        <f t="shared" si="18"/>
        <v>RLAPEHalogenELC.BAT</v>
      </c>
      <c r="J152" s="278" t="s">
        <v>239</v>
      </c>
      <c r="K152" s="279" t="s">
        <v>240</v>
      </c>
      <c r="L152" s="279" t="s">
        <v>1145</v>
      </c>
      <c r="M152" s="272" t="s">
        <v>1167</v>
      </c>
      <c r="N152" s="272">
        <f>X_RSD_HeatingDemand!$AA$14</f>
        <v>2019</v>
      </c>
      <c r="O152" s="272">
        <f>X_RSD_HeatingDemand!$AA$14</f>
        <v>2019</v>
      </c>
      <c r="P152" s="288">
        <v>3.6666666666666667E-2</v>
      </c>
      <c r="Q152" s="274">
        <f>VLOOKUP(B152,KEY_RSD_AF!$C$5:$D$52,2,FALSE)</f>
        <v>1</v>
      </c>
      <c r="R152" s="278"/>
      <c r="S152" s="278"/>
      <c r="T152" s="278"/>
      <c r="U152" s="315">
        <f>5.12/1000/45</f>
        <v>1.1377777777777779E-4</v>
      </c>
      <c r="V152" s="278">
        <v>5</v>
      </c>
      <c r="W152" s="278">
        <f>RSD_Otherdemands_HS_AP!$W$5</f>
        <v>31.536000000000001</v>
      </c>
    </row>
    <row r="153" spans="2:23" x14ac:dyDescent="0.3">
      <c r="B153" s="277" t="s">
        <v>354</v>
      </c>
      <c r="C153" s="277"/>
      <c r="D153" s="272" t="s">
        <v>1167</v>
      </c>
      <c r="E153" s="277" t="s">
        <v>99</v>
      </c>
      <c r="F153" s="277" t="s">
        <v>1164</v>
      </c>
      <c r="H153" s="258" t="str">
        <f>LEFT(D153,8)&amp;("o")&amp;RIGHT(L153,3)&amp;("02")</f>
        <v>RLAPEoELC02</v>
      </c>
      <c r="I153" s="258" t="str">
        <f t="shared" si="18"/>
        <v>RLAPEIncandescentImprovedELC.BAT</v>
      </c>
      <c r="J153" s="278" t="s">
        <v>239</v>
      </c>
      <c r="K153" s="279" t="s">
        <v>240</v>
      </c>
      <c r="L153" s="279" t="s">
        <v>1145</v>
      </c>
      <c r="M153" s="272" t="s">
        <v>1167</v>
      </c>
      <c r="N153" s="272">
        <f>X_RSD_HeatingDemand!$AA$14</f>
        <v>2019</v>
      </c>
      <c r="O153" s="272">
        <f>X_RSD_HeatingDemand!$AA$14</f>
        <v>2019</v>
      </c>
      <c r="P153" s="288">
        <v>2.1999999999999999E-2</v>
      </c>
      <c r="Q153" s="274">
        <f>VLOOKUP(B153,KEY_RSD_AF!$C$5:$D$52,2,FALSE)</f>
        <v>1</v>
      </c>
      <c r="R153" s="278"/>
      <c r="S153" s="278"/>
      <c r="T153" s="278"/>
      <c r="U153" s="315">
        <f>1.66/1000/60*1.05</f>
        <v>2.9050000000000001E-5</v>
      </c>
      <c r="V153" s="278">
        <v>1</v>
      </c>
      <c r="W153" s="278">
        <f>RSD_Otherdemands_HS_AP!$W$5</f>
        <v>31.536000000000001</v>
      </c>
    </row>
    <row r="154" spans="2:23" x14ac:dyDescent="0.3">
      <c r="B154" s="277" t="s">
        <v>356</v>
      </c>
      <c r="C154" s="277"/>
      <c r="D154" s="272" t="s">
        <v>1167</v>
      </c>
      <c r="E154" s="277" t="s">
        <v>99</v>
      </c>
      <c r="F154" s="277" t="s">
        <v>1164</v>
      </c>
      <c r="H154" s="273" t="str">
        <f>LEFT(D154,8)&amp;("o")&amp;RIGHT(L154,3)&amp;("01")</f>
        <v>RLAPEoELC01</v>
      </c>
      <c r="I154" s="273" t="str">
        <f>LEFT(D154,8)&amp;(B154)&amp;RIGHT(L154,3)&amp;(".BAU")</f>
        <v>RLAPEIncandescentELC.BAU</v>
      </c>
      <c r="J154" s="278" t="s">
        <v>239</v>
      </c>
      <c r="K154" s="279" t="s">
        <v>240</v>
      </c>
      <c r="L154" s="279" t="s">
        <v>1145</v>
      </c>
      <c r="M154" s="272" t="s">
        <v>1167</v>
      </c>
      <c r="N154" s="272">
        <f>X_RSD_HeatingDemand!$AA$14</f>
        <v>2019</v>
      </c>
      <c r="O154" s="272">
        <f>X_RSD_HeatingDemand!$AA$14</f>
        <v>2019</v>
      </c>
      <c r="P154" s="288">
        <v>1.8333333333333333E-2</v>
      </c>
      <c r="Q154" s="274">
        <f>VLOOKUP(B154,KEY_RSD_AF!$C$5:$D$52,2,FALSE)</f>
        <v>1</v>
      </c>
      <c r="R154" s="278"/>
      <c r="S154" s="278"/>
      <c r="T154" s="278"/>
      <c r="U154" s="315">
        <f>1.66/1000/60</f>
        <v>2.7666666666666667E-5</v>
      </c>
      <c r="V154" s="278">
        <v>1</v>
      </c>
      <c r="W154" s="278">
        <f>RSD_Otherdemands_HS_AP!$W$5</f>
        <v>31.536000000000001</v>
      </c>
    </row>
    <row r="155" spans="2:23" x14ac:dyDescent="0.3">
      <c r="B155" s="277" t="s">
        <v>358</v>
      </c>
      <c r="C155" s="277"/>
      <c r="D155" s="272" t="s">
        <v>1167</v>
      </c>
      <c r="E155" s="277" t="s">
        <v>99</v>
      </c>
      <c r="F155" s="277" t="s">
        <v>1164</v>
      </c>
      <c r="H155" s="258" t="str">
        <f>LEFT(D155,8)&amp;("05o")&amp;RIGHT(L155,3)&amp;("02")</f>
        <v>RLAPE05oELC02</v>
      </c>
      <c r="I155" s="258" t="str">
        <f t="shared" ref="I155:I160" si="19">LEFT(D155,8)&amp;(B155)&amp;RIGHT(L155,3)&amp;(".BAT")</f>
        <v>RLAPEPressureSodiumELC.BAT</v>
      </c>
      <c r="J155" s="278" t="s">
        <v>239</v>
      </c>
      <c r="K155" s="279" t="s">
        <v>240</v>
      </c>
      <c r="L155" s="279" t="s">
        <v>1145</v>
      </c>
      <c r="M155" s="272" t="s">
        <v>1167</v>
      </c>
      <c r="N155" s="272">
        <f>X_RSD_HeatingDemand!$AA$14</f>
        <v>2019</v>
      </c>
      <c r="O155" s="272">
        <f>X_RSD_HeatingDemand!$AA$14</f>
        <v>2019</v>
      </c>
      <c r="P155" s="288">
        <v>3.6666666666666667E-2</v>
      </c>
      <c r="Q155" s="274">
        <f>VLOOKUP(B155,KEY_RSD_AF!$C$5:$D$52,2,FALSE)</f>
        <v>1</v>
      </c>
      <c r="R155" s="278"/>
      <c r="S155" s="278"/>
      <c r="T155" s="278"/>
      <c r="U155" s="315">
        <f>14.7/70/1000</f>
        <v>2.0999999999999998E-4</v>
      </c>
      <c r="V155" s="278">
        <v>25</v>
      </c>
      <c r="W155" s="278">
        <f>RSD_Otherdemands_HS_AP!$W$5</f>
        <v>31.536000000000001</v>
      </c>
    </row>
    <row r="156" spans="2:23" x14ac:dyDescent="0.3">
      <c r="B156" s="277" t="s">
        <v>360</v>
      </c>
      <c r="C156" s="277"/>
      <c r="D156" s="272" t="s">
        <v>1167</v>
      </c>
      <c r="E156" s="277" t="s">
        <v>99</v>
      </c>
      <c r="F156" s="277" t="s">
        <v>1164</v>
      </c>
      <c r="H156" s="273" t="str">
        <f>LEFT(D156,8)&amp;("06o")&amp;RIGHT(L156,3)&amp;("02")</f>
        <v>RLAPE06oELC02</v>
      </c>
      <c r="I156" s="273" t="str">
        <f t="shared" si="19"/>
        <v>RLAPEMetalHalideELC.BAT</v>
      </c>
      <c r="J156" s="278" t="s">
        <v>239</v>
      </c>
      <c r="K156" s="279" t="s">
        <v>240</v>
      </c>
      <c r="L156" s="279" t="s">
        <v>1145</v>
      </c>
      <c r="M156" s="272" t="s">
        <v>1167</v>
      </c>
      <c r="N156" s="272">
        <f>X_RSD_HeatingDemand!$AA$14</f>
        <v>2019</v>
      </c>
      <c r="O156" s="272">
        <f>X_RSD_HeatingDemand!$AA$14</f>
        <v>2019</v>
      </c>
      <c r="P156" s="288">
        <v>3.6666666666666667E-2</v>
      </c>
      <c r="Q156" s="274">
        <f>VLOOKUP(B156,KEY_RSD_AF!$C$5:$D$52,2,FALSE)</f>
        <v>1</v>
      </c>
      <c r="R156" s="278"/>
      <c r="S156" s="278"/>
      <c r="T156" s="278"/>
      <c r="U156" s="315">
        <f>70.9/70/1000</f>
        <v>1.0128571428571428E-3</v>
      </c>
      <c r="V156" s="278">
        <v>5.7</v>
      </c>
      <c r="W156" s="278">
        <f>RSD_Otherdemands_HS_AP!$W$5</f>
        <v>31.536000000000001</v>
      </c>
    </row>
    <row r="157" spans="2:23" x14ac:dyDescent="0.3">
      <c r="B157" s="271" t="s">
        <v>348</v>
      </c>
      <c r="C157" s="271"/>
      <c r="D157" s="272" t="s">
        <v>1168</v>
      </c>
      <c r="E157" s="271" t="s">
        <v>99</v>
      </c>
      <c r="F157" s="271" t="s">
        <v>1164</v>
      </c>
      <c r="H157" s="273" t="str">
        <f>LEFT(D157,8)&amp;("04o")&amp;RIGHT(L157,3)&amp;("02")</f>
        <v>RLHSA04oELC02</v>
      </c>
      <c r="I157" s="273" t="str">
        <f t="shared" si="19"/>
        <v>RLHSAFluorescentTubesELC.BAT</v>
      </c>
      <c r="J157" s="272" t="s">
        <v>239</v>
      </c>
      <c r="K157" s="274" t="s">
        <v>240</v>
      </c>
      <c r="L157" s="274" t="s">
        <v>1145</v>
      </c>
      <c r="M157" s="272" t="s">
        <v>1168</v>
      </c>
      <c r="N157" s="272">
        <f>X_RSD_HeatingDemand!$AA$14</f>
        <v>2019</v>
      </c>
      <c r="O157" s="272">
        <f>X_RSD_HeatingDemand!$AA$14</f>
        <v>2019</v>
      </c>
      <c r="P157" s="287">
        <v>0.12637166666666663</v>
      </c>
      <c r="Q157" s="274">
        <f>VLOOKUP(B157,KEY_RSD_AF!$C$5:$D$52,2,FALSE)</f>
        <v>1</v>
      </c>
      <c r="R157" s="272"/>
      <c r="S157" s="272"/>
      <c r="T157" s="272"/>
      <c r="U157" s="314">
        <f>5.5/35/1000</f>
        <v>1.5714285714285713E-4</v>
      </c>
      <c r="V157" s="272">
        <v>21</v>
      </c>
      <c r="W157" s="272">
        <f>RSD_Otherdemands_HS_AP!$W$5</f>
        <v>31.536000000000001</v>
      </c>
    </row>
    <row r="158" spans="2:23" x14ac:dyDescent="0.3">
      <c r="B158" s="271" t="s">
        <v>350</v>
      </c>
      <c r="C158" s="271"/>
      <c r="D158" s="272" t="s">
        <v>1168</v>
      </c>
      <c r="E158" s="271" t="s">
        <v>99</v>
      </c>
      <c r="F158" s="271" t="s">
        <v>1164</v>
      </c>
      <c r="H158" s="258" t="str">
        <f>LEFT(D158,8)&amp;("03o")&amp;RIGHT(L158,3)&amp;("02")</f>
        <v>RLHSA03oELC02</v>
      </c>
      <c r="I158" s="258" t="str">
        <f t="shared" si="19"/>
        <v>RLHSALEDELC.BAT</v>
      </c>
      <c r="J158" s="272" t="s">
        <v>239</v>
      </c>
      <c r="K158" s="274" t="s">
        <v>240</v>
      </c>
      <c r="L158" s="274" t="s">
        <v>1145</v>
      </c>
      <c r="M158" s="272" t="s">
        <v>1168</v>
      </c>
      <c r="N158" s="272">
        <f>X_RSD_HeatingDemand!$AA$14</f>
        <v>2019</v>
      </c>
      <c r="O158" s="272">
        <f>X_RSD_HeatingDemand!$AA$14</f>
        <v>2019</v>
      </c>
      <c r="P158" s="287">
        <v>0.11183333333333333</v>
      </c>
      <c r="Q158" s="274">
        <f>VLOOKUP(B158,KEY_RSD_AF!$C$5:$D$52,2,FALSE)</f>
        <v>1</v>
      </c>
      <c r="R158" s="272"/>
      <c r="S158" s="272"/>
      <c r="T158" s="272"/>
      <c r="U158" s="314">
        <v>5.2500000000000002E-5</v>
      </c>
      <c r="V158" s="272">
        <v>27</v>
      </c>
      <c r="W158" s="272">
        <f>RSD_Otherdemands_HS_AP!$W$5</f>
        <v>31.536000000000001</v>
      </c>
    </row>
    <row r="159" spans="2:23" x14ac:dyDescent="0.3">
      <c r="B159" s="271" t="s">
        <v>352</v>
      </c>
      <c r="C159" s="271"/>
      <c r="D159" s="272" t="s">
        <v>1168</v>
      </c>
      <c r="E159" s="271" t="s">
        <v>99</v>
      </c>
      <c r="F159" s="271" t="s">
        <v>1164</v>
      </c>
      <c r="H159" s="273" t="str">
        <f>LEFT(D159,8)&amp;("02o")&amp;RIGHT(L159,3)&amp;("02")</f>
        <v>RLHSA02oELC02</v>
      </c>
      <c r="I159" s="273" t="str">
        <f t="shared" si="19"/>
        <v>RLHSAHalogenELC.BAT</v>
      </c>
      <c r="J159" s="272" t="s">
        <v>239</v>
      </c>
      <c r="K159" s="274" t="s">
        <v>240</v>
      </c>
      <c r="L159" s="274" t="s">
        <v>1145</v>
      </c>
      <c r="M159" s="272" t="s">
        <v>1168</v>
      </c>
      <c r="N159" s="272">
        <f>X_RSD_HeatingDemand!$AA$14</f>
        <v>2019</v>
      </c>
      <c r="O159" s="272">
        <f>X_RSD_HeatingDemand!$AA$14</f>
        <v>2019</v>
      </c>
      <c r="P159" s="287">
        <v>3.6666666666666667E-2</v>
      </c>
      <c r="Q159" s="274">
        <f>VLOOKUP(B159,KEY_RSD_AF!$C$5:$D$52,2,FALSE)</f>
        <v>1</v>
      </c>
      <c r="R159" s="272"/>
      <c r="S159" s="272"/>
      <c r="T159" s="272"/>
      <c r="U159" s="314">
        <f>5.12/1000/45</f>
        <v>1.1377777777777779E-4</v>
      </c>
      <c r="V159" s="272">
        <v>5</v>
      </c>
      <c r="W159" s="272">
        <f>RSD_Otherdemands_HS_AP!$W$5</f>
        <v>31.536000000000001</v>
      </c>
    </row>
    <row r="160" spans="2:23" x14ac:dyDescent="0.3">
      <c r="B160" s="271" t="s">
        <v>354</v>
      </c>
      <c r="C160" s="271"/>
      <c r="D160" s="272" t="s">
        <v>1168</v>
      </c>
      <c r="E160" s="271" t="s">
        <v>99</v>
      </c>
      <c r="F160" s="271" t="s">
        <v>1164</v>
      </c>
      <c r="H160" s="258" t="str">
        <f>LEFT(D160,8)&amp;("o")&amp;RIGHT(L160,3)&amp;("02")</f>
        <v>RLHSAoELC02</v>
      </c>
      <c r="I160" s="258" t="str">
        <f t="shared" si="19"/>
        <v>RLHSAIncandescentImprovedELC.BAT</v>
      </c>
      <c r="J160" s="272" t="s">
        <v>239</v>
      </c>
      <c r="K160" s="274" t="s">
        <v>240</v>
      </c>
      <c r="L160" s="274" t="s">
        <v>1145</v>
      </c>
      <c r="M160" s="272" t="s">
        <v>1168</v>
      </c>
      <c r="N160" s="272">
        <f>X_RSD_HeatingDemand!$AA$14</f>
        <v>2019</v>
      </c>
      <c r="O160" s="272">
        <f>X_RSD_HeatingDemand!$AA$14</f>
        <v>2019</v>
      </c>
      <c r="P160" s="287">
        <v>2.1999999999999999E-2</v>
      </c>
      <c r="Q160" s="274">
        <f>VLOOKUP(B160,KEY_RSD_AF!$C$5:$D$52,2,FALSE)</f>
        <v>1</v>
      </c>
      <c r="R160" s="272"/>
      <c r="S160" s="272"/>
      <c r="T160" s="272"/>
      <c r="U160" s="314">
        <f>1.66/1000/60*1.05</f>
        <v>2.9050000000000001E-5</v>
      </c>
      <c r="V160" s="272">
        <v>1</v>
      </c>
      <c r="W160" s="272">
        <f>RSD_Otherdemands_HS_AP!$W$5</f>
        <v>31.536000000000001</v>
      </c>
    </row>
    <row r="161" spans="2:23" x14ac:dyDescent="0.3">
      <c r="B161" s="271" t="s">
        <v>356</v>
      </c>
      <c r="C161" s="271"/>
      <c r="D161" s="272" t="s">
        <v>1168</v>
      </c>
      <c r="E161" s="271" t="s">
        <v>99</v>
      </c>
      <c r="F161" s="271" t="s">
        <v>1164</v>
      </c>
      <c r="H161" s="273" t="str">
        <f>LEFT(D161,8)&amp;("o")&amp;RIGHT(L161,3)&amp;("01")</f>
        <v>RLHSAoELC01</v>
      </c>
      <c r="I161" s="273" t="str">
        <f>LEFT(D161,8)&amp;(B161)&amp;RIGHT(L161,3)&amp;(".BAU")</f>
        <v>RLHSAIncandescentELC.BAU</v>
      </c>
      <c r="J161" s="272" t="s">
        <v>239</v>
      </c>
      <c r="K161" s="274" t="s">
        <v>240</v>
      </c>
      <c r="L161" s="274" t="s">
        <v>1145</v>
      </c>
      <c r="M161" s="272" t="s">
        <v>1168</v>
      </c>
      <c r="N161" s="272">
        <f>X_RSD_HeatingDemand!$AA$14</f>
        <v>2019</v>
      </c>
      <c r="O161" s="272">
        <f>X_RSD_HeatingDemand!$AA$14</f>
        <v>2019</v>
      </c>
      <c r="P161" s="287">
        <v>1.8333333333333333E-2</v>
      </c>
      <c r="Q161" s="274">
        <f>VLOOKUP(B161,KEY_RSD_AF!$C$5:$D$52,2,FALSE)</f>
        <v>1</v>
      </c>
      <c r="R161" s="272"/>
      <c r="S161" s="272"/>
      <c r="T161" s="272"/>
      <c r="U161" s="314">
        <f>1.66/1000/60</f>
        <v>2.7666666666666667E-5</v>
      </c>
      <c r="V161" s="272">
        <v>1</v>
      </c>
      <c r="W161" s="272">
        <f>RSD_Otherdemands_HS_AP!$W$5</f>
        <v>31.536000000000001</v>
      </c>
    </row>
    <row r="162" spans="2:23" x14ac:dyDescent="0.3">
      <c r="B162" s="271" t="s">
        <v>358</v>
      </c>
      <c r="C162" s="271"/>
      <c r="D162" s="272" t="s">
        <v>1168</v>
      </c>
      <c r="E162" s="271" t="s">
        <v>99</v>
      </c>
      <c r="F162" s="271" t="s">
        <v>1164</v>
      </c>
      <c r="H162" s="258" t="str">
        <f>LEFT(D162,8)&amp;("05o")&amp;RIGHT(L162,3)&amp;("02")</f>
        <v>RLHSA05oELC02</v>
      </c>
      <c r="I162" s="258" t="str">
        <f t="shared" ref="I162:I167" si="20">LEFT(D162,8)&amp;(B162)&amp;RIGHT(L162,3)&amp;(".BAT")</f>
        <v>RLHSAPressureSodiumELC.BAT</v>
      </c>
      <c r="J162" s="272" t="s">
        <v>239</v>
      </c>
      <c r="K162" s="274" t="s">
        <v>240</v>
      </c>
      <c r="L162" s="274" t="s">
        <v>1145</v>
      </c>
      <c r="M162" s="272" t="s">
        <v>1168</v>
      </c>
      <c r="N162" s="272">
        <f>X_RSD_HeatingDemand!$AA$14</f>
        <v>2019</v>
      </c>
      <c r="O162" s="272">
        <f>X_RSD_HeatingDemand!$AA$14</f>
        <v>2019</v>
      </c>
      <c r="P162" s="287">
        <v>3.6666666666666667E-2</v>
      </c>
      <c r="Q162" s="274">
        <f>VLOOKUP(B162,KEY_RSD_AF!$C$5:$D$52,2,FALSE)</f>
        <v>1</v>
      </c>
      <c r="R162" s="272"/>
      <c r="S162" s="272"/>
      <c r="T162" s="272"/>
      <c r="U162" s="314">
        <f>14.7/70/1000</f>
        <v>2.0999999999999998E-4</v>
      </c>
      <c r="V162" s="272">
        <v>25</v>
      </c>
      <c r="W162" s="272">
        <f>RSD_Otherdemands_HS_AP!$W$5</f>
        <v>31.536000000000001</v>
      </c>
    </row>
    <row r="163" spans="2:23" x14ac:dyDescent="0.3">
      <c r="B163" s="271" t="s">
        <v>360</v>
      </c>
      <c r="C163" s="271"/>
      <c r="D163" s="272" t="s">
        <v>1168</v>
      </c>
      <c r="E163" s="271" t="s">
        <v>99</v>
      </c>
      <c r="F163" s="271" t="s">
        <v>1164</v>
      </c>
      <c r="H163" s="273" t="str">
        <f>LEFT(D163,8)&amp;("06o")&amp;RIGHT(L163,3)&amp;("02")</f>
        <v>RLHSA06oELC02</v>
      </c>
      <c r="I163" s="273" t="str">
        <f t="shared" si="20"/>
        <v>RLHSAMetalHalideELC.BAT</v>
      </c>
      <c r="J163" s="272" t="s">
        <v>239</v>
      </c>
      <c r="K163" s="274" t="s">
        <v>240</v>
      </c>
      <c r="L163" s="274" t="s">
        <v>1145</v>
      </c>
      <c r="M163" s="272" t="s">
        <v>1168</v>
      </c>
      <c r="N163" s="272">
        <f>X_RSD_HeatingDemand!$AA$14</f>
        <v>2019</v>
      </c>
      <c r="O163" s="272">
        <f>X_RSD_HeatingDemand!$AA$14</f>
        <v>2019</v>
      </c>
      <c r="P163" s="287">
        <v>3.6666666666666667E-2</v>
      </c>
      <c r="Q163" s="274">
        <f>VLOOKUP(B163,KEY_RSD_AF!$C$5:$D$52,2,FALSE)</f>
        <v>1</v>
      </c>
      <c r="R163" s="272"/>
      <c r="S163" s="272"/>
      <c r="T163" s="272"/>
      <c r="U163" s="314">
        <f>70.9/70/1000</f>
        <v>1.0128571428571428E-3</v>
      </c>
      <c r="V163" s="272">
        <v>5.7</v>
      </c>
      <c r="W163" s="272">
        <f>RSD_Otherdemands_HS_AP!$W$5</f>
        <v>31.536000000000001</v>
      </c>
    </row>
    <row r="164" spans="2:23" x14ac:dyDescent="0.3">
      <c r="B164" s="277" t="s">
        <v>348</v>
      </c>
      <c r="C164" s="277"/>
      <c r="D164" s="272" t="s">
        <v>1169</v>
      </c>
      <c r="E164" s="277" t="s">
        <v>99</v>
      </c>
      <c r="F164" s="277" t="s">
        <v>1164</v>
      </c>
      <c r="H164" s="273" t="str">
        <f>LEFT(D164,8)&amp;("04o")&amp;RIGHT(L164,3)&amp;("02")</f>
        <v>RLHSB04oELC02</v>
      </c>
      <c r="I164" s="273" t="str">
        <f t="shared" si="20"/>
        <v>RLHSBFluorescentTubesELC.BAT</v>
      </c>
      <c r="J164" s="278" t="s">
        <v>239</v>
      </c>
      <c r="K164" s="279" t="s">
        <v>240</v>
      </c>
      <c r="L164" s="279" t="s">
        <v>1145</v>
      </c>
      <c r="M164" s="272" t="s">
        <v>1169</v>
      </c>
      <c r="N164" s="272">
        <f>X_RSD_HeatingDemand!$AA$14</f>
        <v>2019</v>
      </c>
      <c r="O164" s="272">
        <f>X_RSD_HeatingDemand!$AA$14</f>
        <v>2019</v>
      </c>
      <c r="P164" s="288">
        <v>0.12637166666666663</v>
      </c>
      <c r="Q164" s="274">
        <f>VLOOKUP(B164,KEY_RSD_AF!$C$5:$D$52,2,FALSE)</f>
        <v>1</v>
      </c>
      <c r="R164" s="278"/>
      <c r="S164" s="278"/>
      <c r="T164" s="278"/>
      <c r="U164" s="315">
        <f>5.5/35/1000</f>
        <v>1.5714285714285713E-4</v>
      </c>
      <c r="V164" s="278">
        <v>21</v>
      </c>
      <c r="W164" s="278">
        <f>RSD_Otherdemands_HS_AP!$W$5</f>
        <v>31.536000000000001</v>
      </c>
    </row>
    <row r="165" spans="2:23" x14ac:dyDescent="0.3">
      <c r="B165" s="277" t="s">
        <v>350</v>
      </c>
      <c r="C165" s="277"/>
      <c r="D165" s="272" t="s">
        <v>1169</v>
      </c>
      <c r="E165" s="277" t="s">
        <v>99</v>
      </c>
      <c r="F165" s="277" t="s">
        <v>1164</v>
      </c>
      <c r="H165" s="258" t="str">
        <f>LEFT(D165,8)&amp;("03o")&amp;RIGHT(L165,3)&amp;("02")</f>
        <v>RLHSB03oELC02</v>
      </c>
      <c r="I165" s="258" t="str">
        <f t="shared" si="20"/>
        <v>RLHSBLEDELC.BAT</v>
      </c>
      <c r="J165" s="278" t="s">
        <v>239</v>
      </c>
      <c r="K165" s="279" t="s">
        <v>240</v>
      </c>
      <c r="L165" s="279" t="s">
        <v>1145</v>
      </c>
      <c r="M165" s="272" t="s">
        <v>1169</v>
      </c>
      <c r="N165" s="272">
        <f>X_RSD_HeatingDemand!$AA$14</f>
        <v>2019</v>
      </c>
      <c r="O165" s="272">
        <f>X_RSD_HeatingDemand!$AA$14</f>
        <v>2019</v>
      </c>
      <c r="P165" s="288">
        <v>0.11183333333333333</v>
      </c>
      <c r="Q165" s="274">
        <f>VLOOKUP(B165,KEY_RSD_AF!$C$5:$D$52,2,FALSE)</f>
        <v>1</v>
      </c>
      <c r="R165" s="278"/>
      <c r="S165" s="278"/>
      <c r="T165" s="278"/>
      <c r="U165" s="315">
        <v>5.2500000000000002E-5</v>
      </c>
      <c r="V165" s="278">
        <v>27</v>
      </c>
      <c r="W165" s="278">
        <f>RSD_Otherdemands_HS_AP!$W$5</f>
        <v>31.536000000000001</v>
      </c>
    </row>
    <row r="166" spans="2:23" x14ac:dyDescent="0.3">
      <c r="B166" s="277" t="s">
        <v>352</v>
      </c>
      <c r="C166" s="277"/>
      <c r="D166" s="272" t="s">
        <v>1169</v>
      </c>
      <c r="E166" s="277" t="s">
        <v>99</v>
      </c>
      <c r="F166" s="277" t="s">
        <v>1164</v>
      </c>
      <c r="H166" s="273" t="str">
        <f>LEFT(D166,8)&amp;("02o")&amp;RIGHT(L166,3)&amp;("02")</f>
        <v>RLHSB02oELC02</v>
      </c>
      <c r="I166" s="273" t="str">
        <f t="shared" si="20"/>
        <v>RLHSBHalogenELC.BAT</v>
      </c>
      <c r="J166" s="278" t="s">
        <v>239</v>
      </c>
      <c r="K166" s="279" t="s">
        <v>240</v>
      </c>
      <c r="L166" s="279" t="s">
        <v>1145</v>
      </c>
      <c r="M166" s="272" t="s">
        <v>1169</v>
      </c>
      <c r="N166" s="272">
        <f>X_RSD_HeatingDemand!$AA$14</f>
        <v>2019</v>
      </c>
      <c r="O166" s="272">
        <f>X_RSD_HeatingDemand!$AA$14</f>
        <v>2019</v>
      </c>
      <c r="P166" s="288">
        <v>3.6666666666666667E-2</v>
      </c>
      <c r="Q166" s="274">
        <f>VLOOKUP(B166,KEY_RSD_AF!$C$5:$D$52,2,FALSE)</f>
        <v>1</v>
      </c>
      <c r="R166" s="278"/>
      <c r="S166" s="278"/>
      <c r="T166" s="278"/>
      <c r="U166" s="315">
        <f>5.12/1000/45</f>
        <v>1.1377777777777779E-4</v>
      </c>
      <c r="V166" s="278">
        <v>5</v>
      </c>
      <c r="W166" s="278">
        <f>RSD_Otherdemands_HS_AP!$W$5</f>
        <v>31.536000000000001</v>
      </c>
    </row>
    <row r="167" spans="2:23" x14ac:dyDescent="0.3">
      <c r="B167" s="277" t="s">
        <v>354</v>
      </c>
      <c r="C167" s="277"/>
      <c r="D167" s="272" t="s">
        <v>1169</v>
      </c>
      <c r="E167" s="277" t="s">
        <v>99</v>
      </c>
      <c r="F167" s="277" t="s">
        <v>1164</v>
      </c>
      <c r="H167" s="258" t="str">
        <f>LEFT(D167,8)&amp;("o")&amp;RIGHT(L167,3)&amp;("02")</f>
        <v>RLHSBoELC02</v>
      </c>
      <c r="I167" s="258" t="str">
        <f t="shared" si="20"/>
        <v>RLHSBIncandescentImprovedELC.BAT</v>
      </c>
      <c r="J167" s="278" t="s">
        <v>239</v>
      </c>
      <c r="K167" s="279" t="s">
        <v>240</v>
      </c>
      <c r="L167" s="279" t="s">
        <v>1145</v>
      </c>
      <c r="M167" s="272" t="s">
        <v>1169</v>
      </c>
      <c r="N167" s="272">
        <f>X_RSD_HeatingDemand!$AA$14</f>
        <v>2019</v>
      </c>
      <c r="O167" s="272">
        <f>X_RSD_HeatingDemand!$AA$14</f>
        <v>2019</v>
      </c>
      <c r="P167" s="288">
        <v>2.1999999999999999E-2</v>
      </c>
      <c r="Q167" s="274">
        <f>VLOOKUP(B167,KEY_RSD_AF!$C$5:$D$52,2,FALSE)</f>
        <v>1</v>
      </c>
      <c r="R167" s="278"/>
      <c r="S167" s="278"/>
      <c r="T167" s="278"/>
      <c r="U167" s="315">
        <f>1.66/1000/60*1.05</f>
        <v>2.9050000000000001E-5</v>
      </c>
      <c r="V167" s="278">
        <v>1</v>
      </c>
      <c r="W167" s="278">
        <f>RSD_Otherdemands_HS_AP!$W$5</f>
        <v>31.536000000000001</v>
      </c>
    </row>
    <row r="168" spans="2:23" x14ac:dyDescent="0.3">
      <c r="B168" s="277" t="s">
        <v>356</v>
      </c>
      <c r="C168" s="277"/>
      <c r="D168" s="272" t="s">
        <v>1169</v>
      </c>
      <c r="E168" s="277" t="s">
        <v>99</v>
      </c>
      <c r="F168" s="277" t="s">
        <v>1164</v>
      </c>
      <c r="H168" s="273" t="str">
        <f>LEFT(D168,8)&amp;("o")&amp;RIGHT(L168,3)&amp;("01")</f>
        <v>RLHSBoELC01</v>
      </c>
      <c r="I168" s="273" t="str">
        <f>LEFT(D168,8)&amp;(B168)&amp;RIGHT(L168,3)&amp;(".BAU")</f>
        <v>RLHSBIncandescentELC.BAU</v>
      </c>
      <c r="J168" s="278" t="s">
        <v>239</v>
      </c>
      <c r="K168" s="279" t="s">
        <v>240</v>
      </c>
      <c r="L168" s="279" t="s">
        <v>1145</v>
      </c>
      <c r="M168" s="272" t="s">
        <v>1169</v>
      </c>
      <c r="N168" s="272">
        <f>X_RSD_HeatingDemand!$AA$14</f>
        <v>2019</v>
      </c>
      <c r="O168" s="272">
        <f>X_RSD_HeatingDemand!$AA$14</f>
        <v>2019</v>
      </c>
      <c r="P168" s="288">
        <v>1.8333333333333333E-2</v>
      </c>
      <c r="Q168" s="274">
        <f>VLOOKUP(B168,KEY_RSD_AF!$C$5:$D$52,2,FALSE)</f>
        <v>1</v>
      </c>
      <c r="R168" s="278"/>
      <c r="S168" s="278"/>
      <c r="T168" s="278"/>
      <c r="U168" s="315">
        <f>1.66/1000/60</f>
        <v>2.7666666666666667E-5</v>
      </c>
      <c r="V168" s="278">
        <v>1</v>
      </c>
      <c r="W168" s="278">
        <f>RSD_Otherdemands_HS_AP!$W$5</f>
        <v>31.536000000000001</v>
      </c>
    </row>
    <row r="169" spans="2:23" x14ac:dyDescent="0.3">
      <c r="B169" s="277" t="s">
        <v>358</v>
      </c>
      <c r="C169" s="277"/>
      <c r="D169" s="272" t="s">
        <v>1169</v>
      </c>
      <c r="E169" s="277" t="s">
        <v>99</v>
      </c>
      <c r="F169" s="277" t="s">
        <v>1164</v>
      </c>
      <c r="H169" s="258" t="str">
        <f>LEFT(D169,8)&amp;("05o")&amp;RIGHT(L169,3)&amp;("02")</f>
        <v>RLHSB05oELC02</v>
      </c>
      <c r="I169" s="258" t="str">
        <f t="shared" ref="I169:I174" si="21">LEFT(D169,8)&amp;(B169)&amp;RIGHT(L169,3)&amp;(".BAT")</f>
        <v>RLHSBPressureSodiumELC.BAT</v>
      </c>
      <c r="J169" s="278" t="s">
        <v>239</v>
      </c>
      <c r="K169" s="279" t="s">
        <v>240</v>
      </c>
      <c r="L169" s="279" t="s">
        <v>1145</v>
      </c>
      <c r="M169" s="272" t="s">
        <v>1169</v>
      </c>
      <c r="N169" s="272">
        <f>X_RSD_HeatingDemand!$AA$14</f>
        <v>2019</v>
      </c>
      <c r="O169" s="272">
        <f>X_RSD_HeatingDemand!$AA$14</f>
        <v>2019</v>
      </c>
      <c r="P169" s="288">
        <v>3.6666666666666667E-2</v>
      </c>
      <c r="Q169" s="274">
        <f>VLOOKUP(B169,KEY_RSD_AF!$C$5:$D$52,2,FALSE)</f>
        <v>1</v>
      </c>
      <c r="R169" s="278"/>
      <c r="S169" s="278"/>
      <c r="T169" s="278"/>
      <c r="U169" s="315">
        <f>14.7/70/1000</f>
        <v>2.0999999999999998E-4</v>
      </c>
      <c r="V169" s="278">
        <v>25</v>
      </c>
      <c r="W169" s="278">
        <f>RSD_Otherdemands_HS_AP!$W$5</f>
        <v>31.536000000000001</v>
      </c>
    </row>
    <row r="170" spans="2:23" x14ac:dyDescent="0.3">
      <c r="B170" s="277" t="s">
        <v>360</v>
      </c>
      <c r="C170" s="277"/>
      <c r="D170" s="272" t="s">
        <v>1169</v>
      </c>
      <c r="E170" s="277" t="s">
        <v>99</v>
      </c>
      <c r="F170" s="277" t="s">
        <v>1164</v>
      </c>
      <c r="H170" s="273" t="str">
        <f>LEFT(D170,8)&amp;("06o")&amp;RIGHT(L170,3)&amp;("02")</f>
        <v>RLHSB06oELC02</v>
      </c>
      <c r="I170" s="273" t="str">
        <f t="shared" si="21"/>
        <v>RLHSBMetalHalideELC.BAT</v>
      </c>
      <c r="J170" s="278" t="s">
        <v>239</v>
      </c>
      <c r="K170" s="279" t="s">
        <v>240</v>
      </c>
      <c r="L170" s="279" t="s">
        <v>1145</v>
      </c>
      <c r="M170" s="272" t="s">
        <v>1169</v>
      </c>
      <c r="N170" s="272">
        <f>X_RSD_HeatingDemand!$AA$14</f>
        <v>2019</v>
      </c>
      <c r="O170" s="272">
        <f>X_RSD_HeatingDemand!$AA$14</f>
        <v>2019</v>
      </c>
      <c r="P170" s="288">
        <v>3.6666666666666667E-2</v>
      </c>
      <c r="Q170" s="274">
        <f>VLOOKUP(B170,KEY_RSD_AF!$C$5:$D$52,2,FALSE)</f>
        <v>1</v>
      </c>
      <c r="R170" s="278"/>
      <c r="S170" s="278"/>
      <c r="T170" s="278"/>
      <c r="U170" s="315">
        <f>70.9/70/1000</f>
        <v>1.0128571428571428E-3</v>
      </c>
      <c r="V170" s="278">
        <v>5.7</v>
      </c>
      <c r="W170" s="278">
        <f>RSD_Otherdemands_HS_AP!$W$5</f>
        <v>31.536000000000001</v>
      </c>
    </row>
    <row r="171" spans="2:23" x14ac:dyDescent="0.3">
      <c r="B171" s="271" t="s">
        <v>348</v>
      </c>
      <c r="C171" s="271"/>
      <c r="D171" s="272" t="s">
        <v>1170</v>
      </c>
      <c r="E171" s="271" t="s">
        <v>99</v>
      </c>
      <c r="F171" s="271" t="s">
        <v>1164</v>
      </c>
      <c r="H171" s="273" t="str">
        <f>LEFT(D171,8)&amp;("04o")&amp;RIGHT(L171,3)&amp;("02")</f>
        <v>RLHSC04oELC02</v>
      </c>
      <c r="I171" s="273" t="str">
        <f t="shared" si="21"/>
        <v>RLHSCFluorescentTubesELC.BAT</v>
      </c>
      <c r="J171" s="272" t="s">
        <v>239</v>
      </c>
      <c r="K171" s="274" t="s">
        <v>240</v>
      </c>
      <c r="L171" s="274" t="s">
        <v>1145</v>
      </c>
      <c r="M171" s="272" t="s">
        <v>1170</v>
      </c>
      <c r="N171" s="272">
        <f>X_RSD_HeatingDemand!$AA$14</f>
        <v>2019</v>
      </c>
      <c r="O171" s="272">
        <f>X_RSD_HeatingDemand!$AA$14</f>
        <v>2019</v>
      </c>
      <c r="P171" s="287">
        <v>0.12637166666666663</v>
      </c>
      <c r="Q171" s="274">
        <f>VLOOKUP(B171,KEY_RSD_AF!$C$5:$D$52,2,FALSE)</f>
        <v>1</v>
      </c>
      <c r="R171" s="272"/>
      <c r="S171" s="272"/>
      <c r="T171" s="272"/>
      <c r="U171" s="314">
        <f>5.5/35/1000</f>
        <v>1.5714285714285713E-4</v>
      </c>
      <c r="V171" s="272">
        <v>21</v>
      </c>
      <c r="W171" s="272">
        <f>RSD_Otherdemands_HS_AP!$W$5</f>
        <v>31.536000000000001</v>
      </c>
    </row>
    <row r="172" spans="2:23" x14ac:dyDescent="0.3">
      <c r="B172" s="271" t="s">
        <v>350</v>
      </c>
      <c r="C172" s="271"/>
      <c r="D172" s="272" t="s">
        <v>1170</v>
      </c>
      <c r="E172" s="271" t="s">
        <v>99</v>
      </c>
      <c r="F172" s="271" t="s">
        <v>1164</v>
      </c>
      <c r="H172" s="258" t="str">
        <f>LEFT(D172,8)&amp;("03o")&amp;RIGHT(L172,3)&amp;("02")</f>
        <v>RLHSC03oELC02</v>
      </c>
      <c r="I172" s="258" t="str">
        <f t="shared" si="21"/>
        <v>RLHSCLEDELC.BAT</v>
      </c>
      <c r="J172" s="272" t="s">
        <v>239</v>
      </c>
      <c r="K172" s="274" t="s">
        <v>240</v>
      </c>
      <c r="L172" s="274" t="s">
        <v>1145</v>
      </c>
      <c r="M172" s="272" t="s">
        <v>1170</v>
      </c>
      <c r="N172" s="272">
        <f>X_RSD_HeatingDemand!$AA$14</f>
        <v>2019</v>
      </c>
      <c r="O172" s="272">
        <f>X_RSD_HeatingDemand!$AA$14</f>
        <v>2019</v>
      </c>
      <c r="P172" s="287">
        <v>0.11183333333333333</v>
      </c>
      <c r="Q172" s="274">
        <f>VLOOKUP(B172,KEY_RSD_AF!$C$5:$D$52,2,FALSE)</f>
        <v>1</v>
      </c>
      <c r="R172" s="272"/>
      <c r="S172" s="272"/>
      <c r="T172" s="272"/>
      <c r="U172" s="314">
        <v>5.2500000000000002E-5</v>
      </c>
      <c r="V172" s="272">
        <v>27</v>
      </c>
      <c r="W172" s="272">
        <f>RSD_Otherdemands_HS_AP!$W$5</f>
        <v>31.536000000000001</v>
      </c>
    </row>
    <row r="173" spans="2:23" x14ac:dyDescent="0.3">
      <c r="B173" s="271" t="s">
        <v>352</v>
      </c>
      <c r="C173" s="271"/>
      <c r="D173" s="272" t="s">
        <v>1170</v>
      </c>
      <c r="E173" s="271" t="s">
        <v>99</v>
      </c>
      <c r="F173" s="271" t="s">
        <v>1164</v>
      </c>
      <c r="H173" s="273" t="str">
        <f>LEFT(D173,8)&amp;("02o")&amp;RIGHT(L173,3)&amp;("02")</f>
        <v>RLHSC02oELC02</v>
      </c>
      <c r="I173" s="273" t="str">
        <f t="shared" si="21"/>
        <v>RLHSCHalogenELC.BAT</v>
      </c>
      <c r="J173" s="272" t="s">
        <v>239</v>
      </c>
      <c r="K173" s="274" t="s">
        <v>240</v>
      </c>
      <c r="L173" s="274" t="s">
        <v>1145</v>
      </c>
      <c r="M173" s="272" t="s">
        <v>1170</v>
      </c>
      <c r="N173" s="272">
        <f>X_RSD_HeatingDemand!$AA$14</f>
        <v>2019</v>
      </c>
      <c r="O173" s="272">
        <f>X_RSD_HeatingDemand!$AA$14</f>
        <v>2019</v>
      </c>
      <c r="P173" s="287">
        <v>3.6666666666666667E-2</v>
      </c>
      <c r="Q173" s="274">
        <f>VLOOKUP(B173,KEY_RSD_AF!$C$5:$D$52,2,FALSE)</f>
        <v>1</v>
      </c>
      <c r="R173" s="272"/>
      <c r="S173" s="272"/>
      <c r="T173" s="272"/>
      <c r="U173" s="314">
        <f>5.12/1000/45</f>
        <v>1.1377777777777779E-4</v>
      </c>
      <c r="V173" s="272">
        <v>5</v>
      </c>
      <c r="W173" s="272">
        <f>RSD_Otherdemands_HS_AP!$W$5</f>
        <v>31.536000000000001</v>
      </c>
    </row>
    <row r="174" spans="2:23" x14ac:dyDescent="0.3">
      <c r="B174" s="271" t="s">
        <v>354</v>
      </c>
      <c r="C174" s="271"/>
      <c r="D174" s="272" t="s">
        <v>1170</v>
      </c>
      <c r="E174" s="271" t="s">
        <v>99</v>
      </c>
      <c r="F174" s="271" t="s">
        <v>1164</v>
      </c>
      <c r="H174" s="258" t="str">
        <f>LEFT(D174,8)&amp;("o")&amp;RIGHT(L174,3)&amp;("02")</f>
        <v>RLHSCoELC02</v>
      </c>
      <c r="I174" s="258" t="str">
        <f t="shared" si="21"/>
        <v>RLHSCIncandescentImprovedELC.BAT</v>
      </c>
      <c r="J174" s="272" t="s">
        <v>239</v>
      </c>
      <c r="K174" s="274" t="s">
        <v>240</v>
      </c>
      <c r="L174" s="274" t="s">
        <v>1145</v>
      </c>
      <c r="M174" s="272" t="s">
        <v>1170</v>
      </c>
      <c r="N174" s="272">
        <f>X_RSD_HeatingDemand!$AA$14</f>
        <v>2019</v>
      </c>
      <c r="O174" s="272">
        <f>X_RSD_HeatingDemand!$AA$14</f>
        <v>2019</v>
      </c>
      <c r="P174" s="287">
        <v>2.1999999999999999E-2</v>
      </c>
      <c r="Q174" s="274">
        <f>VLOOKUP(B174,KEY_RSD_AF!$C$5:$D$52,2,FALSE)</f>
        <v>1</v>
      </c>
      <c r="R174" s="272"/>
      <c r="S174" s="272"/>
      <c r="T174" s="272"/>
      <c r="U174" s="314">
        <f>1.66/1000/60*1.05</f>
        <v>2.9050000000000001E-5</v>
      </c>
      <c r="V174" s="272">
        <v>1</v>
      </c>
      <c r="W174" s="272">
        <f>RSD_Otherdemands_HS_AP!$W$5</f>
        <v>31.536000000000001</v>
      </c>
    </row>
    <row r="175" spans="2:23" x14ac:dyDescent="0.3">
      <c r="B175" s="271" t="s">
        <v>356</v>
      </c>
      <c r="C175" s="271"/>
      <c r="D175" s="272" t="s">
        <v>1170</v>
      </c>
      <c r="E175" s="271" t="s">
        <v>99</v>
      </c>
      <c r="F175" s="271" t="s">
        <v>1164</v>
      </c>
      <c r="H175" s="273" t="str">
        <f>LEFT(D175,8)&amp;("o")&amp;RIGHT(L175,3)&amp;("01")</f>
        <v>RLHSCoELC01</v>
      </c>
      <c r="I175" s="273" t="str">
        <f>LEFT(D175,8)&amp;(B175)&amp;RIGHT(L175,3)&amp;(".BAU")</f>
        <v>RLHSCIncandescentELC.BAU</v>
      </c>
      <c r="J175" s="272" t="s">
        <v>239</v>
      </c>
      <c r="K175" s="274" t="s">
        <v>240</v>
      </c>
      <c r="L175" s="274" t="s">
        <v>1145</v>
      </c>
      <c r="M175" s="272" t="s">
        <v>1170</v>
      </c>
      <c r="N175" s="272">
        <f>X_RSD_HeatingDemand!$AA$14</f>
        <v>2019</v>
      </c>
      <c r="O175" s="272">
        <f>X_RSD_HeatingDemand!$AA$14</f>
        <v>2019</v>
      </c>
      <c r="P175" s="287">
        <v>1.8333333333333333E-2</v>
      </c>
      <c r="Q175" s="274">
        <f>VLOOKUP(B175,KEY_RSD_AF!$C$5:$D$52,2,FALSE)</f>
        <v>1</v>
      </c>
      <c r="R175" s="272"/>
      <c r="S175" s="272"/>
      <c r="T175" s="272"/>
      <c r="U175" s="314">
        <f>1.66/1000/60</f>
        <v>2.7666666666666667E-5</v>
      </c>
      <c r="V175" s="272">
        <v>1</v>
      </c>
      <c r="W175" s="272">
        <f>RSD_Otherdemands_HS_AP!$W$5</f>
        <v>31.536000000000001</v>
      </c>
    </row>
    <row r="176" spans="2:23" x14ac:dyDescent="0.3">
      <c r="B176" s="271" t="s">
        <v>358</v>
      </c>
      <c r="C176" s="271"/>
      <c r="D176" s="272" t="s">
        <v>1170</v>
      </c>
      <c r="E176" s="271" t="s">
        <v>99</v>
      </c>
      <c r="F176" s="271" t="s">
        <v>1164</v>
      </c>
      <c r="H176" s="258" t="str">
        <f>LEFT(D176,8)&amp;("05o")&amp;RIGHT(L176,3)&amp;("02")</f>
        <v>RLHSC05oELC02</v>
      </c>
      <c r="I176" s="258" t="str">
        <f t="shared" ref="I176:I181" si="22">LEFT(D176,8)&amp;(B176)&amp;RIGHT(L176,3)&amp;(".BAT")</f>
        <v>RLHSCPressureSodiumELC.BAT</v>
      </c>
      <c r="J176" s="272" t="s">
        <v>239</v>
      </c>
      <c r="K176" s="274" t="s">
        <v>240</v>
      </c>
      <c r="L176" s="274" t="s">
        <v>1145</v>
      </c>
      <c r="M176" s="272" t="s">
        <v>1170</v>
      </c>
      <c r="N176" s="272">
        <f>X_RSD_HeatingDemand!$AA$14</f>
        <v>2019</v>
      </c>
      <c r="O176" s="272">
        <f>X_RSD_HeatingDemand!$AA$14</f>
        <v>2019</v>
      </c>
      <c r="P176" s="287">
        <v>3.6666666666666667E-2</v>
      </c>
      <c r="Q176" s="274">
        <f>VLOOKUP(B176,KEY_RSD_AF!$C$5:$D$52,2,FALSE)</f>
        <v>1</v>
      </c>
      <c r="R176" s="272"/>
      <c r="S176" s="272"/>
      <c r="T176" s="272"/>
      <c r="U176" s="314">
        <f>14.7/70/1000</f>
        <v>2.0999999999999998E-4</v>
      </c>
      <c r="V176" s="272">
        <v>25</v>
      </c>
      <c r="W176" s="272">
        <f>RSD_Otherdemands_HS_AP!$W$5</f>
        <v>31.536000000000001</v>
      </c>
    </row>
    <row r="177" spans="2:23" x14ac:dyDescent="0.3">
      <c r="B177" s="271" t="s">
        <v>360</v>
      </c>
      <c r="C177" s="271"/>
      <c r="D177" s="272" t="s">
        <v>1170</v>
      </c>
      <c r="E177" s="271" t="s">
        <v>99</v>
      </c>
      <c r="F177" s="271" t="s">
        <v>1164</v>
      </c>
      <c r="H177" s="273" t="str">
        <f>LEFT(D177,8)&amp;("06o")&amp;RIGHT(L177,3)&amp;("02")</f>
        <v>RLHSC06oELC02</v>
      </c>
      <c r="I177" s="273" t="str">
        <f t="shared" si="22"/>
        <v>RLHSCMetalHalideELC.BAT</v>
      </c>
      <c r="J177" s="272" t="s">
        <v>239</v>
      </c>
      <c r="K177" s="274" t="s">
        <v>240</v>
      </c>
      <c r="L177" s="274" t="s">
        <v>1145</v>
      </c>
      <c r="M177" s="272" t="s">
        <v>1170</v>
      </c>
      <c r="N177" s="272">
        <f>X_RSD_HeatingDemand!$AA$14</f>
        <v>2019</v>
      </c>
      <c r="O177" s="272">
        <f>X_RSD_HeatingDemand!$AA$14</f>
        <v>2019</v>
      </c>
      <c r="P177" s="287">
        <v>3.6666666666666667E-2</v>
      </c>
      <c r="Q177" s="274">
        <f>VLOOKUP(B177,KEY_RSD_AF!$C$5:$D$52,2,FALSE)</f>
        <v>1</v>
      </c>
      <c r="R177" s="272"/>
      <c r="S177" s="272"/>
      <c r="T177" s="272"/>
      <c r="U177" s="314">
        <f>70.9/70/1000</f>
        <v>1.0128571428571428E-3</v>
      </c>
      <c r="V177" s="272">
        <v>5.7</v>
      </c>
      <c r="W177" s="272">
        <f>RSD_Otherdemands_HS_AP!$W$5</f>
        <v>31.536000000000001</v>
      </c>
    </row>
    <row r="178" spans="2:23" x14ac:dyDescent="0.3">
      <c r="B178" s="277" t="s">
        <v>348</v>
      </c>
      <c r="C178" s="277"/>
      <c r="D178" s="272" t="s">
        <v>1171</v>
      </c>
      <c r="E178" s="277" t="s">
        <v>99</v>
      </c>
      <c r="F178" s="277" t="s">
        <v>1164</v>
      </c>
      <c r="H178" s="273" t="str">
        <f>LEFT(D178,8)&amp;("04o")&amp;RIGHT(L178,3)&amp;("02")</f>
        <v>RLHSE04oELC02</v>
      </c>
      <c r="I178" s="273" t="str">
        <f t="shared" si="22"/>
        <v>RLHSEFluorescentTubesELC.BAT</v>
      </c>
      <c r="J178" s="278" t="s">
        <v>239</v>
      </c>
      <c r="K178" s="279" t="s">
        <v>240</v>
      </c>
      <c r="L178" s="279" t="s">
        <v>1145</v>
      </c>
      <c r="M178" s="272" t="s">
        <v>1171</v>
      </c>
      <c r="N178" s="272">
        <f>X_RSD_HeatingDemand!$AA$14</f>
        <v>2019</v>
      </c>
      <c r="O178" s="272">
        <f>X_RSD_HeatingDemand!$AA$14</f>
        <v>2019</v>
      </c>
      <c r="P178" s="288">
        <v>0.12637166666666663</v>
      </c>
      <c r="Q178" s="274">
        <f>VLOOKUP(B178,KEY_RSD_AF!$C$5:$D$52,2,FALSE)</f>
        <v>1</v>
      </c>
      <c r="R178" s="278"/>
      <c r="S178" s="278"/>
      <c r="T178" s="278"/>
      <c r="U178" s="315">
        <f>5.5/35/1000</f>
        <v>1.5714285714285713E-4</v>
      </c>
      <c r="V178" s="278">
        <v>21</v>
      </c>
      <c r="W178" s="278">
        <f>RSD_Otherdemands_HS_AP!$W$5</f>
        <v>31.536000000000001</v>
      </c>
    </row>
    <row r="179" spans="2:23" x14ac:dyDescent="0.3">
      <c r="B179" s="277" t="s">
        <v>350</v>
      </c>
      <c r="C179" s="277"/>
      <c r="D179" s="272" t="s">
        <v>1171</v>
      </c>
      <c r="E179" s="277" t="s">
        <v>99</v>
      </c>
      <c r="F179" s="277" t="s">
        <v>1164</v>
      </c>
      <c r="H179" s="258" t="str">
        <f>LEFT(D179,8)&amp;("03o")&amp;RIGHT(L179,3)&amp;("02")</f>
        <v>RLHSE03oELC02</v>
      </c>
      <c r="I179" s="258" t="str">
        <f t="shared" si="22"/>
        <v>RLHSELEDELC.BAT</v>
      </c>
      <c r="J179" s="278" t="s">
        <v>239</v>
      </c>
      <c r="K179" s="279" t="s">
        <v>240</v>
      </c>
      <c r="L179" s="279" t="s">
        <v>1145</v>
      </c>
      <c r="M179" s="272" t="s">
        <v>1171</v>
      </c>
      <c r="N179" s="272">
        <f>X_RSD_HeatingDemand!$AA$14</f>
        <v>2019</v>
      </c>
      <c r="O179" s="272">
        <f>X_RSD_HeatingDemand!$AA$14</f>
        <v>2019</v>
      </c>
      <c r="P179" s="288">
        <v>0.11183333333333333</v>
      </c>
      <c r="Q179" s="274">
        <f>VLOOKUP(B179,KEY_RSD_AF!$C$5:$D$52,2,FALSE)</f>
        <v>1</v>
      </c>
      <c r="R179" s="278"/>
      <c r="S179" s="278"/>
      <c r="T179" s="278"/>
      <c r="U179" s="315">
        <v>5.2500000000000002E-5</v>
      </c>
      <c r="V179" s="278">
        <v>27</v>
      </c>
      <c r="W179" s="278">
        <f>RSD_Otherdemands_HS_AP!$W$5</f>
        <v>31.536000000000001</v>
      </c>
    </row>
    <row r="180" spans="2:23" x14ac:dyDescent="0.3">
      <c r="B180" s="277" t="s">
        <v>352</v>
      </c>
      <c r="C180" s="277"/>
      <c r="D180" s="272" t="s">
        <v>1171</v>
      </c>
      <c r="E180" s="277" t="s">
        <v>99</v>
      </c>
      <c r="F180" s="277" t="s">
        <v>1164</v>
      </c>
      <c r="H180" s="273" t="str">
        <f>LEFT(D180,8)&amp;("02o")&amp;RIGHT(L180,3)&amp;("02")</f>
        <v>RLHSE02oELC02</v>
      </c>
      <c r="I180" s="273" t="str">
        <f t="shared" si="22"/>
        <v>RLHSEHalogenELC.BAT</v>
      </c>
      <c r="J180" s="278" t="s">
        <v>239</v>
      </c>
      <c r="K180" s="279" t="s">
        <v>240</v>
      </c>
      <c r="L180" s="279" t="s">
        <v>1145</v>
      </c>
      <c r="M180" s="272" t="s">
        <v>1171</v>
      </c>
      <c r="N180" s="272">
        <f>X_RSD_HeatingDemand!$AA$14</f>
        <v>2019</v>
      </c>
      <c r="O180" s="272">
        <f>X_RSD_HeatingDemand!$AA$14</f>
        <v>2019</v>
      </c>
      <c r="P180" s="288">
        <v>3.6666666666666667E-2</v>
      </c>
      <c r="Q180" s="274">
        <f>VLOOKUP(B180,KEY_RSD_AF!$C$5:$D$52,2,FALSE)</f>
        <v>1</v>
      </c>
      <c r="R180" s="278"/>
      <c r="S180" s="278"/>
      <c r="T180" s="278"/>
      <c r="U180" s="315">
        <f>5.12/1000/45</f>
        <v>1.1377777777777779E-4</v>
      </c>
      <c r="V180" s="278">
        <v>5</v>
      </c>
      <c r="W180" s="278">
        <f>RSD_Otherdemands_HS_AP!$W$5</f>
        <v>31.536000000000001</v>
      </c>
    </row>
    <row r="181" spans="2:23" x14ac:dyDescent="0.3">
      <c r="B181" s="277" t="s">
        <v>354</v>
      </c>
      <c r="C181" s="277"/>
      <c r="D181" s="272" t="s">
        <v>1171</v>
      </c>
      <c r="E181" s="277" t="s">
        <v>99</v>
      </c>
      <c r="F181" s="277" t="s">
        <v>1164</v>
      </c>
      <c r="H181" s="258" t="str">
        <f>LEFT(D181,8)&amp;("o")&amp;RIGHT(L181,3)&amp;("02")</f>
        <v>RLHSEoELC02</v>
      </c>
      <c r="I181" s="258" t="str">
        <f t="shared" si="22"/>
        <v>RLHSEIncandescentImprovedELC.BAT</v>
      </c>
      <c r="J181" s="278" t="s">
        <v>239</v>
      </c>
      <c r="K181" s="279" t="s">
        <v>240</v>
      </c>
      <c r="L181" s="279" t="s">
        <v>1145</v>
      </c>
      <c r="M181" s="272" t="s">
        <v>1171</v>
      </c>
      <c r="N181" s="272">
        <f>X_RSD_HeatingDemand!$AA$14</f>
        <v>2019</v>
      </c>
      <c r="O181" s="272">
        <f>X_RSD_HeatingDemand!$AA$14</f>
        <v>2019</v>
      </c>
      <c r="P181" s="288">
        <v>2.1999999999999999E-2</v>
      </c>
      <c r="Q181" s="274">
        <f>VLOOKUP(B181,KEY_RSD_AF!$C$5:$D$52,2,FALSE)</f>
        <v>1</v>
      </c>
      <c r="R181" s="278"/>
      <c r="S181" s="278"/>
      <c r="T181" s="278"/>
      <c r="U181" s="315">
        <f>1.66/1000/60*1.05</f>
        <v>2.9050000000000001E-5</v>
      </c>
      <c r="V181" s="278">
        <v>1</v>
      </c>
      <c r="W181" s="278">
        <f>RSD_Otherdemands_HS_AP!$W$5</f>
        <v>31.536000000000001</v>
      </c>
    </row>
    <row r="182" spans="2:23" x14ac:dyDescent="0.3">
      <c r="B182" s="277" t="s">
        <v>356</v>
      </c>
      <c r="C182" s="277"/>
      <c r="D182" s="272" t="s">
        <v>1171</v>
      </c>
      <c r="E182" s="277" t="s">
        <v>99</v>
      </c>
      <c r="F182" s="277" t="s">
        <v>1164</v>
      </c>
      <c r="H182" s="273" t="str">
        <f>LEFT(D182,8)&amp;("o")&amp;RIGHT(L182,3)&amp;("01")</f>
        <v>RLHSEoELC01</v>
      </c>
      <c r="I182" s="273" t="str">
        <f>LEFT(D182,8)&amp;(B182)&amp;RIGHT(L182,3)&amp;(".BAU")</f>
        <v>RLHSEIncandescentELC.BAU</v>
      </c>
      <c r="J182" s="278" t="s">
        <v>239</v>
      </c>
      <c r="K182" s="279" t="s">
        <v>240</v>
      </c>
      <c r="L182" s="279" t="s">
        <v>1145</v>
      </c>
      <c r="M182" s="272" t="s">
        <v>1171</v>
      </c>
      <c r="N182" s="272">
        <f>X_RSD_HeatingDemand!$AA$14</f>
        <v>2019</v>
      </c>
      <c r="O182" s="272">
        <f>X_RSD_HeatingDemand!$AA$14</f>
        <v>2019</v>
      </c>
      <c r="P182" s="288">
        <v>1.8333333333333333E-2</v>
      </c>
      <c r="Q182" s="274">
        <f>VLOOKUP(B182,KEY_RSD_AF!$C$5:$D$52,2,FALSE)</f>
        <v>1</v>
      </c>
      <c r="R182" s="278"/>
      <c r="S182" s="278"/>
      <c r="T182" s="278"/>
      <c r="U182" s="315">
        <f>1.66/1000/60</f>
        <v>2.7666666666666667E-5</v>
      </c>
      <c r="V182" s="278">
        <v>1</v>
      </c>
      <c r="W182" s="278">
        <f>RSD_Otherdemands_HS_AP!$W$5</f>
        <v>31.536000000000001</v>
      </c>
    </row>
    <row r="183" spans="2:23" x14ac:dyDescent="0.3">
      <c r="B183" s="277" t="s">
        <v>358</v>
      </c>
      <c r="C183" s="277"/>
      <c r="D183" s="272" t="s">
        <v>1171</v>
      </c>
      <c r="E183" s="277" t="s">
        <v>99</v>
      </c>
      <c r="F183" s="277" t="s">
        <v>1164</v>
      </c>
      <c r="H183" s="258" t="str">
        <f>LEFT(D183,8)&amp;("05o")&amp;RIGHT(L183,3)&amp;("02")</f>
        <v>RLHSE05oELC02</v>
      </c>
      <c r="I183" s="258" t="str">
        <f>LEFT(D183,8)&amp;(B183)&amp;RIGHT(L183,3)&amp;(".BAT")</f>
        <v>RLHSEPressureSodiumELC.BAT</v>
      </c>
      <c r="J183" s="278" t="s">
        <v>239</v>
      </c>
      <c r="K183" s="279" t="s">
        <v>240</v>
      </c>
      <c r="L183" s="279" t="s">
        <v>1145</v>
      </c>
      <c r="M183" s="272" t="s">
        <v>1171</v>
      </c>
      <c r="N183" s="272">
        <f>X_RSD_HeatingDemand!$AA$14</f>
        <v>2019</v>
      </c>
      <c r="O183" s="272">
        <f>X_RSD_HeatingDemand!$AA$14</f>
        <v>2019</v>
      </c>
      <c r="P183" s="288">
        <v>3.6666666666666667E-2</v>
      </c>
      <c r="Q183" s="274">
        <f>VLOOKUP(B183,KEY_RSD_AF!$C$5:$D$52,2,FALSE)</f>
        <v>1</v>
      </c>
      <c r="R183" s="278"/>
      <c r="S183" s="278"/>
      <c r="T183" s="278"/>
      <c r="U183" s="315">
        <f>14.7/70/1000</f>
        <v>2.0999999999999998E-4</v>
      </c>
      <c r="V183" s="278">
        <v>25</v>
      </c>
      <c r="W183" s="278">
        <f>RSD_Otherdemands_HS_AP!$W$5</f>
        <v>31.536000000000001</v>
      </c>
    </row>
    <row r="184" spans="2:23" x14ac:dyDescent="0.3">
      <c r="B184" s="277" t="s">
        <v>360</v>
      </c>
      <c r="C184" s="277"/>
      <c r="D184" s="272" t="s">
        <v>1171</v>
      </c>
      <c r="E184" s="277" t="s">
        <v>99</v>
      </c>
      <c r="F184" s="277" t="s">
        <v>1164</v>
      </c>
      <c r="H184" s="273" t="str">
        <f>LEFT(D184,8)&amp;("06o")&amp;RIGHT(L184,3)&amp;("02")</f>
        <v>RLHSE06oELC02</v>
      </c>
      <c r="I184" s="273" t="str">
        <f>LEFT(D184,8)&amp;(B184)&amp;RIGHT(L184,3)&amp;(".BAT")</f>
        <v>RLHSEMetalHalideELC.BAT</v>
      </c>
      <c r="J184" s="278" t="s">
        <v>239</v>
      </c>
      <c r="K184" s="279" t="s">
        <v>240</v>
      </c>
      <c r="L184" s="279" t="s">
        <v>1145</v>
      </c>
      <c r="M184" s="272" t="s">
        <v>1171</v>
      </c>
      <c r="N184" s="272">
        <f>X_RSD_HeatingDemand!$AA$14</f>
        <v>2019</v>
      </c>
      <c r="O184" s="272">
        <f>X_RSD_HeatingDemand!$AA$14</f>
        <v>2019</v>
      </c>
      <c r="P184" s="288">
        <v>3.6666666666666667E-2</v>
      </c>
      <c r="Q184" s="274">
        <f>VLOOKUP(B184,KEY_RSD_AF!$C$5:$D$52,2,FALSE)</f>
        <v>1</v>
      </c>
      <c r="R184" s="278"/>
      <c r="S184" s="278"/>
      <c r="T184" s="278"/>
      <c r="U184" s="315">
        <f>70.9/70/1000</f>
        <v>1.0128571428571428E-3</v>
      </c>
      <c r="V184" s="278">
        <v>5.7</v>
      </c>
      <c r="W184" s="278">
        <f>RSD_Otherdemands_HS_AP!$W$5</f>
        <v>31.536000000000001</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12119-08F5-4A8D-AA36-9080614AD84F}">
  <sheetPr>
    <tabColor rgb="FFFF0000"/>
  </sheetPr>
  <dimension ref="A1:AO373"/>
  <sheetViews>
    <sheetView topLeftCell="A10" zoomScale="60" zoomScaleNormal="80" workbookViewId="0">
      <selection activeCell="P19" sqref="P19"/>
    </sheetView>
  </sheetViews>
  <sheetFormatPr defaultColWidth="9.33203125" defaultRowHeight="13.2" x14ac:dyDescent="0.25"/>
  <cols>
    <col min="1" max="1" width="9.33203125" style="566"/>
    <col min="2" max="2" width="7.109375" style="566" bestFit="1" customWidth="1"/>
    <col min="3" max="3" width="14.109375" style="566" customWidth="1"/>
    <col min="4" max="4" width="10.33203125" style="566" customWidth="1"/>
    <col min="5" max="5" width="8.5546875" style="566" customWidth="1"/>
    <col min="6" max="6" width="9.33203125" style="577"/>
    <col min="7" max="7" width="6.33203125" style="566" customWidth="1"/>
    <col min="8" max="8" width="13.33203125" style="566" customWidth="1"/>
    <col min="9" max="9" width="27.109375" style="566" customWidth="1"/>
    <col min="10" max="10" width="35.5546875" style="566" customWidth="1"/>
    <col min="11" max="11" width="12.5546875" style="566" bestFit="1" customWidth="1"/>
    <col min="12" max="12" width="11.33203125" style="566" bestFit="1" customWidth="1"/>
    <col min="13" max="13" width="12.5546875" style="566" bestFit="1" customWidth="1"/>
    <col min="14" max="14" width="13.77734375" style="566" customWidth="1"/>
    <col min="15" max="15" width="9" style="566" customWidth="1"/>
    <col min="16" max="16" width="7.5546875" style="566" customWidth="1"/>
    <col min="17" max="17" width="16" style="583" customWidth="1"/>
    <col min="18" max="18" width="7.33203125" style="584" customWidth="1"/>
    <col min="19" max="19" width="10.77734375" style="566" customWidth="1"/>
    <col min="20" max="20" width="10" style="313" customWidth="1"/>
    <col min="21" max="21" width="18.5546875" style="571" bestFit="1" customWidth="1"/>
    <col min="22" max="22" width="16.33203125" style="571" customWidth="1"/>
    <col min="23" max="25" width="9.33203125" style="566"/>
    <col min="26" max="26" width="10.33203125" style="566" bestFit="1" customWidth="1"/>
    <col min="27" max="29" width="9.33203125" style="566"/>
    <col min="30" max="30" width="11.77734375" style="566" customWidth="1"/>
    <col min="31" max="16384" width="9.33203125" style="566"/>
  </cols>
  <sheetData>
    <row r="1" spans="1:41" s="258" customFormat="1" x14ac:dyDescent="0.25">
      <c r="F1" s="289"/>
      <c r="Q1" s="568"/>
      <c r="R1" s="260"/>
      <c r="T1" s="175"/>
      <c r="U1" s="570"/>
      <c r="V1" s="571"/>
      <c r="X1" s="566"/>
    </row>
    <row r="2" spans="1:41" s="258" customFormat="1" x14ac:dyDescent="0.25">
      <c r="F2" s="289"/>
      <c r="G2" s="289"/>
      <c r="H2" s="289"/>
      <c r="I2" s="290"/>
      <c r="J2" s="290"/>
      <c r="K2" s="290"/>
      <c r="L2" s="290"/>
      <c r="M2" s="290"/>
      <c r="O2" s="259" t="s">
        <v>1139</v>
      </c>
      <c r="P2" s="259"/>
      <c r="Q2" s="175"/>
      <c r="T2" s="175"/>
      <c r="U2" s="571"/>
      <c r="V2" s="571"/>
      <c r="X2" s="566"/>
    </row>
    <row r="3" spans="1:41" s="258" customFormat="1" ht="13.8" thickBot="1" x14ac:dyDescent="0.3">
      <c r="B3" s="289"/>
      <c r="F3" s="289"/>
      <c r="G3" s="289"/>
      <c r="H3" s="289"/>
      <c r="I3" s="262" t="s">
        <v>1110</v>
      </c>
      <c r="J3" s="263" t="s">
        <v>1111</v>
      </c>
      <c r="K3" s="263" t="s">
        <v>1125</v>
      </c>
      <c r="L3" s="263" t="s">
        <v>1126</v>
      </c>
      <c r="M3" s="263" t="s">
        <v>47</v>
      </c>
      <c r="N3" s="263" t="s">
        <v>49</v>
      </c>
      <c r="O3" s="263" t="s">
        <v>42</v>
      </c>
      <c r="P3" s="263" t="s">
        <v>51</v>
      </c>
      <c r="Q3" s="265" t="s">
        <v>1112</v>
      </c>
      <c r="R3" s="291" t="s">
        <v>1201</v>
      </c>
      <c r="S3" s="265" t="s">
        <v>1141</v>
      </c>
      <c r="T3" s="265" t="s">
        <v>66</v>
      </c>
      <c r="U3" s="265" t="s">
        <v>1114</v>
      </c>
      <c r="V3" s="292" t="s">
        <v>76</v>
      </c>
      <c r="W3" s="292" t="s">
        <v>1115</v>
      </c>
      <c r="X3" s="573"/>
      <c r="Z3" s="577"/>
      <c r="AA3" s="35" t="s">
        <v>1243</v>
      </c>
    </row>
    <row r="4" spans="1:41" s="258" customFormat="1" ht="15" thickBot="1" x14ac:dyDescent="0.35">
      <c r="A4" s="258" t="s">
        <v>1172</v>
      </c>
      <c r="I4" s="269" t="s">
        <v>1116</v>
      </c>
      <c r="J4" s="269"/>
      <c r="K4" s="269"/>
      <c r="L4" s="269"/>
      <c r="M4" s="269"/>
      <c r="N4" s="269"/>
      <c r="O4" s="269"/>
      <c r="P4" s="269"/>
      <c r="Q4" s="269"/>
      <c r="R4" s="269"/>
      <c r="S4" s="269"/>
      <c r="T4" s="269" t="s">
        <v>1173</v>
      </c>
      <c r="U4" s="269" t="s">
        <v>1120</v>
      </c>
      <c r="V4" s="269" t="s">
        <v>1120</v>
      </c>
      <c r="W4" s="269" t="s">
        <v>1121</v>
      </c>
      <c r="X4" s="586"/>
      <c r="AE4" s="558"/>
      <c r="AF4" s="566"/>
      <c r="AG4" s="566"/>
    </row>
    <row r="5" spans="1:41" ht="14.4" x14ac:dyDescent="0.3">
      <c r="A5" s="258">
        <v>10</v>
      </c>
      <c r="B5" s="258" t="str">
        <f>IF(C5="WallInsulation","WALL",IF(C5="RoofInsulation","ROOF",IF(C5="BasementInsulation","BASE",IF(C5="WindowsChange","WINDOW"))))</f>
        <v>WALL</v>
      </c>
      <c r="C5" s="258" t="s">
        <v>1174</v>
      </c>
      <c r="D5" s="258"/>
      <c r="E5" s="14" t="str">
        <f>N5</f>
        <v>RHHSA</v>
      </c>
      <c r="F5" s="289" t="s">
        <v>1175</v>
      </c>
      <c r="G5" s="289" t="s">
        <v>364</v>
      </c>
      <c r="H5" s="289"/>
      <c r="I5" s="14" t="str">
        <f t="shared" ref="I5:I8" si="0">LEFT(E5,8)&amp;("o")&amp;B5&amp;("o")&amp;RIGHT(M5,3)&amp;A5</f>
        <v>RHHSAoWALLoSAV10</v>
      </c>
      <c r="J5" s="14" t="str">
        <f>LEFT(E5,8)&amp;(C5)&amp;RIGHT(M5,3)&amp;(IF(A5&gt;0,".BAT"&amp;A5,".BAU"))</f>
        <v>RHHSAWallInsulationSAV.BAT10</v>
      </c>
      <c r="K5" s="14" t="s">
        <v>239</v>
      </c>
      <c r="L5" s="14" t="s">
        <v>240</v>
      </c>
      <c r="M5" s="14" t="s">
        <v>1176</v>
      </c>
      <c r="N5" s="14" t="s">
        <v>1177</v>
      </c>
      <c r="O5" s="293">
        <f>X_RSD_HeatingDemand!$AA$14</f>
        <v>2019</v>
      </c>
      <c r="P5" s="14">
        <f>IF(A5=0,2100,O5)</f>
        <v>2019</v>
      </c>
      <c r="Q5" s="568">
        <v>1</v>
      </c>
      <c r="R5" s="294">
        <v>1</v>
      </c>
      <c r="S5" s="295"/>
      <c r="T5" s="295">
        <v>60</v>
      </c>
      <c r="U5" s="572"/>
      <c r="V5" s="588">
        <f>AD9</f>
        <v>1070.6666666666667</v>
      </c>
      <c r="W5" s="296">
        <v>31.536000000000001</v>
      </c>
      <c r="X5" s="587"/>
      <c r="Y5" s="258"/>
      <c r="Z5" s="574" t="s">
        <v>1245</v>
      </c>
      <c r="AA5" s="258"/>
      <c r="AB5" s="258"/>
      <c r="AC5" s="258"/>
      <c r="AD5" s="258"/>
      <c r="AE5" s="558"/>
    </row>
    <row r="6" spans="1:41" ht="14.4" x14ac:dyDescent="0.3">
      <c r="A6" s="258">
        <v>20</v>
      </c>
      <c r="B6" s="258" t="str">
        <f t="shared" ref="B6:B13" si="1">IF(C6="WallInsulation","WALL",IF(C6="RoofInsulation","ROOF",IF(C6="BasementInsulation","BASE",IF(C6="WindowsChange","WINDOW"))))</f>
        <v>WALL</v>
      </c>
      <c r="C6" s="258" t="str">
        <f>$C$5</f>
        <v>WallInsulation</v>
      </c>
      <c r="D6" s="289"/>
      <c r="E6" s="14" t="str">
        <f t="shared" ref="E6:E13" si="2">N6</f>
        <v>RHHSA</v>
      </c>
      <c r="F6" s="289" t="str">
        <f>F5</f>
        <v>SAV</v>
      </c>
      <c r="G6" s="289" t="s">
        <v>364</v>
      </c>
      <c r="H6" s="258"/>
      <c r="I6" s="14" t="str">
        <f t="shared" si="0"/>
        <v>RHHSAoWALLoSAV20</v>
      </c>
      <c r="J6" s="14" t="str">
        <f t="shared" ref="J6:J69" si="3">LEFT(E6,8)&amp;(C6)&amp;RIGHT(M6,3)&amp;(IF(A6&gt;0,".BAT"&amp;A6,".BAU"))</f>
        <v>RHHSAWallInsulationSAV.BAT20</v>
      </c>
      <c r="K6" s="14" t="s">
        <v>239</v>
      </c>
      <c r="L6" s="14" t="s">
        <v>240</v>
      </c>
      <c r="M6" s="14" t="str">
        <f>$M$5</f>
        <v>RSDSAV</v>
      </c>
      <c r="N6" s="14" t="str">
        <f>$N$5</f>
        <v>RHHSA</v>
      </c>
      <c r="O6" s="293">
        <f>X_RSD_HeatingDemand!$AA$14</f>
        <v>2019</v>
      </c>
      <c r="P6" s="14">
        <f t="shared" ref="P6:P69" si="4">IF(A6=0,2100,O6)</f>
        <v>2019</v>
      </c>
      <c r="Q6" s="568">
        <v>1</v>
      </c>
      <c r="R6" s="294">
        <v>1</v>
      </c>
      <c r="S6" s="295"/>
      <c r="T6" s="295">
        <v>60</v>
      </c>
      <c r="U6" s="572"/>
      <c r="V6" s="588">
        <f t="shared" ref="V6:V13" si="5">AD10</f>
        <v>911.04</v>
      </c>
      <c r="W6" s="296">
        <v>31.536000000000001</v>
      </c>
      <c r="X6" s="587"/>
      <c r="Y6" s="258"/>
      <c r="Z6" s="258"/>
      <c r="AA6" s="258"/>
      <c r="AB6" s="258"/>
      <c r="AC6" s="258"/>
      <c r="AD6" s="258"/>
      <c r="AE6" s="558"/>
    </row>
    <row r="7" spans="1:41" ht="14.4" x14ac:dyDescent="0.3">
      <c r="A7" s="258">
        <v>30</v>
      </c>
      <c r="B7" s="258" t="str">
        <f t="shared" si="1"/>
        <v>WALL</v>
      </c>
      <c r="C7" s="258" t="str">
        <f>$C$5</f>
        <v>WallInsulation</v>
      </c>
      <c r="D7" s="289"/>
      <c r="E7" s="14" t="str">
        <f t="shared" si="2"/>
        <v>RHHSA</v>
      </c>
      <c r="F7" s="289" t="str">
        <f>F6</f>
        <v>SAV</v>
      </c>
      <c r="G7" s="289" t="s">
        <v>364</v>
      </c>
      <c r="H7" s="258"/>
      <c r="I7" s="14" t="str">
        <f t="shared" si="0"/>
        <v>RHHSAoWALLoSAV30</v>
      </c>
      <c r="J7" s="14" t="str">
        <f t="shared" si="3"/>
        <v>RHHSAWallInsulationSAV.BAT30</v>
      </c>
      <c r="K7" s="14" t="s">
        <v>239</v>
      </c>
      <c r="L7" s="14" t="s">
        <v>240</v>
      </c>
      <c r="M7" s="14" t="str">
        <f t="shared" ref="M7:M13" si="6">$M$5</f>
        <v>RSDSAV</v>
      </c>
      <c r="N7" s="14" t="str">
        <f>$N$5</f>
        <v>RHHSA</v>
      </c>
      <c r="O7" s="293">
        <f>X_RSD_HeatingDemand!$AA$14</f>
        <v>2019</v>
      </c>
      <c r="P7" s="14">
        <f t="shared" si="4"/>
        <v>2019</v>
      </c>
      <c r="Q7" s="568">
        <v>1</v>
      </c>
      <c r="R7" s="294">
        <v>1</v>
      </c>
      <c r="S7" s="295"/>
      <c r="T7" s="295">
        <v>60</v>
      </c>
      <c r="U7" s="572"/>
      <c r="V7" s="588">
        <f t="shared" si="5"/>
        <v>927.52941176470597</v>
      </c>
      <c r="W7" s="296">
        <v>31.536000000000001</v>
      </c>
      <c r="X7" s="587"/>
      <c r="Y7" s="258"/>
      <c r="Z7" s="258" t="s">
        <v>1244</v>
      </c>
      <c r="AA7" s="560" t="s">
        <v>1239</v>
      </c>
      <c r="AB7" s="560" t="s">
        <v>1240</v>
      </c>
      <c r="AC7" s="560" t="s">
        <v>1241</v>
      </c>
      <c r="AD7" s="560" t="s">
        <v>1242</v>
      </c>
      <c r="AE7" s="558"/>
      <c r="AF7" s="589" t="s">
        <v>1247</v>
      </c>
    </row>
    <row r="8" spans="1:41" x14ac:dyDescent="0.25">
      <c r="A8" s="258">
        <v>40</v>
      </c>
      <c r="B8" s="258" t="str">
        <f t="shared" si="1"/>
        <v>WALL</v>
      </c>
      <c r="C8" s="258" t="str">
        <f>$C$5</f>
        <v>WallInsulation</v>
      </c>
      <c r="D8" s="289"/>
      <c r="E8" s="14" t="str">
        <f t="shared" si="2"/>
        <v>RHHSA</v>
      </c>
      <c r="F8" s="289" t="str">
        <f>F7</f>
        <v>SAV</v>
      </c>
      <c r="G8" s="289" t="s">
        <v>364</v>
      </c>
      <c r="H8" s="258"/>
      <c r="I8" s="14" t="str">
        <f t="shared" si="0"/>
        <v>RHHSAoWALLoSAV40</v>
      </c>
      <c r="J8" s="14" t="str">
        <f t="shared" si="3"/>
        <v>RHHSAWallInsulationSAV.BAT40</v>
      </c>
      <c r="K8" s="14" t="s">
        <v>239</v>
      </c>
      <c r="L8" s="14" t="s">
        <v>240</v>
      </c>
      <c r="M8" s="14" t="str">
        <f t="shared" si="6"/>
        <v>RSDSAV</v>
      </c>
      <c r="N8" s="14" t="str">
        <f>$N$5</f>
        <v>RHHSA</v>
      </c>
      <c r="O8" s="293">
        <f>X_RSD_HeatingDemand!$AA$14</f>
        <v>2019</v>
      </c>
      <c r="P8" s="14">
        <f t="shared" si="4"/>
        <v>2019</v>
      </c>
      <c r="Q8" s="568">
        <v>1</v>
      </c>
      <c r="R8" s="294">
        <v>1</v>
      </c>
      <c r="S8" s="295"/>
      <c r="T8" s="295">
        <v>60</v>
      </c>
      <c r="U8" s="572"/>
      <c r="V8" s="588">
        <f t="shared" si="5"/>
        <v>1078.8631578947368</v>
      </c>
      <c r="W8" s="296">
        <v>31.536000000000001</v>
      </c>
      <c r="X8" s="587"/>
      <c r="Y8" s="258"/>
      <c r="Z8" s="567">
        <v>165</v>
      </c>
      <c r="AA8" s="258"/>
      <c r="AB8" s="258"/>
      <c r="AC8" s="258"/>
      <c r="AD8" s="258"/>
      <c r="AJ8" s="567"/>
      <c r="AK8" s="258"/>
      <c r="AL8" s="258"/>
      <c r="AM8" s="258"/>
      <c r="AN8" s="258"/>
    </row>
    <row r="9" spans="1:41" ht="14.4" x14ac:dyDescent="0.3">
      <c r="A9" s="258">
        <v>50</v>
      </c>
      <c r="B9" s="258" t="str">
        <f t="shared" si="1"/>
        <v>WALL</v>
      </c>
      <c r="C9" s="258" t="str">
        <f t="shared" ref="C9:C13" si="7">$C$5</f>
        <v>WallInsulation</v>
      </c>
      <c r="D9" s="289"/>
      <c r="E9" s="14" t="str">
        <f t="shared" si="2"/>
        <v>RHHSA</v>
      </c>
      <c r="F9" s="289" t="str">
        <f t="shared" ref="F9:F13" si="8">F8</f>
        <v>SAV</v>
      </c>
      <c r="G9" s="289" t="s">
        <v>364</v>
      </c>
      <c r="H9" s="258"/>
      <c r="I9" s="14" t="str">
        <f t="shared" ref="I9:I17" si="9">LEFT(E9,8)&amp;("o")&amp;B9&amp;("o")&amp;RIGHT(M9,3)&amp;A9</f>
        <v>RHHSAoWALLoSAV50</v>
      </c>
      <c r="J9" s="14" t="str">
        <f t="shared" si="3"/>
        <v>RHHSAWallInsulationSAV.BAT50</v>
      </c>
      <c r="K9" s="14" t="s">
        <v>239</v>
      </c>
      <c r="L9" s="14" t="s">
        <v>240</v>
      </c>
      <c r="M9" s="14" t="str">
        <f t="shared" si="6"/>
        <v>RSDSAV</v>
      </c>
      <c r="N9" s="14" t="str">
        <f t="shared" ref="N9:N13" si="10">$N$5</f>
        <v>RHHSA</v>
      </c>
      <c r="O9" s="293">
        <f>X_RSD_HeatingDemand!$AA$14</f>
        <v>2019</v>
      </c>
      <c r="P9" s="14">
        <f t="shared" si="4"/>
        <v>2019</v>
      </c>
      <c r="Q9" s="568">
        <v>1</v>
      </c>
      <c r="R9" s="294">
        <v>1</v>
      </c>
      <c r="S9" s="295"/>
      <c r="T9" s="295">
        <v>60</v>
      </c>
      <c r="U9" s="572"/>
      <c r="V9" s="588">
        <f t="shared" si="5"/>
        <v>914.50549450549454</v>
      </c>
      <c r="W9" s="296">
        <v>31.536000000000001</v>
      </c>
      <c r="X9" s="587"/>
      <c r="Y9" s="258"/>
      <c r="Z9" s="560">
        <v>75</v>
      </c>
      <c r="AA9" s="560">
        <f>$Z$8-Z9</f>
        <v>90</v>
      </c>
      <c r="AB9" s="561">
        <f>AA9/8760</f>
        <v>1.0273972602739725E-2</v>
      </c>
      <c r="AC9" s="560">
        <v>110</v>
      </c>
      <c r="AD9" s="559">
        <f>AC9/10/AB9</f>
        <v>1070.6666666666667</v>
      </c>
      <c r="AE9" s="558">
        <v>6.25</v>
      </c>
      <c r="AJ9" s="560"/>
      <c r="AK9" s="560"/>
      <c r="AL9" s="561"/>
      <c r="AM9" s="560"/>
      <c r="AN9" s="559"/>
      <c r="AO9" s="558"/>
    </row>
    <row r="10" spans="1:41" ht="14.4" x14ac:dyDescent="0.3">
      <c r="A10" s="258">
        <v>60</v>
      </c>
      <c r="B10" s="258" t="str">
        <f t="shared" si="1"/>
        <v>WALL</v>
      </c>
      <c r="C10" s="258" t="str">
        <f t="shared" si="7"/>
        <v>WallInsulation</v>
      </c>
      <c r="D10" s="289"/>
      <c r="E10" s="14" t="str">
        <f t="shared" si="2"/>
        <v>RHHSA</v>
      </c>
      <c r="F10" s="289" t="str">
        <f t="shared" si="8"/>
        <v>SAV</v>
      </c>
      <c r="G10" s="289" t="s">
        <v>364</v>
      </c>
      <c r="H10" s="258"/>
      <c r="I10" s="14" t="str">
        <f t="shared" si="9"/>
        <v>RHHSAoWALLoSAV60</v>
      </c>
      <c r="J10" s="14" t="str">
        <f t="shared" si="3"/>
        <v>RHHSAWallInsulationSAV.BAT60</v>
      </c>
      <c r="K10" s="14" t="s">
        <v>239</v>
      </c>
      <c r="L10" s="14" t="s">
        <v>240</v>
      </c>
      <c r="M10" s="14" t="str">
        <f t="shared" si="6"/>
        <v>RSDSAV</v>
      </c>
      <c r="N10" s="14" t="str">
        <f t="shared" si="10"/>
        <v>RHHSA</v>
      </c>
      <c r="O10" s="293">
        <f>X_RSD_HeatingDemand!$AA$14</f>
        <v>2019</v>
      </c>
      <c r="P10" s="14">
        <f t="shared" si="4"/>
        <v>2019</v>
      </c>
      <c r="Q10" s="568">
        <v>1</v>
      </c>
      <c r="R10" s="294">
        <v>1</v>
      </c>
      <c r="S10" s="295"/>
      <c r="T10" s="295">
        <v>60</v>
      </c>
      <c r="U10" s="572"/>
      <c r="V10" s="588">
        <f t="shared" si="5"/>
        <v>1089.081081081081</v>
      </c>
      <c r="W10" s="296">
        <v>31.536000000000001</v>
      </c>
      <c r="X10" s="587"/>
      <c r="Y10" s="258"/>
      <c r="Z10" s="560">
        <v>77.5</v>
      </c>
      <c r="AA10" s="560">
        <f t="shared" ref="AA10:AA17" si="11">$Z$8-Z10</f>
        <v>87.5</v>
      </c>
      <c r="AB10" s="561">
        <f t="shared" ref="AB10:AB17" si="12">AA10/8760</f>
        <v>9.9885844748858442E-3</v>
      </c>
      <c r="AC10" s="560">
        <v>91</v>
      </c>
      <c r="AD10" s="559">
        <f t="shared" ref="AD10:AD17" si="13">AC10/10/AB10</f>
        <v>911.04</v>
      </c>
      <c r="AE10" s="558"/>
      <c r="AJ10" s="560"/>
      <c r="AK10" s="560"/>
      <c r="AL10" s="561"/>
      <c r="AM10" s="560"/>
      <c r="AN10" s="559"/>
      <c r="AO10" s="558"/>
    </row>
    <row r="11" spans="1:41" ht="14.4" x14ac:dyDescent="0.3">
      <c r="A11" s="258">
        <v>70</v>
      </c>
      <c r="B11" s="258" t="str">
        <f t="shared" si="1"/>
        <v>WALL</v>
      </c>
      <c r="C11" s="258" t="str">
        <f t="shared" si="7"/>
        <v>WallInsulation</v>
      </c>
      <c r="D11" s="289"/>
      <c r="E11" s="14" t="str">
        <f t="shared" si="2"/>
        <v>RHHSA</v>
      </c>
      <c r="F11" s="289" t="str">
        <f t="shared" si="8"/>
        <v>SAV</v>
      </c>
      <c r="G11" s="289" t="s">
        <v>364</v>
      </c>
      <c r="H11" s="258"/>
      <c r="I11" s="14" t="str">
        <f t="shared" si="9"/>
        <v>RHHSAoWALLoSAV70</v>
      </c>
      <c r="J11" s="14" t="str">
        <f t="shared" si="3"/>
        <v>RHHSAWallInsulationSAV.BAT70</v>
      </c>
      <c r="K11" s="14" t="s">
        <v>239</v>
      </c>
      <c r="L11" s="14" t="s">
        <v>240</v>
      </c>
      <c r="M11" s="14" t="str">
        <f t="shared" si="6"/>
        <v>RSDSAV</v>
      </c>
      <c r="N11" s="14" t="str">
        <f t="shared" si="10"/>
        <v>RHHSA</v>
      </c>
      <c r="O11" s="293">
        <f>X_RSD_HeatingDemand!$AA$14</f>
        <v>2019</v>
      </c>
      <c r="P11" s="14">
        <f t="shared" si="4"/>
        <v>2019</v>
      </c>
      <c r="Q11" s="568">
        <v>1</v>
      </c>
      <c r="R11" s="294">
        <v>1</v>
      </c>
      <c r="S11" s="295"/>
      <c r="T11" s="295">
        <v>60</v>
      </c>
      <c r="U11" s="572"/>
      <c r="V11" s="588">
        <f t="shared" si="5"/>
        <v>925.21348314606746</v>
      </c>
      <c r="W11" s="296">
        <v>31.536000000000001</v>
      </c>
      <c r="X11" s="587"/>
      <c r="Y11" s="258"/>
      <c r="Z11" s="560">
        <v>80</v>
      </c>
      <c r="AA11" s="560">
        <f t="shared" si="11"/>
        <v>85</v>
      </c>
      <c r="AB11" s="561">
        <f t="shared" si="12"/>
        <v>9.7031963470319629E-3</v>
      </c>
      <c r="AC11" s="560">
        <v>90</v>
      </c>
      <c r="AD11" s="559">
        <f t="shared" si="13"/>
        <v>927.52941176470597</v>
      </c>
      <c r="AE11" s="558"/>
      <c r="AJ11" s="560"/>
      <c r="AK11" s="560"/>
      <c r="AL11" s="561"/>
      <c r="AM11" s="560"/>
      <c r="AN11" s="559"/>
      <c r="AO11" s="558"/>
    </row>
    <row r="12" spans="1:41" ht="14.4" x14ac:dyDescent="0.3">
      <c r="A12" s="258">
        <v>80</v>
      </c>
      <c r="B12" s="258" t="str">
        <f t="shared" si="1"/>
        <v>WALL</v>
      </c>
      <c r="C12" s="258" t="str">
        <f t="shared" si="7"/>
        <v>WallInsulation</v>
      </c>
      <c r="D12" s="289"/>
      <c r="E12" s="14" t="str">
        <f t="shared" si="2"/>
        <v>RHHSA</v>
      </c>
      <c r="F12" s="289" t="str">
        <f t="shared" si="8"/>
        <v>SAV</v>
      </c>
      <c r="G12" s="289" t="s">
        <v>364</v>
      </c>
      <c r="H12" s="258"/>
      <c r="I12" s="14" t="str">
        <f t="shared" si="9"/>
        <v>RHHSAoWALLoSAV80</v>
      </c>
      <c r="J12" s="14" t="str">
        <f t="shared" si="3"/>
        <v>RHHSAWallInsulationSAV.BAT80</v>
      </c>
      <c r="K12" s="14" t="s">
        <v>239</v>
      </c>
      <c r="L12" s="14" t="s">
        <v>240</v>
      </c>
      <c r="M12" s="14" t="str">
        <f t="shared" si="6"/>
        <v>RSDSAV</v>
      </c>
      <c r="N12" s="14" t="str">
        <f t="shared" si="10"/>
        <v>RHHSA</v>
      </c>
      <c r="O12" s="293">
        <f>X_RSD_HeatingDemand!$AA$14</f>
        <v>2019</v>
      </c>
      <c r="P12" s="14">
        <f t="shared" si="4"/>
        <v>2019</v>
      </c>
      <c r="Q12" s="568">
        <v>1</v>
      </c>
      <c r="R12" s="294">
        <v>1</v>
      </c>
      <c r="S12" s="295"/>
      <c r="T12" s="295">
        <v>60</v>
      </c>
      <c r="U12" s="572"/>
      <c r="V12" s="588">
        <f t="shared" si="5"/>
        <v>1051.2</v>
      </c>
      <c r="W12" s="296">
        <v>31.536000000000001</v>
      </c>
      <c r="X12" s="587"/>
      <c r="Y12" s="258"/>
      <c r="Z12" s="560">
        <v>70</v>
      </c>
      <c r="AA12" s="560">
        <f t="shared" si="11"/>
        <v>95</v>
      </c>
      <c r="AB12" s="561">
        <f t="shared" si="12"/>
        <v>1.0844748858447488E-2</v>
      </c>
      <c r="AC12" s="560">
        <v>117</v>
      </c>
      <c r="AD12" s="559">
        <f t="shared" si="13"/>
        <v>1078.8631578947368</v>
      </c>
      <c r="AE12" s="558"/>
      <c r="AJ12" s="560"/>
      <c r="AK12" s="560"/>
      <c r="AL12" s="561"/>
      <c r="AM12" s="560"/>
      <c r="AN12" s="559"/>
      <c r="AO12" s="558"/>
    </row>
    <row r="13" spans="1:41" ht="14.4" x14ac:dyDescent="0.3">
      <c r="A13" s="258">
        <v>90</v>
      </c>
      <c r="B13" s="258" t="str">
        <f t="shared" si="1"/>
        <v>WALL</v>
      </c>
      <c r="C13" s="258" t="str">
        <f t="shared" si="7"/>
        <v>WallInsulation</v>
      </c>
      <c r="D13" s="289"/>
      <c r="E13" s="14" t="str">
        <f t="shared" si="2"/>
        <v>RHHSA</v>
      </c>
      <c r="F13" s="289" t="str">
        <f t="shared" si="8"/>
        <v>SAV</v>
      </c>
      <c r="G13" s="289" t="s">
        <v>364</v>
      </c>
      <c r="H13" s="258"/>
      <c r="I13" s="14" t="str">
        <f t="shared" si="9"/>
        <v>RHHSAoWALLoSAV90</v>
      </c>
      <c r="J13" s="14" t="str">
        <f t="shared" si="3"/>
        <v>RHHSAWallInsulationSAV.BAT90</v>
      </c>
      <c r="K13" s="14" t="s">
        <v>239</v>
      </c>
      <c r="L13" s="14" t="s">
        <v>240</v>
      </c>
      <c r="M13" s="14" t="str">
        <f t="shared" si="6"/>
        <v>RSDSAV</v>
      </c>
      <c r="N13" s="14" t="str">
        <f t="shared" si="10"/>
        <v>RHHSA</v>
      </c>
      <c r="O13" s="293">
        <f>X_RSD_HeatingDemand!$AA$14</f>
        <v>2019</v>
      </c>
      <c r="P13" s="14">
        <f t="shared" si="4"/>
        <v>2019</v>
      </c>
      <c r="Q13" s="568">
        <v>1</v>
      </c>
      <c r="R13" s="294">
        <v>1</v>
      </c>
      <c r="S13" s="295"/>
      <c r="T13" s="295">
        <v>60</v>
      </c>
      <c r="U13" s="572"/>
      <c r="V13" s="588">
        <f t="shared" si="5"/>
        <v>813.42857142857144</v>
      </c>
      <c r="W13" s="296">
        <v>31.536000000000001</v>
      </c>
      <c r="X13" s="587"/>
      <c r="Y13" s="258"/>
      <c r="Z13" s="560">
        <v>74</v>
      </c>
      <c r="AA13" s="560">
        <f t="shared" si="11"/>
        <v>91</v>
      </c>
      <c r="AB13" s="561">
        <f t="shared" si="12"/>
        <v>1.0388127853881279E-2</v>
      </c>
      <c r="AC13" s="560">
        <v>95</v>
      </c>
      <c r="AD13" s="559">
        <f t="shared" si="13"/>
        <v>914.50549450549454</v>
      </c>
      <c r="AE13" s="558"/>
      <c r="AJ13" s="560"/>
      <c r="AK13" s="560"/>
      <c r="AL13" s="561"/>
      <c r="AM13" s="560"/>
      <c r="AN13" s="559"/>
      <c r="AO13" s="558"/>
    </row>
    <row r="14" spans="1:41" ht="14.4" x14ac:dyDescent="0.3">
      <c r="A14" s="258">
        <v>10</v>
      </c>
      <c r="B14" s="258" t="str">
        <f>IF(C14="WallInsulation","WALL",IF(C14="RoofInsulation","ROOF",IF(C14="BasementInsulation","BASE",IF(C14="WindowsChange","WINDOW"))))</f>
        <v>WALL</v>
      </c>
      <c r="C14" s="258" t="s">
        <v>1174</v>
      </c>
      <c r="D14" s="258"/>
      <c r="E14" s="14" t="str">
        <f>N14</f>
        <v>RHHSB</v>
      </c>
      <c r="F14" s="289" t="s">
        <v>1175</v>
      </c>
      <c r="G14" s="289" t="s">
        <v>364</v>
      </c>
      <c r="H14" s="289"/>
      <c r="I14" s="14" t="str">
        <f t="shared" si="9"/>
        <v>RHHSBoWALLoSAV10</v>
      </c>
      <c r="J14" s="14" t="str">
        <f t="shared" si="3"/>
        <v>RHHSBWallInsulationSAV.BAT10</v>
      </c>
      <c r="K14" s="14" t="s">
        <v>239</v>
      </c>
      <c r="L14" s="14" t="s">
        <v>240</v>
      </c>
      <c r="M14" s="14" t="s">
        <v>1176</v>
      </c>
      <c r="N14" s="14" t="s">
        <v>1178</v>
      </c>
      <c r="O14" s="293">
        <f>X_RSD_HeatingDemand!$AA$14</f>
        <v>2019</v>
      </c>
      <c r="P14" s="14">
        <f t="shared" si="4"/>
        <v>2019</v>
      </c>
      <c r="Q14" s="568">
        <v>1</v>
      </c>
      <c r="R14" s="294">
        <v>1</v>
      </c>
      <c r="S14" s="295"/>
      <c r="T14" s="295">
        <v>60</v>
      </c>
      <c r="U14" s="572"/>
      <c r="V14" s="588">
        <f>V5</f>
        <v>1070.6666666666667</v>
      </c>
      <c r="W14" s="296">
        <v>31.536000000000001</v>
      </c>
      <c r="X14" s="587"/>
      <c r="Z14" s="560">
        <v>72.5</v>
      </c>
      <c r="AA14" s="560">
        <f t="shared" si="11"/>
        <v>92.5</v>
      </c>
      <c r="AB14" s="561">
        <f t="shared" si="12"/>
        <v>1.0559360730593607E-2</v>
      </c>
      <c r="AC14" s="560">
        <v>115</v>
      </c>
      <c r="AD14" s="559">
        <f t="shared" si="13"/>
        <v>1089.081081081081</v>
      </c>
      <c r="AE14" s="558"/>
      <c r="AJ14" s="560"/>
      <c r="AK14" s="560"/>
      <c r="AL14" s="561"/>
      <c r="AM14" s="560"/>
      <c r="AN14" s="559"/>
      <c r="AO14" s="558"/>
    </row>
    <row r="15" spans="1:41" ht="14.4" x14ac:dyDescent="0.3">
      <c r="A15" s="258">
        <v>20</v>
      </c>
      <c r="B15" s="258" t="str">
        <f t="shared" ref="B15:B22" si="14">IF(C15="WallInsulation","WALL",IF(C15="RoofInsulation","ROOF",IF(C15="BasementInsulation","BASE",IF(C15="WindowsChange","WINDOW"))))</f>
        <v>WALL</v>
      </c>
      <c r="C15" s="258" t="str">
        <f>$C$5</f>
        <v>WallInsulation</v>
      </c>
      <c r="D15" s="289"/>
      <c r="E15" s="14" t="str">
        <f t="shared" ref="E15:E22" si="15">N15</f>
        <v>RHHSB</v>
      </c>
      <c r="F15" s="289" t="str">
        <f>F14</f>
        <v>SAV</v>
      </c>
      <c r="G15" s="289" t="s">
        <v>364</v>
      </c>
      <c r="H15" s="258"/>
      <c r="I15" s="14" t="str">
        <f t="shared" si="9"/>
        <v>RHHSBoWALLoSAV20</v>
      </c>
      <c r="J15" s="14" t="str">
        <f t="shared" si="3"/>
        <v>RHHSBWallInsulationSAV.BAT20</v>
      </c>
      <c r="K15" s="14" t="s">
        <v>239</v>
      </c>
      <c r="L15" s="14" t="s">
        <v>240</v>
      </c>
      <c r="M15" s="14" t="str">
        <f>$M$5</f>
        <v>RSDSAV</v>
      </c>
      <c r="N15" s="14" t="s">
        <v>1178</v>
      </c>
      <c r="O15" s="293">
        <f>X_RSD_HeatingDemand!$AA$14</f>
        <v>2019</v>
      </c>
      <c r="P15" s="14">
        <f t="shared" si="4"/>
        <v>2019</v>
      </c>
      <c r="Q15" s="568">
        <v>1</v>
      </c>
      <c r="R15" s="294">
        <v>1</v>
      </c>
      <c r="S15" s="295"/>
      <c r="T15" s="295">
        <v>60</v>
      </c>
      <c r="U15" s="572"/>
      <c r="V15" s="588">
        <f t="shared" ref="V15:V76" si="16">V6</f>
        <v>911.04</v>
      </c>
      <c r="W15" s="296">
        <v>31.536000000000001</v>
      </c>
      <c r="X15" s="587"/>
      <c r="Y15" s="258"/>
      <c r="Z15" s="560">
        <v>76</v>
      </c>
      <c r="AA15" s="560">
        <f t="shared" si="11"/>
        <v>89</v>
      </c>
      <c r="AB15" s="561">
        <f t="shared" si="12"/>
        <v>1.0159817351598174E-2</v>
      </c>
      <c r="AC15" s="560">
        <v>94</v>
      </c>
      <c r="AD15" s="559">
        <f t="shared" si="13"/>
        <v>925.21348314606746</v>
      </c>
      <c r="AE15" s="558"/>
      <c r="AJ15" s="560"/>
      <c r="AK15" s="560"/>
      <c r="AL15" s="561"/>
      <c r="AM15" s="560"/>
      <c r="AN15" s="559"/>
      <c r="AO15" s="558"/>
    </row>
    <row r="16" spans="1:41" ht="14.4" x14ac:dyDescent="0.3">
      <c r="A16" s="258">
        <v>30</v>
      </c>
      <c r="B16" s="258" t="str">
        <f t="shared" si="14"/>
        <v>WALL</v>
      </c>
      <c r="C16" s="258" t="str">
        <f>$C$5</f>
        <v>WallInsulation</v>
      </c>
      <c r="D16" s="289"/>
      <c r="E16" s="14" t="str">
        <f t="shared" si="15"/>
        <v>RHHSB</v>
      </c>
      <c r="F16" s="289" t="str">
        <f>F15</f>
        <v>SAV</v>
      </c>
      <c r="G16" s="289" t="s">
        <v>364</v>
      </c>
      <c r="H16" s="258"/>
      <c r="I16" s="14" t="str">
        <f t="shared" si="9"/>
        <v>RHHSBoWALLoSAV30</v>
      </c>
      <c r="J16" s="14" t="str">
        <f t="shared" si="3"/>
        <v>RHHSBWallInsulationSAV.BAT30</v>
      </c>
      <c r="K16" s="14" t="s">
        <v>239</v>
      </c>
      <c r="L16" s="14" t="s">
        <v>240</v>
      </c>
      <c r="M16" s="14" t="str">
        <f t="shared" ref="M16:M22" si="17">$M$5</f>
        <v>RSDSAV</v>
      </c>
      <c r="N16" s="14" t="s">
        <v>1178</v>
      </c>
      <c r="O16" s="293">
        <f>X_RSD_HeatingDemand!$AA$14</f>
        <v>2019</v>
      </c>
      <c r="P16" s="14">
        <f t="shared" si="4"/>
        <v>2019</v>
      </c>
      <c r="Q16" s="568">
        <v>1</v>
      </c>
      <c r="R16" s="294">
        <v>1</v>
      </c>
      <c r="S16" s="295"/>
      <c r="T16" s="295">
        <v>60</v>
      </c>
      <c r="U16" s="572"/>
      <c r="V16" s="588">
        <f t="shared" si="16"/>
        <v>927.52941176470597</v>
      </c>
      <c r="W16" s="296">
        <v>31.536000000000001</v>
      </c>
      <c r="X16" s="587"/>
      <c r="Y16" s="258"/>
      <c r="Z16" s="560">
        <v>90</v>
      </c>
      <c r="AA16" s="560">
        <f t="shared" si="11"/>
        <v>75</v>
      </c>
      <c r="AB16" s="561">
        <f t="shared" si="12"/>
        <v>8.5616438356164379E-3</v>
      </c>
      <c r="AC16" s="560">
        <v>90</v>
      </c>
      <c r="AD16" s="559">
        <f t="shared" si="13"/>
        <v>1051.2</v>
      </c>
      <c r="AE16" s="558"/>
      <c r="AJ16" s="560"/>
      <c r="AK16" s="560"/>
      <c r="AL16" s="561"/>
      <c r="AM16" s="560"/>
      <c r="AN16" s="559"/>
      <c r="AO16" s="558"/>
    </row>
    <row r="17" spans="1:41" ht="14.4" x14ac:dyDescent="0.3">
      <c r="A17" s="258">
        <v>40</v>
      </c>
      <c r="B17" s="258" t="str">
        <f t="shared" si="14"/>
        <v>WALL</v>
      </c>
      <c r="C17" s="258" t="str">
        <f>$C$5</f>
        <v>WallInsulation</v>
      </c>
      <c r="D17" s="289"/>
      <c r="E17" s="14" t="str">
        <f t="shared" si="15"/>
        <v>RHHSB</v>
      </c>
      <c r="F17" s="289" t="str">
        <f>F16</f>
        <v>SAV</v>
      </c>
      <c r="G17" s="289" t="s">
        <v>364</v>
      </c>
      <c r="H17" s="258"/>
      <c r="I17" s="14" t="str">
        <f t="shared" si="9"/>
        <v>RHHSBoWALLoSAV40</v>
      </c>
      <c r="J17" s="14" t="str">
        <f t="shared" si="3"/>
        <v>RHHSBWallInsulationSAV.BAT40</v>
      </c>
      <c r="K17" s="14" t="s">
        <v>239</v>
      </c>
      <c r="L17" s="14" t="s">
        <v>240</v>
      </c>
      <c r="M17" s="14" t="str">
        <f t="shared" si="17"/>
        <v>RSDSAV</v>
      </c>
      <c r="N17" s="14" t="s">
        <v>1178</v>
      </c>
      <c r="O17" s="293">
        <f>X_RSD_HeatingDemand!$AA$14</f>
        <v>2019</v>
      </c>
      <c r="P17" s="14">
        <f t="shared" si="4"/>
        <v>2019</v>
      </c>
      <c r="Q17" s="568">
        <v>1</v>
      </c>
      <c r="R17" s="294">
        <v>1</v>
      </c>
      <c r="S17" s="295"/>
      <c r="T17" s="295">
        <v>60</v>
      </c>
      <c r="U17" s="572"/>
      <c r="V17" s="588">
        <f t="shared" si="16"/>
        <v>1078.8631578947368</v>
      </c>
      <c r="W17" s="296">
        <v>31.536000000000001</v>
      </c>
      <c r="X17" s="587"/>
      <c r="Y17" s="258"/>
      <c r="Z17" s="560">
        <v>95</v>
      </c>
      <c r="AA17" s="560">
        <f t="shared" si="11"/>
        <v>70</v>
      </c>
      <c r="AB17" s="561">
        <f t="shared" si="12"/>
        <v>7.9908675799086754E-3</v>
      </c>
      <c r="AC17" s="560">
        <v>65</v>
      </c>
      <c r="AD17" s="559">
        <f t="shared" si="13"/>
        <v>813.42857142857144</v>
      </c>
      <c r="AE17" s="558"/>
      <c r="AG17" s="585" t="s">
        <v>1246</v>
      </c>
      <c r="AJ17" s="560"/>
      <c r="AK17" s="560"/>
      <c r="AL17" s="561"/>
      <c r="AM17" s="560"/>
      <c r="AN17" s="559"/>
      <c r="AO17" s="558"/>
    </row>
    <row r="18" spans="1:41" ht="13.5" customHeight="1" x14ac:dyDescent="0.25">
      <c r="A18" s="258">
        <v>50</v>
      </c>
      <c r="B18" s="258" t="str">
        <f t="shared" si="14"/>
        <v>WALL</v>
      </c>
      <c r="C18" s="258" t="str">
        <f t="shared" ref="C18:C22" si="18">$C$5</f>
        <v>WallInsulation</v>
      </c>
      <c r="D18" s="289"/>
      <c r="E18" s="14" t="str">
        <f t="shared" si="15"/>
        <v>RHHSB</v>
      </c>
      <c r="F18" s="289" t="str">
        <f t="shared" ref="F18:F22" si="19">F17</f>
        <v>SAV</v>
      </c>
      <c r="G18" s="289" t="s">
        <v>364</v>
      </c>
      <c r="H18" s="258"/>
      <c r="I18" s="14" t="str">
        <f t="shared" ref="I18:I67" si="20">LEFT(E18,8)&amp;("o")&amp;B18&amp;("o")&amp;RIGHT(M18,3)&amp;A18</f>
        <v>RHHSBoWALLoSAV50</v>
      </c>
      <c r="J18" s="14" t="str">
        <f t="shared" si="3"/>
        <v>RHHSBWallInsulationSAV.BAT50</v>
      </c>
      <c r="K18" s="14" t="s">
        <v>239</v>
      </c>
      <c r="L18" s="14" t="s">
        <v>240</v>
      </c>
      <c r="M18" s="14" t="str">
        <f t="shared" si="17"/>
        <v>RSDSAV</v>
      </c>
      <c r="N18" s="14" t="s">
        <v>1178</v>
      </c>
      <c r="O18" s="293">
        <f>X_RSD_HeatingDemand!$AA$14</f>
        <v>2019</v>
      </c>
      <c r="P18" s="14">
        <f t="shared" si="4"/>
        <v>2019</v>
      </c>
      <c r="Q18" s="568">
        <v>1</v>
      </c>
      <c r="R18" s="294">
        <v>1</v>
      </c>
      <c r="S18" s="295"/>
      <c r="T18" s="295">
        <v>60</v>
      </c>
      <c r="U18" s="572"/>
      <c r="V18" s="588">
        <f t="shared" si="16"/>
        <v>914.50549450549454</v>
      </c>
      <c r="W18" s="296">
        <v>31.536000000000001</v>
      </c>
      <c r="X18" s="587"/>
      <c r="Y18" s="258"/>
      <c r="Z18" s="258"/>
      <c r="AA18" s="258"/>
      <c r="AB18" s="258"/>
      <c r="AC18" s="258"/>
      <c r="AD18" s="258"/>
    </row>
    <row r="19" spans="1:41" x14ac:dyDescent="0.25">
      <c r="A19" s="258">
        <v>60</v>
      </c>
      <c r="B19" s="258" t="str">
        <f t="shared" si="14"/>
        <v>WALL</v>
      </c>
      <c r="C19" s="258" t="str">
        <f t="shared" si="18"/>
        <v>WallInsulation</v>
      </c>
      <c r="D19" s="289"/>
      <c r="E19" s="14" t="str">
        <f t="shared" si="15"/>
        <v>RHHSB</v>
      </c>
      <c r="F19" s="289" t="str">
        <f t="shared" si="19"/>
        <v>SAV</v>
      </c>
      <c r="G19" s="289" t="s">
        <v>364</v>
      </c>
      <c r="H19" s="258"/>
      <c r="I19" s="14" t="str">
        <f t="shared" si="20"/>
        <v>RHHSBoWALLoSAV60</v>
      </c>
      <c r="J19" s="14" t="str">
        <f t="shared" si="3"/>
        <v>RHHSBWallInsulationSAV.BAT60</v>
      </c>
      <c r="K19" s="14" t="s">
        <v>239</v>
      </c>
      <c r="L19" s="14" t="s">
        <v>240</v>
      </c>
      <c r="M19" s="14" t="str">
        <f t="shared" si="17"/>
        <v>RSDSAV</v>
      </c>
      <c r="N19" s="14" t="s">
        <v>1178</v>
      </c>
      <c r="O19" s="293">
        <f>X_RSD_HeatingDemand!$AA$14</f>
        <v>2019</v>
      </c>
      <c r="P19" s="14">
        <f t="shared" si="4"/>
        <v>2019</v>
      </c>
      <c r="Q19" s="568">
        <v>1</v>
      </c>
      <c r="R19" s="294">
        <v>1</v>
      </c>
      <c r="S19" s="295"/>
      <c r="T19" s="295">
        <v>60</v>
      </c>
      <c r="U19" s="572"/>
      <c r="V19" s="588">
        <f t="shared" si="16"/>
        <v>1089.081081081081</v>
      </c>
      <c r="W19" s="296">
        <v>31.536000000000001</v>
      </c>
      <c r="X19" s="587"/>
      <c r="Y19" s="258"/>
      <c r="Z19" s="258"/>
      <c r="AA19" s="258"/>
      <c r="AB19" s="258"/>
      <c r="AC19" s="258"/>
      <c r="AD19" s="258"/>
    </row>
    <row r="20" spans="1:41" x14ac:dyDescent="0.25">
      <c r="A20" s="258">
        <v>70</v>
      </c>
      <c r="B20" s="258" t="str">
        <f t="shared" si="14"/>
        <v>WALL</v>
      </c>
      <c r="C20" s="258" t="str">
        <f t="shared" si="18"/>
        <v>WallInsulation</v>
      </c>
      <c r="D20" s="289"/>
      <c r="E20" s="14" t="str">
        <f t="shared" si="15"/>
        <v>RHHSB</v>
      </c>
      <c r="F20" s="289" t="str">
        <f t="shared" si="19"/>
        <v>SAV</v>
      </c>
      <c r="G20" s="289" t="s">
        <v>364</v>
      </c>
      <c r="H20" s="258"/>
      <c r="I20" s="14" t="str">
        <f t="shared" si="20"/>
        <v>RHHSBoWALLoSAV70</v>
      </c>
      <c r="J20" s="14" t="str">
        <f t="shared" si="3"/>
        <v>RHHSBWallInsulationSAV.BAT70</v>
      </c>
      <c r="K20" s="14" t="s">
        <v>239</v>
      </c>
      <c r="L20" s="14" t="s">
        <v>240</v>
      </c>
      <c r="M20" s="14" t="str">
        <f t="shared" si="17"/>
        <v>RSDSAV</v>
      </c>
      <c r="N20" s="14" t="s">
        <v>1178</v>
      </c>
      <c r="O20" s="293">
        <f>X_RSD_HeatingDemand!$AA$14</f>
        <v>2019</v>
      </c>
      <c r="P20" s="14">
        <f t="shared" si="4"/>
        <v>2019</v>
      </c>
      <c r="Q20" s="568">
        <v>1</v>
      </c>
      <c r="R20" s="294">
        <v>1</v>
      </c>
      <c r="S20" s="295"/>
      <c r="T20" s="295">
        <v>60</v>
      </c>
      <c r="U20" s="572"/>
      <c r="V20" s="588">
        <f t="shared" si="16"/>
        <v>925.21348314606746</v>
      </c>
      <c r="W20" s="296">
        <v>31.536000000000001</v>
      </c>
      <c r="X20" s="587"/>
      <c r="Y20" s="258"/>
      <c r="Z20" s="258"/>
      <c r="AA20" s="258"/>
      <c r="AB20" s="258"/>
      <c r="AC20" s="258"/>
      <c r="AD20" s="258"/>
    </row>
    <row r="21" spans="1:41" x14ac:dyDescent="0.25">
      <c r="A21" s="258">
        <v>80</v>
      </c>
      <c r="B21" s="258" t="str">
        <f t="shared" si="14"/>
        <v>WALL</v>
      </c>
      <c r="C21" s="258" t="str">
        <f t="shared" si="18"/>
        <v>WallInsulation</v>
      </c>
      <c r="D21" s="289"/>
      <c r="E21" s="14" t="str">
        <f t="shared" si="15"/>
        <v>RHHSB</v>
      </c>
      <c r="F21" s="289" t="str">
        <f t="shared" si="19"/>
        <v>SAV</v>
      </c>
      <c r="G21" s="289" t="s">
        <v>364</v>
      </c>
      <c r="H21" s="258"/>
      <c r="I21" s="14" t="str">
        <f t="shared" si="20"/>
        <v>RHHSBoWALLoSAV80</v>
      </c>
      <c r="J21" s="14" t="str">
        <f t="shared" si="3"/>
        <v>RHHSBWallInsulationSAV.BAT80</v>
      </c>
      <c r="K21" s="14" t="s">
        <v>239</v>
      </c>
      <c r="L21" s="14" t="s">
        <v>240</v>
      </c>
      <c r="M21" s="14" t="str">
        <f t="shared" si="17"/>
        <v>RSDSAV</v>
      </c>
      <c r="N21" s="14" t="s">
        <v>1178</v>
      </c>
      <c r="O21" s="293">
        <f>X_RSD_HeatingDemand!$AA$14</f>
        <v>2019</v>
      </c>
      <c r="P21" s="14">
        <f t="shared" si="4"/>
        <v>2019</v>
      </c>
      <c r="Q21" s="568">
        <v>1</v>
      </c>
      <c r="R21" s="294">
        <v>1</v>
      </c>
      <c r="S21" s="295"/>
      <c r="T21" s="295">
        <v>60</v>
      </c>
      <c r="U21" s="572"/>
      <c r="V21" s="588">
        <f t="shared" si="16"/>
        <v>1051.2</v>
      </c>
      <c r="W21" s="296">
        <v>31.536000000000001</v>
      </c>
      <c r="X21" s="587"/>
      <c r="Y21" s="258"/>
      <c r="Z21" s="258"/>
      <c r="AA21" s="258"/>
      <c r="AB21" s="258"/>
      <c r="AC21" s="258"/>
      <c r="AD21" s="258"/>
    </row>
    <row r="22" spans="1:41" ht="13.5" customHeight="1" x14ac:dyDescent="0.25">
      <c r="A22" s="258">
        <v>90</v>
      </c>
      <c r="B22" s="258" t="str">
        <f t="shared" si="14"/>
        <v>WALL</v>
      </c>
      <c r="C22" s="258" t="str">
        <f t="shared" si="18"/>
        <v>WallInsulation</v>
      </c>
      <c r="D22" s="289"/>
      <c r="E22" s="14" t="str">
        <f t="shared" si="15"/>
        <v>RHHSB</v>
      </c>
      <c r="F22" s="289" t="str">
        <f t="shared" si="19"/>
        <v>SAV</v>
      </c>
      <c r="G22" s="289" t="s">
        <v>364</v>
      </c>
      <c r="H22" s="258"/>
      <c r="I22" s="14" t="str">
        <f t="shared" si="20"/>
        <v>RHHSBoWALLoSAV90</v>
      </c>
      <c r="J22" s="14" t="str">
        <f t="shared" si="3"/>
        <v>RHHSBWallInsulationSAV.BAT90</v>
      </c>
      <c r="K22" s="14" t="s">
        <v>239</v>
      </c>
      <c r="L22" s="14" t="s">
        <v>240</v>
      </c>
      <c r="M22" s="14" t="str">
        <f t="shared" si="17"/>
        <v>RSDSAV</v>
      </c>
      <c r="N22" s="14" t="s">
        <v>1178</v>
      </c>
      <c r="O22" s="293">
        <f>X_RSD_HeatingDemand!$AA$14</f>
        <v>2019</v>
      </c>
      <c r="P22" s="14">
        <f t="shared" si="4"/>
        <v>2019</v>
      </c>
      <c r="Q22" s="568">
        <v>1</v>
      </c>
      <c r="R22" s="294">
        <v>1</v>
      </c>
      <c r="S22" s="295"/>
      <c r="T22" s="295">
        <v>60</v>
      </c>
      <c r="U22" s="572"/>
      <c r="V22" s="588">
        <f t="shared" si="16"/>
        <v>813.42857142857144</v>
      </c>
      <c r="W22" s="296">
        <v>31.536000000000001</v>
      </c>
      <c r="X22" s="587"/>
      <c r="Y22" s="258"/>
      <c r="Z22" s="258"/>
      <c r="AA22" s="258"/>
      <c r="AB22" s="258"/>
      <c r="AC22" s="258"/>
      <c r="AD22" s="258"/>
    </row>
    <row r="23" spans="1:41" x14ac:dyDescent="0.25">
      <c r="A23" s="258">
        <v>10</v>
      </c>
      <c r="B23" s="258" t="str">
        <f>IF(C23="WallInsulation","WALL",IF(C23="RoofInsulation","ROOF",IF(C23="BasementInsulation","BASE",IF(C23="WindowsChange","WINDOW"))))</f>
        <v>WALL</v>
      </c>
      <c r="C23" s="258" t="s">
        <v>1174</v>
      </c>
      <c r="D23" s="258"/>
      <c r="E23" s="14" t="str">
        <f>N23</f>
        <v>RHHSC</v>
      </c>
      <c r="F23" s="289" t="s">
        <v>1175</v>
      </c>
      <c r="G23" s="289" t="s">
        <v>364</v>
      </c>
      <c r="H23" s="289"/>
      <c r="I23" s="14" t="str">
        <f t="shared" si="20"/>
        <v>RHHSCoWALLoSAV10</v>
      </c>
      <c r="J23" s="14" t="str">
        <f t="shared" si="3"/>
        <v>RHHSCWallInsulationSAV.BAT10</v>
      </c>
      <c r="K23" s="14" t="s">
        <v>239</v>
      </c>
      <c r="L23" s="14" t="s">
        <v>240</v>
      </c>
      <c r="M23" s="14" t="s">
        <v>1176</v>
      </c>
      <c r="N23" s="14" t="s">
        <v>1179</v>
      </c>
      <c r="O23" s="293">
        <f>X_RSD_HeatingDemand!$AA$14</f>
        <v>2019</v>
      </c>
      <c r="P23" s="14">
        <f t="shared" si="4"/>
        <v>2019</v>
      </c>
      <c r="Q23" s="568">
        <v>1</v>
      </c>
      <c r="R23" s="294">
        <v>1</v>
      </c>
      <c r="S23" s="295"/>
      <c r="T23" s="295">
        <v>60</v>
      </c>
      <c r="U23" s="572"/>
      <c r="V23" s="588">
        <f t="shared" si="16"/>
        <v>1070.6666666666667</v>
      </c>
      <c r="W23" s="296">
        <v>31.536000000000001</v>
      </c>
      <c r="X23" s="587"/>
      <c r="Y23" s="258"/>
      <c r="Z23" s="258"/>
      <c r="AA23" s="258"/>
      <c r="AB23" s="258"/>
      <c r="AC23" s="258"/>
      <c r="AD23" s="258"/>
    </row>
    <row r="24" spans="1:41" x14ac:dyDescent="0.25">
      <c r="A24" s="258">
        <v>20</v>
      </c>
      <c r="B24" s="258" t="str">
        <f t="shared" ref="B24:B31" si="21">IF(C24="WallInsulation","WALL",IF(C24="RoofInsulation","ROOF",IF(C24="BasementInsulation","BASE",IF(C24="WindowsChange","WINDOW"))))</f>
        <v>WALL</v>
      </c>
      <c r="C24" s="258" t="str">
        <f>$C$5</f>
        <v>WallInsulation</v>
      </c>
      <c r="D24" s="289"/>
      <c r="E24" s="14" t="str">
        <f t="shared" ref="E24:E31" si="22">N24</f>
        <v>RHHSC</v>
      </c>
      <c r="F24" s="289" t="str">
        <f>F23</f>
        <v>SAV</v>
      </c>
      <c r="G24" s="289" t="s">
        <v>364</v>
      </c>
      <c r="H24" s="258"/>
      <c r="I24" s="14" t="str">
        <f t="shared" si="20"/>
        <v>RHHSCoWALLoSAV20</v>
      </c>
      <c r="J24" s="14" t="str">
        <f t="shared" si="3"/>
        <v>RHHSCWallInsulationSAV.BAT20</v>
      </c>
      <c r="K24" s="14" t="s">
        <v>239</v>
      </c>
      <c r="L24" s="14" t="s">
        <v>240</v>
      </c>
      <c r="M24" s="14" t="str">
        <f>$M$5</f>
        <v>RSDSAV</v>
      </c>
      <c r="N24" s="14" t="s">
        <v>1179</v>
      </c>
      <c r="O24" s="293">
        <f>X_RSD_HeatingDemand!$AA$14</f>
        <v>2019</v>
      </c>
      <c r="P24" s="14">
        <f t="shared" si="4"/>
        <v>2019</v>
      </c>
      <c r="Q24" s="568">
        <v>1</v>
      </c>
      <c r="R24" s="294">
        <v>1</v>
      </c>
      <c r="S24" s="295"/>
      <c r="T24" s="295">
        <v>60</v>
      </c>
      <c r="U24" s="572"/>
      <c r="V24" s="588">
        <f t="shared" si="16"/>
        <v>911.04</v>
      </c>
      <c r="W24" s="296">
        <v>31.536000000000001</v>
      </c>
      <c r="X24" s="587"/>
      <c r="Y24" s="258"/>
      <c r="Z24" s="258"/>
      <c r="AA24" s="258"/>
      <c r="AB24" s="258"/>
      <c r="AC24" s="258"/>
      <c r="AD24" s="258"/>
    </row>
    <row r="25" spans="1:41" x14ac:dyDescent="0.25">
      <c r="A25" s="258">
        <v>30</v>
      </c>
      <c r="B25" s="258" t="str">
        <f t="shared" si="21"/>
        <v>WALL</v>
      </c>
      <c r="C25" s="258" t="str">
        <f>$C$5</f>
        <v>WallInsulation</v>
      </c>
      <c r="D25" s="289"/>
      <c r="E25" s="14" t="str">
        <f t="shared" si="22"/>
        <v>RHHSC</v>
      </c>
      <c r="F25" s="289" t="str">
        <f>F24</f>
        <v>SAV</v>
      </c>
      <c r="G25" s="289" t="s">
        <v>364</v>
      </c>
      <c r="H25" s="258"/>
      <c r="I25" s="14" t="str">
        <f t="shared" si="20"/>
        <v>RHHSCoWALLoSAV30</v>
      </c>
      <c r="J25" s="14" t="str">
        <f t="shared" si="3"/>
        <v>RHHSCWallInsulationSAV.BAT30</v>
      </c>
      <c r="K25" s="14" t="s">
        <v>239</v>
      </c>
      <c r="L25" s="14" t="s">
        <v>240</v>
      </c>
      <c r="M25" s="14" t="str">
        <f t="shared" ref="M25:M31" si="23">$M$5</f>
        <v>RSDSAV</v>
      </c>
      <c r="N25" s="14" t="s">
        <v>1179</v>
      </c>
      <c r="O25" s="293">
        <f>X_RSD_HeatingDemand!$AA$14</f>
        <v>2019</v>
      </c>
      <c r="P25" s="14">
        <f t="shared" si="4"/>
        <v>2019</v>
      </c>
      <c r="Q25" s="568">
        <v>1</v>
      </c>
      <c r="R25" s="294">
        <v>1</v>
      </c>
      <c r="S25" s="295"/>
      <c r="T25" s="295">
        <v>60</v>
      </c>
      <c r="U25" s="572"/>
      <c r="V25" s="588">
        <f t="shared" si="16"/>
        <v>927.52941176470597</v>
      </c>
      <c r="W25" s="296">
        <v>31.536000000000001</v>
      </c>
      <c r="X25" s="587"/>
      <c r="Y25" s="258"/>
      <c r="Z25" s="258"/>
      <c r="AA25" s="258"/>
      <c r="AB25" s="258"/>
      <c r="AC25" s="258"/>
      <c r="AD25" s="258"/>
    </row>
    <row r="26" spans="1:41" x14ac:dyDescent="0.25">
      <c r="A26" s="258">
        <v>40</v>
      </c>
      <c r="B26" s="258" t="str">
        <f t="shared" si="21"/>
        <v>WALL</v>
      </c>
      <c r="C26" s="258" t="str">
        <f>$C$5</f>
        <v>WallInsulation</v>
      </c>
      <c r="D26" s="289"/>
      <c r="E26" s="14" t="str">
        <f t="shared" si="22"/>
        <v>RHHSC</v>
      </c>
      <c r="F26" s="289" t="str">
        <f>F25</f>
        <v>SAV</v>
      </c>
      <c r="G26" s="289" t="s">
        <v>364</v>
      </c>
      <c r="H26" s="258"/>
      <c r="I26" s="14" t="str">
        <f t="shared" si="20"/>
        <v>RHHSCoWALLoSAV40</v>
      </c>
      <c r="J26" s="14" t="str">
        <f t="shared" si="3"/>
        <v>RHHSCWallInsulationSAV.BAT40</v>
      </c>
      <c r="K26" s="14" t="s">
        <v>239</v>
      </c>
      <c r="L26" s="14" t="s">
        <v>240</v>
      </c>
      <c r="M26" s="14" t="str">
        <f t="shared" si="23"/>
        <v>RSDSAV</v>
      </c>
      <c r="N26" s="14" t="s">
        <v>1179</v>
      </c>
      <c r="O26" s="293">
        <f>X_RSD_HeatingDemand!$AA$14</f>
        <v>2019</v>
      </c>
      <c r="P26" s="14">
        <f t="shared" si="4"/>
        <v>2019</v>
      </c>
      <c r="Q26" s="568">
        <v>1</v>
      </c>
      <c r="R26" s="294">
        <v>1</v>
      </c>
      <c r="S26" s="295"/>
      <c r="T26" s="295">
        <v>60</v>
      </c>
      <c r="U26" s="572"/>
      <c r="V26" s="588">
        <f t="shared" si="16"/>
        <v>1078.8631578947368</v>
      </c>
      <c r="W26" s="296">
        <v>31.536000000000001</v>
      </c>
      <c r="X26" s="587"/>
      <c r="Y26" s="258"/>
      <c r="Z26" s="258"/>
      <c r="AA26" s="258"/>
      <c r="AB26" s="258"/>
      <c r="AC26" s="258"/>
      <c r="AD26" s="258"/>
    </row>
    <row r="27" spans="1:41" x14ac:dyDescent="0.25">
      <c r="A27" s="258">
        <v>50</v>
      </c>
      <c r="B27" s="258" t="str">
        <f t="shared" si="21"/>
        <v>WALL</v>
      </c>
      <c r="C27" s="258" t="str">
        <f t="shared" ref="C27:C31" si="24">$C$5</f>
        <v>WallInsulation</v>
      </c>
      <c r="D27" s="289"/>
      <c r="E27" s="14" t="str">
        <f t="shared" si="22"/>
        <v>RHHSC</v>
      </c>
      <c r="F27" s="289" t="str">
        <f t="shared" ref="F27:F31" si="25">F26</f>
        <v>SAV</v>
      </c>
      <c r="G27" s="289" t="s">
        <v>364</v>
      </c>
      <c r="H27" s="258"/>
      <c r="I27" s="14" t="str">
        <f t="shared" si="20"/>
        <v>RHHSCoWALLoSAV50</v>
      </c>
      <c r="J27" s="14" t="str">
        <f t="shared" si="3"/>
        <v>RHHSCWallInsulationSAV.BAT50</v>
      </c>
      <c r="K27" s="14" t="s">
        <v>239</v>
      </c>
      <c r="L27" s="14" t="s">
        <v>240</v>
      </c>
      <c r="M27" s="14" t="str">
        <f t="shared" si="23"/>
        <v>RSDSAV</v>
      </c>
      <c r="N27" s="14" t="s">
        <v>1179</v>
      </c>
      <c r="O27" s="293">
        <f>X_RSD_HeatingDemand!$AA$14</f>
        <v>2019</v>
      </c>
      <c r="P27" s="14">
        <f t="shared" si="4"/>
        <v>2019</v>
      </c>
      <c r="Q27" s="568">
        <v>1</v>
      </c>
      <c r="R27" s="294">
        <v>1</v>
      </c>
      <c r="S27" s="295"/>
      <c r="T27" s="295">
        <v>60</v>
      </c>
      <c r="U27" s="572"/>
      <c r="V27" s="588">
        <f t="shared" si="16"/>
        <v>914.50549450549454</v>
      </c>
      <c r="W27" s="296">
        <v>31.536000000000001</v>
      </c>
      <c r="X27" s="587"/>
      <c r="Y27" s="258"/>
      <c r="Z27" s="258"/>
      <c r="AA27" s="258"/>
      <c r="AB27" s="258"/>
      <c r="AC27" s="258"/>
      <c r="AD27" s="258"/>
    </row>
    <row r="28" spans="1:41" x14ac:dyDescent="0.25">
      <c r="A28" s="258">
        <v>60</v>
      </c>
      <c r="B28" s="258" t="str">
        <f t="shared" si="21"/>
        <v>WALL</v>
      </c>
      <c r="C28" s="258" t="str">
        <f t="shared" si="24"/>
        <v>WallInsulation</v>
      </c>
      <c r="D28" s="289"/>
      <c r="E28" s="14" t="str">
        <f t="shared" si="22"/>
        <v>RHHSC</v>
      </c>
      <c r="F28" s="289" t="str">
        <f t="shared" si="25"/>
        <v>SAV</v>
      </c>
      <c r="G28" s="289" t="s">
        <v>364</v>
      </c>
      <c r="H28" s="258"/>
      <c r="I28" s="14" t="str">
        <f t="shared" si="20"/>
        <v>RHHSCoWALLoSAV60</v>
      </c>
      <c r="J28" s="14" t="str">
        <f t="shared" si="3"/>
        <v>RHHSCWallInsulationSAV.BAT60</v>
      </c>
      <c r="K28" s="14" t="s">
        <v>239</v>
      </c>
      <c r="L28" s="14" t="s">
        <v>240</v>
      </c>
      <c r="M28" s="14" t="str">
        <f t="shared" si="23"/>
        <v>RSDSAV</v>
      </c>
      <c r="N28" s="14" t="s">
        <v>1179</v>
      </c>
      <c r="O28" s="293">
        <f>X_RSD_HeatingDemand!$AA$14</f>
        <v>2019</v>
      </c>
      <c r="P28" s="14">
        <f t="shared" si="4"/>
        <v>2019</v>
      </c>
      <c r="Q28" s="568">
        <v>1</v>
      </c>
      <c r="R28" s="294">
        <v>1</v>
      </c>
      <c r="S28" s="295"/>
      <c r="T28" s="295">
        <v>60</v>
      </c>
      <c r="U28" s="572"/>
      <c r="V28" s="588">
        <f t="shared" si="16"/>
        <v>1089.081081081081</v>
      </c>
      <c r="W28" s="296">
        <v>31.536000000000001</v>
      </c>
      <c r="X28" s="587"/>
      <c r="Y28" s="258"/>
      <c r="Z28" s="258"/>
      <c r="AA28" s="258"/>
      <c r="AB28" s="258"/>
      <c r="AC28" s="258"/>
      <c r="AD28" s="258"/>
    </row>
    <row r="29" spans="1:41" x14ac:dyDescent="0.25">
      <c r="A29" s="258">
        <v>70</v>
      </c>
      <c r="B29" s="258" t="str">
        <f t="shared" si="21"/>
        <v>WALL</v>
      </c>
      <c r="C29" s="258" t="str">
        <f t="shared" si="24"/>
        <v>WallInsulation</v>
      </c>
      <c r="D29" s="289"/>
      <c r="E29" s="14" t="str">
        <f t="shared" si="22"/>
        <v>RHHSC</v>
      </c>
      <c r="F29" s="289" t="str">
        <f t="shared" si="25"/>
        <v>SAV</v>
      </c>
      <c r="G29" s="289" t="s">
        <v>364</v>
      </c>
      <c r="H29" s="258"/>
      <c r="I29" s="14" t="str">
        <f t="shared" si="20"/>
        <v>RHHSCoWALLoSAV70</v>
      </c>
      <c r="J29" s="14" t="str">
        <f t="shared" si="3"/>
        <v>RHHSCWallInsulationSAV.BAT70</v>
      </c>
      <c r="K29" s="14" t="s">
        <v>239</v>
      </c>
      <c r="L29" s="14" t="s">
        <v>240</v>
      </c>
      <c r="M29" s="14" t="str">
        <f t="shared" si="23"/>
        <v>RSDSAV</v>
      </c>
      <c r="N29" s="14" t="s">
        <v>1179</v>
      </c>
      <c r="O29" s="293">
        <f>X_RSD_HeatingDemand!$AA$14</f>
        <v>2019</v>
      </c>
      <c r="P29" s="14">
        <f t="shared" si="4"/>
        <v>2019</v>
      </c>
      <c r="Q29" s="568">
        <v>1</v>
      </c>
      <c r="R29" s="294">
        <v>1</v>
      </c>
      <c r="S29" s="295"/>
      <c r="T29" s="295">
        <v>60</v>
      </c>
      <c r="U29" s="572"/>
      <c r="V29" s="588">
        <f t="shared" si="16"/>
        <v>925.21348314606746</v>
      </c>
      <c r="W29" s="296">
        <v>31.536000000000001</v>
      </c>
      <c r="X29" s="587"/>
      <c r="Y29" s="258"/>
      <c r="Z29" s="258"/>
      <c r="AA29" s="258"/>
      <c r="AB29" s="258"/>
      <c r="AC29" s="258"/>
      <c r="AD29" s="258"/>
    </row>
    <row r="30" spans="1:41" x14ac:dyDescent="0.25">
      <c r="A30" s="258">
        <v>80</v>
      </c>
      <c r="B30" s="258" t="str">
        <f t="shared" si="21"/>
        <v>WALL</v>
      </c>
      <c r="C30" s="258" t="str">
        <f t="shared" si="24"/>
        <v>WallInsulation</v>
      </c>
      <c r="D30" s="289"/>
      <c r="E30" s="14" t="str">
        <f t="shared" si="22"/>
        <v>RHHSC</v>
      </c>
      <c r="F30" s="289" t="str">
        <f t="shared" si="25"/>
        <v>SAV</v>
      </c>
      <c r="G30" s="289" t="s">
        <v>364</v>
      </c>
      <c r="H30" s="258"/>
      <c r="I30" s="14" t="str">
        <f t="shared" si="20"/>
        <v>RHHSCoWALLoSAV80</v>
      </c>
      <c r="J30" s="14" t="str">
        <f t="shared" si="3"/>
        <v>RHHSCWallInsulationSAV.BAT80</v>
      </c>
      <c r="K30" s="14" t="s">
        <v>239</v>
      </c>
      <c r="L30" s="14" t="s">
        <v>240</v>
      </c>
      <c r="M30" s="14" t="str">
        <f t="shared" si="23"/>
        <v>RSDSAV</v>
      </c>
      <c r="N30" s="14" t="s">
        <v>1179</v>
      </c>
      <c r="O30" s="293">
        <f>X_RSD_HeatingDemand!$AA$14</f>
        <v>2019</v>
      </c>
      <c r="P30" s="14">
        <f t="shared" si="4"/>
        <v>2019</v>
      </c>
      <c r="Q30" s="568">
        <v>1</v>
      </c>
      <c r="R30" s="294">
        <v>1</v>
      </c>
      <c r="S30" s="295"/>
      <c r="T30" s="295">
        <v>60</v>
      </c>
      <c r="U30" s="572"/>
      <c r="V30" s="588">
        <f t="shared" si="16"/>
        <v>1051.2</v>
      </c>
      <c r="W30" s="296">
        <v>31.536000000000001</v>
      </c>
      <c r="X30" s="587"/>
      <c r="Y30" s="258"/>
      <c r="Z30" s="258"/>
      <c r="AA30" s="258"/>
      <c r="AB30" s="258"/>
      <c r="AC30" s="258"/>
      <c r="AD30" s="258"/>
    </row>
    <row r="31" spans="1:41" x14ac:dyDescent="0.25">
      <c r="A31" s="258">
        <v>90</v>
      </c>
      <c r="B31" s="258" t="str">
        <f t="shared" si="21"/>
        <v>WALL</v>
      </c>
      <c r="C31" s="258" t="str">
        <f t="shared" si="24"/>
        <v>WallInsulation</v>
      </c>
      <c r="D31" s="289"/>
      <c r="E31" s="14" t="str">
        <f t="shared" si="22"/>
        <v>RHHSC</v>
      </c>
      <c r="F31" s="289" t="str">
        <f t="shared" si="25"/>
        <v>SAV</v>
      </c>
      <c r="G31" s="289" t="s">
        <v>364</v>
      </c>
      <c r="H31" s="258"/>
      <c r="I31" s="14" t="str">
        <f t="shared" si="20"/>
        <v>RHHSCoWALLoSAV90</v>
      </c>
      <c r="J31" s="14" t="str">
        <f t="shared" si="3"/>
        <v>RHHSCWallInsulationSAV.BAT90</v>
      </c>
      <c r="K31" s="14" t="s">
        <v>239</v>
      </c>
      <c r="L31" s="14" t="s">
        <v>240</v>
      </c>
      <c r="M31" s="14" t="str">
        <f t="shared" si="23"/>
        <v>RSDSAV</v>
      </c>
      <c r="N31" s="14" t="s">
        <v>1179</v>
      </c>
      <c r="O31" s="293">
        <f>X_RSD_HeatingDemand!$AA$14</f>
        <v>2019</v>
      </c>
      <c r="P31" s="14">
        <f t="shared" si="4"/>
        <v>2019</v>
      </c>
      <c r="Q31" s="568">
        <v>1</v>
      </c>
      <c r="R31" s="294">
        <v>1</v>
      </c>
      <c r="S31" s="295"/>
      <c r="T31" s="295">
        <v>60</v>
      </c>
      <c r="U31" s="572"/>
      <c r="V31" s="588">
        <f t="shared" si="16"/>
        <v>813.42857142857144</v>
      </c>
      <c r="W31" s="296">
        <v>31.536000000000001</v>
      </c>
      <c r="X31" s="587"/>
      <c r="Y31" s="258"/>
      <c r="Z31" s="258"/>
      <c r="AA31" s="258"/>
      <c r="AB31" s="258"/>
      <c r="AC31" s="258"/>
      <c r="AD31" s="258"/>
    </row>
    <row r="32" spans="1:41" x14ac:dyDescent="0.25">
      <c r="A32" s="258">
        <v>10</v>
      </c>
      <c r="B32" s="258" t="str">
        <f>IF(C32="WallInsulation","WALL",IF(C32="RoofInsulation","ROOF",IF(C32="BasementInsulation","BASE",IF(C32="WindowsChange","WINDOW"))))</f>
        <v>WALL</v>
      </c>
      <c r="C32" s="258" t="s">
        <v>1174</v>
      </c>
      <c r="D32" s="258"/>
      <c r="E32" s="14" t="str">
        <f>N32</f>
        <v>RHHSE</v>
      </c>
      <c r="F32" s="289" t="s">
        <v>1175</v>
      </c>
      <c r="G32" s="289" t="s">
        <v>364</v>
      </c>
      <c r="H32" s="289"/>
      <c r="I32" s="14" t="str">
        <f t="shared" si="20"/>
        <v>RHHSEoWALLoSAV10</v>
      </c>
      <c r="J32" s="14" t="str">
        <f t="shared" si="3"/>
        <v>RHHSEWallInsulationSAV.BAT10</v>
      </c>
      <c r="K32" s="14" t="s">
        <v>239</v>
      </c>
      <c r="L32" s="14" t="s">
        <v>240</v>
      </c>
      <c r="M32" s="14" t="s">
        <v>1176</v>
      </c>
      <c r="N32" s="14" t="s">
        <v>1180</v>
      </c>
      <c r="O32" s="293">
        <f>X_RSD_HeatingDemand!$AA$14</f>
        <v>2019</v>
      </c>
      <c r="P32" s="14">
        <f t="shared" si="4"/>
        <v>2019</v>
      </c>
      <c r="Q32" s="568">
        <v>1</v>
      </c>
      <c r="R32" s="294">
        <v>1</v>
      </c>
      <c r="S32" s="295"/>
      <c r="T32" s="295">
        <v>60</v>
      </c>
      <c r="U32" s="572"/>
      <c r="V32" s="588">
        <f t="shared" si="16"/>
        <v>1070.6666666666667</v>
      </c>
      <c r="W32" s="296">
        <v>31.536000000000001</v>
      </c>
      <c r="X32" s="587"/>
      <c r="Y32" s="258"/>
      <c r="Z32" s="258"/>
      <c r="AA32" s="258"/>
      <c r="AB32" s="258"/>
      <c r="AC32" s="258"/>
      <c r="AD32" s="258"/>
    </row>
    <row r="33" spans="1:30" x14ac:dyDescent="0.25">
      <c r="A33" s="258">
        <v>20</v>
      </c>
      <c r="B33" s="258" t="str">
        <f t="shared" ref="B33:B40" si="26">IF(C33="WallInsulation","WALL",IF(C33="RoofInsulation","ROOF",IF(C33="BasementInsulation","BASE",IF(C33="WindowsChange","WINDOW"))))</f>
        <v>WALL</v>
      </c>
      <c r="C33" s="258" t="str">
        <f>$C$5</f>
        <v>WallInsulation</v>
      </c>
      <c r="D33" s="289"/>
      <c r="E33" s="14" t="str">
        <f t="shared" ref="E33:E40" si="27">N33</f>
        <v>RHHSE</v>
      </c>
      <c r="F33" s="289" t="str">
        <f>F32</f>
        <v>SAV</v>
      </c>
      <c r="G33" s="289" t="s">
        <v>364</v>
      </c>
      <c r="H33" s="258"/>
      <c r="I33" s="14" t="str">
        <f t="shared" si="20"/>
        <v>RHHSEoWALLoSAV20</v>
      </c>
      <c r="J33" s="14" t="str">
        <f t="shared" si="3"/>
        <v>RHHSEWallInsulationSAV.BAT20</v>
      </c>
      <c r="K33" s="14" t="s">
        <v>239</v>
      </c>
      <c r="L33" s="14" t="s">
        <v>240</v>
      </c>
      <c r="M33" s="14" t="str">
        <f>$M$5</f>
        <v>RSDSAV</v>
      </c>
      <c r="N33" s="14" t="s">
        <v>1180</v>
      </c>
      <c r="O33" s="293">
        <f>X_RSD_HeatingDemand!$AA$14</f>
        <v>2019</v>
      </c>
      <c r="P33" s="14">
        <f t="shared" si="4"/>
        <v>2019</v>
      </c>
      <c r="Q33" s="568">
        <v>1</v>
      </c>
      <c r="R33" s="294">
        <v>1</v>
      </c>
      <c r="S33" s="295"/>
      <c r="T33" s="295">
        <v>60</v>
      </c>
      <c r="U33" s="572"/>
      <c r="V33" s="588">
        <f t="shared" si="16"/>
        <v>911.04</v>
      </c>
      <c r="W33" s="296">
        <v>31.536000000000001</v>
      </c>
      <c r="X33" s="587"/>
      <c r="Y33" s="258"/>
      <c r="Z33" s="258"/>
      <c r="AA33" s="258"/>
      <c r="AB33" s="258"/>
      <c r="AC33" s="258"/>
      <c r="AD33" s="258"/>
    </row>
    <row r="34" spans="1:30" x14ac:dyDescent="0.25">
      <c r="A34" s="258">
        <v>30</v>
      </c>
      <c r="B34" s="258" t="str">
        <f t="shared" si="26"/>
        <v>WALL</v>
      </c>
      <c r="C34" s="258" t="str">
        <f>$C$5</f>
        <v>WallInsulation</v>
      </c>
      <c r="D34" s="289"/>
      <c r="E34" s="14" t="str">
        <f t="shared" si="27"/>
        <v>RHHSE</v>
      </c>
      <c r="F34" s="289" t="str">
        <f>F33</f>
        <v>SAV</v>
      </c>
      <c r="G34" s="289" t="s">
        <v>364</v>
      </c>
      <c r="H34" s="258"/>
      <c r="I34" s="14" t="str">
        <f t="shared" si="20"/>
        <v>RHHSEoWALLoSAV30</v>
      </c>
      <c r="J34" s="14" t="str">
        <f t="shared" si="3"/>
        <v>RHHSEWallInsulationSAV.BAT30</v>
      </c>
      <c r="K34" s="14" t="s">
        <v>239</v>
      </c>
      <c r="L34" s="14" t="s">
        <v>240</v>
      </c>
      <c r="M34" s="14" t="str">
        <f t="shared" ref="M34:M40" si="28">$M$5</f>
        <v>RSDSAV</v>
      </c>
      <c r="N34" s="14" t="s">
        <v>1180</v>
      </c>
      <c r="O34" s="293">
        <f>X_RSD_HeatingDemand!$AA$14</f>
        <v>2019</v>
      </c>
      <c r="P34" s="14">
        <f t="shared" si="4"/>
        <v>2019</v>
      </c>
      <c r="Q34" s="568">
        <v>1</v>
      </c>
      <c r="R34" s="294">
        <v>1</v>
      </c>
      <c r="S34" s="295"/>
      <c r="T34" s="295">
        <v>60</v>
      </c>
      <c r="U34" s="572"/>
      <c r="V34" s="588">
        <f t="shared" si="16"/>
        <v>927.52941176470597</v>
      </c>
      <c r="W34" s="296">
        <v>31.536000000000001</v>
      </c>
      <c r="X34" s="587"/>
      <c r="Y34" s="258"/>
      <c r="Z34" s="258"/>
      <c r="AA34" s="258"/>
      <c r="AB34" s="258"/>
      <c r="AC34" s="258"/>
      <c r="AD34" s="258"/>
    </row>
    <row r="35" spans="1:30" x14ac:dyDescent="0.25">
      <c r="A35" s="258">
        <v>40</v>
      </c>
      <c r="B35" s="258" t="str">
        <f t="shared" si="26"/>
        <v>WALL</v>
      </c>
      <c r="C35" s="258" t="str">
        <f>$C$5</f>
        <v>WallInsulation</v>
      </c>
      <c r="D35" s="289"/>
      <c r="E35" s="14" t="str">
        <f t="shared" si="27"/>
        <v>RHHSE</v>
      </c>
      <c r="F35" s="289" t="str">
        <f>F34</f>
        <v>SAV</v>
      </c>
      <c r="G35" s="289" t="s">
        <v>364</v>
      </c>
      <c r="H35" s="258"/>
      <c r="I35" s="14" t="str">
        <f t="shared" si="20"/>
        <v>RHHSEoWALLoSAV40</v>
      </c>
      <c r="J35" s="14" t="str">
        <f t="shared" si="3"/>
        <v>RHHSEWallInsulationSAV.BAT40</v>
      </c>
      <c r="K35" s="14" t="s">
        <v>239</v>
      </c>
      <c r="L35" s="14" t="s">
        <v>240</v>
      </c>
      <c r="M35" s="14" t="str">
        <f t="shared" si="28"/>
        <v>RSDSAV</v>
      </c>
      <c r="N35" s="14" t="s">
        <v>1180</v>
      </c>
      <c r="O35" s="293">
        <f>X_RSD_HeatingDemand!$AA$14</f>
        <v>2019</v>
      </c>
      <c r="P35" s="14">
        <f t="shared" si="4"/>
        <v>2019</v>
      </c>
      <c r="Q35" s="568">
        <v>1</v>
      </c>
      <c r="R35" s="294">
        <v>1</v>
      </c>
      <c r="S35" s="295"/>
      <c r="T35" s="295">
        <v>60</v>
      </c>
      <c r="U35" s="572"/>
      <c r="V35" s="588">
        <f t="shared" si="16"/>
        <v>1078.8631578947368</v>
      </c>
      <c r="W35" s="296">
        <v>31.536000000000001</v>
      </c>
      <c r="X35" s="587"/>
      <c r="Y35" s="258"/>
      <c r="Z35" s="258"/>
      <c r="AA35" s="258"/>
      <c r="AB35" s="258"/>
      <c r="AC35" s="258"/>
      <c r="AD35" s="258"/>
    </row>
    <row r="36" spans="1:30" x14ac:dyDescent="0.25">
      <c r="A36" s="258">
        <v>50</v>
      </c>
      <c r="B36" s="258" t="str">
        <f t="shared" si="26"/>
        <v>WALL</v>
      </c>
      <c r="C36" s="258" t="str">
        <f t="shared" ref="C36:C40" si="29">$C$5</f>
        <v>WallInsulation</v>
      </c>
      <c r="D36" s="289"/>
      <c r="E36" s="14" t="str">
        <f t="shared" si="27"/>
        <v>RHHSE</v>
      </c>
      <c r="F36" s="289" t="str">
        <f t="shared" ref="F36:F40" si="30">F35</f>
        <v>SAV</v>
      </c>
      <c r="G36" s="289" t="s">
        <v>364</v>
      </c>
      <c r="H36" s="258"/>
      <c r="I36" s="14" t="str">
        <f t="shared" si="20"/>
        <v>RHHSEoWALLoSAV50</v>
      </c>
      <c r="J36" s="14" t="str">
        <f t="shared" si="3"/>
        <v>RHHSEWallInsulationSAV.BAT50</v>
      </c>
      <c r="K36" s="14" t="s">
        <v>239</v>
      </c>
      <c r="L36" s="14" t="s">
        <v>240</v>
      </c>
      <c r="M36" s="14" t="str">
        <f t="shared" si="28"/>
        <v>RSDSAV</v>
      </c>
      <c r="N36" s="14" t="s">
        <v>1180</v>
      </c>
      <c r="O36" s="293">
        <f>X_RSD_HeatingDemand!$AA$14</f>
        <v>2019</v>
      </c>
      <c r="P36" s="14">
        <f t="shared" si="4"/>
        <v>2019</v>
      </c>
      <c r="Q36" s="568">
        <v>1</v>
      </c>
      <c r="R36" s="294">
        <v>1</v>
      </c>
      <c r="S36" s="295"/>
      <c r="T36" s="295">
        <v>60</v>
      </c>
      <c r="U36" s="572"/>
      <c r="V36" s="588">
        <f t="shared" si="16"/>
        <v>914.50549450549454</v>
      </c>
      <c r="W36" s="296">
        <v>31.536000000000001</v>
      </c>
      <c r="X36" s="587"/>
      <c r="Y36" s="258"/>
      <c r="Z36" s="258"/>
      <c r="AA36" s="258"/>
      <c r="AB36" s="258"/>
      <c r="AC36" s="258"/>
      <c r="AD36" s="258"/>
    </row>
    <row r="37" spans="1:30" x14ac:dyDescent="0.25">
      <c r="A37" s="258">
        <v>60</v>
      </c>
      <c r="B37" s="258" t="str">
        <f t="shared" si="26"/>
        <v>WALL</v>
      </c>
      <c r="C37" s="258" t="str">
        <f t="shared" si="29"/>
        <v>WallInsulation</v>
      </c>
      <c r="D37" s="289"/>
      <c r="E37" s="14" t="str">
        <f t="shared" si="27"/>
        <v>RHHSE</v>
      </c>
      <c r="F37" s="289" t="str">
        <f t="shared" si="30"/>
        <v>SAV</v>
      </c>
      <c r="G37" s="289" t="s">
        <v>364</v>
      </c>
      <c r="H37" s="258"/>
      <c r="I37" s="14" t="str">
        <f t="shared" si="20"/>
        <v>RHHSEoWALLoSAV60</v>
      </c>
      <c r="J37" s="14" t="str">
        <f t="shared" si="3"/>
        <v>RHHSEWallInsulationSAV.BAT60</v>
      </c>
      <c r="K37" s="14" t="s">
        <v>239</v>
      </c>
      <c r="L37" s="14" t="s">
        <v>240</v>
      </c>
      <c r="M37" s="14" t="str">
        <f t="shared" si="28"/>
        <v>RSDSAV</v>
      </c>
      <c r="N37" s="14" t="s">
        <v>1180</v>
      </c>
      <c r="O37" s="293">
        <f>X_RSD_HeatingDemand!$AA$14</f>
        <v>2019</v>
      </c>
      <c r="P37" s="14">
        <f t="shared" si="4"/>
        <v>2019</v>
      </c>
      <c r="Q37" s="568">
        <v>1</v>
      </c>
      <c r="R37" s="294">
        <v>1</v>
      </c>
      <c r="S37" s="295"/>
      <c r="T37" s="295">
        <v>60</v>
      </c>
      <c r="U37" s="572"/>
      <c r="V37" s="588">
        <f t="shared" si="16"/>
        <v>1089.081081081081</v>
      </c>
      <c r="W37" s="296">
        <v>31.536000000000001</v>
      </c>
      <c r="X37" s="587"/>
      <c r="Y37" s="258"/>
      <c r="Z37" s="258"/>
      <c r="AA37" s="258"/>
      <c r="AB37" s="258"/>
      <c r="AC37" s="258"/>
      <c r="AD37" s="258"/>
    </row>
    <row r="38" spans="1:30" x14ac:dyDescent="0.25">
      <c r="A38" s="258">
        <v>70</v>
      </c>
      <c r="B38" s="258" t="str">
        <f t="shared" si="26"/>
        <v>WALL</v>
      </c>
      <c r="C38" s="258" t="str">
        <f t="shared" si="29"/>
        <v>WallInsulation</v>
      </c>
      <c r="D38" s="289"/>
      <c r="E38" s="14" t="str">
        <f t="shared" si="27"/>
        <v>RHHSE</v>
      </c>
      <c r="F38" s="289" t="str">
        <f t="shared" si="30"/>
        <v>SAV</v>
      </c>
      <c r="G38" s="289" t="s">
        <v>364</v>
      </c>
      <c r="H38" s="258"/>
      <c r="I38" s="14" t="str">
        <f t="shared" si="20"/>
        <v>RHHSEoWALLoSAV70</v>
      </c>
      <c r="J38" s="14" t="str">
        <f t="shared" si="3"/>
        <v>RHHSEWallInsulationSAV.BAT70</v>
      </c>
      <c r="K38" s="14" t="s">
        <v>239</v>
      </c>
      <c r="L38" s="14" t="s">
        <v>240</v>
      </c>
      <c r="M38" s="14" t="str">
        <f t="shared" si="28"/>
        <v>RSDSAV</v>
      </c>
      <c r="N38" s="14" t="s">
        <v>1180</v>
      </c>
      <c r="O38" s="293">
        <f>X_RSD_HeatingDemand!$AA$14</f>
        <v>2019</v>
      </c>
      <c r="P38" s="14">
        <f t="shared" si="4"/>
        <v>2019</v>
      </c>
      <c r="Q38" s="568">
        <v>1</v>
      </c>
      <c r="R38" s="294">
        <v>1</v>
      </c>
      <c r="S38" s="295"/>
      <c r="T38" s="295">
        <v>60</v>
      </c>
      <c r="U38" s="572"/>
      <c r="V38" s="588">
        <f t="shared" si="16"/>
        <v>925.21348314606746</v>
      </c>
      <c r="W38" s="296">
        <v>31.536000000000001</v>
      </c>
      <c r="X38" s="587"/>
      <c r="Y38" s="258"/>
      <c r="Z38" s="258"/>
      <c r="AA38" s="258"/>
      <c r="AB38" s="258"/>
      <c r="AC38" s="258"/>
      <c r="AD38" s="258"/>
    </row>
    <row r="39" spans="1:30" x14ac:dyDescent="0.25">
      <c r="A39" s="258">
        <v>80</v>
      </c>
      <c r="B39" s="258" t="str">
        <f t="shared" si="26"/>
        <v>WALL</v>
      </c>
      <c r="C39" s="258" t="str">
        <f t="shared" si="29"/>
        <v>WallInsulation</v>
      </c>
      <c r="D39" s="289"/>
      <c r="E39" s="14" t="str">
        <f t="shared" si="27"/>
        <v>RHHSE</v>
      </c>
      <c r="F39" s="289" t="str">
        <f t="shared" si="30"/>
        <v>SAV</v>
      </c>
      <c r="G39" s="289" t="s">
        <v>364</v>
      </c>
      <c r="H39" s="258"/>
      <c r="I39" s="14" t="str">
        <f t="shared" si="20"/>
        <v>RHHSEoWALLoSAV80</v>
      </c>
      <c r="J39" s="14" t="str">
        <f t="shared" si="3"/>
        <v>RHHSEWallInsulationSAV.BAT80</v>
      </c>
      <c r="K39" s="14" t="s">
        <v>239</v>
      </c>
      <c r="L39" s="14" t="s">
        <v>240</v>
      </c>
      <c r="M39" s="14" t="str">
        <f t="shared" si="28"/>
        <v>RSDSAV</v>
      </c>
      <c r="N39" s="14" t="s">
        <v>1180</v>
      </c>
      <c r="O39" s="293">
        <f>X_RSD_HeatingDemand!$AA$14</f>
        <v>2019</v>
      </c>
      <c r="P39" s="14">
        <f t="shared" si="4"/>
        <v>2019</v>
      </c>
      <c r="Q39" s="568">
        <v>1</v>
      </c>
      <c r="R39" s="294">
        <v>1</v>
      </c>
      <c r="S39" s="295"/>
      <c r="T39" s="295">
        <v>60</v>
      </c>
      <c r="U39" s="572"/>
      <c r="V39" s="588">
        <f t="shared" si="16"/>
        <v>1051.2</v>
      </c>
      <c r="W39" s="296">
        <v>31.536000000000001</v>
      </c>
      <c r="X39" s="587"/>
      <c r="Y39" s="258"/>
      <c r="Z39" s="258"/>
      <c r="AA39" s="258"/>
      <c r="AB39" s="258"/>
      <c r="AC39" s="258"/>
      <c r="AD39" s="258"/>
    </row>
    <row r="40" spans="1:30" x14ac:dyDescent="0.25">
      <c r="A40" s="258">
        <v>90</v>
      </c>
      <c r="B40" s="258" t="str">
        <f t="shared" si="26"/>
        <v>WALL</v>
      </c>
      <c r="C40" s="258" t="str">
        <f t="shared" si="29"/>
        <v>WallInsulation</v>
      </c>
      <c r="D40" s="289"/>
      <c r="E40" s="14" t="str">
        <f t="shared" si="27"/>
        <v>RHHSE</v>
      </c>
      <c r="F40" s="289" t="str">
        <f t="shared" si="30"/>
        <v>SAV</v>
      </c>
      <c r="G40" s="289" t="s">
        <v>364</v>
      </c>
      <c r="H40" s="258"/>
      <c r="I40" s="14" t="str">
        <f t="shared" si="20"/>
        <v>RHHSEoWALLoSAV90</v>
      </c>
      <c r="J40" s="14" t="str">
        <f t="shared" si="3"/>
        <v>RHHSEWallInsulationSAV.BAT90</v>
      </c>
      <c r="K40" s="14" t="s">
        <v>239</v>
      </c>
      <c r="L40" s="14" t="s">
        <v>240</v>
      </c>
      <c r="M40" s="14" t="str">
        <f t="shared" si="28"/>
        <v>RSDSAV</v>
      </c>
      <c r="N40" s="14" t="s">
        <v>1180</v>
      </c>
      <c r="O40" s="293">
        <f>X_RSD_HeatingDemand!$AA$14</f>
        <v>2019</v>
      </c>
      <c r="P40" s="14">
        <f t="shared" si="4"/>
        <v>2019</v>
      </c>
      <c r="Q40" s="568">
        <v>1</v>
      </c>
      <c r="R40" s="294">
        <v>1</v>
      </c>
      <c r="S40" s="295"/>
      <c r="T40" s="295">
        <v>60</v>
      </c>
      <c r="U40" s="572"/>
      <c r="V40" s="588">
        <f t="shared" si="16"/>
        <v>813.42857142857144</v>
      </c>
      <c r="W40" s="296">
        <v>31.536000000000001</v>
      </c>
      <c r="X40" s="587"/>
      <c r="Y40" s="258"/>
      <c r="Z40" s="258"/>
      <c r="AA40" s="258"/>
      <c r="AB40" s="258"/>
      <c r="AC40" s="258"/>
      <c r="AD40" s="258"/>
    </row>
    <row r="41" spans="1:30" x14ac:dyDescent="0.25">
      <c r="A41" s="258">
        <v>10</v>
      </c>
      <c r="B41" s="258" t="str">
        <f>IF(C41="WallInsulation","WALL",IF(C41="RoofInsulation","ROOF",IF(C41="BasementInsulation","BASE",IF(C41="WindowsChange","WINDOW"))))</f>
        <v>WALL</v>
      </c>
      <c r="C41" s="258" t="s">
        <v>1174</v>
      </c>
      <c r="D41" s="258"/>
      <c r="E41" s="14" t="str">
        <f>N41</f>
        <v>RHAPA</v>
      </c>
      <c r="F41" s="289" t="s">
        <v>1175</v>
      </c>
      <c r="G41" s="289" t="s">
        <v>364</v>
      </c>
      <c r="H41" s="289"/>
      <c r="I41" s="14" t="str">
        <f t="shared" si="20"/>
        <v>RHAPAoWALLoSAV10</v>
      </c>
      <c r="J41" s="14" t="str">
        <f t="shared" si="3"/>
        <v>RHAPAWallInsulationSAV.BAT10</v>
      </c>
      <c r="K41" s="14" t="s">
        <v>239</v>
      </c>
      <c r="L41" s="14" t="s">
        <v>240</v>
      </c>
      <c r="M41" s="14" t="s">
        <v>1176</v>
      </c>
      <c r="N41" s="14" t="s">
        <v>1181</v>
      </c>
      <c r="O41" s="293">
        <f>X_RSD_HeatingDemand!$AA$14</f>
        <v>2019</v>
      </c>
      <c r="P41" s="14">
        <f t="shared" si="4"/>
        <v>2019</v>
      </c>
      <c r="Q41" s="568">
        <v>1</v>
      </c>
      <c r="R41" s="294">
        <v>1</v>
      </c>
      <c r="S41" s="295"/>
      <c r="T41" s="295">
        <v>60</v>
      </c>
      <c r="U41" s="572"/>
      <c r="V41" s="588">
        <f t="shared" si="16"/>
        <v>1070.6666666666667</v>
      </c>
      <c r="W41" s="296">
        <v>31.536000000000001</v>
      </c>
      <c r="X41" s="587"/>
      <c r="Y41" s="258"/>
      <c r="Z41" s="258"/>
      <c r="AA41" s="258"/>
      <c r="AB41" s="258"/>
      <c r="AC41" s="258"/>
      <c r="AD41" s="258"/>
    </row>
    <row r="42" spans="1:30" x14ac:dyDescent="0.25">
      <c r="A42" s="258">
        <v>20</v>
      </c>
      <c r="B42" s="258" t="str">
        <f t="shared" ref="B42:B49" si="31">IF(C42="WallInsulation","WALL",IF(C42="RoofInsulation","ROOF",IF(C42="BasementInsulation","BASE",IF(C42="WindowsChange","WINDOW"))))</f>
        <v>WALL</v>
      </c>
      <c r="C42" s="258" t="str">
        <f>$C$5</f>
        <v>WallInsulation</v>
      </c>
      <c r="D42" s="289"/>
      <c r="E42" s="14" t="str">
        <f t="shared" ref="E42:E49" si="32">N42</f>
        <v>RHAPA</v>
      </c>
      <c r="F42" s="289" t="str">
        <f>F41</f>
        <v>SAV</v>
      </c>
      <c r="G42" s="289" t="s">
        <v>364</v>
      </c>
      <c r="H42" s="258"/>
      <c r="I42" s="14" t="str">
        <f t="shared" si="20"/>
        <v>RHAPAoWALLoSAV20</v>
      </c>
      <c r="J42" s="14" t="str">
        <f t="shared" si="3"/>
        <v>RHAPAWallInsulationSAV.BAT20</v>
      </c>
      <c r="K42" s="14" t="s">
        <v>239</v>
      </c>
      <c r="L42" s="14" t="s">
        <v>240</v>
      </c>
      <c r="M42" s="14" t="str">
        <f>$M$5</f>
        <v>RSDSAV</v>
      </c>
      <c r="N42" s="14" t="s">
        <v>1181</v>
      </c>
      <c r="O42" s="293">
        <f>X_RSD_HeatingDemand!$AA$14</f>
        <v>2019</v>
      </c>
      <c r="P42" s="14">
        <f t="shared" si="4"/>
        <v>2019</v>
      </c>
      <c r="Q42" s="568">
        <v>1</v>
      </c>
      <c r="R42" s="294">
        <v>1</v>
      </c>
      <c r="S42" s="295"/>
      <c r="T42" s="295">
        <v>60</v>
      </c>
      <c r="U42" s="572"/>
      <c r="V42" s="588">
        <f t="shared" si="16"/>
        <v>911.04</v>
      </c>
      <c r="W42" s="296">
        <v>31.536000000000001</v>
      </c>
      <c r="X42" s="587"/>
      <c r="Y42" s="258"/>
      <c r="Z42" s="258"/>
      <c r="AA42" s="258"/>
      <c r="AB42" s="258"/>
      <c r="AC42" s="258"/>
      <c r="AD42" s="258"/>
    </row>
    <row r="43" spans="1:30" x14ac:dyDescent="0.25">
      <c r="A43" s="258">
        <v>30</v>
      </c>
      <c r="B43" s="258" t="str">
        <f t="shared" si="31"/>
        <v>WALL</v>
      </c>
      <c r="C43" s="258" t="str">
        <f>$C$5</f>
        <v>WallInsulation</v>
      </c>
      <c r="D43" s="289"/>
      <c r="E43" s="14" t="str">
        <f t="shared" si="32"/>
        <v>RHAPA</v>
      </c>
      <c r="F43" s="289" t="str">
        <f>F42</f>
        <v>SAV</v>
      </c>
      <c r="G43" s="289" t="s">
        <v>364</v>
      </c>
      <c r="H43" s="258"/>
      <c r="I43" s="14" t="str">
        <f t="shared" si="20"/>
        <v>RHAPAoWALLoSAV30</v>
      </c>
      <c r="J43" s="14" t="str">
        <f t="shared" si="3"/>
        <v>RHAPAWallInsulationSAV.BAT30</v>
      </c>
      <c r="K43" s="14" t="s">
        <v>239</v>
      </c>
      <c r="L43" s="14" t="s">
        <v>240</v>
      </c>
      <c r="M43" s="14" t="str">
        <f t="shared" ref="M43:M49" si="33">$M$5</f>
        <v>RSDSAV</v>
      </c>
      <c r="N43" s="14" t="s">
        <v>1181</v>
      </c>
      <c r="O43" s="293">
        <f>X_RSD_HeatingDemand!$AA$14</f>
        <v>2019</v>
      </c>
      <c r="P43" s="14">
        <f t="shared" si="4"/>
        <v>2019</v>
      </c>
      <c r="Q43" s="568">
        <v>1</v>
      </c>
      <c r="R43" s="294">
        <v>1</v>
      </c>
      <c r="S43" s="295"/>
      <c r="T43" s="295">
        <v>60</v>
      </c>
      <c r="U43" s="572"/>
      <c r="V43" s="588">
        <f t="shared" si="16"/>
        <v>927.52941176470597</v>
      </c>
      <c r="W43" s="296">
        <v>31.536000000000001</v>
      </c>
      <c r="X43" s="587"/>
      <c r="Y43" s="258"/>
      <c r="Z43" s="258"/>
      <c r="AA43" s="258"/>
      <c r="AB43" s="258"/>
      <c r="AC43" s="258"/>
      <c r="AD43" s="258"/>
    </row>
    <row r="44" spans="1:30" x14ac:dyDescent="0.25">
      <c r="A44" s="258">
        <v>40</v>
      </c>
      <c r="B44" s="258" t="str">
        <f t="shared" si="31"/>
        <v>WALL</v>
      </c>
      <c r="C44" s="258" t="str">
        <f>$C$5</f>
        <v>WallInsulation</v>
      </c>
      <c r="D44" s="289"/>
      <c r="E44" s="14" t="str">
        <f t="shared" si="32"/>
        <v>RHAPA</v>
      </c>
      <c r="F44" s="289" t="str">
        <f>F43</f>
        <v>SAV</v>
      </c>
      <c r="G44" s="289" t="s">
        <v>364</v>
      </c>
      <c r="H44" s="258"/>
      <c r="I44" s="14" t="str">
        <f t="shared" si="20"/>
        <v>RHAPAoWALLoSAV40</v>
      </c>
      <c r="J44" s="14" t="str">
        <f t="shared" si="3"/>
        <v>RHAPAWallInsulationSAV.BAT40</v>
      </c>
      <c r="K44" s="14" t="s">
        <v>239</v>
      </c>
      <c r="L44" s="14" t="s">
        <v>240</v>
      </c>
      <c r="M44" s="14" t="str">
        <f t="shared" si="33"/>
        <v>RSDSAV</v>
      </c>
      <c r="N44" s="14" t="s">
        <v>1181</v>
      </c>
      <c r="O44" s="293">
        <f>X_RSD_HeatingDemand!$AA$14</f>
        <v>2019</v>
      </c>
      <c r="P44" s="14">
        <f t="shared" si="4"/>
        <v>2019</v>
      </c>
      <c r="Q44" s="568">
        <v>1</v>
      </c>
      <c r="R44" s="294">
        <v>1</v>
      </c>
      <c r="S44" s="295"/>
      <c r="T44" s="295">
        <v>60</v>
      </c>
      <c r="U44" s="572"/>
      <c r="V44" s="588">
        <f t="shared" si="16"/>
        <v>1078.8631578947368</v>
      </c>
      <c r="W44" s="296">
        <v>31.536000000000001</v>
      </c>
      <c r="X44" s="587"/>
      <c r="Y44" s="258"/>
      <c r="Z44" s="258"/>
      <c r="AA44" s="258"/>
      <c r="AB44" s="258"/>
      <c r="AC44" s="258"/>
      <c r="AD44" s="258"/>
    </row>
    <row r="45" spans="1:30" x14ac:dyDescent="0.25">
      <c r="A45" s="258">
        <v>50</v>
      </c>
      <c r="B45" s="258" t="str">
        <f t="shared" si="31"/>
        <v>WALL</v>
      </c>
      <c r="C45" s="258" t="str">
        <f t="shared" ref="C45:C49" si="34">$C$5</f>
        <v>WallInsulation</v>
      </c>
      <c r="D45" s="289"/>
      <c r="E45" s="14" t="str">
        <f t="shared" si="32"/>
        <v>RHAPA</v>
      </c>
      <c r="F45" s="289" t="str">
        <f t="shared" ref="F45:F49" si="35">F44</f>
        <v>SAV</v>
      </c>
      <c r="G45" s="289" t="s">
        <v>364</v>
      </c>
      <c r="H45" s="258"/>
      <c r="I45" s="14" t="str">
        <f t="shared" si="20"/>
        <v>RHAPAoWALLoSAV50</v>
      </c>
      <c r="J45" s="14" t="str">
        <f t="shared" si="3"/>
        <v>RHAPAWallInsulationSAV.BAT50</v>
      </c>
      <c r="K45" s="14" t="s">
        <v>239</v>
      </c>
      <c r="L45" s="14" t="s">
        <v>240</v>
      </c>
      <c r="M45" s="14" t="str">
        <f t="shared" si="33"/>
        <v>RSDSAV</v>
      </c>
      <c r="N45" s="14" t="s">
        <v>1181</v>
      </c>
      <c r="O45" s="293">
        <f>X_RSD_HeatingDemand!$AA$14</f>
        <v>2019</v>
      </c>
      <c r="P45" s="14">
        <f t="shared" si="4"/>
        <v>2019</v>
      </c>
      <c r="Q45" s="568">
        <v>1</v>
      </c>
      <c r="R45" s="294">
        <v>1</v>
      </c>
      <c r="S45" s="295"/>
      <c r="T45" s="295">
        <v>60</v>
      </c>
      <c r="U45" s="572"/>
      <c r="V45" s="588">
        <f t="shared" si="16"/>
        <v>914.50549450549454</v>
      </c>
      <c r="W45" s="296">
        <v>31.536000000000001</v>
      </c>
      <c r="X45" s="587"/>
      <c r="Y45" s="258"/>
      <c r="Z45" s="258"/>
      <c r="AA45" s="258"/>
      <c r="AB45" s="258"/>
      <c r="AC45" s="258"/>
      <c r="AD45" s="258"/>
    </row>
    <row r="46" spans="1:30" x14ac:dyDescent="0.25">
      <c r="A46" s="258">
        <v>60</v>
      </c>
      <c r="B46" s="258" t="str">
        <f t="shared" si="31"/>
        <v>WALL</v>
      </c>
      <c r="C46" s="258" t="str">
        <f t="shared" si="34"/>
        <v>WallInsulation</v>
      </c>
      <c r="D46" s="289"/>
      <c r="E46" s="14" t="str">
        <f t="shared" si="32"/>
        <v>RHAPA</v>
      </c>
      <c r="F46" s="289" t="str">
        <f t="shared" si="35"/>
        <v>SAV</v>
      </c>
      <c r="G46" s="289" t="s">
        <v>364</v>
      </c>
      <c r="H46" s="258"/>
      <c r="I46" s="14" t="str">
        <f t="shared" si="20"/>
        <v>RHAPAoWALLoSAV60</v>
      </c>
      <c r="J46" s="14" t="str">
        <f t="shared" si="3"/>
        <v>RHAPAWallInsulationSAV.BAT60</v>
      </c>
      <c r="K46" s="14" t="s">
        <v>239</v>
      </c>
      <c r="L46" s="14" t="s">
        <v>240</v>
      </c>
      <c r="M46" s="14" t="str">
        <f t="shared" si="33"/>
        <v>RSDSAV</v>
      </c>
      <c r="N46" s="14" t="s">
        <v>1181</v>
      </c>
      <c r="O46" s="293">
        <f>X_RSD_HeatingDemand!$AA$14</f>
        <v>2019</v>
      </c>
      <c r="P46" s="14">
        <f t="shared" si="4"/>
        <v>2019</v>
      </c>
      <c r="Q46" s="568">
        <v>1</v>
      </c>
      <c r="R46" s="294">
        <v>1</v>
      </c>
      <c r="S46" s="295"/>
      <c r="T46" s="295">
        <v>60</v>
      </c>
      <c r="U46" s="572"/>
      <c r="V46" s="588">
        <f t="shared" si="16"/>
        <v>1089.081081081081</v>
      </c>
      <c r="W46" s="296">
        <v>31.536000000000001</v>
      </c>
      <c r="X46" s="587"/>
      <c r="Y46" s="258"/>
      <c r="Z46" s="258"/>
      <c r="AA46" s="258"/>
      <c r="AB46" s="258"/>
      <c r="AC46" s="258"/>
      <c r="AD46" s="258"/>
    </row>
    <row r="47" spans="1:30" x14ac:dyDescent="0.25">
      <c r="A47" s="258">
        <v>70</v>
      </c>
      <c r="B47" s="258" t="str">
        <f t="shared" si="31"/>
        <v>WALL</v>
      </c>
      <c r="C47" s="258" t="str">
        <f t="shared" si="34"/>
        <v>WallInsulation</v>
      </c>
      <c r="D47" s="289"/>
      <c r="E47" s="14" t="str">
        <f t="shared" si="32"/>
        <v>RHAPA</v>
      </c>
      <c r="F47" s="289" t="str">
        <f t="shared" si="35"/>
        <v>SAV</v>
      </c>
      <c r="G47" s="289" t="s">
        <v>364</v>
      </c>
      <c r="H47" s="258"/>
      <c r="I47" s="14" t="str">
        <f t="shared" si="20"/>
        <v>RHAPAoWALLoSAV70</v>
      </c>
      <c r="J47" s="14" t="str">
        <f t="shared" si="3"/>
        <v>RHAPAWallInsulationSAV.BAT70</v>
      </c>
      <c r="K47" s="14" t="s">
        <v>239</v>
      </c>
      <c r="L47" s="14" t="s">
        <v>240</v>
      </c>
      <c r="M47" s="14" t="str">
        <f t="shared" si="33"/>
        <v>RSDSAV</v>
      </c>
      <c r="N47" s="14" t="s">
        <v>1181</v>
      </c>
      <c r="O47" s="293">
        <f>X_RSD_HeatingDemand!$AA$14</f>
        <v>2019</v>
      </c>
      <c r="P47" s="14">
        <f t="shared" si="4"/>
        <v>2019</v>
      </c>
      <c r="Q47" s="568">
        <v>1</v>
      </c>
      <c r="R47" s="294">
        <v>1</v>
      </c>
      <c r="S47" s="295"/>
      <c r="T47" s="295">
        <v>60</v>
      </c>
      <c r="U47" s="572"/>
      <c r="V47" s="588">
        <f t="shared" si="16"/>
        <v>925.21348314606746</v>
      </c>
      <c r="W47" s="296">
        <v>31.536000000000001</v>
      </c>
      <c r="X47" s="587"/>
      <c r="Y47" s="258"/>
      <c r="Z47" s="258"/>
      <c r="AA47" s="258"/>
      <c r="AB47" s="258"/>
      <c r="AC47" s="258"/>
      <c r="AD47" s="258"/>
    </row>
    <row r="48" spans="1:30" x14ac:dyDescent="0.25">
      <c r="A48" s="258">
        <v>80</v>
      </c>
      <c r="B48" s="258" t="str">
        <f t="shared" si="31"/>
        <v>WALL</v>
      </c>
      <c r="C48" s="258" t="str">
        <f t="shared" si="34"/>
        <v>WallInsulation</v>
      </c>
      <c r="D48" s="289"/>
      <c r="E48" s="14" t="str">
        <f t="shared" si="32"/>
        <v>RHAPA</v>
      </c>
      <c r="F48" s="289" t="str">
        <f t="shared" si="35"/>
        <v>SAV</v>
      </c>
      <c r="G48" s="289" t="s">
        <v>364</v>
      </c>
      <c r="H48" s="258"/>
      <c r="I48" s="14" t="str">
        <f t="shared" si="20"/>
        <v>RHAPAoWALLoSAV80</v>
      </c>
      <c r="J48" s="14" t="str">
        <f t="shared" si="3"/>
        <v>RHAPAWallInsulationSAV.BAT80</v>
      </c>
      <c r="K48" s="14" t="s">
        <v>239</v>
      </c>
      <c r="L48" s="14" t="s">
        <v>240</v>
      </c>
      <c r="M48" s="14" t="str">
        <f t="shared" si="33"/>
        <v>RSDSAV</v>
      </c>
      <c r="N48" s="14" t="s">
        <v>1181</v>
      </c>
      <c r="O48" s="293">
        <f>X_RSD_HeatingDemand!$AA$14</f>
        <v>2019</v>
      </c>
      <c r="P48" s="14">
        <f t="shared" si="4"/>
        <v>2019</v>
      </c>
      <c r="Q48" s="568">
        <v>1</v>
      </c>
      <c r="R48" s="294">
        <v>1</v>
      </c>
      <c r="S48" s="295"/>
      <c r="T48" s="295">
        <v>60</v>
      </c>
      <c r="U48" s="572"/>
      <c r="V48" s="588">
        <f t="shared" si="16"/>
        <v>1051.2</v>
      </c>
      <c r="W48" s="296">
        <v>31.536000000000001</v>
      </c>
      <c r="X48" s="587"/>
      <c r="Y48" s="258"/>
      <c r="Z48" s="258"/>
      <c r="AA48" s="258"/>
      <c r="AB48" s="258"/>
      <c r="AC48" s="258"/>
      <c r="AD48" s="258"/>
    </row>
    <row r="49" spans="1:30" x14ac:dyDescent="0.25">
      <c r="A49" s="258">
        <v>90</v>
      </c>
      <c r="B49" s="258" t="str">
        <f t="shared" si="31"/>
        <v>WALL</v>
      </c>
      <c r="C49" s="258" t="str">
        <f t="shared" si="34"/>
        <v>WallInsulation</v>
      </c>
      <c r="D49" s="289"/>
      <c r="E49" s="14" t="str">
        <f t="shared" si="32"/>
        <v>RHAPA</v>
      </c>
      <c r="F49" s="289" t="str">
        <f t="shared" si="35"/>
        <v>SAV</v>
      </c>
      <c r="G49" s="289" t="s">
        <v>364</v>
      </c>
      <c r="H49" s="258"/>
      <c r="I49" s="14" t="str">
        <f t="shared" si="20"/>
        <v>RHAPAoWALLoSAV90</v>
      </c>
      <c r="J49" s="14" t="str">
        <f t="shared" si="3"/>
        <v>RHAPAWallInsulationSAV.BAT90</v>
      </c>
      <c r="K49" s="14" t="s">
        <v>239</v>
      </c>
      <c r="L49" s="14" t="s">
        <v>240</v>
      </c>
      <c r="M49" s="14" t="str">
        <f t="shared" si="33"/>
        <v>RSDSAV</v>
      </c>
      <c r="N49" s="14" t="s">
        <v>1181</v>
      </c>
      <c r="O49" s="293">
        <f>X_RSD_HeatingDemand!$AA$14</f>
        <v>2019</v>
      </c>
      <c r="P49" s="14">
        <f t="shared" si="4"/>
        <v>2019</v>
      </c>
      <c r="Q49" s="568">
        <v>1</v>
      </c>
      <c r="R49" s="294">
        <v>1</v>
      </c>
      <c r="S49" s="295"/>
      <c r="T49" s="295">
        <v>60</v>
      </c>
      <c r="U49" s="572"/>
      <c r="V49" s="588">
        <f t="shared" si="16"/>
        <v>813.42857142857144</v>
      </c>
      <c r="W49" s="296">
        <v>31.536000000000001</v>
      </c>
      <c r="X49" s="587"/>
      <c r="Y49" s="258"/>
      <c r="Z49" s="258"/>
      <c r="AA49" s="258"/>
      <c r="AB49" s="258"/>
      <c r="AC49" s="258"/>
      <c r="AD49" s="258"/>
    </row>
    <row r="50" spans="1:30" x14ac:dyDescent="0.25">
      <c r="A50" s="258">
        <v>10</v>
      </c>
      <c r="B50" s="258" t="str">
        <f>IF(C50="WallInsulation","WALL",IF(C50="RoofInsulation","ROOF",IF(C50="BasementInsulation","BASE",IF(C50="WindowsChange","WINDOW"))))</f>
        <v>WALL</v>
      </c>
      <c r="C50" s="258" t="s">
        <v>1174</v>
      </c>
      <c r="D50" s="258"/>
      <c r="E50" s="14" t="str">
        <f>N50</f>
        <v>RHAPB</v>
      </c>
      <c r="F50" s="289" t="s">
        <v>1175</v>
      </c>
      <c r="G50" s="289" t="s">
        <v>364</v>
      </c>
      <c r="H50" s="289"/>
      <c r="I50" s="14" t="str">
        <f t="shared" si="20"/>
        <v>RHAPBoWALLoSAV10</v>
      </c>
      <c r="J50" s="14" t="str">
        <f t="shared" si="3"/>
        <v>RHAPBWallInsulationSAV.BAT10</v>
      </c>
      <c r="K50" s="14" t="s">
        <v>239</v>
      </c>
      <c r="L50" s="14" t="s">
        <v>240</v>
      </c>
      <c r="M50" s="14" t="s">
        <v>1176</v>
      </c>
      <c r="N50" s="14" t="s">
        <v>1182</v>
      </c>
      <c r="O50" s="293">
        <f>X_RSD_HeatingDemand!$AA$14</f>
        <v>2019</v>
      </c>
      <c r="P50" s="14">
        <f t="shared" si="4"/>
        <v>2019</v>
      </c>
      <c r="Q50" s="568">
        <v>1</v>
      </c>
      <c r="R50" s="294">
        <v>1</v>
      </c>
      <c r="S50" s="295"/>
      <c r="T50" s="295">
        <v>60</v>
      </c>
      <c r="U50" s="572"/>
      <c r="V50" s="588">
        <f t="shared" si="16"/>
        <v>1070.6666666666667</v>
      </c>
      <c r="W50" s="296">
        <v>31.536000000000001</v>
      </c>
      <c r="X50" s="587"/>
      <c r="Y50" s="258"/>
      <c r="Z50" s="258"/>
      <c r="AA50" s="258"/>
      <c r="AB50" s="258"/>
      <c r="AC50" s="258"/>
      <c r="AD50" s="258"/>
    </row>
    <row r="51" spans="1:30" x14ac:dyDescent="0.25">
      <c r="A51" s="258">
        <v>20</v>
      </c>
      <c r="B51" s="258" t="str">
        <f t="shared" ref="B51:B58" si="36">IF(C51="WallInsulation","WALL",IF(C51="RoofInsulation","ROOF",IF(C51="BasementInsulation","BASE",IF(C51="WindowsChange","WINDOW"))))</f>
        <v>WALL</v>
      </c>
      <c r="C51" s="258" t="str">
        <f>$C$5</f>
        <v>WallInsulation</v>
      </c>
      <c r="D51" s="289"/>
      <c r="E51" s="14" t="str">
        <f t="shared" ref="E51:E58" si="37">N51</f>
        <v>RHAPB</v>
      </c>
      <c r="F51" s="289" t="str">
        <f>F50</f>
        <v>SAV</v>
      </c>
      <c r="G51" s="289" t="s">
        <v>364</v>
      </c>
      <c r="H51" s="258"/>
      <c r="I51" s="14" t="str">
        <f t="shared" si="20"/>
        <v>RHAPBoWALLoSAV20</v>
      </c>
      <c r="J51" s="14" t="str">
        <f t="shared" si="3"/>
        <v>RHAPBWallInsulationSAV.BAT20</v>
      </c>
      <c r="K51" s="14" t="s">
        <v>239</v>
      </c>
      <c r="L51" s="14" t="s">
        <v>240</v>
      </c>
      <c r="M51" s="14" t="str">
        <f>$M$5</f>
        <v>RSDSAV</v>
      </c>
      <c r="N51" s="14" t="s">
        <v>1182</v>
      </c>
      <c r="O51" s="293">
        <f>X_RSD_HeatingDemand!$AA$14</f>
        <v>2019</v>
      </c>
      <c r="P51" s="14">
        <f t="shared" si="4"/>
        <v>2019</v>
      </c>
      <c r="Q51" s="568">
        <v>1</v>
      </c>
      <c r="R51" s="294">
        <v>1</v>
      </c>
      <c r="S51" s="295"/>
      <c r="T51" s="295">
        <v>60</v>
      </c>
      <c r="U51" s="572"/>
      <c r="V51" s="588">
        <f t="shared" si="16"/>
        <v>911.04</v>
      </c>
      <c r="W51" s="296">
        <v>31.536000000000001</v>
      </c>
      <c r="X51" s="587"/>
      <c r="Y51" s="258"/>
      <c r="Z51" s="258"/>
      <c r="AA51" s="258"/>
      <c r="AB51" s="258"/>
      <c r="AC51" s="258"/>
      <c r="AD51" s="258"/>
    </row>
    <row r="52" spans="1:30" x14ac:dyDescent="0.25">
      <c r="A52" s="258">
        <v>30</v>
      </c>
      <c r="B52" s="258" t="str">
        <f t="shared" si="36"/>
        <v>WALL</v>
      </c>
      <c r="C52" s="258" t="str">
        <f>$C$5</f>
        <v>WallInsulation</v>
      </c>
      <c r="D52" s="289"/>
      <c r="E52" s="14" t="str">
        <f t="shared" si="37"/>
        <v>RHAPB</v>
      </c>
      <c r="F52" s="289" t="str">
        <f>F51</f>
        <v>SAV</v>
      </c>
      <c r="G52" s="289" t="s">
        <v>364</v>
      </c>
      <c r="H52" s="258"/>
      <c r="I52" s="14" t="str">
        <f t="shared" si="20"/>
        <v>RHAPBoWALLoSAV30</v>
      </c>
      <c r="J52" s="14" t="str">
        <f t="shared" si="3"/>
        <v>RHAPBWallInsulationSAV.BAT30</v>
      </c>
      <c r="K52" s="14" t="s">
        <v>239</v>
      </c>
      <c r="L52" s="14" t="s">
        <v>240</v>
      </c>
      <c r="M52" s="14" t="str">
        <f t="shared" ref="M52:M58" si="38">$M$5</f>
        <v>RSDSAV</v>
      </c>
      <c r="N52" s="14" t="s">
        <v>1182</v>
      </c>
      <c r="O52" s="293">
        <f>X_RSD_HeatingDemand!$AA$14</f>
        <v>2019</v>
      </c>
      <c r="P52" s="14">
        <f t="shared" si="4"/>
        <v>2019</v>
      </c>
      <c r="Q52" s="568">
        <v>1</v>
      </c>
      <c r="R52" s="294">
        <v>1</v>
      </c>
      <c r="S52" s="295"/>
      <c r="T52" s="295">
        <v>60</v>
      </c>
      <c r="U52" s="572"/>
      <c r="V52" s="588">
        <f t="shared" si="16"/>
        <v>927.52941176470597</v>
      </c>
      <c r="W52" s="296">
        <v>31.536000000000001</v>
      </c>
      <c r="X52" s="587"/>
      <c r="Y52" s="258"/>
      <c r="Z52" s="258"/>
      <c r="AA52" s="258"/>
      <c r="AB52" s="258"/>
      <c r="AC52" s="258"/>
      <c r="AD52" s="258"/>
    </row>
    <row r="53" spans="1:30" x14ac:dyDescent="0.25">
      <c r="A53" s="258">
        <v>40</v>
      </c>
      <c r="B53" s="258" t="str">
        <f t="shared" si="36"/>
        <v>WALL</v>
      </c>
      <c r="C53" s="258" t="str">
        <f>$C$5</f>
        <v>WallInsulation</v>
      </c>
      <c r="D53" s="289"/>
      <c r="E53" s="14" t="str">
        <f t="shared" si="37"/>
        <v>RHAPB</v>
      </c>
      <c r="F53" s="289" t="str">
        <f>F52</f>
        <v>SAV</v>
      </c>
      <c r="G53" s="289" t="s">
        <v>364</v>
      </c>
      <c r="H53" s="258"/>
      <c r="I53" s="14" t="str">
        <f t="shared" si="20"/>
        <v>RHAPBoWALLoSAV40</v>
      </c>
      <c r="J53" s="14" t="str">
        <f t="shared" si="3"/>
        <v>RHAPBWallInsulationSAV.BAT40</v>
      </c>
      <c r="K53" s="14" t="s">
        <v>239</v>
      </c>
      <c r="L53" s="14" t="s">
        <v>240</v>
      </c>
      <c r="M53" s="14" t="str">
        <f t="shared" si="38"/>
        <v>RSDSAV</v>
      </c>
      <c r="N53" s="14" t="s">
        <v>1182</v>
      </c>
      <c r="O53" s="293">
        <f>X_RSD_HeatingDemand!$AA$14</f>
        <v>2019</v>
      </c>
      <c r="P53" s="14">
        <f t="shared" si="4"/>
        <v>2019</v>
      </c>
      <c r="Q53" s="568">
        <v>1</v>
      </c>
      <c r="R53" s="294">
        <v>1</v>
      </c>
      <c r="S53" s="295"/>
      <c r="T53" s="295">
        <v>60</v>
      </c>
      <c r="U53" s="572"/>
      <c r="V53" s="588">
        <f t="shared" si="16"/>
        <v>1078.8631578947368</v>
      </c>
      <c r="W53" s="296">
        <v>31.536000000000001</v>
      </c>
      <c r="X53" s="587"/>
      <c r="Y53" s="258"/>
      <c r="Z53" s="258"/>
      <c r="AA53" s="258"/>
      <c r="AB53" s="258"/>
      <c r="AC53" s="258"/>
      <c r="AD53" s="258"/>
    </row>
    <row r="54" spans="1:30" x14ac:dyDescent="0.25">
      <c r="A54" s="258">
        <v>50</v>
      </c>
      <c r="B54" s="258" t="str">
        <f t="shared" si="36"/>
        <v>WALL</v>
      </c>
      <c r="C54" s="258" t="str">
        <f t="shared" ref="C54:C58" si="39">$C$5</f>
        <v>WallInsulation</v>
      </c>
      <c r="D54" s="289"/>
      <c r="E54" s="14" t="str">
        <f t="shared" si="37"/>
        <v>RHAPB</v>
      </c>
      <c r="F54" s="289" t="str">
        <f t="shared" ref="F54:F58" si="40">F53</f>
        <v>SAV</v>
      </c>
      <c r="G54" s="289" t="s">
        <v>364</v>
      </c>
      <c r="H54" s="258"/>
      <c r="I54" s="14" t="str">
        <f t="shared" si="20"/>
        <v>RHAPBoWALLoSAV50</v>
      </c>
      <c r="J54" s="14" t="str">
        <f t="shared" si="3"/>
        <v>RHAPBWallInsulationSAV.BAT50</v>
      </c>
      <c r="K54" s="14" t="s">
        <v>239</v>
      </c>
      <c r="L54" s="14" t="s">
        <v>240</v>
      </c>
      <c r="M54" s="14" t="str">
        <f t="shared" si="38"/>
        <v>RSDSAV</v>
      </c>
      <c r="N54" s="14" t="s">
        <v>1182</v>
      </c>
      <c r="O54" s="293">
        <f>X_RSD_HeatingDemand!$AA$14</f>
        <v>2019</v>
      </c>
      <c r="P54" s="14">
        <f t="shared" si="4"/>
        <v>2019</v>
      </c>
      <c r="Q54" s="568">
        <v>1</v>
      </c>
      <c r="R54" s="294">
        <v>1</v>
      </c>
      <c r="S54" s="295"/>
      <c r="T54" s="295">
        <v>60</v>
      </c>
      <c r="U54" s="572"/>
      <c r="V54" s="588">
        <f t="shared" si="16"/>
        <v>914.50549450549454</v>
      </c>
      <c r="W54" s="296">
        <v>31.536000000000001</v>
      </c>
      <c r="X54" s="587"/>
      <c r="Y54" s="258"/>
      <c r="Z54" s="258"/>
      <c r="AA54" s="258"/>
      <c r="AB54" s="258"/>
      <c r="AC54" s="258"/>
      <c r="AD54" s="258"/>
    </row>
    <row r="55" spans="1:30" x14ac:dyDescent="0.25">
      <c r="A55" s="258">
        <v>60</v>
      </c>
      <c r="B55" s="258" t="str">
        <f t="shared" si="36"/>
        <v>WALL</v>
      </c>
      <c r="C55" s="258" t="str">
        <f t="shared" si="39"/>
        <v>WallInsulation</v>
      </c>
      <c r="D55" s="289"/>
      <c r="E55" s="14" t="str">
        <f t="shared" si="37"/>
        <v>RHAPB</v>
      </c>
      <c r="F55" s="289" t="str">
        <f t="shared" si="40"/>
        <v>SAV</v>
      </c>
      <c r="G55" s="289" t="s">
        <v>364</v>
      </c>
      <c r="H55" s="258"/>
      <c r="I55" s="14" t="str">
        <f t="shared" si="20"/>
        <v>RHAPBoWALLoSAV60</v>
      </c>
      <c r="J55" s="14" t="str">
        <f t="shared" si="3"/>
        <v>RHAPBWallInsulationSAV.BAT60</v>
      </c>
      <c r="K55" s="14" t="s">
        <v>239</v>
      </c>
      <c r="L55" s="14" t="s">
        <v>240</v>
      </c>
      <c r="M55" s="14" t="str">
        <f t="shared" si="38"/>
        <v>RSDSAV</v>
      </c>
      <c r="N55" s="14" t="s">
        <v>1182</v>
      </c>
      <c r="O55" s="293">
        <f>X_RSD_HeatingDemand!$AA$14</f>
        <v>2019</v>
      </c>
      <c r="P55" s="14">
        <f t="shared" si="4"/>
        <v>2019</v>
      </c>
      <c r="Q55" s="568">
        <v>1</v>
      </c>
      <c r="R55" s="294">
        <v>1</v>
      </c>
      <c r="S55" s="295"/>
      <c r="T55" s="295">
        <v>60</v>
      </c>
      <c r="U55" s="572"/>
      <c r="V55" s="588">
        <f t="shared" si="16"/>
        <v>1089.081081081081</v>
      </c>
      <c r="W55" s="296">
        <v>31.536000000000001</v>
      </c>
      <c r="X55" s="587"/>
      <c r="Y55" s="258"/>
      <c r="Z55" s="258"/>
      <c r="AA55" s="258"/>
      <c r="AB55" s="258"/>
      <c r="AC55" s="258"/>
      <c r="AD55" s="258"/>
    </row>
    <row r="56" spans="1:30" x14ac:dyDescent="0.25">
      <c r="A56" s="258">
        <v>70</v>
      </c>
      <c r="B56" s="258" t="str">
        <f t="shared" si="36"/>
        <v>WALL</v>
      </c>
      <c r="C56" s="258" t="str">
        <f t="shared" si="39"/>
        <v>WallInsulation</v>
      </c>
      <c r="D56" s="289"/>
      <c r="E56" s="14" t="str">
        <f t="shared" si="37"/>
        <v>RHAPB</v>
      </c>
      <c r="F56" s="289" t="str">
        <f t="shared" si="40"/>
        <v>SAV</v>
      </c>
      <c r="G56" s="289" t="s">
        <v>364</v>
      </c>
      <c r="H56" s="258"/>
      <c r="I56" s="14" t="str">
        <f t="shared" si="20"/>
        <v>RHAPBoWALLoSAV70</v>
      </c>
      <c r="J56" s="14" t="str">
        <f t="shared" si="3"/>
        <v>RHAPBWallInsulationSAV.BAT70</v>
      </c>
      <c r="K56" s="14" t="s">
        <v>239</v>
      </c>
      <c r="L56" s="14" t="s">
        <v>240</v>
      </c>
      <c r="M56" s="14" t="str">
        <f t="shared" si="38"/>
        <v>RSDSAV</v>
      </c>
      <c r="N56" s="14" t="s">
        <v>1182</v>
      </c>
      <c r="O56" s="293">
        <f>X_RSD_HeatingDemand!$AA$14</f>
        <v>2019</v>
      </c>
      <c r="P56" s="14">
        <f t="shared" si="4"/>
        <v>2019</v>
      </c>
      <c r="Q56" s="568">
        <v>1</v>
      </c>
      <c r="R56" s="294">
        <v>1</v>
      </c>
      <c r="S56" s="295"/>
      <c r="T56" s="295">
        <v>60</v>
      </c>
      <c r="U56" s="572"/>
      <c r="V56" s="588">
        <f t="shared" si="16"/>
        <v>925.21348314606746</v>
      </c>
      <c r="W56" s="296">
        <v>31.536000000000001</v>
      </c>
      <c r="X56" s="587"/>
      <c r="Y56" s="258"/>
      <c r="Z56" s="258"/>
      <c r="AA56" s="258"/>
      <c r="AB56" s="258"/>
      <c r="AC56" s="258"/>
      <c r="AD56" s="258"/>
    </row>
    <row r="57" spans="1:30" x14ac:dyDescent="0.25">
      <c r="A57" s="258">
        <v>80</v>
      </c>
      <c r="B57" s="258" t="str">
        <f t="shared" si="36"/>
        <v>WALL</v>
      </c>
      <c r="C57" s="258" t="str">
        <f t="shared" si="39"/>
        <v>WallInsulation</v>
      </c>
      <c r="D57" s="289"/>
      <c r="E57" s="14" t="str">
        <f t="shared" si="37"/>
        <v>RHAPB</v>
      </c>
      <c r="F57" s="289" t="str">
        <f t="shared" si="40"/>
        <v>SAV</v>
      </c>
      <c r="G57" s="289" t="s">
        <v>364</v>
      </c>
      <c r="H57" s="258"/>
      <c r="I57" s="14" t="str">
        <f t="shared" si="20"/>
        <v>RHAPBoWALLoSAV80</v>
      </c>
      <c r="J57" s="14" t="str">
        <f t="shared" si="3"/>
        <v>RHAPBWallInsulationSAV.BAT80</v>
      </c>
      <c r="K57" s="14" t="s">
        <v>239</v>
      </c>
      <c r="L57" s="14" t="s">
        <v>240</v>
      </c>
      <c r="M57" s="14" t="str">
        <f t="shared" si="38"/>
        <v>RSDSAV</v>
      </c>
      <c r="N57" s="14" t="s">
        <v>1182</v>
      </c>
      <c r="O57" s="293">
        <f>X_RSD_HeatingDemand!$AA$14</f>
        <v>2019</v>
      </c>
      <c r="P57" s="14">
        <f t="shared" si="4"/>
        <v>2019</v>
      </c>
      <c r="Q57" s="568">
        <v>1</v>
      </c>
      <c r="R57" s="294">
        <v>1</v>
      </c>
      <c r="S57" s="295"/>
      <c r="T57" s="295">
        <v>60</v>
      </c>
      <c r="U57" s="572"/>
      <c r="V57" s="588">
        <f t="shared" si="16"/>
        <v>1051.2</v>
      </c>
      <c r="W57" s="296">
        <v>31.536000000000001</v>
      </c>
      <c r="X57" s="587"/>
      <c r="Y57" s="258"/>
      <c r="Z57" s="258"/>
      <c r="AA57" s="258"/>
      <c r="AB57" s="258"/>
      <c r="AC57" s="258"/>
      <c r="AD57" s="258"/>
    </row>
    <row r="58" spans="1:30" x14ac:dyDescent="0.25">
      <c r="A58" s="258">
        <v>90</v>
      </c>
      <c r="B58" s="258" t="str">
        <f t="shared" si="36"/>
        <v>WALL</v>
      </c>
      <c r="C58" s="258" t="str">
        <f t="shared" si="39"/>
        <v>WallInsulation</v>
      </c>
      <c r="D58" s="289"/>
      <c r="E58" s="14" t="str">
        <f t="shared" si="37"/>
        <v>RHAPB</v>
      </c>
      <c r="F58" s="289" t="str">
        <f t="shared" si="40"/>
        <v>SAV</v>
      </c>
      <c r="G58" s="289" t="s">
        <v>364</v>
      </c>
      <c r="H58" s="258"/>
      <c r="I58" s="14" t="str">
        <f t="shared" si="20"/>
        <v>RHAPBoWALLoSAV90</v>
      </c>
      <c r="J58" s="14" t="str">
        <f t="shared" si="3"/>
        <v>RHAPBWallInsulationSAV.BAT90</v>
      </c>
      <c r="K58" s="14" t="s">
        <v>239</v>
      </c>
      <c r="L58" s="14" t="s">
        <v>240</v>
      </c>
      <c r="M58" s="14" t="str">
        <f t="shared" si="38"/>
        <v>RSDSAV</v>
      </c>
      <c r="N58" s="14" t="s">
        <v>1182</v>
      </c>
      <c r="O58" s="293">
        <f>X_RSD_HeatingDemand!$AA$14</f>
        <v>2019</v>
      </c>
      <c r="P58" s="14">
        <f t="shared" si="4"/>
        <v>2019</v>
      </c>
      <c r="Q58" s="568">
        <v>1</v>
      </c>
      <c r="R58" s="294">
        <v>1</v>
      </c>
      <c r="S58" s="295"/>
      <c r="T58" s="295">
        <v>60</v>
      </c>
      <c r="U58" s="572"/>
      <c r="V58" s="588">
        <f t="shared" si="16"/>
        <v>813.42857142857144</v>
      </c>
      <c r="W58" s="296">
        <v>31.536000000000001</v>
      </c>
      <c r="X58" s="587"/>
      <c r="Y58" s="258"/>
      <c r="Z58" s="258"/>
      <c r="AA58" s="258"/>
      <c r="AB58" s="258"/>
      <c r="AC58" s="258"/>
      <c r="AD58" s="258"/>
    </row>
    <row r="59" spans="1:30" x14ac:dyDescent="0.25">
      <c r="A59" s="258">
        <v>10</v>
      </c>
      <c r="B59" s="258" t="str">
        <f>IF(C59="WallInsulation","WALL",IF(C59="RoofInsulation","ROOF",IF(C59="BasementInsulation","BASE",IF(C59="WindowsChange","WINDOW"))))</f>
        <v>WALL</v>
      </c>
      <c r="C59" s="258" t="s">
        <v>1174</v>
      </c>
      <c r="D59" s="258"/>
      <c r="E59" s="14" t="str">
        <f>N59</f>
        <v>RHAPC</v>
      </c>
      <c r="F59" s="289" t="s">
        <v>1175</v>
      </c>
      <c r="G59" s="289" t="s">
        <v>364</v>
      </c>
      <c r="H59" s="289"/>
      <c r="I59" s="14" t="str">
        <f t="shared" si="20"/>
        <v>RHAPCoWALLoSAV10</v>
      </c>
      <c r="J59" s="14" t="str">
        <f t="shared" si="3"/>
        <v>RHAPCWallInsulationSAV.BAT10</v>
      </c>
      <c r="K59" s="14" t="s">
        <v>239</v>
      </c>
      <c r="L59" s="14" t="s">
        <v>240</v>
      </c>
      <c r="M59" s="14" t="s">
        <v>1176</v>
      </c>
      <c r="N59" s="14" t="s">
        <v>1183</v>
      </c>
      <c r="O59" s="293">
        <f>X_RSD_HeatingDemand!$AA$14</f>
        <v>2019</v>
      </c>
      <c r="P59" s="14">
        <f t="shared" si="4"/>
        <v>2019</v>
      </c>
      <c r="Q59" s="568">
        <v>1</v>
      </c>
      <c r="R59" s="294">
        <v>1</v>
      </c>
      <c r="S59" s="295"/>
      <c r="T59" s="295">
        <v>60</v>
      </c>
      <c r="U59" s="572"/>
      <c r="V59" s="588">
        <f t="shared" si="16"/>
        <v>1070.6666666666667</v>
      </c>
      <c r="W59" s="296">
        <v>31.536000000000001</v>
      </c>
      <c r="X59" s="587"/>
      <c r="Y59" s="258"/>
      <c r="Z59" s="258"/>
      <c r="AA59" s="258"/>
      <c r="AB59" s="258"/>
      <c r="AC59" s="258"/>
      <c r="AD59" s="258"/>
    </row>
    <row r="60" spans="1:30" x14ac:dyDescent="0.25">
      <c r="A60" s="258">
        <v>20</v>
      </c>
      <c r="B60" s="258" t="str">
        <f t="shared" ref="B60:B67" si="41">IF(C60="WallInsulation","WALL",IF(C60="RoofInsulation","ROOF",IF(C60="BasementInsulation","BASE",IF(C60="WindowsChange","WINDOW"))))</f>
        <v>WALL</v>
      </c>
      <c r="C60" s="258" t="str">
        <f>$C$5</f>
        <v>WallInsulation</v>
      </c>
      <c r="D60" s="289"/>
      <c r="E60" s="14" t="str">
        <f t="shared" ref="E60:E67" si="42">N60</f>
        <v>RHAPC</v>
      </c>
      <c r="F60" s="289" t="str">
        <f>F59</f>
        <v>SAV</v>
      </c>
      <c r="G60" s="289" t="s">
        <v>364</v>
      </c>
      <c r="H60" s="258"/>
      <c r="I60" s="14" t="str">
        <f t="shared" si="20"/>
        <v>RHAPCoWALLoSAV20</v>
      </c>
      <c r="J60" s="14" t="str">
        <f t="shared" si="3"/>
        <v>RHAPCWallInsulationSAV.BAT20</v>
      </c>
      <c r="K60" s="14" t="s">
        <v>239</v>
      </c>
      <c r="L60" s="14" t="s">
        <v>240</v>
      </c>
      <c r="M60" s="14" t="str">
        <f>$M$5</f>
        <v>RSDSAV</v>
      </c>
      <c r="N60" s="14" t="s">
        <v>1183</v>
      </c>
      <c r="O60" s="293">
        <f>X_RSD_HeatingDemand!$AA$14</f>
        <v>2019</v>
      </c>
      <c r="P60" s="14">
        <f t="shared" si="4"/>
        <v>2019</v>
      </c>
      <c r="Q60" s="568">
        <v>1</v>
      </c>
      <c r="R60" s="294">
        <v>1</v>
      </c>
      <c r="S60" s="295"/>
      <c r="T60" s="295">
        <v>60</v>
      </c>
      <c r="U60" s="572"/>
      <c r="V60" s="588">
        <f t="shared" si="16"/>
        <v>911.04</v>
      </c>
      <c r="W60" s="296">
        <v>31.536000000000001</v>
      </c>
      <c r="X60" s="587"/>
      <c r="Y60" s="258"/>
      <c r="Z60" s="258"/>
      <c r="AA60" s="258"/>
      <c r="AB60" s="258"/>
      <c r="AC60" s="258"/>
      <c r="AD60" s="258"/>
    </row>
    <row r="61" spans="1:30" x14ac:dyDescent="0.25">
      <c r="A61" s="258">
        <v>30</v>
      </c>
      <c r="B61" s="258" t="str">
        <f t="shared" si="41"/>
        <v>WALL</v>
      </c>
      <c r="C61" s="258" t="str">
        <f>$C$5</f>
        <v>WallInsulation</v>
      </c>
      <c r="D61" s="289"/>
      <c r="E61" s="14" t="str">
        <f t="shared" si="42"/>
        <v>RHAPC</v>
      </c>
      <c r="F61" s="289" t="str">
        <f>F60</f>
        <v>SAV</v>
      </c>
      <c r="G61" s="289" t="s">
        <v>364</v>
      </c>
      <c r="H61" s="258"/>
      <c r="I61" s="14" t="str">
        <f t="shared" si="20"/>
        <v>RHAPCoWALLoSAV30</v>
      </c>
      <c r="J61" s="14" t="str">
        <f t="shared" si="3"/>
        <v>RHAPCWallInsulationSAV.BAT30</v>
      </c>
      <c r="K61" s="14" t="s">
        <v>239</v>
      </c>
      <c r="L61" s="14" t="s">
        <v>240</v>
      </c>
      <c r="M61" s="14" t="str">
        <f t="shared" ref="M61:M67" si="43">$M$5</f>
        <v>RSDSAV</v>
      </c>
      <c r="N61" s="14" t="s">
        <v>1183</v>
      </c>
      <c r="O61" s="293">
        <f>X_RSD_HeatingDemand!$AA$14</f>
        <v>2019</v>
      </c>
      <c r="P61" s="14">
        <f t="shared" si="4"/>
        <v>2019</v>
      </c>
      <c r="Q61" s="568">
        <v>1</v>
      </c>
      <c r="R61" s="294">
        <v>1</v>
      </c>
      <c r="S61" s="295"/>
      <c r="T61" s="295">
        <v>60</v>
      </c>
      <c r="U61" s="572"/>
      <c r="V61" s="588">
        <f t="shared" si="16"/>
        <v>927.52941176470597</v>
      </c>
      <c r="W61" s="296">
        <v>31.536000000000001</v>
      </c>
      <c r="X61" s="587"/>
      <c r="Y61" s="258"/>
      <c r="Z61" s="258"/>
      <c r="AA61" s="258"/>
      <c r="AB61" s="258"/>
      <c r="AC61" s="258"/>
      <c r="AD61" s="258"/>
    </row>
    <row r="62" spans="1:30" x14ac:dyDescent="0.25">
      <c r="A62" s="258">
        <v>40</v>
      </c>
      <c r="B62" s="258" t="str">
        <f t="shared" si="41"/>
        <v>WALL</v>
      </c>
      <c r="C62" s="258" t="str">
        <f>$C$5</f>
        <v>WallInsulation</v>
      </c>
      <c r="D62" s="289"/>
      <c r="E62" s="14" t="str">
        <f t="shared" si="42"/>
        <v>RHAPC</v>
      </c>
      <c r="F62" s="289" t="str">
        <f>F61</f>
        <v>SAV</v>
      </c>
      <c r="G62" s="289" t="s">
        <v>364</v>
      </c>
      <c r="H62" s="258"/>
      <c r="I62" s="14" t="str">
        <f t="shared" si="20"/>
        <v>RHAPCoWALLoSAV40</v>
      </c>
      <c r="J62" s="14" t="str">
        <f t="shared" si="3"/>
        <v>RHAPCWallInsulationSAV.BAT40</v>
      </c>
      <c r="K62" s="14" t="s">
        <v>239</v>
      </c>
      <c r="L62" s="14" t="s">
        <v>240</v>
      </c>
      <c r="M62" s="14" t="str">
        <f t="shared" si="43"/>
        <v>RSDSAV</v>
      </c>
      <c r="N62" s="14" t="s">
        <v>1183</v>
      </c>
      <c r="O62" s="293">
        <f>X_RSD_HeatingDemand!$AA$14</f>
        <v>2019</v>
      </c>
      <c r="P62" s="14">
        <f t="shared" si="4"/>
        <v>2019</v>
      </c>
      <c r="Q62" s="568">
        <v>1</v>
      </c>
      <c r="R62" s="294">
        <v>1</v>
      </c>
      <c r="S62" s="295"/>
      <c r="T62" s="295">
        <v>60</v>
      </c>
      <c r="U62" s="572"/>
      <c r="V62" s="588">
        <f t="shared" si="16"/>
        <v>1078.8631578947368</v>
      </c>
      <c r="W62" s="296">
        <v>31.536000000000001</v>
      </c>
      <c r="X62" s="587"/>
      <c r="Y62" s="258"/>
      <c r="Z62" s="258"/>
      <c r="AA62" s="258"/>
      <c r="AB62" s="258"/>
      <c r="AC62" s="258"/>
      <c r="AD62" s="258"/>
    </row>
    <row r="63" spans="1:30" x14ac:dyDescent="0.25">
      <c r="A63" s="258">
        <v>50</v>
      </c>
      <c r="B63" s="258" t="str">
        <f t="shared" si="41"/>
        <v>WALL</v>
      </c>
      <c r="C63" s="258" t="str">
        <f t="shared" ref="C63:C67" si="44">$C$5</f>
        <v>WallInsulation</v>
      </c>
      <c r="D63" s="289"/>
      <c r="E63" s="14" t="str">
        <f t="shared" si="42"/>
        <v>RHAPC</v>
      </c>
      <c r="F63" s="289" t="str">
        <f t="shared" ref="F63:F67" si="45">F62</f>
        <v>SAV</v>
      </c>
      <c r="G63" s="289" t="s">
        <v>364</v>
      </c>
      <c r="H63" s="258"/>
      <c r="I63" s="14" t="str">
        <f t="shared" si="20"/>
        <v>RHAPCoWALLoSAV50</v>
      </c>
      <c r="J63" s="14" t="str">
        <f t="shared" si="3"/>
        <v>RHAPCWallInsulationSAV.BAT50</v>
      </c>
      <c r="K63" s="14" t="s">
        <v>239</v>
      </c>
      <c r="L63" s="14" t="s">
        <v>240</v>
      </c>
      <c r="M63" s="14" t="str">
        <f t="shared" si="43"/>
        <v>RSDSAV</v>
      </c>
      <c r="N63" s="14" t="s">
        <v>1183</v>
      </c>
      <c r="O63" s="293">
        <f>X_RSD_HeatingDemand!$AA$14</f>
        <v>2019</v>
      </c>
      <c r="P63" s="14">
        <f t="shared" si="4"/>
        <v>2019</v>
      </c>
      <c r="Q63" s="568">
        <v>1</v>
      </c>
      <c r="R63" s="294">
        <v>1</v>
      </c>
      <c r="S63" s="295"/>
      <c r="T63" s="295">
        <v>60</v>
      </c>
      <c r="U63" s="572"/>
      <c r="V63" s="588">
        <f t="shared" si="16"/>
        <v>914.50549450549454</v>
      </c>
      <c r="W63" s="296">
        <v>31.536000000000001</v>
      </c>
      <c r="X63" s="587"/>
      <c r="Y63" s="258"/>
      <c r="Z63" s="258"/>
      <c r="AA63" s="258"/>
      <c r="AB63" s="258"/>
      <c r="AC63" s="258"/>
      <c r="AD63" s="258"/>
    </row>
    <row r="64" spans="1:30" x14ac:dyDescent="0.25">
      <c r="A64" s="258">
        <v>60</v>
      </c>
      <c r="B64" s="258" t="str">
        <f t="shared" si="41"/>
        <v>WALL</v>
      </c>
      <c r="C64" s="258" t="str">
        <f t="shared" si="44"/>
        <v>WallInsulation</v>
      </c>
      <c r="D64" s="289"/>
      <c r="E64" s="14" t="str">
        <f t="shared" si="42"/>
        <v>RHAPC</v>
      </c>
      <c r="F64" s="289" t="str">
        <f t="shared" si="45"/>
        <v>SAV</v>
      </c>
      <c r="G64" s="289" t="s">
        <v>364</v>
      </c>
      <c r="H64" s="258"/>
      <c r="I64" s="14" t="str">
        <f t="shared" si="20"/>
        <v>RHAPCoWALLoSAV60</v>
      </c>
      <c r="J64" s="14" t="str">
        <f t="shared" si="3"/>
        <v>RHAPCWallInsulationSAV.BAT60</v>
      </c>
      <c r="K64" s="14" t="s">
        <v>239</v>
      </c>
      <c r="L64" s="14" t="s">
        <v>240</v>
      </c>
      <c r="M64" s="14" t="str">
        <f t="shared" si="43"/>
        <v>RSDSAV</v>
      </c>
      <c r="N64" s="14" t="s">
        <v>1183</v>
      </c>
      <c r="O64" s="293">
        <f>X_RSD_HeatingDemand!$AA$14</f>
        <v>2019</v>
      </c>
      <c r="P64" s="14">
        <f t="shared" si="4"/>
        <v>2019</v>
      </c>
      <c r="Q64" s="568">
        <v>1</v>
      </c>
      <c r="R64" s="294">
        <v>1</v>
      </c>
      <c r="S64" s="295"/>
      <c r="T64" s="295">
        <v>60</v>
      </c>
      <c r="U64" s="572"/>
      <c r="V64" s="588">
        <f t="shared" si="16"/>
        <v>1089.081081081081</v>
      </c>
      <c r="W64" s="296">
        <v>31.536000000000001</v>
      </c>
      <c r="X64" s="587"/>
      <c r="Y64" s="258"/>
      <c r="Z64" s="258"/>
      <c r="AA64" s="258"/>
      <c r="AB64" s="258"/>
      <c r="AC64" s="258"/>
      <c r="AD64" s="258"/>
    </row>
    <row r="65" spans="1:30" x14ac:dyDescent="0.25">
      <c r="A65" s="258">
        <v>70</v>
      </c>
      <c r="B65" s="258" t="str">
        <f t="shared" si="41"/>
        <v>WALL</v>
      </c>
      <c r="C65" s="258" t="str">
        <f t="shared" si="44"/>
        <v>WallInsulation</v>
      </c>
      <c r="D65" s="289"/>
      <c r="E65" s="14" t="str">
        <f t="shared" si="42"/>
        <v>RHAPC</v>
      </c>
      <c r="F65" s="289" t="str">
        <f t="shared" si="45"/>
        <v>SAV</v>
      </c>
      <c r="G65" s="289" t="s">
        <v>364</v>
      </c>
      <c r="H65" s="258"/>
      <c r="I65" s="14" t="str">
        <f t="shared" si="20"/>
        <v>RHAPCoWALLoSAV70</v>
      </c>
      <c r="J65" s="14" t="str">
        <f t="shared" si="3"/>
        <v>RHAPCWallInsulationSAV.BAT70</v>
      </c>
      <c r="K65" s="14" t="s">
        <v>239</v>
      </c>
      <c r="L65" s="14" t="s">
        <v>240</v>
      </c>
      <c r="M65" s="14" t="str">
        <f t="shared" si="43"/>
        <v>RSDSAV</v>
      </c>
      <c r="N65" s="14" t="s">
        <v>1183</v>
      </c>
      <c r="O65" s="293">
        <f>X_RSD_HeatingDemand!$AA$14</f>
        <v>2019</v>
      </c>
      <c r="P65" s="14">
        <f t="shared" si="4"/>
        <v>2019</v>
      </c>
      <c r="Q65" s="568">
        <v>1</v>
      </c>
      <c r="R65" s="294">
        <v>1</v>
      </c>
      <c r="S65" s="295"/>
      <c r="T65" s="295">
        <v>60</v>
      </c>
      <c r="U65" s="572"/>
      <c r="V65" s="588">
        <f t="shared" si="16"/>
        <v>925.21348314606746</v>
      </c>
      <c r="W65" s="296">
        <v>31.536000000000001</v>
      </c>
      <c r="X65" s="587"/>
      <c r="Y65" s="258"/>
      <c r="Z65" s="258"/>
      <c r="AA65" s="258"/>
      <c r="AB65" s="258"/>
      <c r="AC65" s="258"/>
      <c r="AD65" s="258"/>
    </row>
    <row r="66" spans="1:30" x14ac:dyDescent="0.25">
      <c r="A66" s="258">
        <v>80</v>
      </c>
      <c r="B66" s="258" t="str">
        <f t="shared" si="41"/>
        <v>WALL</v>
      </c>
      <c r="C66" s="258" t="str">
        <f t="shared" si="44"/>
        <v>WallInsulation</v>
      </c>
      <c r="D66" s="289"/>
      <c r="E66" s="14" t="str">
        <f t="shared" si="42"/>
        <v>RHAPC</v>
      </c>
      <c r="F66" s="289" t="str">
        <f t="shared" si="45"/>
        <v>SAV</v>
      </c>
      <c r="G66" s="289" t="s">
        <v>364</v>
      </c>
      <c r="H66" s="258"/>
      <c r="I66" s="14" t="str">
        <f t="shared" si="20"/>
        <v>RHAPCoWALLoSAV80</v>
      </c>
      <c r="J66" s="14" t="str">
        <f t="shared" si="3"/>
        <v>RHAPCWallInsulationSAV.BAT80</v>
      </c>
      <c r="K66" s="14" t="s">
        <v>239</v>
      </c>
      <c r="L66" s="14" t="s">
        <v>240</v>
      </c>
      <c r="M66" s="14" t="str">
        <f t="shared" si="43"/>
        <v>RSDSAV</v>
      </c>
      <c r="N66" s="14" t="s">
        <v>1183</v>
      </c>
      <c r="O66" s="293">
        <f>X_RSD_HeatingDemand!$AA$14</f>
        <v>2019</v>
      </c>
      <c r="P66" s="14">
        <f t="shared" si="4"/>
        <v>2019</v>
      </c>
      <c r="Q66" s="568">
        <v>1</v>
      </c>
      <c r="R66" s="294">
        <v>1</v>
      </c>
      <c r="S66" s="295"/>
      <c r="T66" s="295">
        <v>60</v>
      </c>
      <c r="U66" s="572"/>
      <c r="V66" s="588">
        <f t="shared" si="16"/>
        <v>1051.2</v>
      </c>
      <c r="W66" s="296">
        <v>31.536000000000001</v>
      </c>
      <c r="X66" s="587"/>
      <c r="Y66" s="258"/>
      <c r="Z66" s="258"/>
      <c r="AA66" s="258"/>
      <c r="AB66" s="258"/>
      <c r="AC66" s="258"/>
      <c r="AD66" s="258"/>
    </row>
    <row r="67" spans="1:30" x14ac:dyDescent="0.25">
      <c r="A67" s="258">
        <v>90</v>
      </c>
      <c r="B67" s="258" t="str">
        <f t="shared" si="41"/>
        <v>WALL</v>
      </c>
      <c r="C67" s="258" t="str">
        <f t="shared" si="44"/>
        <v>WallInsulation</v>
      </c>
      <c r="D67" s="289"/>
      <c r="E67" s="14" t="str">
        <f t="shared" si="42"/>
        <v>RHAPC</v>
      </c>
      <c r="F67" s="289" t="str">
        <f t="shared" si="45"/>
        <v>SAV</v>
      </c>
      <c r="G67" s="289" t="s">
        <v>364</v>
      </c>
      <c r="H67" s="258"/>
      <c r="I67" s="14" t="str">
        <f t="shared" si="20"/>
        <v>RHAPCoWALLoSAV90</v>
      </c>
      <c r="J67" s="14" t="str">
        <f t="shared" si="3"/>
        <v>RHAPCWallInsulationSAV.BAT90</v>
      </c>
      <c r="K67" s="14" t="s">
        <v>239</v>
      </c>
      <c r="L67" s="14" t="s">
        <v>240</v>
      </c>
      <c r="M67" s="14" t="str">
        <f t="shared" si="43"/>
        <v>RSDSAV</v>
      </c>
      <c r="N67" s="14" t="s">
        <v>1183</v>
      </c>
      <c r="O67" s="293">
        <f>X_RSD_HeatingDemand!$AA$14</f>
        <v>2019</v>
      </c>
      <c r="P67" s="14">
        <f t="shared" si="4"/>
        <v>2019</v>
      </c>
      <c r="Q67" s="568">
        <v>1</v>
      </c>
      <c r="R67" s="294">
        <v>1</v>
      </c>
      <c r="S67" s="295"/>
      <c r="T67" s="295">
        <v>60</v>
      </c>
      <c r="U67" s="572"/>
      <c r="V67" s="588">
        <f t="shared" si="16"/>
        <v>813.42857142857144</v>
      </c>
      <c r="W67" s="296">
        <v>31.536000000000001</v>
      </c>
      <c r="X67" s="587"/>
      <c r="Y67" s="258"/>
      <c r="Z67" s="258"/>
      <c r="AA67" s="258"/>
      <c r="AB67" s="258"/>
      <c r="AC67" s="258"/>
      <c r="AD67" s="258"/>
    </row>
    <row r="68" spans="1:30" x14ac:dyDescent="0.25">
      <c r="A68" s="258">
        <v>10</v>
      </c>
      <c r="B68" s="258" t="str">
        <f>IF(C68="WallInsulation","WALL",IF(C68="RoofInsulation","ROOF",IF(C68="BasementInsulation","BASE",IF(C68="WindowsChange","WINDOW"))))</f>
        <v>WALL</v>
      </c>
      <c r="C68" s="258" t="s">
        <v>1174</v>
      </c>
      <c r="D68" s="258"/>
      <c r="E68" s="14" t="str">
        <f>N68</f>
        <v>RHAPE</v>
      </c>
      <c r="F68" s="289" t="s">
        <v>1175</v>
      </c>
      <c r="G68" s="289" t="s">
        <v>364</v>
      </c>
      <c r="H68" s="289"/>
      <c r="I68" s="14" t="str">
        <f t="shared" ref="I68:I76" si="46">LEFT(E68,8)&amp;("o")&amp;B68&amp;("o")&amp;RIGHT(M68,3)&amp;A68</f>
        <v>RHAPEoWALLoSAV10</v>
      </c>
      <c r="J68" s="14" t="str">
        <f t="shared" si="3"/>
        <v>RHAPEWallInsulationSAV.BAT10</v>
      </c>
      <c r="K68" s="14" t="s">
        <v>239</v>
      </c>
      <c r="L68" s="14" t="s">
        <v>240</v>
      </c>
      <c r="M68" s="14" t="s">
        <v>1176</v>
      </c>
      <c r="N68" s="14" t="s">
        <v>1184</v>
      </c>
      <c r="O68" s="293">
        <f>X_RSD_HeatingDemand!$AA$14</f>
        <v>2019</v>
      </c>
      <c r="P68" s="14">
        <f t="shared" si="4"/>
        <v>2019</v>
      </c>
      <c r="Q68" s="568">
        <v>1</v>
      </c>
      <c r="R68" s="294">
        <v>1</v>
      </c>
      <c r="S68" s="295"/>
      <c r="T68" s="295">
        <v>60</v>
      </c>
      <c r="U68" s="572"/>
      <c r="V68" s="588">
        <f t="shared" si="16"/>
        <v>1070.6666666666667</v>
      </c>
      <c r="W68" s="296">
        <v>31.536000000000001</v>
      </c>
      <c r="X68" s="587"/>
      <c r="Y68" s="258"/>
      <c r="Z68" s="258"/>
      <c r="AA68" s="258"/>
      <c r="AB68" s="258"/>
      <c r="AC68" s="258"/>
      <c r="AD68" s="258"/>
    </row>
    <row r="69" spans="1:30" x14ac:dyDescent="0.25">
      <c r="A69" s="258">
        <v>20</v>
      </c>
      <c r="B69" s="258" t="str">
        <f t="shared" ref="B69:B76" si="47">IF(C69="WallInsulation","WALL",IF(C69="RoofInsulation","ROOF",IF(C69="BasementInsulation","BASE",IF(C69="WindowsChange","WINDOW"))))</f>
        <v>WALL</v>
      </c>
      <c r="C69" s="258" t="str">
        <f>$C$5</f>
        <v>WallInsulation</v>
      </c>
      <c r="D69" s="289"/>
      <c r="E69" s="14" t="str">
        <f t="shared" ref="E69:E76" si="48">N69</f>
        <v>RHAPE</v>
      </c>
      <c r="F69" s="289" t="str">
        <f>F68</f>
        <v>SAV</v>
      </c>
      <c r="G69" s="289" t="s">
        <v>364</v>
      </c>
      <c r="H69" s="258"/>
      <c r="I69" s="14" t="str">
        <f t="shared" si="46"/>
        <v>RHAPEoWALLoSAV20</v>
      </c>
      <c r="J69" s="14" t="str">
        <f t="shared" si="3"/>
        <v>RHAPEWallInsulationSAV.BAT20</v>
      </c>
      <c r="K69" s="14" t="s">
        <v>239</v>
      </c>
      <c r="L69" s="14" t="s">
        <v>240</v>
      </c>
      <c r="M69" s="14" t="str">
        <f>$M$5</f>
        <v>RSDSAV</v>
      </c>
      <c r="N69" s="14" t="s">
        <v>1184</v>
      </c>
      <c r="O69" s="293">
        <f>X_RSD_HeatingDemand!$AA$14</f>
        <v>2019</v>
      </c>
      <c r="P69" s="14">
        <f t="shared" si="4"/>
        <v>2019</v>
      </c>
      <c r="Q69" s="568">
        <v>1</v>
      </c>
      <c r="R69" s="294">
        <v>1</v>
      </c>
      <c r="S69" s="295"/>
      <c r="T69" s="295">
        <v>60</v>
      </c>
      <c r="U69" s="572"/>
      <c r="V69" s="588">
        <f t="shared" si="16"/>
        <v>911.04</v>
      </c>
      <c r="W69" s="296">
        <v>31.536000000000001</v>
      </c>
      <c r="X69" s="587"/>
      <c r="Y69" s="258"/>
      <c r="Z69" s="258"/>
      <c r="AA69" s="258"/>
      <c r="AB69" s="258"/>
      <c r="AC69" s="258"/>
      <c r="AD69" s="258"/>
    </row>
    <row r="70" spans="1:30" x14ac:dyDescent="0.25">
      <c r="A70" s="258">
        <v>30</v>
      </c>
      <c r="B70" s="258" t="str">
        <f t="shared" si="47"/>
        <v>WALL</v>
      </c>
      <c r="C70" s="258" t="str">
        <f>$C$5</f>
        <v>WallInsulation</v>
      </c>
      <c r="D70" s="289"/>
      <c r="E70" s="14" t="str">
        <f t="shared" si="48"/>
        <v>RHAPE</v>
      </c>
      <c r="F70" s="289" t="str">
        <f>F69</f>
        <v>SAV</v>
      </c>
      <c r="G70" s="289" t="s">
        <v>364</v>
      </c>
      <c r="H70" s="258"/>
      <c r="I70" s="14" t="str">
        <f t="shared" si="46"/>
        <v>RHAPEoWALLoSAV30</v>
      </c>
      <c r="J70" s="14" t="str">
        <f t="shared" ref="J70:J76" si="49">LEFT(E70,8)&amp;(C70)&amp;RIGHT(M70,3)&amp;(IF(A70&gt;0,".BAT"&amp;A70,".BAU"))</f>
        <v>RHAPEWallInsulationSAV.BAT30</v>
      </c>
      <c r="K70" s="14" t="s">
        <v>239</v>
      </c>
      <c r="L70" s="14" t="s">
        <v>240</v>
      </c>
      <c r="M70" s="14" t="str">
        <f t="shared" ref="M70:M76" si="50">$M$5</f>
        <v>RSDSAV</v>
      </c>
      <c r="N70" s="14" t="s">
        <v>1184</v>
      </c>
      <c r="O70" s="293">
        <f>X_RSD_HeatingDemand!$AA$14</f>
        <v>2019</v>
      </c>
      <c r="P70" s="14">
        <f t="shared" ref="P70:P76" si="51">IF(A70=0,2100,O70)</f>
        <v>2019</v>
      </c>
      <c r="Q70" s="568">
        <v>1</v>
      </c>
      <c r="R70" s="294">
        <v>1</v>
      </c>
      <c r="S70" s="295"/>
      <c r="T70" s="295">
        <v>60</v>
      </c>
      <c r="U70" s="572"/>
      <c r="V70" s="588">
        <f t="shared" si="16"/>
        <v>927.52941176470597</v>
      </c>
      <c r="W70" s="296">
        <v>31.536000000000001</v>
      </c>
      <c r="X70" s="587"/>
      <c r="Y70" s="258"/>
      <c r="Z70" s="258"/>
      <c r="AA70" s="258"/>
      <c r="AB70" s="258"/>
      <c r="AC70" s="258"/>
      <c r="AD70" s="258"/>
    </row>
    <row r="71" spans="1:30" x14ac:dyDescent="0.25">
      <c r="A71" s="258">
        <v>40</v>
      </c>
      <c r="B71" s="258" t="str">
        <f t="shared" si="47"/>
        <v>WALL</v>
      </c>
      <c r="C71" s="258" t="str">
        <f>$C$5</f>
        <v>WallInsulation</v>
      </c>
      <c r="D71" s="289"/>
      <c r="E71" s="14" t="str">
        <f t="shared" si="48"/>
        <v>RHAPE</v>
      </c>
      <c r="F71" s="289" t="str">
        <f>F70</f>
        <v>SAV</v>
      </c>
      <c r="G71" s="289" t="s">
        <v>364</v>
      </c>
      <c r="H71" s="258"/>
      <c r="I71" s="14" t="str">
        <f t="shared" si="46"/>
        <v>RHAPEoWALLoSAV40</v>
      </c>
      <c r="J71" s="14" t="str">
        <f t="shared" si="49"/>
        <v>RHAPEWallInsulationSAV.BAT40</v>
      </c>
      <c r="K71" s="14" t="s">
        <v>239</v>
      </c>
      <c r="L71" s="14" t="s">
        <v>240</v>
      </c>
      <c r="M71" s="14" t="str">
        <f t="shared" si="50"/>
        <v>RSDSAV</v>
      </c>
      <c r="N71" s="14" t="s">
        <v>1184</v>
      </c>
      <c r="O71" s="293">
        <f>X_RSD_HeatingDemand!$AA$14</f>
        <v>2019</v>
      </c>
      <c r="P71" s="14">
        <f t="shared" si="51"/>
        <v>2019</v>
      </c>
      <c r="Q71" s="568">
        <v>1</v>
      </c>
      <c r="R71" s="294">
        <v>1</v>
      </c>
      <c r="S71" s="295"/>
      <c r="T71" s="295">
        <v>60</v>
      </c>
      <c r="U71" s="572"/>
      <c r="V71" s="588">
        <f t="shared" si="16"/>
        <v>1078.8631578947368</v>
      </c>
      <c r="W71" s="296">
        <v>31.536000000000001</v>
      </c>
      <c r="X71" s="587"/>
      <c r="Y71" s="258"/>
      <c r="Z71" s="258"/>
      <c r="AA71" s="258"/>
      <c r="AB71" s="258"/>
      <c r="AC71" s="258"/>
      <c r="AD71" s="258"/>
    </row>
    <row r="72" spans="1:30" x14ac:dyDescent="0.25">
      <c r="A72" s="258">
        <v>50</v>
      </c>
      <c r="B72" s="258" t="str">
        <f t="shared" si="47"/>
        <v>WALL</v>
      </c>
      <c r="C72" s="258" t="str">
        <f t="shared" ref="C72:C76" si="52">$C$5</f>
        <v>WallInsulation</v>
      </c>
      <c r="D72" s="289"/>
      <c r="E72" s="14" t="str">
        <f t="shared" si="48"/>
        <v>RHAPE</v>
      </c>
      <c r="F72" s="289" t="str">
        <f t="shared" ref="F72:F76" si="53">F71</f>
        <v>SAV</v>
      </c>
      <c r="G72" s="289" t="s">
        <v>364</v>
      </c>
      <c r="H72" s="258"/>
      <c r="I72" s="14" t="str">
        <f t="shared" si="46"/>
        <v>RHAPEoWALLoSAV50</v>
      </c>
      <c r="J72" s="14" t="str">
        <f t="shared" si="49"/>
        <v>RHAPEWallInsulationSAV.BAT50</v>
      </c>
      <c r="K72" s="14" t="s">
        <v>239</v>
      </c>
      <c r="L72" s="14" t="s">
        <v>240</v>
      </c>
      <c r="M72" s="14" t="str">
        <f t="shared" si="50"/>
        <v>RSDSAV</v>
      </c>
      <c r="N72" s="14" t="s">
        <v>1184</v>
      </c>
      <c r="O72" s="293">
        <f>X_RSD_HeatingDemand!$AA$14</f>
        <v>2019</v>
      </c>
      <c r="P72" s="14">
        <f t="shared" si="51"/>
        <v>2019</v>
      </c>
      <c r="Q72" s="568">
        <v>1</v>
      </c>
      <c r="R72" s="294">
        <v>1</v>
      </c>
      <c r="S72" s="295"/>
      <c r="T72" s="295">
        <v>60</v>
      </c>
      <c r="U72" s="572"/>
      <c r="V72" s="588">
        <f t="shared" si="16"/>
        <v>914.50549450549454</v>
      </c>
      <c r="W72" s="296">
        <v>31.536000000000001</v>
      </c>
      <c r="X72" s="587"/>
      <c r="Y72" s="258"/>
      <c r="Z72" s="258"/>
      <c r="AA72" s="258"/>
      <c r="AB72" s="258"/>
      <c r="AC72" s="258"/>
      <c r="AD72" s="258"/>
    </row>
    <row r="73" spans="1:30" x14ac:dyDescent="0.25">
      <c r="A73" s="258">
        <v>60</v>
      </c>
      <c r="B73" s="258" t="str">
        <f t="shared" si="47"/>
        <v>WALL</v>
      </c>
      <c r="C73" s="258" t="str">
        <f t="shared" si="52"/>
        <v>WallInsulation</v>
      </c>
      <c r="D73" s="289"/>
      <c r="E73" s="14" t="str">
        <f t="shared" si="48"/>
        <v>RHAPE</v>
      </c>
      <c r="F73" s="289" t="str">
        <f t="shared" si="53"/>
        <v>SAV</v>
      </c>
      <c r="G73" s="289" t="s">
        <v>364</v>
      </c>
      <c r="H73" s="258"/>
      <c r="I73" s="14" t="str">
        <f t="shared" si="46"/>
        <v>RHAPEoWALLoSAV60</v>
      </c>
      <c r="J73" s="14" t="str">
        <f t="shared" si="49"/>
        <v>RHAPEWallInsulationSAV.BAT60</v>
      </c>
      <c r="K73" s="14" t="s">
        <v>239</v>
      </c>
      <c r="L73" s="14" t="s">
        <v>240</v>
      </c>
      <c r="M73" s="14" t="str">
        <f t="shared" si="50"/>
        <v>RSDSAV</v>
      </c>
      <c r="N73" s="14" t="s">
        <v>1184</v>
      </c>
      <c r="O73" s="293">
        <f>X_RSD_HeatingDemand!$AA$14</f>
        <v>2019</v>
      </c>
      <c r="P73" s="14">
        <f t="shared" si="51"/>
        <v>2019</v>
      </c>
      <c r="Q73" s="568">
        <v>1</v>
      </c>
      <c r="R73" s="294">
        <v>1</v>
      </c>
      <c r="S73" s="295"/>
      <c r="T73" s="295">
        <v>60</v>
      </c>
      <c r="U73" s="572"/>
      <c r="V73" s="588">
        <f t="shared" si="16"/>
        <v>1089.081081081081</v>
      </c>
      <c r="W73" s="296">
        <v>31.536000000000001</v>
      </c>
      <c r="X73" s="587"/>
      <c r="Y73" s="258"/>
      <c r="Z73" s="258"/>
      <c r="AA73" s="258"/>
      <c r="AB73" s="258"/>
      <c r="AC73" s="258"/>
      <c r="AD73" s="258"/>
    </row>
    <row r="74" spans="1:30" x14ac:dyDescent="0.25">
      <c r="A74" s="258">
        <v>70</v>
      </c>
      <c r="B74" s="258" t="str">
        <f t="shared" si="47"/>
        <v>WALL</v>
      </c>
      <c r="C74" s="258" t="str">
        <f t="shared" si="52"/>
        <v>WallInsulation</v>
      </c>
      <c r="D74" s="289"/>
      <c r="E74" s="14" t="str">
        <f t="shared" si="48"/>
        <v>RHAPE</v>
      </c>
      <c r="F74" s="289" t="str">
        <f t="shared" si="53"/>
        <v>SAV</v>
      </c>
      <c r="G74" s="289" t="s">
        <v>364</v>
      </c>
      <c r="H74" s="258"/>
      <c r="I74" s="14" t="str">
        <f t="shared" si="46"/>
        <v>RHAPEoWALLoSAV70</v>
      </c>
      <c r="J74" s="14" t="str">
        <f t="shared" si="49"/>
        <v>RHAPEWallInsulationSAV.BAT70</v>
      </c>
      <c r="K74" s="14" t="s">
        <v>239</v>
      </c>
      <c r="L74" s="14" t="s">
        <v>240</v>
      </c>
      <c r="M74" s="14" t="str">
        <f t="shared" si="50"/>
        <v>RSDSAV</v>
      </c>
      <c r="N74" s="14" t="s">
        <v>1184</v>
      </c>
      <c r="O74" s="293">
        <f>X_RSD_HeatingDemand!$AA$14</f>
        <v>2019</v>
      </c>
      <c r="P74" s="14">
        <f t="shared" si="51"/>
        <v>2019</v>
      </c>
      <c r="Q74" s="568">
        <v>1</v>
      </c>
      <c r="R74" s="294">
        <v>1</v>
      </c>
      <c r="S74" s="295"/>
      <c r="T74" s="295">
        <v>60</v>
      </c>
      <c r="U74" s="572"/>
      <c r="V74" s="588">
        <f t="shared" si="16"/>
        <v>925.21348314606746</v>
      </c>
      <c r="W74" s="296">
        <v>31.536000000000001</v>
      </c>
      <c r="X74" s="587"/>
      <c r="Y74" s="258"/>
      <c r="Z74" s="258"/>
      <c r="AA74" s="258"/>
      <c r="AB74" s="258"/>
      <c r="AC74" s="258"/>
      <c r="AD74" s="258"/>
    </row>
    <row r="75" spans="1:30" x14ac:dyDescent="0.25">
      <c r="A75" s="258">
        <v>80</v>
      </c>
      <c r="B75" s="258" t="str">
        <f t="shared" si="47"/>
        <v>WALL</v>
      </c>
      <c r="C75" s="258" t="str">
        <f t="shared" si="52"/>
        <v>WallInsulation</v>
      </c>
      <c r="D75" s="289"/>
      <c r="E75" s="14" t="str">
        <f t="shared" si="48"/>
        <v>RHAPE</v>
      </c>
      <c r="F75" s="289" t="str">
        <f t="shared" si="53"/>
        <v>SAV</v>
      </c>
      <c r="G75" s="289" t="s">
        <v>364</v>
      </c>
      <c r="H75" s="258"/>
      <c r="I75" s="14" t="str">
        <f t="shared" si="46"/>
        <v>RHAPEoWALLoSAV80</v>
      </c>
      <c r="J75" s="14" t="str">
        <f t="shared" si="49"/>
        <v>RHAPEWallInsulationSAV.BAT80</v>
      </c>
      <c r="K75" s="14" t="s">
        <v>239</v>
      </c>
      <c r="L75" s="14" t="s">
        <v>240</v>
      </c>
      <c r="M75" s="14" t="str">
        <f t="shared" si="50"/>
        <v>RSDSAV</v>
      </c>
      <c r="N75" s="14" t="s">
        <v>1184</v>
      </c>
      <c r="O75" s="293">
        <f>X_RSD_HeatingDemand!$AA$14</f>
        <v>2019</v>
      </c>
      <c r="P75" s="14">
        <f t="shared" si="51"/>
        <v>2019</v>
      </c>
      <c r="Q75" s="568">
        <v>1</v>
      </c>
      <c r="R75" s="294">
        <v>1</v>
      </c>
      <c r="S75" s="295"/>
      <c r="T75" s="295">
        <v>60</v>
      </c>
      <c r="U75" s="572"/>
      <c r="V75" s="588">
        <f t="shared" si="16"/>
        <v>1051.2</v>
      </c>
      <c r="W75" s="296">
        <v>31.536000000000001</v>
      </c>
      <c r="X75" s="587"/>
      <c r="Y75" s="258"/>
      <c r="Z75" s="258"/>
      <c r="AA75" s="258"/>
      <c r="AB75" s="258"/>
      <c r="AC75" s="258"/>
      <c r="AD75" s="258"/>
    </row>
    <row r="76" spans="1:30" x14ac:dyDescent="0.25">
      <c r="A76" s="258">
        <v>90</v>
      </c>
      <c r="B76" s="258" t="str">
        <f t="shared" si="47"/>
        <v>WALL</v>
      </c>
      <c r="C76" s="258" t="str">
        <f t="shared" si="52"/>
        <v>WallInsulation</v>
      </c>
      <c r="D76" s="289"/>
      <c r="E76" s="14" t="str">
        <f t="shared" si="48"/>
        <v>RHAPE</v>
      </c>
      <c r="F76" s="289" t="str">
        <f t="shared" si="53"/>
        <v>SAV</v>
      </c>
      <c r="G76" s="289" t="s">
        <v>364</v>
      </c>
      <c r="H76" s="258"/>
      <c r="I76" s="14" t="str">
        <f t="shared" si="46"/>
        <v>RHAPEoWALLoSAV90</v>
      </c>
      <c r="J76" s="14" t="str">
        <f t="shared" si="49"/>
        <v>RHAPEWallInsulationSAV.BAT90</v>
      </c>
      <c r="K76" s="14" t="s">
        <v>239</v>
      </c>
      <c r="L76" s="14" t="s">
        <v>240</v>
      </c>
      <c r="M76" s="14" t="str">
        <f t="shared" si="50"/>
        <v>RSDSAV</v>
      </c>
      <c r="N76" s="14" t="s">
        <v>1184</v>
      </c>
      <c r="O76" s="293">
        <f>X_RSD_HeatingDemand!$AA$14</f>
        <v>2019</v>
      </c>
      <c r="P76" s="14">
        <f t="shared" si="51"/>
        <v>2019</v>
      </c>
      <c r="Q76" s="568">
        <v>1</v>
      </c>
      <c r="R76" s="294">
        <v>1</v>
      </c>
      <c r="S76" s="295"/>
      <c r="T76" s="295">
        <v>60</v>
      </c>
      <c r="U76" s="572"/>
      <c r="V76" s="588">
        <f t="shared" si="16"/>
        <v>813.42857142857144</v>
      </c>
      <c r="W76" s="296">
        <v>31.536000000000001</v>
      </c>
      <c r="X76" s="587"/>
      <c r="Y76" s="258"/>
      <c r="Z76" s="258"/>
      <c r="AA76" s="258"/>
      <c r="AB76" s="258"/>
      <c r="AC76" s="258"/>
      <c r="AD76" s="258"/>
    </row>
    <row r="77" spans="1:30" x14ac:dyDescent="0.25">
      <c r="A77" s="258"/>
      <c r="B77" s="258"/>
      <c r="C77" s="258"/>
      <c r="D77" s="258"/>
      <c r="E77" s="14"/>
      <c r="F77" s="289"/>
      <c r="G77" s="289"/>
      <c r="H77" s="258"/>
      <c r="I77" s="258"/>
      <c r="J77" s="14"/>
      <c r="K77" s="14"/>
      <c r="L77" s="14"/>
      <c r="M77" s="14"/>
      <c r="N77" s="14"/>
      <c r="O77" s="14"/>
      <c r="P77" s="14"/>
      <c r="Q77" s="569"/>
      <c r="R77" s="294"/>
      <c r="S77" s="14"/>
      <c r="T77" s="190"/>
      <c r="U77" s="573"/>
      <c r="V77" s="573"/>
      <c r="W77" s="258"/>
      <c r="Y77" s="258"/>
      <c r="Z77" s="258"/>
      <c r="AA77" s="258"/>
      <c r="AB77" s="258"/>
      <c r="AC77" s="258"/>
      <c r="AD77" s="258"/>
    </row>
    <row r="78" spans="1:30" x14ac:dyDescent="0.25">
      <c r="A78" s="258"/>
      <c r="B78" s="258"/>
      <c r="C78" s="258"/>
      <c r="D78" s="258"/>
      <c r="E78" s="14"/>
      <c r="F78" s="289"/>
      <c r="G78" s="289"/>
      <c r="H78" s="258"/>
      <c r="I78" s="258"/>
      <c r="J78" s="14"/>
      <c r="K78" s="14"/>
      <c r="L78" s="14"/>
      <c r="M78" s="14"/>
      <c r="N78" s="14"/>
      <c r="O78" s="14"/>
      <c r="P78" s="14"/>
      <c r="Q78" s="569"/>
      <c r="R78" s="294"/>
      <c r="S78" s="14"/>
      <c r="T78" s="190"/>
      <c r="U78" s="573"/>
      <c r="V78" s="573"/>
      <c r="W78" s="258"/>
      <c r="Y78" s="258"/>
      <c r="Z78" s="258"/>
      <c r="AA78" s="258"/>
      <c r="AB78" s="258"/>
      <c r="AC78" s="258"/>
      <c r="AD78" s="258"/>
    </row>
    <row r="79" spans="1:30" x14ac:dyDescent="0.25">
      <c r="A79" s="258"/>
      <c r="B79" s="258"/>
      <c r="C79" s="258"/>
      <c r="D79" s="258"/>
      <c r="E79" s="14"/>
      <c r="F79" s="289"/>
      <c r="G79" s="289"/>
      <c r="H79" s="258"/>
      <c r="I79" s="258"/>
      <c r="J79" s="14"/>
      <c r="K79" s="14"/>
      <c r="L79" s="14"/>
      <c r="M79" s="14"/>
      <c r="N79" s="14"/>
      <c r="O79" s="14"/>
      <c r="P79" s="14"/>
      <c r="Q79" s="569"/>
      <c r="R79" s="294"/>
      <c r="S79" s="14"/>
      <c r="T79" s="190"/>
      <c r="U79" s="573"/>
      <c r="V79" s="573"/>
      <c r="W79" s="258"/>
      <c r="Y79" s="258"/>
      <c r="Z79" s="258"/>
      <c r="AA79" s="258"/>
      <c r="AB79" s="258"/>
      <c r="AC79" s="258"/>
      <c r="AD79" s="258"/>
    </row>
    <row r="80" spans="1:30" x14ac:dyDescent="0.25">
      <c r="A80" s="258"/>
      <c r="B80" s="258"/>
      <c r="C80" s="258"/>
      <c r="D80" s="258"/>
      <c r="E80" s="14"/>
      <c r="F80" s="289"/>
      <c r="G80" s="289"/>
      <c r="H80" s="258"/>
      <c r="I80" s="258"/>
      <c r="J80" s="14"/>
      <c r="K80" s="14"/>
      <c r="L80" s="14"/>
      <c r="M80" s="14"/>
      <c r="N80" s="14"/>
      <c r="O80" s="14"/>
      <c r="P80" s="14"/>
      <c r="Q80" s="569"/>
      <c r="R80" s="14"/>
      <c r="S80" s="14"/>
      <c r="T80" s="190"/>
      <c r="U80" s="573"/>
      <c r="V80" s="573"/>
      <c r="W80" s="258"/>
      <c r="Y80" s="258"/>
      <c r="Z80" s="258"/>
      <c r="AA80" s="258"/>
      <c r="AB80" s="258"/>
      <c r="AC80" s="258"/>
      <c r="AD80" s="258"/>
    </row>
    <row r="81" spans="1:30" x14ac:dyDescent="0.25">
      <c r="A81" s="258"/>
      <c r="B81" s="258"/>
      <c r="C81" s="258"/>
      <c r="D81" s="258"/>
      <c r="E81" s="14"/>
      <c r="F81" s="289"/>
      <c r="G81" s="289"/>
      <c r="H81" s="258"/>
      <c r="I81" s="258"/>
      <c r="J81" s="14"/>
      <c r="K81" s="14"/>
      <c r="L81" s="14"/>
      <c r="M81" s="14"/>
      <c r="N81" s="14"/>
      <c r="O81" s="14"/>
      <c r="P81" s="14"/>
      <c r="Q81" s="569"/>
      <c r="R81" s="14"/>
      <c r="S81" s="14"/>
      <c r="T81" s="190"/>
      <c r="U81" s="573"/>
      <c r="V81" s="573"/>
      <c r="W81" s="258"/>
      <c r="Y81" s="258"/>
      <c r="Z81" s="258"/>
      <c r="AA81" s="258"/>
      <c r="AB81" s="258"/>
      <c r="AC81" s="258"/>
      <c r="AD81" s="258"/>
    </row>
    <row r="82" spans="1:30" x14ac:dyDescent="0.25">
      <c r="A82" s="258"/>
      <c r="B82" s="258"/>
      <c r="C82" s="258"/>
      <c r="D82" s="258"/>
      <c r="E82" s="14"/>
      <c r="F82" s="289"/>
      <c r="G82" s="289"/>
      <c r="H82" s="258"/>
      <c r="I82" s="258"/>
      <c r="J82" s="14"/>
      <c r="K82" s="14"/>
      <c r="L82" s="14"/>
      <c r="M82" s="14"/>
      <c r="N82" s="14"/>
      <c r="O82" s="14"/>
      <c r="P82" s="14"/>
      <c r="Q82" s="569"/>
      <c r="R82" s="14"/>
      <c r="S82" s="14"/>
      <c r="T82" s="190"/>
      <c r="U82" s="573"/>
      <c r="V82" s="573"/>
      <c r="W82" s="258"/>
      <c r="Y82" s="258"/>
      <c r="Z82" s="258"/>
      <c r="AA82" s="258"/>
      <c r="AB82" s="258"/>
      <c r="AC82" s="258"/>
      <c r="AD82" s="258"/>
    </row>
    <row r="83" spans="1:30" x14ac:dyDescent="0.25">
      <c r="A83" s="258"/>
      <c r="B83" s="258"/>
      <c r="C83" s="258"/>
      <c r="D83" s="258"/>
      <c r="E83" s="14"/>
      <c r="F83" s="289"/>
      <c r="G83" s="289"/>
      <c r="H83" s="258"/>
      <c r="I83" s="258"/>
      <c r="J83" s="14"/>
      <c r="K83" s="14"/>
      <c r="L83" s="14"/>
      <c r="M83" s="14"/>
      <c r="N83" s="14"/>
      <c r="O83" s="14"/>
      <c r="P83" s="14"/>
      <c r="Q83" s="569"/>
      <c r="R83" s="294"/>
      <c r="S83" s="14"/>
      <c r="T83" s="190"/>
      <c r="U83" s="573"/>
      <c r="W83" s="258"/>
      <c r="Y83" s="258"/>
      <c r="Z83" s="258"/>
      <c r="AA83" s="258"/>
      <c r="AB83" s="258"/>
      <c r="AC83" s="258"/>
      <c r="AD83" s="258"/>
    </row>
    <row r="84" spans="1:30" x14ac:dyDescent="0.25">
      <c r="A84" s="258"/>
      <c r="B84" s="258"/>
      <c r="C84" s="258"/>
      <c r="D84" s="258"/>
      <c r="E84" s="14"/>
      <c r="F84" s="289"/>
      <c r="G84" s="289"/>
      <c r="H84" s="258"/>
      <c r="I84" s="258"/>
      <c r="J84" s="14"/>
      <c r="K84" s="14"/>
      <c r="L84" s="14"/>
      <c r="M84" s="14"/>
      <c r="N84" s="14"/>
      <c r="O84" s="14"/>
      <c r="P84" s="14"/>
      <c r="Q84" s="569"/>
      <c r="R84" s="294"/>
      <c r="S84" s="14"/>
      <c r="T84" s="190"/>
      <c r="U84" s="573"/>
      <c r="V84" s="573"/>
      <c r="W84" s="258"/>
      <c r="Y84" s="258"/>
      <c r="Z84" s="258"/>
      <c r="AA84" s="258"/>
      <c r="AB84" s="258"/>
      <c r="AC84" s="258"/>
      <c r="AD84" s="258"/>
    </row>
    <row r="85" spans="1:30" x14ac:dyDescent="0.25">
      <c r="A85" s="258"/>
      <c r="B85" s="258"/>
      <c r="C85" s="258"/>
      <c r="D85" s="258"/>
      <c r="E85" s="14"/>
      <c r="F85" s="289"/>
      <c r="G85" s="289"/>
      <c r="H85" s="258"/>
      <c r="I85" s="258"/>
      <c r="J85" s="14"/>
      <c r="K85" s="14"/>
      <c r="L85" s="14"/>
      <c r="M85" s="14"/>
      <c r="N85" s="14"/>
      <c r="O85" s="14"/>
      <c r="P85" s="14"/>
      <c r="Q85" s="569"/>
      <c r="R85" s="294"/>
      <c r="S85" s="14"/>
      <c r="T85" s="190"/>
      <c r="U85" s="573"/>
      <c r="V85" s="573"/>
      <c r="W85" s="258"/>
      <c r="Y85" s="258"/>
      <c r="Z85" s="258"/>
      <c r="AA85" s="258"/>
      <c r="AB85" s="258"/>
      <c r="AC85" s="258"/>
      <c r="AD85" s="258"/>
    </row>
    <row r="86" spans="1:30" x14ac:dyDescent="0.25">
      <c r="A86" s="258"/>
      <c r="B86" s="258"/>
      <c r="C86" s="258"/>
      <c r="D86" s="258"/>
      <c r="E86" s="14"/>
      <c r="F86" s="289"/>
      <c r="G86" s="289"/>
      <c r="H86" s="258"/>
      <c r="I86" s="258"/>
      <c r="J86" s="14"/>
      <c r="K86" s="14"/>
      <c r="L86" s="14"/>
      <c r="M86" s="14"/>
      <c r="N86" s="14"/>
      <c r="O86" s="14"/>
      <c r="P86" s="14"/>
      <c r="Q86" s="569"/>
      <c r="R86" s="294"/>
      <c r="S86" s="14"/>
      <c r="T86" s="190"/>
      <c r="U86" s="573"/>
      <c r="V86" s="573"/>
      <c r="W86" s="258"/>
      <c r="Y86" s="258"/>
      <c r="Z86" s="258"/>
      <c r="AA86" s="258"/>
      <c r="AB86" s="258"/>
      <c r="AC86" s="258"/>
      <c r="AD86" s="258"/>
    </row>
    <row r="87" spans="1:30" x14ac:dyDescent="0.25">
      <c r="A87" s="258"/>
      <c r="B87" s="258"/>
      <c r="C87" s="258"/>
      <c r="D87" s="258"/>
      <c r="E87" s="14"/>
      <c r="F87" s="297"/>
      <c r="G87" s="289"/>
      <c r="H87" s="258"/>
      <c r="I87" s="258"/>
      <c r="J87" s="14"/>
      <c r="K87" s="14"/>
      <c r="L87" s="14"/>
      <c r="M87" s="14"/>
      <c r="N87" s="14"/>
      <c r="O87" s="14"/>
      <c r="P87" s="14"/>
      <c r="Q87" s="569"/>
      <c r="R87" s="294"/>
      <c r="S87" s="14"/>
      <c r="T87" s="190"/>
      <c r="U87" s="573"/>
      <c r="V87" s="573"/>
      <c r="W87" s="258"/>
      <c r="Y87" s="258"/>
      <c r="Z87" s="258"/>
      <c r="AA87" s="258"/>
      <c r="AB87" s="258"/>
      <c r="AC87" s="258"/>
      <c r="AD87" s="258"/>
    </row>
    <row r="88" spans="1:30" x14ac:dyDescent="0.25">
      <c r="A88" s="258"/>
      <c r="B88" s="258"/>
      <c r="C88" s="258"/>
      <c r="D88" s="258"/>
      <c r="E88" s="14"/>
      <c r="F88" s="289"/>
      <c r="G88" s="289"/>
      <c r="H88" s="258"/>
      <c r="I88" s="258"/>
      <c r="J88" s="14"/>
      <c r="K88" s="14"/>
      <c r="L88" s="14"/>
      <c r="M88" s="14"/>
      <c r="N88" s="14"/>
      <c r="O88" s="14"/>
      <c r="P88" s="14"/>
      <c r="Q88" s="569"/>
      <c r="R88" s="294"/>
      <c r="S88" s="14"/>
      <c r="T88" s="190"/>
      <c r="U88" s="573"/>
      <c r="V88" s="573"/>
      <c r="W88" s="258"/>
      <c r="Y88" s="258"/>
      <c r="Z88" s="258"/>
      <c r="AA88" s="258"/>
      <c r="AB88" s="258"/>
      <c r="AC88" s="258"/>
      <c r="AD88" s="258"/>
    </row>
    <row r="89" spans="1:30" x14ac:dyDescent="0.25">
      <c r="A89" s="258"/>
      <c r="B89" s="258"/>
      <c r="C89" s="258"/>
      <c r="D89" s="258"/>
      <c r="E89" s="14"/>
      <c r="F89" s="289"/>
      <c r="G89" s="289"/>
      <c r="H89" s="258"/>
      <c r="I89" s="258"/>
      <c r="J89" s="14"/>
      <c r="K89" s="14"/>
      <c r="L89" s="14"/>
      <c r="M89" s="14"/>
      <c r="N89" s="14"/>
      <c r="O89" s="14"/>
      <c r="P89" s="14"/>
      <c r="Q89" s="569"/>
      <c r="R89" s="294"/>
      <c r="S89" s="14"/>
      <c r="T89" s="190"/>
      <c r="U89" s="573"/>
      <c r="V89" s="573"/>
      <c r="W89" s="258"/>
      <c r="Y89" s="258"/>
      <c r="Z89" s="258"/>
      <c r="AA89" s="258"/>
      <c r="AB89" s="258"/>
      <c r="AC89" s="258"/>
      <c r="AD89" s="258"/>
    </row>
    <row r="90" spans="1:30" x14ac:dyDescent="0.25">
      <c r="A90" s="258"/>
      <c r="B90" s="258"/>
      <c r="C90" s="258"/>
      <c r="D90" s="258"/>
      <c r="E90" s="14"/>
      <c r="F90" s="289"/>
      <c r="G90" s="289"/>
      <c r="H90" s="258"/>
      <c r="I90" s="258"/>
      <c r="J90" s="14"/>
      <c r="K90" s="14"/>
      <c r="L90" s="14"/>
      <c r="M90" s="14"/>
      <c r="N90" s="14"/>
      <c r="O90" s="14"/>
      <c r="P90" s="14"/>
      <c r="Q90" s="569"/>
      <c r="R90" s="294"/>
      <c r="S90" s="14"/>
      <c r="T90" s="190"/>
      <c r="U90" s="573"/>
      <c r="V90" s="573"/>
      <c r="W90" s="258"/>
      <c r="Y90" s="258"/>
      <c r="Z90" s="258"/>
      <c r="AA90" s="258"/>
      <c r="AB90" s="258"/>
      <c r="AC90" s="258"/>
      <c r="AD90" s="258"/>
    </row>
    <row r="91" spans="1:30" x14ac:dyDescent="0.25">
      <c r="A91" s="258"/>
      <c r="B91" s="258"/>
      <c r="C91" s="258"/>
      <c r="D91" s="258"/>
      <c r="E91" s="14"/>
      <c r="F91" s="289"/>
      <c r="G91" s="289"/>
      <c r="H91" s="258"/>
      <c r="I91" s="258"/>
      <c r="J91" s="14"/>
      <c r="K91" s="14"/>
      <c r="L91" s="14"/>
      <c r="M91" s="14"/>
      <c r="N91" s="14"/>
      <c r="O91" s="14"/>
      <c r="P91" s="14"/>
      <c r="Q91" s="569"/>
      <c r="R91" s="294"/>
      <c r="S91" s="14"/>
      <c r="T91" s="190"/>
      <c r="U91" s="573"/>
      <c r="V91" s="573"/>
      <c r="W91" s="258"/>
      <c r="Y91" s="258"/>
      <c r="Z91" s="258"/>
      <c r="AA91" s="258"/>
      <c r="AB91" s="258"/>
      <c r="AC91" s="258"/>
      <c r="AD91" s="258"/>
    </row>
    <row r="92" spans="1:30" x14ac:dyDescent="0.25">
      <c r="A92" s="258"/>
      <c r="B92" s="258"/>
      <c r="C92" s="289"/>
      <c r="D92" s="258"/>
      <c r="E92" s="14"/>
      <c r="F92" s="297"/>
      <c r="G92" s="289"/>
      <c r="H92" s="258"/>
      <c r="I92" s="258"/>
      <c r="J92" s="14"/>
      <c r="K92" s="14"/>
      <c r="L92" s="14"/>
      <c r="M92" s="14"/>
      <c r="N92" s="14"/>
      <c r="O92" s="14"/>
      <c r="P92" s="14"/>
      <c r="Q92" s="569"/>
      <c r="R92" s="294"/>
      <c r="S92" s="14"/>
      <c r="T92" s="190"/>
      <c r="U92" s="573"/>
      <c r="V92" s="573"/>
      <c r="W92" s="258"/>
      <c r="Y92" s="258"/>
      <c r="Z92" s="258"/>
      <c r="AA92" s="258"/>
      <c r="AB92" s="258"/>
      <c r="AC92" s="258"/>
      <c r="AD92" s="258"/>
    </row>
    <row r="93" spans="1:30" x14ac:dyDescent="0.25">
      <c r="A93" s="258"/>
      <c r="B93" s="258"/>
      <c r="C93" s="258"/>
      <c r="D93" s="258"/>
      <c r="E93" s="14"/>
      <c r="F93" s="289"/>
      <c r="G93" s="289"/>
      <c r="H93" s="258"/>
      <c r="I93" s="258"/>
      <c r="J93" s="14"/>
      <c r="K93" s="14"/>
      <c r="L93" s="14"/>
      <c r="M93" s="14"/>
      <c r="N93" s="14"/>
      <c r="O93" s="14"/>
      <c r="P93" s="14"/>
      <c r="Q93" s="569"/>
      <c r="R93" s="294"/>
      <c r="S93" s="14"/>
      <c r="T93" s="190"/>
      <c r="U93" s="573"/>
      <c r="V93" s="573"/>
      <c r="W93" s="258"/>
      <c r="Y93" s="258"/>
      <c r="Z93" s="258"/>
      <c r="AA93" s="258"/>
      <c r="AB93" s="258"/>
      <c r="AC93" s="258"/>
      <c r="AD93" s="258"/>
    </row>
    <row r="94" spans="1:30" x14ac:dyDescent="0.25">
      <c r="A94" s="258"/>
      <c r="B94" s="258"/>
      <c r="C94" s="258"/>
      <c r="D94" s="258"/>
      <c r="E94" s="14"/>
      <c r="F94" s="289"/>
      <c r="G94" s="289"/>
      <c r="H94" s="258"/>
      <c r="I94" s="258"/>
      <c r="J94" s="14"/>
      <c r="K94" s="14"/>
      <c r="L94" s="14"/>
      <c r="M94" s="14"/>
      <c r="N94" s="14"/>
      <c r="O94" s="14"/>
      <c r="P94" s="14"/>
      <c r="Q94" s="569"/>
      <c r="R94" s="294"/>
      <c r="S94" s="14"/>
      <c r="T94" s="190"/>
      <c r="U94" s="573"/>
      <c r="V94" s="573"/>
      <c r="W94" s="258"/>
      <c r="Y94" s="258"/>
      <c r="Z94" s="258"/>
      <c r="AA94" s="258"/>
      <c r="AB94" s="258"/>
      <c r="AC94" s="258"/>
      <c r="AD94" s="258"/>
    </row>
    <row r="95" spans="1:30" x14ac:dyDescent="0.25">
      <c r="A95" s="258"/>
      <c r="B95" s="258"/>
      <c r="C95" s="258"/>
      <c r="D95" s="258"/>
      <c r="E95" s="14"/>
      <c r="F95" s="289"/>
      <c r="G95" s="289"/>
      <c r="H95" s="258"/>
      <c r="I95" s="258"/>
      <c r="J95" s="14"/>
      <c r="K95" s="14"/>
      <c r="L95" s="14"/>
      <c r="M95" s="14"/>
      <c r="N95" s="14"/>
      <c r="O95" s="14"/>
      <c r="P95" s="14"/>
      <c r="Q95" s="569"/>
      <c r="R95" s="294"/>
      <c r="S95" s="14"/>
      <c r="T95" s="190"/>
      <c r="U95" s="573"/>
      <c r="V95" s="573"/>
      <c r="W95" s="258"/>
      <c r="Y95" s="258"/>
    </row>
    <row r="96" spans="1:30" x14ac:dyDescent="0.25">
      <c r="A96" s="258"/>
      <c r="B96" s="258"/>
      <c r="C96" s="258"/>
      <c r="D96" s="258"/>
      <c r="E96" s="14"/>
      <c r="F96" s="289"/>
      <c r="G96" s="289"/>
      <c r="H96" s="258"/>
      <c r="I96" s="258"/>
      <c r="J96" s="14"/>
      <c r="K96" s="14"/>
      <c r="L96" s="14"/>
      <c r="M96" s="14"/>
      <c r="N96" s="14"/>
      <c r="O96" s="14"/>
      <c r="P96" s="14"/>
      <c r="Q96" s="569"/>
      <c r="R96" s="294"/>
      <c r="S96" s="14"/>
      <c r="T96" s="190"/>
      <c r="U96" s="573"/>
      <c r="V96" s="573"/>
      <c r="W96" s="258"/>
      <c r="Y96" s="258"/>
    </row>
    <row r="97" spans="1:25" x14ac:dyDescent="0.25">
      <c r="A97" s="258"/>
      <c r="B97" s="258"/>
      <c r="C97" s="289"/>
      <c r="D97" s="258"/>
      <c r="E97" s="14"/>
      <c r="F97" s="297"/>
      <c r="G97" s="289"/>
      <c r="H97" s="258"/>
      <c r="I97" s="258"/>
      <c r="J97" s="14"/>
      <c r="K97" s="14"/>
      <c r="L97" s="14"/>
      <c r="M97" s="14"/>
      <c r="N97" s="14"/>
      <c r="O97" s="14"/>
      <c r="P97" s="14"/>
      <c r="Q97" s="569"/>
      <c r="R97" s="294"/>
      <c r="S97" s="14"/>
      <c r="T97" s="190"/>
      <c r="U97" s="573"/>
      <c r="V97" s="573"/>
      <c r="W97" s="258"/>
      <c r="Y97" s="258"/>
    </row>
    <row r="98" spans="1:25" x14ac:dyDescent="0.25">
      <c r="A98" s="258"/>
      <c r="B98" s="258"/>
      <c r="C98" s="258"/>
      <c r="D98" s="258"/>
      <c r="E98" s="14"/>
      <c r="F98" s="289"/>
      <c r="G98" s="289"/>
      <c r="H98" s="258"/>
      <c r="I98" s="258"/>
      <c r="J98" s="14"/>
      <c r="K98" s="14"/>
      <c r="L98" s="14"/>
      <c r="M98" s="14"/>
      <c r="N98" s="14"/>
      <c r="O98" s="14"/>
      <c r="P98" s="14"/>
      <c r="Q98" s="569"/>
      <c r="R98" s="294"/>
      <c r="S98" s="14"/>
      <c r="T98" s="190"/>
      <c r="U98" s="573"/>
      <c r="V98" s="573"/>
      <c r="W98" s="258"/>
      <c r="Y98" s="258"/>
    </row>
    <row r="99" spans="1:25" x14ac:dyDescent="0.25">
      <c r="A99" s="258"/>
      <c r="B99" s="258"/>
      <c r="C99" s="258"/>
      <c r="D99" s="258"/>
      <c r="E99" s="14"/>
      <c r="F99" s="289"/>
      <c r="G99" s="289"/>
      <c r="H99" s="258"/>
      <c r="I99" s="258"/>
      <c r="J99" s="14"/>
      <c r="K99" s="14"/>
      <c r="L99" s="14"/>
      <c r="M99" s="14"/>
      <c r="N99" s="14"/>
      <c r="O99" s="14"/>
      <c r="P99" s="14"/>
      <c r="Q99" s="569"/>
      <c r="R99" s="294"/>
      <c r="S99" s="14"/>
      <c r="T99" s="190"/>
      <c r="U99" s="573"/>
      <c r="V99" s="573"/>
      <c r="W99" s="258"/>
      <c r="Y99" s="258"/>
    </row>
    <row r="100" spans="1:25" x14ac:dyDescent="0.25">
      <c r="A100" s="258"/>
      <c r="B100" s="258"/>
      <c r="C100" s="258"/>
      <c r="D100" s="258"/>
      <c r="E100" s="14"/>
      <c r="F100" s="289"/>
      <c r="G100" s="289"/>
      <c r="H100" s="258"/>
      <c r="I100" s="258"/>
      <c r="J100" s="14"/>
      <c r="K100" s="14"/>
      <c r="L100" s="14"/>
      <c r="M100" s="14"/>
      <c r="N100" s="14"/>
      <c r="O100" s="14"/>
      <c r="P100" s="14"/>
      <c r="Q100" s="569"/>
      <c r="R100" s="294"/>
      <c r="S100" s="14"/>
      <c r="T100" s="190"/>
      <c r="U100" s="573"/>
      <c r="V100" s="573"/>
      <c r="W100" s="258"/>
      <c r="Y100" s="258"/>
    </row>
    <row r="101" spans="1:25" x14ac:dyDescent="0.25">
      <c r="A101" s="258"/>
      <c r="B101" s="258"/>
      <c r="C101" s="258"/>
      <c r="D101" s="258"/>
      <c r="E101" s="14"/>
      <c r="F101" s="289"/>
      <c r="G101" s="289"/>
      <c r="H101" s="258"/>
      <c r="I101" s="258"/>
      <c r="J101" s="14"/>
      <c r="K101" s="14"/>
      <c r="L101" s="14"/>
      <c r="M101" s="14"/>
      <c r="N101" s="14"/>
      <c r="O101" s="14"/>
      <c r="P101" s="14"/>
      <c r="Q101" s="569"/>
      <c r="R101" s="14"/>
      <c r="S101" s="14"/>
      <c r="T101" s="190"/>
      <c r="U101" s="573"/>
      <c r="V101" s="573"/>
      <c r="W101" s="258"/>
      <c r="Y101" s="258"/>
    </row>
    <row r="102" spans="1:25" x14ac:dyDescent="0.25">
      <c r="A102" s="258"/>
      <c r="B102" s="258"/>
      <c r="C102" s="258"/>
      <c r="D102" s="258"/>
      <c r="E102" s="14"/>
      <c r="F102" s="289"/>
      <c r="G102" s="289"/>
      <c r="H102" s="258"/>
      <c r="I102" s="258"/>
      <c r="J102" s="14"/>
      <c r="K102" s="14"/>
      <c r="L102" s="14"/>
      <c r="M102" s="14"/>
      <c r="N102" s="14"/>
      <c r="O102" s="14"/>
      <c r="P102" s="14"/>
      <c r="Q102" s="569"/>
      <c r="R102" s="14"/>
      <c r="S102" s="14"/>
      <c r="T102" s="190"/>
      <c r="U102" s="573"/>
      <c r="V102" s="573"/>
      <c r="W102" s="258"/>
      <c r="Y102" s="258"/>
    </row>
    <row r="103" spans="1:25" x14ac:dyDescent="0.25">
      <c r="A103" s="258"/>
      <c r="B103" s="258"/>
      <c r="C103" s="258"/>
      <c r="D103" s="258"/>
      <c r="E103" s="14"/>
      <c r="F103" s="289"/>
      <c r="G103" s="289"/>
      <c r="H103" s="258"/>
      <c r="I103" s="258"/>
      <c r="J103" s="14"/>
      <c r="K103" s="14"/>
      <c r="L103" s="14"/>
      <c r="M103" s="14"/>
      <c r="N103" s="14"/>
      <c r="O103" s="14"/>
      <c r="P103" s="14"/>
      <c r="Q103" s="569"/>
      <c r="R103" s="14"/>
      <c r="S103" s="14"/>
      <c r="T103" s="190"/>
      <c r="U103" s="573"/>
      <c r="V103" s="573"/>
      <c r="W103" s="258"/>
      <c r="Y103" s="258"/>
    </row>
    <row r="104" spans="1:25" x14ac:dyDescent="0.25">
      <c r="A104" s="258"/>
      <c r="B104" s="258"/>
      <c r="C104" s="258"/>
      <c r="D104" s="258"/>
      <c r="E104" s="14"/>
      <c r="F104" s="289"/>
      <c r="G104" s="289"/>
      <c r="H104" s="258"/>
      <c r="I104" s="258"/>
      <c r="J104" s="14"/>
      <c r="K104" s="14"/>
      <c r="L104" s="14"/>
      <c r="M104" s="14"/>
      <c r="N104" s="14"/>
      <c r="O104" s="14"/>
      <c r="P104" s="14"/>
      <c r="Q104" s="569"/>
      <c r="R104" s="294"/>
      <c r="S104" s="14"/>
      <c r="T104" s="190"/>
      <c r="U104" s="573"/>
      <c r="V104" s="573"/>
      <c r="W104" s="258"/>
      <c r="Y104" s="258"/>
    </row>
    <row r="105" spans="1:25" x14ac:dyDescent="0.25">
      <c r="A105" s="258"/>
      <c r="B105" s="258"/>
      <c r="C105" s="258"/>
      <c r="D105" s="258"/>
      <c r="E105" s="14"/>
      <c r="F105" s="289"/>
      <c r="G105" s="289"/>
      <c r="H105" s="258"/>
      <c r="I105" s="258"/>
      <c r="J105" s="14"/>
      <c r="K105" s="14"/>
      <c r="L105" s="14"/>
      <c r="M105" s="14"/>
      <c r="N105" s="14"/>
      <c r="O105" s="14"/>
      <c r="P105" s="14"/>
      <c r="Q105" s="569"/>
      <c r="R105" s="294"/>
      <c r="S105" s="14"/>
      <c r="T105" s="190"/>
      <c r="U105" s="573"/>
      <c r="V105" s="573"/>
      <c r="W105" s="258"/>
      <c r="Y105" s="258"/>
    </row>
    <row r="106" spans="1:25" x14ac:dyDescent="0.25">
      <c r="A106" s="258"/>
      <c r="B106" s="258"/>
      <c r="C106" s="258"/>
      <c r="D106" s="258"/>
      <c r="E106" s="14"/>
      <c r="F106" s="289"/>
      <c r="G106" s="289"/>
      <c r="H106" s="258"/>
      <c r="I106" s="258"/>
      <c r="J106" s="14"/>
      <c r="K106" s="14"/>
      <c r="L106" s="14"/>
      <c r="M106" s="14"/>
      <c r="N106" s="14"/>
      <c r="O106" s="14"/>
      <c r="P106" s="14"/>
      <c r="Q106" s="569"/>
      <c r="R106" s="294"/>
      <c r="S106" s="14"/>
      <c r="T106" s="190"/>
      <c r="U106" s="573"/>
      <c r="V106" s="573"/>
      <c r="W106" s="258"/>
      <c r="Y106" s="258"/>
    </row>
    <row r="107" spans="1:25" x14ac:dyDescent="0.25">
      <c r="A107" s="258"/>
      <c r="B107" s="258"/>
      <c r="C107" s="258"/>
      <c r="D107" s="258"/>
      <c r="E107" s="14"/>
      <c r="F107" s="289"/>
      <c r="G107" s="289"/>
      <c r="H107" s="289"/>
      <c r="I107" s="14"/>
      <c r="J107" s="14"/>
      <c r="K107" s="14"/>
      <c r="L107" s="14"/>
      <c r="M107" s="14"/>
      <c r="N107" s="14"/>
      <c r="O107" s="14"/>
      <c r="P107" s="14"/>
      <c r="Q107" s="569"/>
      <c r="R107" s="294"/>
      <c r="S107" s="14"/>
      <c r="T107" s="190"/>
      <c r="U107" s="573"/>
      <c r="V107" s="573"/>
      <c r="W107" s="258"/>
      <c r="Y107" s="258"/>
    </row>
    <row r="108" spans="1:25" x14ac:dyDescent="0.25">
      <c r="E108" s="575"/>
      <c r="F108" s="576"/>
      <c r="G108" s="577"/>
      <c r="H108" s="577"/>
      <c r="I108" s="575"/>
      <c r="J108" s="575"/>
      <c r="K108" s="575"/>
      <c r="L108" s="575"/>
      <c r="M108" s="575"/>
      <c r="N108" s="575"/>
      <c r="O108" s="575"/>
      <c r="P108" s="575"/>
      <c r="Q108" s="578"/>
      <c r="R108" s="579"/>
      <c r="S108" s="575"/>
      <c r="T108" s="580"/>
      <c r="U108" s="573"/>
      <c r="V108" s="573"/>
    </row>
    <row r="109" spans="1:25" x14ac:dyDescent="0.25">
      <c r="E109" s="575"/>
      <c r="G109" s="577"/>
      <c r="H109" s="577"/>
      <c r="I109" s="575"/>
      <c r="J109" s="575"/>
      <c r="K109" s="575"/>
      <c r="L109" s="575"/>
      <c r="M109" s="575"/>
      <c r="N109" s="575"/>
      <c r="O109" s="575"/>
      <c r="P109" s="575"/>
      <c r="Q109" s="578"/>
      <c r="R109" s="579"/>
      <c r="S109" s="575"/>
      <c r="T109" s="580"/>
      <c r="U109" s="573"/>
      <c r="V109" s="573"/>
    </row>
    <row r="110" spans="1:25" x14ac:dyDescent="0.25">
      <c r="E110" s="575"/>
      <c r="G110" s="577"/>
      <c r="H110" s="577"/>
      <c r="I110" s="575"/>
      <c r="J110" s="575"/>
      <c r="K110" s="575"/>
      <c r="L110" s="575"/>
      <c r="M110" s="575"/>
      <c r="N110" s="575"/>
      <c r="O110" s="575"/>
      <c r="P110" s="575"/>
      <c r="Q110" s="578"/>
      <c r="R110" s="579"/>
      <c r="S110" s="575"/>
      <c r="T110" s="580"/>
      <c r="U110" s="573"/>
      <c r="V110" s="573"/>
    </row>
    <row r="111" spans="1:25" x14ac:dyDescent="0.25">
      <c r="E111" s="575"/>
      <c r="G111" s="577"/>
      <c r="H111" s="577"/>
      <c r="I111" s="575"/>
      <c r="J111" s="575"/>
      <c r="K111" s="575"/>
      <c r="L111" s="575"/>
      <c r="M111" s="575"/>
      <c r="N111" s="575"/>
      <c r="O111" s="575"/>
      <c r="P111" s="575"/>
      <c r="Q111" s="578"/>
      <c r="R111" s="579"/>
      <c r="S111" s="575"/>
      <c r="T111" s="580"/>
      <c r="U111" s="573"/>
      <c r="V111" s="573"/>
    </row>
    <row r="112" spans="1:25" x14ac:dyDescent="0.25">
      <c r="E112" s="575"/>
      <c r="G112" s="577"/>
      <c r="J112" s="575"/>
      <c r="K112" s="575"/>
      <c r="L112" s="575"/>
      <c r="M112" s="575"/>
      <c r="N112" s="575"/>
      <c r="O112" s="575"/>
      <c r="P112" s="575"/>
      <c r="Q112" s="578"/>
      <c r="R112" s="579"/>
      <c r="S112" s="575"/>
      <c r="T112" s="580"/>
      <c r="U112" s="573"/>
      <c r="V112" s="573"/>
    </row>
    <row r="113" spans="2:22" x14ac:dyDescent="0.25">
      <c r="C113" s="577"/>
      <c r="E113" s="575"/>
      <c r="F113" s="576"/>
      <c r="G113" s="577"/>
      <c r="J113" s="575"/>
      <c r="K113" s="575"/>
      <c r="L113" s="575"/>
      <c r="M113" s="575"/>
      <c r="N113" s="575"/>
      <c r="O113" s="575"/>
      <c r="P113" s="575"/>
      <c r="Q113" s="578"/>
      <c r="R113" s="579"/>
      <c r="S113" s="575"/>
      <c r="T113" s="580"/>
      <c r="U113" s="573"/>
      <c r="V113" s="573"/>
    </row>
    <row r="114" spans="2:22" x14ac:dyDescent="0.25">
      <c r="E114" s="575"/>
      <c r="G114" s="577"/>
      <c r="J114" s="575"/>
      <c r="K114" s="575"/>
      <c r="L114" s="575"/>
      <c r="M114" s="575"/>
      <c r="N114" s="575"/>
      <c r="O114" s="575"/>
      <c r="P114" s="575"/>
      <c r="Q114" s="578"/>
      <c r="R114" s="579"/>
      <c r="S114" s="575"/>
      <c r="T114" s="580"/>
      <c r="U114" s="573"/>
      <c r="V114" s="573"/>
    </row>
    <row r="115" spans="2:22" x14ac:dyDescent="0.25">
      <c r="E115" s="575"/>
      <c r="G115" s="577"/>
      <c r="J115" s="575"/>
      <c r="K115" s="575"/>
      <c r="L115" s="575"/>
      <c r="M115" s="575"/>
      <c r="N115" s="575"/>
      <c r="O115" s="575"/>
      <c r="P115" s="575"/>
      <c r="Q115" s="578"/>
      <c r="R115" s="579"/>
      <c r="S115" s="575"/>
      <c r="T115" s="580"/>
      <c r="U115" s="573"/>
      <c r="V115" s="573"/>
    </row>
    <row r="116" spans="2:22" x14ac:dyDescent="0.25">
      <c r="E116" s="575"/>
      <c r="G116" s="577"/>
      <c r="J116" s="575"/>
      <c r="K116" s="575"/>
      <c r="L116" s="575"/>
      <c r="M116" s="575"/>
      <c r="N116" s="575"/>
      <c r="O116" s="575"/>
      <c r="P116" s="575"/>
      <c r="Q116" s="578"/>
      <c r="R116" s="579"/>
      <c r="S116" s="575"/>
      <c r="T116" s="580"/>
      <c r="U116" s="573"/>
      <c r="V116" s="573"/>
    </row>
    <row r="117" spans="2:22" x14ac:dyDescent="0.25">
      <c r="E117" s="575"/>
      <c r="G117" s="577"/>
      <c r="J117" s="575"/>
      <c r="K117" s="575"/>
      <c r="L117" s="575"/>
      <c r="M117" s="575"/>
      <c r="N117" s="575"/>
      <c r="O117" s="575"/>
      <c r="P117" s="575"/>
      <c r="Q117" s="578"/>
      <c r="R117" s="579"/>
      <c r="S117" s="575"/>
      <c r="T117" s="580"/>
      <c r="U117" s="573"/>
      <c r="V117" s="573"/>
    </row>
    <row r="118" spans="2:22" x14ac:dyDescent="0.25">
      <c r="C118" s="577"/>
      <c r="E118" s="575"/>
      <c r="F118" s="576"/>
      <c r="G118" s="577"/>
      <c r="J118" s="575"/>
      <c r="K118" s="575"/>
      <c r="L118" s="575"/>
      <c r="M118" s="575"/>
      <c r="N118" s="575"/>
      <c r="O118" s="575"/>
      <c r="P118" s="575"/>
      <c r="Q118" s="578"/>
      <c r="R118" s="579"/>
      <c r="S118" s="575"/>
      <c r="T118" s="580"/>
      <c r="U118" s="573"/>
      <c r="V118" s="573"/>
    </row>
    <row r="119" spans="2:22" x14ac:dyDescent="0.25">
      <c r="E119" s="575"/>
      <c r="G119" s="577"/>
      <c r="J119" s="575"/>
      <c r="K119" s="575"/>
      <c r="L119" s="575"/>
      <c r="M119" s="575"/>
      <c r="N119" s="575"/>
      <c r="O119" s="575"/>
      <c r="P119" s="575"/>
      <c r="Q119" s="578"/>
      <c r="R119" s="579"/>
      <c r="S119" s="575"/>
      <c r="T119" s="580"/>
      <c r="U119" s="573"/>
      <c r="V119" s="573"/>
    </row>
    <row r="120" spans="2:22" x14ac:dyDescent="0.25">
      <c r="E120" s="575"/>
      <c r="G120" s="577"/>
      <c r="J120" s="575"/>
      <c r="K120" s="575"/>
      <c r="L120" s="575"/>
      <c r="M120" s="575"/>
      <c r="N120" s="575"/>
      <c r="O120" s="575"/>
      <c r="P120" s="575"/>
      <c r="Q120" s="578"/>
      <c r="R120" s="579"/>
      <c r="S120" s="575"/>
      <c r="T120" s="580"/>
      <c r="U120" s="573"/>
      <c r="V120" s="573"/>
    </row>
    <row r="121" spans="2:22" x14ac:dyDescent="0.25">
      <c r="E121" s="575"/>
      <c r="G121" s="577"/>
      <c r="J121" s="575"/>
      <c r="K121" s="575"/>
      <c r="L121" s="575"/>
      <c r="M121" s="575"/>
      <c r="N121" s="575"/>
      <c r="O121" s="575"/>
      <c r="P121" s="575"/>
      <c r="Q121" s="578"/>
      <c r="R121" s="579"/>
      <c r="S121" s="575"/>
      <c r="T121" s="580"/>
      <c r="U121" s="573"/>
      <c r="V121" s="573"/>
    </row>
    <row r="122" spans="2:22" x14ac:dyDescent="0.25">
      <c r="E122" s="575"/>
      <c r="G122" s="577"/>
      <c r="J122" s="575"/>
      <c r="K122" s="575"/>
      <c r="L122" s="575"/>
      <c r="M122" s="575"/>
      <c r="N122" s="575"/>
      <c r="O122" s="575"/>
      <c r="P122" s="575"/>
      <c r="Q122" s="578"/>
      <c r="R122" s="575"/>
      <c r="S122" s="575"/>
      <c r="T122" s="580"/>
      <c r="U122" s="573"/>
      <c r="V122" s="573"/>
    </row>
    <row r="123" spans="2:22" x14ac:dyDescent="0.25">
      <c r="E123" s="575"/>
      <c r="G123" s="577"/>
      <c r="J123" s="575"/>
      <c r="K123" s="575"/>
      <c r="L123" s="575"/>
      <c r="M123" s="575"/>
      <c r="N123" s="575"/>
      <c r="O123" s="575"/>
      <c r="P123" s="575"/>
      <c r="Q123" s="578"/>
      <c r="R123" s="575"/>
      <c r="S123" s="575"/>
      <c r="T123" s="580"/>
      <c r="U123" s="573"/>
      <c r="V123" s="573"/>
    </row>
    <row r="124" spans="2:22" x14ac:dyDescent="0.25">
      <c r="B124" s="577"/>
      <c r="E124" s="575"/>
      <c r="G124" s="577"/>
      <c r="J124" s="575"/>
      <c r="K124" s="575"/>
      <c r="L124" s="575"/>
      <c r="M124" s="575"/>
      <c r="N124" s="575"/>
      <c r="O124" s="575"/>
      <c r="P124" s="575"/>
      <c r="Q124" s="578"/>
      <c r="R124" s="575"/>
      <c r="S124" s="575"/>
      <c r="T124" s="580"/>
      <c r="U124" s="573"/>
      <c r="V124" s="573"/>
    </row>
    <row r="125" spans="2:22" x14ac:dyDescent="0.25">
      <c r="E125" s="575"/>
      <c r="G125" s="577"/>
      <c r="J125" s="575"/>
      <c r="K125" s="575"/>
      <c r="L125" s="575"/>
      <c r="M125" s="575"/>
      <c r="N125" s="575"/>
      <c r="O125" s="575"/>
      <c r="P125" s="575"/>
      <c r="Q125" s="578"/>
      <c r="R125" s="579"/>
      <c r="S125" s="575"/>
      <c r="T125" s="580"/>
      <c r="U125" s="573"/>
      <c r="V125" s="573"/>
    </row>
    <row r="126" spans="2:22" x14ac:dyDescent="0.25">
      <c r="E126" s="575"/>
      <c r="G126" s="577"/>
      <c r="J126" s="575"/>
      <c r="K126" s="575"/>
      <c r="L126" s="575"/>
      <c r="M126" s="575"/>
      <c r="N126" s="575"/>
      <c r="O126" s="575"/>
      <c r="P126" s="575"/>
      <c r="Q126" s="578"/>
      <c r="R126" s="579"/>
      <c r="S126" s="575"/>
      <c r="T126" s="580"/>
      <c r="U126" s="573"/>
      <c r="V126" s="573"/>
    </row>
    <row r="127" spans="2:22" x14ac:dyDescent="0.25">
      <c r="E127" s="575"/>
      <c r="G127" s="577"/>
      <c r="J127" s="575"/>
      <c r="K127" s="575"/>
      <c r="L127" s="575"/>
      <c r="M127" s="575"/>
      <c r="N127" s="575"/>
      <c r="O127" s="575"/>
      <c r="P127" s="575"/>
      <c r="Q127" s="578"/>
      <c r="R127" s="579"/>
      <c r="S127" s="575"/>
      <c r="T127" s="580"/>
      <c r="U127" s="573"/>
      <c r="V127" s="573"/>
    </row>
    <row r="128" spans="2:22" x14ac:dyDescent="0.25">
      <c r="E128" s="575"/>
      <c r="G128" s="577"/>
      <c r="H128" s="577"/>
      <c r="I128" s="575"/>
      <c r="J128" s="575"/>
      <c r="K128" s="575"/>
      <c r="L128" s="575"/>
      <c r="M128" s="575"/>
      <c r="N128" s="575"/>
      <c r="O128" s="575"/>
      <c r="P128" s="575"/>
      <c r="Q128" s="578"/>
      <c r="R128" s="579"/>
      <c r="S128" s="575"/>
      <c r="T128" s="580"/>
      <c r="U128" s="573"/>
      <c r="V128" s="573"/>
    </row>
    <row r="129" spans="3:22" x14ac:dyDescent="0.25">
      <c r="E129" s="575"/>
      <c r="F129" s="576"/>
      <c r="G129" s="577"/>
      <c r="H129" s="577"/>
      <c r="I129" s="575"/>
      <c r="J129" s="575"/>
      <c r="K129" s="575"/>
      <c r="L129" s="575"/>
      <c r="M129" s="575"/>
      <c r="N129" s="575"/>
      <c r="O129" s="575"/>
      <c r="P129" s="575"/>
      <c r="Q129" s="578"/>
      <c r="R129" s="579"/>
      <c r="S129" s="575"/>
      <c r="T129" s="580"/>
      <c r="U129" s="573"/>
      <c r="V129" s="573"/>
    </row>
    <row r="130" spans="3:22" x14ac:dyDescent="0.25">
      <c r="E130" s="575"/>
      <c r="G130" s="577"/>
      <c r="H130" s="577"/>
      <c r="I130" s="575"/>
      <c r="J130" s="575"/>
      <c r="K130" s="575"/>
      <c r="L130" s="575"/>
      <c r="M130" s="575"/>
      <c r="N130" s="575"/>
      <c r="O130" s="575"/>
      <c r="P130" s="575"/>
      <c r="Q130" s="578"/>
      <c r="R130" s="579"/>
      <c r="S130" s="575"/>
      <c r="T130" s="580"/>
      <c r="U130" s="573"/>
      <c r="V130" s="573"/>
    </row>
    <row r="131" spans="3:22" x14ac:dyDescent="0.25">
      <c r="E131" s="575"/>
      <c r="G131" s="577"/>
      <c r="H131" s="577"/>
      <c r="I131" s="575"/>
      <c r="J131" s="575"/>
      <c r="K131" s="575"/>
      <c r="L131" s="575"/>
      <c r="M131" s="575"/>
      <c r="N131" s="575"/>
      <c r="O131" s="575"/>
      <c r="P131" s="575"/>
      <c r="Q131" s="578"/>
      <c r="R131" s="579"/>
      <c r="S131" s="575"/>
      <c r="T131" s="580"/>
      <c r="U131" s="573"/>
      <c r="V131" s="573"/>
    </row>
    <row r="132" spans="3:22" x14ac:dyDescent="0.25">
      <c r="E132" s="575"/>
      <c r="G132" s="577"/>
      <c r="H132" s="577"/>
      <c r="I132" s="575"/>
      <c r="J132" s="575"/>
      <c r="K132" s="575"/>
      <c r="L132" s="575"/>
      <c r="M132" s="575"/>
      <c r="N132" s="575"/>
      <c r="O132" s="575"/>
      <c r="P132" s="575"/>
      <c r="Q132" s="578"/>
      <c r="R132" s="579"/>
      <c r="S132" s="575"/>
      <c r="T132" s="580"/>
      <c r="U132" s="573"/>
      <c r="V132" s="573"/>
    </row>
    <row r="133" spans="3:22" x14ac:dyDescent="0.25">
      <c r="E133" s="575"/>
      <c r="G133" s="577"/>
      <c r="H133" s="577"/>
      <c r="I133" s="575"/>
      <c r="J133" s="575"/>
      <c r="K133" s="575"/>
      <c r="L133" s="575"/>
      <c r="M133" s="575"/>
      <c r="N133" s="575"/>
      <c r="O133" s="575"/>
      <c r="P133" s="575"/>
      <c r="Q133" s="578"/>
      <c r="R133" s="579"/>
      <c r="S133" s="575"/>
      <c r="T133" s="580"/>
      <c r="U133" s="573"/>
      <c r="V133" s="573"/>
    </row>
    <row r="134" spans="3:22" x14ac:dyDescent="0.25">
      <c r="C134" s="577"/>
      <c r="E134" s="575"/>
      <c r="F134" s="576"/>
      <c r="G134" s="577"/>
      <c r="H134" s="577"/>
      <c r="I134" s="575"/>
      <c r="J134" s="575"/>
      <c r="K134" s="575"/>
      <c r="L134" s="575"/>
      <c r="M134" s="575"/>
      <c r="N134" s="575"/>
      <c r="O134" s="575"/>
      <c r="P134" s="575"/>
      <c r="Q134" s="578"/>
      <c r="R134" s="579"/>
      <c r="S134" s="575"/>
      <c r="T134" s="580"/>
      <c r="U134" s="573"/>
      <c r="V134" s="573"/>
    </row>
    <row r="135" spans="3:22" x14ac:dyDescent="0.25">
      <c r="E135" s="575"/>
      <c r="G135" s="577"/>
      <c r="J135" s="575"/>
      <c r="K135" s="575"/>
      <c r="L135" s="575"/>
      <c r="M135" s="575"/>
      <c r="N135" s="575"/>
      <c r="O135" s="575"/>
      <c r="P135" s="575"/>
      <c r="Q135" s="578"/>
      <c r="R135" s="579"/>
      <c r="S135" s="575"/>
      <c r="T135" s="580"/>
      <c r="U135" s="573"/>
      <c r="V135" s="573"/>
    </row>
    <row r="136" spans="3:22" x14ac:dyDescent="0.25">
      <c r="E136" s="575"/>
      <c r="G136" s="577"/>
      <c r="J136" s="575"/>
      <c r="K136" s="575"/>
      <c r="L136" s="575"/>
      <c r="M136" s="575"/>
      <c r="N136" s="575"/>
      <c r="O136" s="575"/>
      <c r="P136" s="575"/>
      <c r="Q136" s="578"/>
      <c r="R136" s="579"/>
      <c r="S136" s="575"/>
      <c r="T136" s="580"/>
      <c r="U136" s="573"/>
      <c r="V136" s="573"/>
    </row>
    <row r="137" spans="3:22" x14ac:dyDescent="0.25">
      <c r="E137" s="575"/>
      <c r="G137" s="577"/>
      <c r="J137" s="575"/>
      <c r="K137" s="575"/>
      <c r="L137" s="575"/>
      <c r="M137" s="575"/>
      <c r="N137" s="575"/>
      <c r="O137" s="575"/>
      <c r="P137" s="575"/>
      <c r="Q137" s="578"/>
      <c r="R137" s="579"/>
      <c r="S137" s="575"/>
      <c r="T137" s="580"/>
      <c r="U137" s="573"/>
      <c r="V137" s="573"/>
    </row>
    <row r="138" spans="3:22" x14ac:dyDescent="0.25">
      <c r="E138" s="575"/>
      <c r="G138" s="577"/>
      <c r="J138" s="575"/>
      <c r="K138" s="575"/>
      <c r="L138" s="575"/>
      <c r="M138" s="575"/>
      <c r="N138" s="575"/>
      <c r="O138" s="575"/>
      <c r="P138" s="575"/>
      <c r="Q138" s="578"/>
      <c r="R138" s="579"/>
      <c r="S138" s="575"/>
      <c r="T138" s="580"/>
      <c r="U138" s="573"/>
      <c r="V138" s="573"/>
    </row>
    <row r="139" spans="3:22" x14ac:dyDescent="0.25">
      <c r="C139" s="577"/>
      <c r="E139" s="575"/>
      <c r="F139" s="576"/>
      <c r="G139" s="577"/>
      <c r="J139" s="575"/>
      <c r="K139" s="575"/>
      <c r="L139" s="575"/>
      <c r="M139" s="575"/>
      <c r="N139" s="575"/>
      <c r="O139" s="575"/>
      <c r="P139" s="575"/>
      <c r="Q139" s="578"/>
      <c r="R139" s="579"/>
      <c r="S139" s="575"/>
      <c r="T139" s="580"/>
      <c r="U139" s="573"/>
      <c r="V139" s="573"/>
    </row>
    <row r="140" spans="3:22" x14ac:dyDescent="0.25">
      <c r="E140" s="575"/>
      <c r="G140" s="577"/>
      <c r="J140" s="575"/>
      <c r="K140" s="575"/>
      <c r="L140" s="575"/>
      <c r="M140" s="575"/>
      <c r="N140" s="575"/>
      <c r="O140" s="575"/>
      <c r="P140" s="575"/>
      <c r="Q140" s="578"/>
      <c r="R140" s="579"/>
      <c r="S140" s="575"/>
      <c r="T140" s="580"/>
      <c r="U140" s="573"/>
      <c r="V140" s="573"/>
    </row>
    <row r="141" spans="3:22" x14ac:dyDescent="0.25">
      <c r="E141" s="575"/>
      <c r="G141" s="577"/>
      <c r="J141" s="575"/>
      <c r="K141" s="575"/>
      <c r="L141" s="575"/>
      <c r="M141" s="575"/>
      <c r="N141" s="575"/>
      <c r="O141" s="575"/>
      <c r="P141" s="575"/>
      <c r="Q141" s="578"/>
      <c r="R141" s="579"/>
      <c r="S141" s="575"/>
      <c r="T141" s="580"/>
      <c r="U141" s="573"/>
      <c r="V141" s="573"/>
    </row>
    <row r="142" spans="3:22" x14ac:dyDescent="0.25">
      <c r="E142" s="575"/>
      <c r="G142" s="577"/>
      <c r="J142" s="575"/>
      <c r="K142" s="575"/>
      <c r="L142" s="575"/>
      <c r="M142" s="575"/>
      <c r="N142" s="575"/>
      <c r="O142" s="575"/>
      <c r="P142" s="575"/>
      <c r="Q142" s="578"/>
      <c r="R142" s="579"/>
      <c r="S142" s="575"/>
      <c r="T142" s="580"/>
      <c r="U142" s="573"/>
      <c r="V142" s="573"/>
    </row>
    <row r="143" spans="3:22" x14ac:dyDescent="0.25">
      <c r="E143" s="575"/>
      <c r="G143" s="577"/>
      <c r="J143" s="575"/>
      <c r="K143" s="575"/>
      <c r="L143" s="575"/>
      <c r="M143" s="575"/>
      <c r="N143" s="575"/>
      <c r="O143" s="575"/>
      <c r="P143" s="575"/>
      <c r="Q143" s="578"/>
      <c r="R143" s="579"/>
      <c r="S143" s="575"/>
      <c r="T143" s="580"/>
      <c r="U143" s="573"/>
      <c r="V143" s="573"/>
    </row>
    <row r="144" spans="3:22" x14ac:dyDescent="0.25">
      <c r="E144" s="575"/>
      <c r="G144" s="577"/>
      <c r="J144" s="575"/>
      <c r="K144" s="575"/>
      <c r="L144" s="575"/>
      <c r="M144" s="575"/>
      <c r="N144" s="575"/>
      <c r="O144" s="575"/>
      <c r="P144" s="575"/>
      <c r="Q144" s="578"/>
      <c r="R144" s="579"/>
      <c r="S144" s="575"/>
      <c r="T144" s="580"/>
      <c r="U144" s="573"/>
      <c r="V144" s="573"/>
    </row>
    <row r="145" spans="3:22" x14ac:dyDescent="0.25">
      <c r="E145" s="575"/>
      <c r="G145" s="577"/>
      <c r="J145" s="575"/>
      <c r="K145" s="575"/>
      <c r="L145" s="575"/>
      <c r="M145" s="575"/>
      <c r="N145" s="575"/>
      <c r="O145" s="575"/>
      <c r="P145" s="575"/>
      <c r="Q145" s="578"/>
      <c r="R145" s="579"/>
      <c r="S145" s="575"/>
      <c r="T145" s="580"/>
      <c r="U145" s="573"/>
      <c r="V145" s="573"/>
    </row>
    <row r="146" spans="3:22" x14ac:dyDescent="0.25">
      <c r="E146" s="575"/>
      <c r="G146" s="577"/>
      <c r="J146" s="575"/>
      <c r="K146" s="575"/>
      <c r="L146" s="575"/>
      <c r="M146" s="575"/>
      <c r="N146" s="575"/>
      <c r="O146" s="575"/>
      <c r="P146" s="575"/>
      <c r="Q146" s="578"/>
      <c r="R146" s="579"/>
      <c r="S146" s="575"/>
      <c r="T146" s="580"/>
      <c r="U146" s="573"/>
      <c r="V146" s="573"/>
    </row>
    <row r="147" spans="3:22" x14ac:dyDescent="0.25">
      <c r="E147" s="575"/>
      <c r="G147" s="577"/>
      <c r="J147" s="575"/>
      <c r="K147" s="575"/>
      <c r="L147" s="575"/>
      <c r="M147" s="575"/>
      <c r="N147" s="575"/>
      <c r="O147" s="575"/>
      <c r="P147" s="575"/>
      <c r="Q147" s="578"/>
      <c r="R147" s="579"/>
      <c r="S147" s="575"/>
      <c r="T147" s="580"/>
      <c r="U147" s="573"/>
      <c r="V147" s="573"/>
    </row>
    <row r="148" spans="3:22" x14ac:dyDescent="0.25">
      <c r="E148" s="575"/>
      <c r="G148" s="577"/>
      <c r="J148" s="575"/>
      <c r="K148" s="575"/>
      <c r="L148" s="575"/>
      <c r="M148" s="575"/>
      <c r="N148" s="575"/>
      <c r="O148" s="575"/>
      <c r="P148" s="575"/>
      <c r="Q148" s="578"/>
      <c r="R148" s="579"/>
      <c r="S148" s="575"/>
      <c r="T148" s="580"/>
      <c r="U148" s="573"/>
      <c r="V148" s="573"/>
    </row>
    <row r="149" spans="3:22" x14ac:dyDescent="0.25">
      <c r="E149" s="575"/>
      <c r="G149" s="577"/>
      <c r="J149" s="575"/>
      <c r="K149" s="575"/>
      <c r="L149" s="575"/>
      <c r="M149" s="575"/>
      <c r="N149" s="575"/>
      <c r="O149" s="575"/>
      <c r="P149" s="575"/>
      <c r="Q149" s="578"/>
      <c r="R149" s="579"/>
      <c r="S149" s="575"/>
      <c r="T149" s="580"/>
      <c r="U149" s="573"/>
      <c r="V149" s="573"/>
    </row>
    <row r="150" spans="3:22" x14ac:dyDescent="0.25">
      <c r="E150" s="575"/>
      <c r="F150" s="576"/>
      <c r="G150" s="577"/>
      <c r="J150" s="575"/>
      <c r="K150" s="575"/>
      <c r="L150" s="575"/>
      <c r="M150" s="575"/>
      <c r="N150" s="575"/>
      <c r="O150" s="575"/>
      <c r="P150" s="575"/>
      <c r="Q150" s="578"/>
      <c r="R150" s="579"/>
      <c r="S150" s="575"/>
      <c r="T150" s="580"/>
      <c r="U150" s="573"/>
      <c r="V150" s="573"/>
    </row>
    <row r="151" spans="3:22" x14ac:dyDescent="0.25">
      <c r="E151" s="575"/>
      <c r="G151" s="577"/>
      <c r="J151" s="575"/>
      <c r="K151" s="575"/>
      <c r="L151" s="575"/>
      <c r="M151" s="575"/>
      <c r="N151" s="575"/>
      <c r="O151" s="575"/>
      <c r="P151" s="575"/>
      <c r="Q151" s="578"/>
      <c r="R151" s="579"/>
      <c r="S151" s="575"/>
      <c r="T151" s="580"/>
      <c r="U151" s="573"/>
      <c r="V151" s="573"/>
    </row>
    <row r="152" spans="3:22" x14ac:dyDescent="0.25">
      <c r="E152" s="575"/>
      <c r="G152" s="577"/>
      <c r="J152" s="575"/>
      <c r="K152" s="575"/>
      <c r="L152" s="575"/>
      <c r="M152" s="575"/>
      <c r="N152" s="575"/>
      <c r="O152" s="575"/>
      <c r="P152" s="575"/>
      <c r="Q152" s="578"/>
      <c r="R152" s="579"/>
      <c r="S152" s="575"/>
      <c r="T152" s="580"/>
      <c r="U152" s="573"/>
      <c r="V152" s="573"/>
    </row>
    <row r="153" spans="3:22" x14ac:dyDescent="0.25">
      <c r="E153" s="575"/>
      <c r="G153" s="577"/>
      <c r="J153" s="575"/>
      <c r="K153" s="575"/>
      <c r="L153" s="575"/>
      <c r="M153" s="575"/>
      <c r="N153" s="575"/>
      <c r="O153" s="575"/>
      <c r="P153" s="575"/>
      <c r="Q153" s="578"/>
      <c r="R153" s="579"/>
      <c r="S153" s="575"/>
      <c r="T153" s="580"/>
      <c r="U153" s="573"/>
      <c r="V153" s="573"/>
    </row>
    <row r="154" spans="3:22" x14ac:dyDescent="0.25">
      <c r="E154" s="575"/>
      <c r="G154" s="577"/>
      <c r="J154" s="575"/>
      <c r="K154" s="575"/>
      <c r="L154" s="575"/>
      <c r="M154" s="575"/>
      <c r="N154" s="575"/>
      <c r="O154" s="575"/>
      <c r="P154" s="575"/>
      <c r="Q154" s="578"/>
      <c r="R154" s="579"/>
      <c r="S154" s="575"/>
      <c r="T154" s="580"/>
      <c r="U154" s="573"/>
      <c r="V154" s="573"/>
    </row>
    <row r="155" spans="3:22" x14ac:dyDescent="0.25">
      <c r="C155" s="577"/>
      <c r="E155" s="575"/>
      <c r="F155" s="576"/>
      <c r="G155" s="577"/>
      <c r="J155" s="575"/>
      <c r="K155" s="575"/>
      <c r="L155" s="575"/>
      <c r="M155" s="575"/>
      <c r="N155" s="575"/>
      <c r="O155" s="575"/>
      <c r="P155" s="575"/>
      <c r="Q155" s="578"/>
      <c r="R155" s="579"/>
      <c r="S155" s="575"/>
      <c r="T155" s="580"/>
      <c r="U155" s="573"/>
      <c r="V155" s="573"/>
    </row>
    <row r="156" spans="3:22" x14ac:dyDescent="0.25">
      <c r="E156" s="575"/>
      <c r="G156" s="577"/>
      <c r="J156" s="575"/>
      <c r="K156" s="575"/>
      <c r="L156" s="575"/>
      <c r="M156" s="575"/>
      <c r="N156" s="575"/>
      <c r="O156" s="575"/>
      <c r="P156" s="575"/>
      <c r="Q156" s="578"/>
      <c r="R156" s="579"/>
      <c r="S156" s="575"/>
      <c r="T156" s="580"/>
      <c r="U156" s="573"/>
      <c r="V156" s="573"/>
    </row>
    <row r="157" spans="3:22" x14ac:dyDescent="0.25">
      <c r="E157" s="575"/>
      <c r="G157" s="577"/>
      <c r="J157" s="575"/>
      <c r="K157" s="575"/>
      <c r="L157" s="575"/>
      <c r="M157" s="575"/>
      <c r="N157" s="575"/>
      <c r="O157" s="575"/>
      <c r="P157" s="575"/>
      <c r="Q157" s="578"/>
      <c r="R157" s="579"/>
      <c r="S157" s="575"/>
      <c r="T157" s="580"/>
      <c r="U157" s="573"/>
      <c r="V157" s="573"/>
    </row>
    <row r="158" spans="3:22" x14ac:dyDescent="0.25">
      <c r="E158" s="575"/>
      <c r="G158" s="577"/>
      <c r="J158" s="575"/>
      <c r="K158" s="575"/>
      <c r="L158" s="575"/>
      <c r="M158" s="575"/>
      <c r="N158" s="575"/>
      <c r="O158" s="575"/>
      <c r="P158" s="575"/>
      <c r="Q158" s="578"/>
      <c r="R158" s="579"/>
      <c r="S158" s="575"/>
      <c r="T158" s="580"/>
      <c r="U158" s="573"/>
      <c r="V158" s="573"/>
    </row>
    <row r="159" spans="3:22" x14ac:dyDescent="0.25">
      <c r="E159" s="575"/>
      <c r="G159" s="577"/>
      <c r="J159" s="575"/>
      <c r="K159" s="575"/>
      <c r="L159" s="575"/>
      <c r="M159" s="575"/>
      <c r="N159" s="575"/>
      <c r="O159" s="575"/>
      <c r="P159" s="575"/>
      <c r="Q159" s="578"/>
      <c r="R159" s="579"/>
      <c r="S159" s="575"/>
      <c r="T159" s="580"/>
      <c r="U159" s="573"/>
      <c r="V159" s="573"/>
    </row>
    <row r="160" spans="3:22" x14ac:dyDescent="0.25">
      <c r="C160" s="577"/>
      <c r="E160" s="575"/>
      <c r="F160" s="576"/>
      <c r="G160" s="577"/>
      <c r="J160" s="575"/>
      <c r="K160" s="575"/>
      <c r="L160" s="575"/>
      <c r="M160" s="575"/>
      <c r="N160" s="575"/>
      <c r="O160" s="575"/>
      <c r="P160" s="575"/>
      <c r="Q160" s="578"/>
      <c r="R160" s="579"/>
      <c r="S160" s="575"/>
      <c r="T160" s="580"/>
      <c r="U160" s="573"/>
      <c r="V160" s="573"/>
    </row>
    <row r="161" spans="3:22" x14ac:dyDescent="0.25">
      <c r="E161" s="575"/>
      <c r="G161" s="577"/>
      <c r="J161" s="575"/>
      <c r="K161" s="575"/>
      <c r="L161" s="575"/>
      <c r="M161" s="575"/>
      <c r="N161" s="575"/>
      <c r="O161" s="575"/>
      <c r="P161" s="575"/>
      <c r="Q161" s="578"/>
      <c r="R161" s="579"/>
      <c r="S161" s="575"/>
      <c r="T161" s="580"/>
      <c r="U161" s="573"/>
      <c r="V161" s="573"/>
    </row>
    <row r="162" spans="3:22" x14ac:dyDescent="0.25">
      <c r="E162" s="575"/>
      <c r="G162" s="577"/>
      <c r="J162" s="575"/>
      <c r="K162" s="575"/>
      <c r="L162" s="575"/>
      <c r="M162" s="575"/>
      <c r="N162" s="575"/>
      <c r="O162" s="575"/>
      <c r="P162" s="575"/>
      <c r="Q162" s="578"/>
      <c r="R162" s="579"/>
      <c r="S162" s="575"/>
      <c r="T162" s="580"/>
      <c r="U162" s="573"/>
      <c r="V162" s="573"/>
    </row>
    <row r="163" spans="3:22" x14ac:dyDescent="0.25">
      <c r="E163" s="575"/>
      <c r="G163" s="577"/>
      <c r="J163" s="575"/>
      <c r="K163" s="575"/>
      <c r="L163" s="575"/>
      <c r="M163" s="575"/>
      <c r="N163" s="575"/>
      <c r="O163" s="575"/>
      <c r="P163" s="575"/>
      <c r="Q163" s="578"/>
      <c r="R163" s="579"/>
      <c r="S163" s="575"/>
      <c r="T163" s="580"/>
      <c r="U163" s="573"/>
      <c r="V163" s="573"/>
    </row>
    <row r="164" spans="3:22" x14ac:dyDescent="0.25">
      <c r="E164" s="575"/>
      <c r="G164" s="577"/>
      <c r="J164" s="575"/>
      <c r="K164" s="575"/>
      <c r="L164" s="575"/>
      <c r="M164" s="575"/>
      <c r="N164" s="575"/>
      <c r="O164" s="575"/>
      <c r="P164" s="575"/>
      <c r="Q164" s="578"/>
      <c r="R164" s="579"/>
      <c r="S164" s="575"/>
      <c r="T164" s="580"/>
      <c r="U164" s="573"/>
      <c r="V164" s="573"/>
    </row>
    <row r="165" spans="3:22" x14ac:dyDescent="0.25">
      <c r="E165" s="575"/>
      <c r="G165" s="577"/>
      <c r="J165" s="575"/>
      <c r="K165" s="575"/>
      <c r="L165" s="575"/>
      <c r="M165" s="575"/>
      <c r="N165" s="575"/>
      <c r="O165" s="575"/>
      <c r="P165" s="575"/>
      <c r="Q165" s="578"/>
      <c r="R165" s="579"/>
      <c r="S165" s="575"/>
      <c r="T165" s="580"/>
      <c r="U165" s="573"/>
      <c r="V165" s="573"/>
    </row>
    <row r="166" spans="3:22" x14ac:dyDescent="0.25">
      <c r="E166" s="575"/>
      <c r="G166" s="577"/>
      <c r="J166" s="575"/>
      <c r="K166" s="575"/>
      <c r="L166" s="575"/>
      <c r="M166" s="575"/>
      <c r="N166" s="575"/>
      <c r="O166" s="575"/>
      <c r="P166" s="575"/>
      <c r="Q166" s="578"/>
      <c r="R166" s="579"/>
      <c r="S166" s="575"/>
      <c r="T166" s="580"/>
      <c r="U166" s="573"/>
      <c r="V166" s="573"/>
    </row>
    <row r="167" spans="3:22" x14ac:dyDescent="0.25">
      <c r="E167" s="575"/>
      <c r="G167" s="577"/>
      <c r="J167" s="575"/>
      <c r="K167" s="575"/>
      <c r="L167" s="575"/>
      <c r="M167" s="575"/>
      <c r="N167" s="575"/>
      <c r="O167" s="575"/>
      <c r="P167" s="575"/>
      <c r="Q167" s="578"/>
      <c r="R167" s="579"/>
      <c r="S167" s="575"/>
      <c r="T167" s="580"/>
      <c r="U167" s="573"/>
      <c r="V167" s="573"/>
    </row>
    <row r="168" spans="3:22" x14ac:dyDescent="0.25">
      <c r="E168" s="575"/>
      <c r="G168" s="577"/>
      <c r="J168" s="575"/>
      <c r="K168" s="575"/>
      <c r="L168" s="575"/>
      <c r="M168" s="575"/>
      <c r="N168" s="575"/>
      <c r="O168" s="575"/>
      <c r="P168" s="575"/>
      <c r="Q168" s="578"/>
      <c r="R168" s="579"/>
      <c r="S168" s="575"/>
      <c r="T168" s="580"/>
      <c r="U168" s="573"/>
      <c r="V168" s="573"/>
    </row>
    <row r="169" spans="3:22" x14ac:dyDescent="0.25">
      <c r="E169" s="575"/>
      <c r="G169" s="577"/>
      <c r="J169" s="575"/>
      <c r="K169" s="575"/>
      <c r="L169" s="575"/>
      <c r="M169" s="575"/>
      <c r="N169" s="575"/>
      <c r="O169" s="575"/>
      <c r="P169" s="575"/>
      <c r="Q169" s="578"/>
      <c r="R169" s="579"/>
      <c r="S169" s="575"/>
      <c r="T169" s="580"/>
      <c r="U169" s="573"/>
      <c r="V169" s="573"/>
    </row>
    <row r="170" spans="3:22" x14ac:dyDescent="0.25">
      <c r="E170" s="575"/>
      <c r="G170" s="577"/>
      <c r="J170" s="575"/>
      <c r="K170" s="575"/>
      <c r="L170" s="575"/>
      <c r="M170" s="575"/>
      <c r="N170" s="575"/>
      <c r="O170" s="575"/>
      <c r="P170" s="575"/>
      <c r="Q170" s="578"/>
      <c r="R170" s="579"/>
      <c r="S170" s="575"/>
      <c r="T170" s="580"/>
      <c r="U170" s="573"/>
      <c r="V170" s="573"/>
    </row>
    <row r="171" spans="3:22" x14ac:dyDescent="0.25">
      <c r="E171" s="575"/>
      <c r="F171" s="576"/>
      <c r="G171" s="577"/>
      <c r="J171" s="575"/>
      <c r="K171" s="575"/>
      <c r="L171" s="575"/>
      <c r="M171" s="575"/>
      <c r="N171" s="575"/>
      <c r="O171" s="575"/>
      <c r="P171" s="575"/>
      <c r="Q171" s="578"/>
      <c r="R171" s="579"/>
      <c r="S171" s="575"/>
      <c r="T171" s="580"/>
      <c r="U171" s="573"/>
      <c r="V171" s="573"/>
    </row>
    <row r="172" spans="3:22" x14ac:dyDescent="0.25">
      <c r="E172" s="575"/>
      <c r="G172" s="577"/>
      <c r="J172" s="575"/>
      <c r="K172" s="575"/>
      <c r="L172" s="575"/>
      <c r="M172" s="575"/>
      <c r="N172" s="575"/>
      <c r="O172" s="575"/>
      <c r="P172" s="575"/>
      <c r="Q172" s="578"/>
      <c r="R172" s="579"/>
      <c r="S172" s="575"/>
      <c r="T172" s="580"/>
      <c r="U172" s="573"/>
      <c r="V172" s="573"/>
    </row>
    <row r="173" spans="3:22" x14ac:dyDescent="0.25">
      <c r="E173" s="575"/>
      <c r="G173" s="577"/>
      <c r="J173" s="575"/>
      <c r="K173" s="575"/>
      <c r="L173" s="575"/>
      <c r="M173" s="575"/>
      <c r="N173" s="575"/>
      <c r="O173" s="575"/>
      <c r="P173" s="575"/>
      <c r="Q173" s="578"/>
      <c r="R173" s="579"/>
      <c r="S173" s="575"/>
      <c r="T173" s="580"/>
      <c r="U173" s="573"/>
      <c r="V173" s="573"/>
    </row>
    <row r="174" spans="3:22" x14ac:dyDescent="0.25">
      <c r="E174" s="575"/>
      <c r="G174" s="577"/>
      <c r="J174" s="575"/>
      <c r="K174" s="575"/>
      <c r="L174" s="575"/>
      <c r="M174" s="575"/>
      <c r="N174" s="575"/>
      <c r="O174" s="575"/>
      <c r="P174" s="575"/>
      <c r="Q174" s="578"/>
      <c r="R174" s="579"/>
      <c r="S174" s="575"/>
      <c r="T174" s="580"/>
      <c r="U174" s="573"/>
      <c r="V174" s="573"/>
    </row>
    <row r="175" spans="3:22" x14ac:dyDescent="0.25">
      <c r="E175" s="575"/>
      <c r="G175" s="577"/>
      <c r="J175" s="575"/>
      <c r="K175" s="575"/>
      <c r="L175" s="575"/>
      <c r="M175" s="575"/>
      <c r="N175" s="575"/>
      <c r="O175" s="575"/>
      <c r="P175" s="575"/>
      <c r="Q175" s="578"/>
      <c r="R175" s="579"/>
      <c r="S175" s="575"/>
      <c r="T175" s="580"/>
      <c r="U175" s="573"/>
      <c r="V175" s="573"/>
    </row>
    <row r="176" spans="3:22" x14ac:dyDescent="0.25">
      <c r="C176" s="577"/>
      <c r="E176" s="575"/>
      <c r="F176" s="576"/>
      <c r="G176" s="577"/>
      <c r="J176" s="575"/>
      <c r="K176" s="575"/>
      <c r="L176" s="575"/>
      <c r="M176" s="575"/>
      <c r="N176" s="575"/>
      <c r="O176" s="575"/>
      <c r="P176" s="575"/>
      <c r="Q176" s="578"/>
      <c r="R176" s="579"/>
      <c r="S176" s="575"/>
      <c r="T176" s="580"/>
      <c r="U176" s="573"/>
      <c r="V176" s="573"/>
    </row>
    <row r="177" spans="3:22" x14ac:dyDescent="0.25">
      <c r="E177" s="575"/>
      <c r="G177" s="577"/>
      <c r="J177" s="575"/>
      <c r="K177" s="575"/>
      <c r="L177" s="575"/>
      <c r="M177" s="575"/>
      <c r="N177" s="575"/>
      <c r="O177" s="575"/>
      <c r="P177" s="575"/>
      <c r="Q177" s="578"/>
      <c r="R177" s="579"/>
      <c r="S177" s="575"/>
      <c r="T177" s="580"/>
      <c r="U177" s="573"/>
      <c r="V177" s="573"/>
    </row>
    <row r="178" spans="3:22" x14ac:dyDescent="0.25">
      <c r="E178" s="575"/>
      <c r="G178" s="577"/>
      <c r="J178" s="575"/>
      <c r="K178" s="575"/>
      <c r="L178" s="575"/>
      <c r="M178" s="575"/>
      <c r="N178" s="575"/>
      <c r="O178" s="575"/>
      <c r="P178" s="575"/>
      <c r="Q178" s="578"/>
      <c r="R178" s="579"/>
      <c r="S178" s="575"/>
      <c r="T178" s="580"/>
      <c r="U178" s="573"/>
      <c r="V178" s="573"/>
    </row>
    <row r="179" spans="3:22" x14ac:dyDescent="0.25">
      <c r="E179" s="575"/>
      <c r="G179" s="577"/>
      <c r="J179" s="575"/>
      <c r="K179" s="575"/>
      <c r="L179" s="575"/>
      <c r="M179" s="575"/>
      <c r="N179" s="575"/>
      <c r="O179" s="575"/>
      <c r="P179" s="575"/>
      <c r="Q179" s="578"/>
      <c r="R179" s="579"/>
      <c r="S179" s="575"/>
      <c r="T179" s="580"/>
      <c r="U179" s="573"/>
      <c r="V179" s="573"/>
    </row>
    <row r="180" spans="3:22" x14ac:dyDescent="0.25">
      <c r="E180" s="575"/>
      <c r="G180" s="577"/>
      <c r="J180" s="575"/>
      <c r="K180" s="575"/>
      <c r="L180" s="575"/>
      <c r="M180" s="575"/>
      <c r="N180" s="575"/>
      <c r="O180" s="575"/>
      <c r="P180" s="575"/>
      <c r="Q180" s="578"/>
      <c r="R180" s="579"/>
      <c r="S180" s="575"/>
      <c r="T180" s="580"/>
      <c r="U180" s="573"/>
      <c r="V180" s="573"/>
    </row>
    <row r="181" spans="3:22" x14ac:dyDescent="0.25">
      <c r="C181" s="577"/>
      <c r="E181" s="575"/>
      <c r="F181" s="576"/>
      <c r="G181" s="577"/>
      <c r="J181" s="575"/>
      <c r="K181" s="575"/>
      <c r="L181" s="575"/>
      <c r="M181" s="575"/>
      <c r="N181" s="575"/>
      <c r="O181" s="575"/>
      <c r="P181" s="575"/>
      <c r="Q181" s="578"/>
      <c r="R181" s="579"/>
      <c r="S181" s="575"/>
      <c r="T181" s="580"/>
      <c r="U181" s="573"/>
      <c r="V181" s="573"/>
    </row>
    <row r="182" spans="3:22" x14ac:dyDescent="0.25">
      <c r="E182" s="575"/>
      <c r="G182" s="577"/>
      <c r="J182" s="575"/>
      <c r="K182" s="575"/>
      <c r="L182" s="575"/>
      <c r="M182" s="575"/>
      <c r="N182" s="575"/>
      <c r="O182" s="575"/>
      <c r="P182" s="575"/>
      <c r="Q182" s="578"/>
      <c r="R182" s="579"/>
      <c r="S182" s="575"/>
      <c r="T182" s="580"/>
      <c r="U182" s="573"/>
      <c r="V182" s="573"/>
    </row>
    <row r="183" spans="3:22" x14ac:dyDescent="0.25">
      <c r="E183" s="575"/>
      <c r="G183" s="577"/>
      <c r="J183" s="575"/>
      <c r="K183" s="575"/>
      <c r="L183" s="575"/>
      <c r="M183" s="575"/>
      <c r="N183" s="575"/>
      <c r="O183" s="575"/>
      <c r="P183" s="575"/>
      <c r="Q183" s="578"/>
      <c r="R183" s="579"/>
      <c r="S183" s="575"/>
      <c r="T183" s="580"/>
      <c r="U183" s="573"/>
      <c r="V183" s="573"/>
    </row>
    <row r="184" spans="3:22" x14ac:dyDescent="0.25">
      <c r="E184" s="575"/>
      <c r="G184" s="577"/>
      <c r="J184" s="575"/>
      <c r="K184" s="575"/>
      <c r="L184" s="575"/>
      <c r="M184" s="575"/>
      <c r="N184" s="575"/>
      <c r="O184" s="575"/>
      <c r="P184" s="575"/>
      <c r="Q184" s="578"/>
      <c r="R184" s="579"/>
      <c r="S184" s="575"/>
      <c r="T184" s="580"/>
      <c r="U184" s="573"/>
      <c r="V184" s="573"/>
    </row>
    <row r="185" spans="3:22" x14ac:dyDescent="0.25">
      <c r="E185" s="575"/>
      <c r="G185" s="577"/>
      <c r="J185" s="575"/>
      <c r="K185" s="575"/>
      <c r="L185" s="575"/>
      <c r="M185" s="575"/>
      <c r="N185" s="575"/>
      <c r="O185" s="575"/>
      <c r="P185" s="575"/>
      <c r="Q185" s="578"/>
      <c r="R185" s="579"/>
      <c r="S185" s="575"/>
      <c r="T185" s="580"/>
      <c r="U185" s="573"/>
      <c r="V185" s="573"/>
    </row>
    <row r="186" spans="3:22" x14ac:dyDescent="0.25">
      <c r="E186" s="575"/>
      <c r="G186" s="577"/>
      <c r="J186" s="575"/>
      <c r="K186" s="575"/>
      <c r="L186" s="575"/>
      <c r="M186" s="575"/>
      <c r="N186" s="575"/>
      <c r="O186" s="575"/>
      <c r="P186" s="575"/>
      <c r="Q186" s="578"/>
      <c r="R186" s="579"/>
      <c r="S186" s="575"/>
      <c r="T186" s="580"/>
      <c r="U186" s="573"/>
      <c r="V186" s="573"/>
    </row>
    <row r="187" spans="3:22" x14ac:dyDescent="0.25">
      <c r="E187" s="575"/>
      <c r="G187" s="577"/>
      <c r="J187" s="575"/>
      <c r="K187" s="575"/>
      <c r="L187" s="575"/>
      <c r="M187" s="575"/>
      <c r="N187" s="575"/>
      <c r="O187" s="575"/>
      <c r="P187" s="575"/>
      <c r="Q187" s="578"/>
      <c r="R187" s="579"/>
      <c r="S187" s="575"/>
      <c r="T187" s="580"/>
      <c r="U187" s="573"/>
      <c r="V187" s="573"/>
    </row>
    <row r="188" spans="3:22" x14ac:dyDescent="0.25">
      <c r="E188" s="575"/>
      <c r="G188" s="577"/>
      <c r="J188" s="575"/>
      <c r="K188" s="575"/>
      <c r="L188" s="575"/>
      <c r="M188" s="575"/>
      <c r="N188" s="575"/>
      <c r="O188" s="575"/>
      <c r="P188" s="575"/>
      <c r="Q188" s="578"/>
      <c r="R188" s="579"/>
      <c r="S188" s="575"/>
      <c r="T188" s="580"/>
      <c r="U188" s="573"/>
      <c r="V188" s="573"/>
    </row>
    <row r="189" spans="3:22" x14ac:dyDescent="0.25">
      <c r="E189" s="575"/>
      <c r="G189" s="577"/>
      <c r="J189" s="575"/>
      <c r="K189" s="575"/>
      <c r="L189" s="575"/>
      <c r="M189" s="575"/>
      <c r="N189" s="575"/>
      <c r="O189" s="575"/>
      <c r="P189" s="575"/>
      <c r="Q189" s="578"/>
      <c r="R189" s="579"/>
      <c r="S189" s="575"/>
      <c r="T189" s="580"/>
      <c r="U189" s="573"/>
      <c r="V189" s="573"/>
    </row>
    <row r="190" spans="3:22" x14ac:dyDescent="0.25">
      <c r="E190" s="575"/>
      <c r="G190" s="577"/>
      <c r="J190" s="575"/>
      <c r="K190" s="575"/>
      <c r="L190" s="575"/>
      <c r="M190" s="575"/>
      <c r="N190" s="575"/>
      <c r="O190" s="575"/>
      <c r="P190" s="575"/>
      <c r="Q190" s="578"/>
      <c r="R190" s="579"/>
      <c r="S190" s="575"/>
      <c r="T190" s="580"/>
      <c r="U190" s="573"/>
      <c r="V190" s="573"/>
    </row>
    <row r="191" spans="3:22" x14ac:dyDescent="0.25">
      <c r="E191" s="575"/>
      <c r="G191" s="577"/>
      <c r="H191" s="577"/>
      <c r="I191" s="575"/>
      <c r="J191" s="575"/>
      <c r="K191" s="575"/>
      <c r="L191" s="575"/>
      <c r="M191" s="575"/>
      <c r="N191" s="575"/>
      <c r="O191" s="575"/>
      <c r="P191" s="575"/>
      <c r="Q191" s="578"/>
      <c r="R191" s="579"/>
      <c r="S191" s="575"/>
      <c r="T191" s="580"/>
      <c r="U191" s="573"/>
      <c r="V191" s="573"/>
    </row>
    <row r="192" spans="3:22" x14ac:dyDescent="0.25">
      <c r="E192" s="575"/>
      <c r="F192" s="576"/>
      <c r="G192" s="577"/>
      <c r="H192" s="577"/>
      <c r="I192" s="575"/>
      <c r="J192" s="575"/>
      <c r="K192" s="575"/>
      <c r="L192" s="575"/>
      <c r="M192" s="575"/>
      <c r="N192" s="575"/>
      <c r="O192" s="575"/>
      <c r="P192" s="575"/>
      <c r="Q192" s="578"/>
      <c r="R192" s="579"/>
      <c r="S192" s="575"/>
      <c r="T192" s="580"/>
      <c r="U192" s="573"/>
      <c r="V192" s="573"/>
    </row>
    <row r="193" spans="2:22" x14ac:dyDescent="0.25">
      <c r="E193" s="575"/>
      <c r="G193" s="577"/>
      <c r="H193" s="577"/>
      <c r="I193" s="575"/>
      <c r="J193" s="575"/>
      <c r="K193" s="575"/>
      <c r="L193" s="575"/>
      <c r="M193" s="575"/>
      <c r="N193" s="575"/>
      <c r="O193" s="575"/>
      <c r="P193" s="575"/>
      <c r="Q193" s="578"/>
      <c r="R193" s="579"/>
      <c r="S193" s="575"/>
      <c r="T193" s="580"/>
      <c r="U193" s="573"/>
      <c r="V193" s="573"/>
    </row>
    <row r="194" spans="2:22" x14ac:dyDescent="0.25">
      <c r="E194" s="575"/>
      <c r="G194" s="577"/>
      <c r="H194" s="577"/>
      <c r="I194" s="575"/>
      <c r="J194" s="575"/>
      <c r="K194" s="575"/>
      <c r="L194" s="575"/>
      <c r="M194" s="575"/>
      <c r="N194" s="575"/>
      <c r="O194" s="575"/>
      <c r="P194" s="575"/>
      <c r="Q194" s="578"/>
      <c r="R194" s="579"/>
      <c r="S194" s="575"/>
      <c r="T194" s="580"/>
      <c r="U194" s="573"/>
      <c r="V194" s="573"/>
    </row>
    <row r="195" spans="2:22" x14ac:dyDescent="0.25">
      <c r="E195" s="575"/>
      <c r="G195" s="577"/>
      <c r="H195" s="577"/>
      <c r="I195" s="575"/>
      <c r="J195" s="575"/>
      <c r="K195" s="575"/>
      <c r="L195" s="575"/>
      <c r="M195" s="575"/>
      <c r="N195" s="575"/>
      <c r="O195" s="575"/>
      <c r="P195" s="575"/>
      <c r="Q195" s="578"/>
      <c r="R195" s="579"/>
      <c r="S195" s="575"/>
      <c r="T195" s="580"/>
      <c r="U195" s="573"/>
      <c r="V195" s="573"/>
    </row>
    <row r="196" spans="2:22" x14ac:dyDescent="0.25">
      <c r="E196" s="575"/>
      <c r="G196" s="577"/>
      <c r="H196" s="577"/>
      <c r="I196" s="575"/>
      <c r="J196" s="575"/>
      <c r="K196" s="575"/>
      <c r="L196" s="575"/>
      <c r="M196" s="575"/>
      <c r="N196" s="575"/>
      <c r="O196" s="575"/>
      <c r="P196" s="575"/>
      <c r="Q196" s="578"/>
      <c r="R196" s="579"/>
      <c r="S196" s="575"/>
      <c r="T196" s="580"/>
      <c r="U196" s="573"/>
      <c r="V196" s="573"/>
    </row>
    <row r="197" spans="2:22" x14ac:dyDescent="0.25">
      <c r="C197" s="577"/>
      <c r="E197" s="575"/>
      <c r="F197" s="576"/>
      <c r="G197" s="577"/>
      <c r="H197" s="577"/>
      <c r="I197" s="575"/>
      <c r="J197" s="575"/>
      <c r="K197" s="575"/>
      <c r="L197" s="575"/>
      <c r="M197" s="575"/>
      <c r="N197" s="575"/>
      <c r="O197" s="575"/>
      <c r="P197" s="575"/>
      <c r="Q197" s="578"/>
      <c r="R197" s="579"/>
      <c r="S197" s="575"/>
      <c r="T197" s="580"/>
      <c r="U197" s="573"/>
      <c r="V197" s="573"/>
    </row>
    <row r="198" spans="2:22" x14ac:dyDescent="0.25">
      <c r="E198" s="575"/>
      <c r="G198" s="577"/>
      <c r="H198" s="577"/>
      <c r="I198" s="575"/>
      <c r="J198" s="575"/>
      <c r="K198" s="575"/>
      <c r="L198" s="575"/>
      <c r="M198" s="575"/>
      <c r="N198" s="575"/>
      <c r="O198" s="575"/>
      <c r="P198" s="575"/>
      <c r="Q198" s="578"/>
      <c r="R198" s="579"/>
      <c r="S198" s="575"/>
      <c r="T198" s="580"/>
      <c r="U198" s="573"/>
      <c r="V198" s="573"/>
    </row>
    <row r="199" spans="2:22" x14ac:dyDescent="0.25">
      <c r="E199" s="575"/>
      <c r="G199" s="577"/>
      <c r="H199" s="577"/>
      <c r="I199" s="575"/>
      <c r="J199" s="575"/>
      <c r="K199" s="575"/>
      <c r="L199" s="575"/>
      <c r="M199" s="575"/>
      <c r="N199" s="575"/>
      <c r="O199" s="575"/>
      <c r="P199" s="575"/>
      <c r="Q199" s="578"/>
      <c r="R199" s="579"/>
      <c r="S199" s="575"/>
      <c r="T199" s="580"/>
      <c r="U199" s="573"/>
      <c r="V199" s="573"/>
    </row>
    <row r="200" spans="2:22" x14ac:dyDescent="0.25">
      <c r="E200" s="575"/>
      <c r="G200" s="577"/>
      <c r="H200" s="577"/>
      <c r="I200" s="575"/>
      <c r="J200" s="575"/>
      <c r="K200" s="575"/>
      <c r="L200" s="575"/>
      <c r="M200" s="575"/>
      <c r="N200" s="575"/>
      <c r="O200" s="575"/>
      <c r="P200" s="575"/>
      <c r="Q200" s="578"/>
      <c r="R200" s="579"/>
      <c r="S200" s="575"/>
      <c r="T200" s="580"/>
      <c r="U200" s="573"/>
      <c r="V200" s="573"/>
    </row>
    <row r="201" spans="2:22" x14ac:dyDescent="0.25">
      <c r="E201" s="575"/>
      <c r="G201" s="577"/>
      <c r="H201" s="577"/>
      <c r="I201" s="575"/>
      <c r="J201" s="575"/>
      <c r="K201" s="575"/>
      <c r="L201" s="575"/>
      <c r="M201" s="575"/>
      <c r="N201" s="575"/>
      <c r="O201" s="575"/>
      <c r="P201" s="575"/>
      <c r="Q201" s="578"/>
      <c r="R201" s="579"/>
      <c r="S201" s="575"/>
      <c r="T201" s="580"/>
      <c r="U201" s="573"/>
      <c r="V201" s="573"/>
    </row>
    <row r="202" spans="2:22" x14ac:dyDescent="0.25">
      <c r="C202" s="577"/>
      <c r="E202" s="575"/>
      <c r="F202" s="576"/>
      <c r="G202" s="577"/>
      <c r="H202" s="577"/>
      <c r="I202" s="575"/>
      <c r="J202" s="575"/>
      <c r="K202" s="575"/>
      <c r="L202" s="575"/>
      <c r="M202" s="575"/>
      <c r="N202" s="575"/>
      <c r="O202" s="575"/>
      <c r="P202" s="575"/>
      <c r="Q202" s="578"/>
      <c r="R202" s="579"/>
      <c r="S202" s="575"/>
      <c r="T202" s="580"/>
      <c r="U202" s="573"/>
      <c r="V202" s="573"/>
    </row>
    <row r="203" spans="2:22" x14ac:dyDescent="0.25">
      <c r="E203" s="575"/>
      <c r="G203" s="577"/>
      <c r="H203" s="577"/>
      <c r="I203" s="575"/>
      <c r="J203" s="575"/>
      <c r="K203" s="575"/>
      <c r="L203" s="575"/>
      <c r="M203" s="575"/>
      <c r="N203" s="575"/>
      <c r="O203" s="575"/>
      <c r="P203" s="575"/>
      <c r="Q203" s="578"/>
      <c r="R203" s="579"/>
      <c r="S203" s="575"/>
      <c r="T203" s="580"/>
      <c r="U203" s="573"/>
      <c r="V203" s="573"/>
    </row>
    <row r="204" spans="2:22" x14ac:dyDescent="0.25">
      <c r="E204" s="575"/>
      <c r="G204" s="577"/>
      <c r="H204" s="577"/>
      <c r="I204" s="575"/>
      <c r="J204" s="575"/>
      <c r="K204" s="575"/>
      <c r="L204" s="575"/>
      <c r="M204" s="575"/>
      <c r="N204" s="575"/>
      <c r="O204" s="575"/>
      <c r="P204" s="575"/>
      <c r="Q204" s="578"/>
      <c r="R204" s="579"/>
      <c r="S204" s="575"/>
      <c r="T204" s="580"/>
      <c r="U204" s="573"/>
      <c r="V204" s="573"/>
    </row>
    <row r="205" spans="2:22" x14ac:dyDescent="0.25">
      <c r="E205" s="575"/>
      <c r="G205" s="577"/>
      <c r="H205" s="577"/>
      <c r="I205" s="575"/>
      <c r="J205" s="575"/>
      <c r="K205" s="575"/>
      <c r="L205" s="575"/>
      <c r="M205" s="575"/>
      <c r="N205" s="575"/>
      <c r="O205" s="575"/>
      <c r="P205" s="575"/>
      <c r="Q205" s="578"/>
      <c r="R205" s="579"/>
      <c r="S205" s="575"/>
      <c r="T205" s="580"/>
      <c r="U205" s="573"/>
      <c r="V205" s="573"/>
    </row>
    <row r="206" spans="2:22" x14ac:dyDescent="0.25">
      <c r="E206" s="575"/>
      <c r="G206" s="577"/>
      <c r="H206" s="577"/>
      <c r="I206" s="581"/>
      <c r="J206" s="575"/>
      <c r="K206" s="575"/>
      <c r="L206" s="575"/>
      <c r="M206" s="575"/>
      <c r="N206" s="575"/>
      <c r="O206" s="575"/>
      <c r="P206" s="575"/>
      <c r="Q206" s="578"/>
      <c r="R206" s="575"/>
      <c r="S206" s="575"/>
      <c r="T206" s="580"/>
      <c r="U206" s="573"/>
      <c r="V206" s="573"/>
    </row>
    <row r="207" spans="2:22" x14ac:dyDescent="0.25">
      <c r="E207" s="575"/>
      <c r="G207" s="577"/>
      <c r="H207" s="577"/>
      <c r="I207" s="581"/>
      <c r="J207" s="575"/>
      <c r="K207" s="575"/>
      <c r="L207" s="575"/>
      <c r="M207" s="575"/>
      <c r="N207" s="575"/>
      <c r="O207" s="575"/>
      <c r="P207" s="575"/>
      <c r="Q207" s="578"/>
      <c r="R207" s="575"/>
      <c r="S207" s="575"/>
      <c r="T207" s="580"/>
      <c r="U207" s="573"/>
      <c r="V207" s="573"/>
    </row>
    <row r="208" spans="2:22" x14ac:dyDescent="0.25">
      <c r="B208" s="577"/>
      <c r="E208" s="575"/>
      <c r="G208" s="577"/>
      <c r="H208" s="577"/>
      <c r="I208" s="581"/>
      <c r="J208" s="575"/>
      <c r="K208" s="575"/>
      <c r="L208" s="575"/>
      <c r="M208" s="575"/>
      <c r="N208" s="575"/>
      <c r="O208" s="575"/>
      <c r="P208" s="575"/>
      <c r="Q208" s="578"/>
      <c r="R208" s="575"/>
      <c r="S208" s="575"/>
      <c r="T208" s="580"/>
      <c r="U208" s="573"/>
      <c r="V208" s="573"/>
    </row>
    <row r="209" spans="3:22" x14ac:dyDescent="0.25">
      <c r="E209" s="575"/>
      <c r="G209" s="577"/>
      <c r="H209" s="577"/>
      <c r="I209" s="575"/>
      <c r="J209" s="575"/>
      <c r="K209" s="575"/>
      <c r="L209" s="575"/>
      <c r="M209" s="575"/>
      <c r="N209" s="575"/>
      <c r="O209" s="575"/>
      <c r="P209" s="575"/>
      <c r="Q209" s="578"/>
      <c r="R209" s="579"/>
      <c r="S209" s="575"/>
      <c r="T209" s="580"/>
      <c r="U209" s="573"/>
      <c r="V209" s="573"/>
    </row>
    <row r="210" spans="3:22" x14ac:dyDescent="0.25">
      <c r="E210" s="575"/>
      <c r="G210" s="577"/>
      <c r="H210" s="577"/>
      <c r="I210" s="575"/>
      <c r="J210" s="575"/>
      <c r="K210" s="575"/>
      <c r="L210" s="575"/>
      <c r="M210" s="575"/>
      <c r="N210" s="575"/>
      <c r="O210" s="575"/>
      <c r="P210" s="575"/>
      <c r="Q210" s="578"/>
      <c r="R210" s="579"/>
      <c r="S210" s="575"/>
      <c r="T210" s="580"/>
      <c r="U210" s="573"/>
      <c r="V210" s="573"/>
    </row>
    <row r="211" spans="3:22" x14ac:dyDescent="0.25">
      <c r="E211" s="575"/>
      <c r="G211" s="577"/>
      <c r="H211" s="577"/>
      <c r="I211" s="575"/>
      <c r="J211" s="575"/>
      <c r="K211" s="575"/>
      <c r="L211" s="575"/>
      <c r="M211" s="575"/>
      <c r="N211" s="575"/>
      <c r="O211" s="575"/>
      <c r="P211" s="575"/>
      <c r="Q211" s="578"/>
      <c r="R211" s="579"/>
      <c r="S211" s="575"/>
      <c r="T211" s="580"/>
      <c r="U211" s="573"/>
      <c r="V211" s="573"/>
    </row>
    <row r="212" spans="3:22" x14ac:dyDescent="0.25">
      <c r="E212" s="575"/>
      <c r="G212" s="577"/>
      <c r="H212" s="577"/>
      <c r="I212" s="575"/>
      <c r="J212" s="575"/>
      <c r="K212" s="575"/>
      <c r="L212" s="575"/>
      <c r="M212" s="575"/>
      <c r="N212" s="575"/>
      <c r="O212" s="575"/>
      <c r="P212" s="575"/>
      <c r="Q212" s="578"/>
      <c r="R212" s="579"/>
      <c r="S212" s="575"/>
      <c r="T212" s="580"/>
      <c r="U212" s="573"/>
      <c r="V212" s="573"/>
    </row>
    <row r="213" spans="3:22" x14ac:dyDescent="0.25">
      <c r="E213" s="575"/>
      <c r="F213" s="576"/>
      <c r="G213" s="577"/>
      <c r="H213" s="577"/>
      <c r="I213" s="575"/>
      <c r="J213" s="575"/>
      <c r="K213" s="575"/>
      <c r="L213" s="575"/>
      <c r="M213" s="575"/>
      <c r="N213" s="575"/>
      <c r="O213" s="575"/>
      <c r="P213" s="575"/>
      <c r="Q213" s="578"/>
      <c r="R213" s="579"/>
      <c r="S213" s="575"/>
      <c r="T213" s="580"/>
      <c r="U213" s="573"/>
      <c r="V213" s="573"/>
    </row>
    <row r="214" spans="3:22" x14ac:dyDescent="0.25">
      <c r="E214" s="575"/>
      <c r="G214" s="577"/>
      <c r="H214" s="577"/>
      <c r="I214" s="575"/>
      <c r="J214" s="575"/>
      <c r="K214" s="575"/>
      <c r="L214" s="575"/>
      <c r="M214" s="575"/>
      <c r="N214" s="575"/>
      <c r="O214" s="575"/>
      <c r="P214" s="575"/>
      <c r="Q214" s="578"/>
      <c r="R214" s="579"/>
      <c r="S214" s="575"/>
      <c r="T214" s="580"/>
      <c r="U214" s="573"/>
      <c r="V214" s="573"/>
    </row>
    <row r="215" spans="3:22" x14ac:dyDescent="0.25">
      <c r="E215" s="575"/>
      <c r="G215" s="577"/>
      <c r="H215" s="577"/>
      <c r="I215" s="575"/>
      <c r="J215" s="575"/>
      <c r="K215" s="575"/>
      <c r="L215" s="575"/>
      <c r="M215" s="575"/>
      <c r="N215" s="575"/>
      <c r="O215" s="575"/>
      <c r="P215" s="575"/>
      <c r="Q215" s="578"/>
      <c r="R215" s="579"/>
      <c r="S215" s="575"/>
      <c r="T215" s="580"/>
      <c r="U215" s="573"/>
      <c r="V215" s="573"/>
    </row>
    <row r="216" spans="3:22" x14ac:dyDescent="0.25">
      <c r="E216" s="575"/>
      <c r="G216" s="577"/>
      <c r="H216" s="577"/>
      <c r="I216" s="575"/>
      <c r="J216" s="575"/>
      <c r="K216" s="575"/>
      <c r="L216" s="575"/>
      <c r="M216" s="575"/>
      <c r="N216" s="575"/>
      <c r="O216" s="575"/>
      <c r="P216" s="575"/>
      <c r="Q216" s="578"/>
      <c r="R216" s="579"/>
      <c r="S216" s="575"/>
      <c r="T216" s="580"/>
      <c r="U216" s="573"/>
      <c r="V216" s="573"/>
    </row>
    <row r="217" spans="3:22" x14ac:dyDescent="0.25">
      <c r="E217" s="575"/>
      <c r="G217" s="577"/>
      <c r="H217" s="577"/>
      <c r="I217" s="575"/>
      <c r="J217" s="575"/>
      <c r="K217" s="575"/>
      <c r="L217" s="575"/>
      <c r="M217" s="575"/>
      <c r="N217" s="575"/>
      <c r="O217" s="575"/>
      <c r="P217" s="575"/>
      <c r="Q217" s="578"/>
      <c r="R217" s="579"/>
      <c r="S217" s="575"/>
      <c r="T217" s="580"/>
      <c r="U217" s="573"/>
      <c r="V217" s="573"/>
    </row>
    <row r="218" spans="3:22" x14ac:dyDescent="0.25">
      <c r="C218" s="577"/>
      <c r="E218" s="575"/>
      <c r="F218" s="576"/>
      <c r="G218" s="577"/>
      <c r="H218" s="577"/>
      <c r="I218" s="575"/>
      <c r="J218" s="575"/>
      <c r="K218" s="575"/>
      <c r="L218" s="575"/>
      <c r="M218" s="575"/>
      <c r="N218" s="575"/>
      <c r="O218" s="575"/>
      <c r="P218" s="575"/>
      <c r="Q218" s="578"/>
      <c r="R218" s="579"/>
      <c r="S218" s="575"/>
      <c r="T218" s="580"/>
      <c r="U218" s="573"/>
      <c r="V218" s="573"/>
    </row>
    <row r="219" spans="3:22" x14ac:dyDescent="0.25">
      <c r="E219" s="575"/>
      <c r="G219" s="577"/>
      <c r="H219" s="577"/>
      <c r="I219" s="575"/>
      <c r="J219" s="575"/>
      <c r="K219" s="575"/>
      <c r="L219" s="575"/>
      <c r="M219" s="575"/>
      <c r="N219" s="575"/>
      <c r="O219" s="575"/>
      <c r="P219" s="575"/>
      <c r="Q219" s="578"/>
      <c r="R219" s="579"/>
      <c r="S219" s="575"/>
      <c r="T219" s="580"/>
      <c r="U219" s="573"/>
      <c r="V219" s="573"/>
    </row>
    <row r="220" spans="3:22" x14ac:dyDescent="0.25">
      <c r="E220" s="575"/>
      <c r="G220" s="577"/>
      <c r="H220" s="577"/>
      <c r="I220" s="575"/>
      <c r="J220" s="575"/>
      <c r="K220" s="575"/>
      <c r="L220" s="575"/>
      <c r="M220" s="575"/>
      <c r="N220" s="575"/>
      <c r="O220" s="575"/>
      <c r="P220" s="575"/>
      <c r="Q220" s="578"/>
      <c r="R220" s="579"/>
      <c r="S220" s="575"/>
      <c r="T220" s="580"/>
      <c r="U220" s="573"/>
      <c r="V220" s="573"/>
    </row>
    <row r="221" spans="3:22" x14ac:dyDescent="0.25">
      <c r="E221" s="575"/>
      <c r="G221" s="577"/>
      <c r="H221" s="577"/>
      <c r="I221" s="575"/>
      <c r="J221" s="575"/>
      <c r="K221" s="575"/>
      <c r="L221" s="575"/>
      <c r="M221" s="575"/>
      <c r="N221" s="575"/>
      <c r="O221" s="575"/>
      <c r="P221" s="575"/>
      <c r="Q221" s="578"/>
      <c r="R221" s="579"/>
      <c r="S221" s="575"/>
      <c r="T221" s="580"/>
      <c r="U221" s="573"/>
      <c r="V221" s="573"/>
    </row>
    <row r="222" spans="3:22" x14ac:dyDescent="0.25">
      <c r="E222" s="575"/>
      <c r="G222" s="577"/>
      <c r="H222" s="577"/>
      <c r="I222" s="575"/>
      <c r="J222" s="575"/>
      <c r="K222" s="575"/>
      <c r="L222" s="575"/>
      <c r="M222" s="575"/>
      <c r="N222" s="575"/>
      <c r="O222" s="575"/>
      <c r="P222" s="575"/>
      <c r="Q222" s="578"/>
      <c r="R222" s="579"/>
      <c r="S222" s="575"/>
      <c r="T222" s="580"/>
      <c r="U222" s="573"/>
      <c r="V222" s="573"/>
    </row>
    <row r="223" spans="3:22" x14ac:dyDescent="0.25">
      <c r="C223" s="577"/>
      <c r="E223" s="575"/>
      <c r="F223" s="576"/>
      <c r="G223" s="577"/>
      <c r="H223" s="577"/>
      <c r="I223" s="575"/>
      <c r="J223" s="575"/>
      <c r="K223" s="575"/>
      <c r="L223" s="575"/>
      <c r="M223" s="575"/>
      <c r="N223" s="575"/>
      <c r="O223" s="575"/>
      <c r="P223" s="575"/>
      <c r="Q223" s="578"/>
      <c r="R223" s="579"/>
      <c r="S223" s="575"/>
      <c r="T223" s="580"/>
      <c r="U223" s="573"/>
      <c r="V223" s="573"/>
    </row>
    <row r="224" spans="3:22" x14ac:dyDescent="0.25">
      <c r="E224" s="575"/>
      <c r="G224" s="577"/>
      <c r="H224" s="577"/>
      <c r="I224" s="575"/>
      <c r="J224" s="575"/>
      <c r="K224" s="575"/>
      <c r="L224" s="575"/>
      <c r="M224" s="575"/>
      <c r="N224" s="575"/>
      <c r="O224" s="575"/>
      <c r="P224" s="575"/>
      <c r="Q224" s="578"/>
      <c r="R224" s="579"/>
      <c r="S224" s="575"/>
      <c r="T224" s="580"/>
      <c r="U224" s="573"/>
      <c r="V224" s="573"/>
    </row>
    <row r="225" spans="3:22" x14ac:dyDescent="0.25">
      <c r="E225" s="575"/>
      <c r="G225" s="577"/>
      <c r="H225" s="577"/>
      <c r="I225" s="575"/>
      <c r="J225" s="575"/>
      <c r="K225" s="575"/>
      <c r="L225" s="575"/>
      <c r="M225" s="575"/>
      <c r="N225" s="575"/>
      <c r="O225" s="575"/>
      <c r="P225" s="575"/>
      <c r="Q225" s="578"/>
      <c r="R225" s="579"/>
      <c r="S225" s="575"/>
      <c r="T225" s="580"/>
      <c r="U225" s="573"/>
      <c r="V225" s="573"/>
    </row>
    <row r="226" spans="3:22" x14ac:dyDescent="0.25">
      <c r="E226" s="575"/>
      <c r="G226" s="577"/>
      <c r="H226" s="577"/>
      <c r="I226" s="575"/>
      <c r="J226" s="575"/>
      <c r="K226" s="575"/>
      <c r="L226" s="575"/>
      <c r="M226" s="575"/>
      <c r="N226" s="575"/>
      <c r="O226" s="575"/>
      <c r="P226" s="575"/>
      <c r="Q226" s="578"/>
      <c r="R226" s="579"/>
      <c r="S226" s="575"/>
      <c r="T226" s="580"/>
      <c r="U226" s="573"/>
      <c r="V226" s="573"/>
    </row>
    <row r="227" spans="3:22" x14ac:dyDescent="0.25">
      <c r="E227" s="575"/>
      <c r="G227" s="577"/>
      <c r="H227" s="577"/>
      <c r="I227" s="575"/>
      <c r="J227" s="575"/>
      <c r="K227" s="575"/>
      <c r="L227" s="575"/>
      <c r="M227" s="575"/>
      <c r="N227" s="575"/>
      <c r="O227" s="575"/>
      <c r="P227" s="575"/>
      <c r="Q227" s="578"/>
      <c r="R227" s="579"/>
      <c r="S227" s="575"/>
      <c r="T227" s="580"/>
      <c r="U227" s="573"/>
      <c r="V227" s="573"/>
    </row>
    <row r="228" spans="3:22" x14ac:dyDescent="0.25">
      <c r="E228" s="575"/>
      <c r="G228" s="577"/>
      <c r="H228" s="577"/>
      <c r="I228" s="575"/>
      <c r="J228" s="575"/>
      <c r="K228" s="575"/>
      <c r="L228" s="575"/>
      <c r="M228" s="575"/>
      <c r="N228" s="575"/>
      <c r="O228" s="575"/>
      <c r="P228" s="575"/>
      <c r="Q228" s="578"/>
      <c r="R228" s="579"/>
      <c r="S228" s="575"/>
      <c r="T228" s="580"/>
      <c r="U228" s="573"/>
      <c r="V228" s="573"/>
    </row>
    <row r="229" spans="3:22" x14ac:dyDescent="0.25">
      <c r="E229" s="575"/>
      <c r="G229" s="577"/>
      <c r="H229" s="577"/>
      <c r="I229" s="575"/>
      <c r="J229" s="575"/>
      <c r="K229" s="575"/>
      <c r="L229" s="575"/>
      <c r="M229" s="575"/>
      <c r="N229" s="575"/>
      <c r="O229" s="575"/>
      <c r="P229" s="575"/>
      <c r="Q229" s="578"/>
      <c r="R229" s="579"/>
      <c r="S229" s="575"/>
      <c r="T229" s="580"/>
      <c r="U229" s="573"/>
      <c r="V229" s="573"/>
    </row>
    <row r="230" spans="3:22" x14ac:dyDescent="0.25">
      <c r="E230" s="575"/>
      <c r="G230" s="577"/>
      <c r="H230" s="577"/>
      <c r="I230" s="575"/>
      <c r="J230" s="575"/>
      <c r="K230" s="575"/>
      <c r="L230" s="575"/>
      <c r="M230" s="575"/>
      <c r="N230" s="575"/>
      <c r="O230" s="575"/>
      <c r="P230" s="575"/>
      <c r="Q230" s="578"/>
      <c r="R230" s="579"/>
      <c r="S230" s="575"/>
      <c r="T230" s="580"/>
      <c r="U230" s="573"/>
      <c r="V230" s="573"/>
    </row>
    <row r="231" spans="3:22" x14ac:dyDescent="0.25">
      <c r="E231" s="575"/>
      <c r="G231" s="577"/>
      <c r="H231" s="577"/>
      <c r="I231" s="575"/>
      <c r="J231" s="575"/>
      <c r="K231" s="575"/>
      <c r="L231" s="575"/>
      <c r="M231" s="575"/>
      <c r="N231" s="575"/>
      <c r="O231" s="575"/>
      <c r="P231" s="575"/>
      <c r="Q231" s="578"/>
      <c r="R231" s="579"/>
      <c r="S231" s="575"/>
      <c r="T231" s="580"/>
      <c r="U231" s="573"/>
      <c r="V231" s="573"/>
    </row>
    <row r="232" spans="3:22" x14ac:dyDescent="0.25">
      <c r="E232" s="575"/>
      <c r="G232" s="577"/>
      <c r="H232" s="577"/>
      <c r="I232" s="575"/>
      <c r="J232" s="575"/>
      <c r="K232" s="575"/>
      <c r="L232" s="575"/>
      <c r="M232" s="575"/>
      <c r="N232" s="575"/>
      <c r="O232" s="575"/>
      <c r="P232" s="575"/>
      <c r="Q232" s="578"/>
      <c r="R232" s="579"/>
      <c r="S232" s="575"/>
      <c r="T232" s="580"/>
      <c r="U232" s="573"/>
      <c r="V232" s="573"/>
    </row>
    <row r="233" spans="3:22" x14ac:dyDescent="0.25">
      <c r="E233" s="575"/>
      <c r="G233" s="577"/>
      <c r="H233" s="577"/>
      <c r="I233" s="575"/>
      <c r="J233" s="575"/>
      <c r="K233" s="575"/>
      <c r="L233" s="575"/>
      <c r="M233" s="575"/>
      <c r="N233" s="575"/>
      <c r="O233" s="575"/>
      <c r="P233" s="575"/>
      <c r="Q233" s="578"/>
      <c r="R233" s="579"/>
      <c r="S233" s="575"/>
      <c r="T233" s="580"/>
      <c r="U233" s="573"/>
      <c r="V233" s="573"/>
    </row>
    <row r="234" spans="3:22" x14ac:dyDescent="0.25">
      <c r="E234" s="575"/>
      <c r="F234" s="576"/>
      <c r="G234" s="577"/>
      <c r="H234" s="577"/>
      <c r="I234" s="575"/>
      <c r="J234" s="575"/>
      <c r="K234" s="575"/>
      <c r="L234" s="575"/>
      <c r="M234" s="575"/>
      <c r="N234" s="575"/>
      <c r="O234" s="575"/>
      <c r="P234" s="575"/>
      <c r="Q234" s="578"/>
      <c r="R234" s="579"/>
      <c r="S234" s="575"/>
      <c r="T234" s="580"/>
      <c r="U234" s="573"/>
      <c r="V234" s="573"/>
    </row>
    <row r="235" spans="3:22" x14ac:dyDescent="0.25">
      <c r="E235" s="575"/>
      <c r="G235" s="577"/>
      <c r="H235" s="577"/>
      <c r="I235" s="575"/>
      <c r="J235" s="575"/>
      <c r="K235" s="575"/>
      <c r="L235" s="575"/>
      <c r="M235" s="575"/>
      <c r="N235" s="575"/>
      <c r="O235" s="575"/>
      <c r="P235" s="575"/>
      <c r="Q235" s="578"/>
      <c r="R235" s="579"/>
      <c r="S235" s="575"/>
      <c r="T235" s="580"/>
      <c r="U235" s="573"/>
      <c r="V235" s="573"/>
    </row>
    <row r="236" spans="3:22" x14ac:dyDescent="0.25">
      <c r="E236" s="575"/>
      <c r="G236" s="577"/>
      <c r="H236" s="577"/>
      <c r="I236" s="575"/>
      <c r="J236" s="575"/>
      <c r="K236" s="575"/>
      <c r="L236" s="575"/>
      <c r="M236" s="575"/>
      <c r="N236" s="575"/>
      <c r="O236" s="575"/>
      <c r="P236" s="575"/>
      <c r="Q236" s="578"/>
      <c r="R236" s="579"/>
      <c r="S236" s="575"/>
      <c r="T236" s="580"/>
      <c r="U236" s="573"/>
      <c r="V236" s="573"/>
    </row>
    <row r="237" spans="3:22" x14ac:dyDescent="0.25">
      <c r="E237" s="575"/>
      <c r="G237" s="577"/>
      <c r="H237" s="577"/>
      <c r="I237" s="575"/>
      <c r="J237" s="575"/>
      <c r="K237" s="575"/>
      <c r="L237" s="575"/>
      <c r="M237" s="575"/>
      <c r="N237" s="575"/>
      <c r="O237" s="575"/>
      <c r="P237" s="575"/>
      <c r="Q237" s="578"/>
      <c r="R237" s="579"/>
      <c r="S237" s="575"/>
      <c r="T237" s="580"/>
      <c r="U237" s="573"/>
      <c r="V237" s="573"/>
    </row>
    <row r="238" spans="3:22" x14ac:dyDescent="0.25">
      <c r="E238" s="575"/>
      <c r="G238" s="577"/>
      <c r="H238" s="577"/>
      <c r="I238" s="575"/>
      <c r="J238" s="575"/>
      <c r="K238" s="575"/>
      <c r="L238" s="575"/>
      <c r="M238" s="575"/>
      <c r="N238" s="575"/>
      <c r="O238" s="575"/>
      <c r="P238" s="575"/>
      <c r="Q238" s="578"/>
      <c r="R238" s="579"/>
      <c r="S238" s="575"/>
      <c r="T238" s="580"/>
      <c r="U238" s="573"/>
      <c r="V238" s="573"/>
    </row>
    <row r="239" spans="3:22" x14ac:dyDescent="0.25">
      <c r="C239" s="577"/>
      <c r="E239" s="575"/>
      <c r="F239" s="576"/>
      <c r="G239" s="577"/>
      <c r="H239" s="577"/>
      <c r="I239" s="575"/>
      <c r="J239" s="575"/>
      <c r="K239" s="575"/>
      <c r="L239" s="575"/>
      <c r="M239" s="575"/>
      <c r="N239" s="575"/>
      <c r="O239" s="575"/>
      <c r="P239" s="575"/>
      <c r="Q239" s="578"/>
      <c r="R239" s="579"/>
      <c r="S239" s="575"/>
      <c r="T239" s="580"/>
      <c r="U239" s="573"/>
      <c r="V239" s="573"/>
    </row>
    <row r="240" spans="3:22" x14ac:dyDescent="0.25">
      <c r="E240" s="575"/>
      <c r="G240" s="577"/>
      <c r="H240" s="577"/>
      <c r="I240" s="575"/>
      <c r="J240" s="575"/>
      <c r="K240" s="575"/>
      <c r="L240" s="575"/>
      <c r="M240" s="575"/>
      <c r="N240" s="575"/>
      <c r="O240" s="575"/>
      <c r="P240" s="575"/>
      <c r="Q240" s="578"/>
      <c r="R240" s="579"/>
      <c r="S240" s="575"/>
      <c r="T240" s="580"/>
      <c r="U240" s="573"/>
      <c r="V240" s="573"/>
    </row>
    <row r="241" spans="3:22" x14ac:dyDescent="0.25">
      <c r="E241" s="575"/>
      <c r="G241" s="577"/>
      <c r="H241" s="577"/>
      <c r="I241" s="575"/>
      <c r="J241" s="575"/>
      <c r="K241" s="575"/>
      <c r="L241" s="575"/>
      <c r="M241" s="575"/>
      <c r="N241" s="575"/>
      <c r="O241" s="575"/>
      <c r="P241" s="575"/>
      <c r="Q241" s="578"/>
      <c r="R241" s="579"/>
      <c r="S241" s="575"/>
      <c r="T241" s="580"/>
      <c r="U241" s="573"/>
      <c r="V241" s="573"/>
    </row>
    <row r="242" spans="3:22" x14ac:dyDescent="0.25">
      <c r="E242" s="575"/>
      <c r="G242" s="577"/>
      <c r="H242" s="577"/>
      <c r="I242" s="575"/>
      <c r="J242" s="575"/>
      <c r="K242" s="575"/>
      <c r="L242" s="575"/>
      <c r="M242" s="575"/>
      <c r="N242" s="575"/>
      <c r="O242" s="575"/>
      <c r="P242" s="575"/>
      <c r="Q242" s="578"/>
      <c r="R242" s="579"/>
      <c r="S242" s="575"/>
      <c r="T242" s="580"/>
      <c r="U242" s="573"/>
      <c r="V242" s="573"/>
    </row>
    <row r="243" spans="3:22" x14ac:dyDescent="0.25">
      <c r="E243" s="575"/>
      <c r="G243" s="577"/>
      <c r="H243" s="577"/>
      <c r="I243" s="575"/>
      <c r="J243" s="575"/>
      <c r="K243" s="575"/>
      <c r="L243" s="575"/>
      <c r="M243" s="575"/>
      <c r="N243" s="575"/>
      <c r="O243" s="575"/>
      <c r="P243" s="575"/>
      <c r="Q243" s="578"/>
      <c r="R243" s="579"/>
      <c r="S243" s="575"/>
      <c r="T243" s="580"/>
      <c r="U243" s="573"/>
      <c r="V243" s="573"/>
    </row>
    <row r="244" spans="3:22" x14ac:dyDescent="0.25">
      <c r="C244" s="577"/>
      <c r="E244" s="575"/>
      <c r="F244" s="576"/>
      <c r="G244" s="577"/>
      <c r="H244" s="577"/>
      <c r="I244" s="575"/>
      <c r="J244" s="575"/>
      <c r="K244" s="575"/>
      <c r="L244" s="575"/>
      <c r="M244" s="575"/>
      <c r="N244" s="575"/>
      <c r="O244" s="575"/>
      <c r="P244" s="575"/>
      <c r="Q244" s="578"/>
      <c r="R244" s="579"/>
      <c r="S244" s="575"/>
      <c r="T244" s="580"/>
      <c r="U244" s="573"/>
      <c r="V244" s="573"/>
    </row>
    <row r="245" spans="3:22" x14ac:dyDescent="0.25">
      <c r="E245" s="575"/>
      <c r="G245" s="577"/>
      <c r="H245" s="577"/>
      <c r="I245" s="575"/>
      <c r="J245" s="575"/>
      <c r="K245" s="575"/>
      <c r="L245" s="575"/>
      <c r="M245" s="575"/>
      <c r="N245" s="575"/>
      <c r="O245" s="575"/>
      <c r="P245" s="575"/>
      <c r="Q245" s="578"/>
      <c r="R245" s="579"/>
      <c r="S245" s="575"/>
      <c r="T245" s="580"/>
      <c r="U245" s="573"/>
      <c r="V245" s="573"/>
    </row>
    <row r="246" spans="3:22" x14ac:dyDescent="0.25">
      <c r="E246" s="575"/>
      <c r="G246" s="577"/>
      <c r="H246" s="577"/>
      <c r="I246" s="575"/>
      <c r="J246" s="575"/>
      <c r="K246" s="575"/>
      <c r="L246" s="575"/>
      <c r="M246" s="575"/>
      <c r="N246" s="575"/>
      <c r="O246" s="575"/>
      <c r="P246" s="575"/>
      <c r="Q246" s="578"/>
      <c r="R246" s="579"/>
      <c r="S246" s="575"/>
      <c r="T246" s="580"/>
      <c r="U246" s="573"/>
      <c r="V246" s="573"/>
    </row>
    <row r="247" spans="3:22" x14ac:dyDescent="0.25">
      <c r="E247" s="575"/>
      <c r="G247" s="577"/>
      <c r="H247" s="577"/>
      <c r="I247" s="575"/>
      <c r="J247" s="575"/>
      <c r="K247" s="575"/>
      <c r="L247" s="575"/>
      <c r="M247" s="575"/>
      <c r="N247" s="575"/>
      <c r="O247" s="575"/>
      <c r="P247" s="575"/>
      <c r="Q247" s="578"/>
      <c r="R247" s="579"/>
      <c r="S247" s="575"/>
      <c r="T247" s="580"/>
      <c r="U247" s="573"/>
      <c r="V247" s="573"/>
    </row>
    <row r="248" spans="3:22" x14ac:dyDescent="0.25">
      <c r="E248" s="575"/>
      <c r="G248" s="577"/>
      <c r="H248" s="577"/>
      <c r="I248" s="575"/>
      <c r="J248" s="575"/>
      <c r="K248" s="575"/>
      <c r="L248" s="575"/>
      <c r="M248" s="575"/>
      <c r="N248" s="575"/>
      <c r="O248" s="575"/>
      <c r="P248" s="575"/>
      <c r="Q248" s="578"/>
      <c r="R248" s="579"/>
      <c r="S248" s="575"/>
      <c r="T248" s="580"/>
      <c r="U248" s="573"/>
      <c r="V248" s="573"/>
    </row>
    <row r="249" spans="3:22" x14ac:dyDescent="0.25">
      <c r="E249" s="575"/>
      <c r="G249" s="577"/>
      <c r="H249" s="577"/>
      <c r="I249" s="575"/>
      <c r="J249" s="575"/>
      <c r="K249" s="575"/>
      <c r="L249" s="575"/>
      <c r="M249" s="575"/>
      <c r="N249" s="575"/>
      <c r="O249" s="575"/>
      <c r="P249" s="575"/>
      <c r="Q249" s="578"/>
      <c r="R249" s="579"/>
      <c r="S249" s="575"/>
      <c r="T249" s="580"/>
      <c r="U249" s="573"/>
      <c r="V249" s="573"/>
    </row>
    <row r="250" spans="3:22" x14ac:dyDescent="0.25">
      <c r="E250" s="575"/>
      <c r="G250" s="577"/>
      <c r="H250" s="577"/>
      <c r="I250" s="575"/>
      <c r="J250" s="575"/>
      <c r="K250" s="575"/>
      <c r="L250" s="575"/>
      <c r="M250" s="575"/>
      <c r="N250" s="575"/>
      <c r="O250" s="575"/>
      <c r="P250" s="575"/>
      <c r="Q250" s="578"/>
      <c r="R250" s="579"/>
      <c r="S250" s="575"/>
      <c r="T250" s="580"/>
      <c r="U250" s="573"/>
      <c r="V250" s="573"/>
    </row>
    <row r="251" spans="3:22" x14ac:dyDescent="0.25">
      <c r="E251" s="575"/>
      <c r="G251" s="577"/>
      <c r="H251" s="577"/>
      <c r="I251" s="575"/>
      <c r="J251" s="575"/>
      <c r="K251" s="575"/>
      <c r="L251" s="575"/>
      <c r="M251" s="575"/>
      <c r="N251" s="575"/>
      <c r="O251" s="575"/>
      <c r="P251" s="575"/>
      <c r="Q251" s="578"/>
      <c r="R251" s="579"/>
      <c r="S251" s="575"/>
      <c r="T251" s="580"/>
      <c r="U251" s="573"/>
      <c r="V251" s="573"/>
    </row>
    <row r="252" spans="3:22" x14ac:dyDescent="0.25">
      <c r="E252" s="575"/>
      <c r="G252" s="577"/>
      <c r="H252" s="577"/>
      <c r="I252" s="575"/>
      <c r="J252" s="575"/>
      <c r="K252" s="575"/>
      <c r="L252" s="575"/>
      <c r="M252" s="575"/>
      <c r="N252" s="575"/>
      <c r="O252" s="575"/>
      <c r="P252" s="575"/>
      <c r="Q252" s="578"/>
      <c r="R252" s="579"/>
      <c r="S252" s="575"/>
      <c r="T252" s="580"/>
      <c r="U252" s="573"/>
      <c r="V252" s="573"/>
    </row>
    <row r="253" spans="3:22" x14ac:dyDescent="0.25">
      <c r="E253" s="575"/>
      <c r="G253" s="577"/>
      <c r="H253" s="577"/>
      <c r="I253" s="575"/>
      <c r="J253" s="575"/>
      <c r="K253" s="575"/>
      <c r="L253" s="575"/>
      <c r="M253" s="575"/>
      <c r="N253" s="575"/>
      <c r="O253" s="575"/>
      <c r="P253" s="575"/>
      <c r="Q253" s="578"/>
      <c r="R253" s="579"/>
      <c r="S253" s="575"/>
      <c r="T253" s="580"/>
      <c r="U253" s="573"/>
      <c r="V253" s="573"/>
    </row>
    <row r="254" spans="3:22" x14ac:dyDescent="0.25">
      <c r="E254" s="575"/>
      <c r="G254" s="577"/>
      <c r="H254" s="577"/>
      <c r="I254" s="575"/>
      <c r="J254" s="575"/>
      <c r="K254" s="575"/>
      <c r="L254" s="575"/>
      <c r="M254" s="575"/>
      <c r="N254" s="575"/>
      <c r="O254" s="575"/>
      <c r="P254" s="575"/>
      <c r="Q254" s="578"/>
      <c r="R254" s="579"/>
      <c r="S254" s="575"/>
      <c r="T254" s="580"/>
      <c r="U254" s="573"/>
      <c r="V254" s="573"/>
    </row>
    <row r="255" spans="3:22" x14ac:dyDescent="0.25">
      <c r="E255" s="575"/>
      <c r="F255" s="576"/>
      <c r="G255" s="577"/>
      <c r="H255" s="577"/>
      <c r="I255" s="575"/>
      <c r="J255" s="575"/>
      <c r="K255" s="575"/>
      <c r="L255" s="575"/>
      <c r="M255" s="575"/>
      <c r="N255" s="575"/>
      <c r="O255" s="575"/>
      <c r="P255" s="575"/>
      <c r="Q255" s="578"/>
      <c r="R255" s="579"/>
      <c r="S255" s="575"/>
      <c r="T255" s="580"/>
      <c r="U255" s="573"/>
      <c r="V255" s="573"/>
    </row>
    <row r="256" spans="3:22" x14ac:dyDescent="0.25">
      <c r="E256" s="575"/>
      <c r="G256" s="577"/>
      <c r="H256" s="577"/>
      <c r="I256" s="575"/>
      <c r="J256" s="575"/>
      <c r="K256" s="575"/>
      <c r="L256" s="575"/>
      <c r="M256" s="575"/>
      <c r="N256" s="575"/>
      <c r="O256" s="575"/>
      <c r="P256" s="575"/>
      <c r="Q256" s="578"/>
      <c r="R256" s="579"/>
      <c r="S256" s="575"/>
      <c r="T256" s="580"/>
      <c r="U256" s="573"/>
      <c r="V256" s="573"/>
    </row>
    <row r="257" spans="3:22" x14ac:dyDescent="0.25">
      <c r="E257" s="575"/>
      <c r="G257" s="577"/>
      <c r="H257" s="577"/>
      <c r="I257" s="575"/>
      <c r="J257" s="575"/>
      <c r="K257" s="575"/>
      <c r="L257" s="575"/>
      <c r="M257" s="575"/>
      <c r="N257" s="575"/>
      <c r="O257" s="575"/>
      <c r="P257" s="575"/>
      <c r="Q257" s="578"/>
      <c r="R257" s="579"/>
      <c r="S257" s="575"/>
      <c r="T257" s="580"/>
      <c r="U257" s="573"/>
      <c r="V257" s="573"/>
    </row>
    <row r="258" spans="3:22" x14ac:dyDescent="0.25">
      <c r="E258" s="575"/>
      <c r="G258" s="577"/>
      <c r="H258" s="577"/>
      <c r="I258" s="575"/>
      <c r="J258" s="575"/>
      <c r="K258" s="575"/>
      <c r="L258" s="575"/>
      <c r="M258" s="575"/>
      <c r="N258" s="575"/>
      <c r="O258" s="575"/>
      <c r="P258" s="575"/>
      <c r="Q258" s="578"/>
      <c r="R258" s="579"/>
      <c r="S258" s="575"/>
      <c r="T258" s="580"/>
      <c r="U258" s="573"/>
      <c r="V258" s="573"/>
    </row>
    <row r="259" spans="3:22" x14ac:dyDescent="0.25">
      <c r="E259" s="575"/>
      <c r="G259" s="577"/>
      <c r="H259" s="577"/>
      <c r="I259" s="575"/>
      <c r="J259" s="575"/>
      <c r="K259" s="575"/>
      <c r="L259" s="575"/>
      <c r="M259" s="575"/>
      <c r="N259" s="575"/>
      <c r="O259" s="575"/>
      <c r="P259" s="575"/>
      <c r="Q259" s="578"/>
      <c r="R259" s="579"/>
      <c r="S259" s="575"/>
      <c r="T259" s="580"/>
      <c r="U259" s="573"/>
      <c r="V259" s="573"/>
    </row>
    <row r="260" spans="3:22" x14ac:dyDescent="0.25">
      <c r="C260" s="577"/>
      <c r="E260" s="575"/>
      <c r="F260" s="576"/>
      <c r="G260" s="577"/>
      <c r="H260" s="577"/>
      <c r="I260" s="575"/>
      <c r="J260" s="575"/>
      <c r="K260" s="575"/>
      <c r="L260" s="575"/>
      <c r="M260" s="575"/>
      <c r="N260" s="575"/>
      <c r="O260" s="575"/>
      <c r="P260" s="575"/>
      <c r="Q260" s="578"/>
      <c r="R260" s="579"/>
      <c r="S260" s="575"/>
      <c r="T260" s="580"/>
      <c r="U260" s="573"/>
      <c r="V260" s="573"/>
    </row>
    <row r="261" spans="3:22" x14ac:dyDescent="0.25">
      <c r="E261" s="575"/>
      <c r="G261" s="577"/>
      <c r="H261" s="577"/>
      <c r="I261" s="575"/>
      <c r="J261" s="575"/>
      <c r="K261" s="575"/>
      <c r="L261" s="575"/>
      <c r="M261" s="575"/>
      <c r="N261" s="575"/>
      <c r="O261" s="575"/>
      <c r="P261" s="575"/>
      <c r="Q261" s="578"/>
      <c r="R261" s="579"/>
      <c r="S261" s="575"/>
      <c r="T261" s="580"/>
      <c r="U261" s="573"/>
      <c r="V261" s="573"/>
    </row>
    <row r="262" spans="3:22" x14ac:dyDescent="0.25">
      <c r="E262" s="575"/>
      <c r="G262" s="577"/>
      <c r="H262" s="577"/>
      <c r="I262" s="575"/>
      <c r="J262" s="575"/>
      <c r="K262" s="575"/>
      <c r="L262" s="575"/>
      <c r="M262" s="575"/>
      <c r="N262" s="575"/>
      <c r="O262" s="575"/>
      <c r="P262" s="575"/>
      <c r="Q262" s="578"/>
      <c r="R262" s="579"/>
      <c r="S262" s="575"/>
      <c r="T262" s="580"/>
      <c r="U262" s="573"/>
      <c r="V262" s="573"/>
    </row>
    <row r="263" spans="3:22" x14ac:dyDescent="0.25">
      <c r="E263" s="575"/>
      <c r="G263" s="577"/>
      <c r="H263" s="577"/>
      <c r="I263" s="575"/>
      <c r="J263" s="575"/>
      <c r="K263" s="575"/>
      <c r="L263" s="575"/>
      <c r="M263" s="575"/>
      <c r="N263" s="575"/>
      <c r="O263" s="575"/>
      <c r="P263" s="575"/>
      <c r="Q263" s="578"/>
      <c r="R263" s="579"/>
      <c r="S263" s="575"/>
      <c r="T263" s="580"/>
      <c r="U263" s="573"/>
      <c r="V263" s="573"/>
    </row>
    <row r="264" spans="3:22" x14ac:dyDescent="0.25">
      <c r="E264" s="575"/>
      <c r="G264" s="577"/>
      <c r="H264" s="577"/>
      <c r="I264" s="575"/>
      <c r="J264" s="575"/>
      <c r="K264" s="575"/>
      <c r="L264" s="575"/>
      <c r="M264" s="575"/>
      <c r="N264" s="575"/>
      <c r="O264" s="575"/>
      <c r="P264" s="575"/>
      <c r="Q264" s="578"/>
      <c r="R264" s="579"/>
      <c r="S264" s="575"/>
      <c r="T264" s="580"/>
      <c r="U264" s="573"/>
      <c r="V264" s="573"/>
    </row>
    <row r="265" spans="3:22" x14ac:dyDescent="0.25">
      <c r="C265" s="577"/>
      <c r="E265" s="575"/>
      <c r="F265" s="576"/>
      <c r="G265" s="577"/>
      <c r="H265" s="577"/>
      <c r="I265" s="575"/>
      <c r="J265" s="575"/>
      <c r="K265" s="575"/>
      <c r="L265" s="575"/>
      <c r="M265" s="575"/>
      <c r="N265" s="575"/>
      <c r="O265" s="575"/>
      <c r="P265" s="575"/>
      <c r="Q265" s="578"/>
      <c r="R265" s="579"/>
      <c r="S265" s="575"/>
      <c r="T265" s="580"/>
      <c r="U265" s="573"/>
      <c r="V265" s="573"/>
    </row>
    <row r="266" spans="3:22" x14ac:dyDescent="0.25">
      <c r="E266" s="575"/>
      <c r="G266" s="577"/>
      <c r="H266" s="577"/>
      <c r="I266" s="575"/>
      <c r="J266" s="575"/>
      <c r="K266" s="575"/>
      <c r="L266" s="575"/>
      <c r="M266" s="575"/>
      <c r="N266" s="575"/>
      <c r="O266" s="575"/>
      <c r="P266" s="575"/>
      <c r="Q266" s="578"/>
      <c r="R266" s="579"/>
      <c r="S266" s="575"/>
      <c r="T266" s="580"/>
      <c r="U266" s="573"/>
      <c r="V266" s="573"/>
    </row>
    <row r="267" spans="3:22" x14ac:dyDescent="0.25">
      <c r="E267" s="575"/>
      <c r="G267" s="577"/>
      <c r="H267" s="577"/>
      <c r="I267" s="575"/>
      <c r="J267" s="575"/>
      <c r="K267" s="575"/>
      <c r="L267" s="575"/>
      <c r="M267" s="575"/>
      <c r="N267" s="575"/>
      <c r="O267" s="575"/>
      <c r="P267" s="575"/>
      <c r="Q267" s="578"/>
      <c r="R267" s="579"/>
      <c r="S267" s="575"/>
      <c r="T267" s="580"/>
      <c r="U267" s="573"/>
      <c r="V267" s="573"/>
    </row>
    <row r="268" spans="3:22" x14ac:dyDescent="0.25">
      <c r="E268" s="575"/>
      <c r="G268" s="577"/>
      <c r="H268" s="577"/>
      <c r="I268" s="575"/>
      <c r="J268" s="575"/>
      <c r="K268" s="575"/>
      <c r="L268" s="575"/>
      <c r="M268" s="575"/>
      <c r="N268" s="575"/>
      <c r="O268" s="575"/>
      <c r="P268" s="575"/>
      <c r="Q268" s="578"/>
      <c r="R268" s="579"/>
      <c r="S268" s="575"/>
      <c r="T268" s="580"/>
      <c r="U268" s="573"/>
      <c r="V268" s="573"/>
    </row>
    <row r="269" spans="3:22" x14ac:dyDescent="0.25">
      <c r="E269" s="575"/>
      <c r="G269" s="577"/>
      <c r="H269" s="577"/>
      <c r="I269" s="575"/>
      <c r="J269" s="575"/>
      <c r="K269" s="575"/>
      <c r="L269" s="575"/>
      <c r="M269" s="575"/>
      <c r="N269" s="575"/>
      <c r="O269" s="575"/>
      <c r="P269" s="575"/>
      <c r="Q269" s="578"/>
      <c r="R269" s="579"/>
      <c r="S269" s="575"/>
      <c r="T269" s="580"/>
      <c r="U269" s="573"/>
      <c r="V269" s="573"/>
    </row>
    <row r="270" spans="3:22" x14ac:dyDescent="0.25">
      <c r="E270" s="575"/>
      <c r="G270" s="577"/>
      <c r="H270" s="577"/>
      <c r="I270" s="575"/>
      <c r="J270" s="575"/>
      <c r="K270" s="575"/>
      <c r="L270" s="575"/>
      <c r="M270" s="575"/>
      <c r="N270" s="575"/>
      <c r="O270" s="575"/>
      <c r="P270" s="575"/>
      <c r="Q270" s="578"/>
      <c r="R270" s="579"/>
      <c r="S270" s="575"/>
      <c r="T270" s="580"/>
      <c r="U270" s="573"/>
      <c r="V270" s="573"/>
    </row>
    <row r="271" spans="3:22" x14ac:dyDescent="0.25">
      <c r="E271" s="575"/>
      <c r="G271" s="577"/>
      <c r="H271" s="577"/>
      <c r="I271" s="575"/>
      <c r="J271" s="575"/>
      <c r="K271" s="575"/>
      <c r="L271" s="575"/>
      <c r="M271" s="575"/>
      <c r="N271" s="575"/>
      <c r="O271" s="575"/>
      <c r="P271" s="575"/>
      <c r="Q271" s="578"/>
      <c r="R271" s="579"/>
      <c r="S271" s="575"/>
      <c r="T271" s="580"/>
      <c r="U271" s="573"/>
      <c r="V271" s="573"/>
    </row>
    <row r="272" spans="3:22" x14ac:dyDescent="0.25">
      <c r="E272" s="575"/>
      <c r="G272" s="577"/>
      <c r="H272" s="577"/>
      <c r="I272" s="575"/>
      <c r="J272" s="575"/>
      <c r="K272" s="575"/>
      <c r="L272" s="575"/>
      <c r="M272" s="575"/>
      <c r="N272" s="575"/>
      <c r="O272" s="575"/>
      <c r="P272" s="575"/>
      <c r="Q272" s="578"/>
      <c r="R272" s="579"/>
      <c r="S272" s="575"/>
      <c r="T272" s="580"/>
      <c r="U272" s="573"/>
      <c r="V272" s="573"/>
    </row>
    <row r="273" spans="3:22" x14ac:dyDescent="0.25">
      <c r="E273" s="575"/>
      <c r="G273" s="577"/>
      <c r="H273" s="577"/>
      <c r="I273" s="575"/>
      <c r="J273" s="575"/>
      <c r="K273" s="575"/>
      <c r="L273" s="575"/>
      <c r="M273" s="575"/>
      <c r="N273" s="575"/>
      <c r="O273" s="575"/>
      <c r="P273" s="575"/>
      <c r="Q273" s="578"/>
      <c r="R273" s="579"/>
      <c r="S273" s="575"/>
      <c r="T273" s="580"/>
      <c r="U273" s="573"/>
      <c r="V273" s="573"/>
    </row>
    <row r="274" spans="3:22" x14ac:dyDescent="0.25">
      <c r="E274" s="575"/>
      <c r="G274" s="577"/>
      <c r="H274" s="577"/>
      <c r="I274" s="575"/>
      <c r="J274" s="575"/>
      <c r="K274" s="575"/>
      <c r="L274" s="575"/>
      <c r="M274" s="575"/>
      <c r="N274" s="575"/>
      <c r="O274" s="575"/>
      <c r="P274" s="575"/>
      <c r="Q274" s="578"/>
      <c r="R274" s="579"/>
      <c r="S274" s="575"/>
      <c r="T274" s="580"/>
      <c r="U274" s="573"/>
      <c r="V274" s="573"/>
    </row>
    <row r="275" spans="3:22" x14ac:dyDescent="0.25">
      <c r="E275" s="575"/>
      <c r="G275" s="577"/>
      <c r="H275" s="577"/>
      <c r="I275" s="575"/>
      <c r="J275" s="575"/>
      <c r="K275" s="575"/>
      <c r="L275" s="575"/>
      <c r="M275" s="575"/>
      <c r="N275" s="575"/>
      <c r="O275" s="575"/>
      <c r="P275" s="575"/>
      <c r="Q275" s="578"/>
      <c r="R275" s="579"/>
      <c r="S275" s="575"/>
      <c r="T275" s="580"/>
      <c r="U275" s="573"/>
      <c r="V275" s="573"/>
    </row>
    <row r="276" spans="3:22" x14ac:dyDescent="0.25">
      <c r="E276" s="575"/>
      <c r="F276" s="576"/>
      <c r="G276" s="577"/>
      <c r="H276" s="577"/>
      <c r="I276" s="575"/>
      <c r="J276" s="575"/>
      <c r="K276" s="575"/>
      <c r="L276" s="575"/>
      <c r="M276" s="575"/>
      <c r="N276" s="575"/>
      <c r="O276" s="575"/>
      <c r="P276" s="575"/>
      <c r="Q276" s="578"/>
      <c r="R276" s="579"/>
      <c r="S276" s="575"/>
      <c r="T276" s="580"/>
      <c r="U276" s="573"/>
      <c r="V276" s="573"/>
    </row>
    <row r="277" spans="3:22" x14ac:dyDescent="0.25">
      <c r="E277" s="575"/>
      <c r="G277" s="577"/>
      <c r="H277" s="577"/>
      <c r="I277" s="575"/>
      <c r="J277" s="575"/>
      <c r="K277" s="575"/>
      <c r="L277" s="575"/>
      <c r="M277" s="575"/>
      <c r="N277" s="575"/>
      <c r="O277" s="575"/>
      <c r="P277" s="575"/>
      <c r="Q277" s="578"/>
      <c r="R277" s="579"/>
      <c r="S277" s="575"/>
      <c r="T277" s="580"/>
      <c r="U277" s="573"/>
      <c r="V277" s="573"/>
    </row>
    <row r="278" spans="3:22" x14ac:dyDescent="0.25">
      <c r="E278" s="575"/>
      <c r="G278" s="577"/>
      <c r="H278" s="577"/>
      <c r="I278" s="575"/>
      <c r="J278" s="575"/>
      <c r="K278" s="575"/>
      <c r="L278" s="575"/>
      <c r="M278" s="575"/>
      <c r="N278" s="575"/>
      <c r="O278" s="575"/>
      <c r="P278" s="575"/>
      <c r="Q278" s="578"/>
      <c r="R278" s="579"/>
      <c r="S278" s="575"/>
      <c r="T278" s="580"/>
      <c r="U278" s="573"/>
      <c r="V278" s="573"/>
    </row>
    <row r="279" spans="3:22" x14ac:dyDescent="0.25">
      <c r="E279" s="575"/>
      <c r="G279" s="577"/>
      <c r="H279" s="577"/>
      <c r="I279" s="575"/>
      <c r="J279" s="575"/>
      <c r="K279" s="575"/>
      <c r="L279" s="575"/>
      <c r="M279" s="575"/>
      <c r="N279" s="575"/>
      <c r="O279" s="575"/>
      <c r="P279" s="575"/>
      <c r="Q279" s="578"/>
      <c r="R279" s="579"/>
      <c r="S279" s="575"/>
      <c r="T279" s="580"/>
      <c r="U279" s="573"/>
      <c r="V279" s="573"/>
    </row>
    <row r="280" spans="3:22" x14ac:dyDescent="0.25">
      <c r="E280" s="575"/>
      <c r="G280" s="577"/>
      <c r="H280" s="577"/>
      <c r="I280" s="575"/>
      <c r="J280" s="575"/>
      <c r="K280" s="575"/>
      <c r="L280" s="575"/>
      <c r="M280" s="575"/>
      <c r="N280" s="575"/>
      <c r="O280" s="575"/>
      <c r="P280" s="575"/>
      <c r="Q280" s="578"/>
      <c r="R280" s="579"/>
      <c r="S280" s="575"/>
      <c r="T280" s="580"/>
      <c r="U280" s="573"/>
      <c r="V280" s="573"/>
    </row>
    <row r="281" spans="3:22" x14ac:dyDescent="0.25">
      <c r="C281" s="577"/>
      <c r="E281" s="575"/>
      <c r="F281" s="576"/>
      <c r="G281" s="577"/>
      <c r="H281" s="577"/>
      <c r="I281" s="575"/>
      <c r="J281" s="575"/>
      <c r="K281" s="575"/>
      <c r="L281" s="575"/>
      <c r="M281" s="575"/>
      <c r="N281" s="575"/>
      <c r="O281" s="575"/>
      <c r="P281" s="575"/>
      <c r="Q281" s="578"/>
      <c r="R281" s="579"/>
      <c r="S281" s="575"/>
      <c r="T281" s="580"/>
      <c r="U281" s="573"/>
      <c r="V281" s="573"/>
    </row>
    <row r="282" spans="3:22" x14ac:dyDescent="0.25">
      <c r="E282" s="575"/>
      <c r="G282" s="577"/>
      <c r="H282" s="577"/>
      <c r="I282" s="575"/>
      <c r="J282" s="575"/>
      <c r="K282" s="575"/>
      <c r="L282" s="575"/>
      <c r="M282" s="575"/>
      <c r="N282" s="575"/>
      <c r="O282" s="575"/>
      <c r="P282" s="575"/>
      <c r="Q282" s="578"/>
      <c r="R282" s="579"/>
      <c r="S282" s="575"/>
      <c r="T282" s="580"/>
      <c r="U282" s="573"/>
      <c r="V282" s="573"/>
    </row>
    <row r="283" spans="3:22" x14ac:dyDescent="0.25">
      <c r="E283" s="575"/>
      <c r="G283" s="577"/>
      <c r="H283" s="577"/>
      <c r="I283" s="575"/>
      <c r="J283" s="575"/>
      <c r="K283" s="575"/>
      <c r="L283" s="575"/>
      <c r="M283" s="575"/>
      <c r="N283" s="575"/>
      <c r="O283" s="575"/>
      <c r="P283" s="575"/>
      <c r="Q283" s="578"/>
      <c r="R283" s="579"/>
      <c r="S283" s="575"/>
      <c r="T283" s="580"/>
      <c r="U283" s="573"/>
      <c r="V283" s="573"/>
    </row>
    <row r="284" spans="3:22" x14ac:dyDescent="0.25">
      <c r="E284" s="575"/>
      <c r="G284" s="577"/>
      <c r="H284" s="577"/>
      <c r="I284" s="575"/>
      <c r="J284" s="575"/>
      <c r="K284" s="575"/>
      <c r="L284" s="575"/>
      <c r="M284" s="575"/>
      <c r="N284" s="575"/>
      <c r="O284" s="575"/>
      <c r="P284" s="575"/>
      <c r="Q284" s="578"/>
      <c r="R284" s="579"/>
      <c r="S284" s="575"/>
      <c r="T284" s="580"/>
      <c r="U284" s="573"/>
      <c r="V284" s="573"/>
    </row>
    <row r="285" spans="3:22" x14ac:dyDescent="0.25">
      <c r="E285" s="575"/>
      <c r="G285" s="577"/>
      <c r="H285" s="577"/>
      <c r="I285" s="575"/>
      <c r="J285" s="575"/>
      <c r="K285" s="575"/>
      <c r="L285" s="575"/>
      <c r="M285" s="575"/>
      <c r="N285" s="575"/>
      <c r="O285" s="575"/>
      <c r="P285" s="575"/>
      <c r="Q285" s="578"/>
      <c r="R285" s="579"/>
      <c r="S285" s="575"/>
      <c r="T285" s="580"/>
      <c r="U285" s="573"/>
      <c r="V285" s="573"/>
    </row>
    <row r="286" spans="3:22" x14ac:dyDescent="0.25">
      <c r="C286" s="577"/>
      <c r="E286" s="575"/>
      <c r="F286" s="576"/>
      <c r="G286" s="577"/>
      <c r="H286" s="577"/>
      <c r="I286" s="575"/>
      <c r="J286" s="575"/>
      <c r="K286" s="575"/>
      <c r="L286" s="575"/>
      <c r="M286" s="575"/>
      <c r="N286" s="575"/>
      <c r="O286" s="575"/>
      <c r="P286" s="575"/>
      <c r="Q286" s="578"/>
      <c r="R286" s="579"/>
      <c r="S286" s="575"/>
      <c r="T286" s="580"/>
      <c r="U286" s="573"/>
      <c r="V286" s="573"/>
    </row>
    <row r="287" spans="3:22" x14ac:dyDescent="0.25">
      <c r="E287" s="575"/>
      <c r="G287" s="577"/>
      <c r="H287" s="577"/>
      <c r="I287" s="575"/>
      <c r="J287" s="575"/>
      <c r="K287" s="575"/>
      <c r="L287" s="575"/>
      <c r="M287" s="575"/>
      <c r="N287" s="575"/>
      <c r="O287" s="575"/>
      <c r="P287" s="575"/>
      <c r="Q287" s="578"/>
      <c r="R287" s="579"/>
      <c r="S287" s="575"/>
      <c r="T287" s="580"/>
      <c r="U287" s="573"/>
      <c r="V287" s="573"/>
    </row>
    <row r="288" spans="3:22" x14ac:dyDescent="0.25">
      <c r="E288" s="575"/>
      <c r="G288" s="577"/>
      <c r="H288" s="577"/>
      <c r="I288" s="575"/>
      <c r="J288" s="575"/>
      <c r="K288" s="575"/>
      <c r="L288" s="575"/>
      <c r="M288" s="575"/>
      <c r="N288" s="575"/>
      <c r="O288" s="575"/>
      <c r="P288" s="575"/>
      <c r="Q288" s="578"/>
      <c r="R288" s="579"/>
      <c r="S288" s="575"/>
      <c r="T288" s="580"/>
      <c r="U288" s="573"/>
      <c r="V288" s="573"/>
    </row>
    <row r="289" spans="2:22" x14ac:dyDescent="0.25">
      <c r="E289" s="575"/>
      <c r="G289" s="577"/>
      <c r="H289" s="577"/>
      <c r="I289" s="575"/>
      <c r="J289" s="575"/>
      <c r="K289" s="575"/>
      <c r="L289" s="575"/>
      <c r="M289" s="575"/>
      <c r="N289" s="575"/>
      <c r="O289" s="575"/>
      <c r="P289" s="575"/>
      <c r="Q289" s="578"/>
      <c r="R289" s="579"/>
      <c r="S289" s="575"/>
      <c r="T289" s="580"/>
      <c r="U289" s="573"/>
      <c r="V289" s="573"/>
    </row>
    <row r="290" spans="2:22" x14ac:dyDescent="0.25">
      <c r="E290" s="575"/>
      <c r="G290" s="577"/>
      <c r="H290" s="577"/>
      <c r="I290" s="575"/>
      <c r="J290" s="575"/>
      <c r="K290" s="575"/>
      <c r="L290" s="575"/>
      <c r="M290" s="575"/>
      <c r="N290" s="575"/>
      <c r="O290" s="575"/>
      <c r="P290" s="575"/>
      <c r="Q290" s="578"/>
      <c r="R290" s="579"/>
      <c r="S290" s="575"/>
      <c r="T290" s="580"/>
      <c r="U290" s="573"/>
      <c r="V290" s="573"/>
    </row>
    <row r="291" spans="2:22" x14ac:dyDescent="0.25">
      <c r="E291" s="575"/>
      <c r="G291" s="577"/>
      <c r="H291" s="577"/>
      <c r="I291" s="581"/>
      <c r="J291" s="575"/>
      <c r="K291" s="575"/>
      <c r="L291" s="575"/>
      <c r="M291" s="575"/>
      <c r="N291" s="575"/>
      <c r="O291" s="575"/>
      <c r="P291" s="575"/>
      <c r="Q291" s="578"/>
      <c r="R291" s="575"/>
      <c r="S291" s="575"/>
      <c r="T291" s="580"/>
      <c r="U291" s="573"/>
      <c r="V291" s="573"/>
    </row>
    <row r="292" spans="2:22" x14ac:dyDescent="0.25">
      <c r="B292" s="577"/>
      <c r="E292" s="575"/>
      <c r="G292" s="577"/>
      <c r="H292" s="577"/>
      <c r="I292" s="581"/>
      <c r="J292" s="575"/>
      <c r="K292" s="575"/>
      <c r="L292" s="575"/>
      <c r="M292" s="575"/>
      <c r="N292" s="575"/>
      <c r="O292" s="575"/>
      <c r="P292" s="575"/>
      <c r="Q292" s="578"/>
      <c r="R292" s="575"/>
      <c r="S292" s="575"/>
      <c r="T292" s="580"/>
      <c r="U292" s="573"/>
      <c r="V292" s="573"/>
    </row>
    <row r="293" spans="2:22" x14ac:dyDescent="0.25">
      <c r="E293" s="575"/>
      <c r="G293" s="577"/>
      <c r="H293" s="577"/>
      <c r="I293" s="575"/>
      <c r="J293" s="575"/>
      <c r="K293" s="575"/>
      <c r="L293" s="575"/>
      <c r="M293" s="575"/>
      <c r="N293" s="575"/>
      <c r="O293" s="575"/>
      <c r="P293" s="575"/>
      <c r="Q293" s="578"/>
      <c r="R293" s="579"/>
      <c r="S293" s="575"/>
      <c r="T293" s="580"/>
      <c r="U293" s="573"/>
      <c r="V293" s="573"/>
    </row>
    <row r="294" spans="2:22" x14ac:dyDescent="0.25">
      <c r="E294" s="575"/>
      <c r="G294" s="577"/>
      <c r="H294" s="577"/>
      <c r="I294" s="575"/>
      <c r="J294" s="575"/>
      <c r="K294" s="575"/>
      <c r="L294" s="575"/>
      <c r="M294" s="575"/>
      <c r="N294" s="575"/>
      <c r="O294" s="575"/>
      <c r="P294" s="575"/>
      <c r="Q294" s="578"/>
      <c r="R294" s="579"/>
      <c r="S294" s="575"/>
      <c r="T294" s="580"/>
      <c r="U294" s="573"/>
      <c r="V294" s="573"/>
    </row>
    <row r="295" spans="2:22" x14ac:dyDescent="0.25">
      <c r="E295" s="575"/>
      <c r="G295" s="577"/>
      <c r="H295" s="577"/>
      <c r="I295" s="575"/>
      <c r="J295" s="575"/>
      <c r="K295" s="575"/>
      <c r="L295" s="575"/>
      <c r="M295" s="575"/>
      <c r="N295" s="575"/>
      <c r="O295" s="575"/>
      <c r="P295" s="575"/>
      <c r="Q295" s="578"/>
      <c r="R295" s="579"/>
      <c r="S295" s="575"/>
      <c r="T295" s="580"/>
      <c r="U295" s="573"/>
      <c r="V295" s="573"/>
    </row>
    <row r="296" spans="2:22" x14ac:dyDescent="0.25">
      <c r="E296" s="575"/>
      <c r="G296" s="577"/>
      <c r="H296" s="577"/>
      <c r="I296" s="575"/>
      <c r="J296" s="575"/>
      <c r="K296" s="575"/>
      <c r="L296" s="575"/>
      <c r="M296" s="575"/>
      <c r="N296" s="575"/>
      <c r="O296" s="575"/>
      <c r="P296" s="575"/>
      <c r="Q296" s="578"/>
      <c r="R296" s="579"/>
      <c r="S296" s="575"/>
      <c r="T296" s="580"/>
      <c r="U296" s="573"/>
      <c r="V296" s="573"/>
    </row>
    <row r="297" spans="2:22" x14ac:dyDescent="0.25">
      <c r="E297" s="575"/>
      <c r="F297" s="576"/>
      <c r="G297" s="577"/>
      <c r="H297" s="577"/>
      <c r="I297" s="575"/>
      <c r="J297" s="575"/>
      <c r="K297" s="575"/>
      <c r="L297" s="575"/>
      <c r="M297" s="575"/>
      <c r="N297" s="575"/>
      <c r="O297" s="575"/>
      <c r="P297" s="575"/>
      <c r="Q297" s="578"/>
      <c r="R297" s="579"/>
      <c r="S297" s="575"/>
      <c r="T297" s="580"/>
      <c r="U297" s="573"/>
      <c r="V297" s="573"/>
    </row>
    <row r="298" spans="2:22" x14ac:dyDescent="0.25">
      <c r="E298" s="575"/>
      <c r="G298" s="577"/>
      <c r="H298" s="577"/>
      <c r="I298" s="575"/>
      <c r="J298" s="575"/>
      <c r="K298" s="575"/>
      <c r="L298" s="575"/>
      <c r="M298" s="575"/>
      <c r="N298" s="575"/>
      <c r="O298" s="575"/>
      <c r="P298" s="575"/>
      <c r="Q298" s="578"/>
      <c r="R298" s="579"/>
      <c r="S298" s="575"/>
      <c r="T298" s="580"/>
      <c r="U298" s="573"/>
      <c r="V298" s="573"/>
    </row>
    <row r="299" spans="2:22" x14ac:dyDescent="0.25">
      <c r="E299" s="575"/>
      <c r="G299" s="577"/>
      <c r="H299" s="577"/>
      <c r="I299" s="575"/>
      <c r="J299" s="575"/>
      <c r="K299" s="575"/>
      <c r="L299" s="575"/>
      <c r="M299" s="575"/>
      <c r="N299" s="575"/>
      <c r="O299" s="575"/>
      <c r="P299" s="575"/>
      <c r="Q299" s="578"/>
      <c r="R299" s="579"/>
      <c r="S299" s="575"/>
      <c r="T299" s="580"/>
      <c r="U299" s="573"/>
      <c r="V299" s="573"/>
    </row>
    <row r="300" spans="2:22" x14ac:dyDescent="0.25">
      <c r="E300" s="575"/>
      <c r="G300" s="577"/>
      <c r="H300" s="577"/>
      <c r="I300" s="575"/>
      <c r="J300" s="575"/>
      <c r="K300" s="575"/>
      <c r="L300" s="575"/>
      <c r="M300" s="575"/>
      <c r="N300" s="575"/>
      <c r="O300" s="575"/>
      <c r="P300" s="575"/>
      <c r="Q300" s="578"/>
      <c r="R300" s="579"/>
      <c r="S300" s="575"/>
      <c r="T300" s="580"/>
      <c r="U300" s="573"/>
      <c r="V300" s="573"/>
    </row>
    <row r="301" spans="2:22" x14ac:dyDescent="0.25">
      <c r="E301" s="575"/>
      <c r="G301" s="577"/>
      <c r="H301" s="577"/>
      <c r="I301" s="575"/>
      <c r="J301" s="575"/>
      <c r="K301" s="575"/>
      <c r="L301" s="575"/>
      <c r="M301" s="575"/>
      <c r="N301" s="575"/>
      <c r="O301" s="575"/>
      <c r="P301" s="575"/>
      <c r="Q301" s="578"/>
      <c r="R301" s="579"/>
      <c r="S301" s="575"/>
      <c r="T301" s="580"/>
      <c r="U301" s="573"/>
      <c r="V301" s="573"/>
    </row>
    <row r="302" spans="2:22" x14ac:dyDescent="0.25">
      <c r="C302" s="577"/>
      <c r="E302" s="575"/>
      <c r="F302" s="576"/>
      <c r="G302" s="577"/>
      <c r="H302" s="577"/>
      <c r="I302" s="575"/>
      <c r="J302" s="575"/>
      <c r="K302" s="575"/>
      <c r="L302" s="575"/>
      <c r="M302" s="575"/>
      <c r="N302" s="575"/>
      <c r="O302" s="575"/>
      <c r="P302" s="575"/>
      <c r="Q302" s="578"/>
      <c r="R302" s="579"/>
      <c r="S302" s="575"/>
      <c r="T302" s="580"/>
      <c r="U302" s="573"/>
      <c r="V302" s="573"/>
    </row>
    <row r="303" spans="2:22" x14ac:dyDescent="0.25">
      <c r="E303" s="575"/>
      <c r="G303" s="577"/>
      <c r="H303" s="577"/>
      <c r="I303" s="575"/>
      <c r="J303" s="575"/>
      <c r="K303" s="575"/>
      <c r="L303" s="575"/>
      <c r="M303" s="575"/>
      <c r="N303" s="575"/>
      <c r="O303" s="575"/>
      <c r="P303" s="575"/>
      <c r="Q303" s="578"/>
      <c r="R303" s="579"/>
      <c r="S303" s="575"/>
      <c r="T303" s="580"/>
      <c r="U303" s="573"/>
      <c r="V303" s="573"/>
    </row>
    <row r="304" spans="2:22" x14ac:dyDescent="0.25">
      <c r="E304" s="575"/>
      <c r="G304" s="577"/>
      <c r="H304" s="577"/>
      <c r="I304" s="575"/>
      <c r="J304" s="575"/>
      <c r="K304" s="575"/>
      <c r="L304" s="575"/>
      <c r="M304" s="575"/>
      <c r="N304" s="575"/>
      <c r="O304" s="575"/>
      <c r="P304" s="575"/>
      <c r="Q304" s="578"/>
      <c r="R304" s="579"/>
      <c r="S304" s="575"/>
      <c r="T304" s="580"/>
      <c r="U304" s="573"/>
      <c r="V304" s="573"/>
    </row>
    <row r="305" spans="3:22" x14ac:dyDescent="0.25">
      <c r="E305" s="575"/>
      <c r="G305" s="577"/>
      <c r="H305" s="577"/>
      <c r="I305" s="575"/>
      <c r="J305" s="575"/>
      <c r="K305" s="575"/>
      <c r="L305" s="575"/>
      <c r="M305" s="575"/>
      <c r="N305" s="575"/>
      <c r="O305" s="575"/>
      <c r="P305" s="575"/>
      <c r="Q305" s="578"/>
      <c r="R305" s="579"/>
      <c r="S305" s="575"/>
      <c r="T305" s="580"/>
      <c r="U305" s="573"/>
      <c r="V305" s="573"/>
    </row>
    <row r="306" spans="3:22" x14ac:dyDescent="0.25">
      <c r="E306" s="575"/>
      <c r="G306" s="577"/>
      <c r="H306" s="577"/>
      <c r="I306" s="575"/>
      <c r="J306" s="575"/>
      <c r="K306" s="575"/>
      <c r="L306" s="575"/>
      <c r="M306" s="575"/>
      <c r="N306" s="575"/>
      <c r="O306" s="575"/>
      <c r="P306" s="575"/>
      <c r="Q306" s="578"/>
      <c r="R306" s="579"/>
      <c r="S306" s="575"/>
      <c r="T306" s="580"/>
      <c r="U306" s="573"/>
      <c r="V306" s="573"/>
    </row>
    <row r="307" spans="3:22" x14ac:dyDescent="0.25">
      <c r="C307" s="577"/>
      <c r="E307" s="575"/>
      <c r="F307" s="576"/>
      <c r="G307" s="577"/>
      <c r="H307" s="577"/>
      <c r="I307" s="575"/>
      <c r="J307" s="575"/>
      <c r="K307" s="575"/>
      <c r="L307" s="575"/>
      <c r="M307" s="575"/>
      <c r="N307" s="575"/>
      <c r="O307" s="575"/>
      <c r="P307" s="575"/>
      <c r="Q307" s="578"/>
      <c r="R307" s="579"/>
      <c r="S307" s="575"/>
      <c r="T307" s="580"/>
      <c r="U307" s="573"/>
      <c r="V307" s="573"/>
    </row>
    <row r="308" spans="3:22" x14ac:dyDescent="0.25">
      <c r="E308" s="575"/>
      <c r="G308" s="577"/>
      <c r="H308" s="577"/>
      <c r="I308" s="575"/>
      <c r="J308" s="575"/>
      <c r="K308" s="575"/>
      <c r="L308" s="575"/>
      <c r="M308" s="575"/>
      <c r="N308" s="575"/>
      <c r="O308" s="575"/>
      <c r="P308" s="575"/>
      <c r="Q308" s="578"/>
      <c r="R308" s="579"/>
      <c r="S308" s="575"/>
      <c r="T308" s="580"/>
      <c r="U308" s="573"/>
      <c r="V308" s="573"/>
    </row>
    <row r="309" spans="3:22" x14ac:dyDescent="0.25">
      <c r="E309" s="575"/>
      <c r="G309" s="577"/>
      <c r="H309" s="577"/>
      <c r="I309" s="575"/>
      <c r="J309" s="575"/>
      <c r="K309" s="575"/>
      <c r="L309" s="575"/>
      <c r="M309" s="575"/>
      <c r="N309" s="575"/>
      <c r="O309" s="575"/>
      <c r="P309" s="575"/>
      <c r="Q309" s="578"/>
      <c r="R309" s="579"/>
      <c r="S309" s="575"/>
      <c r="T309" s="580"/>
      <c r="U309" s="573"/>
      <c r="V309" s="573"/>
    </row>
    <row r="310" spans="3:22" x14ac:dyDescent="0.25">
      <c r="E310" s="575"/>
      <c r="G310" s="577"/>
      <c r="H310" s="577"/>
      <c r="I310" s="575"/>
      <c r="J310" s="575"/>
      <c r="K310" s="575"/>
      <c r="L310" s="575"/>
      <c r="M310" s="575"/>
      <c r="N310" s="575"/>
      <c r="O310" s="575"/>
      <c r="P310" s="575"/>
      <c r="Q310" s="582"/>
      <c r="R310" s="579"/>
      <c r="S310" s="575"/>
      <c r="T310" s="580"/>
      <c r="U310" s="573"/>
      <c r="V310" s="573"/>
    </row>
    <row r="311" spans="3:22" x14ac:dyDescent="0.25">
      <c r="G311" s="581"/>
      <c r="H311" s="581"/>
      <c r="I311" s="581"/>
      <c r="J311" s="575"/>
      <c r="K311" s="575"/>
      <c r="L311" s="575"/>
      <c r="M311" s="575"/>
      <c r="N311" s="575"/>
      <c r="O311" s="575"/>
      <c r="P311" s="575"/>
      <c r="Q311" s="580"/>
      <c r="R311" s="575"/>
      <c r="S311" s="575"/>
      <c r="T311" s="580"/>
      <c r="U311" s="573"/>
      <c r="V311" s="573"/>
    </row>
    <row r="313" spans="3:22" x14ac:dyDescent="0.25">
      <c r="E313" s="575"/>
      <c r="G313" s="577"/>
      <c r="H313" s="577"/>
      <c r="I313" s="581"/>
      <c r="J313" s="575"/>
      <c r="K313" s="575"/>
      <c r="L313" s="575"/>
      <c r="M313" s="575"/>
      <c r="N313" s="575"/>
      <c r="O313" s="575"/>
      <c r="P313" s="575"/>
      <c r="Q313" s="578"/>
      <c r="R313" s="575"/>
      <c r="S313" s="575"/>
      <c r="T313" s="580"/>
      <c r="U313" s="573"/>
      <c r="V313" s="573"/>
    </row>
    <row r="314" spans="3:22" x14ac:dyDescent="0.25">
      <c r="E314" s="575"/>
      <c r="G314" s="577"/>
      <c r="H314" s="577"/>
      <c r="I314" s="575"/>
      <c r="J314" s="575"/>
      <c r="K314" s="575"/>
      <c r="L314" s="575"/>
      <c r="M314" s="575"/>
      <c r="N314" s="575"/>
      <c r="O314" s="575"/>
      <c r="P314" s="575"/>
      <c r="Q314" s="578"/>
      <c r="R314" s="579"/>
      <c r="S314" s="575"/>
      <c r="T314" s="580"/>
      <c r="U314" s="573"/>
      <c r="V314" s="573"/>
    </row>
    <row r="315" spans="3:22" x14ac:dyDescent="0.25">
      <c r="E315" s="575"/>
      <c r="G315" s="577"/>
      <c r="H315" s="577"/>
      <c r="I315" s="575"/>
      <c r="J315" s="575"/>
      <c r="K315" s="575"/>
      <c r="L315" s="575"/>
      <c r="M315" s="575"/>
      <c r="N315" s="575"/>
      <c r="O315" s="575"/>
      <c r="P315" s="575"/>
      <c r="Q315" s="578"/>
      <c r="R315" s="579"/>
      <c r="S315" s="575"/>
      <c r="T315" s="580"/>
      <c r="U315" s="573"/>
      <c r="V315" s="573"/>
    </row>
    <row r="316" spans="3:22" x14ac:dyDescent="0.25">
      <c r="E316" s="575"/>
      <c r="G316" s="577"/>
      <c r="H316" s="577"/>
      <c r="I316" s="575"/>
      <c r="J316" s="575"/>
      <c r="K316" s="575"/>
      <c r="L316" s="575"/>
      <c r="M316" s="575"/>
      <c r="N316" s="575"/>
      <c r="O316" s="575"/>
      <c r="P316" s="575"/>
      <c r="Q316" s="578"/>
      <c r="R316" s="579"/>
      <c r="S316" s="575"/>
      <c r="T316" s="580"/>
      <c r="U316" s="573"/>
      <c r="V316" s="573"/>
    </row>
    <row r="317" spans="3:22" x14ac:dyDescent="0.25">
      <c r="E317" s="575"/>
      <c r="G317" s="577"/>
      <c r="H317" s="577"/>
      <c r="I317" s="575"/>
      <c r="J317" s="575"/>
      <c r="K317" s="575"/>
      <c r="L317" s="575"/>
      <c r="M317" s="575"/>
      <c r="N317" s="575"/>
      <c r="O317" s="575"/>
      <c r="P317" s="575"/>
      <c r="Q317" s="578"/>
      <c r="R317" s="579"/>
      <c r="S317" s="575"/>
      <c r="T317" s="580"/>
      <c r="U317" s="573"/>
      <c r="V317" s="573"/>
    </row>
    <row r="318" spans="3:22" x14ac:dyDescent="0.25">
      <c r="E318" s="575"/>
      <c r="F318" s="576"/>
      <c r="G318" s="577"/>
      <c r="H318" s="577"/>
      <c r="I318" s="575"/>
      <c r="J318" s="575"/>
      <c r="K318" s="575"/>
      <c r="L318" s="575"/>
      <c r="M318" s="575"/>
      <c r="N318" s="575"/>
      <c r="O318" s="575"/>
      <c r="P318" s="575"/>
      <c r="Q318" s="578"/>
      <c r="R318" s="579"/>
      <c r="S318" s="575"/>
      <c r="T318" s="580"/>
      <c r="U318" s="573"/>
      <c r="V318" s="573"/>
    </row>
    <row r="319" spans="3:22" x14ac:dyDescent="0.25">
      <c r="E319" s="575"/>
      <c r="G319" s="577"/>
      <c r="H319" s="577"/>
      <c r="I319" s="575"/>
      <c r="J319" s="575"/>
      <c r="K319" s="575"/>
      <c r="L319" s="575"/>
      <c r="M319" s="575"/>
      <c r="N319" s="575"/>
      <c r="O319" s="575"/>
      <c r="P319" s="575"/>
      <c r="Q319" s="578"/>
      <c r="R319" s="579"/>
      <c r="S319" s="575"/>
      <c r="T319" s="580"/>
      <c r="U319" s="573"/>
      <c r="V319" s="573"/>
    </row>
    <row r="320" spans="3:22" x14ac:dyDescent="0.25">
      <c r="E320" s="575"/>
      <c r="G320" s="577"/>
      <c r="H320" s="577"/>
      <c r="I320" s="575"/>
      <c r="J320" s="575"/>
      <c r="K320" s="575"/>
      <c r="L320" s="575"/>
      <c r="M320" s="575"/>
      <c r="N320" s="575"/>
      <c r="O320" s="575"/>
      <c r="P320" s="575"/>
      <c r="Q320" s="578"/>
      <c r="R320" s="579"/>
      <c r="S320" s="575"/>
      <c r="T320" s="580"/>
      <c r="U320" s="573"/>
      <c r="V320" s="573"/>
    </row>
    <row r="321" spans="3:22" x14ac:dyDescent="0.25">
      <c r="E321" s="575"/>
      <c r="G321" s="577"/>
      <c r="H321" s="577"/>
      <c r="I321" s="575"/>
      <c r="J321" s="575"/>
      <c r="K321" s="575"/>
      <c r="L321" s="575"/>
      <c r="M321" s="575"/>
      <c r="N321" s="575"/>
      <c r="O321" s="575"/>
      <c r="P321" s="575"/>
      <c r="Q321" s="578"/>
      <c r="R321" s="579"/>
      <c r="S321" s="575"/>
      <c r="T321" s="580"/>
      <c r="U321" s="573"/>
      <c r="V321" s="573"/>
    </row>
    <row r="322" spans="3:22" x14ac:dyDescent="0.25">
      <c r="E322" s="575"/>
      <c r="G322" s="577"/>
      <c r="H322" s="577"/>
      <c r="I322" s="575"/>
      <c r="J322" s="575"/>
      <c r="K322" s="575"/>
      <c r="L322" s="575"/>
      <c r="M322" s="575"/>
      <c r="N322" s="575"/>
      <c r="O322" s="575"/>
      <c r="P322" s="575"/>
      <c r="Q322" s="578"/>
      <c r="R322" s="579"/>
      <c r="S322" s="575"/>
      <c r="T322" s="580"/>
      <c r="U322" s="573"/>
      <c r="V322" s="573"/>
    </row>
    <row r="323" spans="3:22" x14ac:dyDescent="0.25">
      <c r="C323" s="577"/>
      <c r="E323" s="575"/>
      <c r="F323" s="576"/>
      <c r="G323" s="577"/>
      <c r="H323" s="577"/>
      <c r="I323" s="575"/>
      <c r="J323" s="575"/>
      <c r="K323" s="575"/>
      <c r="L323" s="575"/>
      <c r="M323" s="575"/>
      <c r="N323" s="575"/>
      <c r="O323" s="575"/>
      <c r="P323" s="575"/>
      <c r="Q323" s="578"/>
      <c r="R323" s="579"/>
      <c r="S323" s="575"/>
      <c r="T323" s="580"/>
      <c r="U323" s="573"/>
      <c r="V323" s="573"/>
    </row>
    <row r="324" spans="3:22" x14ac:dyDescent="0.25">
      <c r="E324" s="575"/>
      <c r="G324" s="577"/>
      <c r="H324" s="577"/>
      <c r="I324" s="575"/>
      <c r="J324" s="575"/>
      <c r="K324" s="575"/>
      <c r="L324" s="575"/>
      <c r="M324" s="575"/>
      <c r="N324" s="575"/>
      <c r="O324" s="575"/>
      <c r="P324" s="575"/>
      <c r="Q324" s="578"/>
      <c r="R324" s="579"/>
      <c r="S324" s="575"/>
      <c r="T324" s="580"/>
      <c r="U324" s="573"/>
      <c r="V324" s="573"/>
    </row>
    <row r="325" spans="3:22" x14ac:dyDescent="0.25">
      <c r="E325" s="575"/>
      <c r="G325" s="577"/>
      <c r="H325" s="577"/>
      <c r="I325" s="575"/>
      <c r="J325" s="575"/>
      <c r="K325" s="575"/>
      <c r="L325" s="575"/>
      <c r="M325" s="575"/>
      <c r="N325" s="575"/>
      <c r="O325" s="575"/>
      <c r="P325" s="575"/>
      <c r="Q325" s="578"/>
      <c r="R325" s="579"/>
      <c r="S325" s="575"/>
      <c r="T325" s="580"/>
      <c r="U325" s="573"/>
      <c r="V325" s="573"/>
    </row>
    <row r="326" spans="3:22" x14ac:dyDescent="0.25">
      <c r="E326" s="575"/>
      <c r="G326" s="577"/>
      <c r="H326" s="577"/>
      <c r="I326" s="575"/>
      <c r="J326" s="575"/>
      <c r="K326" s="575"/>
      <c r="L326" s="575"/>
      <c r="M326" s="575"/>
      <c r="N326" s="575"/>
      <c r="O326" s="575"/>
      <c r="P326" s="575"/>
      <c r="Q326" s="578"/>
      <c r="R326" s="579"/>
      <c r="S326" s="575"/>
      <c r="T326" s="580"/>
      <c r="U326" s="573"/>
      <c r="V326" s="573"/>
    </row>
    <row r="327" spans="3:22" x14ac:dyDescent="0.25">
      <c r="E327" s="575"/>
      <c r="G327" s="577"/>
      <c r="H327" s="577"/>
      <c r="I327" s="575"/>
      <c r="J327" s="575"/>
      <c r="K327" s="575"/>
      <c r="L327" s="575"/>
      <c r="M327" s="575"/>
      <c r="N327" s="575"/>
      <c r="O327" s="575"/>
      <c r="P327" s="575"/>
      <c r="Q327" s="578"/>
      <c r="R327" s="579"/>
      <c r="S327" s="575"/>
      <c r="T327" s="580"/>
      <c r="U327" s="573"/>
      <c r="V327" s="573"/>
    </row>
    <row r="328" spans="3:22" x14ac:dyDescent="0.25">
      <c r="C328" s="577"/>
      <c r="E328" s="575"/>
      <c r="F328" s="576"/>
      <c r="G328" s="577"/>
      <c r="H328" s="577"/>
      <c r="I328" s="575"/>
      <c r="J328" s="575"/>
      <c r="K328" s="575"/>
      <c r="L328" s="575"/>
      <c r="M328" s="575"/>
      <c r="N328" s="575"/>
      <c r="O328" s="575"/>
      <c r="P328" s="575"/>
      <c r="Q328" s="578"/>
      <c r="R328" s="579"/>
      <c r="S328" s="575"/>
      <c r="T328" s="580"/>
      <c r="U328" s="573"/>
      <c r="V328" s="573"/>
    </row>
    <row r="329" spans="3:22" x14ac:dyDescent="0.25">
      <c r="E329" s="575"/>
      <c r="G329" s="577"/>
      <c r="H329" s="577"/>
      <c r="I329" s="575"/>
      <c r="J329" s="575"/>
      <c r="K329" s="575"/>
      <c r="L329" s="575"/>
      <c r="M329" s="575"/>
      <c r="N329" s="575"/>
      <c r="O329" s="575"/>
      <c r="P329" s="575"/>
      <c r="Q329" s="578"/>
      <c r="R329" s="579"/>
      <c r="S329" s="575"/>
      <c r="T329" s="580"/>
      <c r="U329" s="573"/>
      <c r="V329" s="573"/>
    </row>
    <row r="330" spans="3:22" x14ac:dyDescent="0.25">
      <c r="E330" s="575"/>
      <c r="G330" s="577"/>
      <c r="H330" s="577"/>
      <c r="I330" s="575"/>
      <c r="J330" s="575"/>
      <c r="K330" s="575"/>
      <c r="L330" s="575"/>
      <c r="M330" s="575"/>
      <c r="N330" s="575"/>
      <c r="O330" s="575"/>
      <c r="P330" s="575"/>
      <c r="Q330" s="578"/>
      <c r="R330" s="579"/>
      <c r="S330" s="575"/>
      <c r="T330" s="580"/>
      <c r="U330" s="573"/>
      <c r="V330" s="573"/>
    </row>
    <row r="331" spans="3:22" x14ac:dyDescent="0.25">
      <c r="E331" s="575"/>
      <c r="G331" s="577"/>
      <c r="H331" s="577"/>
      <c r="I331" s="575"/>
      <c r="J331" s="575"/>
      <c r="K331" s="575"/>
      <c r="L331" s="575"/>
      <c r="M331" s="575"/>
      <c r="N331" s="575"/>
      <c r="O331" s="575"/>
      <c r="P331" s="575"/>
      <c r="Q331" s="582"/>
      <c r="R331" s="579"/>
      <c r="S331" s="575"/>
      <c r="T331" s="580"/>
      <c r="U331" s="573"/>
      <c r="V331" s="573"/>
    </row>
    <row r="334" spans="3:22" x14ac:dyDescent="0.25">
      <c r="E334" s="575"/>
      <c r="G334" s="577"/>
      <c r="H334" s="577"/>
      <c r="I334" s="581"/>
      <c r="J334" s="575"/>
      <c r="K334" s="575"/>
      <c r="L334" s="575"/>
      <c r="M334" s="575"/>
      <c r="N334" s="575"/>
      <c r="O334" s="575"/>
      <c r="P334" s="575"/>
      <c r="Q334" s="578"/>
      <c r="R334" s="575"/>
      <c r="S334" s="575"/>
      <c r="T334" s="580"/>
      <c r="U334" s="573"/>
      <c r="V334" s="573"/>
    </row>
    <row r="335" spans="3:22" x14ac:dyDescent="0.25">
      <c r="E335" s="575"/>
      <c r="G335" s="577"/>
      <c r="H335" s="577"/>
      <c r="I335" s="575"/>
      <c r="J335" s="575"/>
      <c r="K335" s="575"/>
      <c r="L335" s="575"/>
      <c r="M335" s="575"/>
      <c r="N335" s="575"/>
      <c r="O335" s="575"/>
      <c r="P335" s="575"/>
      <c r="Q335" s="578"/>
      <c r="R335" s="579"/>
      <c r="S335" s="575"/>
      <c r="T335" s="580"/>
      <c r="U335" s="573"/>
      <c r="V335" s="573"/>
    </row>
    <row r="336" spans="3:22" x14ac:dyDescent="0.25">
      <c r="E336" s="575"/>
      <c r="G336" s="577"/>
      <c r="H336" s="577"/>
      <c r="I336" s="575"/>
      <c r="J336" s="575"/>
      <c r="K336" s="575"/>
      <c r="L336" s="575"/>
      <c r="M336" s="575"/>
      <c r="N336" s="575"/>
      <c r="O336" s="575"/>
      <c r="P336" s="575"/>
      <c r="Q336" s="578"/>
      <c r="R336" s="579"/>
      <c r="S336" s="575"/>
      <c r="T336" s="580"/>
      <c r="U336" s="573"/>
      <c r="V336" s="573"/>
    </row>
    <row r="337" spans="3:22" x14ac:dyDescent="0.25">
      <c r="E337" s="575"/>
      <c r="G337" s="577"/>
      <c r="H337" s="577"/>
      <c r="I337" s="575"/>
      <c r="J337" s="575"/>
      <c r="K337" s="575"/>
      <c r="L337" s="575"/>
      <c r="M337" s="575"/>
      <c r="N337" s="575"/>
      <c r="O337" s="575"/>
      <c r="P337" s="575"/>
      <c r="Q337" s="578"/>
      <c r="R337" s="579"/>
      <c r="S337" s="575"/>
      <c r="T337" s="580"/>
      <c r="U337" s="573"/>
      <c r="V337" s="573"/>
    </row>
    <row r="338" spans="3:22" x14ac:dyDescent="0.25">
      <c r="E338" s="575"/>
      <c r="G338" s="577"/>
      <c r="H338" s="577"/>
      <c r="I338" s="575"/>
      <c r="J338" s="575"/>
      <c r="K338" s="575"/>
      <c r="L338" s="575"/>
      <c r="M338" s="575"/>
      <c r="N338" s="575"/>
      <c r="O338" s="575"/>
      <c r="P338" s="575"/>
      <c r="Q338" s="578"/>
      <c r="R338" s="579"/>
      <c r="S338" s="575"/>
      <c r="T338" s="580"/>
      <c r="U338" s="573"/>
      <c r="V338" s="573"/>
    </row>
    <row r="339" spans="3:22" x14ac:dyDescent="0.25">
      <c r="E339" s="575"/>
      <c r="F339" s="576"/>
      <c r="G339" s="577"/>
      <c r="H339" s="577"/>
      <c r="I339" s="575"/>
      <c r="J339" s="575"/>
      <c r="K339" s="575"/>
      <c r="L339" s="575"/>
      <c r="M339" s="575"/>
      <c r="N339" s="575"/>
      <c r="O339" s="575"/>
      <c r="P339" s="575"/>
      <c r="Q339" s="578"/>
      <c r="R339" s="579"/>
      <c r="S339" s="575"/>
      <c r="T339" s="580"/>
      <c r="U339" s="573"/>
      <c r="V339" s="573"/>
    </row>
    <row r="340" spans="3:22" x14ac:dyDescent="0.25">
      <c r="E340" s="575"/>
      <c r="G340" s="577"/>
      <c r="H340" s="577"/>
      <c r="I340" s="575"/>
      <c r="J340" s="575"/>
      <c r="K340" s="575"/>
      <c r="L340" s="575"/>
      <c r="M340" s="575"/>
      <c r="N340" s="575"/>
      <c r="O340" s="575"/>
      <c r="P340" s="575"/>
      <c r="Q340" s="578"/>
      <c r="R340" s="579"/>
      <c r="S340" s="575"/>
      <c r="T340" s="580"/>
      <c r="U340" s="573"/>
      <c r="V340" s="573"/>
    </row>
    <row r="341" spans="3:22" x14ac:dyDescent="0.25">
      <c r="E341" s="575"/>
      <c r="G341" s="577"/>
      <c r="H341" s="577"/>
      <c r="I341" s="575"/>
      <c r="J341" s="575"/>
      <c r="K341" s="575"/>
      <c r="L341" s="575"/>
      <c r="M341" s="575"/>
      <c r="N341" s="575"/>
      <c r="O341" s="575"/>
      <c r="P341" s="575"/>
      <c r="Q341" s="578"/>
      <c r="R341" s="579"/>
      <c r="S341" s="575"/>
      <c r="T341" s="580"/>
      <c r="U341" s="573"/>
      <c r="V341" s="573"/>
    </row>
    <row r="342" spans="3:22" x14ac:dyDescent="0.25">
      <c r="E342" s="575"/>
      <c r="G342" s="577"/>
      <c r="H342" s="577"/>
      <c r="I342" s="575"/>
      <c r="J342" s="575"/>
      <c r="K342" s="575"/>
      <c r="L342" s="575"/>
      <c r="M342" s="575"/>
      <c r="N342" s="575"/>
      <c r="O342" s="575"/>
      <c r="P342" s="575"/>
      <c r="Q342" s="578"/>
      <c r="R342" s="579"/>
      <c r="S342" s="575"/>
      <c r="T342" s="580"/>
      <c r="U342" s="573"/>
      <c r="V342" s="573"/>
    </row>
    <row r="343" spans="3:22" x14ac:dyDescent="0.25">
      <c r="E343" s="575"/>
      <c r="G343" s="577"/>
      <c r="H343" s="577"/>
      <c r="I343" s="575"/>
      <c r="J343" s="575"/>
      <c r="K343" s="575"/>
      <c r="L343" s="575"/>
      <c r="M343" s="575"/>
      <c r="N343" s="575"/>
      <c r="O343" s="575"/>
      <c r="P343" s="575"/>
      <c r="Q343" s="578"/>
      <c r="R343" s="579"/>
      <c r="S343" s="575"/>
      <c r="T343" s="580"/>
      <c r="U343" s="573"/>
      <c r="V343" s="573"/>
    </row>
    <row r="344" spans="3:22" x14ac:dyDescent="0.25">
      <c r="C344" s="577"/>
      <c r="E344" s="575"/>
      <c r="F344" s="576"/>
      <c r="G344" s="577"/>
      <c r="H344" s="577"/>
      <c r="I344" s="575"/>
      <c r="J344" s="575"/>
      <c r="K344" s="575"/>
      <c r="L344" s="575"/>
      <c r="M344" s="575"/>
      <c r="N344" s="575"/>
      <c r="O344" s="575"/>
      <c r="P344" s="575"/>
      <c r="Q344" s="578"/>
      <c r="R344" s="579"/>
      <c r="S344" s="575"/>
      <c r="T344" s="580"/>
      <c r="U344" s="573"/>
      <c r="V344" s="573"/>
    </row>
    <row r="345" spans="3:22" x14ac:dyDescent="0.25">
      <c r="E345" s="575"/>
      <c r="G345" s="577"/>
      <c r="H345" s="577"/>
      <c r="I345" s="575"/>
      <c r="J345" s="575"/>
      <c r="K345" s="575"/>
      <c r="L345" s="575"/>
      <c r="M345" s="575"/>
      <c r="N345" s="575"/>
      <c r="O345" s="575"/>
      <c r="P345" s="575"/>
      <c r="Q345" s="578"/>
      <c r="R345" s="579"/>
      <c r="S345" s="575"/>
      <c r="T345" s="580"/>
      <c r="U345" s="573"/>
      <c r="V345" s="573"/>
    </row>
    <row r="346" spans="3:22" x14ac:dyDescent="0.25">
      <c r="E346" s="575"/>
      <c r="G346" s="577"/>
      <c r="H346" s="577"/>
      <c r="I346" s="575"/>
      <c r="J346" s="575"/>
      <c r="K346" s="575"/>
      <c r="L346" s="575"/>
      <c r="M346" s="575"/>
      <c r="N346" s="575"/>
      <c r="O346" s="575"/>
      <c r="P346" s="575"/>
      <c r="Q346" s="578"/>
      <c r="R346" s="579"/>
      <c r="S346" s="575"/>
      <c r="T346" s="580"/>
      <c r="U346" s="573"/>
      <c r="V346" s="573"/>
    </row>
    <row r="347" spans="3:22" x14ac:dyDescent="0.25">
      <c r="E347" s="575"/>
      <c r="G347" s="577"/>
      <c r="H347" s="577"/>
      <c r="I347" s="575"/>
      <c r="J347" s="575"/>
      <c r="K347" s="575"/>
      <c r="L347" s="575"/>
      <c r="M347" s="575"/>
      <c r="N347" s="575"/>
      <c r="O347" s="575"/>
      <c r="P347" s="575"/>
      <c r="Q347" s="578"/>
      <c r="R347" s="579"/>
      <c r="S347" s="575"/>
      <c r="T347" s="580"/>
      <c r="U347" s="573"/>
      <c r="V347" s="573"/>
    </row>
    <row r="348" spans="3:22" x14ac:dyDescent="0.25">
      <c r="E348" s="575"/>
      <c r="G348" s="577"/>
      <c r="H348" s="577"/>
      <c r="I348" s="575"/>
      <c r="J348" s="575"/>
      <c r="K348" s="575"/>
      <c r="L348" s="575"/>
      <c r="M348" s="575"/>
      <c r="N348" s="575"/>
      <c r="O348" s="575"/>
      <c r="P348" s="575"/>
      <c r="Q348" s="578"/>
      <c r="R348" s="579"/>
      <c r="S348" s="575"/>
      <c r="T348" s="580"/>
      <c r="U348" s="573"/>
      <c r="V348" s="573"/>
    </row>
    <row r="349" spans="3:22" x14ac:dyDescent="0.25">
      <c r="C349" s="577"/>
      <c r="E349" s="575"/>
      <c r="F349" s="576"/>
      <c r="G349" s="577"/>
      <c r="H349" s="577"/>
      <c r="I349" s="575"/>
      <c r="J349" s="575"/>
      <c r="K349" s="575"/>
      <c r="L349" s="575"/>
      <c r="M349" s="575"/>
      <c r="N349" s="575"/>
      <c r="O349" s="575"/>
      <c r="P349" s="575"/>
      <c r="Q349" s="578"/>
      <c r="R349" s="579"/>
      <c r="S349" s="575"/>
      <c r="T349" s="580"/>
      <c r="U349" s="573"/>
      <c r="V349" s="573"/>
    </row>
    <row r="350" spans="3:22" x14ac:dyDescent="0.25">
      <c r="E350" s="575"/>
      <c r="G350" s="577"/>
      <c r="H350" s="577"/>
      <c r="I350" s="575"/>
      <c r="J350" s="575"/>
      <c r="K350" s="575"/>
      <c r="L350" s="575"/>
      <c r="M350" s="575"/>
      <c r="N350" s="575"/>
      <c r="O350" s="575"/>
      <c r="P350" s="575"/>
      <c r="Q350" s="578"/>
      <c r="R350" s="579"/>
      <c r="S350" s="575"/>
      <c r="T350" s="580"/>
      <c r="U350" s="573"/>
      <c r="V350" s="573"/>
    </row>
    <row r="351" spans="3:22" x14ac:dyDescent="0.25">
      <c r="E351" s="575"/>
      <c r="G351" s="577"/>
      <c r="H351" s="577"/>
      <c r="I351" s="575"/>
      <c r="J351" s="575"/>
      <c r="K351" s="575"/>
      <c r="L351" s="575"/>
      <c r="M351" s="575"/>
      <c r="N351" s="575"/>
      <c r="O351" s="575"/>
      <c r="P351" s="575"/>
      <c r="Q351" s="578"/>
      <c r="R351" s="579"/>
      <c r="S351" s="575"/>
      <c r="T351" s="580"/>
      <c r="U351" s="573"/>
      <c r="V351" s="573"/>
    </row>
    <row r="352" spans="3:22" x14ac:dyDescent="0.25">
      <c r="E352" s="575"/>
      <c r="G352" s="577"/>
      <c r="H352" s="577"/>
      <c r="I352" s="575"/>
      <c r="J352" s="575"/>
      <c r="K352" s="575"/>
      <c r="L352" s="575"/>
      <c r="M352" s="575"/>
      <c r="N352" s="575"/>
      <c r="O352" s="575"/>
      <c r="P352" s="575"/>
      <c r="Q352" s="582"/>
      <c r="R352" s="579"/>
      <c r="S352" s="575"/>
      <c r="T352" s="580"/>
      <c r="U352" s="573"/>
      <c r="V352" s="573"/>
    </row>
    <row r="355" spans="3:22" x14ac:dyDescent="0.25">
      <c r="E355" s="575"/>
      <c r="G355" s="577"/>
      <c r="H355" s="577"/>
      <c r="I355" s="581"/>
      <c r="J355" s="575"/>
      <c r="K355" s="575"/>
      <c r="L355" s="575"/>
      <c r="M355" s="575"/>
      <c r="N355" s="575"/>
      <c r="O355" s="575"/>
      <c r="P355" s="575"/>
      <c r="Q355" s="578"/>
      <c r="R355" s="575"/>
      <c r="S355" s="575"/>
      <c r="T355" s="580"/>
      <c r="U355" s="573"/>
      <c r="V355" s="573"/>
    </row>
    <row r="356" spans="3:22" x14ac:dyDescent="0.25">
      <c r="E356" s="575"/>
      <c r="G356" s="577"/>
      <c r="H356" s="577"/>
      <c r="I356" s="575"/>
      <c r="J356" s="575"/>
      <c r="K356" s="575"/>
      <c r="L356" s="575"/>
      <c r="M356" s="575"/>
      <c r="N356" s="575"/>
      <c r="O356" s="575"/>
      <c r="P356" s="575"/>
      <c r="Q356" s="578"/>
      <c r="R356" s="579"/>
      <c r="S356" s="575"/>
      <c r="T356" s="580"/>
      <c r="U356" s="573"/>
      <c r="V356" s="573"/>
    </row>
    <row r="357" spans="3:22" x14ac:dyDescent="0.25">
      <c r="E357" s="575"/>
      <c r="G357" s="577"/>
      <c r="H357" s="577"/>
      <c r="I357" s="575"/>
      <c r="J357" s="575"/>
      <c r="K357" s="575"/>
      <c r="L357" s="575"/>
      <c r="M357" s="575"/>
      <c r="N357" s="575"/>
      <c r="O357" s="575"/>
      <c r="P357" s="575"/>
      <c r="Q357" s="578"/>
      <c r="R357" s="579"/>
      <c r="S357" s="575"/>
      <c r="T357" s="580"/>
      <c r="U357" s="573"/>
      <c r="V357" s="573"/>
    </row>
    <row r="358" spans="3:22" x14ac:dyDescent="0.25">
      <c r="E358" s="575"/>
      <c r="G358" s="577"/>
      <c r="H358" s="577"/>
      <c r="I358" s="575"/>
      <c r="J358" s="575"/>
      <c r="K358" s="575"/>
      <c r="L358" s="575"/>
      <c r="M358" s="575"/>
      <c r="N358" s="575"/>
      <c r="O358" s="575"/>
      <c r="P358" s="575"/>
      <c r="Q358" s="578"/>
      <c r="R358" s="579"/>
      <c r="S358" s="575"/>
      <c r="T358" s="580"/>
      <c r="U358" s="573"/>
      <c r="V358" s="573"/>
    </row>
    <row r="359" spans="3:22" x14ac:dyDescent="0.25">
      <c r="E359" s="575"/>
      <c r="G359" s="577"/>
      <c r="H359" s="577"/>
      <c r="I359" s="575"/>
      <c r="J359" s="575"/>
      <c r="K359" s="575"/>
      <c r="L359" s="575"/>
      <c r="M359" s="575"/>
      <c r="N359" s="575"/>
      <c r="O359" s="575"/>
      <c r="P359" s="575"/>
      <c r="Q359" s="578"/>
      <c r="R359" s="579"/>
      <c r="S359" s="575"/>
      <c r="T359" s="580"/>
      <c r="U359" s="573"/>
      <c r="V359" s="573"/>
    </row>
    <row r="360" spans="3:22" x14ac:dyDescent="0.25">
      <c r="E360" s="575"/>
      <c r="F360" s="576"/>
      <c r="G360" s="577"/>
      <c r="H360" s="577"/>
      <c r="I360" s="575"/>
      <c r="J360" s="575"/>
      <c r="K360" s="575"/>
      <c r="L360" s="575"/>
      <c r="M360" s="575"/>
      <c r="N360" s="575"/>
      <c r="O360" s="575"/>
      <c r="P360" s="575"/>
      <c r="Q360" s="578"/>
      <c r="R360" s="579"/>
      <c r="S360" s="575"/>
      <c r="T360" s="580"/>
      <c r="U360" s="573"/>
      <c r="V360" s="573"/>
    </row>
    <row r="361" spans="3:22" x14ac:dyDescent="0.25">
      <c r="E361" s="575"/>
      <c r="G361" s="577"/>
      <c r="H361" s="577"/>
      <c r="I361" s="575"/>
      <c r="J361" s="575"/>
      <c r="K361" s="575"/>
      <c r="L361" s="575"/>
      <c r="M361" s="575"/>
      <c r="N361" s="575"/>
      <c r="O361" s="575"/>
      <c r="P361" s="575"/>
      <c r="Q361" s="578"/>
      <c r="R361" s="579"/>
      <c r="S361" s="575"/>
      <c r="T361" s="580"/>
      <c r="U361" s="573"/>
      <c r="V361" s="573"/>
    </row>
    <row r="362" spans="3:22" x14ac:dyDescent="0.25">
      <c r="E362" s="575"/>
      <c r="G362" s="577"/>
      <c r="H362" s="577"/>
      <c r="I362" s="575"/>
      <c r="J362" s="575"/>
      <c r="K362" s="575"/>
      <c r="L362" s="575"/>
      <c r="M362" s="575"/>
      <c r="N362" s="575"/>
      <c r="O362" s="575"/>
      <c r="P362" s="575"/>
      <c r="Q362" s="578"/>
      <c r="R362" s="579"/>
      <c r="S362" s="575"/>
      <c r="T362" s="580"/>
      <c r="U362" s="573"/>
      <c r="V362" s="573"/>
    </row>
    <row r="363" spans="3:22" x14ac:dyDescent="0.25">
      <c r="E363" s="575"/>
      <c r="G363" s="577"/>
      <c r="H363" s="577"/>
      <c r="I363" s="575"/>
      <c r="J363" s="575"/>
      <c r="K363" s="575"/>
      <c r="L363" s="575"/>
      <c r="M363" s="575"/>
      <c r="N363" s="575"/>
      <c r="O363" s="575"/>
      <c r="P363" s="575"/>
      <c r="Q363" s="578"/>
      <c r="R363" s="579"/>
      <c r="S363" s="575"/>
      <c r="T363" s="580"/>
      <c r="U363" s="573"/>
      <c r="V363" s="573"/>
    </row>
    <row r="364" spans="3:22" x14ac:dyDescent="0.25">
      <c r="E364" s="575"/>
      <c r="G364" s="577"/>
      <c r="H364" s="577"/>
      <c r="I364" s="575"/>
      <c r="J364" s="575"/>
      <c r="K364" s="575"/>
      <c r="L364" s="575"/>
      <c r="M364" s="575"/>
      <c r="N364" s="575"/>
      <c r="O364" s="575"/>
      <c r="P364" s="575"/>
      <c r="Q364" s="578"/>
      <c r="R364" s="579"/>
      <c r="S364" s="575"/>
      <c r="T364" s="580"/>
      <c r="U364" s="573"/>
      <c r="V364" s="573"/>
    </row>
    <row r="365" spans="3:22" x14ac:dyDescent="0.25">
      <c r="C365" s="577"/>
      <c r="E365" s="575"/>
      <c r="F365" s="576"/>
      <c r="G365" s="577"/>
      <c r="H365" s="577"/>
      <c r="I365" s="575"/>
      <c r="J365" s="575"/>
      <c r="K365" s="575"/>
      <c r="L365" s="575"/>
      <c r="M365" s="575"/>
      <c r="N365" s="575"/>
      <c r="O365" s="575"/>
      <c r="P365" s="575"/>
      <c r="Q365" s="578"/>
      <c r="R365" s="579"/>
      <c r="S365" s="575"/>
      <c r="T365" s="580"/>
      <c r="U365" s="573"/>
      <c r="V365" s="573"/>
    </row>
    <row r="366" spans="3:22" x14ac:dyDescent="0.25">
      <c r="E366" s="575"/>
      <c r="G366" s="577"/>
      <c r="H366" s="577"/>
      <c r="I366" s="575"/>
      <c r="J366" s="575"/>
      <c r="K366" s="575"/>
      <c r="L366" s="575"/>
      <c r="M366" s="575"/>
      <c r="N366" s="575"/>
      <c r="O366" s="575"/>
      <c r="P366" s="575"/>
      <c r="Q366" s="578"/>
      <c r="R366" s="579"/>
      <c r="S366" s="575"/>
      <c r="T366" s="580"/>
      <c r="U366" s="573"/>
      <c r="V366" s="573"/>
    </row>
    <row r="367" spans="3:22" x14ac:dyDescent="0.25">
      <c r="E367" s="575"/>
      <c r="G367" s="577"/>
      <c r="H367" s="577"/>
      <c r="I367" s="575"/>
      <c r="J367" s="575"/>
      <c r="K367" s="575"/>
      <c r="L367" s="575"/>
      <c r="M367" s="575"/>
      <c r="N367" s="575"/>
      <c r="O367" s="575"/>
      <c r="P367" s="575"/>
      <c r="Q367" s="578"/>
      <c r="R367" s="579"/>
      <c r="S367" s="575"/>
      <c r="T367" s="580"/>
      <c r="U367" s="573"/>
      <c r="V367" s="573"/>
    </row>
    <row r="368" spans="3:22" x14ac:dyDescent="0.25">
      <c r="E368" s="575"/>
      <c r="G368" s="577"/>
      <c r="H368" s="577"/>
      <c r="I368" s="575"/>
      <c r="J368" s="575"/>
      <c r="K368" s="575"/>
      <c r="L368" s="575"/>
      <c r="M368" s="575"/>
      <c r="N368" s="575"/>
      <c r="O368" s="575"/>
      <c r="P368" s="575"/>
      <c r="Q368" s="578"/>
      <c r="R368" s="579"/>
      <c r="S368" s="575"/>
      <c r="T368" s="580"/>
      <c r="U368" s="573"/>
      <c r="V368" s="573"/>
    </row>
    <row r="369" spans="3:22" x14ac:dyDescent="0.25">
      <c r="E369" s="575"/>
      <c r="G369" s="577"/>
      <c r="H369" s="577"/>
      <c r="I369" s="575"/>
      <c r="J369" s="575"/>
      <c r="K369" s="575"/>
      <c r="L369" s="575"/>
      <c r="M369" s="575"/>
      <c r="N369" s="575"/>
      <c r="O369" s="575"/>
      <c r="P369" s="575"/>
      <c r="Q369" s="578"/>
      <c r="R369" s="579"/>
      <c r="S369" s="575"/>
      <c r="T369" s="580"/>
      <c r="U369" s="573"/>
      <c r="V369" s="573"/>
    </row>
    <row r="370" spans="3:22" x14ac:dyDescent="0.25">
      <c r="C370" s="577"/>
      <c r="E370" s="575"/>
      <c r="F370" s="576"/>
      <c r="G370" s="577"/>
      <c r="H370" s="577"/>
      <c r="I370" s="575"/>
      <c r="J370" s="575"/>
      <c r="K370" s="575"/>
      <c r="L370" s="575"/>
      <c r="M370" s="575"/>
      <c r="N370" s="575"/>
      <c r="O370" s="575"/>
      <c r="P370" s="575"/>
      <c r="Q370" s="578"/>
      <c r="R370" s="579"/>
      <c r="S370" s="575"/>
      <c r="T370" s="580"/>
      <c r="U370" s="573"/>
      <c r="V370" s="573"/>
    </row>
    <row r="371" spans="3:22" x14ac:dyDescent="0.25">
      <c r="E371" s="575"/>
      <c r="G371" s="577"/>
      <c r="H371" s="577"/>
      <c r="I371" s="575"/>
      <c r="J371" s="575"/>
      <c r="K371" s="575"/>
      <c r="L371" s="575"/>
      <c r="M371" s="575"/>
      <c r="N371" s="575"/>
      <c r="O371" s="575"/>
      <c r="P371" s="575"/>
      <c r="Q371" s="578"/>
      <c r="R371" s="579"/>
      <c r="S371" s="575"/>
      <c r="T371" s="580"/>
      <c r="U371" s="573"/>
      <c r="V371" s="573"/>
    </row>
    <row r="372" spans="3:22" x14ac:dyDescent="0.25">
      <c r="E372" s="575"/>
      <c r="G372" s="577"/>
      <c r="H372" s="577"/>
      <c r="I372" s="575"/>
      <c r="J372" s="575"/>
      <c r="K372" s="575"/>
      <c r="L372" s="575"/>
      <c r="M372" s="575"/>
      <c r="N372" s="575"/>
      <c r="O372" s="575"/>
      <c r="P372" s="575"/>
      <c r="Q372" s="578"/>
      <c r="R372" s="579"/>
      <c r="S372" s="575"/>
      <c r="T372" s="580"/>
      <c r="U372" s="573"/>
      <c r="V372" s="573"/>
    </row>
    <row r="373" spans="3:22" x14ac:dyDescent="0.25">
      <c r="E373" s="575"/>
      <c r="G373" s="577"/>
      <c r="H373" s="577"/>
      <c r="I373" s="575"/>
      <c r="J373" s="575"/>
      <c r="K373" s="575"/>
      <c r="L373" s="575"/>
      <c r="M373" s="575"/>
      <c r="N373" s="575"/>
      <c r="O373" s="575"/>
      <c r="P373" s="575"/>
      <c r="Q373" s="582"/>
      <c r="R373" s="579"/>
      <c r="S373" s="575"/>
      <c r="T373" s="580"/>
      <c r="U373" s="573"/>
      <c r="V373" s="573"/>
    </row>
  </sheetData>
  <hyperlinks>
    <hyperlink ref="AA3" r:id="rId1" xr:uid="{0B9FF48E-9058-46E2-9228-1E39EB8D4D06}"/>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7BD20-C150-4004-97D7-80C77BB21C5F}">
  <sheetPr>
    <tabColor rgb="FFFF0000"/>
  </sheetPr>
  <dimension ref="A1:I672"/>
  <sheetViews>
    <sheetView tabSelected="1" workbookViewId="0">
      <selection activeCell="L30" sqref="L30"/>
    </sheetView>
  </sheetViews>
  <sheetFormatPr defaultRowHeight="14.4" x14ac:dyDescent="0.3"/>
  <cols>
    <col min="1" max="1" width="11.77734375" customWidth="1"/>
    <col min="2" max="2" width="20.5546875" customWidth="1"/>
    <col min="3" max="3" width="48.109375" customWidth="1"/>
    <col min="6" max="6" width="13.33203125" customWidth="1"/>
    <col min="7" max="7" width="12.21875" bestFit="1" customWidth="1"/>
  </cols>
  <sheetData>
    <row r="1" spans="1:9" x14ac:dyDescent="0.3">
      <c r="A1" s="22"/>
      <c r="B1" s="22"/>
      <c r="C1" s="22"/>
      <c r="D1" s="22"/>
      <c r="E1" s="22"/>
      <c r="F1" s="22"/>
      <c r="G1" s="22"/>
      <c r="H1" s="22"/>
    </row>
    <row r="2" spans="1:9" x14ac:dyDescent="0.3">
      <c r="A2" s="22"/>
      <c r="B2" s="22"/>
      <c r="C2" s="22"/>
      <c r="D2" s="22"/>
      <c r="E2" s="22"/>
      <c r="F2" s="22"/>
      <c r="G2" s="22"/>
      <c r="H2" s="22"/>
    </row>
    <row r="3" spans="1:9" x14ac:dyDescent="0.3">
      <c r="A3" s="298" t="s">
        <v>1185</v>
      </c>
      <c r="B3" s="299"/>
      <c r="C3" s="299"/>
      <c r="D3" s="22"/>
      <c r="E3" s="300"/>
      <c r="F3" s="299"/>
      <c r="G3" s="299"/>
      <c r="H3" s="299"/>
    </row>
    <row r="4" spans="1:9" x14ac:dyDescent="0.3">
      <c r="A4" s="301" t="s">
        <v>1186</v>
      </c>
      <c r="B4" s="301" t="s">
        <v>1110</v>
      </c>
      <c r="C4" s="301" t="s">
        <v>1111</v>
      </c>
      <c r="D4" s="301" t="s">
        <v>1187</v>
      </c>
      <c r="E4" s="301" t="s">
        <v>1188</v>
      </c>
      <c r="F4" s="301" t="s">
        <v>1189</v>
      </c>
      <c r="G4" s="301" t="s">
        <v>1190</v>
      </c>
      <c r="H4" s="302"/>
    </row>
    <row r="5" spans="1:9" x14ac:dyDescent="0.3">
      <c r="A5" s="303" t="s">
        <v>1191</v>
      </c>
      <c r="B5" s="307" t="str">
        <f>RSD_HeatingDemand!H7</f>
        <v>RHHSC_B_OIL_01</v>
      </c>
      <c r="C5" s="307" t="str">
        <f>RSD_HeatingDemand!I7</f>
        <v>Oil-fired boiler</v>
      </c>
      <c r="D5" s="307" t="str">
        <f>RSD_HeatingDemand!J7</f>
        <v>MW</v>
      </c>
      <c r="E5" s="307" t="str">
        <f>RSD_HeatingDemand!K7</f>
        <v>TJ</v>
      </c>
      <c r="F5" s="304" t="s">
        <v>1251</v>
      </c>
      <c r="G5" s="305"/>
      <c r="H5" s="258"/>
      <c r="I5" s="258"/>
    </row>
    <row r="6" spans="1:9" x14ac:dyDescent="0.3">
      <c r="A6" s="303" t="s">
        <v>1191</v>
      </c>
      <c r="B6" s="307" t="str">
        <f>RSD_HeatingDemand!H9</f>
        <v>RHHSC_B_OIL_02</v>
      </c>
      <c r="C6" s="307" t="str">
        <f>RSD_HeatingDemand!I9</f>
        <v>Oil-fired boiler</v>
      </c>
      <c r="D6" s="307" t="str">
        <f>RSD_HeatingDemand!J9</f>
        <v>MW</v>
      </c>
      <c r="E6" s="307" t="str">
        <f>RSD_HeatingDemand!K9</f>
        <v>TJ</v>
      </c>
      <c r="F6" s="304" t="s">
        <v>1251</v>
      </c>
      <c r="G6" s="305"/>
      <c r="H6" s="258"/>
      <c r="I6" s="258"/>
    </row>
    <row r="7" spans="1:9" x14ac:dyDescent="0.3">
      <c r="A7" s="303" t="s">
        <v>1191</v>
      </c>
      <c r="B7" s="307" t="str">
        <f>RSD_HeatingDemand!H11</f>
        <v>RHHSC_B_OIL_03</v>
      </c>
      <c r="C7" s="307" t="str">
        <f>RSD_HeatingDemand!I11</f>
        <v>Oil-fired boiler</v>
      </c>
      <c r="D7" s="307" t="str">
        <f>RSD_HeatingDemand!J11</f>
        <v>MW</v>
      </c>
      <c r="E7" s="307" t="str">
        <f>RSD_HeatingDemand!K11</f>
        <v>TJ</v>
      </c>
      <c r="F7" s="304" t="s">
        <v>1251</v>
      </c>
      <c r="G7" s="305"/>
      <c r="H7" s="258"/>
      <c r="I7" s="258"/>
    </row>
    <row r="8" spans="1:9" x14ac:dyDescent="0.3">
      <c r="A8" s="303" t="s">
        <v>1191</v>
      </c>
      <c r="B8" s="307" t="str">
        <f>RSD_HeatingDemand!H13</f>
        <v>RHHSC_B_OIL_04</v>
      </c>
      <c r="C8" s="307" t="str">
        <f>RSD_HeatingDemand!I13</f>
        <v>Oil-fired boiler</v>
      </c>
      <c r="D8" s="307" t="str">
        <f>RSD_HeatingDemand!J13</f>
        <v>MW</v>
      </c>
      <c r="E8" s="307" t="str">
        <f>RSD_HeatingDemand!K13</f>
        <v>TJ</v>
      </c>
      <c r="F8" s="304" t="s">
        <v>1251</v>
      </c>
      <c r="G8" s="305"/>
      <c r="H8" s="258"/>
      <c r="I8" s="258"/>
    </row>
    <row r="9" spans="1:9" x14ac:dyDescent="0.3">
      <c r="A9" s="303" t="s">
        <v>1191</v>
      </c>
      <c r="B9" s="307" t="str">
        <f>RSD_HeatingDemand!H15</f>
        <v>RHHSC_B_WOO_01</v>
      </c>
      <c r="C9" s="307" t="str">
        <f>RSD_HeatingDemand!I15</f>
        <v>Oil-fired boiler</v>
      </c>
      <c r="D9" s="307" t="str">
        <f>RSD_HeatingDemand!J15</f>
        <v>MW</v>
      </c>
      <c r="E9" s="307" t="str">
        <f>RSD_HeatingDemand!K15</f>
        <v>TJ</v>
      </c>
      <c r="F9" s="304" t="s">
        <v>1251</v>
      </c>
      <c r="G9" s="305"/>
      <c r="H9" s="258"/>
      <c r="I9" s="258"/>
    </row>
    <row r="10" spans="1:9" x14ac:dyDescent="0.3">
      <c r="A10" s="303" t="s">
        <v>1191</v>
      </c>
      <c r="B10" s="307" t="str">
        <f>RSD_HeatingDemand!H17</f>
        <v>RHHSC_B_WOO_02</v>
      </c>
      <c r="C10" s="307" t="str">
        <f>RSD_HeatingDemand!I17</f>
        <v>Oil-fired boiler</v>
      </c>
      <c r="D10" s="307" t="str">
        <f>RSD_HeatingDemand!J17</f>
        <v>MW</v>
      </c>
      <c r="E10" s="307" t="str">
        <f>RSD_HeatingDemand!K17</f>
        <v>TJ</v>
      </c>
      <c r="F10" s="304" t="s">
        <v>1251</v>
      </c>
      <c r="G10" s="305"/>
      <c r="H10" s="258"/>
      <c r="I10" s="258"/>
    </row>
    <row r="11" spans="1:9" x14ac:dyDescent="0.3">
      <c r="A11" s="303" t="s">
        <v>1191</v>
      </c>
      <c r="B11" s="307" t="str">
        <f>RSD_HeatingDemand!H19</f>
        <v>RHHSC_B_WOO_03</v>
      </c>
      <c r="C11" s="307" t="str">
        <f>RSD_HeatingDemand!I19</f>
        <v>Oil-fired boiler</v>
      </c>
      <c r="D11" s="307" t="str">
        <f>RSD_HeatingDemand!J19</f>
        <v>MW</v>
      </c>
      <c r="E11" s="307" t="str">
        <f>RSD_HeatingDemand!K19</f>
        <v>TJ</v>
      </c>
      <c r="F11" s="304" t="s">
        <v>1251</v>
      </c>
      <c r="G11" s="305"/>
      <c r="H11" s="258"/>
      <c r="I11" s="258"/>
    </row>
    <row r="12" spans="1:9" x14ac:dyDescent="0.3">
      <c r="A12" s="303" t="s">
        <v>1191</v>
      </c>
      <c r="B12" s="307" t="str">
        <f>RSD_HeatingDemand!H21</f>
        <v>RHHSC_B_WOO_04</v>
      </c>
      <c r="C12" s="307" t="str">
        <f>RSD_HeatingDemand!I21</f>
        <v>Oil-fired boiler</v>
      </c>
      <c r="D12" s="307" t="str">
        <f>RSD_HeatingDemand!J21</f>
        <v>MW</v>
      </c>
      <c r="E12" s="307" t="str">
        <f>RSD_HeatingDemand!K21</f>
        <v>TJ</v>
      </c>
      <c r="F12" s="304" t="s">
        <v>1251</v>
      </c>
      <c r="G12" s="305"/>
      <c r="H12" s="258"/>
      <c r="I12" s="258"/>
    </row>
    <row r="13" spans="1:9" x14ac:dyDescent="0.3">
      <c r="A13" s="303" t="s">
        <v>1191</v>
      </c>
      <c r="B13" s="307" t="str">
        <f>RSD_HeatingDemand!H23</f>
        <v>RHAPC_B_OIL_01</v>
      </c>
      <c r="C13" s="307" t="str">
        <f>RSD_HeatingDemand!I23</f>
        <v>Oil-fired boiler</v>
      </c>
      <c r="D13" s="307" t="str">
        <f>RSD_HeatingDemand!J23</f>
        <v>MW</v>
      </c>
      <c r="E13" s="307" t="str">
        <f>RSD_HeatingDemand!K23</f>
        <v>TJ</v>
      </c>
      <c r="F13" s="304" t="s">
        <v>1251</v>
      </c>
      <c r="G13" s="305"/>
      <c r="H13" s="258"/>
      <c r="I13" s="258"/>
    </row>
    <row r="14" spans="1:9" x14ac:dyDescent="0.3">
      <c r="A14" s="303" t="s">
        <v>1191</v>
      </c>
      <c r="B14" s="307" t="str">
        <f>RSD_HeatingDemand!H25</f>
        <v>RHAPC_B_OIL_02</v>
      </c>
      <c r="C14" s="307" t="str">
        <f>RSD_HeatingDemand!I25</f>
        <v>Oil-fired boiler</v>
      </c>
      <c r="D14" s="307" t="str">
        <f>RSD_HeatingDemand!J25</f>
        <v>MW</v>
      </c>
      <c r="E14" s="307" t="str">
        <f>RSD_HeatingDemand!K25</f>
        <v>TJ</v>
      </c>
      <c r="F14" s="304" t="s">
        <v>1251</v>
      </c>
      <c r="G14" s="305"/>
      <c r="H14" s="258"/>
      <c r="I14" s="258"/>
    </row>
    <row r="15" spans="1:9" x14ac:dyDescent="0.3">
      <c r="A15" s="303" t="s">
        <v>1191</v>
      </c>
      <c r="B15" s="307" t="str">
        <f>RSD_HeatingDemand!H27</f>
        <v>RHAPC_B_OIL_03</v>
      </c>
      <c r="C15" s="307" t="str">
        <f>RSD_HeatingDemand!I27</f>
        <v>Oil-fired boiler</v>
      </c>
      <c r="D15" s="307" t="str">
        <f>RSD_HeatingDemand!J27</f>
        <v>MW</v>
      </c>
      <c r="E15" s="307" t="str">
        <f>RSD_HeatingDemand!K27</f>
        <v>TJ</v>
      </c>
      <c r="F15" s="304" t="s">
        <v>1251</v>
      </c>
      <c r="G15" s="305"/>
      <c r="H15" s="258"/>
      <c r="I15" s="258"/>
    </row>
    <row r="16" spans="1:9" x14ac:dyDescent="0.3">
      <c r="A16" s="303" t="s">
        <v>1191</v>
      </c>
      <c r="B16" s="307" t="str">
        <f>RSD_HeatingDemand!H29</f>
        <v>RHAPC_B_OIL_04</v>
      </c>
      <c r="C16" s="307" t="str">
        <f>RSD_HeatingDemand!I29</f>
        <v>Oil-fired boiler</v>
      </c>
      <c r="D16" s="307" t="str">
        <f>RSD_HeatingDemand!J29</f>
        <v>MW</v>
      </c>
      <c r="E16" s="307" t="str">
        <f>RSD_HeatingDemand!K29</f>
        <v>TJ</v>
      </c>
      <c r="F16" s="304" t="s">
        <v>1251</v>
      </c>
      <c r="G16" s="305"/>
      <c r="H16" s="258"/>
      <c r="I16" s="258"/>
    </row>
    <row r="17" spans="1:8" x14ac:dyDescent="0.3">
      <c r="A17" s="303" t="s">
        <v>1191</v>
      </c>
      <c r="B17" s="307" t="str">
        <f>RSD_HeatingDemand!H31</f>
        <v>RHAPC_B_WOO_01</v>
      </c>
      <c r="C17" s="307" t="str">
        <f>RSD_HeatingDemand!I31</f>
        <v>Oil-fired boiler</v>
      </c>
      <c r="D17" s="307" t="str">
        <f>RSD_HeatingDemand!J31</f>
        <v>MW</v>
      </c>
      <c r="E17" s="307" t="str">
        <f>RSD_HeatingDemand!K31</f>
        <v>TJ</v>
      </c>
      <c r="F17" s="304" t="s">
        <v>1251</v>
      </c>
      <c r="G17" s="305"/>
      <c r="H17" s="306"/>
    </row>
    <row r="18" spans="1:8" x14ac:dyDescent="0.3">
      <c r="A18" s="303" t="s">
        <v>1191</v>
      </c>
      <c r="B18" s="307" t="str">
        <f>RSD_HeatingDemand!H33</f>
        <v>RHAPC_B_WOO_02</v>
      </c>
      <c r="C18" s="307" t="str">
        <f>RSD_HeatingDemand!I33</f>
        <v>Oil-fired boiler</v>
      </c>
      <c r="D18" s="307" t="str">
        <f>RSD_HeatingDemand!J33</f>
        <v>MW</v>
      </c>
      <c r="E18" s="307" t="str">
        <f>RSD_HeatingDemand!K33</f>
        <v>TJ</v>
      </c>
      <c r="F18" s="304" t="s">
        <v>1251</v>
      </c>
      <c r="G18" s="305"/>
    </row>
    <row r="19" spans="1:8" x14ac:dyDescent="0.3">
      <c r="A19" s="303" t="s">
        <v>1191</v>
      </c>
      <c r="B19" s="307" t="str">
        <f>RSD_HeatingDemand!H35</f>
        <v>RHAPC_B_WOO_03</v>
      </c>
      <c r="C19" s="307" t="str">
        <f>RSD_HeatingDemand!I35</f>
        <v>Oil-fired boiler</v>
      </c>
      <c r="D19" s="307" t="str">
        <f>RSD_HeatingDemand!J35</f>
        <v>MW</v>
      </c>
      <c r="E19" s="307" t="str">
        <f>RSD_HeatingDemand!K35</f>
        <v>TJ</v>
      </c>
      <c r="F19" s="304" t="s">
        <v>1251</v>
      </c>
      <c r="G19" s="305"/>
    </row>
    <row r="20" spans="1:8" x14ac:dyDescent="0.3">
      <c r="A20" s="303" t="s">
        <v>1191</v>
      </c>
      <c r="B20" s="307" t="str">
        <f>RSD_HeatingDemand!H37</f>
        <v>RHAPC_B_WOO_04</v>
      </c>
      <c r="C20" s="307" t="str">
        <f>RSD_HeatingDemand!I37</f>
        <v>Oil-fired boiler</v>
      </c>
      <c r="D20" s="307" t="str">
        <f>RSD_HeatingDemand!J37</f>
        <v>MW</v>
      </c>
      <c r="E20" s="307" t="str">
        <f>RSD_HeatingDemand!K37</f>
        <v>TJ</v>
      </c>
      <c r="F20" s="304" t="s">
        <v>1251</v>
      </c>
      <c r="G20" s="305"/>
    </row>
    <row r="21" spans="1:8" x14ac:dyDescent="0.3">
      <c r="A21" s="303" t="s">
        <v>1191</v>
      </c>
      <c r="B21" s="307" t="str">
        <f>RSD_HeatingDemand!H39</f>
        <v>RHHSC_B_GAS_01</v>
      </c>
      <c r="C21" s="307" t="str">
        <f>RSD_HeatingDemand!I39</f>
        <v>Natural gas boiler</v>
      </c>
      <c r="D21" s="307" t="str">
        <f>RSD_HeatingDemand!J39</f>
        <v>MW</v>
      </c>
      <c r="E21" s="307" t="str">
        <f>RSD_HeatingDemand!K39</f>
        <v>TJ</v>
      </c>
      <c r="F21" s="304" t="s">
        <v>1251</v>
      </c>
      <c r="G21" s="305"/>
    </row>
    <row r="22" spans="1:8" x14ac:dyDescent="0.3">
      <c r="A22" s="303" t="s">
        <v>1191</v>
      </c>
      <c r="B22" s="307" t="str">
        <f>RSD_HeatingDemand!H41</f>
        <v>RHHSC_B_GAS_02</v>
      </c>
      <c r="C22" s="307" t="str">
        <f>RSD_HeatingDemand!I41</f>
        <v>Natural gas boiler</v>
      </c>
      <c r="D22" s="307" t="str">
        <f>RSD_HeatingDemand!J41</f>
        <v>MW</v>
      </c>
      <c r="E22" s="307" t="str">
        <f>RSD_HeatingDemand!K41</f>
        <v>TJ</v>
      </c>
      <c r="F22" s="304" t="s">
        <v>1251</v>
      </c>
      <c r="G22" s="305"/>
    </row>
    <row r="23" spans="1:8" x14ac:dyDescent="0.3">
      <c r="A23" s="303" t="s">
        <v>1191</v>
      </c>
      <c r="B23" s="307" t="str">
        <f>RSD_HeatingDemand!H43</f>
        <v>RHHSC_B_GAS_03</v>
      </c>
      <c r="C23" s="307" t="str">
        <f>RSD_HeatingDemand!I43</f>
        <v>Natural gas boiler</v>
      </c>
      <c r="D23" s="307" t="str">
        <f>RSD_HeatingDemand!J43</f>
        <v>MW</v>
      </c>
      <c r="E23" s="307" t="str">
        <f>RSD_HeatingDemand!K43</f>
        <v>TJ</v>
      </c>
      <c r="F23" s="304" t="s">
        <v>1251</v>
      </c>
      <c r="G23" s="305"/>
    </row>
    <row r="24" spans="1:8" x14ac:dyDescent="0.3">
      <c r="A24" s="303" t="s">
        <v>1191</v>
      </c>
      <c r="B24" s="307" t="str">
        <f>RSD_HeatingDemand!H45</f>
        <v>RHHSC_B_GAS_04</v>
      </c>
      <c r="C24" s="307" t="str">
        <f>RSD_HeatingDemand!I45</f>
        <v>Natural gas boiler</v>
      </c>
      <c r="D24" s="307" t="str">
        <f>RSD_HeatingDemand!J45</f>
        <v>MW</v>
      </c>
      <c r="E24" s="307" t="str">
        <f>RSD_HeatingDemand!K45</f>
        <v>TJ</v>
      </c>
      <c r="F24" s="304" t="s">
        <v>1251</v>
      </c>
      <c r="G24" s="305"/>
    </row>
    <row r="25" spans="1:8" x14ac:dyDescent="0.3">
      <c r="A25" s="303" t="s">
        <v>1191</v>
      </c>
      <c r="B25" s="307" t="str">
        <f>RSD_HeatingDemand!H47</f>
        <v>RHHSC_B_GAS_05</v>
      </c>
      <c r="C25" s="307" t="str">
        <f>RSD_HeatingDemand!I47</f>
        <v>Natural gas boiler</v>
      </c>
      <c r="D25" s="307" t="str">
        <f>RSD_HeatingDemand!J47</f>
        <v>MW</v>
      </c>
      <c r="E25" s="307" t="str">
        <f>RSD_HeatingDemand!K47</f>
        <v>TJ</v>
      </c>
      <c r="F25" s="304" t="s">
        <v>1251</v>
      </c>
      <c r="G25" s="305"/>
    </row>
    <row r="26" spans="1:8" x14ac:dyDescent="0.3">
      <c r="A26" s="303" t="s">
        <v>1191</v>
      </c>
      <c r="B26" s="307" t="str">
        <f>RSD_HeatingDemand!H49</f>
        <v>RHHSC_B_GAS_06</v>
      </c>
      <c r="C26" s="307" t="str">
        <f>RSD_HeatingDemand!I49</f>
        <v>Natural gas boiler</v>
      </c>
      <c r="D26" s="307" t="str">
        <f>RSD_HeatingDemand!J49</f>
        <v>MW</v>
      </c>
      <c r="E26" s="307" t="str">
        <f>RSD_HeatingDemand!K49</f>
        <v>TJ</v>
      </c>
      <c r="F26" s="304" t="s">
        <v>1251</v>
      </c>
      <c r="G26" s="305"/>
    </row>
    <row r="27" spans="1:8" x14ac:dyDescent="0.3">
      <c r="A27" s="303" t="s">
        <v>1191</v>
      </c>
      <c r="B27" s="307" t="str">
        <f>RSD_HeatingDemand!H51</f>
        <v>RHHSC_B_GAS_07</v>
      </c>
      <c r="C27" s="307" t="str">
        <f>RSD_HeatingDemand!I51</f>
        <v>Natural gas boiler</v>
      </c>
      <c r="D27" s="307" t="str">
        <f>RSD_HeatingDemand!J51</f>
        <v>MW</v>
      </c>
      <c r="E27" s="307" t="str">
        <f>RSD_HeatingDemand!K51</f>
        <v>TJ</v>
      </c>
      <c r="F27" s="304" t="s">
        <v>1251</v>
      </c>
      <c r="G27" s="305"/>
    </row>
    <row r="28" spans="1:8" x14ac:dyDescent="0.3">
      <c r="A28" s="303" t="s">
        <v>1191</v>
      </c>
      <c r="B28" s="307" t="str">
        <f>RSD_HeatingDemand!H53</f>
        <v>RHHSC_B_GAS_08</v>
      </c>
      <c r="C28" s="307" t="str">
        <f>RSD_HeatingDemand!I53</f>
        <v>Natural gas boiler</v>
      </c>
      <c r="D28" s="307" t="str">
        <f>RSD_HeatingDemand!J53</f>
        <v>MW</v>
      </c>
      <c r="E28" s="307" t="str">
        <f>RSD_HeatingDemand!K53</f>
        <v>TJ</v>
      </c>
      <c r="F28" s="304" t="s">
        <v>1251</v>
      </c>
      <c r="G28" s="305"/>
    </row>
    <row r="29" spans="1:8" x14ac:dyDescent="0.3">
      <c r="A29" s="303" t="s">
        <v>1191</v>
      </c>
      <c r="B29" s="307" t="str">
        <f>RSD_HeatingDemand!H55</f>
        <v>RHAPC_B_GAS_01</v>
      </c>
      <c r="C29" s="307" t="str">
        <f>RSD_HeatingDemand!I55</f>
        <v>Natural gas boiler</v>
      </c>
      <c r="D29" s="307" t="str">
        <f>RSD_HeatingDemand!J55</f>
        <v>MW</v>
      </c>
      <c r="E29" s="307" t="str">
        <f>RSD_HeatingDemand!K55</f>
        <v>TJ</v>
      </c>
      <c r="F29" s="304" t="s">
        <v>1251</v>
      </c>
      <c r="G29" s="305"/>
    </row>
    <row r="30" spans="1:8" x14ac:dyDescent="0.3">
      <c r="A30" s="303" t="s">
        <v>1191</v>
      </c>
      <c r="B30" s="307" t="str">
        <f>RSD_HeatingDemand!H57</f>
        <v>RHAPC_B_GAS_02</v>
      </c>
      <c r="C30" s="307" t="str">
        <f>RSD_HeatingDemand!I57</f>
        <v>Natural gas boiler</v>
      </c>
      <c r="D30" s="307" t="str">
        <f>RSD_HeatingDemand!J57</f>
        <v>MW</v>
      </c>
      <c r="E30" s="307" t="str">
        <f>RSD_HeatingDemand!K57</f>
        <v>TJ</v>
      </c>
      <c r="F30" s="304" t="s">
        <v>1251</v>
      </c>
      <c r="G30" s="305"/>
    </row>
    <row r="31" spans="1:8" x14ac:dyDescent="0.3">
      <c r="A31" s="303" t="s">
        <v>1191</v>
      </c>
      <c r="B31" s="307" t="str">
        <f>RSD_HeatingDemand!H59</f>
        <v>RHAPC_B_GAS_03</v>
      </c>
      <c r="C31" s="307" t="str">
        <f>RSD_HeatingDemand!I59</f>
        <v>Natural gas boiler</v>
      </c>
      <c r="D31" s="307" t="str">
        <f>RSD_HeatingDemand!J59</f>
        <v>MW</v>
      </c>
      <c r="E31" s="307" t="str">
        <f>RSD_HeatingDemand!K59</f>
        <v>TJ</v>
      </c>
      <c r="F31" s="304" t="s">
        <v>1251</v>
      </c>
      <c r="G31" s="305"/>
    </row>
    <row r="32" spans="1:8" x14ac:dyDescent="0.3">
      <c r="A32" s="303" t="s">
        <v>1191</v>
      </c>
      <c r="B32" s="307" t="str">
        <f>RSD_HeatingDemand!H61</f>
        <v>RHAPC_B_GAS_04</v>
      </c>
      <c r="C32" s="307" t="str">
        <f>RSD_HeatingDemand!I61</f>
        <v>Natural gas boiler</v>
      </c>
      <c r="D32" s="307" t="str">
        <f>RSD_HeatingDemand!J61</f>
        <v>MW</v>
      </c>
      <c r="E32" s="307" t="str">
        <f>RSD_HeatingDemand!K61</f>
        <v>TJ</v>
      </c>
      <c r="F32" s="304" t="s">
        <v>1251</v>
      </c>
      <c r="G32" s="305"/>
    </row>
    <row r="33" spans="1:7" x14ac:dyDescent="0.3">
      <c r="A33" s="303" t="s">
        <v>1191</v>
      </c>
      <c r="B33" s="307" t="str">
        <f>RSD_HeatingDemand!H63</f>
        <v>RHAPC_B_GAS_05</v>
      </c>
      <c r="C33" s="307" t="str">
        <f>RSD_HeatingDemand!I63</f>
        <v>Natural gas boiler</v>
      </c>
      <c r="D33" s="307" t="str">
        <f>RSD_HeatingDemand!J63</f>
        <v>MW</v>
      </c>
      <c r="E33" s="307" t="str">
        <f>RSD_HeatingDemand!K63</f>
        <v>TJ</v>
      </c>
      <c r="F33" s="304" t="s">
        <v>1251</v>
      </c>
      <c r="G33" s="305"/>
    </row>
    <row r="34" spans="1:7" x14ac:dyDescent="0.3">
      <c r="A34" s="303" t="s">
        <v>1191</v>
      </c>
      <c r="B34" s="307" t="str">
        <f>RSD_HeatingDemand!H65</f>
        <v>RHAPC_B_GAS_06</v>
      </c>
      <c r="C34" s="307" t="str">
        <f>RSD_HeatingDemand!I65</f>
        <v>Natural gas boiler</v>
      </c>
      <c r="D34" s="307" t="str">
        <f>RSD_HeatingDemand!J65</f>
        <v>MW</v>
      </c>
      <c r="E34" s="307" t="str">
        <f>RSD_HeatingDemand!K65</f>
        <v>TJ</v>
      </c>
      <c r="F34" s="304" t="s">
        <v>1251</v>
      </c>
      <c r="G34" s="305"/>
    </row>
    <row r="35" spans="1:7" x14ac:dyDescent="0.3">
      <c r="A35" s="303" t="s">
        <v>1191</v>
      </c>
      <c r="B35" s="307" t="str">
        <f>RSD_HeatingDemand!H67</f>
        <v>RHAPC_B_GAS_07</v>
      </c>
      <c r="C35" s="307" t="str">
        <f>RSD_HeatingDemand!I67</f>
        <v>Natural gas boiler</v>
      </c>
      <c r="D35" s="307" t="str">
        <f>RSD_HeatingDemand!J67</f>
        <v>MW</v>
      </c>
      <c r="E35" s="307" t="str">
        <f>RSD_HeatingDemand!K67</f>
        <v>TJ</v>
      </c>
      <c r="F35" s="304" t="s">
        <v>1251</v>
      </c>
      <c r="G35" s="305"/>
    </row>
    <row r="36" spans="1:7" x14ac:dyDescent="0.3">
      <c r="A36" s="303" t="s">
        <v>1191</v>
      </c>
      <c r="B36" s="307" t="str">
        <f>RSD_HeatingDemand!H69</f>
        <v>RHAPC_B_GAS_08</v>
      </c>
      <c r="C36" s="307" t="str">
        <f>RSD_HeatingDemand!I69</f>
        <v>Natural gas boiler</v>
      </c>
      <c r="D36" s="307" t="str">
        <f>RSD_HeatingDemand!J69</f>
        <v>MW</v>
      </c>
      <c r="E36" s="307" t="str">
        <f>RSD_HeatingDemand!K69</f>
        <v>TJ</v>
      </c>
      <c r="F36" s="304" t="s">
        <v>1251</v>
      </c>
      <c r="G36" s="305"/>
    </row>
    <row r="37" spans="1:7" x14ac:dyDescent="0.3">
      <c r="A37" s="303" t="s">
        <v>1191</v>
      </c>
      <c r="B37" s="307" t="str">
        <f>RSD_HeatingDemand!H71</f>
        <v>RHHSA_HTH_01</v>
      </c>
      <c r="C37" s="307" t="str">
        <f>RSD_HeatingDemand!I71</f>
        <v>District heating Indirect substation</v>
      </c>
      <c r="D37" s="307" t="str">
        <f>RSD_HeatingDemand!J71</f>
        <v>MW</v>
      </c>
      <c r="E37" s="307" t="str">
        <f>RSD_HeatingDemand!K71</f>
        <v>TJ</v>
      </c>
      <c r="F37" s="304" t="s">
        <v>1251</v>
      </c>
      <c r="G37" s="305"/>
    </row>
    <row r="38" spans="1:7" x14ac:dyDescent="0.3">
      <c r="A38" s="303" t="s">
        <v>1191</v>
      </c>
      <c r="B38" s="307" t="str">
        <f>RSD_HeatingDemand!H73</f>
        <v>RHHSA_HTH_02</v>
      </c>
      <c r="C38" s="307" t="str">
        <f>RSD_HeatingDemand!I73</f>
        <v>District heating Indirect substation</v>
      </c>
      <c r="D38" s="307" t="str">
        <f>RSD_HeatingDemand!J73</f>
        <v>MW</v>
      </c>
      <c r="E38" s="307" t="str">
        <f>RSD_HeatingDemand!K73</f>
        <v>TJ</v>
      </c>
      <c r="F38" s="304" t="s">
        <v>1251</v>
      </c>
      <c r="G38" s="305"/>
    </row>
    <row r="39" spans="1:7" x14ac:dyDescent="0.3">
      <c r="A39" s="303" t="s">
        <v>1191</v>
      </c>
      <c r="B39" s="307" t="str">
        <f>RSD_HeatingDemand!H75</f>
        <v>RHHSA_HTH_03</v>
      </c>
      <c r="C39" s="307" t="str">
        <f>RSD_HeatingDemand!I75</f>
        <v>District heating Indirect substation</v>
      </c>
      <c r="D39" s="307" t="str">
        <f>RSD_HeatingDemand!J75</f>
        <v>MW</v>
      </c>
      <c r="E39" s="307" t="str">
        <f>RSD_HeatingDemand!K75</f>
        <v>TJ</v>
      </c>
      <c r="F39" s="304" t="s">
        <v>1251</v>
      </c>
      <c r="G39" s="305"/>
    </row>
    <row r="40" spans="1:7" x14ac:dyDescent="0.3">
      <c r="A40" s="303" t="s">
        <v>1191</v>
      </c>
      <c r="B40" s="307" t="str">
        <f>RSD_HeatingDemand!H77</f>
        <v>RHHSA_HTH_04</v>
      </c>
      <c r="C40" s="307" t="str">
        <f>RSD_HeatingDemand!I77</f>
        <v>District heating Indirect substation</v>
      </c>
      <c r="D40" s="307" t="str">
        <f>RSD_HeatingDemand!J77</f>
        <v>MW</v>
      </c>
      <c r="E40" s="307" t="str">
        <f>RSD_HeatingDemand!K77</f>
        <v>TJ</v>
      </c>
      <c r="F40" s="304" t="s">
        <v>1251</v>
      </c>
      <c r="G40" s="305"/>
    </row>
    <row r="41" spans="1:7" x14ac:dyDescent="0.3">
      <c r="A41" s="303" t="s">
        <v>1191</v>
      </c>
      <c r="B41" s="307" t="str">
        <f>RSD_HeatingDemand!H79</f>
        <v>RHHSA_HTH_05</v>
      </c>
      <c r="C41" s="307" t="str">
        <f>RSD_HeatingDemand!I79</f>
        <v>District heating Indirect substation</v>
      </c>
      <c r="D41" s="307" t="str">
        <f>RSD_HeatingDemand!J79</f>
        <v>MW</v>
      </c>
      <c r="E41" s="307" t="str">
        <f>RSD_HeatingDemand!K79</f>
        <v>TJ</v>
      </c>
      <c r="F41" s="304" t="s">
        <v>1251</v>
      </c>
      <c r="G41" s="305"/>
    </row>
    <row r="42" spans="1:7" x14ac:dyDescent="0.3">
      <c r="A42" s="303" t="s">
        <v>1191</v>
      </c>
      <c r="B42" s="307" t="str">
        <f>RSD_HeatingDemand!H81</f>
        <v>RHHSA_HTH_06</v>
      </c>
      <c r="C42" s="307" t="str">
        <f>RSD_HeatingDemand!I81</f>
        <v>District heating Indirect substation</v>
      </c>
      <c r="D42" s="307" t="str">
        <f>RSD_HeatingDemand!J81</f>
        <v>MW</v>
      </c>
      <c r="E42" s="307" t="str">
        <f>RSD_HeatingDemand!K81</f>
        <v>TJ</v>
      </c>
      <c r="F42" s="304" t="s">
        <v>1251</v>
      </c>
      <c r="G42" s="305"/>
    </row>
    <row r="43" spans="1:7" x14ac:dyDescent="0.3">
      <c r="A43" s="303" t="s">
        <v>1191</v>
      </c>
      <c r="B43" s="307" t="str">
        <f>RSD_HeatingDemand!H83</f>
        <v>RHHSA_HTH_07</v>
      </c>
      <c r="C43" s="307" t="str">
        <f>RSD_HeatingDemand!I83</f>
        <v>District heating Indirect substation</v>
      </c>
      <c r="D43" s="307" t="str">
        <f>RSD_HeatingDemand!J83</f>
        <v>MW</v>
      </c>
      <c r="E43" s="307" t="str">
        <f>RSD_HeatingDemand!K83</f>
        <v>TJ</v>
      </c>
      <c r="F43" s="304" t="s">
        <v>1251</v>
      </c>
      <c r="G43" s="305"/>
    </row>
    <row r="44" spans="1:7" x14ac:dyDescent="0.3">
      <c r="A44" s="303" t="s">
        <v>1191</v>
      </c>
      <c r="B44" s="307" t="str">
        <f>RSD_HeatingDemand!H85</f>
        <v>RHHSA_HTH_08</v>
      </c>
      <c r="C44" s="307" t="str">
        <f>RSD_HeatingDemand!I85</f>
        <v>District heating Indirect substation</v>
      </c>
      <c r="D44" s="307" t="str">
        <f>RSD_HeatingDemand!J85</f>
        <v>MW</v>
      </c>
      <c r="E44" s="307" t="str">
        <f>RSD_HeatingDemand!K85</f>
        <v>TJ</v>
      </c>
      <c r="F44" s="304" t="s">
        <v>1251</v>
      </c>
      <c r="G44" s="305"/>
    </row>
    <row r="45" spans="1:7" x14ac:dyDescent="0.3">
      <c r="A45" s="303" t="s">
        <v>1191</v>
      </c>
      <c r="B45" s="307" t="str">
        <f>RSD_HeatingDemand!H87</f>
        <v>RHAPA_HTH_01</v>
      </c>
      <c r="C45" s="307" t="str">
        <f>RSD_HeatingDemand!I87</f>
        <v>District heating Indirect substation</v>
      </c>
      <c r="D45" s="307" t="str">
        <f>RSD_HeatingDemand!J87</f>
        <v>MW</v>
      </c>
      <c r="E45" s="307" t="str">
        <f>RSD_HeatingDemand!K87</f>
        <v>TJ</v>
      </c>
      <c r="F45" s="304" t="s">
        <v>1251</v>
      </c>
      <c r="G45" s="305"/>
    </row>
    <row r="46" spans="1:7" x14ac:dyDescent="0.3">
      <c r="A46" s="303" t="s">
        <v>1191</v>
      </c>
      <c r="B46" s="307" t="str">
        <f>RSD_HeatingDemand!H89</f>
        <v>RHAPA_HTH_02</v>
      </c>
      <c r="C46" s="307" t="str">
        <f>RSD_HeatingDemand!I89</f>
        <v>District heating Indirect substation</v>
      </c>
      <c r="D46" s="307" t="str">
        <f>RSD_HeatingDemand!J89</f>
        <v>MW</v>
      </c>
      <c r="E46" s="307" t="str">
        <f>RSD_HeatingDemand!K89</f>
        <v>TJ</v>
      </c>
      <c r="F46" s="304" t="s">
        <v>1251</v>
      </c>
      <c r="G46" s="305"/>
    </row>
    <row r="47" spans="1:7" x14ac:dyDescent="0.3">
      <c r="A47" s="303" t="s">
        <v>1191</v>
      </c>
      <c r="B47" s="307" t="str">
        <f>RSD_HeatingDemand!H91</f>
        <v>RHAPA_HTH_03</v>
      </c>
      <c r="C47" s="307" t="str">
        <f>RSD_HeatingDemand!I91</f>
        <v>District heating Indirect substation</v>
      </c>
      <c r="D47" s="307" t="str">
        <f>RSD_HeatingDemand!J91</f>
        <v>MW</v>
      </c>
      <c r="E47" s="307" t="str">
        <f>RSD_HeatingDemand!K91</f>
        <v>TJ</v>
      </c>
      <c r="F47" s="304" t="s">
        <v>1251</v>
      </c>
      <c r="G47" s="305"/>
    </row>
    <row r="48" spans="1:7" x14ac:dyDescent="0.3">
      <c r="A48" s="303" t="s">
        <v>1191</v>
      </c>
      <c r="B48" s="307" t="str">
        <f>RSD_HeatingDemand!H93</f>
        <v>RHAPA_HTH_04</v>
      </c>
      <c r="C48" s="307" t="str">
        <f>RSD_HeatingDemand!I93</f>
        <v>District heating Indirect substation</v>
      </c>
      <c r="D48" s="307" t="str">
        <f>RSD_HeatingDemand!J93</f>
        <v>MW</v>
      </c>
      <c r="E48" s="307" t="str">
        <f>RSD_HeatingDemand!K93</f>
        <v>TJ</v>
      </c>
      <c r="F48" s="304" t="s">
        <v>1251</v>
      </c>
      <c r="G48" s="305"/>
    </row>
    <row r="49" spans="1:7" x14ac:dyDescent="0.3">
      <c r="A49" s="303" t="s">
        <v>1191</v>
      </c>
      <c r="B49" s="307" t="str">
        <f>RSD_HeatingDemand!H95</f>
        <v>RHAPA_HTH_05</v>
      </c>
      <c r="C49" s="307" t="str">
        <f>RSD_HeatingDemand!I95</f>
        <v>District heating Indirect substation</v>
      </c>
      <c r="D49" s="307" t="str">
        <f>RSD_HeatingDemand!J95</f>
        <v>MW</v>
      </c>
      <c r="E49" s="307" t="str">
        <f>RSD_HeatingDemand!K95</f>
        <v>TJ</v>
      </c>
      <c r="F49" s="304" t="s">
        <v>1251</v>
      </c>
      <c r="G49" s="305"/>
    </row>
    <row r="50" spans="1:7" x14ac:dyDescent="0.3">
      <c r="A50" s="303" t="s">
        <v>1191</v>
      </c>
      <c r="B50" s="307" t="str">
        <f>RSD_HeatingDemand!H97</f>
        <v>RHAPA_HTH_06</v>
      </c>
      <c r="C50" s="307" t="str">
        <f>RSD_HeatingDemand!I97</f>
        <v>District heating Indirect substation</v>
      </c>
      <c r="D50" s="307" t="str">
        <f>RSD_HeatingDemand!J97</f>
        <v>MW</v>
      </c>
      <c r="E50" s="307" t="str">
        <f>RSD_HeatingDemand!K97</f>
        <v>TJ</v>
      </c>
      <c r="F50" s="304" t="s">
        <v>1251</v>
      </c>
      <c r="G50" s="305"/>
    </row>
    <row r="51" spans="1:7" x14ac:dyDescent="0.3">
      <c r="A51" s="303" t="s">
        <v>1191</v>
      </c>
      <c r="B51" s="307" t="str">
        <f>RSD_HeatingDemand!H99</f>
        <v>RHAPA_HTH_07</v>
      </c>
      <c r="C51" s="307" t="str">
        <f>RSD_HeatingDemand!I99</f>
        <v>District heating Indirect substation</v>
      </c>
      <c r="D51" s="307" t="str">
        <f>RSD_HeatingDemand!J99</f>
        <v>MW</v>
      </c>
      <c r="E51" s="307" t="str">
        <f>RSD_HeatingDemand!K99</f>
        <v>TJ</v>
      </c>
      <c r="F51" s="304" t="s">
        <v>1251</v>
      </c>
      <c r="G51" s="305"/>
    </row>
    <row r="52" spans="1:7" x14ac:dyDescent="0.3">
      <c r="A52" s="303" t="s">
        <v>1191</v>
      </c>
      <c r="B52" s="307" t="str">
        <f>RSD_HeatingDemand!H101</f>
        <v>RHAPA_HTH_08</v>
      </c>
      <c r="C52" s="307" t="str">
        <f>RSD_HeatingDemand!I101</f>
        <v>District heating Indirect substation</v>
      </c>
      <c r="D52" s="307" t="str">
        <f>RSD_HeatingDemand!J101</f>
        <v>MW</v>
      </c>
      <c r="E52" s="307" t="str">
        <f>RSD_HeatingDemand!K101</f>
        <v>TJ</v>
      </c>
      <c r="F52" s="304" t="s">
        <v>1251</v>
      </c>
      <c r="G52" s="305"/>
    </row>
    <row r="53" spans="1:7" x14ac:dyDescent="0.3">
      <c r="A53" s="303" t="s">
        <v>1191</v>
      </c>
      <c r="B53" s="307" t="str">
        <f>RSD_HeatingDemand!H103</f>
        <v>RHHSA_HTH_09</v>
      </c>
      <c r="C53" s="307" t="str">
        <f>RSD_HeatingDemand!I103</f>
        <v>District heating Direct substation</v>
      </c>
      <c r="D53" s="307" t="str">
        <f>RSD_HeatingDemand!J103</f>
        <v>MW</v>
      </c>
      <c r="E53" s="307" t="str">
        <f>RSD_HeatingDemand!K103</f>
        <v>TJ</v>
      </c>
      <c r="F53" s="304" t="s">
        <v>1251</v>
      </c>
      <c r="G53" s="305"/>
    </row>
    <row r="54" spans="1:7" x14ac:dyDescent="0.3">
      <c r="A54" s="303" t="s">
        <v>1191</v>
      </c>
      <c r="B54" s="307" t="str">
        <f>RSD_HeatingDemand!H105</f>
        <v>RHHSA_HTH_10</v>
      </c>
      <c r="C54" s="307" t="str">
        <f>RSD_HeatingDemand!I105</f>
        <v>District heating Direct substation</v>
      </c>
      <c r="D54" s="307" t="str">
        <f>RSD_HeatingDemand!J105</f>
        <v>MW</v>
      </c>
      <c r="E54" s="307" t="str">
        <f>RSD_HeatingDemand!K105</f>
        <v>TJ</v>
      </c>
      <c r="F54" s="304" t="s">
        <v>1251</v>
      </c>
      <c r="G54" s="305"/>
    </row>
    <row r="55" spans="1:7" x14ac:dyDescent="0.3">
      <c r="A55" s="303" t="s">
        <v>1191</v>
      </c>
      <c r="B55" s="307" t="str">
        <f>RSD_HeatingDemand!H107</f>
        <v>RHHSA_HTH_11</v>
      </c>
      <c r="C55" s="307" t="str">
        <f>RSD_HeatingDemand!I107</f>
        <v>District heating Direct substation</v>
      </c>
      <c r="D55" s="307" t="str">
        <f>RSD_HeatingDemand!J107</f>
        <v>MW</v>
      </c>
      <c r="E55" s="307" t="str">
        <f>RSD_HeatingDemand!K107</f>
        <v>TJ</v>
      </c>
      <c r="F55" s="304" t="s">
        <v>1251</v>
      </c>
      <c r="G55" s="305"/>
    </row>
    <row r="56" spans="1:7" x14ac:dyDescent="0.3">
      <c r="A56" s="303" t="s">
        <v>1191</v>
      </c>
      <c r="B56" s="307" t="str">
        <f>RSD_HeatingDemand!H109</f>
        <v>RHHSA_HTH_12</v>
      </c>
      <c r="C56" s="307" t="str">
        <f>RSD_HeatingDemand!I109</f>
        <v>District heating Direct substation</v>
      </c>
      <c r="D56" s="307" t="str">
        <f>RSD_HeatingDemand!J109</f>
        <v>MW</v>
      </c>
      <c r="E56" s="307" t="str">
        <f>RSD_HeatingDemand!K109</f>
        <v>TJ</v>
      </c>
      <c r="F56" s="304" t="s">
        <v>1251</v>
      </c>
      <c r="G56" s="305"/>
    </row>
    <row r="57" spans="1:7" x14ac:dyDescent="0.3">
      <c r="A57" s="303" t="s">
        <v>1191</v>
      </c>
      <c r="B57" s="307" t="str">
        <f>RSD_HeatingDemand!H111</f>
        <v>RHAPA_HTH_09</v>
      </c>
      <c r="C57" s="307" t="str">
        <f>RSD_HeatingDemand!I111</f>
        <v>District heating Direct substation</v>
      </c>
      <c r="D57" s="307" t="str">
        <f>RSD_HeatingDemand!J111</f>
        <v>MW</v>
      </c>
      <c r="E57" s="307" t="str">
        <f>RSD_HeatingDemand!K111</f>
        <v>TJ</v>
      </c>
      <c r="F57" s="304" t="s">
        <v>1251</v>
      </c>
      <c r="G57" s="305"/>
    </row>
    <row r="58" spans="1:7" x14ac:dyDescent="0.3">
      <c r="A58" s="303" t="s">
        <v>1191</v>
      </c>
      <c r="B58" s="307" t="str">
        <f>RSD_HeatingDemand!H113</f>
        <v>RHAPA_HTH_10</v>
      </c>
      <c r="C58" s="307" t="str">
        <f>RSD_HeatingDemand!I113</f>
        <v>District heating Direct substation</v>
      </c>
      <c r="D58" s="307" t="str">
        <f>RSD_HeatingDemand!J113</f>
        <v>MW</v>
      </c>
      <c r="E58" s="307" t="str">
        <f>RSD_HeatingDemand!K113</f>
        <v>TJ</v>
      </c>
      <c r="F58" s="304" t="s">
        <v>1251</v>
      </c>
      <c r="G58" s="305"/>
    </row>
    <row r="59" spans="1:7" x14ac:dyDescent="0.3">
      <c r="A59" s="303" t="s">
        <v>1191</v>
      </c>
      <c r="B59" s="307" t="str">
        <f>RSD_HeatingDemand!H115</f>
        <v>RHAPA_HTH_11</v>
      </c>
      <c r="C59" s="307" t="str">
        <f>RSD_HeatingDemand!I115</f>
        <v>District heating Direct substation</v>
      </c>
      <c r="D59" s="307" t="str">
        <f>RSD_HeatingDemand!J115</f>
        <v>MW</v>
      </c>
      <c r="E59" s="307" t="str">
        <f>RSD_HeatingDemand!K115</f>
        <v>TJ</v>
      </c>
      <c r="F59" s="304" t="s">
        <v>1251</v>
      </c>
      <c r="G59" s="305"/>
    </row>
    <row r="60" spans="1:7" x14ac:dyDescent="0.3">
      <c r="A60" s="303" t="s">
        <v>1191</v>
      </c>
      <c r="B60" s="307" t="str">
        <f>RSD_HeatingDemand!H117</f>
        <v>RHAPA_HTH_12</v>
      </c>
      <c r="C60" s="307" t="str">
        <f>RSD_HeatingDemand!I117</f>
        <v>District heating Direct substation</v>
      </c>
      <c r="D60" s="307" t="str">
        <f>RSD_HeatingDemand!J117</f>
        <v>MW</v>
      </c>
      <c r="E60" s="307" t="str">
        <f>RSD_HeatingDemand!K117</f>
        <v>TJ</v>
      </c>
      <c r="F60" s="304" t="s">
        <v>1251</v>
      </c>
      <c r="G60" s="305"/>
    </row>
    <row r="61" spans="1:7" x14ac:dyDescent="0.3">
      <c r="A61" s="303" t="s">
        <v>1191</v>
      </c>
      <c r="B61" s="307" t="str">
        <f>RSD_HeatingDemand!H119</f>
        <v>RHAPA_HTH_13</v>
      </c>
      <c r="C61" s="307" t="str">
        <f>RSD_HeatingDemand!I119</f>
        <v>District heating Direct substation</v>
      </c>
      <c r="D61" s="307" t="str">
        <f>RSD_HeatingDemand!J119</f>
        <v>MW</v>
      </c>
      <c r="E61" s="307" t="str">
        <f>RSD_HeatingDemand!K119</f>
        <v>TJ</v>
      </c>
      <c r="F61" s="304" t="s">
        <v>1251</v>
      </c>
      <c r="G61" s="305"/>
    </row>
    <row r="62" spans="1:7" x14ac:dyDescent="0.3">
      <c r="A62" s="303" t="s">
        <v>1191</v>
      </c>
      <c r="B62" s="307" t="str">
        <f>RSD_HeatingDemand!H121</f>
        <v>RHAPA_HTH_14</v>
      </c>
      <c r="C62" s="307" t="str">
        <f>RSD_HeatingDemand!I121</f>
        <v>District heating Direct substation</v>
      </c>
      <c r="D62" s="307" t="str">
        <f>RSD_HeatingDemand!J121</f>
        <v>MW</v>
      </c>
      <c r="E62" s="307" t="str">
        <f>RSD_HeatingDemand!K121</f>
        <v>TJ</v>
      </c>
      <c r="F62" s="304" t="s">
        <v>1251</v>
      </c>
      <c r="G62" s="305"/>
    </row>
    <row r="63" spans="1:7" x14ac:dyDescent="0.3">
      <c r="A63" s="303" t="s">
        <v>1191</v>
      </c>
      <c r="B63" s="307" t="str">
        <f>RSD_HeatingDemand!H123</f>
        <v>RHAPA_HTH_15</v>
      </c>
      <c r="C63" s="307" t="str">
        <f>RSD_HeatingDemand!I123</f>
        <v>District heating Direct substation</v>
      </c>
      <c r="D63" s="307" t="str">
        <f>RSD_HeatingDemand!J123</f>
        <v>MW</v>
      </c>
      <c r="E63" s="307" t="str">
        <f>RSD_HeatingDemand!K123</f>
        <v>TJ</v>
      </c>
      <c r="F63" s="304" t="s">
        <v>1251</v>
      </c>
      <c r="G63" s="305"/>
    </row>
    <row r="64" spans="1:7" x14ac:dyDescent="0.3">
      <c r="A64" s="303" t="s">
        <v>1191</v>
      </c>
      <c r="B64" s="307" t="str">
        <f>RSD_HeatingDemand!H125</f>
        <v>RHAPA_HTH_16</v>
      </c>
      <c r="C64" s="307" t="str">
        <f>RSD_HeatingDemand!I125</f>
        <v>District heating Direct substation</v>
      </c>
      <c r="D64" s="307" t="str">
        <f>RSD_HeatingDemand!J125</f>
        <v>MW</v>
      </c>
      <c r="E64" s="307" t="str">
        <f>RSD_HeatingDemand!K125</f>
        <v>TJ</v>
      </c>
      <c r="F64" s="304" t="s">
        <v>1251</v>
      </c>
      <c r="G64" s="305"/>
    </row>
    <row r="65" spans="1:7" x14ac:dyDescent="0.3">
      <c r="A65" s="303" t="s">
        <v>1191</v>
      </c>
      <c r="B65" s="307" t="str">
        <f>RSD_HeatingDemand!H127</f>
        <v>RHHSC_B_WOF_01</v>
      </c>
      <c r="C65" s="307" t="str">
        <f>RSD_HeatingDemand!I127</f>
        <v>Biomass boilers, automatic stoking</v>
      </c>
      <c r="D65" s="307" t="str">
        <f>RSD_HeatingDemand!J127</f>
        <v>MW</v>
      </c>
      <c r="E65" s="307" t="str">
        <f>RSD_HeatingDemand!K127</f>
        <v>TJ</v>
      </c>
      <c r="F65" s="304" t="s">
        <v>1251</v>
      </c>
      <c r="G65" s="305"/>
    </row>
    <row r="66" spans="1:7" x14ac:dyDescent="0.3">
      <c r="A66" s="303" t="s">
        <v>1191</v>
      </c>
      <c r="B66" s="307" t="str">
        <f>RSD_HeatingDemand!H129</f>
        <v>RHHSC_B_WOF_02</v>
      </c>
      <c r="C66" s="307" t="str">
        <f>RSD_HeatingDemand!I129</f>
        <v>Biomass boilers, automatic stoking</v>
      </c>
      <c r="D66" s="307" t="str">
        <f>RSD_HeatingDemand!J129</f>
        <v>MW</v>
      </c>
      <c r="E66" s="307" t="str">
        <f>RSD_HeatingDemand!K129</f>
        <v>TJ</v>
      </c>
      <c r="F66" s="304" t="s">
        <v>1251</v>
      </c>
      <c r="G66" s="305"/>
    </row>
    <row r="67" spans="1:7" x14ac:dyDescent="0.3">
      <c r="A67" s="303" t="s">
        <v>1191</v>
      </c>
      <c r="B67" s="307" t="str">
        <f>RSD_HeatingDemand!H131</f>
        <v>RHHSC_B_WOF_03</v>
      </c>
      <c r="C67" s="307" t="str">
        <f>RSD_HeatingDemand!I131</f>
        <v>Biomass boilers, automatic stoking</v>
      </c>
      <c r="D67" s="307" t="str">
        <f>RSD_HeatingDemand!J131</f>
        <v>MW</v>
      </c>
      <c r="E67" s="307" t="str">
        <f>RSD_HeatingDemand!K131</f>
        <v>TJ</v>
      </c>
      <c r="F67" s="304" t="s">
        <v>1251</v>
      </c>
      <c r="G67" s="305"/>
    </row>
    <row r="68" spans="1:7" x14ac:dyDescent="0.3">
      <c r="A68" s="303" t="s">
        <v>1191</v>
      </c>
      <c r="B68" s="307" t="str">
        <f>RSD_HeatingDemand!H133</f>
        <v>RHHSC_B_WOF_04</v>
      </c>
      <c r="C68" s="307" t="str">
        <f>RSD_HeatingDemand!I133</f>
        <v>Biomass boilers, automatic stoking</v>
      </c>
      <c r="D68" s="307" t="str">
        <f>RSD_HeatingDemand!J133</f>
        <v>MW</v>
      </c>
      <c r="E68" s="307" t="str">
        <f>RSD_HeatingDemand!K133</f>
        <v>TJ</v>
      </c>
      <c r="F68" s="304" t="s">
        <v>1251</v>
      </c>
      <c r="G68" s="305"/>
    </row>
    <row r="69" spans="1:7" x14ac:dyDescent="0.3">
      <c r="A69" s="303" t="s">
        <v>1191</v>
      </c>
      <c r="B69" s="307" t="str">
        <f>RSD_HeatingDemand!H135</f>
        <v>RHHSC_B_WOF_05</v>
      </c>
      <c r="C69" s="307" t="str">
        <f>RSD_HeatingDemand!I135</f>
        <v>Biomass boilers, automatic stoking</v>
      </c>
      <c r="D69" s="307" t="str">
        <f>RSD_HeatingDemand!J135</f>
        <v>MW</v>
      </c>
      <c r="E69" s="307" t="str">
        <f>RSD_HeatingDemand!K135</f>
        <v>TJ</v>
      </c>
      <c r="F69" s="304" t="s">
        <v>1251</v>
      </c>
      <c r="G69" s="305"/>
    </row>
    <row r="70" spans="1:7" x14ac:dyDescent="0.3">
      <c r="A70" s="303" t="s">
        <v>1191</v>
      </c>
      <c r="B70" s="307" t="str">
        <f>RSD_HeatingDemand!H137</f>
        <v>RHHSC_B_WOF_06</v>
      </c>
      <c r="C70" s="307" t="str">
        <f>RSD_HeatingDemand!I137</f>
        <v>Biomass boilers, automatic stoking</v>
      </c>
      <c r="D70" s="307" t="str">
        <f>RSD_HeatingDemand!J137</f>
        <v>MW</v>
      </c>
      <c r="E70" s="307" t="str">
        <f>RSD_HeatingDemand!K137</f>
        <v>TJ</v>
      </c>
      <c r="F70" s="304" t="s">
        <v>1251</v>
      </c>
      <c r="G70" s="305"/>
    </row>
    <row r="71" spans="1:7" x14ac:dyDescent="0.3">
      <c r="A71" s="303" t="s">
        <v>1191</v>
      </c>
      <c r="B71" s="307" t="str">
        <f>RSD_HeatingDemand!H139</f>
        <v>RHHSC_B_WOF_07</v>
      </c>
      <c r="C71" s="307" t="str">
        <f>RSD_HeatingDemand!I139</f>
        <v>Biomass boilers, automatic stoking</v>
      </c>
      <c r="D71" s="307" t="str">
        <f>RSD_HeatingDemand!J139</f>
        <v>MW</v>
      </c>
      <c r="E71" s="307" t="str">
        <f>RSD_HeatingDemand!K139</f>
        <v>TJ</v>
      </c>
      <c r="F71" s="304" t="s">
        <v>1251</v>
      </c>
      <c r="G71" s="305"/>
    </row>
    <row r="72" spans="1:7" x14ac:dyDescent="0.3">
      <c r="A72" s="303" t="s">
        <v>1191</v>
      </c>
      <c r="B72" s="307" t="str">
        <f>RSD_HeatingDemand!H141</f>
        <v>RHHSC_B_WOF_08</v>
      </c>
      <c r="C72" s="307" t="str">
        <f>RSD_HeatingDemand!I141</f>
        <v>Biomass boilers, automatic stoking</v>
      </c>
      <c r="D72" s="307" t="str">
        <f>RSD_HeatingDemand!J141</f>
        <v>MW</v>
      </c>
      <c r="E72" s="307" t="str">
        <f>RSD_HeatingDemand!K141</f>
        <v>TJ</v>
      </c>
      <c r="F72" s="304" t="s">
        <v>1251</v>
      </c>
      <c r="G72" s="305"/>
    </row>
    <row r="73" spans="1:7" x14ac:dyDescent="0.3">
      <c r="A73" s="303" t="s">
        <v>1191</v>
      </c>
      <c r="B73" s="307" t="str">
        <f>RSD_HeatingDemand!H143</f>
        <v>RHAPC_B_WOF_01</v>
      </c>
      <c r="C73" s="307" t="str">
        <f>RSD_HeatingDemand!I143</f>
        <v>Biomass boilers, automatic stoking</v>
      </c>
      <c r="D73" s="307" t="str">
        <f>RSD_HeatingDemand!J143</f>
        <v>MW</v>
      </c>
      <c r="E73" s="307" t="str">
        <f>RSD_HeatingDemand!K143</f>
        <v>TJ</v>
      </c>
      <c r="F73" s="304" t="s">
        <v>1251</v>
      </c>
      <c r="G73" s="305"/>
    </row>
    <row r="74" spans="1:7" x14ac:dyDescent="0.3">
      <c r="A74" s="303" t="s">
        <v>1191</v>
      </c>
      <c r="B74" s="307" t="str">
        <f>RSD_HeatingDemand!H145</f>
        <v>RHAPC_B_WOF_02</v>
      </c>
      <c r="C74" s="307" t="str">
        <f>RSD_HeatingDemand!I145</f>
        <v>Biomass boilers, automatic stoking</v>
      </c>
      <c r="D74" s="307" t="str">
        <f>RSD_HeatingDemand!J145</f>
        <v>MW</v>
      </c>
      <c r="E74" s="307" t="str">
        <f>RSD_HeatingDemand!K145</f>
        <v>TJ</v>
      </c>
      <c r="F74" s="304" t="s">
        <v>1251</v>
      </c>
      <c r="G74" s="305"/>
    </row>
    <row r="75" spans="1:7" x14ac:dyDescent="0.3">
      <c r="A75" s="303" t="s">
        <v>1191</v>
      </c>
      <c r="B75" s="307" t="str">
        <f>RSD_HeatingDemand!H147</f>
        <v>RHAPC_B_WOF_03</v>
      </c>
      <c r="C75" s="307" t="str">
        <f>RSD_HeatingDemand!I147</f>
        <v>Biomass boilers, automatic stoking</v>
      </c>
      <c r="D75" s="307" t="str">
        <f>RSD_HeatingDemand!J147</f>
        <v>MW</v>
      </c>
      <c r="E75" s="307" t="str">
        <f>RSD_HeatingDemand!K147</f>
        <v>TJ</v>
      </c>
      <c r="F75" s="304" t="s">
        <v>1251</v>
      </c>
      <c r="G75" s="305"/>
    </row>
    <row r="76" spans="1:7" x14ac:dyDescent="0.3">
      <c r="A76" s="303" t="s">
        <v>1191</v>
      </c>
      <c r="B76" s="307" t="str">
        <f>RSD_HeatingDemand!H149</f>
        <v>RHAPC_B_WOF_04</v>
      </c>
      <c r="C76" s="307" t="str">
        <f>RSD_HeatingDemand!I149</f>
        <v>Biomass boilers, automatic stoking</v>
      </c>
      <c r="D76" s="307" t="str">
        <f>RSD_HeatingDemand!J149</f>
        <v>MW</v>
      </c>
      <c r="E76" s="307" t="str">
        <f>RSD_HeatingDemand!K149</f>
        <v>TJ</v>
      </c>
      <c r="F76" s="304" t="s">
        <v>1251</v>
      </c>
      <c r="G76" s="305"/>
    </row>
    <row r="77" spans="1:7" x14ac:dyDescent="0.3">
      <c r="A77" s="303" t="s">
        <v>1191</v>
      </c>
      <c r="B77" s="307" t="str">
        <f>RSD_HeatingDemand!H151</f>
        <v>RHAPC_B_WOF_05</v>
      </c>
      <c r="C77" s="307" t="str">
        <f>RSD_HeatingDemand!I151</f>
        <v>Biomass boilers, automatic stoking</v>
      </c>
      <c r="D77" s="307" t="str">
        <f>RSD_HeatingDemand!J151</f>
        <v>MW</v>
      </c>
      <c r="E77" s="307" t="str">
        <f>RSD_HeatingDemand!K151</f>
        <v>TJ</v>
      </c>
      <c r="F77" s="304" t="s">
        <v>1251</v>
      </c>
      <c r="G77" s="305"/>
    </row>
    <row r="78" spans="1:7" x14ac:dyDescent="0.3">
      <c r="A78" s="303" t="s">
        <v>1191</v>
      </c>
      <c r="B78" s="307" t="str">
        <f>RSD_HeatingDemand!H153</f>
        <v>RHAPC_B_WOF_06</v>
      </c>
      <c r="C78" s="307" t="str">
        <f>RSD_HeatingDemand!I153</f>
        <v>Biomass boilers, automatic stoking</v>
      </c>
      <c r="D78" s="307" t="str">
        <f>RSD_HeatingDemand!J153</f>
        <v>MW</v>
      </c>
      <c r="E78" s="307" t="str">
        <f>RSD_HeatingDemand!K153</f>
        <v>TJ</v>
      </c>
      <c r="F78" s="304" t="s">
        <v>1251</v>
      </c>
      <c r="G78" s="305"/>
    </row>
    <row r="79" spans="1:7" x14ac:dyDescent="0.3">
      <c r="A79" s="303" t="s">
        <v>1191</v>
      </c>
      <c r="B79" s="307" t="str">
        <f>RSD_HeatingDemand!H155</f>
        <v>RHAPC_B_WOF_07</v>
      </c>
      <c r="C79" s="307" t="str">
        <f>RSD_HeatingDemand!I155</f>
        <v>Biomass boilers, automatic stoking</v>
      </c>
      <c r="D79" s="307" t="str">
        <f>RSD_HeatingDemand!J155</f>
        <v>MW</v>
      </c>
      <c r="E79" s="307" t="str">
        <f>RSD_HeatingDemand!K155</f>
        <v>TJ</v>
      </c>
      <c r="F79" s="304" t="s">
        <v>1251</v>
      </c>
      <c r="G79" s="305"/>
    </row>
    <row r="80" spans="1:7" x14ac:dyDescent="0.3">
      <c r="A80" s="303" t="s">
        <v>1191</v>
      </c>
      <c r="B80" s="307" t="str">
        <f>RSD_HeatingDemand!H157</f>
        <v>RHAPC_B_WOF_08</v>
      </c>
      <c r="C80" s="307" t="str">
        <f>RSD_HeatingDemand!I157</f>
        <v>Biomass boilers, automatic stoking</v>
      </c>
      <c r="D80" s="307" t="str">
        <f>RSD_HeatingDemand!J157</f>
        <v>MW</v>
      </c>
      <c r="E80" s="307" t="str">
        <f>RSD_HeatingDemand!K157</f>
        <v>TJ</v>
      </c>
      <c r="F80" s="304" t="s">
        <v>1251</v>
      </c>
      <c r="G80" s="305"/>
    </row>
    <row r="81" spans="1:7" x14ac:dyDescent="0.3">
      <c r="A81" s="303" t="s">
        <v>1191</v>
      </c>
      <c r="B81" s="307" t="str">
        <f>RSD_HeatingDemand!H159</f>
        <v>RHHSC_B_WOF_09</v>
      </c>
      <c r="C81" s="307" t="str">
        <f>RSD_HeatingDemand!I159</f>
        <v>Biomass boiler, manual stoking</v>
      </c>
      <c r="D81" s="307" t="str">
        <f>RSD_HeatingDemand!J159</f>
        <v>MW</v>
      </c>
      <c r="E81" s="307" t="str">
        <f>RSD_HeatingDemand!K159</f>
        <v>TJ</v>
      </c>
      <c r="F81" s="304" t="s">
        <v>1251</v>
      </c>
      <c r="G81" s="305"/>
    </row>
    <row r="82" spans="1:7" x14ac:dyDescent="0.3">
      <c r="A82" s="303" t="s">
        <v>1191</v>
      </c>
      <c r="B82" s="307" t="str">
        <f>RSD_HeatingDemand!H161</f>
        <v>RHHSC_B_WOF_10</v>
      </c>
      <c r="C82" s="307" t="str">
        <f>RSD_HeatingDemand!I161</f>
        <v>Biomass boiler, manual stoking</v>
      </c>
      <c r="D82" s="307" t="str">
        <f>RSD_HeatingDemand!J161</f>
        <v>MW</v>
      </c>
      <c r="E82" s="307" t="str">
        <f>RSD_HeatingDemand!K161</f>
        <v>TJ</v>
      </c>
      <c r="F82" s="304" t="s">
        <v>1251</v>
      </c>
      <c r="G82" s="305"/>
    </row>
    <row r="83" spans="1:7" x14ac:dyDescent="0.3">
      <c r="A83" s="303" t="s">
        <v>1191</v>
      </c>
      <c r="B83" s="307" t="str">
        <f>RSD_HeatingDemand!H163</f>
        <v>RHHSC_B_WOF_11</v>
      </c>
      <c r="C83" s="307" t="str">
        <f>RSD_HeatingDemand!I163</f>
        <v>Biomass boiler, manual stoking</v>
      </c>
      <c r="D83" s="307" t="str">
        <f>RSD_HeatingDemand!J163</f>
        <v>MW</v>
      </c>
      <c r="E83" s="307" t="str">
        <f>RSD_HeatingDemand!K163</f>
        <v>TJ</v>
      </c>
      <c r="F83" s="304" t="s">
        <v>1251</v>
      </c>
      <c r="G83" s="305"/>
    </row>
    <row r="84" spans="1:7" x14ac:dyDescent="0.3">
      <c r="A84" s="303" t="s">
        <v>1191</v>
      </c>
      <c r="B84" s="307" t="str">
        <f>RSD_HeatingDemand!H165</f>
        <v>RHHSC_B_WOF_12</v>
      </c>
      <c r="C84" s="307" t="str">
        <f>RSD_HeatingDemand!I165</f>
        <v>Biomass boiler, manual stoking</v>
      </c>
      <c r="D84" s="307" t="str">
        <f>RSD_HeatingDemand!J165</f>
        <v>MW</v>
      </c>
      <c r="E84" s="307" t="str">
        <f>RSD_HeatingDemand!K165</f>
        <v>TJ</v>
      </c>
      <c r="F84" s="304" t="s">
        <v>1251</v>
      </c>
      <c r="G84" s="305"/>
    </row>
    <row r="85" spans="1:7" x14ac:dyDescent="0.3">
      <c r="A85" s="303" t="s">
        <v>1191</v>
      </c>
      <c r="B85" s="307" t="str">
        <f>RSD_HeatingDemand!H167</f>
        <v>RHHSC_S_WOF_01</v>
      </c>
      <c r="C85" s="307" t="str">
        <f>RSD_HeatingDemand!I167</f>
        <v>Wood stove</v>
      </c>
      <c r="D85" s="307" t="str">
        <f>RSD_HeatingDemand!J167</f>
        <v>MW</v>
      </c>
      <c r="E85" s="307" t="str">
        <f>RSD_HeatingDemand!K167</f>
        <v>TJ</v>
      </c>
      <c r="F85" s="304" t="s">
        <v>1251</v>
      </c>
      <c r="G85" s="305"/>
    </row>
    <row r="86" spans="1:7" x14ac:dyDescent="0.3">
      <c r="A86" s="303" t="s">
        <v>1191</v>
      </c>
      <c r="B86" s="307" t="str">
        <f>RSD_HeatingDemand!H168</f>
        <v>RHHSC_S_WOF_02</v>
      </c>
      <c r="C86" s="307" t="str">
        <f>RSD_HeatingDemand!I168</f>
        <v>Wood stove</v>
      </c>
      <c r="D86" s="307" t="str">
        <f>RSD_HeatingDemand!J168</f>
        <v>MW</v>
      </c>
      <c r="E86" s="307" t="str">
        <f>RSD_HeatingDemand!K168</f>
        <v>TJ</v>
      </c>
      <c r="F86" s="304" t="s">
        <v>1251</v>
      </c>
      <c r="G86" s="305"/>
    </row>
    <row r="87" spans="1:7" x14ac:dyDescent="0.3">
      <c r="A87" s="303" t="s">
        <v>1191</v>
      </c>
      <c r="B87" s="307" t="str">
        <f>RSD_HeatingDemand!H169</f>
        <v>RHHSC_S_WOF_03</v>
      </c>
      <c r="C87" s="307" t="str">
        <f>RSD_HeatingDemand!I169</f>
        <v>Wood stove</v>
      </c>
      <c r="D87" s="307" t="str">
        <f>RSD_HeatingDemand!J169</f>
        <v>MW</v>
      </c>
      <c r="E87" s="307" t="str">
        <f>RSD_HeatingDemand!K169</f>
        <v>TJ</v>
      </c>
      <c r="F87" s="304" t="s">
        <v>1251</v>
      </c>
      <c r="G87" s="305"/>
    </row>
    <row r="88" spans="1:7" x14ac:dyDescent="0.3">
      <c r="A88" s="303" t="s">
        <v>1191</v>
      </c>
      <c r="B88" s="307" t="str">
        <f>RSD_HeatingDemand!H170</f>
        <v>RHHSC_S_WOF_04</v>
      </c>
      <c r="C88" s="307" t="str">
        <f>RSD_HeatingDemand!I170</f>
        <v>Wood stove</v>
      </c>
      <c r="D88" s="307" t="str">
        <f>RSD_HeatingDemand!J170</f>
        <v>MW</v>
      </c>
      <c r="E88" s="307" t="str">
        <f>RSD_HeatingDemand!K170</f>
        <v>TJ</v>
      </c>
      <c r="F88" s="304" t="s">
        <v>1251</v>
      </c>
      <c r="G88" s="305"/>
    </row>
    <row r="89" spans="1:7" x14ac:dyDescent="0.3">
      <c r="A89" s="303" t="s">
        <v>1191</v>
      </c>
      <c r="B89" s="307" t="str">
        <f>RSD_HeatingDemand!H171</f>
        <v>RHHSC_S_WOF_05</v>
      </c>
      <c r="C89" s="307" t="str">
        <f>RSD_HeatingDemand!I171</f>
        <v>Wood stove</v>
      </c>
      <c r="D89" s="307" t="str">
        <f>RSD_HeatingDemand!J171</f>
        <v>MW</v>
      </c>
      <c r="E89" s="307" t="str">
        <f>RSD_HeatingDemand!K171</f>
        <v>TJ</v>
      </c>
      <c r="F89" s="304" t="s">
        <v>1251</v>
      </c>
      <c r="G89" s="305"/>
    </row>
    <row r="90" spans="1:7" x14ac:dyDescent="0.3">
      <c r="A90" s="303" t="s">
        <v>1191</v>
      </c>
      <c r="B90" s="307" t="str">
        <f>RSD_HeatingDemand!H173</f>
        <v>RHHSC_S_WOF_06</v>
      </c>
      <c r="C90" s="307" t="str">
        <f>RSD_HeatingDemand!I173</f>
        <v>Wood stove</v>
      </c>
      <c r="D90" s="307" t="str">
        <f>RSD_HeatingDemand!J173</f>
        <v>MW</v>
      </c>
      <c r="E90" s="307" t="str">
        <f>RSD_HeatingDemand!K173</f>
        <v>TJ</v>
      </c>
      <c r="F90" s="304" t="s">
        <v>1251</v>
      </c>
      <c r="G90" s="305"/>
    </row>
    <row r="91" spans="1:7" x14ac:dyDescent="0.3">
      <c r="A91" s="303" t="s">
        <v>1191</v>
      </c>
      <c r="B91" s="307" t="str">
        <f>RSD_HeatingDemand!H175</f>
        <v>RHHSC_S_WOF_07</v>
      </c>
      <c r="C91" s="307" t="str">
        <f>RSD_HeatingDemand!I175</f>
        <v>Wood stove</v>
      </c>
      <c r="D91" s="307" t="str">
        <f>RSD_HeatingDemand!J175</f>
        <v>MW</v>
      </c>
      <c r="E91" s="307" t="str">
        <f>RSD_HeatingDemand!K175</f>
        <v>TJ</v>
      </c>
      <c r="F91" s="304" t="s">
        <v>1251</v>
      </c>
      <c r="G91" s="305"/>
    </row>
    <row r="92" spans="1:7" x14ac:dyDescent="0.3">
      <c r="A92" s="303" t="s">
        <v>1191</v>
      </c>
      <c r="B92" s="307" t="str">
        <f>RSD_HeatingDemand!H177</f>
        <v>RHHSC_S_WOF_08</v>
      </c>
      <c r="C92" s="307" t="str">
        <f>RSD_HeatingDemand!I177</f>
        <v>Wood stove</v>
      </c>
      <c r="D92" s="307" t="str">
        <f>RSD_HeatingDemand!J177</f>
        <v>MW</v>
      </c>
      <c r="E92" s="307" t="str">
        <f>RSD_HeatingDemand!K177</f>
        <v>TJ</v>
      </c>
      <c r="F92" s="304" t="s">
        <v>1251</v>
      </c>
      <c r="G92" s="305"/>
    </row>
    <row r="93" spans="1:7" x14ac:dyDescent="0.3">
      <c r="A93" s="303" t="s">
        <v>1191</v>
      </c>
      <c r="B93" s="307" t="str">
        <f>RSD_HeatingDemand!H179</f>
        <v>RHHSB_HP_ELC_01</v>
      </c>
      <c r="C93" s="307" t="str">
        <f>RSD_HeatingDemand!I179</f>
        <v>Electric heat pumps, Air-to-air</v>
      </c>
      <c r="D93" s="307" t="str">
        <f>RSD_HeatingDemand!J179</f>
        <v>MW</v>
      </c>
      <c r="E93" s="307" t="str">
        <f>RSD_HeatingDemand!K179</f>
        <v>TJ</v>
      </c>
      <c r="F93" s="304" t="s">
        <v>1251</v>
      </c>
      <c r="G93" s="305"/>
    </row>
    <row r="94" spans="1:7" x14ac:dyDescent="0.3">
      <c r="A94" s="303" t="s">
        <v>1191</v>
      </c>
      <c r="B94" s="307" t="str">
        <f>RSD_HeatingDemand!H182</f>
        <v>RHHSB_HP_ELC_02</v>
      </c>
      <c r="C94" s="307" t="str">
        <f>RSD_HeatingDemand!I182</f>
        <v>Electric heat pumps, Air-to-air</v>
      </c>
      <c r="D94" s="307" t="str">
        <f>RSD_HeatingDemand!J182</f>
        <v>MW</v>
      </c>
      <c r="E94" s="307" t="str">
        <f>RSD_HeatingDemand!K182</f>
        <v>TJ</v>
      </c>
      <c r="F94" s="304" t="s">
        <v>1251</v>
      </c>
      <c r="G94" s="305"/>
    </row>
    <row r="95" spans="1:7" x14ac:dyDescent="0.3">
      <c r="A95" s="303" t="s">
        <v>1191</v>
      </c>
      <c r="B95" s="307" t="str">
        <f>RSD_HeatingDemand!H185</f>
        <v>RHHSB_HP_ELC_03</v>
      </c>
      <c r="C95" s="307" t="str">
        <f>RSD_HeatingDemand!I185</f>
        <v>Electric heat pumps, Air-to-air</v>
      </c>
      <c r="D95" s="307" t="str">
        <f>RSD_HeatingDemand!J185</f>
        <v>MW</v>
      </c>
      <c r="E95" s="307" t="str">
        <f>RSD_HeatingDemand!K185</f>
        <v>TJ</v>
      </c>
      <c r="F95" s="304" t="s">
        <v>1251</v>
      </c>
      <c r="G95" s="305"/>
    </row>
    <row r="96" spans="1:7" x14ac:dyDescent="0.3">
      <c r="A96" s="303" t="s">
        <v>1191</v>
      </c>
      <c r="B96" s="307" t="str">
        <f>RSD_HeatingDemand!H189</f>
        <v>RHHSB_HP_ELC_04</v>
      </c>
      <c r="C96" s="307" t="str">
        <f>RSD_HeatingDemand!I189</f>
        <v>Electric heat pumps, Air-to-air</v>
      </c>
      <c r="D96" s="307" t="str">
        <f>RSD_HeatingDemand!J189</f>
        <v>MW</v>
      </c>
      <c r="E96" s="307" t="str">
        <f>RSD_HeatingDemand!K189</f>
        <v>TJ</v>
      </c>
      <c r="F96" s="304" t="s">
        <v>1251</v>
      </c>
      <c r="G96" s="305"/>
    </row>
    <row r="97" spans="1:7" x14ac:dyDescent="0.3">
      <c r="A97" s="303" t="s">
        <v>1191</v>
      </c>
      <c r="B97" s="307" t="str">
        <f>RSD_HeatingDemand!H193</f>
        <v>RHHSB_HP_ELC_05</v>
      </c>
      <c r="C97" s="307" t="str">
        <f>RSD_HeatingDemand!I193</f>
        <v>Electric heat pumps, Air-to-air</v>
      </c>
      <c r="D97" s="307" t="str">
        <f>RSD_HeatingDemand!J193</f>
        <v>MW</v>
      </c>
      <c r="E97" s="307" t="str">
        <f>RSD_HeatingDemand!K193</f>
        <v>TJ</v>
      </c>
      <c r="F97" s="304" t="s">
        <v>1251</v>
      </c>
      <c r="G97" s="305"/>
    </row>
    <row r="98" spans="1:7" x14ac:dyDescent="0.3">
      <c r="A98" s="303" t="s">
        <v>1191</v>
      </c>
      <c r="B98" s="307" t="str">
        <f>RSD_HeatingDemand!H196</f>
        <v>RHHSB_HP_ELC_06</v>
      </c>
      <c r="C98" s="307" t="str">
        <f>RSD_HeatingDemand!I196</f>
        <v>Electric heat pumps, Air-to-air</v>
      </c>
      <c r="D98" s="307" t="str">
        <f>RSD_HeatingDemand!J196</f>
        <v>MW</v>
      </c>
      <c r="E98" s="307" t="str">
        <f>RSD_HeatingDemand!K196</f>
        <v>TJ</v>
      </c>
      <c r="F98" s="304" t="s">
        <v>1251</v>
      </c>
      <c r="G98" s="305"/>
    </row>
    <row r="99" spans="1:7" x14ac:dyDescent="0.3">
      <c r="A99" s="303" t="s">
        <v>1191</v>
      </c>
      <c r="B99" s="307" t="str">
        <f>RSD_HeatingDemand!H199</f>
        <v>RHHSB_HP_ELC_07</v>
      </c>
      <c r="C99" s="307" t="str">
        <f>RSD_HeatingDemand!I199</f>
        <v>Electric heat pumps, Air-to-air</v>
      </c>
      <c r="D99" s="307" t="str">
        <f>RSD_HeatingDemand!J199</f>
        <v>MW</v>
      </c>
      <c r="E99" s="307" t="str">
        <f>RSD_HeatingDemand!K199</f>
        <v>TJ</v>
      </c>
      <c r="F99" s="304" t="s">
        <v>1251</v>
      </c>
      <c r="G99" s="305"/>
    </row>
    <row r="100" spans="1:7" x14ac:dyDescent="0.3">
      <c r="A100" s="303" t="s">
        <v>1191</v>
      </c>
      <c r="B100" s="307" t="str">
        <f>RSD_HeatingDemand!H203</f>
        <v>RHHSB_HP_ELC_08</v>
      </c>
      <c r="C100" s="307" t="str">
        <f>RSD_HeatingDemand!I203</f>
        <v>Electric heat pumps, Air-to-air</v>
      </c>
      <c r="D100" s="307" t="str">
        <f>RSD_HeatingDemand!J203</f>
        <v>MW</v>
      </c>
      <c r="E100" s="307" t="str">
        <f>RSD_HeatingDemand!K203</f>
        <v>TJ</v>
      </c>
      <c r="F100" s="304" t="s">
        <v>1251</v>
      </c>
      <c r="G100" s="305"/>
    </row>
    <row r="101" spans="1:7" x14ac:dyDescent="0.3">
      <c r="A101" s="303" t="s">
        <v>1191</v>
      </c>
      <c r="B101" s="307" t="str">
        <f>RSD_HeatingDemand!H207</f>
        <v>RHHSB_HP_ELC_09</v>
      </c>
      <c r="C101" s="307" t="str">
        <f>RSD_HeatingDemand!I207</f>
        <v>Electric heat pumps, Air-to-water</v>
      </c>
      <c r="D101" s="307" t="str">
        <f>RSD_HeatingDemand!J207</f>
        <v>MW</v>
      </c>
      <c r="E101" s="307" t="str">
        <f>RSD_HeatingDemand!K207</f>
        <v>TJ</v>
      </c>
      <c r="F101" s="304" t="s">
        <v>1251</v>
      </c>
      <c r="G101" s="305"/>
    </row>
    <row r="102" spans="1:7" x14ac:dyDescent="0.3">
      <c r="A102" s="303" t="s">
        <v>1191</v>
      </c>
      <c r="B102" s="307" t="str">
        <f>RSD_HeatingDemand!H211</f>
        <v>RHHSB_HP_ELC_10</v>
      </c>
      <c r="C102" s="307" t="str">
        <f>RSD_HeatingDemand!I211</f>
        <v>Electric heat pumps, Air-to-water</v>
      </c>
      <c r="D102" s="307" t="str">
        <f>RSD_HeatingDemand!J211</f>
        <v>MW</v>
      </c>
      <c r="E102" s="307" t="str">
        <f>RSD_HeatingDemand!K211</f>
        <v>TJ</v>
      </c>
      <c r="F102" s="304" t="s">
        <v>1251</v>
      </c>
      <c r="G102" s="305"/>
    </row>
    <row r="103" spans="1:7" x14ac:dyDescent="0.3">
      <c r="A103" s="303" t="s">
        <v>1191</v>
      </c>
      <c r="B103" s="307" t="str">
        <f>RSD_HeatingDemand!H215</f>
        <v>RHHSB_HP_ELC_11</v>
      </c>
      <c r="C103" s="307" t="str">
        <f>RSD_HeatingDemand!I215</f>
        <v>Electric heat pumps, Air-to-water</v>
      </c>
      <c r="D103" s="307" t="str">
        <f>RSD_HeatingDemand!J215</f>
        <v>MW</v>
      </c>
      <c r="E103" s="307" t="str">
        <f>RSD_HeatingDemand!K215</f>
        <v>TJ</v>
      </c>
      <c r="F103" s="304" t="s">
        <v>1251</v>
      </c>
      <c r="G103" s="305"/>
    </row>
    <row r="104" spans="1:7" x14ac:dyDescent="0.3">
      <c r="A104" s="303" t="s">
        <v>1191</v>
      </c>
      <c r="B104" s="307" t="str">
        <f>RSD_HeatingDemand!H219</f>
        <v>RHHSB_HP_ELC_12</v>
      </c>
      <c r="C104" s="307" t="str">
        <f>RSD_HeatingDemand!I219</f>
        <v>Electric heat pumps, Air-to-water</v>
      </c>
      <c r="D104" s="307" t="str">
        <f>RSD_HeatingDemand!J219</f>
        <v>MW</v>
      </c>
      <c r="E104" s="307" t="str">
        <f>RSD_HeatingDemand!K219</f>
        <v>TJ</v>
      </c>
      <c r="F104" s="304" t="s">
        <v>1251</v>
      </c>
      <c r="G104" s="305"/>
    </row>
    <row r="105" spans="1:7" x14ac:dyDescent="0.3">
      <c r="A105" s="303" t="s">
        <v>1191</v>
      </c>
      <c r="B105" s="307" t="str">
        <f>RSD_HeatingDemand!H223</f>
        <v>RHHSB_HP_ELC_13</v>
      </c>
      <c r="C105" s="307" t="str">
        <f>RSD_HeatingDemand!I223</f>
        <v>Electric heat pumps, Air-to-water</v>
      </c>
      <c r="D105" s="307" t="str">
        <f>RSD_HeatingDemand!J223</f>
        <v>MW</v>
      </c>
      <c r="E105" s="307" t="str">
        <f>RSD_HeatingDemand!K223</f>
        <v>TJ</v>
      </c>
      <c r="F105" s="304" t="s">
        <v>1251</v>
      </c>
      <c r="G105" s="305"/>
    </row>
    <row r="106" spans="1:7" x14ac:dyDescent="0.3">
      <c r="A106" s="303" t="s">
        <v>1191</v>
      </c>
      <c r="B106" s="307" t="str">
        <f>RSD_HeatingDemand!H227</f>
        <v>RHHSB_HP_ELC_14</v>
      </c>
      <c r="C106" s="307" t="str">
        <f>RSD_HeatingDemand!I227</f>
        <v>Electric heat pumps, Air-to-water</v>
      </c>
      <c r="D106" s="307" t="str">
        <f>RSD_HeatingDemand!J227</f>
        <v>MW</v>
      </c>
      <c r="E106" s="307" t="str">
        <f>RSD_HeatingDemand!K227</f>
        <v>TJ</v>
      </c>
      <c r="F106" s="304" t="s">
        <v>1251</v>
      </c>
      <c r="G106" s="305"/>
    </row>
    <row r="107" spans="1:7" x14ac:dyDescent="0.3">
      <c r="A107" s="303" t="s">
        <v>1191</v>
      </c>
      <c r="B107" s="307" t="str">
        <f>RSD_HeatingDemand!H231</f>
        <v>RHHSB_HP_ELC_15</v>
      </c>
      <c r="C107" s="307" t="str">
        <f>RSD_HeatingDemand!I231</f>
        <v>Electric heat pumps, Air-to-water</v>
      </c>
      <c r="D107" s="307" t="str">
        <f>RSD_HeatingDemand!J231</f>
        <v>MW</v>
      </c>
      <c r="E107" s="307" t="str">
        <f>RSD_HeatingDemand!K231</f>
        <v>TJ</v>
      </c>
      <c r="F107" s="304" t="s">
        <v>1251</v>
      </c>
      <c r="G107" s="305"/>
    </row>
    <row r="108" spans="1:7" x14ac:dyDescent="0.3">
      <c r="A108" s="303" t="s">
        <v>1191</v>
      </c>
      <c r="B108" s="307" t="str">
        <f>RSD_HeatingDemand!H235</f>
        <v>RHHSB_HP_ELC_16</v>
      </c>
      <c r="C108" s="307" t="str">
        <f>RSD_HeatingDemand!I235</f>
        <v>Electric heat pumps, Air-to-water</v>
      </c>
      <c r="D108" s="307" t="str">
        <f>RSD_HeatingDemand!J235</f>
        <v>MW</v>
      </c>
      <c r="E108" s="307" t="str">
        <f>RSD_HeatingDemand!K235</f>
        <v>TJ</v>
      </c>
      <c r="F108" s="304" t="s">
        <v>1251</v>
      </c>
      <c r="G108" s="305"/>
    </row>
    <row r="109" spans="1:7" x14ac:dyDescent="0.3">
      <c r="A109" s="303" t="s">
        <v>1191</v>
      </c>
      <c r="B109" s="307" t="str">
        <f>RSD_HeatingDemand!H239</f>
        <v>RHAPB_HP_ELC_01</v>
      </c>
      <c r="C109" s="307" t="str">
        <f>RSD_HeatingDemand!I239</f>
        <v>Electric heat pumps, Air-to-water</v>
      </c>
      <c r="D109" s="307" t="str">
        <f>RSD_HeatingDemand!J239</f>
        <v>MW</v>
      </c>
      <c r="E109" s="307" t="str">
        <f>RSD_HeatingDemand!K239</f>
        <v>TJ</v>
      </c>
      <c r="F109" s="304" t="s">
        <v>1251</v>
      </c>
      <c r="G109" s="305"/>
    </row>
    <row r="110" spans="1:7" x14ac:dyDescent="0.3">
      <c r="A110" s="303" t="s">
        <v>1191</v>
      </c>
      <c r="B110" s="307" t="str">
        <f>RSD_HeatingDemand!H243</f>
        <v>RHAPB_HP_ELC_02</v>
      </c>
      <c r="C110" s="307" t="str">
        <f>RSD_HeatingDemand!I243</f>
        <v>Electric heat pumps, Air-to-water</v>
      </c>
      <c r="D110" s="307" t="str">
        <f>RSD_HeatingDemand!J243</f>
        <v>MW</v>
      </c>
      <c r="E110" s="307" t="str">
        <f>RSD_HeatingDemand!K243</f>
        <v>TJ</v>
      </c>
      <c r="F110" s="304" t="s">
        <v>1251</v>
      </c>
      <c r="G110" s="305"/>
    </row>
    <row r="111" spans="1:7" x14ac:dyDescent="0.3">
      <c r="A111" s="303" t="s">
        <v>1191</v>
      </c>
      <c r="B111" s="307" t="str">
        <f>RSD_HeatingDemand!H247</f>
        <v>RHAPB_HP_ELC_03</v>
      </c>
      <c r="C111" s="307" t="str">
        <f>RSD_HeatingDemand!I247</f>
        <v>Electric heat pumps, Air-to-water</v>
      </c>
      <c r="D111" s="307" t="str">
        <f>RSD_HeatingDemand!J247</f>
        <v>MW</v>
      </c>
      <c r="E111" s="307" t="str">
        <f>RSD_HeatingDemand!K247</f>
        <v>TJ</v>
      </c>
      <c r="F111" s="304" t="s">
        <v>1251</v>
      </c>
      <c r="G111" s="305"/>
    </row>
    <row r="112" spans="1:7" x14ac:dyDescent="0.3">
      <c r="A112" s="303" t="s">
        <v>1191</v>
      </c>
      <c r="B112" s="307" t="str">
        <f>RSD_HeatingDemand!H251</f>
        <v>RHAPB_HP_ELC_04</v>
      </c>
      <c r="C112" s="307" t="str">
        <f>RSD_HeatingDemand!I251</f>
        <v>Electric heat pumps, Air-to-water</v>
      </c>
      <c r="D112" s="307" t="str">
        <f>RSD_HeatingDemand!J251</f>
        <v>MW</v>
      </c>
      <c r="E112" s="307" t="str">
        <f>RSD_HeatingDemand!K251</f>
        <v>TJ</v>
      </c>
      <c r="F112" s="304" t="s">
        <v>1251</v>
      </c>
      <c r="G112" s="305"/>
    </row>
    <row r="113" spans="1:7" x14ac:dyDescent="0.3">
      <c r="A113" s="303" t="s">
        <v>1191</v>
      </c>
      <c r="B113" s="307" t="str">
        <f>RSD_HeatingDemand!H255</f>
        <v>RHAPB_HP_ELC_05</v>
      </c>
      <c r="C113" s="307" t="str">
        <f>RSD_HeatingDemand!I255</f>
        <v>Electric heat pumps, Air-to-water</v>
      </c>
      <c r="D113" s="307" t="str">
        <f>RSD_HeatingDemand!J255</f>
        <v>MW</v>
      </c>
      <c r="E113" s="307" t="str">
        <f>RSD_HeatingDemand!K255</f>
        <v>TJ</v>
      </c>
      <c r="F113" s="304" t="s">
        <v>1251</v>
      </c>
      <c r="G113" s="305"/>
    </row>
    <row r="114" spans="1:7" x14ac:dyDescent="0.3">
      <c r="A114" s="303" t="s">
        <v>1191</v>
      </c>
      <c r="B114" s="307" t="str">
        <f>RSD_HeatingDemand!H259</f>
        <v>RHAPB_HP_ELC_06</v>
      </c>
      <c r="C114" s="307" t="str">
        <f>RSD_HeatingDemand!I259</f>
        <v>Electric heat pumps, Air-to-water</v>
      </c>
      <c r="D114" s="307" t="str">
        <f>RSD_HeatingDemand!J259</f>
        <v>MW</v>
      </c>
      <c r="E114" s="307" t="str">
        <f>RSD_HeatingDemand!K259</f>
        <v>TJ</v>
      </c>
      <c r="F114" s="304" t="s">
        <v>1251</v>
      </c>
      <c r="G114" s="305"/>
    </row>
    <row r="115" spans="1:7" x14ac:dyDescent="0.3">
      <c r="A115" s="303" t="s">
        <v>1191</v>
      </c>
      <c r="B115" s="307" t="str">
        <f>RSD_HeatingDemand!H263</f>
        <v>RHAPB_HP_ELC_07</v>
      </c>
      <c r="C115" s="307" t="str">
        <f>RSD_HeatingDemand!I263</f>
        <v>Electric heat pumps, Air-to-water</v>
      </c>
      <c r="D115" s="307" t="str">
        <f>RSD_HeatingDemand!J263</f>
        <v>MW</v>
      </c>
      <c r="E115" s="307" t="str">
        <f>RSD_HeatingDemand!K263</f>
        <v>TJ</v>
      </c>
      <c r="F115" s="304" t="s">
        <v>1251</v>
      </c>
      <c r="G115" s="305"/>
    </row>
    <row r="116" spans="1:7" x14ac:dyDescent="0.3">
      <c r="A116" s="303" t="s">
        <v>1191</v>
      </c>
      <c r="B116" s="307" t="str">
        <f>RSD_HeatingDemand!H267</f>
        <v>RHAPB_HP_ELC_08</v>
      </c>
      <c r="C116" s="307" t="str">
        <f>RSD_HeatingDemand!I267</f>
        <v>Electric heat pumps, Air-to-water</v>
      </c>
      <c r="D116" s="307" t="str">
        <f>RSD_HeatingDemand!J267</f>
        <v>MW</v>
      </c>
      <c r="E116" s="307" t="str">
        <f>RSD_HeatingDemand!K267</f>
        <v>TJ</v>
      </c>
      <c r="F116" s="304" t="s">
        <v>1251</v>
      </c>
      <c r="G116" s="305"/>
    </row>
    <row r="117" spans="1:7" x14ac:dyDescent="0.3">
      <c r="A117" s="303" t="s">
        <v>1191</v>
      </c>
      <c r="B117" s="307" t="str">
        <f>RSD_HeatingDemand!H271</f>
        <v>RHHSB_HP_ELC_17</v>
      </c>
      <c r="C117" s="307" t="str">
        <f>RSD_HeatingDemand!I271</f>
        <v>Electric heat pumps, Brine-to-water (ground source)</v>
      </c>
      <c r="D117" s="307" t="str">
        <f>RSD_HeatingDemand!J271</f>
        <v>MW</v>
      </c>
      <c r="E117" s="307" t="str">
        <f>RSD_HeatingDemand!K271</f>
        <v>TJ</v>
      </c>
      <c r="F117" s="304" t="s">
        <v>1251</v>
      </c>
      <c r="G117" s="305"/>
    </row>
    <row r="118" spans="1:7" x14ac:dyDescent="0.3">
      <c r="A118" s="303" t="s">
        <v>1191</v>
      </c>
      <c r="B118" s="307" t="str">
        <f>RSD_HeatingDemand!H275</f>
        <v>RHHSB_HP_ELC_18</v>
      </c>
      <c r="C118" s="307" t="str">
        <f>RSD_HeatingDemand!I275</f>
        <v>Electric heat pumps, Brine-to-water (ground source)</v>
      </c>
      <c r="D118" s="307" t="str">
        <f>RSD_HeatingDemand!J275</f>
        <v>MW</v>
      </c>
      <c r="E118" s="307" t="str">
        <f>RSD_HeatingDemand!K275</f>
        <v>TJ</v>
      </c>
      <c r="F118" s="304" t="s">
        <v>1251</v>
      </c>
      <c r="G118" s="305"/>
    </row>
    <row r="119" spans="1:7" x14ac:dyDescent="0.3">
      <c r="A119" s="303" t="s">
        <v>1191</v>
      </c>
      <c r="B119" s="307" t="str">
        <f>RSD_HeatingDemand!H279</f>
        <v>RHHSB_HP_ELC_19</v>
      </c>
      <c r="C119" s="307" t="str">
        <f>RSD_HeatingDemand!I279</f>
        <v>Electric heat pumps, Brine-to-water (ground source)</v>
      </c>
      <c r="D119" s="307" t="str">
        <f>RSD_HeatingDemand!J279</f>
        <v>MW</v>
      </c>
      <c r="E119" s="307" t="str">
        <f>RSD_HeatingDemand!K279</f>
        <v>TJ</v>
      </c>
      <c r="F119" s="304" t="s">
        <v>1251</v>
      </c>
      <c r="G119" s="305"/>
    </row>
    <row r="120" spans="1:7" x14ac:dyDescent="0.3">
      <c r="A120" s="303" t="s">
        <v>1191</v>
      </c>
      <c r="B120" s="307" t="str">
        <f>RSD_HeatingDemand!H283</f>
        <v>RHHSB_HP_ELC_20</v>
      </c>
      <c r="C120" s="307" t="str">
        <f>RSD_HeatingDemand!I283</f>
        <v>Electric heat pumps, Brine-to-water (ground source)</v>
      </c>
      <c r="D120" s="307" t="str">
        <f>RSD_HeatingDemand!J283</f>
        <v>MW</v>
      </c>
      <c r="E120" s="307" t="str">
        <f>RSD_HeatingDemand!K283</f>
        <v>TJ</v>
      </c>
      <c r="F120" s="304" t="s">
        <v>1251</v>
      </c>
      <c r="G120" s="305"/>
    </row>
    <row r="121" spans="1:7" x14ac:dyDescent="0.3">
      <c r="A121" s="303" t="s">
        <v>1191</v>
      </c>
      <c r="B121" s="307" t="str">
        <f>RSD_HeatingDemand!H287</f>
        <v>RHHSB_HP_ELC_21</v>
      </c>
      <c r="C121" s="307" t="str">
        <f>RSD_HeatingDemand!I287</f>
        <v>Electric heat pumps, Brine-to-water (ground source)</v>
      </c>
      <c r="D121" s="307" t="str">
        <f>RSD_HeatingDemand!J287</f>
        <v>MW</v>
      </c>
      <c r="E121" s="307" t="str">
        <f>RSD_HeatingDemand!K287</f>
        <v>TJ</v>
      </c>
      <c r="F121" s="304" t="s">
        <v>1251</v>
      </c>
      <c r="G121" s="305"/>
    </row>
    <row r="122" spans="1:7" x14ac:dyDescent="0.3">
      <c r="A122" s="303" t="s">
        <v>1191</v>
      </c>
      <c r="B122" s="307" t="str">
        <f>RSD_HeatingDemand!H291</f>
        <v>RHHSB_HP_ELC_22</v>
      </c>
      <c r="C122" s="307" t="str">
        <f>RSD_HeatingDemand!I291</f>
        <v>Electric heat pumps, Brine-to-water (ground source)</v>
      </c>
      <c r="D122" s="307" t="str">
        <f>RSD_HeatingDemand!J291</f>
        <v>MW</v>
      </c>
      <c r="E122" s="307" t="str">
        <f>RSD_HeatingDemand!K291</f>
        <v>TJ</v>
      </c>
      <c r="F122" s="304" t="s">
        <v>1251</v>
      </c>
      <c r="G122" s="305"/>
    </row>
    <row r="123" spans="1:7" x14ac:dyDescent="0.3">
      <c r="A123" s="303" t="s">
        <v>1191</v>
      </c>
      <c r="B123" s="307" t="str">
        <f>RSD_HeatingDemand!H295</f>
        <v>RHHSB_HP_ELC_23</v>
      </c>
      <c r="C123" s="307" t="str">
        <f>RSD_HeatingDemand!I295</f>
        <v>Electric heat pumps, Brine-to-water (ground source)</v>
      </c>
      <c r="D123" s="307" t="str">
        <f>RSD_HeatingDemand!J295</f>
        <v>MW</v>
      </c>
      <c r="E123" s="307" t="str">
        <f>RSD_HeatingDemand!K295</f>
        <v>TJ</v>
      </c>
      <c r="F123" s="304" t="s">
        <v>1251</v>
      </c>
      <c r="G123" s="305"/>
    </row>
    <row r="124" spans="1:7" x14ac:dyDescent="0.3">
      <c r="A124" s="303" t="s">
        <v>1191</v>
      </c>
      <c r="B124" s="307" t="str">
        <f>RSD_HeatingDemand!H299</f>
        <v>RHHSB_HP_ELC_24</v>
      </c>
      <c r="C124" s="307" t="str">
        <f>RSD_HeatingDemand!I299</f>
        <v>Electric heat pumps, Brine-to-water (ground source)</v>
      </c>
      <c r="D124" s="307" t="str">
        <f>RSD_HeatingDemand!J299</f>
        <v>MW</v>
      </c>
      <c r="E124" s="307" t="str">
        <f>RSD_HeatingDemand!K299</f>
        <v>TJ</v>
      </c>
      <c r="F124" s="304" t="s">
        <v>1251</v>
      </c>
      <c r="G124" s="305"/>
    </row>
    <row r="125" spans="1:7" x14ac:dyDescent="0.3">
      <c r="A125" s="303" t="s">
        <v>1191</v>
      </c>
      <c r="B125" s="307" t="str">
        <f>RSD_HeatingDemand!H303</f>
        <v>RHAPB_HP_ELC_09</v>
      </c>
      <c r="C125" s="307" t="str">
        <f>RSD_HeatingDemand!I303</f>
        <v>Electric heat pumps, Brine-to-water (ground source)</v>
      </c>
      <c r="D125" s="307" t="str">
        <f>RSD_HeatingDemand!J303</f>
        <v>MW</v>
      </c>
      <c r="E125" s="307" t="str">
        <f>RSD_HeatingDemand!K303</f>
        <v>TJ</v>
      </c>
      <c r="F125" s="304" t="s">
        <v>1251</v>
      </c>
      <c r="G125" s="305"/>
    </row>
    <row r="126" spans="1:7" x14ac:dyDescent="0.3">
      <c r="A126" s="303" t="s">
        <v>1191</v>
      </c>
      <c r="B126" s="307" t="str">
        <f>RSD_HeatingDemand!H307</f>
        <v>RHAPB_HP_ELC_10</v>
      </c>
      <c r="C126" s="307" t="str">
        <f>RSD_HeatingDemand!I307</f>
        <v>Electric heat pumps, Brine-to-water (ground source)</v>
      </c>
      <c r="D126" s="307" t="str">
        <f>RSD_HeatingDemand!J307</f>
        <v>MW</v>
      </c>
      <c r="E126" s="307" t="str">
        <f>RSD_HeatingDemand!K307</f>
        <v>TJ</v>
      </c>
      <c r="F126" s="304" t="s">
        <v>1251</v>
      </c>
      <c r="G126" s="305"/>
    </row>
    <row r="127" spans="1:7" x14ac:dyDescent="0.3">
      <c r="A127" s="303" t="s">
        <v>1191</v>
      </c>
      <c r="B127" s="307" t="str">
        <f>RSD_HeatingDemand!H311</f>
        <v>RHAPB_HP_ELC_11</v>
      </c>
      <c r="C127" s="307" t="str">
        <f>RSD_HeatingDemand!I311</f>
        <v>Electric heat pumps, Brine-to-water (ground source)</v>
      </c>
      <c r="D127" s="307" t="str">
        <f>RSD_HeatingDemand!J311</f>
        <v>MW</v>
      </c>
      <c r="E127" s="307" t="str">
        <f>RSD_HeatingDemand!K311</f>
        <v>TJ</v>
      </c>
      <c r="F127" s="304" t="s">
        <v>1251</v>
      </c>
      <c r="G127" s="305"/>
    </row>
    <row r="128" spans="1:7" x14ac:dyDescent="0.3">
      <c r="A128" s="303" t="s">
        <v>1191</v>
      </c>
      <c r="B128" s="307" t="str">
        <f>RSD_HeatingDemand!H315</f>
        <v>RHAPB_HP_ELC_12</v>
      </c>
      <c r="C128" s="307" t="str">
        <f>RSD_HeatingDemand!I315</f>
        <v>Electric heat pumps, Brine-to-water (ground source)</v>
      </c>
      <c r="D128" s="307" t="str">
        <f>RSD_HeatingDemand!J315</f>
        <v>MW</v>
      </c>
      <c r="E128" s="307" t="str">
        <f>RSD_HeatingDemand!K315</f>
        <v>TJ</v>
      </c>
      <c r="F128" s="304" t="s">
        <v>1251</v>
      </c>
      <c r="G128" s="305"/>
    </row>
    <row r="129" spans="1:7" x14ac:dyDescent="0.3">
      <c r="A129" s="303" t="s">
        <v>1191</v>
      </c>
      <c r="B129" s="307" t="str">
        <f>RSD_HeatingDemand!H319</f>
        <v>RHAPB_HP_ELC_13</v>
      </c>
      <c r="C129" s="307" t="str">
        <f>RSD_HeatingDemand!I319</f>
        <v>Electric heat pumps, Brine-to-water (ground source)</v>
      </c>
      <c r="D129" s="307" t="str">
        <f>RSD_HeatingDemand!J319</f>
        <v>MW</v>
      </c>
      <c r="E129" s="307" t="str">
        <f>RSD_HeatingDemand!K319</f>
        <v>TJ</v>
      </c>
      <c r="F129" s="304" t="s">
        <v>1251</v>
      </c>
      <c r="G129" s="305"/>
    </row>
    <row r="130" spans="1:7" x14ac:dyDescent="0.3">
      <c r="A130" s="303" t="s">
        <v>1191</v>
      </c>
      <c r="B130" s="307" t="str">
        <f>RSD_HeatingDemand!H323</f>
        <v>RHAPB_HP_ELC_14</v>
      </c>
      <c r="C130" s="307" t="str">
        <f>RSD_HeatingDemand!I323</f>
        <v>Electric heat pumps, Brine-to-water (ground source)</v>
      </c>
      <c r="D130" s="307" t="str">
        <f>RSD_HeatingDemand!J323</f>
        <v>MW</v>
      </c>
      <c r="E130" s="307" t="str">
        <f>RSD_HeatingDemand!K323</f>
        <v>TJ</v>
      </c>
      <c r="F130" s="304" t="s">
        <v>1251</v>
      </c>
      <c r="G130" s="305"/>
    </row>
    <row r="131" spans="1:7" x14ac:dyDescent="0.3">
      <c r="A131" s="303" t="s">
        <v>1191</v>
      </c>
      <c r="B131" s="307" t="str">
        <f>RSD_HeatingDemand!H327</f>
        <v>RHAPB_HP_ELC_15</v>
      </c>
      <c r="C131" s="307" t="str">
        <f>RSD_HeatingDemand!I327</f>
        <v>Electric heat pumps, Brine-to-water (ground source)</v>
      </c>
      <c r="D131" s="307" t="str">
        <f>RSD_HeatingDemand!J327</f>
        <v>MW</v>
      </c>
      <c r="E131" s="307" t="str">
        <f>RSD_HeatingDemand!K327</f>
        <v>TJ</v>
      </c>
      <c r="F131" s="304" t="s">
        <v>1251</v>
      </c>
      <c r="G131" s="305"/>
    </row>
    <row r="132" spans="1:7" x14ac:dyDescent="0.3">
      <c r="A132" s="303" t="s">
        <v>1191</v>
      </c>
      <c r="B132" s="307" t="str">
        <f>RSD_HeatingDemand!H331</f>
        <v>RHAPB_HP_ELC_16</v>
      </c>
      <c r="C132" s="307" t="str">
        <f>RSD_HeatingDemand!I331</f>
        <v>Electric heat pumps, Brine-to-water (ground source)</v>
      </c>
      <c r="D132" s="307" t="str">
        <f>RSD_HeatingDemand!J331</f>
        <v>MW</v>
      </c>
      <c r="E132" s="307" t="str">
        <f>RSD_HeatingDemand!K331</f>
        <v>TJ</v>
      </c>
      <c r="F132" s="304" t="s">
        <v>1251</v>
      </c>
      <c r="G132" s="305"/>
    </row>
    <row r="133" spans="1:7" x14ac:dyDescent="0.3">
      <c r="A133" s="303" t="s">
        <v>1191</v>
      </c>
      <c r="B133" s="307" t="str">
        <f>RSD_HeatingDemand!H335</f>
        <v>RHHSB_HP_ELC_25</v>
      </c>
      <c r="C133" s="307" t="str">
        <f>RSD_HeatingDemand!I335</f>
        <v>Electric heat pumps, Air-to-water</v>
      </c>
      <c r="D133" s="307" t="str">
        <f>RSD_HeatingDemand!J335</f>
        <v>MW</v>
      </c>
      <c r="E133" s="307" t="str">
        <f>RSD_HeatingDemand!K335</f>
        <v>TJ</v>
      </c>
      <c r="F133" s="304" t="s">
        <v>1251</v>
      </c>
      <c r="G133" s="305"/>
    </row>
    <row r="134" spans="1:7" x14ac:dyDescent="0.3">
      <c r="A134" s="303" t="s">
        <v>1191</v>
      </c>
      <c r="B134" s="307" t="str">
        <f>RSD_HeatingDemand!H339</f>
        <v>RHHSB_HP_ELC_26</v>
      </c>
      <c r="C134" s="307" t="str">
        <f>RSD_HeatingDemand!I339</f>
        <v>Electric heat pumps, Air-to-water</v>
      </c>
      <c r="D134" s="307" t="str">
        <f>RSD_HeatingDemand!J339</f>
        <v>MW</v>
      </c>
      <c r="E134" s="307" t="str">
        <f>RSD_HeatingDemand!K339</f>
        <v>TJ</v>
      </c>
      <c r="F134" s="304" t="s">
        <v>1251</v>
      </c>
      <c r="G134" s="305"/>
    </row>
    <row r="135" spans="1:7" x14ac:dyDescent="0.3">
      <c r="A135" s="303" t="s">
        <v>1191</v>
      </c>
      <c r="B135" s="307" t="str">
        <f>RSD_HeatingDemand!H343</f>
        <v>RHHSB_HP_ELC_27</v>
      </c>
      <c r="C135" s="307" t="str">
        <f>RSD_HeatingDemand!I343</f>
        <v>Electric heat pumps, Air-to-water</v>
      </c>
      <c r="D135" s="307" t="str">
        <f>RSD_HeatingDemand!J343</f>
        <v>MW</v>
      </c>
      <c r="E135" s="307" t="str">
        <f>RSD_HeatingDemand!K343</f>
        <v>TJ</v>
      </c>
      <c r="F135" s="304" t="s">
        <v>1251</v>
      </c>
      <c r="G135" s="305"/>
    </row>
    <row r="136" spans="1:7" x14ac:dyDescent="0.3">
      <c r="A136" s="303" t="s">
        <v>1191</v>
      </c>
      <c r="B136" s="307" t="str">
        <f>RSD_HeatingDemand!H347</f>
        <v>RHHSB_HP_ELC_28</v>
      </c>
      <c r="C136" s="307" t="str">
        <f>RSD_HeatingDemand!I347</f>
        <v>Electric heat pumps, Air-to-water</v>
      </c>
      <c r="D136" s="307" t="str">
        <f>RSD_HeatingDemand!J347</f>
        <v>MW</v>
      </c>
      <c r="E136" s="307" t="str">
        <f>RSD_HeatingDemand!K347</f>
        <v>TJ</v>
      </c>
      <c r="F136" s="304" t="s">
        <v>1251</v>
      </c>
      <c r="G136" s="305"/>
    </row>
    <row r="137" spans="1:7" x14ac:dyDescent="0.3">
      <c r="A137" s="303" t="s">
        <v>1191</v>
      </c>
      <c r="B137" s="307" t="str">
        <f>RSD_HeatingDemand!H351</f>
        <v>RHHSB_HP_ELC_29</v>
      </c>
      <c r="C137" s="307" t="str">
        <f>RSD_HeatingDemand!I351</f>
        <v>Electric heat pumps, Air-to-water</v>
      </c>
      <c r="D137" s="307" t="str">
        <f>RSD_HeatingDemand!J351</f>
        <v>MW</v>
      </c>
      <c r="E137" s="307" t="str">
        <f>RSD_HeatingDemand!K351</f>
        <v>TJ</v>
      </c>
      <c r="F137" s="304" t="s">
        <v>1251</v>
      </c>
      <c r="G137" s="305"/>
    </row>
    <row r="138" spans="1:7" x14ac:dyDescent="0.3">
      <c r="A138" s="303" t="s">
        <v>1191</v>
      </c>
      <c r="B138" s="307" t="str">
        <f>RSD_HeatingDemand!H355</f>
        <v>RHHSB_HP_ELC_30</v>
      </c>
      <c r="C138" s="307" t="str">
        <f>RSD_HeatingDemand!I355</f>
        <v>Electric heat pumps, Air-to-water</v>
      </c>
      <c r="D138" s="307" t="str">
        <f>RSD_HeatingDemand!J355</f>
        <v>MW</v>
      </c>
      <c r="E138" s="307" t="str">
        <f>RSD_HeatingDemand!K355</f>
        <v>TJ</v>
      </c>
      <c r="F138" s="304" t="s">
        <v>1251</v>
      </c>
      <c r="G138" s="305"/>
    </row>
    <row r="139" spans="1:7" x14ac:dyDescent="0.3">
      <c r="A139" s="303" t="s">
        <v>1191</v>
      </c>
      <c r="B139" s="307" t="str">
        <f>RSD_HeatingDemand!H359</f>
        <v>RHHSB_HP_ELC_31</v>
      </c>
      <c r="C139" s="307" t="str">
        <f>RSD_HeatingDemand!I359</f>
        <v>Electric heat pumps, Air-to-water</v>
      </c>
      <c r="D139" s="307" t="str">
        <f>RSD_HeatingDemand!J359</f>
        <v>MW</v>
      </c>
      <c r="E139" s="307" t="str">
        <f>RSD_HeatingDemand!K359</f>
        <v>TJ</v>
      </c>
      <c r="F139" s="304" t="s">
        <v>1251</v>
      </c>
      <c r="G139" s="305"/>
    </row>
    <row r="140" spans="1:7" x14ac:dyDescent="0.3">
      <c r="A140" s="303" t="s">
        <v>1191</v>
      </c>
      <c r="B140" s="307" t="str">
        <f>RSD_HeatingDemand!H363</f>
        <v>RHHSB_HP_ELC_32</v>
      </c>
      <c r="C140" s="307" t="str">
        <f>RSD_HeatingDemand!I363</f>
        <v>Electric heat pumps, Air-to-water</v>
      </c>
      <c r="D140" s="307" t="str">
        <f>RSD_HeatingDemand!J363</f>
        <v>MW</v>
      </c>
      <c r="E140" s="307" t="str">
        <f>RSD_HeatingDemand!K363</f>
        <v>TJ</v>
      </c>
      <c r="F140" s="304" t="s">
        <v>1251</v>
      </c>
      <c r="G140" s="305"/>
    </row>
    <row r="141" spans="1:7" x14ac:dyDescent="0.3">
      <c r="A141" s="303" t="s">
        <v>1191</v>
      </c>
      <c r="B141" s="307" t="str">
        <f>RSD_HeatingDemand!H367</f>
        <v>RHAPB_HP_ELC_17</v>
      </c>
      <c r="C141" s="307" t="str">
        <f>RSD_HeatingDemand!I367</f>
        <v>Electric heat pumps, Air-to-water</v>
      </c>
      <c r="D141" s="307" t="str">
        <f>RSD_HeatingDemand!J367</f>
        <v>MW</v>
      </c>
      <c r="E141" s="307" t="str">
        <f>RSD_HeatingDemand!K367</f>
        <v>TJ</v>
      </c>
      <c r="F141" s="304" t="s">
        <v>1251</v>
      </c>
      <c r="G141" s="305"/>
    </row>
    <row r="142" spans="1:7" x14ac:dyDescent="0.3">
      <c r="A142" s="303" t="s">
        <v>1191</v>
      </c>
      <c r="B142" s="307" t="str">
        <f>RSD_HeatingDemand!H371</f>
        <v>RHAPB_HP_ELC_18</v>
      </c>
      <c r="C142" s="307" t="str">
        <f>RSD_HeatingDemand!I371</f>
        <v>Electric heat pumps, Air-to-water</v>
      </c>
      <c r="D142" s="307" t="str">
        <f>RSD_HeatingDemand!J371</f>
        <v>MW</v>
      </c>
      <c r="E142" s="307" t="str">
        <f>RSD_HeatingDemand!K371</f>
        <v>TJ</v>
      </c>
      <c r="F142" s="304" t="s">
        <v>1251</v>
      </c>
      <c r="G142" s="305"/>
    </row>
    <row r="143" spans="1:7" x14ac:dyDescent="0.3">
      <c r="A143" s="303" t="s">
        <v>1191</v>
      </c>
      <c r="B143" s="307" t="str">
        <f>RSD_HeatingDemand!H375</f>
        <v>RHAPB_HP_ELC_19</v>
      </c>
      <c r="C143" s="307" t="str">
        <f>RSD_HeatingDemand!I375</f>
        <v>Electric heat pumps, Air-to-water</v>
      </c>
      <c r="D143" s="307" t="str">
        <f>RSD_HeatingDemand!J375</f>
        <v>MW</v>
      </c>
      <c r="E143" s="307" t="str">
        <f>RSD_HeatingDemand!K375</f>
        <v>TJ</v>
      </c>
      <c r="F143" s="304" t="s">
        <v>1251</v>
      </c>
      <c r="G143" s="305"/>
    </row>
    <row r="144" spans="1:7" x14ac:dyDescent="0.3">
      <c r="A144" s="303" t="s">
        <v>1191</v>
      </c>
      <c r="B144" s="307" t="str">
        <f>RSD_HeatingDemand!H379</f>
        <v>RHAPB_HP_ELC_20</v>
      </c>
      <c r="C144" s="307" t="str">
        <f>RSD_HeatingDemand!I379</f>
        <v>Electric heat pumps, Air-to-water</v>
      </c>
      <c r="D144" s="307" t="str">
        <f>RSD_HeatingDemand!J379</f>
        <v>MW</v>
      </c>
      <c r="E144" s="307" t="str">
        <f>RSD_HeatingDemand!K379</f>
        <v>TJ</v>
      </c>
      <c r="F144" s="304" t="s">
        <v>1251</v>
      </c>
      <c r="G144" s="305"/>
    </row>
    <row r="145" spans="1:7" x14ac:dyDescent="0.3">
      <c r="A145" s="303" t="s">
        <v>1191</v>
      </c>
      <c r="B145" s="307" t="str">
        <f>RSD_HeatingDemand!H383</f>
        <v>RHAPB_HP_ELC_21</v>
      </c>
      <c r="C145" s="307" t="str">
        <f>RSD_HeatingDemand!I383</f>
        <v>Electric heat pumps, Air-to-water</v>
      </c>
      <c r="D145" s="307" t="str">
        <f>RSD_HeatingDemand!J383</f>
        <v>MW</v>
      </c>
      <c r="E145" s="307" t="str">
        <f>RSD_HeatingDemand!K383</f>
        <v>TJ</v>
      </c>
      <c r="F145" s="304" t="s">
        <v>1251</v>
      </c>
      <c r="G145" s="305"/>
    </row>
    <row r="146" spans="1:7" x14ac:dyDescent="0.3">
      <c r="A146" s="303" t="s">
        <v>1191</v>
      </c>
      <c r="B146" s="307" t="str">
        <f>RSD_HeatingDemand!H387</f>
        <v>RHAPB_HP_ELC_22</v>
      </c>
      <c r="C146" s="307" t="str">
        <f>RSD_HeatingDemand!I387</f>
        <v>Electric heat pumps, Air-to-water</v>
      </c>
      <c r="D146" s="307" t="str">
        <f>RSD_HeatingDemand!J387</f>
        <v>MW</v>
      </c>
      <c r="E146" s="307" t="str">
        <f>RSD_HeatingDemand!K387</f>
        <v>TJ</v>
      </c>
      <c r="F146" s="304" t="s">
        <v>1251</v>
      </c>
      <c r="G146" s="305"/>
    </row>
    <row r="147" spans="1:7" x14ac:dyDescent="0.3">
      <c r="A147" s="303" t="s">
        <v>1191</v>
      </c>
      <c r="B147" s="307" t="str">
        <f>RSD_HeatingDemand!H391</f>
        <v>RHAPB_HP_ELC_23</v>
      </c>
      <c r="C147" s="307" t="str">
        <f>RSD_HeatingDemand!I391</f>
        <v>Electric heat pumps, Air-to-water</v>
      </c>
      <c r="D147" s="307" t="str">
        <f>RSD_HeatingDemand!J391</f>
        <v>MW</v>
      </c>
      <c r="E147" s="307" t="str">
        <f>RSD_HeatingDemand!K391</f>
        <v>TJ</v>
      </c>
      <c r="F147" s="304" t="s">
        <v>1251</v>
      </c>
      <c r="G147" s="305"/>
    </row>
    <row r="148" spans="1:7" x14ac:dyDescent="0.3">
      <c r="A148" s="303" t="s">
        <v>1191</v>
      </c>
      <c r="B148" s="307" t="str">
        <f>RSD_HeatingDemand!H395</f>
        <v>RHAPB_HP_ELC_24</v>
      </c>
      <c r="C148" s="307" t="str">
        <f>RSD_HeatingDemand!I395</f>
        <v>Electric heat pumps, Air-to-water</v>
      </c>
      <c r="D148" s="307" t="str">
        <f>RSD_HeatingDemand!J395</f>
        <v>MW</v>
      </c>
      <c r="E148" s="307" t="str">
        <f>RSD_HeatingDemand!K395</f>
        <v>TJ</v>
      </c>
      <c r="F148" s="304" t="s">
        <v>1251</v>
      </c>
      <c r="G148" s="305"/>
    </row>
    <row r="149" spans="1:7" x14ac:dyDescent="0.3">
      <c r="A149" s="303" t="s">
        <v>1191</v>
      </c>
      <c r="B149" s="307" t="str">
        <f>RSD_HeatingDemand!H399</f>
        <v>RHHSB_HP_ELC_33</v>
      </c>
      <c r="C149" s="307" t="str">
        <f>RSD_HeatingDemand!I399</f>
        <v>Electric heat pumps, Brine-to-water (ground source)</v>
      </c>
      <c r="D149" s="307" t="str">
        <f>RSD_HeatingDemand!J399</f>
        <v>MW</v>
      </c>
      <c r="E149" s="307" t="str">
        <f>RSD_HeatingDemand!K399</f>
        <v>TJ</v>
      </c>
      <c r="F149" s="304" t="s">
        <v>1251</v>
      </c>
      <c r="G149" s="305"/>
    </row>
    <row r="150" spans="1:7" x14ac:dyDescent="0.3">
      <c r="A150" s="303" t="s">
        <v>1191</v>
      </c>
      <c r="B150" s="307" t="str">
        <f>RSD_HeatingDemand!H403</f>
        <v>RHHSB_HP_ELC_34</v>
      </c>
      <c r="C150" s="307" t="str">
        <f>RSD_HeatingDemand!I403</f>
        <v>Electric heat pumps, Brine-to-water (ground source)</v>
      </c>
      <c r="D150" s="307" t="str">
        <f>RSD_HeatingDemand!J403</f>
        <v>MW</v>
      </c>
      <c r="E150" s="307" t="str">
        <f>RSD_HeatingDemand!K403</f>
        <v>TJ</v>
      </c>
      <c r="F150" s="304" t="s">
        <v>1251</v>
      </c>
      <c r="G150" s="305"/>
    </row>
    <row r="151" spans="1:7" x14ac:dyDescent="0.3">
      <c r="A151" s="303" t="s">
        <v>1191</v>
      </c>
      <c r="B151" s="307" t="str">
        <f>RSD_HeatingDemand!H407</f>
        <v>RHHSB_HP_ELC_35</v>
      </c>
      <c r="C151" s="307" t="str">
        <f>RSD_HeatingDemand!I407</f>
        <v>Electric heat pumps, Brine-to-water (ground source)</v>
      </c>
      <c r="D151" s="307" t="str">
        <f>RSD_HeatingDemand!J407</f>
        <v>MW</v>
      </c>
      <c r="E151" s="307" t="str">
        <f>RSD_HeatingDemand!K407</f>
        <v>TJ</v>
      </c>
      <c r="F151" s="304" t="s">
        <v>1251</v>
      </c>
      <c r="G151" s="305"/>
    </row>
    <row r="152" spans="1:7" x14ac:dyDescent="0.3">
      <c r="A152" s="303" t="s">
        <v>1191</v>
      </c>
      <c r="B152" s="307" t="str">
        <f>RSD_HeatingDemand!H411</f>
        <v>RHHSB_HP_ELC_36</v>
      </c>
      <c r="C152" s="307" t="str">
        <f>RSD_HeatingDemand!I411</f>
        <v>Electric heat pumps, Brine-to-water (ground source)</v>
      </c>
      <c r="D152" s="307" t="str">
        <f>RSD_HeatingDemand!J411</f>
        <v>MW</v>
      </c>
      <c r="E152" s="307" t="str">
        <f>RSD_HeatingDemand!K411</f>
        <v>TJ</v>
      </c>
      <c r="F152" s="304" t="s">
        <v>1251</v>
      </c>
      <c r="G152" s="305"/>
    </row>
    <row r="153" spans="1:7" x14ac:dyDescent="0.3">
      <c r="A153" s="303" t="s">
        <v>1191</v>
      </c>
      <c r="B153" s="307" t="str">
        <f>RSD_HeatingDemand!H415</f>
        <v>RHHSB_HP_ELC_37</v>
      </c>
      <c r="C153" s="307" t="str">
        <f>RSD_HeatingDemand!I415</f>
        <v>Electric heat pumps, Brine-to-water (ground source)</v>
      </c>
      <c r="D153" s="307" t="str">
        <f>RSD_HeatingDemand!J415</f>
        <v>MW</v>
      </c>
      <c r="E153" s="307" t="str">
        <f>RSD_HeatingDemand!K415</f>
        <v>TJ</v>
      </c>
      <c r="F153" s="304" t="s">
        <v>1251</v>
      </c>
      <c r="G153" s="305"/>
    </row>
    <row r="154" spans="1:7" x14ac:dyDescent="0.3">
      <c r="A154" s="303" t="s">
        <v>1191</v>
      </c>
      <c r="B154" s="307" t="str">
        <f>RSD_HeatingDemand!H419</f>
        <v>RHHSB_HP_ELC_38</v>
      </c>
      <c r="C154" s="307" t="str">
        <f>RSD_HeatingDemand!I419</f>
        <v>Electric heat pumps, Brine-to-water (ground source)</v>
      </c>
      <c r="D154" s="307" t="str">
        <f>RSD_HeatingDemand!J419</f>
        <v>MW</v>
      </c>
      <c r="E154" s="307" t="str">
        <f>RSD_HeatingDemand!K419</f>
        <v>TJ</v>
      </c>
      <c r="F154" s="304" t="s">
        <v>1251</v>
      </c>
      <c r="G154" s="305"/>
    </row>
    <row r="155" spans="1:7" x14ac:dyDescent="0.3">
      <c r="A155" s="303" t="s">
        <v>1191</v>
      </c>
      <c r="B155" s="307" t="str">
        <f>RSD_HeatingDemand!H423</f>
        <v>RHHSB_HP_ELC_39</v>
      </c>
      <c r="C155" s="307" t="str">
        <f>RSD_HeatingDemand!I423</f>
        <v>Electric heat pumps, Brine-to-water (ground source)</v>
      </c>
      <c r="D155" s="307" t="str">
        <f>RSD_HeatingDemand!J423</f>
        <v>MW</v>
      </c>
      <c r="E155" s="307" t="str">
        <f>RSD_HeatingDemand!K423</f>
        <v>TJ</v>
      </c>
      <c r="F155" s="304" t="s">
        <v>1251</v>
      </c>
      <c r="G155" s="305"/>
    </row>
    <row r="156" spans="1:7" x14ac:dyDescent="0.3">
      <c r="A156" s="303" t="s">
        <v>1191</v>
      </c>
      <c r="B156" s="307" t="str">
        <f>RSD_HeatingDemand!H427</f>
        <v>RHHSB_HP_ELC_40</v>
      </c>
      <c r="C156" s="307" t="str">
        <f>RSD_HeatingDemand!I427</f>
        <v>Electric heat pumps, Brine-to-water (ground source)</v>
      </c>
      <c r="D156" s="307" t="str">
        <f>RSD_HeatingDemand!J427</f>
        <v>MW</v>
      </c>
      <c r="E156" s="307" t="str">
        <f>RSD_HeatingDemand!K427</f>
        <v>TJ</v>
      </c>
      <c r="F156" s="304" t="s">
        <v>1251</v>
      </c>
      <c r="G156" s="305"/>
    </row>
    <row r="157" spans="1:7" x14ac:dyDescent="0.3">
      <c r="A157" s="303" t="s">
        <v>1191</v>
      </c>
      <c r="B157" s="307" t="str">
        <f>RSD_HeatingDemand!H431</f>
        <v>RHAPB_HP_ELC_25</v>
      </c>
      <c r="C157" s="307" t="str">
        <f>RSD_HeatingDemand!I431</f>
        <v>Electric heat pumps, Brine-to-water (ground source)</v>
      </c>
      <c r="D157" s="307" t="str">
        <f>RSD_HeatingDemand!J431</f>
        <v>MW</v>
      </c>
      <c r="E157" s="307" t="str">
        <f>RSD_HeatingDemand!K431</f>
        <v>TJ</v>
      </c>
      <c r="F157" s="304" t="s">
        <v>1251</v>
      </c>
      <c r="G157" s="305"/>
    </row>
    <row r="158" spans="1:7" x14ac:dyDescent="0.3">
      <c r="A158" s="303" t="s">
        <v>1191</v>
      </c>
      <c r="B158" s="307" t="str">
        <f>RSD_HeatingDemand!H435</f>
        <v>RHAPB_HP_ELC_26</v>
      </c>
      <c r="C158" s="307" t="str">
        <f>RSD_HeatingDemand!I435</f>
        <v>Electric heat pumps, Brine-to-water (ground source)</v>
      </c>
      <c r="D158" s="307" t="str">
        <f>RSD_HeatingDemand!J435</f>
        <v>MW</v>
      </c>
      <c r="E158" s="307" t="str">
        <f>RSD_HeatingDemand!K435</f>
        <v>TJ</v>
      </c>
      <c r="F158" s="304" t="s">
        <v>1251</v>
      </c>
      <c r="G158" s="305"/>
    </row>
    <row r="159" spans="1:7" x14ac:dyDescent="0.3">
      <c r="A159" s="303" t="s">
        <v>1191</v>
      </c>
      <c r="B159" s="307" t="str">
        <f>RSD_HeatingDemand!H439</f>
        <v>RHAPB_HP_ELC_27</v>
      </c>
      <c r="C159" s="307" t="str">
        <f>RSD_HeatingDemand!I439</f>
        <v>Electric heat pumps, Brine-to-water (ground source)</v>
      </c>
      <c r="D159" s="307" t="str">
        <f>RSD_HeatingDemand!J439</f>
        <v>MW</v>
      </c>
      <c r="E159" s="307" t="str">
        <f>RSD_HeatingDemand!K439</f>
        <v>TJ</v>
      </c>
      <c r="F159" s="304" t="s">
        <v>1251</v>
      </c>
      <c r="G159" s="305"/>
    </row>
    <row r="160" spans="1:7" x14ac:dyDescent="0.3">
      <c r="A160" s="303" t="s">
        <v>1191</v>
      </c>
      <c r="B160" s="307" t="str">
        <f>RSD_HeatingDemand!H443</f>
        <v>RHAPB_HP_ELC_28</v>
      </c>
      <c r="C160" s="307" t="str">
        <f>RSD_HeatingDemand!I443</f>
        <v>Electric heat pumps, Brine-to-water (ground source)</v>
      </c>
      <c r="D160" s="307" t="str">
        <f>RSD_HeatingDemand!J443</f>
        <v>MW</v>
      </c>
      <c r="E160" s="307" t="str">
        <f>RSD_HeatingDemand!K443</f>
        <v>TJ</v>
      </c>
      <c r="F160" s="304" t="s">
        <v>1251</v>
      </c>
      <c r="G160" s="305"/>
    </row>
    <row r="161" spans="1:7" x14ac:dyDescent="0.3">
      <c r="A161" s="303" t="s">
        <v>1191</v>
      </c>
      <c r="B161" s="307" t="str">
        <f>RSD_HeatingDemand!H447</f>
        <v>RHAPB_HP_ELC_29</v>
      </c>
      <c r="C161" s="307" t="str">
        <f>RSD_HeatingDemand!I447</f>
        <v>Electric heat pumps, Brine-to-water (ground source)</v>
      </c>
      <c r="D161" s="307" t="str">
        <f>RSD_HeatingDemand!J447</f>
        <v>MW</v>
      </c>
      <c r="E161" s="307" t="str">
        <f>RSD_HeatingDemand!K447</f>
        <v>TJ</v>
      </c>
      <c r="F161" s="304" t="s">
        <v>1251</v>
      </c>
      <c r="G161" s="305"/>
    </row>
    <row r="162" spans="1:7" x14ac:dyDescent="0.3">
      <c r="A162" s="303" t="s">
        <v>1191</v>
      </c>
      <c r="B162" s="307" t="str">
        <f>RSD_HeatingDemand!H451</f>
        <v>RHAPB_HP_ELC_30</v>
      </c>
      <c r="C162" s="307" t="str">
        <f>RSD_HeatingDemand!I451</f>
        <v>Electric heat pumps, Brine-to-water (ground source)</v>
      </c>
      <c r="D162" s="307" t="str">
        <f>RSD_HeatingDemand!J451</f>
        <v>MW</v>
      </c>
      <c r="E162" s="307" t="str">
        <f>RSD_HeatingDemand!K451</f>
        <v>TJ</v>
      </c>
      <c r="F162" s="304" t="s">
        <v>1251</v>
      </c>
      <c r="G162" s="305"/>
    </row>
    <row r="163" spans="1:7" x14ac:dyDescent="0.3">
      <c r="A163" s="303" t="s">
        <v>1191</v>
      </c>
      <c r="B163" s="307" t="str">
        <f>RSD_HeatingDemand!H455</f>
        <v>RHAPB_HP_ELC_31</v>
      </c>
      <c r="C163" s="307" t="str">
        <f>RSD_HeatingDemand!I455</f>
        <v>Electric heat pumps, Brine-to-water (ground source)</v>
      </c>
      <c r="D163" s="307" t="str">
        <f>RSD_HeatingDemand!J455</f>
        <v>MW</v>
      </c>
      <c r="E163" s="307" t="str">
        <f>RSD_HeatingDemand!K455</f>
        <v>TJ</v>
      </c>
      <c r="F163" s="304" t="s">
        <v>1251</v>
      </c>
      <c r="G163" s="305"/>
    </row>
    <row r="164" spans="1:7" x14ac:dyDescent="0.3">
      <c r="A164" s="303" t="s">
        <v>1191</v>
      </c>
      <c r="B164" s="307" t="str">
        <f>RSD_HeatingDemand!H459</f>
        <v>RHAPB_HP_ELC_32</v>
      </c>
      <c r="C164" s="307" t="str">
        <f>RSD_HeatingDemand!I459</f>
        <v>Electric heat pumps, Brine-to-water (ground source)</v>
      </c>
      <c r="D164" s="307" t="str">
        <f>RSD_HeatingDemand!J459</f>
        <v>MW</v>
      </c>
      <c r="E164" s="307" t="str">
        <f>RSD_HeatingDemand!K459</f>
        <v>TJ</v>
      </c>
      <c r="F164" s="304" t="s">
        <v>1251</v>
      </c>
      <c r="G164" s="305"/>
    </row>
    <row r="165" spans="1:7" x14ac:dyDescent="0.3">
      <c r="A165" s="303" t="s">
        <v>1191</v>
      </c>
      <c r="B165" s="307" t="str">
        <f>RSD_HeatingDemand!H463</f>
        <v>RHHSB_HP_ELC_41</v>
      </c>
      <c r="C165" s="307" t="str">
        <f>RSD_HeatingDemand!I463</f>
        <v>Electric heat pumps, Ventilation</v>
      </c>
      <c r="D165" s="307" t="str">
        <f>RSD_HeatingDemand!J463</f>
        <v>MW</v>
      </c>
      <c r="E165" s="307" t="str">
        <f>RSD_HeatingDemand!K463</f>
        <v>TJ</v>
      </c>
      <c r="F165" s="304" t="s">
        <v>1251</v>
      </c>
      <c r="G165" s="305"/>
    </row>
    <row r="166" spans="1:7" x14ac:dyDescent="0.3">
      <c r="A166" s="303" t="s">
        <v>1191</v>
      </c>
      <c r="B166" s="307" t="str">
        <f>RSD_HeatingDemand!H467</f>
        <v>RHHSB_HP_ELC_42</v>
      </c>
      <c r="C166" s="307" t="str">
        <f>RSD_HeatingDemand!I467</f>
        <v>Electric heat pumps, Ventilation</v>
      </c>
      <c r="D166" s="307" t="str">
        <f>RSD_HeatingDemand!J467</f>
        <v>MW</v>
      </c>
      <c r="E166" s="307" t="str">
        <f>RSD_HeatingDemand!K467</f>
        <v>TJ</v>
      </c>
      <c r="F166" s="304" t="s">
        <v>1251</v>
      </c>
      <c r="G166" s="305"/>
    </row>
    <row r="167" spans="1:7" x14ac:dyDescent="0.3">
      <c r="A167" s="303" t="s">
        <v>1191</v>
      </c>
      <c r="B167" s="307" t="str">
        <f>RSD_HeatingDemand!H471</f>
        <v>RHHSB_HP_ELC_43</v>
      </c>
      <c r="C167" s="307" t="str">
        <f>RSD_HeatingDemand!I471</f>
        <v>Electric heat pumps, Ventilation</v>
      </c>
      <c r="D167" s="307" t="str">
        <f>RSD_HeatingDemand!J471</f>
        <v>MW</v>
      </c>
      <c r="E167" s="307" t="str">
        <f>RSD_HeatingDemand!K471</f>
        <v>TJ</v>
      </c>
      <c r="F167" s="304" t="s">
        <v>1251</v>
      </c>
      <c r="G167" s="305"/>
    </row>
    <row r="168" spans="1:7" x14ac:dyDescent="0.3">
      <c r="A168" s="303" t="s">
        <v>1191</v>
      </c>
      <c r="B168" s="307" t="str">
        <f>RSD_HeatingDemand!H475</f>
        <v>RHHSB_HP_ELC_44</v>
      </c>
      <c r="C168" s="307" t="str">
        <f>RSD_HeatingDemand!I475</f>
        <v>Electric heat pumps, Ventilation</v>
      </c>
      <c r="D168" s="307" t="str">
        <f>RSD_HeatingDemand!J475</f>
        <v>MW</v>
      </c>
      <c r="E168" s="307" t="str">
        <f>RSD_HeatingDemand!K475</f>
        <v>TJ</v>
      </c>
      <c r="F168" s="304" t="s">
        <v>1251</v>
      </c>
      <c r="G168" s="305"/>
    </row>
    <row r="169" spans="1:7" x14ac:dyDescent="0.3">
      <c r="A169" s="303" t="s">
        <v>1191</v>
      </c>
      <c r="B169" s="307" t="str">
        <f>RSD_HeatingDemand!H479</f>
        <v>RHAPB_HP_ELC_33</v>
      </c>
      <c r="C169" s="307" t="str">
        <f>RSD_HeatingDemand!I479</f>
        <v>Electric heat pumps, Ventilation</v>
      </c>
      <c r="D169" s="307" t="str">
        <f>RSD_HeatingDemand!J479</f>
        <v>MW</v>
      </c>
      <c r="E169" s="307" t="str">
        <f>RSD_HeatingDemand!K479</f>
        <v>TJ</v>
      </c>
      <c r="F169" s="304" t="s">
        <v>1251</v>
      </c>
      <c r="G169" s="305"/>
    </row>
    <row r="170" spans="1:7" x14ac:dyDescent="0.3">
      <c r="A170" s="303" t="s">
        <v>1191</v>
      </c>
      <c r="B170" s="307" t="str">
        <f>RSD_HeatingDemand!H483</f>
        <v>RHAPB_HP_ELC_34</v>
      </c>
      <c r="C170" s="307" t="str">
        <f>RSD_HeatingDemand!I483</f>
        <v>Electric heat pumps, Ventilation</v>
      </c>
      <c r="D170" s="307" t="str">
        <f>RSD_HeatingDemand!J483</f>
        <v>MW</v>
      </c>
      <c r="E170" s="307" t="str">
        <f>RSD_HeatingDemand!K483</f>
        <v>TJ</v>
      </c>
      <c r="F170" s="304" t="s">
        <v>1251</v>
      </c>
      <c r="G170" s="305"/>
    </row>
    <row r="171" spans="1:7" x14ac:dyDescent="0.3">
      <c r="A171" s="303" t="s">
        <v>1191</v>
      </c>
      <c r="B171" s="307" t="str">
        <f>RSD_HeatingDemand!H487</f>
        <v>RHAPB_HP_ELC_35</v>
      </c>
      <c r="C171" s="307" t="str">
        <f>RSD_HeatingDemand!I487</f>
        <v>Electric heat pumps, Ventilation</v>
      </c>
      <c r="D171" s="307" t="str">
        <f>RSD_HeatingDemand!J487</f>
        <v>MW</v>
      </c>
      <c r="E171" s="307" t="str">
        <f>RSD_HeatingDemand!K487</f>
        <v>TJ</v>
      </c>
      <c r="F171" s="304" t="s">
        <v>1251</v>
      </c>
      <c r="G171" s="305"/>
    </row>
    <row r="172" spans="1:7" x14ac:dyDescent="0.3">
      <c r="A172" s="303" t="s">
        <v>1191</v>
      </c>
      <c r="B172" s="307" t="str">
        <f>RSD_HeatingDemand!H491</f>
        <v>RHAPB_HP_ELC_36</v>
      </c>
      <c r="C172" s="307" t="str">
        <f>RSD_HeatingDemand!I491</f>
        <v>Electric heat pumps, Ventilation</v>
      </c>
      <c r="D172" s="307" t="str">
        <f>RSD_HeatingDemand!J491</f>
        <v>MW</v>
      </c>
      <c r="E172" s="307" t="str">
        <f>RSD_HeatingDemand!K491</f>
        <v>TJ</v>
      </c>
      <c r="F172" s="304" t="s">
        <v>1251</v>
      </c>
      <c r="G172" s="305"/>
    </row>
    <row r="173" spans="1:7" x14ac:dyDescent="0.3">
      <c r="A173" s="303" t="s">
        <v>1191</v>
      </c>
      <c r="B173" s="307" t="str">
        <f>RSD_HeatingDemand!H495</f>
        <v>RHHSB_HP_GAS_01</v>
      </c>
      <c r="C173" s="307" t="str">
        <f>RSD_HeatingDemand!I495</f>
        <v>Gas driven absorption heat pumps, air-to-water</v>
      </c>
      <c r="D173" s="307" t="str">
        <f>RSD_HeatingDemand!J495</f>
        <v>MW</v>
      </c>
      <c r="E173" s="307" t="str">
        <f>RSD_HeatingDemand!K495</f>
        <v>TJ</v>
      </c>
      <c r="F173" s="304" t="s">
        <v>1251</v>
      </c>
      <c r="G173" s="305"/>
    </row>
    <row r="174" spans="1:7" x14ac:dyDescent="0.3">
      <c r="A174" s="303" t="s">
        <v>1191</v>
      </c>
      <c r="B174" s="307" t="str">
        <f>RSD_HeatingDemand!H499</f>
        <v>RHHSB_HP_GAS_02</v>
      </c>
      <c r="C174" s="307" t="str">
        <f>RSD_HeatingDemand!I499</f>
        <v>Gas driven absorption heat pumps, air-to-water</v>
      </c>
      <c r="D174" s="307" t="str">
        <f>RSD_HeatingDemand!J499</f>
        <v>MW</v>
      </c>
      <c r="E174" s="307" t="str">
        <f>RSD_HeatingDemand!K499</f>
        <v>TJ</v>
      </c>
      <c r="F174" s="304" t="s">
        <v>1251</v>
      </c>
      <c r="G174" s="305"/>
    </row>
    <row r="175" spans="1:7" x14ac:dyDescent="0.3">
      <c r="A175" s="303" t="s">
        <v>1191</v>
      </c>
      <c r="B175" s="307" t="str">
        <f>RSD_HeatingDemand!H503</f>
        <v>RHHSB_HP_GAS_03</v>
      </c>
      <c r="C175" s="307" t="str">
        <f>RSD_HeatingDemand!I503</f>
        <v>Gas driven absorption heat pumps, air-to-water</v>
      </c>
      <c r="D175" s="307" t="str">
        <f>RSD_HeatingDemand!J503</f>
        <v>MW</v>
      </c>
      <c r="E175" s="307" t="str">
        <f>RSD_HeatingDemand!K503</f>
        <v>TJ</v>
      </c>
      <c r="F175" s="304" t="s">
        <v>1251</v>
      </c>
      <c r="G175" s="305"/>
    </row>
    <row r="176" spans="1:7" x14ac:dyDescent="0.3">
      <c r="A176" s="303" t="s">
        <v>1191</v>
      </c>
      <c r="B176" s="307" t="str">
        <f>RSD_HeatingDemand!H507</f>
        <v>RHHSB_HP_GAS_04</v>
      </c>
      <c r="C176" s="307" t="str">
        <f>RSD_HeatingDemand!I507</f>
        <v>Gas driven absorption heat pumps, air-to-water</v>
      </c>
      <c r="D176" s="307" t="str">
        <f>RSD_HeatingDemand!J507</f>
        <v>MW</v>
      </c>
      <c r="E176" s="307" t="str">
        <f>RSD_HeatingDemand!K507</f>
        <v>TJ</v>
      </c>
      <c r="F176" s="304" t="s">
        <v>1251</v>
      </c>
      <c r="G176" s="305"/>
    </row>
    <row r="177" spans="1:7" x14ac:dyDescent="0.3">
      <c r="A177" s="303" t="s">
        <v>1191</v>
      </c>
      <c r="B177" s="307" t="str">
        <f>RSD_HeatingDemand!H511</f>
        <v>RHHSB_HP_GAS_05</v>
      </c>
      <c r="C177" s="307" t="str">
        <f>RSD_HeatingDemand!I511</f>
        <v>Gas driven absorption heat pumps, brine-to-water</v>
      </c>
      <c r="D177" s="307" t="str">
        <f>RSD_HeatingDemand!J511</f>
        <v>MW</v>
      </c>
      <c r="E177" s="307" t="str">
        <f>RSD_HeatingDemand!K511</f>
        <v>TJ</v>
      </c>
      <c r="F177" s="304" t="s">
        <v>1251</v>
      </c>
      <c r="G177" s="305"/>
    </row>
    <row r="178" spans="1:7" x14ac:dyDescent="0.3">
      <c r="A178" s="303" t="s">
        <v>1191</v>
      </c>
      <c r="B178" s="307" t="str">
        <f>RSD_HeatingDemand!H515</f>
        <v>RHHSB_HP_GAS_06</v>
      </c>
      <c r="C178" s="307" t="str">
        <f>RSD_HeatingDemand!I515</f>
        <v>Gas driven absorption heat pumps, brine-to-water</v>
      </c>
      <c r="D178" s="307" t="str">
        <f>RSD_HeatingDemand!J515</f>
        <v>MW</v>
      </c>
      <c r="E178" s="307" t="str">
        <f>RSD_HeatingDemand!K515</f>
        <v>TJ</v>
      </c>
      <c r="F178" s="304" t="s">
        <v>1251</v>
      </c>
      <c r="G178" s="305"/>
    </row>
    <row r="179" spans="1:7" x14ac:dyDescent="0.3">
      <c r="A179" s="303" t="s">
        <v>1191</v>
      </c>
      <c r="B179" s="307" t="str">
        <f>RSD_HeatingDemand!H519</f>
        <v>RHHSB_HP_GAS_07</v>
      </c>
      <c r="C179" s="307" t="str">
        <f>RSD_HeatingDemand!I519</f>
        <v>Gas driven absorption heat pumps, brine-to-water</v>
      </c>
      <c r="D179" s="307" t="str">
        <f>RSD_HeatingDemand!J519</f>
        <v>MW</v>
      </c>
      <c r="E179" s="307" t="str">
        <f>RSD_HeatingDemand!K519</f>
        <v>TJ</v>
      </c>
      <c r="F179" s="304" t="s">
        <v>1251</v>
      </c>
      <c r="G179" s="305"/>
    </row>
    <row r="180" spans="1:7" x14ac:dyDescent="0.3">
      <c r="A180" s="303" t="s">
        <v>1191</v>
      </c>
      <c r="B180" s="307" t="str">
        <f>RSD_HeatingDemand!H523</f>
        <v>RHHSB_HP_GAS_08</v>
      </c>
      <c r="C180" s="307" t="str">
        <f>RSD_HeatingDemand!I523</f>
        <v>Gas driven absorption heat pumps, brine-to-water</v>
      </c>
      <c r="D180" s="307" t="str">
        <f>RSD_HeatingDemand!J523</f>
        <v>MW</v>
      </c>
      <c r="E180" s="307" t="str">
        <f>RSD_HeatingDemand!K523</f>
        <v>TJ</v>
      </c>
      <c r="F180" s="304" t="s">
        <v>1251</v>
      </c>
      <c r="G180" s="305"/>
    </row>
    <row r="181" spans="1:7" x14ac:dyDescent="0.3">
      <c r="A181" s="303" t="s">
        <v>1191</v>
      </c>
      <c r="B181" s="307" t="str">
        <f>RSD_HeatingDemand!H527</f>
        <v>RHAPB_HP_GAS_03</v>
      </c>
      <c r="C181" s="307" t="str">
        <f>RSD_HeatingDemand!I527</f>
        <v>Gas driven absorption heat pumps, air-to-water</v>
      </c>
      <c r="D181" s="307" t="str">
        <f>RSD_HeatingDemand!J527</f>
        <v>MW</v>
      </c>
      <c r="E181" s="307" t="str">
        <f>RSD_HeatingDemand!K527</f>
        <v>TJ</v>
      </c>
      <c r="F181" s="304" t="s">
        <v>1251</v>
      </c>
      <c r="G181" s="305"/>
    </row>
    <row r="182" spans="1:7" x14ac:dyDescent="0.3">
      <c r="A182" s="303" t="s">
        <v>1191</v>
      </c>
      <c r="B182" s="307" t="str">
        <f>RSD_HeatingDemand!H531</f>
        <v>RHAPB_HP_GAS_04</v>
      </c>
      <c r="C182" s="307" t="str">
        <f>RSD_HeatingDemand!I531</f>
        <v>Gas driven absorption heat pumps, air-to-water</v>
      </c>
      <c r="D182" s="307" t="str">
        <f>RSD_HeatingDemand!J531</f>
        <v>MW</v>
      </c>
      <c r="E182" s="307" t="str">
        <f>RSD_HeatingDemand!K531</f>
        <v>TJ</v>
      </c>
      <c r="F182" s="304" t="s">
        <v>1251</v>
      </c>
      <c r="G182" s="305"/>
    </row>
    <row r="183" spans="1:7" x14ac:dyDescent="0.3">
      <c r="A183" s="303" t="s">
        <v>1191</v>
      </c>
      <c r="B183" s="307" t="str">
        <f>RSD_HeatingDemand!H535</f>
        <v>RHAPB_HP_GAS_05</v>
      </c>
      <c r="C183" s="307" t="str">
        <f>RSD_HeatingDemand!I535</f>
        <v>Gas driven absorption heat pumps, air-to-water</v>
      </c>
      <c r="D183" s="307" t="str">
        <f>RSD_HeatingDemand!J535</f>
        <v>MW</v>
      </c>
      <c r="E183" s="307" t="str">
        <f>RSD_HeatingDemand!K535</f>
        <v>TJ</v>
      </c>
      <c r="F183" s="304" t="s">
        <v>1251</v>
      </c>
      <c r="G183" s="305"/>
    </row>
    <row r="184" spans="1:7" x14ac:dyDescent="0.3">
      <c r="A184" s="303" t="s">
        <v>1191</v>
      </c>
      <c r="B184" s="307" t="str">
        <f>RSD_HeatingDemand!H539</f>
        <v>RHAPB_HP_GAS_06</v>
      </c>
      <c r="C184" s="307" t="str">
        <f>RSD_HeatingDemand!I539</f>
        <v>Gas driven absorption heat pumps, air-to-water</v>
      </c>
      <c r="D184" s="307" t="str">
        <f>RSD_HeatingDemand!J539</f>
        <v>MW</v>
      </c>
      <c r="E184" s="307" t="str">
        <f>RSD_HeatingDemand!K539</f>
        <v>TJ</v>
      </c>
      <c r="F184" s="304" t="s">
        <v>1251</v>
      </c>
      <c r="G184" s="305"/>
    </row>
    <row r="185" spans="1:7" x14ac:dyDescent="0.3">
      <c r="A185" s="303" t="s">
        <v>1191</v>
      </c>
      <c r="B185" s="307" t="str">
        <f>RSD_HeatingDemand!H543</f>
        <v>RHAPB_HP_GAS_07</v>
      </c>
      <c r="C185" s="307" t="str">
        <f>RSD_HeatingDemand!I543</f>
        <v>Gas driven absorption heat pumps, brine-to-water</v>
      </c>
      <c r="D185" s="307" t="str">
        <f>RSD_HeatingDemand!J543</f>
        <v>MW</v>
      </c>
      <c r="E185" s="307" t="str">
        <f>RSD_HeatingDemand!K543</f>
        <v>TJ</v>
      </c>
      <c r="F185" s="304" t="s">
        <v>1251</v>
      </c>
      <c r="G185" s="305"/>
    </row>
    <row r="186" spans="1:7" x14ac:dyDescent="0.3">
      <c r="A186" s="303" t="s">
        <v>1191</v>
      </c>
      <c r="B186" s="307" t="str">
        <f>RSD_HeatingDemand!H547</f>
        <v>RHAPB_HP_GAS_08</v>
      </c>
      <c r="C186" s="307" t="str">
        <f>RSD_HeatingDemand!I547</f>
        <v>Gas driven absorption heat pumps, brine-to-water</v>
      </c>
      <c r="D186" s="307" t="str">
        <f>RSD_HeatingDemand!J547</f>
        <v>MW</v>
      </c>
      <c r="E186" s="307" t="str">
        <f>RSD_HeatingDemand!K547</f>
        <v>TJ</v>
      </c>
      <c r="F186" s="304" t="s">
        <v>1251</v>
      </c>
      <c r="G186" s="305"/>
    </row>
    <row r="187" spans="1:7" x14ac:dyDescent="0.3">
      <c r="A187" s="303" t="s">
        <v>1191</v>
      </c>
      <c r="B187" s="307" t="str">
        <f>RSD_HeatingDemand!H551</f>
        <v>RHAPB_HP_GAS_09</v>
      </c>
      <c r="C187" s="307" t="str">
        <f>RSD_HeatingDemand!I551</f>
        <v>Gas driven absorption heat pumps, brine-to-water</v>
      </c>
      <c r="D187" s="307" t="str">
        <f>RSD_HeatingDemand!J551</f>
        <v>MW</v>
      </c>
      <c r="E187" s="307" t="str">
        <f>RSD_HeatingDemand!K551</f>
        <v>TJ</v>
      </c>
      <c r="F187" s="304" t="s">
        <v>1251</v>
      </c>
      <c r="G187" s="305"/>
    </row>
    <row r="188" spans="1:7" x14ac:dyDescent="0.3">
      <c r="A188" s="303" t="s">
        <v>1191</v>
      </c>
      <c r="B188" s="307" t="str">
        <f>RSD_HeatingDemand!H555</f>
        <v>RHAPB_HP_GAS_10</v>
      </c>
      <c r="C188" s="307" t="str">
        <f>RSD_HeatingDemand!I555</f>
        <v>Gas driven absorption heat pumps, brine-to-water</v>
      </c>
      <c r="D188" s="307" t="str">
        <f>RSD_HeatingDemand!J555</f>
        <v>MW</v>
      </c>
      <c r="E188" s="307" t="str">
        <f>RSD_HeatingDemand!K555</f>
        <v>TJ</v>
      </c>
      <c r="F188" s="304" t="s">
        <v>1251</v>
      </c>
      <c r="G188" s="305"/>
    </row>
    <row r="189" spans="1:7" x14ac:dyDescent="0.3">
      <c r="A189" s="303" t="s">
        <v>1191</v>
      </c>
      <c r="B189" s="307" t="str">
        <f>RSD_HeatingDemand!H559</f>
        <v>RHAPB_HP_GAS_11</v>
      </c>
      <c r="C189" s="307" t="str">
        <f>RSD_HeatingDemand!I559</f>
        <v>Gas engine driven heat pump, air-to-water</v>
      </c>
      <c r="D189" s="307" t="str">
        <f>RSD_HeatingDemand!J559</f>
        <v>MW</v>
      </c>
      <c r="E189" s="307" t="str">
        <f>RSD_HeatingDemand!K559</f>
        <v>TJ</v>
      </c>
      <c r="F189" s="304" t="s">
        <v>1251</v>
      </c>
      <c r="G189" s="305"/>
    </row>
    <row r="190" spans="1:7" x14ac:dyDescent="0.3">
      <c r="A190" s="303" t="s">
        <v>1191</v>
      </c>
      <c r="B190" s="307" t="str">
        <f>RSD_HeatingDemand!H563</f>
        <v>RHAPB_HP_GAS_12</v>
      </c>
      <c r="C190" s="307" t="str">
        <f>RSD_HeatingDemand!I563</f>
        <v>Gas engine driven heat pump, air-to-water</v>
      </c>
      <c r="D190" s="307" t="str">
        <f>RSD_HeatingDemand!J563</f>
        <v>MW</v>
      </c>
      <c r="E190" s="307" t="str">
        <f>RSD_HeatingDemand!K563</f>
        <v>TJ</v>
      </c>
      <c r="F190" s="304" t="s">
        <v>1251</v>
      </c>
      <c r="G190" s="305"/>
    </row>
    <row r="191" spans="1:7" x14ac:dyDescent="0.3">
      <c r="A191" s="303" t="s">
        <v>1191</v>
      </c>
      <c r="B191" s="307" t="str">
        <f>RSD_HeatingDemand!H567</f>
        <v>RHAPB_HP_GAS_13</v>
      </c>
      <c r="C191" s="307" t="str">
        <f>RSD_HeatingDemand!I567</f>
        <v>Gas engine driven heat pump, air-to-water</v>
      </c>
      <c r="D191" s="307" t="str">
        <f>RSD_HeatingDemand!J567</f>
        <v>MW</v>
      </c>
      <c r="E191" s="307" t="str">
        <f>RSD_HeatingDemand!K567</f>
        <v>TJ</v>
      </c>
      <c r="F191" s="304" t="s">
        <v>1251</v>
      </c>
      <c r="G191" s="305"/>
    </row>
    <row r="192" spans="1:7" x14ac:dyDescent="0.3">
      <c r="A192" s="303" t="s">
        <v>1191</v>
      </c>
      <c r="B192" s="307" t="str">
        <f>RSD_HeatingDemand!H571</f>
        <v>RHAPB_HP_GAS_14</v>
      </c>
      <c r="C192" s="307" t="str">
        <f>RSD_HeatingDemand!I571</f>
        <v>Gas engine driven heat pump, air-to-water</v>
      </c>
      <c r="D192" s="307" t="str">
        <f>RSD_HeatingDemand!J571</f>
        <v>MW</v>
      </c>
      <c r="E192" s="307" t="str">
        <f>RSD_HeatingDemand!K571</f>
        <v>TJ</v>
      </c>
      <c r="F192" s="304" t="s">
        <v>1251</v>
      </c>
      <c r="G192" s="305"/>
    </row>
    <row r="193" spans="1:7" x14ac:dyDescent="0.3">
      <c r="A193" s="303" t="s">
        <v>1191</v>
      </c>
      <c r="B193" s="307" t="str">
        <f>RSD_HeatingDemand!H575</f>
        <v>RHAPB_HP_GAS_15</v>
      </c>
      <c r="C193" s="307" t="str">
        <f>RSD_HeatingDemand!I575</f>
        <v>Gas engine driven heat pump, brine-to-water</v>
      </c>
      <c r="D193" s="307" t="str">
        <f>RSD_HeatingDemand!J575</f>
        <v>MW</v>
      </c>
      <c r="E193" s="307" t="str">
        <f>RSD_HeatingDemand!K575</f>
        <v>TJ</v>
      </c>
      <c r="F193" s="304" t="s">
        <v>1251</v>
      </c>
      <c r="G193" s="305"/>
    </row>
    <row r="194" spans="1:7" x14ac:dyDescent="0.3">
      <c r="A194" s="303" t="s">
        <v>1191</v>
      </c>
      <c r="B194" s="307" t="str">
        <f>RSD_HeatingDemand!H579</f>
        <v>RHAPB_HP_GAS_16</v>
      </c>
      <c r="C194" s="307" t="str">
        <f>RSD_HeatingDemand!I579</f>
        <v>Gas engine driven heat pump, brine-to-water</v>
      </c>
      <c r="D194" s="307" t="str">
        <f>RSD_HeatingDemand!J579</f>
        <v>MW</v>
      </c>
      <c r="E194" s="307" t="str">
        <f>RSD_HeatingDemand!K579</f>
        <v>TJ</v>
      </c>
      <c r="F194" s="304" t="s">
        <v>1251</v>
      </c>
      <c r="G194" s="305"/>
    </row>
    <row r="195" spans="1:7" x14ac:dyDescent="0.3">
      <c r="A195" s="303" t="s">
        <v>1191</v>
      </c>
      <c r="B195" s="307" t="str">
        <f>RSD_HeatingDemand!H583</f>
        <v>RHAPB_HP_GAS_17</v>
      </c>
      <c r="C195" s="307" t="str">
        <f>RSD_HeatingDemand!I583</f>
        <v>Gas engine driven heat pump, brine-to-water</v>
      </c>
      <c r="D195" s="307" t="str">
        <f>RSD_HeatingDemand!J583</f>
        <v>MW</v>
      </c>
      <c r="E195" s="307" t="str">
        <f>RSD_HeatingDemand!K583</f>
        <v>TJ</v>
      </c>
      <c r="F195" s="304" t="s">
        <v>1251</v>
      </c>
      <c r="G195" s="305"/>
    </row>
    <row r="196" spans="1:7" x14ac:dyDescent="0.3">
      <c r="A196" s="303" t="s">
        <v>1191</v>
      </c>
      <c r="B196" s="307" t="str">
        <f>RSD_HeatingDemand!H587</f>
        <v>RHAPB_HP_GAS_18</v>
      </c>
      <c r="C196" s="307" t="str">
        <f>RSD_HeatingDemand!I587</f>
        <v>Gas engine driven heat pump, brine-to-water</v>
      </c>
      <c r="D196" s="307" t="str">
        <f>RSD_HeatingDemand!J587</f>
        <v>MW</v>
      </c>
      <c r="E196" s="307" t="str">
        <f>RSD_HeatingDemand!K587</f>
        <v>TJ</v>
      </c>
      <c r="F196" s="304" t="s">
        <v>1251</v>
      </c>
      <c r="G196" s="305"/>
    </row>
    <row r="197" spans="1:7" x14ac:dyDescent="0.3">
      <c r="A197" s="303" t="s">
        <v>1191</v>
      </c>
      <c r="B197" s="307" t="str">
        <f>RSD_HeatingDemand!H591</f>
        <v>RHHSB_HP_GAS_09</v>
      </c>
      <c r="C197" s="307" t="str">
        <f>RSD_HeatingDemand!I591</f>
        <v>Gas driven adsorption heat pumps, brine-to-water</v>
      </c>
      <c r="D197" s="307" t="str">
        <f>RSD_HeatingDemand!J591</f>
        <v>MW</v>
      </c>
      <c r="E197" s="307" t="str">
        <f>RSD_HeatingDemand!K591</f>
        <v>TJ</v>
      </c>
      <c r="F197" s="304" t="s">
        <v>1251</v>
      </c>
      <c r="G197" s="305"/>
    </row>
    <row r="198" spans="1:7" x14ac:dyDescent="0.3">
      <c r="A198" s="303" t="s">
        <v>1191</v>
      </c>
      <c r="B198" s="307" t="str">
        <f>RSD_HeatingDemand!H595</f>
        <v>RHHSB_HP_GAS_10</v>
      </c>
      <c r="C198" s="307" t="str">
        <f>RSD_HeatingDemand!I595</f>
        <v>Gas driven adsorption heat pumps, brine-to-water</v>
      </c>
      <c r="D198" s="307" t="str">
        <f>RSD_HeatingDemand!J595</f>
        <v>MW</v>
      </c>
      <c r="E198" s="307" t="str">
        <f>RSD_HeatingDemand!K595</f>
        <v>TJ</v>
      </c>
      <c r="F198" s="304" t="s">
        <v>1251</v>
      </c>
      <c r="G198" s="305"/>
    </row>
    <row r="199" spans="1:7" x14ac:dyDescent="0.3">
      <c r="A199" s="303" t="s">
        <v>1191</v>
      </c>
      <c r="B199" s="307" t="str">
        <f>RSD_HeatingDemand!H599</f>
        <v>RHHSB_HP_GAS_11</v>
      </c>
      <c r="C199" s="307" t="str">
        <f>RSD_HeatingDemand!I599</f>
        <v>Gas driven adsorption heat pumps, brine-to-water</v>
      </c>
      <c r="D199" s="307" t="str">
        <f>RSD_HeatingDemand!J599</f>
        <v>MW</v>
      </c>
      <c r="E199" s="307" t="str">
        <f>RSD_HeatingDemand!K599</f>
        <v>TJ</v>
      </c>
      <c r="F199" s="304" t="s">
        <v>1251</v>
      </c>
      <c r="G199" s="305"/>
    </row>
    <row r="200" spans="1:7" x14ac:dyDescent="0.3">
      <c r="A200" s="303" t="s">
        <v>1191</v>
      </c>
      <c r="B200" s="307" t="str">
        <f>RSD_HeatingDemand!H603</f>
        <v>RHHSB_HP_GAS_12</v>
      </c>
      <c r="C200" s="307" t="str">
        <f>RSD_HeatingDemand!I603</f>
        <v>Gas driven adsorption heat pumps, brine-to-water</v>
      </c>
      <c r="D200" s="307" t="str">
        <f>RSD_HeatingDemand!J603</f>
        <v>MW</v>
      </c>
      <c r="E200" s="307" t="str">
        <f>RSD_HeatingDemand!K603</f>
        <v>TJ</v>
      </c>
      <c r="F200" s="304" t="s">
        <v>1251</v>
      </c>
      <c r="G200" s="305"/>
    </row>
    <row r="201" spans="1:7" x14ac:dyDescent="0.3">
      <c r="A201" s="303" t="s">
        <v>1191</v>
      </c>
      <c r="B201" s="307" t="str">
        <f>RSD_HeatingDemand!H607</f>
        <v>RHHSC_T_SOL_01</v>
      </c>
      <c r="C201" s="307" t="str">
        <f>RSD_HeatingDemand!I607</f>
        <v>Solar heating</v>
      </c>
      <c r="D201" s="307" t="str">
        <f>RSD_HeatingDemand!J607</f>
        <v>MW</v>
      </c>
      <c r="E201" s="307" t="str">
        <f>RSD_HeatingDemand!K607</f>
        <v>TJ</v>
      </c>
      <c r="F201" s="304" t="s">
        <v>1251</v>
      </c>
      <c r="G201" s="305"/>
    </row>
    <row r="202" spans="1:7" x14ac:dyDescent="0.3">
      <c r="A202" s="303" t="s">
        <v>1191</v>
      </c>
      <c r="B202" s="307" t="str">
        <f>RSD_HeatingDemand!H609</f>
        <v>RHHSC_T_SOL_02</v>
      </c>
      <c r="C202" s="307" t="str">
        <f>RSD_HeatingDemand!I609</f>
        <v>Solar heating</v>
      </c>
      <c r="D202" s="307" t="str">
        <f>RSD_HeatingDemand!J609</f>
        <v>MW</v>
      </c>
      <c r="E202" s="307" t="str">
        <f>RSD_HeatingDemand!K609</f>
        <v>TJ</v>
      </c>
      <c r="F202" s="304" t="s">
        <v>1251</v>
      </c>
      <c r="G202" s="305"/>
    </row>
    <row r="203" spans="1:7" x14ac:dyDescent="0.3">
      <c r="A203" s="303" t="s">
        <v>1191</v>
      </c>
      <c r="B203" s="307" t="str">
        <f>RSD_HeatingDemand!H611</f>
        <v>RHHSC_T_SOL_03</v>
      </c>
      <c r="C203" s="307" t="str">
        <f>RSD_HeatingDemand!I611</f>
        <v>Solar heating</v>
      </c>
      <c r="D203" s="307" t="str">
        <f>RSD_HeatingDemand!J611</f>
        <v>MW</v>
      </c>
      <c r="E203" s="307" t="str">
        <f>RSD_HeatingDemand!K611</f>
        <v>TJ</v>
      </c>
      <c r="F203" s="304" t="s">
        <v>1251</v>
      </c>
      <c r="G203" s="305"/>
    </row>
    <row r="204" spans="1:7" x14ac:dyDescent="0.3">
      <c r="A204" s="303" t="s">
        <v>1191</v>
      </c>
      <c r="B204" s="307" t="str">
        <f>RSD_HeatingDemand!H613</f>
        <v>RHHSC_T_SOL_04</v>
      </c>
      <c r="C204" s="307" t="str">
        <f>RSD_HeatingDemand!I613</f>
        <v>Solar heating</v>
      </c>
      <c r="D204" s="307" t="str">
        <f>RSD_HeatingDemand!J613</f>
        <v>MW</v>
      </c>
      <c r="E204" s="307" t="str">
        <f>RSD_HeatingDemand!K613</f>
        <v>TJ</v>
      </c>
      <c r="F204" s="304" t="s">
        <v>1251</v>
      </c>
      <c r="G204" s="305"/>
    </row>
    <row r="205" spans="1:7" x14ac:dyDescent="0.3">
      <c r="A205" s="303" t="s">
        <v>1191</v>
      </c>
      <c r="B205" s="307" t="str">
        <f>RSD_HeatingDemand!H615</f>
        <v>RHHSC_T_SOL_05</v>
      </c>
      <c r="C205" s="307" t="str">
        <f>RSD_HeatingDemand!I615</f>
        <v>Solar heating</v>
      </c>
      <c r="D205" s="307" t="str">
        <f>RSD_HeatingDemand!J615</f>
        <v>MW</v>
      </c>
      <c r="E205" s="307" t="str">
        <f>RSD_HeatingDemand!K615</f>
        <v>TJ</v>
      </c>
      <c r="F205" s="304" t="s">
        <v>1251</v>
      </c>
      <c r="G205" s="305"/>
    </row>
    <row r="206" spans="1:7" x14ac:dyDescent="0.3">
      <c r="A206" s="303" t="s">
        <v>1191</v>
      </c>
      <c r="B206" s="307" t="str">
        <f>RSD_HeatingDemand!H617</f>
        <v>RHHSC_T_SOL_06</v>
      </c>
      <c r="C206" s="307" t="str">
        <f>RSD_HeatingDemand!I617</f>
        <v>Solar heating</v>
      </c>
      <c r="D206" s="307" t="str">
        <f>RSD_HeatingDemand!J617</f>
        <v>MW</v>
      </c>
      <c r="E206" s="307" t="str">
        <f>RSD_HeatingDemand!K617</f>
        <v>TJ</v>
      </c>
      <c r="F206" s="304" t="s">
        <v>1251</v>
      </c>
      <c r="G206" s="305"/>
    </row>
    <row r="207" spans="1:7" x14ac:dyDescent="0.3">
      <c r="A207" s="303" t="s">
        <v>1191</v>
      </c>
      <c r="B207" s="307" t="str">
        <f>RSD_HeatingDemand!H619</f>
        <v>RHHSC_T_SOL_07</v>
      </c>
      <c r="C207" s="307" t="str">
        <f>RSD_HeatingDemand!I619</f>
        <v>Solar heating</v>
      </c>
      <c r="D207" s="307" t="str">
        <f>RSD_HeatingDemand!J619</f>
        <v>MW</v>
      </c>
      <c r="E207" s="307" t="str">
        <f>RSD_HeatingDemand!K619</f>
        <v>TJ</v>
      </c>
      <c r="F207" s="304" t="s">
        <v>1251</v>
      </c>
      <c r="G207" s="305"/>
    </row>
    <row r="208" spans="1:7" x14ac:dyDescent="0.3">
      <c r="A208" s="303" t="s">
        <v>1191</v>
      </c>
      <c r="B208" s="307" t="str">
        <f>RSD_HeatingDemand!H621</f>
        <v>RHHSC_T_SOL_08</v>
      </c>
      <c r="C208" s="307" t="str">
        <f>RSD_HeatingDemand!I621</f>
        <v>Solar heating</v>
      </c>
      <c r="D208" s="307" t="str">
        <f>RSD_HeatingDemand!J621</f>
        <v>MW</v>
      </c>
      <c r="E208" s="307" t="str">
        <f>RSD_HeatingDemand!K621</f>
        <v>TJ</v>
      </c>
      <c r="F208" s="304" t="s">
        <v>1251</v>
      </c>
      <c r="G208" s="305"/>
    </row>
    <row r="209" spans="1:7" x14ac:dyDescent="0.3">
      <c r="A209" s="303" t="s">
        <v>1191</v>
      </c>
      <c r="B209" s="307" t="str">
        <f>RSD_HeatingDemand!H623</f>
        <v>RHHSC_T_SOL_09</v>
      </c>
      <c r="C209" s="307" t="str">
        <f>RSD_HeatingDemand!I623</f>
        <v>Solar heating</v>
      </c>
      <c r="D209" s="307" t="str">
        <f>RSD_HeatingDemand!J623</f>
        <v>MW</v>
      </c>
      <c r="E209" s="307" t="str">
        <f>RSD_HeatingDemand!K623</f>
        <v>TJ</v>
      </c>
      <c r="F209" s="304" t="s">
        <v>1251</v>
      </c>
      <c r="G209" s="305"/>
    </row>
    <row r="210" spans="1:7" x14ac:dyDescent="0.3">
      <c r="A210" s="303" t="s">
        <v>1191</v>
      </c>
      <c r="B210" s="307" t="str">
        <f>RSD_HeatingDemand!H625</f>
        <v>RHHSC_T_SOL_10</v>
      </c>
      <c r="C210" s="307" t="str">
        <f>RSD_HeatingDemand!I625</f>
        <v>Solar heating</v>
      </c>
      <c r="D210" s="307" t="str">
        <f>RSD_HeatingDemand!J625</f>
        <v>MW</v>
      </c>
      <c r="E210" s="307" t="str">
        <f>RSD_HeatingDemand!K625</f>
        <v>TJ</v>
      </c>
      <c r="F210" s="304" t="s">
        <v>1251</v>
      </c>
      <c r="G210" s="305"/>
    </row>
    <row r="211" spans="1:7" x14ac:dyDescent="0.3">
      <c r="A211" s="303" t="s">
        <v>1191</v>
      </c>
      <c r="B211" s="307" t="str">
        <f>RSD_HeatingDemand!H627</f>
        <v>RHHSC_T_SOL_11</v>
      </c>
      <c r="C211" s="307" t="str">
        <f>RSD_HeatingDemand!I627</f>
        <v>Solar heating</v>
      </c>
      <c r="D211" s="307" t="str">
        <f>RSD_HeatingDemand!J627</f>
        <v>MW</v>
      </c>
      <c r="E211" s="307" t="str">
        <f>RSD_HeatingDemand!K627</f>
        <v>TJ</v>
      </c>
      <c r="F211" s="304" t="s">
        <v>1251</v>
      </c>
      <c r="G211" s="305"/>
    </row>
    <row r="212" spans="1:7" x14ac:dyDescent="0.3">
      <c r="A212" s="303" t="s">
        <v>1191</v>
      </c>
      <c r="B212" s="307" t="str">
        <f>RSD_HeatingDemand!H629</f>
        <v>RHHSC_T_SOL_12</v>
      </c>
      <c r="C212" s="307" t="str">
        <f>RSD_HeatingDemand!I629</f>
        <v>Solar heating</v>
      </c>
      <c r="D212" s="307" t="str">
        <f>RSD_HeatingDemand!J629</f>
        <v>MW</v>
      </c>
      <c r="E212" s="307" t="str">
        <f>RSD_HeatingDemand!K629</f>
        <v>TJ</v>
      </c>
      <c r="F212" s="304" t="s">
        <v>1251</v>
      </c>
      <c r="G212" s="305"/>
    </row>
    <row r="213" spans="1:7" x14ac:dyDescent="0.3">
      <c r="A213" s="303" t="s">
        <v>1191</v>
      </c>
      <c r="B213" s="307" t="str">
        <f>RSD_HeatingDemand!H631</f>
        <v>RHAPC_T_SOL_01</v>
      </c>
      <c r="C213" s="307" t="str">
        <f>RSD_HeatingDemand!I631</f>
        <v>Solar heating</v>
      </c>
      <c r="D213" s="307" t="str">
        <f>RSD_HeatingDemand!J631</f>
        <v>MW</v>
      </c>
      <c r="E213" s="307" t="str">
        <f>RSD_HeatingDemand!K631</f>
        <v>TJ</v>
      </c>
      <c r="F213" s="304" t="s">
        <v>1251</v>
      </c>
      <c r="G213" s="305"/>
    </row>
    <row r="214" spans="1:7" x14ac:dyDescent="0.3">
      <c r="A214" s="303" t="s">
        <v>1191</v>
      </c>
      <c r="B214" s="307" t="str">
        <f>RSD_HeatingDemand!H633</f>
        <v>RHAPC_T_SOL_02</v>
      </c>
      <c r="C214" s="307" t="str">
        <f>RSD_HeatingDemand!I633</f>
        <v>Solar heating</v>
      </c>
      <c r="D214" s="307" t="str">
        <f>RSD_HeatingDemand!J633</f>
        <v>MW</v>
      </c>
      <c r="E214" s="307" t="str">
        <f>RSD_HeatingDemand!K633</f>
        <v>TJ</v>
      </c>
      <c r="F214" s="304" t="s">
        <v>1251</v>
      </c>
      <c r="G214" s="305"/>
    </row>
    <row r="215" spans="1:7" x14ac:dyDescent="0.3">
      <c r="A215" s="303" t="s">
        <v>1191</v>
      </c>
      <c r="B215" s="307" t="str">
        <f>RSD_HeatingDemand!H635</f>
        <v>RHAPC_T_SOL_03</v>
      </c>
      <c r="C215" s="307" t="str">
        <f>RSD_HeatingDemand!I635</f>
        <v>Solar heating</v>
      </c>
      <c r="D215" s="307" t="str">
        <f>RSD_HeatingDemand!J635</f>
        <v>MW</v>
      </c>
      <c r="E215" s="307" t="str">
        <f>RSD_HeatingDemand!K635</f>
        <v>TJ</v>
      </c>
      <c r="F215" s="304" t="s">
        <v>1251</v>
      </c>
      <c r="G215" s="305"/>
    </row>
    <row r="216" spans="1:7" x14ac:dyDescent="0.3">
      <c r="A216" s="303" t="s">
        <v>1191</v>
      </c>
      <c r="B216" s="307" t="str">
        <f>RSD_HeatingDemand!H637</f>
        <v>RHAPC_T_SOL_04</v>
      </c>
      <c r="C216" s="307" t="str">
        <f>RSD_HeatingDemand!I637</f>
        <v>Solar heating</v>
      </c>
      <c r="D216" s="307" t="str">
        <f>RSD_HeatingDemand!J637</f>
        <v>MW</v>
      </c>
      <c r="E216" s="307" t="str">
        <f>RSD_HeatingDemand!K637</f>
        <v>TJ</v>
      </c>
      <c r="F216" s="304" t="s">
        <v>1251</v>
      </c>
      <c r="G216" s="305"/>
    </row>
    <row r="217" spans="1:7" x14ac:dyDescent="0.3">
      <c r="A217" s="303" t="s">
        <v>1191</v>
      </c>
      <c r="B217" s="307" t="str">
        <f>RSD_HeatingDemand!H639</f>
        <v>RHAPC_T_SOL_05</v>
      </c>
      <c r="C217" s="307" t="str">
        <f>RSD_HeatingDemand!I639</f>
        <v>Solar heating</v>
      </c>
      <c r="D217" s="307" t="str">
        <f>RSD_HeatingDemand!J639</f>
        <v>MW</v>
      </c>
      <c r="E217" s="307" t="str">
        <f>RSD_HeatingDemand!K639</f>
        <v>TJ</v>
      </c>
      <c r="F217" s="304" t="s">
        <v>1251</v>
      </c>
      <c r="G217" s="305"/>
    </row>
    <row r="218" spans="1:7" x14ac:dyDescent="0.3">
      <c r="A218" s="303" t="s">
        <v>1191</v>
      </c>
      <c r="B218" s="307" t="str">
        <f>RSD_HeatingDemand!H641</f>
        <v>RHAPC_T_SOL_06</v>
      </c>
      <c r="C218" s="307" t="str">
        <f>RSD_HeatingDemand!I641</f>
        <v>Solar heating</v>
      </c>
      <c r="D218" s="307" t="str">
        <f>RSD_HeatingDemand!J641</f>
        <v>MW</v>
      </c>
      <c r="E218" s="307" t="str">
        <f>RSD_HeatingDemand!K641</f>
        <v>TJ</v>
      </c>
      <c r="F218" s="304" t="s">
        <v>1251</v>
      </c>
      <c r="G218" s="305"/>
    </row>
    <row r="219" spans="1:7" x14ac:dyDescent="0.3">
      <c r="A219" s="303" t="s">
        <v>1191</v>
      </c>
      <c r="B219" s="307" t="str">
        <f>RSD_HeatingDemand!H643</f>
        <v>RHAPC_T_SOL_07</v>
      </c>
      <c r="C219" s="307" t="str">
        <f>RSD_HeatingDemand!I643</f>
        <v>Solar heating</v>
      </c>
      <c r="D219" s="307" t="str">
        <f>RSD_HeatingDemand!J643</f>
        <v>MW</v>
      </c>
      <c r="E219" s="307" t="str">
        <f>RSD_HeatingDemand!K643</f>
        <v>TJ</v>
      </c>
      <c r="F219" s="304" t="s">
        <v>1251</v>
      </c>
      <c r="G219" s="305"/>
    </row>
    <row r="220" spans="1:7" x14ac:dyDescent="0.3">
      <c r="A220" s="303" t="s">
        <v>1191</v>
      </c>
      <c r="B220" s="307" t="str">
        <f>RSD_HeatingDemand!H645</f>
        <v>RHAPC_T_SOL_08</v>
      </c>
      <c r="C220" s="307" t="str">
        <f>RSD_HeatingDemand!I645</f>
        <v>Solar heating</v>
      </c>
      <c r="D220" s="307" t="str">
        <f>RSD_HeatingDemand!J645</f>
        <v>MW</v>
      </c>
      <c r="E220" s="307" t="str">
        <f>RSD_HeatingDemand!K645</f>
        <v>TJ</v>
      </c>
      <c r="F220" s="304" t="s">
        <v>1251</v>
      </c>
      <c r="G220" s="305"/>
    </row>
    <row r="221" spans="1:7" x14ac:dyDescent="0.3">
      <c r="A221" s="303" t="s">
        <v>1191</v>
      </c>
      <c r="B221" s="307" t="str">
        <f>RSD_HeatingDemand!H647</f>
        <v>RHHSC_R_ELC_01</v>
      </c>
      <c r="C221" s="307" t="str">
        <f>RSD_HeatingDemand!I647</f>
        <v>Electric heating</v>
      </c>
      <c r="D221" s="307" t="str">
        <f>RSD_HeatingDemand!J647</f>
        <v>MW</v>
      </c>
      <c r="E221" s="307" t="str">
        <f>RSD_HeatingDemand!K647</f>
        <v>TJ</v>
      </c>
      <c r="F221" s="304" t="s">
        <v>1251</v>
      </c>
      <c r="G221" s="305"/>
    </row>
    <row r="222" spans="1:7" x14ac:dyDescent="0.3">
      <c r="A222" s="303" t="s">
        <v>1191</v>
      </c>
      <c r="B222" s="307" t="str">
        <f>RSD_HeatingDemand!H649</f>
        <v>RHAPC_R_ELC_01</v>
      </c>
      <c r="C222" s="307" t="str">
        <f>RSD_HeatingDemand!I649</f>
        <v>Electric heating</v>
      </c>
      <c r="D222" s="307" t="str">
        <f>RSD_HeatingDemand!J649</f>
        <v>MW</v>
      </c>
      <c r="E222" s="307" t="str">
        <f>RSD_HeatingDemand!K649</f>
        <v>TJ</v>
      </c>
      <c r="F222" s="304" t="s">
        <v>1251</v>
      </c>
      <c r="G222" s="305"/>
    </row>
    <row r="223" spans="1:7" x14ac:dyDescent="0.3">
      <c r="A223" s="303" t="s">
        <v>1191</v>
      </c>
      <c r="B223" s="307" t="str">
        <f>RSD_HeatingDemand!H651</f>
        <v>RHAPC_R_ELC_02</v>
      </c>
      <c r="C223" s="307" t="str">
        <f>RSD_HeatingDemand!I651</f>
        <v>Electric heating</v>
      </c>
      <c r="D223" s="307" t="str">
        <f>RSD_HeatingDemand!J651</f>
        <v>MW</v>
      </c>
      <c r="E223" s="307" t="str">
        <f>RSD_HeatingDemand!K651</f>
        <v>TJ</v>
      </c>
      <c r="F223" s="304" t="s">
        <v>1251</v>
      </c>
      <c r="G223" s="305"/>
    </row>
    <row r="224" spans="1:7" x14ac:dyDescent="0.3">
      <c r="A224" s="303" t="s">
        <v>1191</v>
      </c>
      <c r="B224" s="307" t="str">
        <f>RSD_HeatingDemand!H653</f>
        <v>RHAPC_R_ELC_03</v>
      </c>
      <c r="C224" s="307" t="str">
        <f>RSD_HeatingDemand!I653</f>
        <v>Electric heating</v>
      </c>
      <c r="D224" s="307" t="str">
        <f>RSD_HeatingDemand!J653</f>
        <v>MW</v>
      </c>
      <c r="E224" s="307" t="str">
        <f>RSD_HeatingDemand!K653</f>
        <v>TJ</v>
      </c>
      <c r="F224" s="304" t="s">
        <v>1251</v>
      </c>
      <c r="G224" s="305"/>
    </row>
    <row r="225" spans="1:7" x14ac:dyDescent="0.3">
      <c r="A225" s="303" t="s">
        <v>1191</v>
      </c>
      <c r="B225" s="307" t="str">
        <f>RSD_HeatingDemand!H655</f>
        <v>RHAPC_R_ELC_04</v>
      </c>
      <c r="C225" s="307" t="str">
        <f>RSD_HeatingDemand!I655</f>
        <v>Electric heating</v>
      </c>
      <c r="D225" s="307" t="str">
        <f>RSD_HeatingDemand!J655</f>
        <v>MW</v>
      </c>
      <c r="E225" s="307" t="str">
        <f>RSD_HeatingDemand!K655</f>
        <v>TJ</v>
      </c>
      <c r="F225" s="304" t="s">
        <v>1251</v>
      </c>
      <c r="G225" s="305"/>
    </row>
    <row r="226" spans="1:7" x14ac:dyDescent="0.3">
      <c r="A226" s="303" t="s">
        <v>1191</v>
      </c>
      <c r="B226" s="307" t="str">
        <f>RSD_HeatingDemand!H657</f>
        <v>RHHSB_FC_mCHP_01</v>
      </c>
      <c r="C226" s="307" t="str">
        <f>RSD_HeatingDemand!I657</f>
        <v>SOFC mCHP</v>
      </c>
      <c r="D226" s="307" t="str">
        <f>RSD_HeatingDemand!J657</f>
        <v>MW</v>
      </c>
      <c r="E226" s="307" t="str">
        <f>RSD_HeatingDemand!K657</f>
        <v>TJ</v>
      </c>
      <c r="F226" s="304" t="s">
        <v>1251</v>
      </c>
      <c r="G226" s="305"/>
    </row>
    <row r="227" spans="1:7" x14ac:dyDescent="0.3">
      <c r="A227" s="303" t="s">
        <v>1191</v>
      </c>
      <c r="B227" s="307" t="str">
        <f>RSD_HeatingDemand!H659</f>
        <v>RHHSB_FC_mCHP_02</v>
      </c>
      <c r="C227" s="307" t="str">
        <f>RSD_HeatingDemand!I659</f>
        <v>SOFC mCHP</v>
      </c>
      <c r="D227" s="307" t="str">
        <f>RSD_HeatingDemand!J659</f>
        <v>MW</v>
      </c>
      <c r="E227" s="307" t="str">
        <f>RSD_HeatingDemand!K659</f>
        <v>TJ</v>
      </c>
      <c r="F227" s="304" t="s">
        <v>1251</v>
      </c>
      <c r="G227" s="305"/>
    </row>
    <row r="228" spans="1:7" x14ac:dyDescent="0.3">
      <c r="A228" s="303" t="s">
        <v>1191</v>
      </c>
      <c r="B228" s="307" t="str">
        <f>RSD_HeatingDemand!H661</f>
        <v>RHHSB_FC_mCHP_03</v>
      </c>
      <c r="C228" s="307" t="str">
        <f>RSD_HeatingDemand!I661</f>
        <v>SOFC mCHP</v>
      </c>
      <c r="D228" s="307" t="str">
        <f>RSD_HeatingDemand!J661</f>
        <v>MW</v>
      </c>
      <c r="E228" s="307" t="str">
        <f>RSD_HeatingDemand!K661</f>
        <v>TJ</v>
      </c>
      <c r="F228" s="304" t="s">
        <v>1251</v>
      </c>
      <c r="G228" s="305"/>
    </row>
    <row r="229" spans="1:7" x14ac:dyDescent="0.3">
      <c r="A229" s="303" t="s">
        <v>1191</v>
      </c>
      <c r="B229" s="307" t="str">
        <f>RSD_HeatingDemand!H663</f>
        <v>RHHSB_FC_mCHP_04</v>
      </c>
      <c r="C229" s="307" t="str">
        <f>RSD_HeatingDemand!I663</f>
        <v>SOFC mCHP</v>
      </c>
      <c r="D229" s="307" t="str">
        <f>RSD_HeatingDemand!J663</f>
        <v>MW</v>
      </c>
      <c r="E229" s="307" t="str">
        <f>RSD_HeatingDemand!K663</f>
        <v>TJ</v>
      </c>
      <c r="F229" s="304" t="s">
        <v>1251</v>
      </c>
      <c r="G229" s="305"/>
    </row>
    <row r="230" spans="1:7" x14ac:dyDescent="0.3">
      <c r="A230" s="303" t="s">
        <v>1191</v>
      </c>
      <c r="B230" s="307" t="str">
        <f>RSD_HeatingDemand!H665</f>
        <v>RHHSE_B_OIL_01</v>
      </c>
      <c r="C230" s="307" t="str">
        <f>RSD_HeatingDemand!I665</f>
        <v>Oil-fired boiler</v>
      </c>
      <c r="D230" s="307" t="str">
        <f>RSD_HeatingDemand!J665</f>
        <v>MW</v>
      </c>
      <c r="E230" s="307" t="str">
        <f>RSD_HeatingDemand!K665</f>
        <v>TJ</v>
      </c>
      <c r="F230" s="304" t="s">
        <v>1251</v>
      </c>
      <c r="G230" s="305"/>
    </row>
    <row r="231" spans="1:7" x14ac:dyDescent="0.3">
      <c r="A231" s="303" t="s">
        <v>1191</v>
      </c>
      <c r="B231" s="307" t="str">
        <f>RSD_HeatingDemand!H667</f>
        <v>RHHSE_B_OIL_02</v>
      </c>
      <c r="C231" s="307" t="str">
        <f>RSD_HeatingDemand!I667</f>
        <v>Oil-fired boiler</v>
      </c>
      <c r="D231" s="307" t="str">
        <f>RSD_HeatingDemand!J667</f>
        <v>MW</v>
      </c>
      <c r="E231" s="307" t="str">
        <f>RSD_HeatingDemand!K667</f>
        <v>TJ</v>
      </c>
      <c r="F231" s="304" t="s">
        <v>1251</v>
      </c>
      <c r="G231" s="305"/>
    </row>
    <row r="232" spans="1:7" x14ac:dyDescent="0.3">
      <c r="A232" s="303" t="s">
        <v>1191</v>
      </c>
      <c r="B232" s="307" t="str">
        <f>RSD_HeatingDemand!H669</f>
        <v>RHHSE_B_OIL_03</v>
      </c>
      <c r="C232" s="307" t="str">
        <f>RSD_HeatingDemand!I669</f>
        <v>Oil-fired boiler</v>
      </c>
      <c r="D232" s="307" t="str">
        <f>RSD_HeatingDemand!J669</f>
        <v>MW</v>
      </c>
      <c r="E232" s="307" t="str">
        <f>RSD_HeatingDemand!K669</f>
        <v>TJ</v>
      </c>
      <c r="F232" s="304" t="s">
        <v>1251</v>
      </c>
      <c r="G232" s="305"/>
    </row>
    <row r="233" spans="1:7" x14ac:dyDescent="0.3">
      <c r="A233" s="303" t="s">
        <v>1191</v>
      </c>
      <c r="B233" s="307" t="str">
        <f>RSD_HeatingDemand!H671</f>
        <v>RHHSE_B_OIL_04</v>
      </c>
      <c r="C233" s="307" t="str">
        <f>RSD_HeatingDemand!I671</f>
        <v>Oil-fired boiler</v>
      </c>
      <c r="D233" s="307" t="str">
        <f>RSD_HeatingDemand!J671</f>
        <v>MW</v>
      </c>
      <c r="E233" s="307" t="str">
        <f>RSD_HeatingDemand!K671</f>
        <v>TJ</v>
      </c>
      <c r="F233" s="304" t="s">
        <v>1251</v>
      </c>
      <c r="G233" s="305"/>
    </row>
    <row r="234" spans="1:7" x14ac:dyDescent="0.3">
      <c r="A234" s="303" t="s">
        <v>1191</v>
      </c>
      <c r="B234" s="307" t="str">
        <f>RSD_HeatingDemand!H673</f>
        <v>RHHSE_B_WOO_01</v>
      </c>
      <c r="C234" s="307" t="str">
        <f>RSD_HeatingDemand!I673</f>
        <v>Oil-fired boiler</v>
      </c>
      <c r="D234" s="307" t="str">
        <f>RSD_HeatingDemand!J673</f>
        <v>MW</v>
      </c>
      <c r="E234" s="307" t="str">
        <f>RSD_HeatingDemand!K673</f>
        <v>TJ</v>
      </c>
      <c r="F234" s="304" t="s">
        <v>1251</v>
      </c>
      <c r="G234" s="305"/>
    </row>
    <row r="235" spans="1:7" x14ac:dyDescent="0.3">
      <c r="A235" s="303" t="s">
        <v>1191</v>
      </c>
      <c r="B235" s="307" t="str">
        <f>RSD_HeatingDemand!H675</f>
        <v>RHHSE_B_WOO_02</v>
      </c>
      <c r="C235" s="307" t="str">
        <f>RSD_HeatingDemand!I675</f>
        <v>Oil-fired boiler</v>
      </c>
      <c r="D235" s="307" t="str">
        <f>RSD_HeatingDemand!J675</f>
        <v>MW</v>
      </c>
      <c r="E235" s="307" t="str">
        <f>RSD_HeatingDemand!K675</f>
        <v>TJ</v>
      </c>
      <c r="F235" s="304" t="s">
        <v>1251</v>
      </c>
      <c r="G235" s="305"/>
    </row>
    <row r="236" spans="1:7" x14ac:dyDescent="0.3">
      <c r="A236" s="303" t="s">
        <v>1191</v>
      </c>
      <c r="B236" s="307" t="str">
        <f>RSD_HeatingDemand!H677</f>
        <v>RHHSE_B_WOO_03</v>
      </c>
      <c r="C236" s="307" t="str">
        <f>RSD_HeatingDemand!I677</f>
        <v>Oil-fired boiler</v>
      </c>
      <c r="D236" s="307" t="str">
        <f>RSD_HeatingDemand!J677</f>
        <v>MW</v>
      </c>
      <c r="E236" s="307" t="str">
        <f>RSD_HeatingDemand!K677</f>
        <v>TJ</v>
      </c>
      <c r="F236" s="304" t="s">
        <v>1251</v>
      </c>
      <c r="G236" s="305"/>
    </row>
    <row r="237" spans="1:7" x14ac:dyDescent="0.3">
      <c r="A237" s="303" t="s">
        <v>1191</v>
      </c>
      <c r="B237" s="307" t="str">
        <f>RSD_HeatingDemand!H679</f>
        <v>RHHSE_B_WOO_04</v>
      </c>
      <c r="C237" s="307" t="str">
        <f>RSD_HeatingDemand!I679</f>
        <v>Oil-fired boiler</v>
      </c>
      <c r="D237" s="307" t="str">
        <f>RSD_HeatingDemand!J679</f>
        <v>MW</v>
      </c>
      <c r="E237" s="307" t="str">
        <f>RSD_HeatingDemand!K679</f>
        <v>TJ</v>
      </c>
      <c r="F237" s="304" t="s">
        <v>1251</v>
      </c>
      <c r="G237" s="305"/>
    </row>
    <row r="238" spans="1:7" x14ac:dyDescent="0.3">
      <c r="A238" s="303" t="s">
        <v>1191</v>
      </c>
      <c r="B238" s="307" t="str">
        <f>RSD_HeatingDemand!H681</f>
        <v>RHAPE_B_OIL_01</v>
      </c>
      <c r="C238" s="307" t="str">
        <f>RSD_HeatingDemand!I681</f>
        <v>Oil-fired boiler</v>
      </c>
      <c r="D238" s="307" t="str">
        <f>RSD_HeatingDemand!J681</f>
        <v>MW</v>
      </c>
      <c r="E238" s="307" t="str">
        <f>RSD_HeatingDemand!K681</f>
        <v>TJ</v>
      </c>
      <c r="F238" s="304" t="s">
        <v>1251</v>
      </c>
      <c r="G238" s="305"/>
    </row>
    <row r="239" spans="1:7" x14ac:dyDescent="0.3">
      <c r="A239" s="303" t="s">
        <v>1191</v>
      </c>
      <c r="B239" s="307" t="str">
        <f>RSD_HeatingDemand!H683</f>
        <v>RHAPE_B_OIL_02</v>
      </c>
      <c r="C239" s="307" t="str">
        <f>RSD_HeatingDemand!I683</f>
        <v>Oil-fired boiler</v>
      </c>
      <c r="D239" s="307" t="str">
        <f>RSD_HeatingDemand!J683</f>
        <v>MW</v>
      </c>
      <c r="E239" s="307" t="str">
        <f>RSD_HeatingDemand!K683</f>
        <v>TJ</v>
      </c>
      <c r="F239" s="304" t="s">
        <v>1251</v>
      </c>
      <c r="G239" s="305"/>
    </row>
    <row r="240" spans="1:7" x14ac:dyDescent="0.3">
      <c r="A240" s="303" t="s">
        <v>1191</v>
      </c>
      <c r="B240" s="307" t="str">
        <f>RSD_HeatingDemand!H685</f>
        <v>RHAPE_B_OIL_03</v>
      </c>
      <c r="C240" s="307" t="str">
        <f>RSD_HeatingDemand!I685</f>
        <v>Oil-fired boiler</v>
      </c>
      <c r="D240" s="307" t="str">
        <f>RSD_HeatingDemand!J685</f>
        <v>MW</v>
      </c>
      <c r="E240" s="307" t="str">
        <f>RSD_HeatingDemand!K685</f>
        <v>TJ</v>
      </c>
      <c r="F240" s="304" t="s">
        <v>1251</v>
      </c>
      <c r="G240" s="305"/>
    </row>
    <row r="241" spans="1:7" x14ac:dyDescent="0.3">
      <c r="A241" s="303" t="s">
        <v>1191</v>
      </c>
      <c r="B241" s="307" t="str">
        <f>RSD_HeatingDemand!H687</f>
        <v>RHAPE_B_OIL_04</v>
      </c>
      <c r="C241" s="307" t="str">
        <f>RSD_HeatingDemand!I687</f>
        <v>Oil-fired boiler</v>
      </c>
      <c r="D241" s="307" t="str">
        <f>RSD_HeatingDemand!J687</f>
        <v>MW</v>
      </c>
      <c r="E241" s="307" t="str">
        <f>RSD_HeatingDemand!K687</f>
        <v>TJ</v>
      </c>
      <c r="F241" s="304" t="s">
        <v>1251</v>
      </c>
      <c r="G241" s="305"/>
    </row>
    <row r="242" spans="1:7" x14ac:dyDescent="0.3">
      <c r="A242" s="303" t="s">
        <v>1191</v>
      </c>
      <c r="B242" s="307" t="str">
        <f>RSD_HeatingDemand!H689</f>
        <v>RHAPE_B_WOO_01</v>
      </c>
      <c r="C242" s="307" t="str">
        <f>RSD_HeatingDemand!I689</f>
        <v>Oil-fired boiler</v>
      </c>
      <c r="D242" s="307" t="str">
        <f>RSD_HeatingDemand!J689</f>
        <v>MW</v>
      </c>
      <c r="E242" s="307" t="str">
        <f>RSD_HeatingDemand!K689</f>
        <v>TJ</v>
      </c>
      <c r="F242" s="304" t="s">
        <v>1251</v>
      </c>
      <c r="G242" s="305"/>
    </row>
    <row r="243" spans="1:7" x14ac:dyDescent="0.3">
      <c r="A243" s="303" t="s">
        <v>1191</v>
      </c>
      <c r="B243" s="307" t="str">
        <f>RSD_HeatingDemand!H691</f>
        <v>RHAPE_B_WOO_02</v>
      </c>
      <c r="C243" s="307" t="str">
        <f>RSD_HeatingDemand!I691</f>
        <v>Oil-fired boiler</v>
      </c>
      <c r="D243" s="307" t="str">
        <f>RSD_HeatingDemand!J691</f>
        <v>MW</v>
      </c>
      <c r="E243" s="307" t="str">
        <f>RSD_HeatingDemand!K691</f>
        <v>TJ</v>
      </c>
      <c r="F243" s="304" t="s">
        <v>1251</v>
      </c>
      <c r="G243" s="305"/>
    </row>
    <row r="244" spans="1:7" x14ac:dyDescent="0.3">
      <c r="A244" s="303" t="s">
        <v>1191</v>
      </c>
      <c r="B244" s="307" t="str">
        <f>RSD_HeatingDemand!H693</f>
        <v>RHAPE_B_WOO_03</v>
      </c>
      <c r="C244" s="307" t="str">
        <f>RSD_HeatingDemand!I693</f>
        <v>Oil-fired boiler</v>
      </c>
      <c r="D244" s="307" t="str">
        <f>RSD_HeatingDemand!J693</f>
        <v>MW</v>
      </c>
      <c r="E244" s="307" t="str">
        <f>RSD_HeatingDemand!K693</f>
        <v>TJ</v>
      </c>
      <c r="F244" s="304" t="s">
        <v>1251</v>
      </c>
      <c r="G244" s="305"/>
    </row>
    <row r="245" spans="1:7" x14ac:dyDescent="0.3">
      <c r="A245" s="303" t="s">
        <v>1191</v>
      </c>
      <c r="B245" s="307" t="str">
        <f>RSD_HeatingDemand!H695</f>
        <v>RHAPE_B_WOO_04</v>
      </c>
      <c r="C245" s="307" t="str">
        <f>RSD_HeatingDemand!I695</f>
        <v>Oil-fired boiler</v>
      </c>
      <c r="D245" s="307" t="str">
        <f>RSD_HeatingDemand!J695</f>
        <v>MW</v>
      </c>
      <c r="E245" s="307" t="str">
        <f>RSD_HeatingDemand!K695</f>
        <v>TJ</v>
      </c>
      <c r="F245" s="304" t="s">
        <v>1251</v>
      </c>
      <c r="G245" s="305"/>
    </row>
    <row r="246" spans="1:7" x14ac:dyDescent="0.3">
      <c r="A246" s="303" t="s">
        <v>1191</v>
      </c>
      <c r="B246" s="307" t="str">
        <f>RSD_HeatingDemand!H697</f>
        <v>RHHSE_B_GAS_01</v>
      </c>
      <c r="C246" s="307" t="str">
        <f>RSD_HeatingDemand!I697</f>
        <v>Natural gas boiler</v>
      </c>
      <c r="D246" s="307" t="str">
        <f>RSD_HeatingDemand!J697</f>
        <v>MW</v>
      </c>
      <c r="E246" s="307" t="str">
        <f>RSD_HeatingDemand!K697</f>
        <v>TJ</v>
      </c>
      <c r="F246" s="304" t="s">
        <v>1251</v>
      </c>
      <c r="G246" s="305"/>
    </row>
    <row r="247" spans="1:7" x14ac:dyDescent="0.3">
      <c r="A247" s="303" t="s">
        <v>1191</v>
      </c>
      <c r="B247" s="307" t="str">
        <f>RSD_HeatingDemand!H699</f>
        <v>RHHSE_B_GAS_02</v>
      </c>
      <c r="C247" s="307" t="str">
        <f>RSD_HeatingDemand!I699</f>
        <v>Natural gas boiler</v>
      </c>
      <c r="D247" s="307" t="str">
        <f>RSD_HeatingDemand!J699</f>
        <v>MW</v>
      </c>
      <c r="E247" s="307" t="str">
        <f>RSD_HeatingDemand!K699</f>
        <v>TJ</v>
      </c>
      <c r="F247" s="304" t="s">
        <v>1251</v>
      </c>
      <c r="G247" s="305"/>
    </row>
    <row r="248" spans="1:7" x14ac:dyDescent="0.3">
      <c r="A248" s="303" t="s">
        <v>1191</v>
      </c>
      <c r="B248" s="307" t="str">
        <f>RSD_HeatingDemand!H701</f>
        <v>RHHSE_B_GAS_03</v>
      </c>
      <c r="C248" s="307" t="str">
        <f>RSD_HeatingDemand!I701</f>
        <v>Natural gas boiler</v>
      </c>
      <c r="D248" s="307" t="str">
        <f>RSD_HeatingDemand!J701</f>
        <v>MW</v>
      </c>
      <c r="E248" s="307" t="str">
        <f>RSD_HeatingDemand!K701</f>
        <v>TJ</v>
      </c>
      <c r="F248" s="304" t="s">
        <v>1251</v>
      </c>
      <c r="G248" s="305"/>
    </row>
    <row r="249" spans="1:7" x14ac:dyDescent="0.3">
      <c r="A249" s="303" t="s">
        <v>1191</v>
      </c>
      <c r="B249" s="307" t="str">
        <f>RSD_HeatingDemand!H703</f>
        <v>RHHSE_B_GAS_04</v>
      </c>
      <c r="C249" s="307" t="str">
        <f>RSD_HeatingDemand!I703</f>
        <v>Natural gas boiler</v>
      </c>
      <c r="D249" s="307" t="str">
        <f>RSD_HeatingDemand!J703</f>
        <v>MW</v>
      </c>
      <c r="E249" s="307" t="str">
        <f>RSD_HeatingDemand!K703</f>
        <v>TJ</v>
      </c>
      <c r="F249" s="304" t="s">
        <v>1251</v>
      </c>
      <c r="G249" s="305"/>
    </row>
    <row r="250" spans="1:7" x14ac:dyDescent="0.3">
      <c r="A250" s="303" t="s">
        <v>1191</v>
      </c>
      <c r="B250" s="307" t="str">
        <f>RSD_HeatingDemand!H705</f>
        <v>RHHSE_B_GAS_05</v>
      </c>
      <c r="C250" s="307" t="str">
        <f>RSD_HeatingDemand!I705</f>
        <v>Natural gas boiler</v>
      </c>
      <c r="D250" s="307" t="str">
        <f>RSD_HeatingDemand!J705</f>
        <v>MW</v>
      </c>
      <c r="E250" s="307" t="str">
        <f>RSD_HeatingDemand!K705</f>
        <v>TJ</v>
      </c>
      <c r="F250" s="304" t="s">
        <v>1251</v>
      </c>
      <c r="G250" s="305"/>
    </row>
    <row r="251" spans="1:7" x14ac:dyDescent="0.3">
      <c r="A251" s="303" t="s">
        <v>1191</v>
      </c>
      <c r="B251" s="307" t="str">
        <f>RSD_HeatingDemand!H707</f>
        <v>RHHSE_B_GAS_06</v>
      </c>
      <c r="C251" s="307" t="str">
        <f>RSD_HeatingDemand!I707</f>
        <v>Natural gas boiler</v>
      </c>
      <c r="D251" s="307" t="str">
        <f>RSD_HeatingDemand!J707</f>
        <v>MW</v>
      </c>
      <c r="E251" s="307" t="str">
        <f>RSD_HeatingDemand!K707</f>
        <v>TJ</v>
      </c>
      <c r="F251" s="304" t="s">
        <v>1251</v>
      </c>
      <c r="G251" s="305"/>
    </row>
    <row r="252" spans="1:7" x14ac:dyDescent="0.3">
      <c r="A252" s="303" t="s">
        <v>1191</v>
      </c>
      <c r="B252" s="307" t="str">
        <f>RSD_HeatingDemand!H709</f>
        <v>RHHSE_B_GAS_07</v>
      </c>
      <c r="C252" s="307" t="str">
        <f>RSD_HeatingDemand!I709</f>
        <v>Natural gas boiler</v>
      </c>
      <c r="D252" s="307" t="str">
        <f>RSD_HeatingDemand!J709</f>
        <v>MW</v>
      </c>
      <c r="E252" s="307" t="str">
        <f>RSD_HeatingDemand!K709</f>
        <v>TJ</v>
      </c>
      <c r="F252" s="304" t="s">
        <v>1251</v>
      </c>
      <c r="G252" s="305"/>
    </row>
    <row r="253" spans="1:7" x14ac:dyDescent="0.3">
      <c r="A253" s="303" t="s">
        <v>1191</v>
      </c>
      <c r="B253" s="307" t="str">
        <f>RSD_HeatingDemand!H711</f>
        <v>RHHSE_B_GAS_08</v>
      </c>
      <c r="C253" s="307" t="str">
        <f>RSD_HeatingDemand!I711</f>
        <v>Natural gas boiler</v>
      </c>
      <c r="D253" s="307" t="str">
        <f>RSD_HeatingDemand!J711</f>
        <v>MW</v>
      </c>
      <c r="E253" s="307" t="str">
        <f>RSD_HeatingDemand!K711</f>
        <v>TJ</v>
      </c>
      <c r="F253" s="304" t="s">
        <v>1251</v>
      </c>
      <c r="G253" s="305"/>
    </row>
    <row r="254" spans="1:7" x14ac:dyDescent="0.3">
      <c r="A254" s="303" t="s">
        <v>1191</v>
      </c>
      <c r="B254" s="307" t="str">
        <f>RSD_HeatingDemand!H713</f>
        <v>RHAPE_B_GAS_01</v>
      </c>
      <c r="C254" s="307" t="str">
        <f>RSD_HeatingDemand!I713</f>
        <v>Natural gas boiler</v>
      </c>
      <c r="D254" s="307" t="str">
        <f>RSD_HeatingDemand!J713</f>
        <v>MW</v>
      </c>
      <c r="E254" s="307" t="str">
        <f>RSD_HeatingDemand!K713</f>
        <v>TJ</v>
      </c>
      <c r="F254" s="304" t="s">
        <v>1251</v>
      </c>
      <c r="G254" s="305"/>
    </row>
    <row r="255" spans="1:7" x14ac:dyDescent="0.3">
      <c r="A255" s="303" t="s">
        <v>1191</v>
      </c>
      <c r="B255" s="307" t="str">
        <f>RSD_HeatingDemand!H715</f>
        <v>RHAPE_B_GAS_02</v>
      </c>
      <c r="C255" s="307" t="str">
        <f>RSD_HeatingDemand!I715</f>
        <v>Natural gas boiler</v>
      </c>
      <c r="D255" s="307" t="str">
        <f>RSD_HeatingDemand!J715</f>
        <v>MW</v>
      </c>
      <c r="E255" s="307" t="str">
        <f>RSD_HeatingDemand!K715</f>
        <v>TJ</v>
      </c>
      <c r="F255" s="304" t="s">
        <v>1251</v>
      </c>
      <c r="G255" s="305"/>
    </row>
    <row r="256" spans="1:7" x14ac:dyDescent="0.3">
      <c r="A256" s="303" t="s">
        <v>1191</v>
      </c>
      <c r="B256" s="307" t="str">
        <f>RSD_HeatingDemand!H717</f>
        <v>RHAPE_B_GAS_03</v>
      </c>
      <c r="C256" s="307" t="str">
        <f>RSD_HeatingDemand!I717</f>
        <v>Natural gas boiler</v>
      </c>
      <c r="D256" s="307" t="str">
        <f>RSD_HeatingDemand!J717</f>
        <v>MW</v>
      </c>
      <c r="E256" s="307" t="str">
        <f>RSD_HeatingDemand!K717</f>
        <v>TJ</v>
      </c>
      <c r="F256" s="304" t="s">
        <v>1251</v>
      </c>
      <c r="G256" s="305"/>
    </row>
    <row r="257" spans="1:7" x14ac:dyDescent="0.3">
      <c r="A257" s="303" t="s">
        <v>1191</v>
      </c>
      <c r="B257" s="307" t="str">
        <f>RSD_HeatingDemand!H719</f>
        <v>RHAPE_B_GAS_04</v>
      </c>
      <c r="C257" s="307" t="str">
        <f>RSD_HeatingDemand!I719</f>
        <v>Natural gas boiler</v>
      </c>
      <c r="D257" s="307" t="str">
        <f>RSD_HeatingDemand!J719</f>
        <v>MW</v>
      </c>
      <c r="E257" s="307" t="str">
        <f>RSD_HeatingDemand!K719</f>
        <v>TJ</v>
      </c>
      <c r="F257" s="304" t="s">
        <v>1251</v>
      </c>
      <c r="G257" s="305"/>
    </row>
    <row r="258" spans="1:7" x14ac:dyDescent="0.3">
      <c r="A258" s="303" t="s">
        <v>1191</v>
      </c>
      <c r="B258" s="307" t="str">
        <f>RSD_HeatingDemand!H721</f>
        <v>RHAPE_B_GAS_05</v>
      </c>
      <c r="C258" s="307" t="str">
        <f>RSD_HeatingDemand!I721</f>
        <v>Natural gas boiler</v>
      </c>
      <c r="D258" s="307" t="str">
        <f>RSD_HeatingDemand!J721</f>
        <v>MW</v>
      </c>
      <c r="E258" s="307" t="str">
        <f>RSD_HeatingDemand!K721</f>
        <v>TJ</v>
      </c>
      <c r="F258" s="304" t="s">
        <v>1251</v>
      </c>
      <c r="G258" s="305"/>
    </row>
    <row r="259" spans="1:7" x14ac:dyDescent="0.3">
      <c r="A259" s="303" t="s">
        <v>1191</v>
      </c>
      <c r="B259" s="307" t="str">
        <f>RSD_HeatingDemand!H723</f>
        <v>RHAPE_B_GAS_06</v>
      </c>
      <c r="C259" s="307" t="str">
        <f>RSD_HeatingDemand!I723</f>
        <v>Natural gas boiler</v>
      </c>
      <c r="D259" s="307" t="str">
        <f>RSD_HeatingDemand!J723</f>
        <v>MW</v>
      </c>
      <c r="E259" s="307" t="str">
        <f>RSD_HeatingDemand!K723</f>
        <v>TJ</v>
      </c>
      <c r="F259" s="304" t="s">
        <v>1251</v>
      </c>
      <c r="G259" s="305"/>
    </row>
    <row r="260" spans="1:7" x14ac:dyDescent="0.3">
      <c r="A260" s="303" t="s">
        <v>1191</v>
      </c>
      <c r="B260" s="307" t="str">
        <f>RSD_HeatingDemand!H725</f>
        <v>RHAPE_B_GAS_07</v>
      </c>
      <c r="C260" s="307" t="str">
        <f>RSD_HeatingDemand!I725</f>
        <v>Natural gas boiler</v>
      </c>
      <c r="D260" s="307" t="str">
        <f>RSD_HeatingDemand!J725</f>
        <v>MW</v>
      </c>
      <c r="E260" s="307" t="str">
        <f>RSD_HeatingDemand!K725</f>
        <v>TJ</v>
      </c>
      <c r="F260" s="304" t="s">
        <v>1251</v>
      </c>
      <c r="G260" s="305"/>
    </row>
    <row r="261" spans="1:7" x14ac:dyDescent="0.3">
      <c r="A261" s="303" t="s">
        <v>1191</v>
      </c>
      <c r="B261" s="307" t="str">
        <f>RSD_HeatingDemand!H727</f>
        <v>RHAPE_B_GAS_08</v>
      </c>
      <c r="C261" s="307" t="str">
        <f>RSD_HeatingDemand!I727</f>
        <v>Natural gas boiler</v>
      </c>
      <c r="D261" s="307" t="str">
        <f>RSD_HeatingDemand!J727</f>
        <v>MW</v>
      </c>
      <c r="E261" s="307" t="str">
        <f>RSD_HeatingDemand!K727</f>
        <v>TJ</v>
      </c>
      <c r="F261" s="304" t="s">
        <v>1251</v>
      </c>
      <c r="G261" s="305"/>
    </row>
    <row r="262" spans="1:7" x14ac:dyDescent="0.3">
      <c r="A262" s="303" t="s">
        <v>1191</v>
      </c>
      <c r="B262" s="307" t="str">
        <f>RSD_HeatingDemand!H729</f>
        <v>RHHSE_B_WOF_01</v>
      </c>
      <c r="C262" s="307" t="str">
        <f>RSD_HeatingDemand!I729</f>
        <v>Biomass boilers, automatic stoking</v>
      </c>
      <c r="D262" s="307" t="str">
        <f>RSD_HeatingDemand!J729</f>
        <v>MW</v>
      </c>
      <c r="E262" s="307" t="str">
        <f>RSD_HeatingDemand!K729</f>
        <v>TJ</v>
      </c>
      <c r="F262" s="304" t="s">
        <v>1251</v>
      </c>
      <c r="G262" s="305"/>
    </row>
    <row r="263" spans="1:7" x14ac:dyDescent="0.3">
      <c r="A263" s="303" t="s">
        <v>1191</v>
      </c>
      <c r="B263" s="307" t="str">
        <f>RSD_HeatingDemand!H731</f>
        <v>RHHSE_B_WOF_02</v>
      </c>
      <c r="C263" s="307" t="str">
        <f>RSD_HeatingDemand!I731</f>
        <v>Biomass boilers, automatic stoking</v>
      </c>
      <c r="D263" s="307" t="str">
        <f>RSD_HeatingDemand!J731</f>
        <v>MW</v>
      </c>
      <c r="E263" s="307" t="str">
        <f>RSD_HeatingDemand!K731</f>
        <v>TJ</v>
      </c>
      <c r="F263" s="304" t="s">
        <v>1251</v>
      </c>
      <c r="G263" s="305"/>
    </row>
    <row r="264" spans="1:7" x14ac:dyDescent="0.3">
      <c r="A264" s="303" t="s">
        <v>1191</v>
      </c>
      <c r="B264" s="307" t="str">
        <f>RSD_HeatingDemand!H733</f>
        <v>RHHSE_B_WOF_03</v>
      </c>
      <c r="C264" s="307" t="str">
        <f>RSD_HeatingDemand!I733</f>
        <v>Biomass boilers, automatic stoking</v>
      </c>
      <c r="D264" s="307" t="str">
        <f>RSD_HeatingDemand!J733</f>
        <v>MW</v>
      </c>
      <c r="E264" s="307" t="str">
        <f>RSD_HeatingDemand!K733</f>
        <v>TJ</v>
      </c>
      <c r="F264" s="304" t="s">
        <v>1251</v>
      </c>
      <c r="G264" s="305"/>
    </row>
    <row r="265" spans="1:7" x14ac:dyDescent="0.3">
      <c r="A265" s="303" t="s">
        <v>1191</v>
      </c>
      <c r="B265" s="307" t="str">
        <f>RSD_HeatingDemand!H735</f>
        <v>RHHSE_B_WOF_04</v>
      </c>
      <c r="C265" s="307" t="str">
        <f>RSD_HeatingDemand!I735</f>
        <v>Biomass boilers, automatic stoking</v>
      </c>
      <c r="D265" s="307" t="str">
        <f>RSD_HeatingDemand!J735</f>
        <v>MW</v>
      </c>
      <c r="E265" s="307" t="str">
        <f>RSD_HeatingDemand!K735</f>
        <v>TJ</v>
      </c>
      <c r="F265" s="304" t="s">
        <v>1251</v>
      </c>
      <c r="G265" s="305"/>
    </row>
    <row r="266" spans="1:7" x14ac:dyDescent="0.3">
      <c r="A266" s="303" t="s">
        <v>1191</v>
      </c>
      <c r="B266" s="307" t="str">
        <f>RSD_HeatingDemand!H737</f>
        <v>RHHSE_B_WOF_05</v>
      </c>
      <c r="C266" s="307" t="str">
        <f>RSD_HeatingDemand!I737</f>
        <v>Biomass boilers, automatic stoking</v>
      </c>
      <c r="D266" s="307" t="str">
        <f>RSD_HeatingDemand!J737</f>
        <v>MW</v>
      </c>
      <c r="E266" s="307" t="str">
        <f>RSD_HeatingDemand!K737</f>
        <v>TJ</v>
      </c>
      <c r="F266" s="304" t="s">
        <v>1251</v>
      </c>
      <c r="G266" s="305"/>
    </row>
    <row r="267" spans="1:7" x14ac:dyDescent="0.3">
      <c r="A267" s="303" t="s">
        <v>1191</v>
      </c>
      <c r="B267" s="307" t="str">
        <f>RSD_HeatingDemand!H739</f>
        <v>RHHSE_B_WOF_06</v>
      </c>
      <c r="C267" s="307" t="str">
        <f>RSD_HeatingDemand!I739</f>
        <v>Biomass boilers, automatic stoking</v>
      </c>
      <c r="D267" s="307" t="str">
        <f>RSD_HeatingDemand!J739</f>
        <v>MW</v>
      </c>
      <c r="E267" s="307" t="str">
        <f>RSD_HeatingDemand!K739</f>
        <v>TJ</v>
      </c>
      <c r="F267" s="304" t="s">
        <v>1251</v>
      </c>
      <c r="G267" s="305"/>
    </row>
    <row r="268" spans="1:7" x14ac:dyDescent="0.3">
      <c r="A268" s="303" t="s">
        <v>1191</v>
      </c>
      <c r="B268" s="307" t="str">
        <f>RSD_HeatingDemand!H741</f>
        <v>RHHSE_B_WOF_07</v>
      </c>
      <c r="C268" s="307" t="str">
        <f>RSD_HeatingDemand!I741</f>
        <v>Biomass boilers, automatic stoking</v>
      </c>
      <c r="D268" s="307" t="str">
        <f>RSD_HeatingDemand!J741</f>
        <v>MW</v>
      </c>
      <c r="E268" s="307" t="str">
        <f>RSD_HeatingDemand!K741</f>
        <v>TJ</v>
      </c>
      <c r="F268" s="304" t="s">
        <v>1251</v>
      </c>
      <c r="G268" s="305"/>
    </row>
    <row r="269" spans="1:7" x14ac:dyDescent="0.3">
      <c r="A269" s="303" t="s">
        <v>1191</v>
      </c>
      <c r="B269" s="307" t="str">
        <f>RSD_HeatingDemand!H743</f>
        <v>RHHSE_B_WOF_08</v>
      </c>
      <c r="C269" s="307" t="str">
        <f>RSD_HeatingDemand!I743</f>
        <v>Biomass boilers, automatic stoking</v>
      </c>
      <c r="D269" s="307" t="str">
        <f>RSD_HeatingDemand!J743</f>
        <v>MW</v>
      </c>
      <c r="E269" s="307" t="str">
        <f>RSD_HeatingDemand!K743</f>
        <v>TJ</v>
      </c>
      <c r="F269" s="304" t="s">
        <v>1251</v>
      </c>
      <c r="G269" s="305"/>
    </row>
    <row r="270" spans="1:7" x14ac:dyDescent="0.3">
      <c r="A270" s="303" t="s">
        <v>1191</v>
      </c>
      <c r="B270" s="307" t="str">
        <f>RSD_HeatingDemand!H745</f>
        <v>RHAPE_B_WOF_01</v>
      </c>
      <c r="C270" s="307" t="str">
        <f>RSD_HeatingDemand!I745</f>
        <v>Biomass boilers, automatic stoking</v>
      </c>
      <c r="D270" s="307" t="str">
        <f>RSD_HeatingDemand!J745</f>
        <v>MW</v>
      </c>
      <c r="E270" s="307" t="str">
        <f>RSD_HeatingDemand!K745</f>
        <v>TJ</v>
      </c>
      <c r="F270" s="304" t="s">
        <v>1251</v>
      </c>
      <c r="G270" s="305"/>
    </row>
    <row r="271" spans="1:7" x14ac:dyDescent="0.3">
      <c r="A271" s="303" t="s">
        <v>1191</v>
      </c>
      <c r="B271" s="307" t="str">
        <f>RSD_HeatingDemand!H747</f>
        <v>RHAPE_B_WOF_02</v>
      </c>
      <c r="C271" s="307" t="str">
        <f>RSD_HeatingDemand!I747</f>
        <v>Biomass boilers, automatic stoking</v>
      </c>
      <c r="D271" s="307" t="str">
        <f>RSD_HeatingDemand!J747</f>
        <v>MW</v>
      </c>
      <c r="E271" s="307" t="str">
        <f>RSD_HeatingDemand!K747</f>
        <v>TJ</v>
      </c>
      <c r="F271" s="304" t="s">
        <v>1251</v>
      </c>
      <c r="G271" s="305"/>
    </row>
    <row r="272" spans="1:7" x14ac:dyDescent="0.3">
      <c r="A272" s="303" t="s">
        <v>1191</v>
      </c>
      <c r="B272" s="307" t="str">
        <f>RSD_HeatingDemand!H749</f>
        <v>RHAPE_B_WOF_03</v>
      </c>
      <c r="C272" s="307" t="str">
        <f>RSD_HeatingDemand!I749</f>
        <v>Biomass boilers, automatic stoking</v>
      </c>
      <c r="D272" s="307" t="str">
        <f>RSD_HeatingDemand!J749</f>
        <v>MW</v>
      </c>
      <c r="E272" s="307" t="str">
        <f>RSD_HeatingDemand!K749</f>
        <v>TJ</v>
      </c>
      <c r="F272" s="304" t="s">
        <v>1251</v>
      </c>
      <c r="G272" s="305"/>
    </row>
    <row r="273" spans="1:7" x14ac:dyDescent="0.3">
      <c r="A273" s="303" t="s">
        <v>1191</v>
      </c>
      <c r="B273" s="307" t="str">
        <f>RSD_HeatingDemand!H751</f>
        <v>RHAPE_B_WOF_04</v>
      </c>
      <c r="C273" s="307" t="str">
        <f>RSD_HeatingDemand!I751</f>
        <v>Biomass boilers, automatic stoking</v>
      </c>
      <c r="D273" s="307" t="str">
        <f>RSD_HeatingDemand!J751</f>
        <v>MW</v>
      </c>
      <c r="E273" s="307" t="str">
        <f>RSD_HeatingDemand!K751</f>
        <v>TJ</v>
      </c>
      <c r="F273" s="304" t="s">
        <v>1251</v>
      </c>
      <c r="G273" s="305"/>
    </row>
    <row r="274" spans="1:7" x14ac:dyDescent="0.3">
      <c r="A274" s="303" t="s">
        <v>1191</v>
      </c>
      <c r="B274" s="307" t="str">
        <f>RSD_HeatingDemand!H753</f>
        <v>RHAPE_B_WOF_05</v>
      </c>
      <c r="C274" s="307" t="str">
        <f>RSD_HeatingDemand!I753</f>
        <v>Biomass boilers, automatic stoking</v>
      </c>
      <c r="D274" s="307" t="str">
        <f>RSD_HeatingDemand!J753</f>
        <v>MW</v>
      </c>
      <c r="E274" s="307" t="str">
        <f>RSD_HeatingDemand!K753</f>
        <v>TJ</v>
      </c>
      <c r="F274" s="304" t="s">
        <v>1251</v>
      </c>
      <c r="G274" s="305"/>
    </row>
    <row r="275" spans="1:7" x14ac:dyDescent="0.3">
      <c r="A275" s="303" t="s">
        <v>1191</v>
      </c>
      <c r="B275" s="307" t="str">
        <f>RSD_HeatingDemand!H755</f>
        <v>RHAPE_B_WOF_06</v>
      </c>
      <c r="C275" s="307" t="str">
        <f>RSD_HeatingDemand!I755</f>
        <v>Biomass boilers, automatic stoking</v>
      </c>
      <c r="D275" s="307" t="str">
        <f>RSD_HeatingDemand!J755</f>
        <v>MW</v>
      </c>
      <c r="E275" s="307" t="str">
        <f>RSD_HeatingDemand!K755</f>
        <v>TJ</v>
      </c>
      <c r="F275" s="304" t="s">
        <v>1251</v>
      </c>
      <c r="G275" s="305"/>
    </row>
    <row r="276" spans="1:7" x14ac:dyDescent="0.3">
      <c r="A276" s="303" t="s">
        <v>1191</v>
      </c>
      <c r="B276" s="307" t="str">
        <f>RSD_HeatingDemand!H757</f>
        <v>RHAPE_B_WOF_07</v>
      </c>
      <c r="C276" s="307" t="str">
        <f>RSD_HeatingDemand!I757</f>
        <v>Biomass boilers, automatic stoking</v>
      </c>
      <c r="D276" s="307" t="str">
        <f>RSD_HeatingDemand!J757</f>
        <v>MW</v>
      </c>
      <c r="E276" s="307" t="str">
        <f>RSD_HeatingDemand!K757</f>
        <v>TJ</v>
      </c>
      <c r="F276" s="304" t="s">
        <v>1251</v>
      </c>
      <c r="G276" s="305"/>
    </row>
    <row r="277" spans="1:7" x14ac:dyDescent="0.3">
      <c r="A277" s="303" t="s">
        <v>1191</v>
      </c>
      <c r="B277" s="307" t="str">
        <f>RSD_HeatingDemand!H759</f>
        <v>RHAPE_B_WOF_08</v>
      </c>
      <c r="C277" s="307" t="str">
        <f>RSD_HeatingDemand!I759</f>
        <v>Biomass boilers, automatic stoking</v>
      </c>
      <c r="D277" s="307" t="str">
        <f>RSD_HeatingDemand!J759</f>
        <v>MW</v>
      </c>
      <c r="E277" s="307" t="str">
        <f>RSD_HeatingDemand!K759</f>
        <v>TJ</v>
      </c>
      <c r="F277" s="304" t="s">
        <v>1251</v>
      </c>
      <c r="G277" s="305"/>
    </row>
    <row r="278" spans="1:7" x14ac:dyDescent="0.3">
      <c r="A278" s="303" t="s">
        <v>1191</v>
      </c>
      <c r="B278" s="307" t="str">
        <f>RSD_HeatingDemand!H761</f>
        <v>RHHSE_B_WOF_09</v>
      </c>
      <c r="C278" s="307" t="str">
        <f>RSD_HeatingDemand!I761</f>
        <v>Biomass boiler, manual stoking</v>
      </c>
      <c r="D278" s="307" t="str">
        <f>RSD_HeatingDemand!J761</f>
        <v>MW</v>
      </c>
      <c r="E278" s="307" t="str">
        <f>RSD_HeatingDemand!K761</f>
        <v>TJ</v>
      </c>
      <c r="F278" s="304" t="s">
        <v>1251</v>
      </c>
      <c r="G278" s="305"/>
    </row>
    <row r="279" spans="1:7" x14ac:dyDescent="0.3">
      <c r="A279" s="303" t="s">
        <v>1191</v>
      </c>
      <c r="B279" s="307" t="str">
        <f>RSD_HeatingDemand!H763</f>
        <v>RHHSE_B_WOF_10</v>
      </c>
      <c r="C279" s="307" t="str">
        <f>RSD_HeatingDemand!I763</f>
        <v>Biomass boiler, manual stoking</v>
      </c>
      <c r="D279" s="307" t="str">
        <f>RSD_HeatingDemand!J763</f>
        <v>MW</v>
      </c>
      <c r="E279" s="307" t="str">
        <f>RSD_HeatingDemand!K763</f>
        <v>TJ</v>
      </c>
      <c r="F279" s="304" t="s">
        <v>1251</v>
      </c>
      <c r="G279" s="305"/>
    </row>
    <row r="280" spans="1:7" x14ac:dyDescent="0.3">
      <c r="A280" s="303" t="s">
        <v>1191</v>
      </c>
      <c r="B280" s="307" t="str">
        <f>RSD_HeatingDemand!H765</f>
        <v>RHHSE_B_WOF_11</v>
      </c>
      <c r="C280" s="307" t="str">
        <f>RSD_HeatingDemand!I765</f>
        <v>Biomass boiler, manual stoking</v>
      </c>
      <c r="D280" s="307" t="str">
        <f>RSD_HeatingDemand!J765</f>
        <v>MW</v>
      </c>
      <c r="E280" s="307" t="str">
        <f>RSD_HeatingDemand!K765</f>
        <v>TJ</v>
      </c>
      <c r="F280" s="304" t="s">
        <v>1251</v>
      </c>
      <c r="G280" s="305"/>
    </row>
    <row r="281" spans="1:7" x14ac:dyDescent="0.3">
      <c r="A281" s="303" t="s">
        <v>1191</v>
      </c>
      <c r="B281" s="307" t="str">
        <f>RSD_HeatingDemand!H767</f>
        <v>RHHSE_B_WOF_12</v>
      </c>
      <c r="C281" s="307" t="str">
        <f>RSD_HeatingDemand!I767</f>
        <v>Biomass boiler, manual stoking</v>
      </c>
      <c r="D281" s="307" t="str">
        <f>RSD_HeatingDemand!J767</f>
        <v>MW</v>
      </c>
      <c r="E281" s="307" t="str">
        <f>RSD_HeatingDemand!K767</f>
        <v>TJ</v>
      </c>
      <c r="F281" s="304" t="s">
        <v>1251</v>
      </c>
      <c r="G281" s="305"/>
    </row>
    <row r="282" spans="1:7" x14ac:dyDescent="0.3">
      <c r="A282" s="303" t="s">
        <v>1191</v>
      </c>
      <c r="B282" s="307" t="str">
        <f>RSD_HeatingDemand!H769</f>
        <v>RHHSE_S_WOF_01</v>
      </c>
      <c r="C282" s="307" t="str">
        <f>RSD_HeatingDemand!I769</f>
        <v>Wood stove</v>
      </c>
      <c r="D282" s="307" t="str">
        <f>RSD_HeatingDemand!J769</f>
        <v>MW</v>
      </c>
      <c r="E282" s="307" t="str">
        <f>RSD_HeatingDemand!K769</f>
        <v>TJ</v>
      </c>
      <c r="F282" s="304" t="s">
        <v>1251</v>
      </c>
      <c r="G282" s="305"/>
    </row>
    <row r="283" spans="1:7" x14ac:dyDescent="0.3">
      <c r="A283" s="303" t="s">
        <v>1191</v>
      </c>
      <c r="B283" s="307" t="str">
        <f>RSD_HeatingDemand!H770</f>
        <v>RHHSE_S_WOF_02</v>
      </c>
      <c r="C283" s="307" t="str">
        <f>RSD_HeatingDemand!I770</f>
        <v>Wood stove</v>
      </c>
      <c r="D283" s="307" t="str">
        <f>RSD_HeatingDemand!J770</f>
        <v>MW</v>
      </c>
      <c r="E283" s="307" t="str">
        <f>RSD_HeatingDemand!K770</f>
        <v>TJ</v>
      </c>
      <c r="F283" s="304" t="s">
        <v>1251</v>
      </c>
      <c r="G283" s="305"/>
    </row>
    <row r="284" spans="1:7" x14ac:dyDescent="0.3">
      <c r="A284" s="303" t="s">
        <v>1191</v>
      </c>
      <c r="B284" s="307" t="str">
        <f>RSD_HeatingDemand!H771</f>
        <v>RHHSE_S_WOF_03</v>
      </c>
      <c r="C284" s="307" t="str">
        <f>RSD_HeatingDemand!I771</f>
        <v>Wood stove</v>
      </c>
      <c r="D284" s="307" t="str">
        <f>RSD_HeatingDemand!J771</f>
        <v>MW</v>
      </c>
      <c r="E284" s="307" t="str">
        <f>RSD_HeatingDemand!K771</f>
        <v>TJ</v>
      </c>
      <c r="F284" s="304" t="s">
        <v>1251</v>
      </c>
      <c r="G284" s="305"/>
    </row>
    <row r="285" spans="1:7" x14ac:dyDescent="0.3">
      <c r="A285" s="303" t="s">
        <v>1191</v>
      </c>
      <c r="B285" s="307" t="str">
        <f>RSD_HeatingDemand!H772</f>
        <v>RHHSE_S_WOF_04</v>
      </c>
      <c r="C285" s="307" t="str">
        <f>RSD_HeatingDemand!I772</f>
        <v>Wood stove</v>
      </c>
      <c r="D285" s="307" t="str">
        <f>RSD_HeatingDemand!J772</f>
        <v>MW</v>
      </c>
      <c r="E285" s="307" t="str">
        <f>RSD_HeatingDemand!K772</f>
        <v>TJ</v>
      </c>
      <c r="F285" s="304" t="s">
        <v>1251</v>
      </c>
      <c r="G285" s="305"/>
    </row>
    <row r="286" spans="1:7" x14ac:dyDescent="0.3">
      <c r="A286" s="303" t="s">
        <v>1191</v>
      </c>
      <c r="B286" s="307" t="str">
        <f>RSD_HeatingDemand!H773</f>
        <v>RHHSE_S_WOF_05</v>
      </c>
      <c r="C286" s="307" t="str">
        <f>RSD_HeatingDemand!I773</f>
        <v>Wood stove</v>
      </c>
      <c r="D286" s="307" t="str">
        <f>RSD_HeatingDemand!J773</f>
        <v>MW</v>
      </c>
      <c r="E286" s="307" t="str">
        <f>RSD_HeatingDemand!K773</f>
        <v>TJ</v>
      </c>
      <c r="F286" s="304" t="s">
        <v>1251</v>
      </c>
      <c r="G286" s="305"/>
    </row>
    <row r="287" spans="1:7" x14ac:dyDescent="0.3">
      <c r="A287" s="303" t="s">
        <v>1191</v>
      </c>
      <c r="B287" s="307" t="str">
        <f>RSD_HeatingDemand!H775</f>
        <v>RHHSE_S_WOF_06</v>
      </c>
      <c r="C287" s="307" t="str">
        <f>RSD_HeatingDemand!I775</f>
        <v>Wood stove</v>
      </c>
      <c r="D287" s="307" t="str">
        <f>RSD_HeatingDemand!J775</f>
        <v>MW</v>
      </c>
      <c r="E287" s="307" t="str">
        <f>RSD_HeatingDemand!K775</f>
        <v>TJ</v>
      </c>
      <c r="F287" s="304" t="s">
        <v>1251</v>
      </c>
      <c r="G287" s="305"/>
    </row>
    <row r="288" spans="1:7" x14ac:dyDescent="0.3">
      <c r="A288" s="303" t="s">
        <v>1191</v>
      </c>
      <c r="B288" s="307" t="str">
        <f>RSD_HeatingDemand!H777</f>
        <v>RHHSE_S_WOF_07</v>
      </c>
      <c r="C288" s="307" t="str">
        <f>RSD_HeatingDemand!I777</f>
        <v>Wood stove</v>
      </c>
      <c r="D288" s="307" t="str">
        <f>RSD_HeatingDemand!J777</f>
        <v>MW</v>
      </c>
      <c r="E288" s="307" t="str">
        <f>RSD_HeatingDemand!K777</f>
        <v>TJ</v>
      </c>
      <c r="F288" s="304" t="s">
        <v>1251</v>
      </c>
      <c r="G288" s="305"/>
    </row>
    <row r="289" spans="1:7" x14ac:dyDescent="0.3">
      <c r="A289" s="303" t="s">
        <v>1191</v>
      </c>
      <c r="B289" s="307" t="str">
        <f>RSD_HeatingDemand!H779</f>
        <v>RHHSE_S_WOF_08</v>
      </c>
      <c r="C289" s="307" t="str">
        <f>RSD_HeatingDemand!I779</f>
        <v>Wood stove</v>
      </c>
      <c r="D289" s="307" t="str">
        <f>RSD_HeatingDemand!J779</f>
        <v>MW</v>
      </c>
      <c r="E289" s="307" t="str">
        <f>RSD_HeatingDemand!K779</f>
        <v>TJ</v>
      </c>
      <c r="F289" s="304" t="s">
        <v>1251</v>
      </c>
      <c r="G289" s="305"/>
    </row>
    <row r="290" spans="1:7" x14ac:dyDescent="0.3">
      <c r="A290" s="303" t="s">
        <v>1191</v>
      </c>
      <c r="B290" s="307" t="str">
        <f>RSD_HeatingDemand!H781</f>
        <v>RHHSE_T_SOL_01</v>
      </c>
      <c r="C290" s="307" t="str">
        <f>RSD_HeatingDemand!I781</f>
        <v>Solar heating</v>
      </c>
      <c r="D290" s="307" t="str">
        <f>RSD_HeatingDemand!J781</f>
        <v>MW</v>
      </c>
      <c r="E290" s="307" t="str">
        <f>RSD_HeatingDemand!K781</f>
        <v>TJ</v>
      </c>
      <c r="F290" s="304" t="s">
        <v>1251</v>
      </c>
      <c r="G290" s="305"/>
    </row>
    <row r="291" spans="1:7" x14ac:dyDescent="0.3">
      <c r="A291" s="303" t="s">
        <v>1191</v>
      </c>
      <c r="B291" s="307" t="str">
        <f>RSD_HeatingDemand!H783</f>
        <v>RHHSE_T_SOL_02</v>
      </c>
      <c r="C291" s="307" t="str">
        <f>RSD_HeatingDemand!I783</f>
        <v>Solar heating</v>
      </c>
      <c r="D291" s="307" t="str">
        <f>RSD_HeatingDemand!J783</f>
        <v>MW</v>
      </c>
      <c r="E291" s="307" t="str">
        <f>RSD_HeatingDemand!K783</f>
        <v>TJ</v>
      </c>
      <c r="F291" s="304" t="s">
        <v>1251</v>
      </c>
      <c r="G291" s="305"/>
    </row>
    <row r="292" spans="1:7" x14ac:dyDescent="0.3">
      <c r="A292" s="303" t="s">
        <v>1191</v>
      </c>
      <c r="B292" s="307" t="str">
        <f>RSD_HeatingDemand!H785</f>
        <v>RHHSE_T_SOL_03</v>
      </c>
      <c r="C292" s="307" t="str">
        <f>RSD_HeatingDemand!I785</f>
        <v>Solar heating</v>
      </c>
      <c r="D292" s="307" t="str">
        <f>RSD_HeatingDemand!J785</f>
        <v>MW</v>
      </c>
      <c r="E292" s="307" t="str">
        <f>RSD_HeatingDemand!K785</f>
        <v>TJ</v>
      </c>
      <c r="F292" s="304" t="s">
        <v>1251</v>
      </c>
      <c r="G292" s="305"/>
    </row>
    <row r="293" spans="1:7" x14ac:dyDescent="0.3">
      <c r="A293" s="303" t="s">
        <v>1191</v>
      </c>
      <c r="B293" s="307" t="str">
        <f>RSD_HeatingDemand!H787</f>
        <v>RHHSE_T_SOL_04</v>
      </c>
      <c r="C293" s="307" t="str">
        <f>RSD_HeatingDemand!I787</f>
        <v>Solar heating</v>
      </c>
      <c r="D293" s="307" t="str">
        <f>RSD_HeatingDemand!J787</f>
        <v>MW</v>
      </c>
      <c r="E293" s="307" t="str">
        <f>RSD_HeatingDemand!K787</f>
        <v>TJ</v>
      </c>
      <c r="F293" s="304" t="s">
        <v>1251</v>
      </c>
      <c r="G293" s="305"/>
    </row>
    <row r="294" spans="1:7" x14ac:dyDescent="0.3">
      <c r="A294" s="303" t="s">
        <v>1191</v>
      </c>
      <c r="B294" s="307" t="str">
        <f>RSD_HeatingDemand!H789</f>
        <v>RHHSE_T_SOL_05</v>
      </c>
      <c r="C294" s="307" t="str">
        <f>RSD_HeatingDemand!I789</f>
        <v>Solar heating</v>
      </c>
      <c r="D294" s="307" t="str">
        <f>RSD_HeatingDemand!J789</f>
        <v>MW</v>
      </c>
      <c r="E294" s="307" t="str">
        <f>RSD_HeatingDemand!K789</f>
        <v>TJ</v>
      </c>
      <c r="F294" s="304" t="s">
        <v>1251</v>
      </c>
      <c r="G294" s="305"/>
    </row>
    <row r="295" spans="1:7" x14ac:dyDescent="0.3">
      <c r="A295" s="303" t="s">
        <v>1191</v>
      </c>
      <c r="B295" s="307" t="str">
        <f>RSD_HeatingDemand!H791</f>
        <v>RHHSE_T_SOL_06</v>
      </c>
      <c r="C295" s="307" t="str">
        <f>RSD_HeatingDemand!I791</f>
        <v>Solar heating</v>
      </c>
      <c r="D295" s="307" t="str">
        <f>RSD_HeatingDemand!J791</f>
        <v>MW</v>
      </c>
      <c r="E295" s="307" t="str">
        <f>RSD_HeatingDemand!K791</f>
        <v>TJ</v>
      </c>
      <c r="F295" s="304" t="s">
        <v>1251</v>
      </c>
      <c r="G295" s="305"/>
    </row>
    <row r="296" spans="1:7" x14ac:dyDescent="0.3">
      <c r="A296" s="303" t="s">
        <v>1191</v>
      </c>
      <c r="B296" s="307" t="str">
        <f>RSD_HeatingDemand!H793</f>
        <v>RHHSE_T_SOL_07</v>
      </c>
      <c r="C296" s="307" t="str">
        <f>RSD_HeatingDemand!I793</f>
        <v>Solar heating</v>
      </c>
      <c r="D296" s="307" t="str">
        <f>RSD_HeatingDemand!J793</f>
        <v>MW</v>
      </c>
      <c r="E296" s="307" t="str">
        <f>RSD_HeatingDemand!K793</f>
        <v>TJ</v>
      </c>
      <c r="F296" s="304" t="s">
        <v>1251</v>
      </c>
      <c r="G296" s="305"/>
    </row>
    <row r="297" spans="1:7" x14ac:dyDescent="0.3">
      <c r="A297" s="303" t="s">
        <v>1191</v>
      </c>
      <c r="B297" s="307" t="str">
        <f>RSD_HeatingDemand!H795</f>
        <v>RHHSE_T_SOL_08</v>
      </c>
      <c r="C297" s="307" t="str">
        <f>RSD_HeatingDemand!I795</f>
        <v>Solar heating</v>
      </c>
      <c r="D297" s="307" t="str">
        <f>RSD_HeatingDemand!J795</f>
        <v>MW</v>
      </c>
      <c r="E297" s="307" t="str">
        <f>RSD_HeatingDemand!K795</f>
        <v>TJ</v>
      </c>
      <c r="F297" s="304" t="s">
        <v>1251</v>
      </c>
      <c r="G297" s="305"/>
    </row>
    <row r="298" spans="1:7" x14ac:dyDescent="0.3">
      <c r="A298" s="303" t="s">
        <v>1191</v>
      </c>
      <c r="B298" s="307" t="str">
        <f>RSD_HeatingDemand!H797</f>
        <v>RHHSE_T_SOL_09</v>
      </c>
      <c r="C298" s="307" t="str">
        <f>RSD_HeatingDemand!I797</f>
        <v>Solar heating</v>
      </c>
      <c r="D298" s="307" t="str">
        <f>RSD_HeatingDemand!J797</f>
        <v>MW</v>
      </c>
      <c r="E298" s="307" t="str">
        <f>RSD_HeatingDemand!K797</f>
        <v>TJ</v>
      </c>
      <c r="F298" s="304" t="s">
        <v>1251</v>
      </c>
      <c r="G298" s="305"/>
    </row>
    <row r="299" spans="1:7" x14ac:dyDescent="0.3">
      <c r="A299" s="303" t="s">
        <v>1191</v>
      </c>
      <c r="B299" s="307" t="str">
        <f>RSD_HeatingDemand!H799</f>
        <v>RHHSE_T_SOL_10</v>
      </c>
      <c r="C299" s="307" t="str">
        <f>RSD_HeatingDemand!I799</f>
        <v>Solar heating</v>
      </c>
      <c r="D299" s="307" t="str">
        <f>RSD_HeatingDemand!J799</f>
        <v>MW</v>
      </c>
      <c r="E299" s="307" t="str">
        <f>RSD_HeatingDemand!K799</f>
        <v>TJ</v>
      </c>
      <c r="F299" s="304" t="s">
        <v>1251</v>
      </c>
      <c r="G299" s="305"/>
    </row>
    <row r="300" spans="1:7" x14ac:dyDescent="0.3">
      <c r="A300" s="303" t="s">
        <v>1191</v>
      </c>
      <c r="B300" s="307" t="str">
        <f>RSD_HeatingDemand!H801</f>
        <v>RHHSE_T_SOL_11</v>
      </c>
      <c r="C300" s="307" t="str">
        <f>RSD_HeatingDemand!I801</f>
        <v>Solar heating</v>
      </c>
      <c r="D300" s="307" t="str">
        <f>RSD_HeatingDemand!J801</f>
        <v>MW</v>
      </c>
      <c r="E300" s="307" t="str">
        <f>RSD_HeatingDemand!K801</f>
        <v>TJ</v>
      </c>
      <c r="F300" s="304" t="s">
        <v>1251</v>
      </c>
      <c r="G300" s="305"/>
    </row>
    <row r="301" spans="1:7" x14ac:dyDescent="0.3">
      <c r="A301" s="303" t="s">
        <v>1191</v>
      </c>
      <c r="B301" s="307" t="str">
        <f>RSD_HeatingDemand!H803</f>
        <v>RHHSE_T_SOL_12</v>
      </c>
      <c r="C301" s="307" t="str">
        <f>RSD_HeatingDemand!I803</f>
        <v>Solar heating</v>
      </c>
      <c r="D301" s="307" t="str">
        <f>RSD_HeatingDemand!J803</f>
        <v>MW</v>
      </c>
      <c r="E301" s="307" t="str">
        <f>RSD_HeatingDemand!K803</f>
        <v>TJ</v>
      </c>
      <c r="F301" s="304" t="s">
        <v>1251</v>
      </c>
      <c r="G301" s="305"/>
    </row>
    <row r="302" spans="1:7" x14ac:dyDescent="0.3">
      <c r="A302" s="303" t="s">
        <v>1191</v>
      </c>
      <c r="B302" s="307" t="str">
        <f>RSD_HeatingDemand!H805</f>
        <v>RHAPE_T_SOL_01</v>
      </c>
      <c r="C302" s="307" t="str">
        <f>RSD_HeatingDemand!I805</f>
        <v>Solar heating</v>
      </c>
      <c r="D302" s="307" t="str">
        <f>RSD_HeatingDemand!J805</f>
        <v>MW</v>
      </c>
      <c r="E302" s="307" t="str">
        <f>RSD_HeatingDemand!K805</f>
        <v>TJ</v>
      </c>
      <c r="F302" s="304" t="s">
        <v>1251</v>
      </c>
      <c r="G302" s="305"/>
    </row>
    <row r="303" spans="1:7" x14ac:dyDescent="0.3">
      <c r="A303" s="303" t="s">
        <v>1191</v>
      </c>
      <c r="B303" s="307" t="str">
        <f>RSD_HeatingDemand!H807</f>
        <v>RHAPE_T_SOL_02</v>
      </c>
      <c r="C303" s="307" t="str">
        <f>RSD_HeatingDemand!I807</f>
        <v>Solar heating</v>
      </c>
      <c r="D303" s="307" t="str">
        <f>RSD_HeatingDemand!J807</f>
        <v>MW</v>
      </c>
      <c r="E303" s="307" t="str">
        <f>RSD_HeatingDemand!K807</f>
        <v>TJ</v>
      </c>
      <c r="F303" s="304" t="s">
        <v>1251</v>
      </c>
      <c r="G303" s="305"/>
    </row>
    <row r="304" spans="1:7" x14ac:dyDescent="0.3">
      <c r="A304" s="303" t="s">
        <v>1191</v>
      </c>
      <c r="B304" s="307" t="str">
        <f>RSD_HeatingDemand!H809</f>
        <v>RHAPE_T_SOL_03</v>
      </c>
      <c r="C304" s="307" t="str">
        <f>RSD_HeatingDemand!I809</f>
        <v>Solar heating</v>
      </c>
      <c r="D304" s="307" t="str">
        <f>RSD_HeatingDemand!J809</f>
        <v>MW</v>
      </c>
      <c r="E304" s="307" t="str">
        <f>RSD_HeatingDemand!K809</f>
        <v>TJ</v>
      </c>
      <c r="F304" s="304" t="s">
        <v>1251</v>
      </c>
      <c r="G304" s="305"/>
    </row>
    <row r="305" spans="1:7" x14ac:dyDescent="0.3">
      <c r="A305" s="303" t="s">
        <v>1191</v>
      </c>
      <c r="B305" s="307" t="str">
        <f>RSD_HeatingDemand!H811</f>
        <v>RHAPE_T_SOL_04</v>
      </c>
      <c r="C305" s="307" t="str">
        <f>RSD_HeatingDemand!I811</f>
        <v>Solar heating</v>
      </c>
      <c r="D305" s="307" t="str">
        <f>RSD_HeatingDemand!J811</f>
        <v>MW</v>
      </c>
      <c r="E305" s="307" t="str">
        <f>RSD_HeatingDemand!K811</f>
        <v>TJ</v>
      </c>
      <c r="F305" s="304" t="s">
        <v>1251</v>
      </c>
      <c r="G305" s="305"/>
    </row>
    <row r="306" spans="1:7" x14ac:dyDescent="0.3">
      <c r="A306" s="303" t="s">
        <v>1191</v>
      </c>
      <c r="B306" s="307" t="str">
        <f>RSD_HeatingDemand!H813</f>
        <v>RHAPE_T_SOL_05</v>
      </c>
      <c r="C306" s="307" t="str">
        <f>RSD_HeatingDemand!I813</f>
        <v>Solar heating</v>
      </c>
      <c r="D306" s="307" t="str">
        <f>RSD_HeatingDemand!J813</f>
        <v>MW</v>
      </c>
      <c r="E306" s="307" t="str">
        <f>RSD_HeatingDemand!K813</f>
        <v>TJ</v>
      </c>
      <c r="F306" s="304" t="s">
        <v>1251</v>
      </c>
      <c r="G306" s="305"/>
    </row>
    <row r="307" spans="1:7" x14ac:dyDescent="0.3">
      <c r="A307" s="303" t="s">
        <v>1191</v>
      </c>
      <c r="B307" s="307" t="str">
        <f>RSD_HeatingDemand!H815</f>
        <v>RHAPE_T_SOL_06</v>
      </c>
      <c r="C307" s="307" t="str">
        <f>RSD_HeatingDemand!I815</f>
        <v>Solar heating</v>
      </c>
      <c r="D307" s="307" t="str">
        <f>RSD_HeatingDemand!J815</f>
        <v>MW</v>
      </c>
      <c r="E307" s="307" t="str">
        <f>RSD_HeatingDemand!K815</f>
        <v>TJ</v>
      </c>
      <c r="F307" s="304" t="s">
        <v>1251</v>
      </c>
      <c r="G307" s="305"/>
    </row>
    <row r="308" spans="1:7" x14ac:dyDescent="0.3">
      <c r="A308" s="303" t="s">
        <v>1191</v>
      </c>
      <c r="B308" s="307" t="str">
        <f>RSD_HeatingDemand!H817</f>
        <v>RHAPE_T_SOL_07</v>
      </c>
      <c r="C308" s="307" t="str">
        <f>RSD_HeatingDemand!I817</f>
        <v>Solar heating</v>
      </c>
      <c r="D308" s="307" t="str">
        <f>RSD_HeatingDemand!J817</f>
        <v>MW</v>
      </c>
      <c r="E308" s="307" t="str">
        <f>RSD_HeatingDemand!K817</f>
        <v>TJ</v>
      </c>
      <c r="F308" s="304" t="s">
        <v>1251</v>
      </c>
      <c r="G308" s="305"/>
    </row>
    <row r="309" spans="1:7" x14ac:dyDescent="0.3">
      <c r="A309" s="303" t="s">
        <v>1191</v>
      </c>
      <c r="B309" s="307" t="str">
        <f>RSD_HeatingDemand!H819</f>
        <v>RHAPE_T_SOL_08</v>
      </c>
      <c r="C309" s="307" t="str">
        <f>RSD_HeatingDemand!I819</f>
        <v>Solar heating</v>
      </c>
      <c r="D309" s="307" t="str">
        <f>RSD_HeatingDemand!J819</f>
        <v>MW</v>
      </c>
      <c r="E309" s="307" t="str">
        <f>RSD_HeatingDemand!K819</f>
        <v>TJ</v>
      </c>
      <c r="F309" s="304" t="s">
        <v>1251</v>
      </c>
      <c r="G309" s="305"/>
    </row>
    <row r="310" spans="1:7" x14ac:dyDescent="0.3">
      <c r="A310" s="303" t="s">
        <v>1191</v>
      </c>
      <c r="B310" s="307" t="str">
        <f>RSD_HeatingDemand!H821</f>
        <v>RHHSE_R_ELC_01</v>
      </c>
      <c r="C310" s="307" t="str">
        <f>RSD_HeatingDemand!I821</f>
        <v>Electric heating</v>
      </c>
      <c r="D310" s="307" t="str">
        <f>RSD_HeatingDemand!J821</f>
        <v>MW</v>
      </c>
      <c r="E310" s="307" t="str">
        <f>RSD_HeatingDemand!K821</f>
        <v>TJ</v>
      </c>
      <c r="F310" s="304" t="s">
        <v>1251</v>
      </c>
      <c r="G310" s="305"/>
    </row>
    <row r="311" spans="1:7" x14ac:dyDescent="0.3">
      <c r="A311" s="303" t="s">
        <v>1191</v>
      </c>
      <c r="B311" s="307" t="str">
        <f>RSD_HeatingDemand!H823</f>
        <v>RHAPE_R_ELC_01</v>
      </c>
      <c r="C311" s="307" t="str">
        <f>RSD_HeatingDemand!I823</f>
        <v>Electric heating</v>
      </c>
      <c r="D311" s="307" t="str">
        <f>RSD_HeatingDemand!J823</f>
        <v>MW</v>
      </c>
      <c r="E311" s="307" t="str">
        <f>RSD_HeatingDemand!K823</f>
        <v>TJ</v>
      </c>
      <c r="F311" s="304" t="s">
        <v>1251</v>
      </c>
      <c r="G311" s="305"/>
    </row>
    <row r="312" spans="1:7" x14ac:dyDescent="0.3">
      <c r="A312" s="303" t="s">
        <v>1191</v>
      </c>
      <c r="B312" s="307" t="str">
        <f>RSD_HeatingDemand!H825</f>
        <v>RHAPE_R_ELC_02</v>
      </c>
      <c r="C312" s="307" t="str">
        <f>RSD_HeatingDemand!I825</f>
        <v>Electric heating</v>
      </c>
      <c r="D312" s="307" t="str">
        <f>RSD_HeatingDemand!J825</f>
        <v>MW</v>
      </c>
      <c r="E312" s="307" t="str">
        <f>RSD_HeatingDemand!K825</f>
        <v>TJ</v>
      </c>
      <c r="F312" s="304" t="s">
        <v>1251</v>
      </c>
      <c r="G312" s="305"/>
    </row>
    <row r="313" spans="1:7" x14ac:dyDescent="0.3">
      <c r="A313" s="303" t="s">
        <v>1191</v>
      </c>
      <c r="B313" s="307" t="str">
        <f>RSD_HeatingDemand!H827</f>
        <v>RHAPE_R_ELC_03</v>
      </c>
      <c r="C313" s="307" t="str">
        <f>RSD_HeatingDemand!I827</f>
        <v>Electric heating</v>
      </c>
      <c r="D313" s="307" t="str">
        <f>RSD_HeatingDemand!J827</f>
        <v>MW</v>
      </c>
      <c r="E313" s="307" t="str">
        <f>RSD_HeatingDemand!K827</f>
        <v>TJ</v>
      </c>
      <c r="F313" s="304" t="s">
        <v>1251</v>
      </c>
      <c r="G313" s="305"/>
    </row>
    <row r="314" spans="1:7" x14ac:dyDescent="0.3">
      <c r="A314" s="303" t="s">
        <v>1191</v>
      </c>
      <c r="B314" s="307" t="str">
        <f>RSD_HeatingDemand!H829</f>
        <v>RHAPE_R_ELC_04</v>
      </c>
      <c r="C314" s="307" t="str">
        <f>RSD_HeatingDemand!I829</f>
        <v>Electric heating</v>
      </c>
      <c r="D314" s="307" t="str">
        <f>RSD_HeatingDemand!J829</f>
        <v>MW</v>
      </c>
      <c r="E314" s="307" t="str">
        <f>RSD_HeatingDemand!K829</f>
        <v>TJ</v>
      </c>
      <c r="F314" s="304" t="s">
        <v>1251</v>
      </c>
      <c r="G314" s="305"/>
    </row>
    <row r="315" spans="1:7" x14ac:dyDescent="0.3">
      <c r="A315" s="303" t="s">
        <v>1191</v>
      </c>
      <c r="B315" s="307" t="str">
        <f>RSD_Otherdemands_HS_AP!H5</f>
        <v>RKAPAoOHoGAS01</v>
      </c>
      <c r="C315" s="307" t="str">
        <f>RSD_Otherdemands_HS_AP!I5</f>
        <v>RKAPAGasOvenHobsGAS.BAU</v>
      </c>
      <c r="D315" s="307" t="str">
        <f>RSD_Otherdemands_HS_AP!J5</f>
        <v>MW</v>
      </c>
      <c r="E315" s="307" t="str">
        <f>RSD_Otherdemands_HS_AP!K5</f>
        <v>TJ</v>
      </c>
      <c r="F315" s="304" t="s">
        <v>1251</v>
      </c>
      <c r="G315" s="305"/>
    </row>
    <row r="316" spans="1:7" x14ac:dyDescent="0.3">
      <c r="A316" s="303" t="s">
        <v>1191</v>
      </c>
      <c r="B316" s="307" t="str">
        <f>RSD_Otherdemands_HS_AP!H6</f>
        <v>RKAPAoOHoGAS02</v>
      </c>
      <c r="C316" s="307" t="str">
        <f>RSD_Otherdemands_HS_AP!I6</f>
        <v>RKAPAGasOvenHobsGAS.BAT</v>
      </c>
      <c r="D316" s="307" t="str">
        <f>RSD_Otherdemands_HS_AP!J6</f>
        <v>MW</v>
      </c>
      <c r="E316" s="307" t="str">
        <f>RSD_Otherdemands_HS_AP!K6</f>
        <v>TJ</v>
      </c>
      <c r="F316" s="304" t="s">
        <v>1251</v>
      </c>
      <c r="G316" s="305"/>
    </row>
    <row r="317" spans="1:7" x14ac:dyDescent="0.3">
      <c r="A317" s="303" t="s">
        <v>1191</v>
      </c>
      <c r="B317" s="307" t="str">
        <f>RSD_Otherdemands_HS_AP!H7</f>
        <v>RKAPAoOHoELC01</v>
      </c>
      <c r="C317" s="307" t="str">
        <f>RSD_Otherdemands_HS_AP!I7</f>
        <v>RKAPAElectricOvenHobsELC.BAU</v>
      </c>
      <c r="D317" s="307" t="str">
        <f>RSD_Otherdemands_HS_AP!J7</f>
        <v>MW</v>
      </c>
      <c r="E317" s="307" t="str">
        <f>RSD_Otherdemands_HS_AP!K7</f>
        <v>TJ</v>
      </c>
      <c r="F317" s="304" t="s">
        <v>1251</v>
      </c>
      <c r="G317" s="305"/>
    </row>
    <row r="318" spans="1:7" x14ac:dyDescent="0.3">
      <c r="A318" s="303" t="s">
        <v>1191</v>
      </c>
      <c r="B318" s="307" t="str">
        <f>RSD_Otherdemands_HS_AP!H8</f>
        <v>RKAPAoOHoELC02</v>
      </c>
      <c r="C318" s="307" t="str">
        <f>RSD_Otherdemands_HS_AP!I8</f>
        <v>RKAPAElectricOvenHobsELC.BAT</v>
      </c>
      <c r="D318" s="307" t="str">
        <f>RSD_Otherdemands_HS_AP!J8</f>
        <v>MW</v>
      </c>
      <c r="E318" s="307" t="str">
        <f>RSD_Otherdemands_HS_AP!K8</f>
        <v>TJ</v>
      </c>
      <c r="F318" s="304" t="s">
        <v>1251</v>
      </c>
      <c r="G318" s="305"/>
    </row>
    <row r="319" spans="1:7" x14ac:dyDescent="0.3">
      <c r="A319" s="303" t="s">
        <v>1191</v>
      </c>
      <c r="B319" s="307" t="str">
        <f>RSD_Otherdemands_HS_AP!H9</f>
        <v>RKAPAoOHoLPG02</v>
      </c>
      <c r="C319" s="307" t="str">
        <f>RSD_Otherdemands_HS_AP!I9</f>
        <v>RKAPALPGOvenHobsLPG.BAT</v>
      </c>
      <c r="D319" s="307" t="str">
        <f>RSD_Otherdemands_HS_AP!J9</f>
        <v>MW</v>
      </c>
      <c r="E319" s="307" t="str">
        <f>RSD_Otherdemands_HS_AP!K9</f>
        <v>TJ</v>
      </c>
      <c r="F319" s="304" t="s">
        <v>1251</v>
      </c>
      <c r="G319" s="305"/>
    </row>
    <row r="320" spans="1:7" x14ac:dyDescent="0.3">
      <c r="A320" s="303" t="s">
        <v>1191</v>
      </c>
      <c r="B320" s="307" t="str">
        <f>RSD_Otherdemands_HS_AP!H10</f>
        <v>RKAPAoRoELC02</v>
      </c>
      <c r="C320" s="307" t="str">
        <f>RSD_Otherdemands_HS_AP!I10</f>
        <v>RKAPAElectricRangeELC.BAT</v>
      </c>
      <c r="D320" s="307" t="str">
        <f>RSD_Otherdemands_HS_AP!J10</f>
        <v>MW</v>
      </c>
      <c r="E320" s="307" t="str">
        <f>RSD_Otherdemands_HS_AP!K10</f>
        <v>TJ</v>
      </c>
      <c r="F320" s="304" t="s">
        <v>1251</v>
      </c>
      <c r="G320" s="305"/>
    </row>
    <row r="321" spans="1:7" x14ac:dyDescent="0.3">
      <c r="A321" s="303" t="s">
        <v>1191</v>
      </c>
      <c r="B321" s="307" t="str">
        <f>RSD_Otherdemands_HS_AP!H11</f>
        <v>RKAPAoRoGAS02</v>
      </c>
      <c r="C321" s="307" t="str">
        <f>RSD_Otherdemands_HS_AP!I11</f>
        <v>RKAPAGasRangeGAS.BAT</v>
      </c>
      <c r="D321" s="307" t="str">
        <f>RSD_Otherdemands_HS_AP!J11</f>
        <v>MW</v>
      </c>
      <c r="E321" s="307" t="str">
        <f>RSD_Otherdemands_HS_AP!K11</f>
        <v>TJ</v>
      </c>
      <c r="F321" s="304" t="s">
        <v>1251</v>
      </c>
      <c r="G321" s="305"/>
    </row>
    <row r="322" spans="1:7" x14ac:dyDescent="0.3">
      <c r="A322" s="303" t="s">
        <v>1191</v>
      </c>
      <c r="B322" s="307" t="str">
        <f>RSD_Otherdemands_HS_AP!H12</f>
        <v>RKAPAoRoLPG02</v>
      </c>
      <c r="C322" s="307" t="str">
        <f>RSD_Otherdemands_HS_AP!I12</f>
        <v>RKAPALPGRangeLPG.BAT</v>
      </c>
      <c r="D322" s="307" t="str">
        <f>RSD_Otherdemands_HS_AP!J12</f>
        <v>MW</v>
      </c>
      <c r="E322" s="307" t="str">
        <f>RSD_Otherdemands_HS_AP!K12</f>
        <v>TJ</v>
      </c>
      <c r="F322" s="304" t="s">
        <v>1251</v>
      </c>
      <c r="G322" s="305"/>
    </row>
    <row r="323" spans="1:7" x14ac:dyDescent="0.3">
      <c r="A323" s="303" t="s">
        <v>1191</v>
      </c>
      <c r="B323" s="307" t="str">
        <f>RSD_Otherdemands_HS_AP!H13</f>
        <v>RKAPAoStoELC02</v>
      </c>
      <c r="C323" s="307" t="str">
        <f>RSD_Otherdemands_HS_AP!I13</f>
        <v>RKAPAElectricSteamerELC.BAT</v>
      </c>
      <c r="D323" s="307" t="str">
        <f>RSD_Otherdemands_HS_AP!J13</f>
        <v>MW</v>
      </c>
      <c r="E323" s="307" t="str">
        <f>RSD_Otherdemands_HS_AP!K13</f>
        <v>TJ</v>
      </c>
      <c r="F323" s="304" t="s">
        <v>1251</v>
      </c>
      <c r="G323" s="305"/>
    </row>
    <row r="324" spans="1:7" x14ac:dyDescent="0.3">
      <c r="A324" s="303" t="s">
        <v>1191</v>
      </c>
      <c r="B324" s="307" t="str">
        <f>RSD_Otherdemands_HS_AP!H14</f>
        <v>RKAPAoStoGAS02</v>
      </c>
      <c r="C324" s="307" t="str">
        <f>RSD_Otherdemands_HS_AP!I14</f>
        <v>RKAPAGasSteamerGAS.BAT</v>
      </c>
      <c r="D324" s="307" t="str">
        <f>RSD_Otherdemands_HS_AP!J14</f>
        <v>MW</v>
      </c>
      <c r="E324" s="307" t="str">
        <f>RSD_Otherdemands_HS_AP!K14</f>
        <v>TJ</v>
      </c>
      <c r="F324" s="304" t="s">
        <v>1251</v>
      </c>
      <c r="G324" s="305"/>
    </row>
    <row r="325" spans="1:7" x14ac:dyDescent="0.3">
      <c r="A325" s="303" t="s">
        <v>1191</v>
      </c>
      <c r="B325" s="307" t="str">
        <f>RSD_Otherdemands_HS_AP!H15</f>
        <v>RKAPAoFGoELC02</v>
      </c>
      <c r="C325" s="307" t="str">
        <f>RSD_Otherdemands_HS_AP!I15</f>
        <v>RKAPAElectricFryerGriddleELC.BAT</v>
      </c>
      <c r="D325" s="307" t="str">
        <f>RSD_Otherdemands_HS_AP!J15</f>
        <v>MW</v>
      </c>
      <c r="E325" s="307" t="str">
        <f>RSD_Otherdemands_HS_AP!K15</f>
        <v>TJ</v>
      </c>
      <c r="F325" s="304" t="s">
        <v>1251</v>
      </c>
      <c r="G325" s="305"/>
    </row>
    <row r="326" spans="1:7" x14ac:dyDescent="0.3">
      <c r="A326" s="303" t="s">
        <v>1191</v>
      </c>
      <c r="B326" s="307" t="str">
        <f>RSD_Otherdemands_HS_AP!H16</f>
        <v>RKAPAoFGoGAS02</v>
      </c>
      <c r="C326" s="307" t="str">
        <f>RSD_Otherdemands_HS_AP!I16</f>
        <v>RKAPAGasFryerGriddleGAS.BAT</v>
      </c>
      <c r="D326" s="307" t="str">
        <f>RSD_Otherdemands_HS_AP!J16</f>
        <v>MW</v>
      </c>
      <c r="E326" s="307" t="str">
        <f>RSD_Otherdemands_HS_AP!K16</f>
        <v>TJ</v>
      </c>
      <c r="F326" s="304" t="s">
        <v>1251</v>
      </c>
      <c r="G326" s="305"/>
    </row>
    <row r="327" spans="1:7" x14ac:dyDescent="0.3">
      <c r="A327" s="303" t="s">
        <v>1191</v>
      </c>
      <c r="B327" s="307" t="str">
        <f>RSD_Otherdemands_HS_AP!H17</f>
        <v>RKAPBoOHoGAS01</v>
      </c>
      <c r="C327" s="307" t="str">
        <f>RSD_Otherdemands_HS_AP!I17</f>
        <v>RKAPBGasOvenHobsGAS.BAU</v>
      </c>
      <c r="D327" s="307" t="str">
        <f>RSD_Otherdemands_HS_AP!J17</f>
        <v>MW</v>
      </c>
      <c r="E327" s="307" t="str">
        <f>RSD_Otherdemands_HS_AP!K17</f>
        <v>TJ</v>
      </c>
      <c r="F327" s="304" t="s">
        <v>1251</v>
      </c>
      <c r="G327" s="305"/>
    </row>
    <row r="328" spans="1:7" x14ac:dyDescent="0.3">
      <c r="A328" s="303" t="s">
        <v>1191</v>
      </c>
      <c r="B328" s="307" t="str">
        <f>RSD_Otherdemands_HS_AP!H18</f>
        <v>RKAPBoOHoGAS02</v>
      </c>
      <c r="C328" s="307" t="str">
        <f>RSD_Otherdemands_HS_AP!I18</f>
        <v>RKAPBGasOvenHobsGAS.BAT</v>
      </c>
      <c r="D328" s="307" t="str">
        <f>RSD_Otherdemands_HS_AP!J18</f>
        <v>MW</v>
      </c>
      <c r="E328" s="307" t="str">
        <f>RSD_Otherdemands_HS_AP!K18</f>
        <v>TJ</v>
      </c>
      <c r="F328" s="304" t="s">
        <v>1251</v>
      </c>
      <c r="G328" s="305"/>
    </row>
    <row r="329" spans="1:7" x14ac:dyDescent="0.3">
      <c r="A329" s="303" t="s">
        <v>1191</v>
      </c>
      <c r="B329" s="307" t="str">
        <f>RSD_Otherdemands_HS_AP!H19</f>
        <v>RKAPBoOHoELC01</v>
      </c>
      <c r="C329" s="307" t="str">
        <f>RSD_Otherdemands_HS_AP!I19</f>
        <v>RKAPBElectricOvenHobsELC.BAU</v>
      </c>
      <c r="D329" s="307" t="str">
        <f>RSD_Otherdemands_HS_AP!J19</f>
        <v>MW</v>
      </c>
      <c r="E329" s="307" t="str">
        <f>RSD_Otherdemands_HS_AP!K19</f>
        <v>TJ</v>
      </c>
      <c r="F329" s="304" t="s">
        <v>1251</v>
      </c>
      <c r="G329" s="305"/>
    </row>
    <row r="330" spans="1:7" x14ac:dyDescent="0.3">
      <c r="A330" s="303" t="s">
        <v>1191</v>
      </c>
      <c r="B330" s="307" t="str">
        <f>RSD_Otherdemands_HS_AP!H20</f>
        <v>RKAPBoOHoELC02</v>
      </c>
      <c r="C330" s="307" t="str">
        <f>RSD_Otherdemands_HS_AP!I20</f>
        <v>RKAPBElectricOvenHobsELC.BAT</v>
      </c>
      <c r="D330" s="307" t="str">
        <f>RSD_Otherdemands_HS_AP!J20</f>
        <v>MW</v>
      </c>
      <c r="E330" s="307" t="str">
        <f>RSD_Otherdemands_HS_AP!K20</f>
        <v>TJ</v>
      </c>
      <c r="F330" s="304" t="s">
        <v>1251</v>
      </c>
      <c r="G330" s="305"/>
    </row>
    <row r="331" spans="1:7" x14ac:dyDescent="0.3">
      <c r="A331" s="303" t="s">
        <v>1191</v>
      </c>
      <c r="B331" s="307" t="str">
        <f>RSD_Otherdemands_HS_AP!H21</f>
        <v>RKAPBoOHoLPG02</v>
      </c>
      <c r="C331" s="307" t="str">
        <f>RSD_Otherdemands_HS_AP!I21</f>
        <v>RKAPBLPGOvenHobsLPG.BAT</v>
      </c>
      <c r="D331" s="307" t="str">
        <f>RSD_Otherdemands_HS_AP!J21</f>
        <v>MW</v>
      </c>
      <c r="E331" s="307" t="str">
        <f>RSD_Otherdemands_HS_AP!K21</f>
        <v>TJ</v>
      </c>
      <c r="F331" s="304" t="s">
        <v>1251</v>
      </c>
      <c r="G331" s="305"/>
    </row>
    <row r="332" spans="1:7" x14ac:dyDescent="0.3">
      <c r="A332" s="303" t="s">
        <v>1191</v>
      </c>
      <c r="B332" s="307" t="str">
        <f>RSD_Otherdemands_HS_AP!H22</f>
        <v>RKAPBoRoELC02</v>
      </c>
      <c r="C332" s="307" t="str">
        <f>RSD_Otherdemands_HS_AP!I22</f>
        <v>RKAPBElectricRangeELC.BAT</v>
      </c>
      <c r="D332" s="307" t="str">
        <f>RSD_Otherdemands_HS_AP!J22</f>
        <v>MW</v>
      </c>
      <c r="E332" s="307" t="str">
        <f>RSD_Otherdemands_HS_AP!K22</f>
        <v>TJ</v>
      </c>
      <c r="F332" s="304" t="s">
        <v>1251</v>
      </c>
      <c r="G332" s="305"/>
    </row>
    <row r="333" spans="1:7" x14ac:dyDescent="0.3">
      <c r="A333" s="303" t="s">
        <v>1191</v>
      </c>
      <c r="B333" s="307" t="str">
        <f>RSD_Otherdemands_HS_AP!H23</f>
        <v>RKAPBoRoGAS02</v>
      </c>
      <c r="C333" s="307" t="str">
        <f>RSD_Otherdemands_HS_AP!I23</f>
        <v>RKAPBGasRangeGAS.BAT</v>
      </c>
      <c r="D333" s="307" t="str">
        <f>RSD_Otherdemands_HS_AP!J23</f>
        <v>MW</v>
      </c>
      <c r="E333" s="307" t="str">
        <f>RSD_Otherdemands_HS_AP!K23</f>
        <v>TJ</v>
      </c>
      <c r="F333" s="304" t="s">
        <v>1251</v>
      </c>
      <c r="G333" s="305"/>
    </row>
    <row r="334" spans="1:7" x14ac:dyDescent="0.3">
      <c r="A334" s="303" t="s">
        <v>1191</v>
      </c>
      <c r="B334" s="307" t="str">
        <f>RSD_Otherdemands_HS_AP!H24</f>
        <v>RKAPBoRoLPG02</v>
      </c>
      <c r="C334" s="307" t="str">
        <f>RSD_Otherdemands_HS_AP!I24</f>
        <v>RKAPBLPGRangeLPG.BAT</v>
      </c>
      <c r="D334" s="307" t="str">
        <f>RSD_Otherdemands_HS_AP!J24</f>
        <v>MW</v>
      </c>
      <c r="E334" s="307" t="str">
        <f>RSD_Otherdemands_HS_AP!K24</f>
        <v>TJ</v>
      </c>
      <c r="F334" s="304" t="s">
        <v>1251</v>
      </c>
      <c r="G334" s="305"/>
    </row>
    <row r="335" spans="1:7" x14ac:dyDescent="0.3">
      <c r="A335" s="303" t="s">
        <v>1191</v>
      </c>
      <c r="B335" s="307" t="str">
        <f>RSD_Otherdemands_HS_AP!H25</f>
        <v>RKAPBoStoELC02</v>
      </c>
      <c r="C335" s="307" t="str">
        <f>RSD_Otherdemands_HS_AP!I25</f>
        <v>RKAPBElectricSteamerELC.BAT</v>
      </c>
      <c r="D335" s="307" t="str">
        <f>RSD_Otherdemands_HS_AP!J25</f>
        <v>MW</v>
      </c>
      <c r="E335" s="307" t="str">
        <f>RSD_Otherdemands_HS_AP!K25</f>
        <v>TJ</v>
      </c>
      <c r="F335" s="304" t="s">
        <v>1251</v>
      </c>
      <c r="G335" s="305"/>
    </row>
    <row r="336" spans="1:7" x14ac:dyDescent="0.3">
      <c r="A336" s="303" t="s">
        <v>1191</v>
      </c>
      <c r="B336" s="307" t="str">
        <f>RSD_Otherdemands_HS_AP!H26</f>
        <v>RKAPBoStoGAS02</v>
      </c>
      <c r="C336" s="307" t="str">
        <f>RSD_Otherdemands_HS_AP!I26</f>
        <v>RKAPBGasSteamerGAS.BAT</v>
      </c>
      <c r="D336" s="307" t="str">
        <f>RSD_Otherdemands_HS_AP!J26</f>
        <v>MW</v>
      </c>
      <c r="E336" s="307" t="str">
        <f>RSD_Otherdemands_HS_AP!K26</f>
        <v>TJ</v>
      </c>
      <c r="F336" s="304" t="s">
        <v>1251</v>
      </c>
      <c r="G336" s="305"/>
    </row>
    <row r="337" spans="1:7" x14ac:dyDescent="0.3">
      <c r="A337" s="303" t="s">
        <v>1191</v>
      </c>
      <c r="B337" s="307" t="str">
        <f>RSD_Otherdemands_HS_AP!H27</f>
        <v>RKAPBoFGoELC02</v>
      </c>
      <c r="C337" s="307" t="str">
        <f>RSD_Otherdemands_HS_AP!I27</f>
        <v>RKAPBElectricFryerGriddleELC.BAT</v>
      </c>
      <c r="D337" s="307" t="str">
        <f>RSD_Otherdemands_HS_AP!J27</f>
        <v>MW</v>
      </c>
      <c r="E337" s="307" t="str">
        <f>RSD_Otherdemands_HS_AP!K27</f>
        <v>TJ</v>
      </c>
      <c r="F337" s="304" t="s">
        <v>1251</v>
      </c>
      <c r="G337" s="305"/>
    </row>
    <row r="338" spans="1:7" x14ac:dyDescent="0.3">
      <c r="A338" s="303" t="s">
        <v>1191</v>
      </c>
      <c r="B338" s="307" t="str">
        <f>RSD_Otherdemands_HS_AP!H28</f>
        <v>RKAPBoFGoGAS02</v>
      </c>
      <c r="C338" s="307" t="str">
        <f>RSD_Otherdemands_HS_AP!I28</f>
        <v>RKAPBGasFryerGriddleGAS.BAT</v>
      </c>
      <c r="D338" s="307" t="str">
        <f>RSD_Otherdemands_HS_AP!J28</f>
        <v>MW</v>
      </c>
      <c r="E338" s="307" t="str">
        <f>RSD_Otherdemands_HS_AP!K28</f>
        <v>TJ</v>
      </c>
      <c r="F338" s="304" t="s">
        <v>1251</v>
      </c>
      <c r="G338" s="305"/>
    </row>
    <row r="339" spans="1:7" x14ac:dyDescent="0.3">
      <c r="A339" s="303" t="s">
        <v>1191</v>
      </c>
      <c r="B339" s="307" t="str">
        <f>RSD_Otherdemands_HS_AP!H29</f>
        <v>RKAPCoOHoGAS01</v>
      </c>
      <c r="C339" s="307" t="str">
        <f>RSD_Otherdemands_HS_AP!I29</f>
        <v>RKAPCGasOvenHobsGAS.BAU</v>
      </c>
      <c r="D339" s="307" t="str">
        <f>RSD_Otherdemands_HS_AP!J29</f>
        <v>MW</v>
      </c>
      <c r="E339" s="307" t="str">
        <f>RSD_Otherdemands_HS_AP!K29</f>
        <v>TJ</v>
      </c>
      <c r="F339" s="304" t="s">
        <v>1251</v>
      </c>
      <c r="G339" s="305"/>
    </row>
    <row r="340" spans="1:7" x14ac:dyDescent="0.3">
      <c r="A340" s="303" t="s">
        <v>1191</v>
      </c>
      <c r="B340" s="307" t="str">
        <f>RSD_Otherdemands_HS_AP!H30</f>
        <v>RKAPCoOHoGAS02</v>
      </c>
      <c r="C340" s="307" t="str">
        <f>RSD_Otherdemands_HS_AP!I30</f>
        <v>RKAPCGasOvenHobsGAS.BAT</v>
      </c>
      <c r="D340" s="307" t="str">
        <f>RSD_Otherdemands_HS_AP!J30</f>
        <v>MW</v>
      </c>
      <c r="E340" s="307" t="str">
        <f>RSD_Otherdemands_HS_AP!K30</f>
        <v>TJ</v>
      </c>
      <c r="F340" s="304" t="s">
        <v>1251</v>
      </c>
      <c r="G340" s="305"/>
    </row>
    <row r="341" spans="1:7" x14ac:dyDescent="0.3">
      <c r="A341" s="303" t="s">
        <v>1191</v>
      </c>
      <c r="B341" s="307" t="str">
        <f>RSD_Otherdemands_HS_AP!H31</f>
        <v>RKAPCoOHoELC01</v>
      </c>
      <c r="C341" s="307" t="str">
        <f>RSD_Otherdemands_HS_AP!I31</f>
        <v>RKAPCElectricOvenHobsELC.BAU</v>
      </c>
      <c r="D341" s="307" t="str">
        <f>RSD_Otherdemands_HS_AP!J31</f>
        <v>MW</v>
      </c>
      <c r="E341" s="307" t="str">
        <f>RSD_Otherdemands_HS_AP!K31</f>
        <v>TJ</v>
      </c>
      <c r="F341" s="304" t="s">
        <v>1251</v>
      </c>
      <c r="G341" s="305"/>
    </row>
    <row r="342" spans="1:7" x14ac:dyDescent="0.3">
      <c r="A342" s="303" t="s">
        <v>1191</v>
      </c>
      <c r="B342" s="307" t="str">
        <f>RSD_Otherdemands_HS_AP!H32</f>
        <v>RKAPCoOHoELC02</v>
      </c>
      <c r="C342" s="307" t="str">
        <f>RSD_Otherdemands_HS_AP!I32</f>
        <v>RKAPCElectricOvenHobsELC.BAT</v>
      </c>
      <c r="D342" s="307" t="str">
        <f>RSD_Otherdemands_HS_AP!J32</f>
        <v>MW</v>
      </c>
      <c r="E342" s="307" t="str">
        <f>RSD_Otherdemands_HS_AP!K32</f>
        <v>TJ</v>
      </c>
      <c r="F342" s="304" t="s">
        <v>1251</v>
      </c>
      <c r="G342" s="305"/>
    </row>
    <row r="343" spans="1:7" x14ac:dyDescent="0.3">
      <c r="A343" s="303" t="s">
        <v>1191</v>
      </c>
      <c r="B343" s="307" t="str">
        <f>RSD_Otherdemands_HS_AP!H33</f>
        <v>RKAPCoOHoLPG02</v>
      </c>
      <c r="C343" s="307" t="str">
        <f>RSD_Otherdemands_HS_AP!I33</f>
        <v>RKAPCLPGOvenHobsLPG.BAT</v>
      </c>
      <c r="D343" s="307" t="str">
        <f>RSD_Otherdemands_HS_AP!J33</f>
        <v>MW</v>
      </c>
      <c r="E343" s="307" t="str">
        <f>RSD_Otherdemands_HS_AP!K33</f>
        <v>TJ</v>
      </c>
      <c r="F343" s="304" t="s">
        <v>1251</v>
      </c>
      <c r="G343" s="305"/>
    </row>
    <row r="344" spans="1:7" x14ac:dyDescent="0.3">
      <c r="A344" s="303" t="s">
        <v>1191</v>
      </c>
      <c r="B344" s="307" t="str">
        <f>RSD_Otherdemands_HS_AP!H34</f>
        <v>RKAPCoRoELC02</v>
      </c>
      <c r="C344" s="307" t="str">
        <f>RSD_Otherdemands_HS_AP!I34</f>
        <v>RKAPCElectricRangeELC.BAT</v>
      </c>
      <c r="D344" s="307" t="str">
        <f>RSD_Otherdemands_HS_AP!J34</f>
        <v>MW</v>
      </c>
      <c r="E344" s="307" t="str">
        <f>RSD_Otherdemands_HS_AP!K34</f>
        <v>TJ</v>
      </c>
      <c r="F344" s="304" t="s">
        <v>1251</v>
      </c>
      <c r="G344" s="305"/>
    </row>
    <row r="345" spans="1:7" x14ac:dyDescent="0.3">
      <c r="A345" s="303" t="s">
        <v>1191</v>
      </c>
      <c r="B345" s="307" t="str">
        <f>RSD_Otherdemands_HS_AP!H35</f>
        <v>RKAPCoRoGAS02</v>
      </c>
      <c r="C345" s="307" t="str">
        <f>RSD_Otherdemands_HS_AP!I35</f>
        <v>RKAPCGasRangeGAS.BAT</v>
      </c>
      <c r="D345" s="307" t="str">
        <f>RSD_Otherdemands_HS_AP!J35</f>
        <v>MW</v>
      </c>
      <c r="E345" s="307" t="str">
        <f>RSD_Otherdemands_HS_AP!K35</f>
        <v>TJ</v>
      </c>
      <c r="F345" s="304" t="s">
        <v>1251</v>
      </c>
      <c r="G345" s="305"/>
    </row>
    <row r="346" spans="1:7" x14ac:dyDescent="0.3">
      <c r="A346" s="303" t="s">
        <v>1191</v>
      </c>
      <c r="B346" s="307" t="str">
        <f>RSD_Otherdemands_HS_AP!H36</f>
        <v>RKAPCoRoLPG02</v>
      </c>
      <c r="C346" s="307" t="str">
        <f>RSD_Otherdemands_HS_AP!I36</f>
        <v>RKAPCLPGRangeLPG.BAT</v>
      </c>
      <c r="D346" s="307" t="str">
        <f>RSD_Otherdemands_HS_AP!J36</f>
        <v>MW</v>
      </c>
      <c r="E346" s="307" t="str">
        <f>RSD_Otherdemands_HS_AP!K36</f>
        <v>TJ</v>
      </c>
      <c r="F346" s="304" t="s">
        <v>1251</v>
      </c>
      <c r="G346" s="305"/>
    </row>
    <row r="347" spans="1:7" x14ac:dyDescent="0.3">
      <c r="A347" s="303" t="s">
        <v>1191</v>
      </c>
      <c r="B347" s="307" t="str">
        <f>RSD_Otherdemands_HS_AP!H37</f>
        <v>RKAPCoStoELC02</v>
      </c>
      <c r="C347" s="307" t="str">
        <f>RSD_Otherdemands_HS_AP!I37</f>
        <v>RKAPCElectricSteamerELC.BAT</v>
      </c>
      <c r="D347" s="307" t="str">
        <f>RSD_Otherdemands_HS_AP!J37</f>
        <v>MW</v>
      </c>
      <c r="E347" s="307" t="str">
        <f>RSD_Otherdemands_HS_AP!K37</f>
        <v>TJ</v>
      </c>
      <c r="F347" s="304" t="s">
        <v>1251</v>
      </c>
      <c r="G347" s="305"/>
    </row>
    <row r="348" spans="1:7" x14ac:dyDescent="0.3">
      <c r="A348" s="303" t="s">
        <v>1191</v>
      </c>
      <c r="B348" s="307" t="str">
        <f>RSD_Otherdemands_HS_AP!H38</f>
        <v>RKAPCoStoGAS02</v>
      </c>
      <c r="C348" s="307" t="str">
        <f>RSD_Otherdemands_HS_AP!I38</f>
        <v>RKAPCGasSteamerGAS.BAT</v>
      </c>
      <c r="D348" s="307" t="str">
        <f>RSD_Otherdemands_HS_AP!J38</f>
        <v>MW</v>
      </c>
      <c r="E348" s="307" t="str">
        <f>RSD_Otherdemands_HS_AP!K38</f>
        <v>TJ</v>
      </c>
      <c r="F348" s="304" t="s">
        <v>1251</v>
      </c>
      <c r="G348" s="305"/>
    </row>
    <row r="349" spans="1:7" x14ac:dyDescent="0.3">
      <c r="A349" s="303" t="s">
        <v>1191</v>
      </c>
      <c r="B349" s="307" t="str">
        <f>RSD_Otherdemands_HS_AP!H39</f>
        <v>RKAPCoFGoELC02</v>
      </c>
      <c r="C349" s="307" t="str">
        <f>RSD_Otherdemands_HS_AP!I39</f>
        <v>RKAPCElectricFryerGriddleELC.BAT</v>
      </c>
      <c r="D349" s="307" t="str">
        <f>RSD_Otherdemands_HS_AP!J39</f>
        <v>MW</v>
      </c>
      <c r="E349" s="307" t="str">
        <f>RSD_Otherdemands_HS_AP!K39</f>
        <v>TJ</v>
      </c>
      <c r="F349" s="304" t="s">
        <v>1251</v>
      </c>
      <c r="G349" s="305"/>
    </row>
    <row r="350" spans="1:7" x14ac:dyDescent="0.3">
      <c r="A350" s="303" t="s">
        <v>1191</v>
      </c>
      <c r="B350" s="307" t="str">
        <f>RSD_Otherdemands_HS_AP!H40</f>
        <v>RKAPCoFGoGAS02</v>
      </c>
      <c r="C350" s="307" t="str">
        <f>RSD_Otherdemands_HS_AP!I40</f>
        <v>RKAPCGasFryerGriddleGAS.BAT</v>
      </c>
      <c r="D350" s="307" t="str">
        <f>RSD_Otherdemands_HS_AP!J40</f>
        <v>MW</v>
      </c>
      <c r="E350" s="307" t="str">
        <f>RSD_Otherdemands_HS_AP!K40</f>
        <v>TJ</v>
      </c>
      <c r="F350" s="304" t="s">
        <v>1251</v>
      </c>
      <c r="G350" s="305"/>
    </row>
    <row r="351" spans="1:7" x14ac:dyDescent="0.3">
      <c r="A351" s="303" t="s">
        <v>1191</v>
      </c>
      <c r="B351" s="307" t="str">
        <f>RSD_Otherdemands_HS_AP!H41</f>
        <v>RKAPEoOHoGAS01</v>
      </c>
      <c r="C351" s="307" t="str">
        <f>RSD_Otherdemands_HS_AP!I41</f>
        <v>RKAPEGasOvenHobsGAS.BAU</v>
      </c>
      <c r="D351" s="307" t="str">
        <f>RSD_Otherdemands_HS_AP!J41</f>
        <v>MW</v>
      </c>
      <c r="E351" s="307" t="str">
        <f>RSD_Otherdemands_HS_AP!K41</f>
        <v>TJ</v>
      </c>
      <c r="F351" s="304" t="s">
        <v>1251</v>
      </c>
      <c r="G351" s="305"/>
    </row>
    <row r="352" spans="1:7" x14ac:dyDescent="0.3">
      <c r="A352" s="303" t="s">
        <v>1191</v>
      </c>
      <c r="B352" s="307" t="str">
        <f>RSD_Otherdemands_HS_AP!H42</f>
        <v>RKAPEoOHoGAS02</v>
      </c>
      <c r="C352" s="307" t="str">
        <f>RSD_Otherdemands_HS_AP!I42</f>
        <v>RKAPEGasOvenHobsGAS.BAT</v>
      </c>
      <c r="D352" s="307" t="str">
        <f>RSD_Otherdemands_HS_AP!J42</f>
        <v>MW</v>
      </c>
      <c r="E352" s="307" t="str">
        <f>RSD_Otherdemands_HS_AP!K42</f>
        <v>TJ</v>
      </c>
      <c r="F352" s="304" t="s">
        <v>1251</v>
      </c>
      <c r="G352" s="305"/>
    </row>
    <row r="353" spans="1:7" x14ac:dyDescent="0.3">
      <c r="A353" s="303" t="s">
        <v>1191</v>
      </c>
      <c r="B353" s="307" t="str">
        <f>RSD_Otherdemands_HS_AP!H43</f>
        <v>RKAPEoOHoELC01</v>
      </c>
      <c r="C353" s="307" t="str">
        <f>RSD_Otherdemands_HS_AP!I43</f>
        <v>RKAPEElectricOvenHobsELC.BAU</v>
      </c>
      <c r="D353" s="307" t="str">
        <f>RSD_Otherdemands_HS_AP!J43</f>
        <v>MW</v>
      </c>
      <c r="E353" s="307" t="str">
        <f>RSD_Otherdemands_HS_AP!K43</f>
        <v>TJ</v>
      </c>
      <c r="F353" s="304" t="s">
        <v>1251</v>
      </c>
      <c r="G353" s="305"/>
    </row>
    <row r="354" spans="1:7" x14ac:dyDescent="0.3">
      <c r="A354" s="303" t="s">
        <v>1191</v>
      </c>
      <c r="B354" s="307" t="str">
        <f>RSD_Otherdemands_HS_AP!H44</f>
        <v>RKAPEoOHoELC02</v>
      </c>
      <c r="C354" s="307" t="str">
        <f>RSD_Otherdemands_HS_AP!I44</f>
        <v>RKAPEElectricOvenHobsELC.BAT</v>
      </c>
      <c r="D354" s="307" t="str">
        <f>RSD_Otherdemands_HS_AP!J44</f>
        <v>MW</v>
      </c>
      <c r="E354" s="307" t="str">
        <f>RSD_Otherdemands_HS_AP!K44</f>
        <v>TJ</v>
      </c>
      <c r="F354" s="304" t="s">
        <v>1251</v>
      </c>
      <c r="G354" s="305"/>
    </row>
    <row r="355" spans="1:7" x14ac:dyDescent="0.3">
      <c r="A355" s="303" t="s">
        <v>1191</v>
      </c>
      <c r="B355" s="307" t="str">
        <f>RSD_Otherdemands_HS_AP!H45</f>
        <v>RKAPEoOHoLPG02</v>
      </c>
      <c r="C355" s="307" t="str">
        <f>RSD_Otherdemands_HS_AP!I45</f>
        <v>RKAPELPGOvenHobsLPG.BAT</v>
      </c>
      <c r="D355" s="307" t="str">
        <f>RSD_Otherdemands_HS_AP!J45</f>
        <v>MW</v>
      </c>
      <c r="E355" s="307" t="str">
        <f>RSD_Otherdemands_HS_AP!K45</f>
        <v>TJ</v>
      </c>
      <c r="F355" s="304" t="s">
        <v>1251</v>
      </c>
      <c r="G355" s="305"/>
    </row>
    <row r="356" spans="1:7" x14ac:dyDescent="0.3">
      <c r="A356" s="303" t="s">
        <v>1191</v>
      </c>
      <c r="B356" s="307" t="str">
        <f>RSD_Otherdemands_HS_AP!H46</f>
        <v>RKAPEoRoELC02</v>
      </c>
      <c r="C356" s="307" t="str">
        <f>RSD_Otherdemands_HS_AP!I46</f>
        <v>RKAPEElectricRangeELC.BAT</v>
      </c>
      <c r="D356" s="307" t="str">
        <f>RSD_Otherdemands_HS_AP!J46</f>
        <v>MW</v>
      </c>
      <c r="E356" s="307" t="str">
        <f>RSD_Otherdemands_HS_AP!K46</f>
        <v>TJ</v>
      </c>
      <c r="F356" s="304" t="s">
        <v>1251</v>
      </c>
      <c r="G356" s="305"/>
    </row>
    <row r="357" spans="1:7" x14ac:dyDescent="0.3">
      <c r="A357" s="303" t="s">
        <v>1191</v>
      </c>
      <c r="B357" s="307" t="str">
        <f>RSD_Otherdemands_HS_AP!H47</f>
        <v>RKAPEoRoGAS02</v>
      </c>
      <c r="C357" s="307" t="str">
        <f>RSD_Otherdemands_HS_AP!I47</f>
        <v>RKAPEGasRangeGAS.BAT</v>
      </c>
      <c r="D357" s="307" t="str">
        <f>RSD_Otherdemands_HS_AP!J47</f>
        <v>MW</v>
      </c>
      <c r="E357" s="307" t="str">
        <f>RSD_Otherdemands_HS_AP!K47</f>
        <v>TJ</v>
      </c>
      <c r="F357" s="304" t="s">
        <v>1251</v>
      </c>
      <c r="G357" s="305"/>
    </row>
    <row r="358" spans="1:7" x14ac:dyDescent="0.3">
      <c r="A358" s="303" t="s">
        <v>1191</v>
      </c>
      <c r="B358" s="307" t="str">
        <f>RSD_Otherdemands_HS_AP!H48</f>
        <v>RKAPEoRoLPG02</v>
      </c>
      <c r="C358" s="307" t="str">
        <f>RSD_Otherdemands_HS_AP!I48</f>
        <v>RKAPELPGRangeLPG.BAT</v>
      </c>
      <c r="D358" s="307" t="str">
        <f>RSD_Otherdemands_HS_AP!J48</f>
        <v>MW</v>
      </c>
      <c r="E358" s="307" t="str">
        <f>RSD_Otherdemands_HS_AP!K48</f>
        <v>TJ</v>
      </c>
      <c r="F358" s="304" t="s">
        <v>1251</v>
      </c>
      <c r="G358" s="305"/>
    </row>
    <row r="359" spans="1:7" x14ac:dyDescent="0.3">
      <c r="A359" s="303" t="s">
        <v>1191</v>
      </c>
      <c r="B359" s="307" t="str">
        <f>RSD_Otherdemands_HS_AP!H49</f>
        <v>RKAPEoStoELC02</v>
      </c>
      <c r="C359" s="307" t="str">
        <f>RSD_Otherdemands_HS_AP!I49</f>
        <v>RKAPEElectricSteamerELC.BAT</v>
      </c>
      <c r="D359" s="307" t="str">
        <f>RSD_Otherdemands_HS_AP!J49</f>
        <v>MW</v>
      </c>
      <c r="E359" s="307" t="str">
        <f>RSD_Otherdemands_HS_AP!K49</f>
        <v>TJ</v>
      </c>
      <c r="F359" s="304" t="s">
        <v>1251</v>
      </c>
      <c r="G359" s="305"/>
    </row>
    <row r="360" spans="1:7" x14ac:dyDescent="0.3">
      <c r="A360" s="303" t="s">
        <v>1191</v>
      </c>
      <c r="B360" s="307" t="str">
        <f>RSD_Otherdemands_HS_AP!H50</f>
        <v>RKAPEoStoGAS02</v>
      </c>
      <c r="C360" s="307" t="str">
        <f>RSD_Otherdemands_HS_AP!I50</f>
        <v>RKAPEGasSteamerGAS.BAT</v>
      </c>
      <c r="D360" s="307" t="str">
        <f>RSD_Otherdemands_HS_AP!J50</f>
        <v>MW</v>
      </c>
      <c r="E360" s="307" t="str">
        <f>RSD_Otherdemands_HS_AP!K50</f>
        <v>TJ</v>
      </c>
      <c r="F360" s="304" t="s">
        <v>1251</v>
      </c>
      <c r="G360" s="305"/>
    </row>
    <row r="361" spans="1:7" x14ac:dyDescent="0.3">
      <c r="A361" s="303" t="s">
        <v>1191</v>
      </c>
      <c r="B361" s="307" t="str">
        <f>RSD_Otherdemands_HS_AP!H51</f>
        <v>RKAPEoFGoELC02</v>
      </c>
      <c r="C361" s="307" t="str">
        <f>RSD_Otherdemands_HS_AP!I51</f>
        <v>RKAPEElectricFryerGriddleELC.BAT</v>
      </c>
      <c r="D361" s="307" t="str">
        <f>RSD_Otherdemands_HS_AP!J51</f>
        <v>MW</v>
      </c>
      <c r="E361" s="307" t="str">
        <f>RSD_Otherdemands_HS_AP!K51</f>
        <v>TJ</v>
      </c>
      <c r="F361" s="304" t="s">
        <v>1251</v>
      </c>
      <c r="G361" s="305"/>
    </row>
    <row r="362" spans="1:7" x14ac:dyDescent="0.3">
      <c r="A362" s="303" t="s">
        <v>1191</v>
      </c>
      <c r="B362" s="307" t="str">
        <f>RSD_Otherdemands_HS_AP!H52</f>
        <v>RKAPEoFGoGAS02</v>
      </c>
      <c r="C362" s="307" t="str">
        <f>RSD_Otherdemands_HS_AP!I52</f>
        <v>RKAPEGasFryerGriddleGAS.BAT</v>
      </c>
      <c r="D362" s="307" t="str">
        <f>RSD_Otherdemands_HS_AP!J52</f>
        <v>MW</v>
      </c>
      <c r="E362" s="307" t="str">
        <f>RSD_Otherdemands_HS_AP!K52</f>
        <v>TJ</v>
      </c>
      <c r="F362" s="304" t="s">
        <v>1251</v>
      </c>
      <c r="G362" s="305"/>
    </row>
    <row r="363" spans="1:7" x14ac:dyDescent="0.3">
      <c r="A363" s="303" t="s">
        <v>1191</v>
      </c>
      <c r="B363" s="307" t="str">
        <f>RSD_Otherdemands_HS_AP!H53</f>
        <v>RKHSAoOHoGAS01</v>
      </c>
      <c r="C363" s="307" t="str">
        <f>RSD_Otherdemands_HS_AP!I53</f>
        <v>RKHSAGasOvenHobsGAS.BAU</v>
      </c>
      <c r="D363" s="307" t="str">
        <f>RSD_Otherdemands_HS_AP!J53</f>
        <v>MW</v>
      </c>
      <c r="E363" s="307" t="str">
        <f>RSD_Otherdemands_HS_AP!K53</f>
        <v>TJ</v>
      </c>
      <c r="F363" s="304" t="s">
        <v>1251</v>
      </c>
      <c r="G363" s="305"/>
    </row>
    <row r="364" spans="1:7" x14ac:dyDescent="0.3">
      <c r="A364" s="303" t="s">
        <v>1191</v>
      </c>
      <c r="B364" s="307" t="str">
        <f>RSD_Otherdemands_HS_AP!H54</f>
        <v>RKHSAoOHoGAS02</v>
      </c>
      <c r="C364" s="307" t="str">
        <f>RSD_Otherdemands_HS_AP!I54</f>
        <v>RKHSAGasOvenHobsGAS.BAT</v>
      </c>
      <c r="D364" s="307" t="str">
        <f>RSD_Otherdemands_HS_AP!J54</f>
        <v>MW</v>
      </c>
      <c r="E364" s="307" t="str">
        <f>RSD_Otherdemands_HS_AP!K54</f>
        <v>TJ</v>
      </c>
      <c r="F364" s="304" t="s">
        <v>1251</v>
      </c>
      <c r="G364" s="305"/>
    </row>
    <row r="365" spans="1:7" x14ac:dyDescent="0.3">
      <c r="A365" s="303" t="s">
        <v>1191</v>
      </c>
      <c r="B365" s="307" t="str">
        <f>RSD_Otherdemands_HS_AP!H55</f>
        <v>RKHSAoOHoELC01</v>
      </c>
      <c r="C365" s="307" t="str">
        <f>RSD_Otherdemands_HS_AP!I55</f>
        <v>RKHSAElectricOvenHobsELC.BAU</v>
      </c>
      <c r="D365" s="307" t="str">
        <f>RSD_Otherdemands_HS_AP!J55</f>
        <v>MW</v>
      </c>
      <c r="E365" s="307" t="str">
        <f>RSD_Otherdemands_HS_AP!K55</f>
        <v>TJ</v>
      </c>
      <c r="F365" s="304" t="s">
        <v>1251</v>
      </c>
      <c r="G365" s="305"/>
    </row>
    <row r="366" spans="1:7" x14ac:dyDescent="0.3">
      <c r="A366" s="303" t="s">
        <v>1191</v>
      </c>
      <c r="B366" s="307" t="str">
        <f>RSD_Otherdemands_HS_AP!H56</f>
        <v>RKHSAoOHoELC02</v>
      </c>
      <c r="C366" s="307" t="str">
        <f>RSD_Otherdemands_HS_AP!I56</f>
        <v>RKHSAElectricOvenHobsELC.BAT</v>
      </c>
      <c r="D366" s="307" t="str">
        <f>RSD_Otherdemands_HS_AP!J56</f>
        <v>MW</v>
      </c>
      <c r="E366" s="307" t="str">
        <f>RSD_Otherdemands_HS_AP!K56</f>
        <v>TJ</v>
      </c>
      <c r="F366" s="304" t="s">
        <v>1251</v>
      </c>
      <c r="G366" s="305"/>
    </row>
    <row r="367" spans="1:7" x14ac:dyDescent="0.3">
      <c r="A367" s="303" t="s">
        <v>1191</v>
      </c>
      <c r="B367" s="307" t="str">
        <f>RSD_Otherdemands_HS_AP!H57</f>
        <v>RKHSAoOHoLPG02</v>
      </c>
      <c r="C367" s="307" t="str">
        <f>RSD_Otherdemands_HS_AP!I57</f>
        <v>RKHSALPGOvenHobsLPG.BAT</v>
      </c>
      <c r="D367" s="307" t="str">
        <f>RSD_Otherdemands_HS_AP!J57</f>
        <v>MW</v>
      </c>
      <c r="E367" s="307" t="str">
        <f>RSD_Otherdemands_HS_AP!K57</f>
        <v>TJ</v>
      </c>
      <c r="F367" s="304" t="s">
        <v>1251</v>
      </c>
      <c r="G367" s="305"/>
    </row>
    <row r="368" spans="1:7" x14ac:dyDescent="0.3">
      <c r="A368" s="303" t="s">
        <v>1191</v>
      </c>
      <c r="B368" s="307" t="str">
        <f>RSD_Otherdemands_HS_AP!H58</f>
        <v>RKHSAoRoELC02</v>
      </c>
      <c r="C368" s="307" t="str">
        <f>RSD_Otherdemands_HS_AP!I58</f>
        <v>RKHSAElectricRangeELC.BAT</v>
      </c>
      <c r="D368" s="307" t="str">
        <f>RSD_Otherdemands_HS_AP!J58</f>
        <v>MW</v>
      </c>
      <c r="E368" s="307" t="str">
        <f>RSD_Otherdemands_HS_AP!K58</f>
        <v>TJ</v>
      </c>
      <c r="F368" s="304" t="s">
        <v>1251</v>
      </c>
      <c r="G368" s="305"/>
    </row>
    <row r="369" spans="1:7" x14ac:dyDescent="0.3">
      <c r="A369" s="303" t="s">
        <v>1191</v>
      </c>
      <c r="B369" s="307" t="str">
        <f>RSD_Otherdemands_HS_AP!H59</f>
        <v>RKHSAoRoGAS02</v>
      </c>
      <c r="C369" s="307" t="str">
        <f>RSD_Otherdemands_HS_AP!I59</f>
        <v>RKHSAGasRangeGAS.BAT</v>
      </c>
      <c r="D369" s="307" t="str">
        <f>RSD_Otherdemands_HS_AP!J59</f>
        <v>MW</v>
      </c>
      <c r="E369" s="307" t="str">
        <f>RSD_Otherdemands_HS_AP!K59</f>
        <v>TJ</v>
      </c>
      <c r="F369" s="304" t="s">
        <v>1251</v>
      </c>
      <c r="G369" s="305"/>
    </row>
    <row r="370" spans="1:7" x14ac:dyDescent="0.3">
      <c r="A370" s="303" t="s">
        <v>1191</v>
      </c>
      <c r="B370" s="307" t="str">
        <f>RSD_Otherdemands_HS_AP!H60</f>
        <v>RKHSAoRoLPG02</v>
      </c>
      <c r="C370" s="307" t="str">
        <f>RSD_Otherdemands_HS_AP!I60</f>
        <v>RKHSALPGRangeLPG.BAT</v>
      </c>
      <c r="D370" s="307" t="str">
        <f>RSD_Otherdemands_HS_AP!J60</f>
        <v>MW</v>
      </c>
      <c r="E370" s="307" t="str">
        <f>RSD_Otherdemands_HS_AP!K60</f>
        <v>TJ</v>
      </c>
      <c r="F370" s="304" t="s">
        <v>1251</v>
      </c>
      <c r="G370" s="305"/>
    </row>
    <row r="371" spans="1:7" x14ac:dyDescent="0.3">
      <c r="A371" s="303" t="s">
        <v>1191</v>
      </c>
      <c r="B371" s="307" t="str">
        <f>RSD_Otherdemands_HS_AP!H61</f>
        <v>RKHSAoStoELC02</v>
      </c>
      <c r="C371" s="307" t="str">
        <f>RSD_Otherdemands_HS_AP!I61</f>
        <v>RKHSAElectricSteamerELC.BAT</v>
      </c>
      <c r="D371" s="307" t="str">
        <f>RSD_Otherdemands_HS_AP!J61</f>
        <v>MW</v>
      </c>
      <c r="E371" s="307" t="str">
        <f>RSD_Otherdemands_HS_AP!K61</f>
        <v>TJ</v>
      </c>
      <c r="F371" s="304" t="s">
        <v>1251</v>
      </c>
      <c r="G371" s="305"/>
    </row>
    <row r="372" spans="1:7" x14ac:dyDescent="0.3">
      <c r="A372" s="303" t="s">
        <v>1191</v>
      </c>
      <c r="B372" s="307" t="str">
        <f>RSD_Otherdemands_HS_AP!H62</f>
        <v>RKHSAoStoGAS02</v>
      </c>
      <c r="C372" s="307" t="str">
        <f>RSD_Otherdemands_HS_AP!I62</f>
        <v>RKHSAGasSteamerGAS.BAT</v>
      </c>
      <c r="D372" s="307" t="str">
        <f>RSD_Otherdemands_HS_AP!J62</f>
        <v>MW</v>
      </c>
      <c r="E372" s="307" t="str">
        <f>RSD_Otherdemands_HS_AP!K62</f>
        <v>TJ</v>
      </c>
      <c r="F372" s="304" t="s">
        <v>1251</v>
      </c>
      <c r="G372" s="305"/>
    </row>
    <row r="373" spans="1:7" x14ac:dyDescent="0.3">
      <c r="A373" s="303" t="s">
        <v>1191</v>
      </c>
      <c r="B373" s="307" t="str">
        <f>RSD_Otherdemands_HS_AP!H63</f>
        <v>RKHSAoFGoELC02</v>
      </c>
      <c r="C373" s="307" t="str">
        <f>RSD_Otherdemands_HS_AP!I63</f>
        <v>RKHSAElectricFryerGriddleELC.BAT</v>
      </c>
      <c r="D373" s="307" t="str">
        <f>RSD_Otherdemands_HS_AP!J63</f>
        <v>MW</v>
      </c>
      <c r="E373" s="307" t="str">
        <f>RSD_Otherdemands_HS_AP!K63</f>
        <v>TJ</v>
      </c>
      <c r="F373" s="304" t="s">
        <v>1251</v>
      </c>
      <c r="G373" s="305"/>
    </row>
    <row r="374" spans="1:7" x14ac:dyDescent="0.3">
      <c r="A374" s="303" t="s">
        <v>1191</v>
      </c>
      <c r="B374" s="307" t="str">
        <f>RSD_Otherdemands_HS_AP!H64</f>
        <v>RKHSAoFGoGAS02</v>
      </c>
      <c r="C374" s="307" t="str">
        <f>RSD_Otherdemands_HS_AP!I64</f>
        <v>RKHSAGasFryerGriddleGAS.BAT</v>
      </c>
      <c r="D374" s="307" t="str">
        <f>RSD_Otherdemands_HS_AP!J64</f>
        <v>MW</v>
      </c>
      <c r="E374" s="307" t="str">
        <f>RSD_Otherdemands_HS_AP!K64</f>
        <v>TJ</v>
      </c>
      <c r="F374" s="304" t="s">
        <v>1251</v>
      </c>
      <c r="G374" s="305"/>
    </row>
    <row r="375" spans="1:7" x14ac:dyDescent="0.3">
      <c r="A375" s="303" t="s">
        <v>1191</v>
      </c>
      <c r="B375" s="307" t="str">
        <f>RSD_Otherdemands_HS_AP!H65</f>
        <v>RKHSBoOHoGAS01</v>
      </c>
      <c r="C375" s="307" t="str">
        <f>RSD_Otherdemands_HS_AP!I65</f>
        <v>RKHSBGasOvenHobsGAS.BAU</v>
      </c>
      <c r="D375" s="307" t="str">
        <f>RSD_Otherdemands_HS_AP!J65</f>
        <v>MW</v>
      </c>
      <c r="E375" s="307" t="str">
        <f>RSD_Otherdemands_HS_AP!K65</f>
        <v>TJ</v>
      </c>
      <c r="F375" s="304" t="s">
        <v>1251</v>
      </c>
      <c r="G375" s="305"/>
    </row>
    <row r="376" spans="1:7" x14ac:dyDescent="0.3">
      <c r="A376" s="303" t="s">
        <v>1191</v>
      </c>
      <c r="B376" s="307" t="str">
        <f>RSD_Otherdemands_HS_AP!H66</f>
        <v>RKHSBoOHoGAS02</v>
      </c>
      <c r="C376" s="307" t="str">
        <f>RSD_Otherdemands_HS_AP!I66</f>
        <v>RKHSBGasOvenHobsGAS.BAT</v>
      </c>
      <c r="D376" s="307" t="str">
        <f>RSD_Otherdemands_HS_AP!J66</f>
        <v>MW</v>
      </c>
      <c r="E376" s="307" t="str">
        <f>RSD_Otherdemands_HS_AP!K66</f>
        <v>TJ</v>
      </c>
      <c r="F376" s="304" t="s">
        <v>1251</v>
      </c>
      <c r="G376" s="305"/>
    </row>
    <row r="377" spans="1:7" x14ac:dyDescent="0.3">
      <c r="A377" s="303" t="s">
        <v>1191</v>
      </c>
      <c r="B377" s="307" t="str">
        <f>RSD_Otherdemands_HS_AP!H67</f>
        <v>RKHSBoOHoELC01</v>
      </c>
      <c r="C377" s="307" t="str">
        <f>RSD_Otherdemands_HS_AP!I67</f>
        <v>RKHSBElectricOvenHobsELC.BAU</v>
      </c>
      <c r="D377" s="307" t="str">
        <f>RSD_Otherdemands_HS_AP!J67</f>
        <v>MW</v>
      </c>
      <c r="E377" s="307" t="str">
        <f>RSD_Otherdemands_HS_AP!K67</f>
        <v>TJ</v>
      </c>
      <c r="F377" s="304" t="s">
        <v>1251</v>
      </c>
      <c r="G377" s="305"/>
    </row>
    <row r="378" spans="1:7" x14ac:dyDescent="0.3">
      <c r="A378" s="303" t="s">
        <v>1191</v>
      </c>
      <c r="B378" s="307" t="str">
        <f>RSD_Otherdemands_HS_AP!H68</f>
        <v>RKHSBoOHoELC02</v>
      </c>
      <c r="C378" s="307" t="str">
        <f>RSD_Otherdemands_HS_AP!I68</f>
        <v>RKHSBElectricOvenHobsELC.BAT</v>
      </c>
      <c r="D378" s="307" t="str">
        <f>RSD_Otherdemands_HS_AP!J68</f>
        <v>MW</v>
      </c>
      <c r="E378" s="307" t="str">
        <f>RSD_Otherdemands_HS_AP!K68</f>
        <v>TJ</v>
      </c>
      <c r="F378" s="304" t="s">
        <v>1251</v>
      </c>
      <c r="G378" s="305"/>
    </row>
    <row r="379" spans="1:7" x14ac:dyDescent="0.3">
      <c r="A379" s="303" t="s">
        <v>1191</v>
      </c>
      <c r="B379" s="307" t="str">
        <f>RSD_Otherdemands_HS_AP!H69</f>
        <v>RKHSBoOHoLPG02</v>
      </c>
      <c r="C379" s="307" t="str">
        <f>RSD_Otherdemands_HS_AP!I69</f>
        <v>RKHSBLPGOvenHobsLPG.BAT</v>
      </c>
      <c r="D379" s="307" t="str">
        <f>RSD_Otherdemands_HS_AP!J69</f>
        <v>MW</v>
      </c>
      <c r="E379" s="307" t="str">
        <f>RSD_Otherdemands_HS_AP!K69</f>
        <v>TJ</v>
      </c>
      <c r="F379" s="304" t="s">
        <v>1251</v>
      </c>
      <c r="G379" s="305"/>
    </row>
    <row r="380" spans="1:7" x14ac:dyDescent="0.3">
      <c r="A380" s="303" t="s">
        <v>1191</v>
      </c>
      <c r="B380" s="307" t="str">
        <f>RSD_Otherdemands_HS_AP!H70</f>
        <v>RKHSBoRoELC02</v>
      </c>
      <c r="C380" s="307" t="str">
        <f>RSD_Otherdemands_HS_AP!I70</f>
        <v>RKHSBElectricRangeELC.BAT</v>
      </c>
      <c r="D380" s="307" t="str">
        <f>RSD_Otherdemands_HS_AP!J70</f>
        <v>MW</v>
      </c>
      <c r="E380" s="307" t="str">
        <f>RSD_Otherdemands_HS_AP!K70</f>
        <v>TJ</v>
      </c>
      <c r="F380" s="304" t="s">
        <v>1251</v>
      </c>
      <c r="G380" s="305"/>
    </row>
    <row r="381" spans="1:7" x14ac:dyDescent="0.3">
      <c r="A381" s="303" t="s">
        <v>1191</v>
      </c>
      <c r="B381" s="307" t="str">
        <f>RSD_Otherdemands_HS_AP!H71</f>
        <v>RKHSBoRoGAS02</v>
      </c>
      <c r="C381" s="307" t="str">
        <f>RSD_Otherdemands_HS_AP!I71</f>
        <v>RKHSBGasRangeGAS.BAT</v>
      </c>
      <c r="D381" s="307" t="str">
        <f>RSD_Otherdemands_HS_AP!J71</f>
        <v>MW</v>
      </c>
      <c r="E381" s="307" t="str">
        <f>RSD_Otherdemands_HS_AP!K71</f>
        <v>TJ</v>
      </c>
      <c r="F381" s="304" t="s">
        <v>1251</v>
      </c>
      <c r="G381" s="305"/>
    </row>
    <row r="382" spans="1:7" x14ac:dyDescent="0.3">
      <c r="A382" s="303" t="s">
        <v>1191</v>
      </c>
      <c r="B382" s="307" t="str">
        <f>RSD_Otherdemands_HS_AP!H72</f>
        <v>RKHSBoRoLPG02</v>
      </c>
      <c r="C382" s="307" t="str">
        <f>RSD_Otherdemands_HS_AP!I72</f>
        <v>RKHSBLPGRangeLPG.BAT</v>
      </c>
      <c r="D382" s="307" t="str">
        <f>RSD_Otherdemands_HS_AP!J72</f>
        <v>MW</v>
      </c>
      <c r="E382" s="307" t="str">
        <f>RSD_Otherdemands_HS_AP!K72</f>
        <v>TJ</v>
      </c>
      <c r="F382" s="304" t="s">
        <v>1251</v>
      </c>
      <c r="G382" s="305"/>
    </row>
    <row r="383" spans="1:7" x14ac:dyDescent="0.3">
      <c r="A383" s="303" t="s">
        <v>1191</v>
      </c>
      <c r="B383" s="307" t="str">
        <f>RSD_Otherdemands_HS_AP!H73</f>
        <v>RKHSBoStoELC02</v>
      </c>
      <c r="C383" s="307" t="str">
        <f>RSD_Otherdemands_HS_AP!I73</f>
        <v>RKHSBElectricSteamerELC.BAT</v>
      </c>
      <c r="D383" s="307" t="str">
        <f>RSD_Otherdemands_HS_AP!J73</f>
        <v>MW</v>
      </c>
      <c r="E383" s="307" t="str">
        <f>RSD_Otherdemands_HS_AP!K73</f>
        <v>TJ</v>
      </c>
      <c r="F383" s="304" t="s">
        <v>1251</v>
      </c>
      <c r="G383" s="305"/>
    </row>
    <row r="384" spans="1:7" x14ac:dyDescent="0.3">
      <c r="A384" s="303" t="s">
        <v>1191</v>
      </c>
      <c r="B384" s="307" t="str">
        <f>RSD_Otherdemands_HS_AP!H74</f>
        <v>RKHSBoStoGAS02</v>
      </c>
      <c r="C384" s="307" t="str">
        <f>RSD_Otherdemands_HS_AP!I74</f>
        <v>RKHSBGasSteamerGAS.BAT</v>
      </c>
      <c r="D384" s="307" t="str">
        <f>RSD_Otherdemands_HS_AP!J74</f>
        <v>MW</v>
      </c>
      <c r="E384" s="307" t="str">
        <f>RSD_Otherdemands_HS_AP!K74</f>
        <v>TJ</v>
      </c>
      <c r="F384" s="304" t="s">
        <v>1251</v>
      </c>
      <c r="G384" s="305"/>
    </row>
    <row r="385" spans="1:7" x14ac:dyDescent="0.3">
      <c r="A385" s="303" t="s">
        <v>1191</v>
      </c>
      <c r="B385" s="307" t="str">
        <f>RSD_Otherdemands_HS_AP!H75</f>
        <v>RKHSBoFGoELC02</v>
      </c>
      <c r="C385" s="307" t="str">
        <f>RSD_Otherdemands_HS_AP!I75</f>
        <v>RKHSBElectricFryerGriddleELC.BAT</v>
      </c>
      <c r="D385" s="307" t="str">
        <f>RSD_Otherdemands_HS_AP!J75</f>
        <v>MW</v>
      </c>
      <c r="E385" s="307" t="str">
        <f>RSD_Otherdemands_HS_AP!K75</f>
        <v>TJ</v>
      </c>
      <c r="F385" s="304" t="s">
        <v>1251</v>
      </c>
      <c r="G385" s="305"/>
    </row>
    <row r="386" spans="1:7" x14ac:dyDescent="0.3">
      <c r="A386" s="303" t="s">
        <v>1191</v>
      </c>
      <c r="B386" s="307" t="str">
        <f>RSD_Otherdemands_HS_AP!H76</f>
        <v>RKHSBoFGoGAS02</v>
      </c>
      <c r="C386" s="307" t="str">
        <f>RSD_Otherdemands_HS_AP!I76</f>
        <v>RKHSBGasFryerGriddleGAS.BAT</v>
      </c>
      <c r="D386" s="307" t="str">
        <f>RSD_Otherdemands_HS_AP!J76</f>
        <v>MW</v>
      </c>
      <c r="E386" s="307" t="str">
        <f>RSD_Otherdemands_HS_AP!K76</f>
        <v>TJ</v>
      </c>
      <c r="F386" s="304" t="s">
        <v>1251</v>
      </c>
      <c r="G386" s="305"/>
    </row>
    <row r="387" spans="1:7" x14ac:dyDescent="0.3">
      <c r="A387" s="303" t="s">
        <v>1191</v>
      </c>
      <c r="B387" s="307" t="str">
        <f>RSD_Otherdemands_HS_AP!H77</f>
        <v>RKHSCoOHoGAS01</v>
      </c>
      <c r="C387" s="307" t="str">
        <f>RSD_Otherdemands_HS_AP!I77</f>
        <v>RKHSCGasOvenHobsGAS.BAU</v>
      </c>
      <c r="D387" s="307" t="str">
        <f>RSD_Otherdemands_HS_AP!J77</f>
        <v>MW</v>
      </c>
      <c r="E387" s="307" t="str">
        <f>RSD_Otherdemands_HS_AP!K77</f>
        <v>TJ</v>
      </c>
      <c r="F387" s="304" t="s">
        <v>1251</v>
      </c>
      <c r="G387" s="305"/>
    </row>
    <row r="388" spans="1:7" x14ac:dyDescent="0.3">
      <c r="A388" s="303" t="s">
        <v>1191</v>
      </c>
      <c r="B388" s="307" t="str">
        <f>RSD_Otherdemands_HS_AP!H78</f>
        <v>RKHSCoOHoGAS02</v>
      </c>
      <c r="C388" s="307" t="str">
        <f>RSD_Otherdemands_HS_AP!I78</f>
        <v>RKHSCGasOvenHobsGAS.BAT</v>
      </c>
      <c r="D388" s="307" t="str">
        <f>RSD_Otherdemands_HS_AP!J78</f>
        <v>MW</v>
      </c>
      <c r="E388" s="307" t="str">
        <f>RSD_Otherdemands_HS_AP!K78</f>
        <v>TJ</v>
      </c>
      <c r="F388" s="304" t="s">
        <v>1251</v>
      </c>
      <c r="G388" s="305"/>
    </row>
    <row r="389" spans="1:7" x14ac:dyDescent="0.3">
      <c r="A389" s="303" t="s">
        <v>1191</v>
      </c>
      <c r="B389" s="307" t="str">
        <f>RSD_Otherdemands_HS_AP!H79</f>
        <v>RKHSCoOHoELC01</v>
      </c>
      <c r="C389" s="307" t="str">
        <f>RSD_Otherdemands_HS_AP!I79</f>
        <v>RKHSCElectricOvenHobsELC.BAU</v>
      </c>
      <c r="D389" s="307" t="str">
        <f>RSD_Otherdemands_HS_AP!J79</f>
        <v>MW</v>
      </c>
      <c r="E389" s="307" t="str">
        <f>RSD_Otherdemands_HS_AP!K79</f>
        <v>TJ</v>
      </c>
      <c r="F389" s="304" t="s">
        <v>1251</v>
      </c>
      <c r="G389" s="305"/>
    </row>
    <row r="390" spans="1:7" x14ac:dyDescent="0.3">
      <c r="A390" s="303" t="s">
        <v>1191</v>
      </c>
      <c r="B390" s="307" t="str">
        <f>RSD_Otherdemands_HS_AP!H80</f>
        <v>RKHSCoOHoELC02</v>
      </c>
      <c r="C390" s="307" t="str">
        <f>RSD_Otherdemands_HS_AP!I80</f>
        <v>RKHSCElectricOvenHobsELC.BAT</v>
      </c>
      <c r="D390" s="307" t="str">
        <f>RSD_Otherdemands_HS_AP!J80</f>
        <v>MW</v>
      </c>
      <c r="E390" s="307" t="str">
        <f>RSD_Otherdemands_HS_AP!K80</f>
        <v>TJ</v>
      </c>
      <c r="F390" s="304" t="s">
        <v>1251</v>
      </c>
      <c r="G390" s="305"/>
    </row>
    <row r="391" spans="1:7" x14ac:dyDescent="0.3">
      <c r="A391" s="303" t="s">
        <v>1191</v>
      </c>
      <c r="B391" s="307" t="str">
        <f>RSD_Otherdemands_HS_AP!H81</f>
        <v>RKHSCoOHoLPG02</v>
      </c>
      <c r="C391" s="307" t="str">
        <f>RSD_Otherdemands_HS_AP!I81</f>
        <v>RKHSCLPGOvenHobsLPG.BAT</v>
      </c>
      <c r="D391" s="307" t="str">
        <f>RSD_Otherdemands_HS_AP!J81</f>
        <v>MW</v>
      </c>
      <c r="E391" s="307" t="str">
        <f>RSD_Otherdemands_HS_AP!K81</f>
        <v>TJ</v>
      </c>
      <c r="F391" s="304" t="s">
        <v>1251</v>
      </c>
      <c r="G391" s="305"/>
    </row>
    <row r="392" spans="1:7" x14ac:dyDescent="0.3">
      <c r="A392" s="303" t="s">
        <v>1191</v>
      </c>
      <c r="B392" s="307" t="str">
        <f>RSD_Otherdemands_HS_AP!H82</f>
        <v>RKHSCoRoELC02</v>
      </c>
      <c r="C392" s="307" t="str">
        <f>RSD_Otherdemands_HS_AP!I82</f>
        <v>RKHSCElectricRangeELC.BAT</v>
      </c>
      <c r="D392" s="307" t="str">
        <f>RSD_Otherdemands_HS_AP!J82</f>
        <v>MW</v>
      </c>
      <c r="E392" s="307" t="str">
        <f>RSD_Otherdemands_HS_AP!K82</f>
        <v>TJ</v>
      </c>
      <c r="F392" s="304" t="s">
        <v>1251</v>
      </c>
      <c r="G392" s="305"/>
    </row>
    <row r="393" spans="1:7" x14ac:dyDescent="0.3">
      <c r="A393" s="303" t="s">
        <v>1191</v>
      </c>
      <c r="B393" s="307" t="str">
        <f>RSD_Otherdemands_HS_AP!H83</f>
        <v>RKHSCoRoGAS02</v>
      </c>
      <c r="C393" s="307" t="str">
        <f>RSD_Otherdemands_HS_AP!I83</f>
        <v>RKHSCGasRangeGAS.BAT</v>
      </c>
      <c r="D393" s="307" t="str">
        <f>RSD_Otherdemands_HS_AP!J83</f>
        <v>MW</v>
      </c>
      <c r="E393" s="307" t="str">
        <f>RSD_Otherdemands_HS_AP!K83</f>
        <v>TJ</v>
      </c>
      <c r="F393" s="304" t="s">
        <v>1251</v>
      </c>
      <c r="G393" s="305"/>
    </row>
    <row r="394" spans="1:7" x14ac:dyDescent="0.3">
      <c r="A394" s="303" t="s">
        <v>1191</v>
      </c>
      <c r="B394" s="307" t="str">
        <f>RSD_Otherdemands_HS_AP!H84</f>
        <v>RKHSCoRoLPG02</v>
      </c>
      <c r="C394" s="307" t="str">
        <f>RSD_Otherdemands_HS_AP!I84</f>
        <v>RKHSCLPGRangeLPG.BAT</v>
      </c>
      <c r="D394" s="307" t="str">
        <f>RSD_Otherdemands_HS_AP!J84</f>
        <v>MW</v>
      </c>
      <c r="E394" s="307" t="str">
        <f>RSD_Otherdemands_HS_AP!K84</f>
        <v>TJ</v>
      </c>
      <c r="F394" s="304" t="s">
        <v>1251</v>
      </c>
      <c r="G394" s="305"/>
    </row>
    <row r="395" spans="1:7" x14ac:dyDescent="0.3">
      <c r="A395" s="303" t="s">
        <v>1191</v>
      </c>
      <c r="B395" s="307" t="str">
        <f>RSD_Otherdemands_HS_AP!H85</f>
        <v>RKHSCoStoELC02</v>
      </c>
      <c r="C395" s="307" t="str">
        <f>RSD_Otherdemands_HS_AP!I85</f>
        <v>RKHSCElectricSteamerELC.BAT</v>
      </c>
      <c r="D395" s="307" t="str">
        <f>RSD_Otherdemands_HS_AP!J85</f>
        <v>MW</v>
      </c>
      <c r="E395" s="307" t="str">
        <f>RSD_Otherdemands_HS_AP!K85</f>
        <v>TJ</v>
      </c>
      <c r="F395" s="304" t="s">
        <v>1251</v>
      </c>
      <c r="G395" s="305"/>
    </row>
    <row r="396" spans="1:7" x14ac:dyDescent="0.3">
      <c r="A396" s="303" t="s">
        <v>1191</v>
      </c>
      <c r="B396" s="307" t="str">
        <f>RSD_Otherdemands_HS_AP!H86</f>
        <v>RKHSCoStoGAS02</v>
      </c>
      <c r="C396" s="307" t="str">
        <f>RSD_Otherdemands_HS_AP!I86</f>
        <v>RKHSCGasSteamerGAS.BAT</v>
      </c>
      <c r="D396" s="307" t="str">
        <f>RSD_Otherdemands_HS_AP!J86</f>
        <v>MW</v>
      </c>
      <c r="E396" s="307" t="str">
        <f>RSD_Otherdemands_HS_AP!K86</f>
        <v>TJ</v>
      </c>
      <c r="F396" s="304" t="s">
        <v>1251</v>
      </c>
      <c r="G396" s="305"/>
    </row>
    <row r="397" spans="1:7" x14ac:dyDescent="0.3">
      <c r="A397" s="303" t="s">
        <v>1191</v>
      </c>
      <c r="B397" s="307" t="str">
        <f>RSD_Otherdemands_HS_AP!H87</f>
        <v>RKHSCoFGoELC02</v>
      </c>
      <c r="C397" s="307" t="str">
        <f>RSD_Otherdemands_HS_AP!I87</f>
        <v>RKHSCElectricFryerGriddleELC.BAT</v>
      </c>
      <c r="D397" s="307" t="str">
        <f>RSD_Otherdemands_HS_AP!J87</f>
        <v>MW</v>
      </c>
      <c r="E397" s="307" t="str">
        <f>RSD_Otherdemands_HS_AP!K87</f>
        <v>TJ</v>
      </c>
      <c r="F397" s="304" t="s">
        <v>1251</v>
      </c>
      <c r="G397" s="305"/>
    </row>
    <row r="398" spans="1:7" x14ac:dyDescent="0.3">
      <c r="A398" s="303" t="s">
        <v>1191</v>
      </c>
      <c r="B398" s="307" t="str">
        <f>RSD_Otherdemands_HS_AP!H88</f>
        <v>RKHSCoFGoGAS02</v>
      </c>
      <c r="C398" s="307" t="str">
        <f>RSD_Otherdemands_HS_AP!I88</f>
        <v>RKHSCGasFryerGriddleGAS.BAT</v>
      </c>
      <c r="D398" s="307" t="str">
        <f>RSD_Otherdemands_HS_AP!J88</f>
        <v>MW</v>
      </c>
      <c r="E398" s="307" t="str">
        <f>RSD_Otherdemands_HS_AP!K88</f>
        <v>TJ</v>
      </c>
      <c r="F398" s="304" t="s">
        <v>1251</v>
      </c>
      <c r="G398" s="305"/>
    </row>
    <row r="399" spans="1:7" x14ac:dyDescent="0.3">
      <c r="A399" s="303" t="s">
        <v>1191</v>
      </c>
      <c r="B399" s="307" t="str">
        <f>RSD_Otherdemands_HS_AP!H89</f>
        <v>RKHSEoOHoGAS01</v>
      </c>
      <c r="C399" s="307" t="str">
        <f>RSD_Otherdemands_HS_AP!I89</f>
        <v>RKHSEGasOvenHobsGAS.BAU</v>
      </c>
      <c r="D399" s="307" t="str">
        <f>RSD_Otherdemands_HS_AP!J89</f>
        <v>MW</v>
      </c>
      <c r="E399" s="307" t="str">
        <f>RSD_Otherdemands_HS_AP!K89</f>
        <v>TJ</v>
      </c>
      <c r="F399" s="304" t="s">
        <v>1251</v>
      </c>
      <c r="G399" s="305"/>
    </row>
    <row r="400" spans="1:7" x14ac:dyDescent="0.3">
      <c r="A400" s="303" t="s">
        <v>1191</v>
      </c>
      <c r="B400" s="307" t="str">
        <f>RSD_Otherdemands_HS_AP!H90</f>
        <v>RKHSEoOHoGAS02</v>
      </c>
      <c r="C400" s="307" t="str">
        <f>RSD_Otherdemands_HS_AP!I90</f>
        <v>RKHSEGasOvenHobsGAS.BAT</v>
      </c>
      <c r="D400" s="307" t="str">
        <f>RSD_Otherdemands_HS_AP!J90</f>
        <v>MW</v>
      </c>
      <c r="E400" s="307" t="str">
        <f>RSD_Otherdemands_HS_AP!K90</f>
        <v>TJ</v>
      </c>
      <c r="F400" s="304" t="s">
        <v>1251</v>
      </c>
      <c r="G400" s="305"/>
    </row>
    <row r="401" spans="1:7" x14ac:dyDescent="0.3">
      <c r="A401" s="303" t="s">
        <v>1191</v>
      </c>
      <c r="B401" s="307" t="str">
        <f>RSD_Otherdemands_HS_AP!H91</f>
        <v>RKHSEoOHoELC01</v>
      </c>
      <c r="C401" s="307" t="str">
        <f>RSD_Otherdemands_HS_AP!I91</f>
        <v>RKHSEElectricOvenHobsELC.BAU</v>
      </c>
      <c r="D401" s="307" t="str">
        <f>RSD_Otherdemands_HS_AP!J91</f>
        <v>MW</v>
      </c>
      <c r="E401" s="307" t="str">
        <f>RSD_Otherdemands_HS_AP!K91</f>
        <v>TJ</v>
      </c>
      <c r="F401" s="304" t="s">
        <v>1251</v>
      </c>
      <c r="G401" s="305"/>
    </row>
    <row r="402" spans="1:7" x14ac:dyDescent="0.3">
      <c r="A402" s="303" t="s">
        <v>1191</v>
      </c>
      <c r="B402" s="307" t="str">
        <f>RSD_Otherdemands_HS_AP!H92</f>
        <v>RKHSEoOHoELC02</v>
      </c>
      <c r="C402" s="307" t="str">
        <f>RSD_Otherdemands_HS_AP!I92</f>
        <v>RKHSEElectricOvenHobsELC.BAT</v>
      </c>
      <c r="D402" s="307" t="str">
        <f>RSD_Otherdemands_HS_AP!J92</f>
        <v>MW</v>
      </c>
      <c r="E402" s="307" t="str">
        <f>RSD_Otherdemands_HS_AP!K92</f>
        <v>TJ</v>
      </c>
      <c r="F402" s="304" t="s">
        <v>1251</v>
      </c>
      <c r="G402" s="305"/>
    </row>
    <row r="403" spans="1:7" x14ac:dyDescent="0.3">
      <c r="A403" s="303" t="s">
        <v>1191</v>
      </c>
      <c r="B403" s="307" t="str">
        <f>RSD_Otherdemands_HS_AP!H93</f>
        <v>RKHSEoOHoLPG02</v>
      </c>
      <c r="C403" s="307" t="str">
        <f>RSD_Otherdemands_HS_AP!I93</f>
        <v>RKHSELPGOvenHobsLPG.BAT</v>
      </c>
      <c r="D403" s="307" t="str">
        <f>RSD_Otherdemands_HS_AP!J93</f>
        <v>MW</v>
      </c>
      <c r="E403" s="307" t="str">
        <f>RSD_Otherdemands_HS_AP!K93</f>
        <v>TJ</v>
      </c>
      <c r="F403" s="304" t="s">
        <v>1251</v>
      </c>
      <c r="G403" s="305"/>
    </row>
    <row r="404" spans="1:7" x14ac:dyDescent="0.3">
      <c r="A404" s="303" t="s">
        <v>1191</v>
      </c>
      <c r="B404" s="307" t="str">
        <f>RSD_Otherdemands_HS_AP!H94</f>
        <v>RKHSEoRoELC02</v>
      </c>
      <c r="C404" s="307" t="str">
        <f>RSD_Otherdemands_HS_AP!I94</f>
        <v>RKHSEElectricRangeELC.BAT</v>
      </c>
      <c r="D404" s="307" t="str">
        <f>RSD_Otherdemands_HS_AP!J94</f>
        <v>MW</v>
      </c>
      <c r="E404" s="307" t="str">
        <f>RSD_Otherdemands_HS_AP!K94</f>
        <v>TJ</v>
      </c>
      <c r="F404" s="304" t="s">
        <v>1251</v>
      </c>
      <c r="G404" s="305"/>
    </row>
    <row r="405" spans="1:7" x14ac:dyDescent="0.3">
      <c r="A405" s="303" t="s">
        <v>1191</v>
      </c>
      <c r="B405" s="307" t="str">
        <f>RSD_Otherdemands_HS_AP!H95</f>
        <v>RKHSEoRoGAS02</v>
      </c>
      <c r="C405" s="307" t="str">
        <f>RSD_Otherdemands_HS_AP!I95</f>
        <v>RKHSEGasRangeGAS.BAT</v>
      </c>
      <c r="D405" s="307" t="str">
        <f>RSD_Otherdemands_HS_AP!J95</f>
        <v>MW</v>
      </c>
      <c r="E405" s="307" t="str">
        <f>RSD_Otherdemands_HS_AP!K95</f>
        <v>TJ</v>
      </c>
      <c r="F405" s="304" t="s">
        <v>1251</v>
      </c>
      <c r="G405" s="305"/>
    </row>
    <row r="406" spans="1:7" x14ac:dyDescent="0.3">
      <c r="A406" s="303" t="s">
        <v>1191</v>
      </c>
      <c r="B406" s="307" t="str">
        <f>RSD_Otherdemands_HS_AP!H96</f>
        <v>RKHSEoRoLPG02</v>
      </c>
      <c r="C406" s="307" t="str">
        <f>RSD_Otherdemands_HS_AP!I96</f>
        <v>RKHSELPGRangeLPG.BAT</v>
      </c>
      <c r="D406" s="307" t="str">
        <f>RSD_Otherdemands_HS_AP!J96</f>
        <v>MW</v>
      </c>
      <c r="E406" s="307" t="str">
        <f>RSD_Otherdemands_HS_AP!K96</f>
        <v>TJ</v>
      </c>
      <c r="F406" s="304" t="s">
        <v>1251</v>
      </c>
      <c r="G406" s="305"/>
    </row>
    <row r="407" spans="1:7" x14ac:dyDescent="0.3">
      <c r="A407" s="303" t="s">
        <v>1191</v>
      </c>
      <c r="B407" s="307" t="str">
        <f>RSD_Otherdemands_HS_AP!H97</f>
        <v>RKHSEoStoELC02</v>
      </c>
      <c r="C407" s="307" t="str">
        <f>RSD_Otherdemands_HS_AP!I97</f>
        <v>RKHSEElectricSteamerELC.BAT</v>
      </c>
      <c r="D407" s="307" t="str">
        <f>RSD_Otherdemands_HS_AP!J97</f>
        <v>MW</v>
      </c>
      <c r="E407" s="307" t="str">
        <f>RSD_Otherdemands_HS_AP!K97</f>
        <v>TJ</v>
      </c>
      <c r="F407" s="304" t="s">
        <v>1251</v>
      </c>
      <c r="G407" s="305"/>
    </row>
    <row r="408" spans="1:7" x14ac:dyDescent="0.3">
      <c r="A408" s="303" t="s">
        <v>1191</v>
      </c>
      <c r="B408" s="307" t="str">
        <f>RSD_Otherdemands_HS_AP!H98</f>
        <v>RKHSEoStoGAS02</v>
      </c>
      <c r="C408" s="307" t="str">
        <f>RSD_Otherdemands_HS_AP!I98</f>
        <v>RKHSEGasSteamerGAS.BAT</v>
      </c>
      <c r="D408" s="307" t="str">
        <f>RSD_Otherdemands_HS_AP!J98</f>
        <v>MW</v>
      </c>
      <c r="E408" s="307" t="str">
        <f>RSD_Otherdemands_HS_AP!K98</f>
        <v>TJ</v>
      </c>
      <c r="F408" s="304" t="s">
        <v>1251</v>
      </c>
      <c r="G408" s="305"/>
    </row>
    <row r="409" spans="1:7" x14ac:dyDescent="0.3">
      <c r="A409" s="303" t="s">
        <v>1191</v>
      </c>
      <c r="B409" s="307" t="str">
        <f>RSD_Otherdemands_HS_AP!H99</f>
        <v>RKHSEoFGoELC02</v>
      </c>
      <c r="C409" s="307" t="str">
        <f>RSD_Otherdemands_HS_AP!I99</f>
        <v>RKHSEElectricFryerGriddleELC.BAT</v>
      </c>
      <c r="D409" s="307" t="str">
        <f>RSD_Otherdemands_HS_AP!J99</f>
        <v>MW</v>
      </c>
      <c r="E409" s="307" t="str">
        <f>RSD_Otherdemands_HS_AP!K99</f>
        <v>TJ</v>
      </c>
      <c r="F409" s="304" t="s">
        <v>1251</v>
      </c>
      <c r="G409" s="305"/>
    </row>
    <row r="410" spans="1:7" x14ac:dyDescent="0.3">
      <c r="A410" s="303" t="s">
        <v>1191</v>
      </c>
      <c r="B410" s="307" t="str">
        <f>RSD_Otherdemands_HS_AP!H100</f>
        <v>RKHSEoFGoGAS02</v>
      </c>
      <c r="C410" s="307" t="str">
        <f>RSD_Otherdemands_HS_AP!I100</f>
        <v>RKHSEGasFryerGriddleGAS.BAT</v>
      </c>
      <c r="D410" s="307" t="str">
        <f>RSD_Otherdemands_HS_AP!J100</f>
        <v>MW</v>
      </c>
      <c r="E410" s="307" t="str">
        <f>RSD_Otherdemands_HS_AP!K100</f>
        <v>TJ</v>
      </c>
      <c r="F410" s="304" t="s">
        <v>1251</v>
      </c>
      <c r="G410" s="305"/>
    </row>
    <row r="411" spans="1:7" x14ac:dyDescent="0.3">
      <c r="A411" s="303" t="s">
        <v>1191</v>
      </c>
      <c r="B411" s="307" t="str">
        <f>RSD_Otherdemands_HS_AP!H106</f>
        <v>ROAPAoELC01</v>
      </c>
      <c r="C411" s="307" t="str">
        <f>RSD_Otherdemands_HS_AP!I106</f>
        <v>ROAPAOtherAppliancesELC.BAU</v>
      </c>
      <c r="D411" s="307" t="str">
        <f>RSD_Otherdemands_HS_AP!J106</f>
        <v>MW</v>
      </c>
      <c r="E411" s="307" t="str">
        <f>RSD_Otherdemands_HS_AP!K106</f>
        <v>TJ</v>
      </c>
      <c r="F411" s="304" t="s">
        <v>1251</v>
      </c>
      <c r="G411" s="305"/>
    </row>
    <row r="412" spans="1:7" x14ac:dyDescent="0.3">
      <c r="A412" s="303" t="s">
        <v>1191</v>
      </c>
      <c r="B412" s="307" t="str">
        <f>RSD_Otherdemands_HS_AP!H107</f>
        <v>ROAPAoELC02</v>
      </c>
      <c r="C412" s="307" t="str">
        <f>RSD_Otherdemands_HS_AP!I107</f>
        <v>ROAPAOtherAppliancesELC.BAT</v>
      </c>
      <c r="D412" s="307" t="str">
        <f>RSD_Otherdemands_HS_AP!J107</f>
        <v>MW</v>
      </c>
      <c r="E412" s="307" t="str">
        <f>RSD_Otherdemands_HS_AP!K107</f>
        <v>TJ</v>
      </c>
      <c r="F412" s="304" t="s">
        <v>1251</v>
      </c>
      <c r="G412" s="305"/>
    </row>
    <row r="413" spans="1:7" x14ac:dyDescent="0.3">
      <c r="A413" s="303" t="s">
        <v>1191</v>
      </c>
      <c r="B413" s="307" t="str">
        <f>RSD_Otherdemands_HS_AP!H108</f>
        <v>ROAPBoELC01</v>
      </c>
      <c r="C413" s="307" t="str">
        <f>RSD_Otherdemands_HS_AP!I108</f>
        <v>ROAPBOtherAppliancesELC.BAU</v>
      </c>
      <c r="D413" s="307" t="str">
        <f>RSD_Otherdemands_HS_AP!J108</f>
        <v>MW</v>
      </c>
      <c r="E413" s="307" t="str">
        <f>RSD_Otherdemands_HS_AP!K108</f>
        <v>TJ</v>
      </c>
      <c r="F413" s="304" t="s">
        <v>1251</v>
      </c>
      <c r="G413" s="305"/>
    </row>
    <row r="414" spans="1:7" x14ac:dyDescent="0.3">
      <c r="A414" s="303" t="s">
        <v>1191</v>
      </c>
      <c r="B414" s="307" t="str">
        <f>RSD_Otherdemands_HS_AP!H109</f>
        <v>ROAPBoELC02</v>
      </c>
      <c r="C414" s="307" t="str">
        <f>RSD_Otherdemands_HS_AP!I109</f>
        <v>ROAPBOtherAppliancesELC.BAT</v>
      </c>
      <c r="D414" s="307" t="str">
        <f>RSD_Otherdemands_HS_AP!J109</f>
        <v>MW</v>
      </c>
      <c r="E414" s="307" t="str">
        <f>RSD_Otherdemands_HS_AP!K109</f>
        <v>TJ</v>
      </c>
      <c r="F414" s="304" t="s">
        <v>1251</v>
      </c>
      <c r="G414" s="305"/>
    </row>
    <row r="415" spans="1:7" x14ac:dyDescent="0.3">
      <c r="A415" s="303" t="s">
        <v>1191</v>
      </c>
      <c r="B415" s="307" t="str">
        <f>RSD_Otherdemands_HS_AP!H110</f>
        <v>ROAPCoELC01</v>
      </c>
      <c r="C415" s="307" t="str">
        <f>RSD_Otherdemands_HS_AP!I110</f>
        <v>ROAPCOtherAppliancesELC.BAU</v>
      </c>
      <c r="D415" s="307" t="str">
        <f>RSD_Otherdemands_HS_AP!J110</f>
        <v>MW</v>
      </c>
      <c r="E415" s="307" t="str">
        <f>RSD_Otherdemands_HS_AP!K110</f>
        <v>TJ</v>
      </c>
      <c r="F415" s="304" t="s">
        <v>1251</v>
      </c>
      <c r="G415" s="305"/>
    </row>
    <row r="416" spans="1:7" x14ac:dyDescent="0.3">
      <c r="A416" s="303" t="s">
        <v>1191</v>
      </c>
      <c r="B416" s="307" t="str">
        <f>RSD_Otherdemands_HS_AP!H111</f>
        <v>ROAPCoELC02</v>
      </c>
      <c r="C416" s="307" t="str">
        <f>RSD_Otherdemands_HS_AP!I111</f>
        <v>ROAPCOtherAppliancesELC.BAT</v>
      </c>
      <c r="D416" s="307" t="str">
        <f>RSD_Otherdemands_HS_AP!J111</f>
        <v>MW</v>
      </c>
      <c r="E416" s="307" t="str">
        <f>RSD_Otherdemands_HS_AP!K111</f>
        <v>TJ</v>
      </c>
      <c r="F416" s="304" t="s">
        <v>1251</v>
      </c>
      <c r="G416" s="305"/>
    </row>
    <row r="417" spans="1:7" x14ac:dyDescent="0.3">
      <c r="A417" s="303" t="s">
        <v>1191</v>
      </c>
      <c r="B417" s="307" t="str">
        <f>RSD_Otherdemands_HS_AP!H112</f>
        <v>ROAPEoELC01</v>
      </c>
      <c r="C417" s="307" t="str">
        <f>RSD_Otherdemands_HS_AP!I112</f>
        <v>ROAPEOtherAppliancesELC.BAU</v>
      </c>
      <c r="D417" s="307" t="str">
        <f>RSD_Otherdemands_HS_AP!J112</f>
        <v>MW</v>
      </c>
      <c r="E417" s="307" t="str">
        <f>RSD_Otherdemands_HS_AP!K112</f>
        <v>TJ</v>
      </c>
      <c r="F417" s="304" t="s">
        <v>1251</v>
      </c>
      <c r="G417" s="305"/>
    </row>
    <row r="418" spans="1:7" x14ac:dyDescent="0.3">
      <c r="A418" s="303" t="s">
        <v>1191</v>
      </c>
      <c r="B418" s="307" t="str">
        <f>RSD_Otherdemands_HS_AP!H113</f>
        <v>ROAPEoELC02</v>
      </c>
      <c r="C418" s="307" t="str">
        <f>RSD_Otherdemands_HS_AP!I113</f>
        <v>ROAPEOtherAppliancesELC.BAT</v>
      </c>
      <c r="D418" s="307" t="str">
        <f>RSD_Otherdemands_HS_AP!J113</f>
        <v>MW</v>
      </c>
      <c r="E418" s="307" t="str">
        <f>RSD_Otherdemands_HS_AP!K113</f>
        <v>TJ</v>
      </c>
      <c r="F418" s="304" t="s">
        <v>1251</v>
      </c>
      <c r="G418" s="305"/>
    </row>
    <row r="419" spans="1:7" x14ac:dyDescent="0.3">
      <c r="A419" s="303" t="s">
        <v>1191</v>
      </c>
      <c r="B419" s="307" t="str">
        <f>RSD_Otherdemands_HS_AP!H114</f>
        <v>ROHSAoELC01</v>
      </c>
      <c r="C419" s="307" t="str">
        <f>RSD_Otherdemands_HS_AP!I114</f>
        <v>ROHSAOtherAppliancesELC.BAU</v>
      </c>
      <c r="D419" s="307" t="str">
        <f>RSD_Otherdemands_HS_AP!J114</f>
        <v>MW</v>
      </c>
      <c r="E419" s="307" t="str">
        <f>RSD_Otherdemands_HS_AP!K114</f>
        <v>TJ</v>
      </c>
      <c r="F419" s="304" t="s">
        <v>1251</v>
      </c>
      <c r="G419" s="305"/>
    </row>
    <row r="420" spans="1:7" x14ac:dyDescent="0.3">
      <c r="A420" s="303" t="s">
        <v>1191</v>
      </c>
      <c r="B420" s="307" t="str">
        <f>RSD_Otherdemands_HS_AP!H115</f>
        <v>ROHSAoELC02</v>
      </c>
      <c r="C420" s="307" t="str">
        <f>RSD_Otherdemands_HS_AP!I115</f>
        <v>ROHSAOtherAppliancesELC.BAT</v>
      </c>
      <c r="D420" s="307" t="str">
        <f>RSD_Otherdemands_HS_AP!J115</f>
        <v>MW</v>
      </c>
      <c r="E420" s="307" t="str">
        <f>RSD_Otherdemands_HS_AP!K115</f>
        <v>TJ</v>
      </c>
      <c r="F420" s="304" t="s">
        <v>1251</v>
      </c>
      <c r="G420" s="305"/>
    </row>
    <row r="421" spans="1:7" x14ac:dyDescent="0.3">
      <c r="A421" s="303" t="s">
        <v>1191</v>
      </c>
      <c r="B421" s="307" t="str">
        <f>RSD_Otherdemands_HS_AP!H116</f>
        <v>ROHSBoELC01</v>
      </c>
      <c r="C421" s="307" t="str">
        <f>RSD_Otherdemands_HS_AP!I116</f>
        <v>ROHSBOtherAppliancesELC.BAU</v>
      </c>
      <c r="D421" s="307" t="str">
        <f>RSD_Otherdemands_HS_AP!J116</f>
        <v>MW</v>
      </c>
      <c r="E421" s="307" t="str">
        <f>RSD_Otherdemands_HS_AP!K116</f>
        <v>TJ</v>
      </c>
      <c r="F421" s="304" t="s">
        <v>1251</v>
      </c>
      <c r="G421" s="305"/>
    </row>
    <row r="422" spans="1:7" x14ac:dyDescent="0.3">
      <c r="A422" s="303" t="s">
        <v>1191</v>
      </c>
      <c r="B422" s="307" t="str">
        <f>RSD_Otherdemands_HS_AP!H117</f>
        <v>ROHSBoELC02</v>
      </c>
      <c r="C422" s="307" t="str">
        <f>RSD_Otherdemands_HS_AP!I117</f>
        <v>ROHSBOtherAppliancesELC.BAT</v>
      </c>
      <c r="D422" s="307" t="str">
        <f>RSD_Otherdemands_HS_AP!J117</f>
        <v>MW</v>
      </c>
      <c r="E422" s="307" t="str">
        <f>RSD_Otherdemands_HS_AP!K117</f>
        <v>TJ</v>
      </c>
      <c r="F422" s="304" t="s">
        <v>1251</v>
      </c>
      <c r="G422" s="305"/>
    </row>
    <row r="423" spans="1:7" x14ac:dyDescent="0.3">
      <c r="A423" s="303" t="s">
        <v>1191</v>
      </c>
      <c r="B423" s="307" t="str">
        <f>RSD_Otherdemands_HS_AP!H118</f>
        <v>ROHSCoELC01</v>
      </c>
      <c r="C423" s="307" t="str">
        <f>RSD_Otherdemands_HS_AP!I118</f>
        <v>ROHSCOtherAppliancesELC.BAU</v>
      </c>
      <c r="D423" s="307" t="str">
        <f>RSD_Otherdemands_HS_AP!J118</f>
        <v>MW</v>
      </c>
      <c r="E423" s="307" t="str">
        <f>RSD_Otherdemands_HS_AP!K118</f>
        <v>TJ</v>
      </c>
      <c r="F423" s="304" t="s">
        <v>1251</v>
      </c>
      <c r="G423" s="305"/>
    </row>
    <row r="424" spans="1:7" x14ac:dyDescent="0.3">
      <c r="A424" s="303" t="s">
        <v>1191</v>
      </c>
      <c r="B424" s="307" t="str">
        <f>RSD_Otherdemands_HS_AP!H119</f>
        <v>ROHSCoELC02</v>
      </c>
      <c r="C424" s="307" t="str">
        <f>RSD_Otherdemands_HS_AP!I119</f>
        <v>ROHSCOtherAppliancesELC.BAT</v>
      </c>
      <c r="D424" s="307" t="str">
        <f>RSD_Otherdemands_HS_AP!J119</f>
        <v>MW</v>
      </c>
      <c r="E424" s="307" t="str">
        <f>RSD_Otherdemands_HS_AP!K119</f>
        <v>TJ</v>
      </c>
      <c r="F424" s="304" t="s">
        <v>1251</v>
      </c>
      <c r="G424" s="305"/>
    </row>
    <row r="425" spans="1:7" x14ac:dyDescent="0.3">
      <c r="A425" s="303" t="s">
        <v>1191</v>
      </c>
      <c r="B425" s="307" t="str">
        <f>RSD_Otherdemands_HS_AP!H120</f>
        <v>ROHSEoELC01</v>
      </c>
      <c r="C425" s="307" t="str">
        <f>RSD_Otherdemands_HS_AP!I120</f>
        <v>ROHSEOtherAppliancesELC.BAU</v>
      </c>
      <c r="D425" s="307" t="str">
        <f>RSD_Otherdemands_HS_AP!J120</f>
        <v>MW</v>
      </c>
      <c r="E425" s="307" t="str">
        <f>RSD_Otherdemands_HS_AP!K120</f>
        <v>TJ</v>
      </c>
      <c r="F425" s="304" t="s">
        <v>1251</v>
      </c>
      <c r="G425" s="305"/>
    </row>
    <row r="426" spans="1:7" x14ac:dyDescent="0.3">
      <c r="A426" s="303" t="s">
        <v>1191</v>
      </c>
      <c r="B426" s="307" t="str">
        <f>RSD_Otherdemands_HS_AP!H121</f>
        <v>ROHSEoELC02</v>
      </c>
      <c r="C426" s="307" t="str">
        <f>RSD_Otherdemands_HS_AP!I121</f>
        <v>ROHSEOtherAppliancesELC.BAT</v>
      </c>
      <c r="D426" s="307" t="str">
        <f>RSD_Otherdemands_HS_AP!J121</f>
        <v>MW</v>
      </c>
      <c r="E426" s="307" t="str">
        <f>RSD_Otherdemands_HS_AP!K121</f>
        <v>TJ</v>
      </c>
      <c r="F426" s="304" t="s">
        <v>1251</v>
      </c>
      <c r="G426" s="305"/>
    </row>
    <row r="427" spans="1:7" x14ac:dyDescent="0.3">
      <c r="A427" s="303" t="s">
        <v>1191</v>
      </c>
      <c r="B427" s="307" t="str">
        <f>RSD_Otherdemands_HS_AP!H129</f>
        <v>RLAPA04oELC02</v>
      </c>
      <c r="C427" s="307" t="str">
        <f>RSD_Otherdemands_HS_AP!I129</f>
        <v>RLAPAFluorescentTubesELC.BAT</v>
      </c>
      <c r="D427" s="307" t="str">
        <f>RSD_Otherdemands_HS_AP!J129</f>
        <v>MW</v>
      </c>
      <c r="E427" s="307" t="str">
        <f>RSD_Otherdemands_HS_AP!K129</f>
        <v>TJ</v>
      </c>
      <c r="F427" s="304" t="s">
        <v>1251</v>
      </c>
      <c r="G427" s="305"/>
    </row>
    <row r="428" spans="1:7" x14ac:dyDescent="0.3">
      <c r="A428" s="303" t="s">
        <v>1191</v>
      </c>
      <c r="B428" s="307" t="str">
        <f>RSD_Otherdemands_HS_AP!H130</f>
        <v>RLAPA03oELC02</v>
      </c>
      <c r="C428" s="307" t="str">
        <f>RSD_Otherdemands_HS_AP!I130</f>
        <v>RLAPALEDELC.BAT</v>
      </c>
      <c r="D428" s="307" t="str">
        <f>RSD_Otherdemands_HS_AP!J130</f>
        <v>MW</v>
      </c>
      <c r="E428" s="307" t="str">
        <f>RSD_Otherdemands_HS_AP!K130</f>
        <v>TJ</v>
      </c>
      <c r="F428" s="304" t="s">
        <v>1251</v>
      </c>
      <c r="G428" s="305"/>
    </row>
    <row r="429" spans="1:7" x14ac:dyDescent="0.3">
      <c r="A429" s="303" t="s">
        <v>1191</v>
      </c>
      <c r="B429" s="307" t="str">
        <f>RSD_Otherdemands_HS_AP!H131</f>
        <v>RLAPA02oELC02</v>
      </c>
      <c r="C429" s="307" t="str">
        <f>RSD_Otherdemands_HS_AP!I131</f>
        <v>RLAPAHalogenELC.BAT</v>
      </c>
      <c r="D429" s="307" t="str">
        <f>RSD_Otherdemands_HS_AP!J131</f>
        <v>MW</v>
      </c>
      <c r="E429" s="307" t="str">
        <f>RSD_Otherdemands_HS_AP!K131</f>
        <v>TJ</v>
      </c>
      <c r="F429" s="304" t="s">
        <v>1251</v>
      </c>
      <c r="G429" s="305"/>
    </row>
    <row r="430" spans="1:7" x14ac:dyDescent="0.3">
      <c r="A430" s="303" t="s">
        <v>1191</v>
      </c>
      <c r="B430" s="307" t="str">
        <f>RSD_Otherdemands_HS_AP!H132</f>
        <v>RLAPAoELC02</v>
      </c>
      <c r="C430" s="307" t="str">
        <f>RSD_Otherdemands_HS_AP!I132</f>
        <v>RLAPAIncandescentImprovedELC.BAT</v>
      </c>
      <c r="D430" s="307" t="str">
        <f>RSD_Otherdemands_HS_AP!J132</f>
        <v>MW</v>
      </c>
      <c r="E430" s="307" t="str">
        <f>RSD_Otherdemands_HS_AP!K132</f>
        <v>TJ</v>
      </c>
      <c r="F430" s="304" t="s">
        <v>1251</v>
      </c>
      <c r="G430" s="305"/>
    </row>
    <row r="431" spans="1:7" x14ac:dyDescent="0.3">
      <c r="A431" s="303" t="s">
        <v>1191</v>
      </c>
      <c r="B431" s="307" t="str">
        <f>RSD_Otherdemands_HS_AP!H133</f>
        <v>RLAPAoELC01</v>
      </c>
      <c r="C431" s="307" t="str">
        <f>RSD_Otherdemands_HS_AP!I133</f>
        <v>RLAPAIncandescentELC.BAU</v>
      </c>
      <c r="D431" s="307" t="str">
        <f>RSD_Otherdemands_HS_AP!J133</f>
        <v>MW</v>
      </c>
      <c r="E431" s="307" t="str">
        <f>RSD_Otherdemands_HS_AP!K133</f>
        <v>TJ</v>
      </c>
      <c r="F431" s="304" t="s">
        <v>1251</v>
      </c>
      <c r="G431" s="305"/>
    </row>
    <row r="432" spans="1:7" x14ac:dyDescent="0.3">
      <c r="A432" s="303" t="s">
        <v>1191</v>
      </c>
      <c r="B432" s="307" t="str">
        <f>RSD_Otherdemands_HS_AP!H134</f>
        <v>RLAPA05oELC02</v>
      </c>
      <c r="C432" s="307" t="str">
        <f>RSD_Otherdemands_HS_AP!I134</f>
        <v>RLAPAPressureSodiumELC.BAT</v>
      </c>
      <c r="D432" s="307" t="str">
        <f>RSD_Otherdemands_HS_AP!J134</f>
        <v>MW</v>
      </c>
      <c r="E432" s="307" t="str">
        <f>RSD_Otherdemands_HS_AP!K134</f>
        <v>TJ</v>
      </c>
      <c r="F432" s="304" t="s">
        <v>1251</v>
      </c>
      <c r="G432" s="305"/>
    </row>
    <row r="433" spans="1:7" x14ac:dyDescent="0.3">
      <c r="A433" s="303" t="s">
        <v>1191</v>
      </c>
      <c r="B433" s="307" t="str">
        <f>RSD_Otherdemands_HS_AP!H135</f>
        <v>RLAPA06oELC02</v>
      </c>
      <c r="C433" s="307" t="str">
        <f>RSD_Otherdemands_HS_AP!I135</f>
        <v>RLAPAMetalHalideELC.BAT</v>
      </c>
      <c r="D433" s="307" t="str">
        <f>RSD_Otherdemands_HS_AP!J135</f>
        <v>MW</v>
      </c>
      <c r="E433" s="307" t="str">
        <f>RSD_Otherdemands_HS_AP!K135</f>
        <v>TJ</v>
      </c>
      <c r="F433" s="304" t="s">
        <v>1251</v>
      </c>
      <c r="G433" s="305"/>
    </row>
    <row r="434" spans="1:7" x14ac:dyDescent="0.3">
      <c r="A434" s="303" t="s">
        <v>1191</v>
      </c>
      <c r="B434" s="307" t="str">
        <f>RSD_Otherdemands_HS_AP!H136</f>
        <v>RLAPB04oELC02</v>
      </c>
      <c r="C434" s="307" t="str">
        <f>RSD_Otherdemands_HS_AP!I136</f>
        <v>RLAPBFluorescentTubesELC.BAT</v>
      </c>
      <c r="D434" s="307" t="str">
        <f>RSD_Otherdemands_HS_AP!J136</f>
        <v>MW</v>
      </c>
      <c r="E434" s="307" t="str">
        <f>RSD_Otherdemands_HS_AP!K136</f>
        <v>TJ</v>
      </c>
      <c r="F434" s="304" t="s">
        <v>1251</v>
      </c>
      <c r="G434" s="305"/>
    </row>
    <row r="435" spans="1:7" x14ac:dyDescent="0.3">
      <c r="A435" s="303" t="s">
        <v>1191</v>
      </c>
      <c r="B435" s="307" t="str">
        <f>RSD_Otherdemands_HS_AP!H137</f>
        <v>RLAPB03oELC02</v>
      </c>
      <c r="C435" s="307" t="str">
        <f>RSD_Otherdemands_HS_AP!I137</f>
        <v>RLAPBLEDELC.BAT</v>
      </c>
      <c r="D435" s="307" t="str">
        <f>RSD_Otherdemands_HS_AP!J137</f>
        <v>MW</v>
      </c>
      <c r="E435" s="307" t="str">
        <f>RSD_Otherdemands_HS_AP!K137</f>
        <v>TJ</v>
      </c>
      <c r="F435" s="304" t="s">
        <v>1251</v>
      </c>
      <c r="G435" s="305"/>
    </row>
    <row r="436" spans="1:7" x14ac:dyDescent="0.3">
      <c r="A436" s="303" t="s">
        <v>1191</v>
      </c>
      <c r="B436" s="307" t="str">
        <f>RSD_Otherdemands_HS_AP!H138</f>
        <v>RLAPB02oELC02</v>
      </c>
      <c r="C436" s="307" t="str">
        <f>RSD_Otherdemands_HS_AP!I138</f>
        <v>RLAPBHalogenELC.BAT</v>
      </c>
      <c r="D436" s="307" t="str">
        <f>RSD_Otherdemands_HS_AP!J138</f>
        <v>MW</v>
      </c>
      <c r="E436" s="307" t="str">
        <f>RSD_Otherdemands_HS_AP!K138</f>
        <v>TJ</v>
      </c>
      <c r="F436" s="304" t="s">
        <v>1251</v>
      </c>
      <c r="G436" s="305"/>
    </row>
    <row r="437" spans="1:7" x14ac:dyDescent="0.3">
      <c r="A437" s="303" t="s">
        <v>1191</v>
      </c>
      <c r="B437" s="307" t="str">
        <f>RSD_Otherdemands_HS_AP!H139</f>
        <v>RLAPBoELC02</v>
      </c>
      <c r="C437" s="307" t="str">
        <f>RSD_Otherdemands_HS_AP!I139</f>
        <v>RLAPBIncandescentImprovedELC.BAT</v>
      </c>
      <c r="D437" s="307" t="str">
        <f>RSD_Otherdemands_HS_AP!J139</f>
        <v>MW</v>
      </c>
      <c r="E437" s="307" t="str">
        <f>RSD_Otherdemands_HS_AP!K139</f>
        <v>TJ</v>
      </c>
      <c r="F437" s="304" t="s">
        <v>1251</v>
      </c>
      <c r="G437" s="305"/>
    </row>
    <row r="438" spans="1:7" x14ac:dyDescent="0.3">
      <c r="A438" s="303" t="s">
        <v>1191</v>
      </c>
      <c r="B438" s="307" t="str">
        <f>RSD_Otherdemands_HS_AP!H140</f>
        <v>RLAPBoELC01</v>
      </c>
      <c r="C438" s="307" t="str">
        <f>RSD_Otherdemands_HS_AP!I140</f>
        <v>RLAPBIncandescentELC.BAU</v>
      </c>
      <c r="D438" s="307" t="str">
        <f>RSD_Otherdemands_HS_AP!J140</f>
        <v>MW</v>
      </c>
      <c r="E438" s="307" t="str">
        <f>RSD_Otherdemands_HS_AP!K140</f>
        <v>TJ</v>
      </c>
      <c r="F438" s="304" t="s">
        <v>1251</v>
      </c>
      <c r="G438" s="305"/>
    </row>
    <row r="439" spans="1:7" x14ac:dyDescent="0.3">
      <c r="A439" s="303" t="s">
        <v>1191</v>
      </c>
      <c r="B439" s="307" t="str">
        <f>RSD_Otherdemands_HS_AP!H141</f>
        <v>RLAPB05oELC02</v>
      </c>
      <c r="C439" s="307" t="str">
        <f>RSD_Otherdemands_HS_AP!I141</f>
        <v>RLAPBPressureSodiumELC.BAT</v>
      </c>
      <c r="D439" s="307" t="str">
        <f>RSD_Otherdemands_HS_AP!J141</f>
        <v>MW</v>
      </c>
      <c r="E439" s="307" t="str">
        <f>RSD_Otherdemands_HS_AP!K141</f>
        <v>TJ</v>
      </c>
      <c r="F439" s="304" t="s">
        <v>1251</v>
      </c>
      <c r="G439" s="305"/>
    </row>
    <row r="440" spans="1:7" x14ac:dyDescent="0.3">
      <c r="A440" s="303" t="s">
        <v>1191</v>
      </c>
      <c r="B440" s="307" t="str">
        <f>RSD_Otherdemands_HS_AP!H142</f>
        <v>RLAPB06oELC02</v>
      </c>
      <c r="C440" s="307" t="str">
        <f>RSD_Otherdemands_HS_AP!I142</f>
        <v>RLAPBMetalHalideELC.BAT</v>
      </c>
      <c r="D440" s="307" t="str">
        <f>RSD_Otherdemands_HS_AP!J142</f>
        <v>MW</v>
      </c>
      <c r="E440" s="307" t="str">
        <f>RSD_Otherdemands_HS_AP!K142</f>
        <v>TJ</v>
      </c>
      <c r="F440" s="304" t="s">
        <v>1251</v>
      </c>
      <c r="G440" s="305"/>
    </row>
    <row r="441" spans="1:7" x14ac:dyDescent="0.3">
      <c r="A441" s="303" t="s">
        <v>1191</v>
      </c>
      <c r="B441" s="307" t="str">
        <f>RSD_Otherdemands_HS_AP!H143</f>
        <v>RLAPC04oELC02</v>
      </c>
      <c r="C441" s="307" t="str">
        <f>RSD_Otherdemands_HS_AP!I143</f>
        <v>RLAPCFluorescentTubesELC.BAT</v>
      </c>
      <c r="D441" s="307" t="str">
        <f>RSD_Otherdemands_HS_AP!J143</f>
        <v>MW</v>
      </c>
      <c r="E441" s="307" t="str">
        <f>RSD_Otherdemands_HS_AP!K143</f>
        <v>TJ</v>
      </c>
      <c r="F441" s="304" t="s">
        <v>1251</v>
      </c>
      <c r="G441" s="305"/>
    </row>
    <row r="442" spans="1:7" x14ac:dyDescent="0.3">
      <c r="A442" s="303" t="s">
        <v>1191</v>
      </c>
      <c r="B442" s="307" t="str">
        <f>RSD_Otherdemands_HS_AP!H144</f>
        <v>RLAPC03oELC02</v>
      </c>
      <c r="C442" s="307" t="str">
        <f>RSD_Otherdemands_HS_AP!I144</f>
        <v>RLAPCLEDELC.BAT</v>
      </c>
      <c r="D442" s="307" t="str">
        <f>RSD_Otherdemands_HS_AP!J144</f>
        <v>MW</v>
      </c>
      <c r="E442" s="307" t="str">
        <f>RSD_Otherdemands_HS_AP!K144</f>
        <v>TJ</v>
      </c>
      <c r="F442" s="304" t="s">
        <v>1251</v>
      </c>
      <c r="G442" s="305"/>
    </row>
    <row r="443" spans="1:7" x14ac:dyDescent="0.3">
      <c r="A443" s="303" t="s">
        <v>1191</v>
      </c>
      <c r="B443" s="307" t="str">
        <f>RSD_Otherdemands_HS_AP!H145</f>
        <v>RLAPC02oELC02</v>
      </c>
      <c r="C443" s="307" t="str">
        <f>RSD_Otherdemands_HS_AP!I145</f>
        <v>RLAPCHalogenELC.BAT</v>
      </c>
      <c r="D443" s="307" t="str">
        <f>RSD_Otherdemands_HS_AP!J145</f>
        <v>MW</v>
      </c>
      <c r="E443" s="307" t="str">
        <f>RSD_Otherdemands_HS_AP!K145</f>
        <v>TJ</v>
      </c>
      <c r="F443" s="304" t="s">
        <v>1251</v>
      </c>
      <c r="G443" s="305"/>
    </row>
    <row r="444" spans="1:7" x14ac:dyDescent="0.3">
      <c r="A444" s="303" t="s">
        <v>1191</v>
      </c>
      <c r="B444" s="307" t="str">
        <f>RSD_Otherdemands_HS_AP!H146</f>
        <v>RLAPCoELC02</v>
      </c>
      <c r="C444" s="307" t="str">
        <f>RSD_Otherdemands_HS_AP!I146</f>
        <v>RLAPCIncandescentImprovedELC.BAT</v>
      </c>
      <c r="D444" s="307" t="str">
        <f>RSD_Otherdemands_HS_AP!J146</f>
        <v>MW</v>
      </c>
      <c r="E444" s="307" t="str">
        <f>RSD_Otherdemands_HS_AP!K146</f>
        <v>TJ</v>
      </c>
      <c r="F444" s="304" t="s">
        <v>1251</v>
      </c>
      <c r="G444" s="305"/>
    </row>
    <row r="445" spans="1:7" x14ac:dyDescent="0.3">
      <c r="A445" s="303" t="s">
        <v>1191</v>
      </c>
      <c r="B445" s="307" t="str">
        <f>RSD_Otherdemands_HS_AP!H147</f>
        <v>RLAPCoELC01</v>
      </c>
      <c r="C445" s="307" t="str">
        <f>RSD_Otherdemands_HS_AP!I147</f>
        <v>RLAPCIncandescentELC.BAU</v>
      </c>
      <c r="D445" s="307" t="str">
        <f>RSD_Otherdemands_HS_AP!J147</f>
        <v>MW</v>
      </c>
      <c r="E445" s="307" t="str">
        <f>RSD_Otherdemands_HS_AP!K147</f>
        <v>TJ</v>
      </c>
      <c r="F445" s="304" t="s">
        <v>1251</v>
      </c>
      <c r="G445" s="305"/>
    </row>
    <row r="446" spans="1:7" x14ac:dyDescent="0.3">
      <c r="A446" s="303" t="s">
        <v>1191</v>
      </c>
      <c r="B446" s="307" t="str">
        <f>RSD_Otherdemands_HS_AP!H148</f>
        <v>RLAPC05oELC02</v>
      </c>
      <c r="C446" s="307" t="str">
        <f>RSD_Otherdemands_HS_AP!I148</f>
        <v>RLAPCPressureSodiumELC.BAT</v>
      </c>
      <c r="D446" s="307" t="str">
        <f>RSD_Otherdemands_HS_AP!J148</f>
        <v>MW</v>
      </c>
      <c r="E446" s="307" t="str">
        <f>RSD_Otherdemands_HS_AP!K148</f>
        <v>TJ</v>
      </c>
      <c r="F446" s="304" t="s">
        <v>1251</v>
      </c>
      <c r="G446" s="305"/>
    </row>
    <row r="447" spans="1:7" x14ac:dyDescent="0.3">
      <c r="A447" s="303" t="s">
        <v>1191</v>
      </c>
      <c r="B447" s="307" t="str">
        <f>RSD_Otherdemands_HS_AP!H149</f>
        <v>RLAPC06oELC02</v>
      </c>
      <c r="C447" s="307" t="str">
        <f>RSD_Otherdemands_HS_AP!I149</f>
        <v>RLAPCMetalHalideELC.BAT</v>
      </c>
      <c r="D447" s="307" t="str">
        <f>RSD_Otherdemands_HS_AP!J149</f>
        <v>MW</v>
      </c>
      <c r="E447" s="307" t="str">
        <f>RSD_Otherdemands_HS_AP!K149</f>
        <v>TJ</v>
      </c>
      <c r="F447" s="304" t="s">
        <v>1251</v>
      </c>
      <c r="G447" s="305"/>
    </row>
    <row r="448" spans="1:7" x14ac:dyDescent="0.3">
      <c r="A448" s="303" t="s">
        <v>1191</v>
      </c>
      <c r="B448" s="307" t="str">
        <f>RSD_Otherdemands_HS_AP!H150</f>
        <v>RLAPE04oELC02</v>
      </c>
      <c r="C448" s="307" t="str">
        <f>RSD_Otherdemands_HS_AP!I150</f>
        <v>RLAPEFluorescentTubesELC.BAT</v>
      </c>
      <c r="D448" s="307" t="str">
        <f>RSD_Otherdemands_HS_AP!J150</f>
        <v>MW</v>
      </c>
      <c r="E448" s="307" t="str">
        <f>RSD_Otherdemands_HS_AP!K150</f>
        <v>TJ</v>
      </c>
      <c r="F448" s="304" t="s">
        <v>1251</v>
      </c>
      <c r="G448" s="305"/>
    </row>
    <row r="449" spans="1:7" x14ac:dyDescent="0.3">
      <c r="A449" s="303" t="s">
        <v>1191</v>
      </c>
      <c r="B449" s="307" t="str">
        <f>RSD_Otherdemands_HS_AP!H151</f>
        <v>RLAPE03oELC02</v>
      </c>
      <c r="C449" s="307" t="str">
        <f>RSD_Otherdemands_HS_AP!I151</f>
        <v>RLAPELEDELC.BAT</v>
      </c>
      <c r="D449" s="307" t="str">
        <f>RSD_Otherdemands_HS_AP!J151</f>
        <v>MW</v>
      </c>
      <c r="E449" s="307" t="str">
        <f>RSD_Otherdemands_HS_AP!K151</f>
        <v>TJ</v>
      </c>
      <c r="F449" s="304" t="s">
        <v>1251</v>
      </c>
      <c r="G449" s="305"/>
    </row>
    <row r="450" spans="1:7" x14ac:dyDescent="0.3">
      <c r="A450" s="303" t="s">
        <v>1191</v>
      </c>
      <c r="B450" s="307" t="str">
        <f>RSD_Otherdemands_HS_AP!H152</f>
        <v>RLAPE02oELC02</v>
      </c>
      <c r="C450" s="307" t="str">
        <f>RSD_Otherdemands_HS_AP!I152</f>
        <v>RLAPEHalogenELC.BAT</v>
      </c>
      <c r="D450" s="307" t="str">
        <f>RSD_Otherdemands_HS_AP!J152</f>
        <v>MW</v>
      </c>
      <c r="E450" s="307" t="str">
        <f>RSD_Otherdemands_HS_AP!K152</f>
        <v>TJ</v>
      </c>
      <c r="F450" s="304" t="s">
        <v>1251</v>
      </c>
      <c r="G450" s="305"/>
    </row>
    <row r="451" spans="1:7" x14ac:dyDescent="0.3">
      <c r="A451" s="303" t="s">
        <v>1191</v>
      </c>
      <c r="B451" s="307" t="str">
        <f>RSD_Otherdemands_HS_AP!H153</f>
        <v>RLAPEoELC02</v>
      </c>
      <c r="C451" s="307" t="str">
        <f>RSD_Otherdemands_HS_AP!I153</f>
        <v>RLAPEIncandescentImprovedELC.BAT</v>
      </c>
      <c r="D451" s="307" t="str">
        <f>RSD_Otherdemands_HS_AP!J153</f>
        <v>MW</v>
      </c>
      <c r="E451" s="307" t="str">
        <f>RSD_Otherdemands_HS_AP!K153</f>
        <v>TJ</v>
      </c>
      <c r="F451" s="304" t="s">
        <v>1251</v>
      </c>
      <c r="G451" s="305"/>
    </row>
    <row r="452" spans="1:7" x14ac:dyDescent="0.3">
      <c r="A452" s="303" t="s">
        <v>1191</v>
      </c>
      <c r="B452" s="307" t="str">
        <f>RSD_Otherdemands_HS_AP!H154</f>
        <v>RLAPEoELC01</v>
      </c>
      <c r="C452" s="307" t="str">
        <f>RSD_Otherdemands_HS_AP!I154</f>
        <v>RLAPEIncandescentELC.BAU</v>
      </c>
      <c r="D452" s="307" t="str">
        <f>RSD_Otherdemands_HS_AP!J154</f>
        <v>MW</v>
      </c>
      <c r="E452" s="307" t="str">
        <f>RSD_Otherdemands_HS_AP!K154</f>
        <v>TJ</v>
      </c>
      <c r="F452" s="304" t="s">
        <v>1251</v>
      </c>
      <c r="G452" s="305"/>
    </row>
    <row r="453" spans="1:7" x14ac:dyDescent="0.3">
      <c r="A453" s="303" t="s">
        <v>1191</v>
      </c>
      <c r="B453" s="307" t="str">
        <f>RSD_Otherdemands_HS_AP!H155</f>
        <v>RLAPE05oELC02</v>
      </c>
      <c r="C453" s="307" t="str">
        <f>RSD_Otherdemands_HS_AP!I155</f>
        <v>RLAPEPressureSodiumELC.BAT</v>
      </c>
      <c r="D453" s="307" t="str">
        <f>RSD_Otherdemands_HS_AP!J155</f>
        <v>MW</v>
      </c>
      <c r="E453" s="307" t="str">
        <f>RSD_Otherdemands_HS_AP!K155</f>
        <v>TJ</v>
      </c>
      <c r="F453" s="304" t="s">
        <v>1251</v>
      </c>
      <c r="G453" s="305"/>
    </row>
    <row r="454" spans="1:7" x14ac:dyDescent="0.3">
      <c r="A454" s="303" t="s">
        <v>1191</v>
      </c>
      <c r="B454" s="307" t="str">
        <f>RSD_Otherdemands_HS_AP!H156</f>
        <v>RLAPE06oELC02</v>
      </c>
      <c r="C454" s="307" t="str">
        <f>RSD_Otherdemands_HS_AP!I156</f>
        <v>RLAPEMetalHalideELC.BAT</v>
      </c>
      <c r="D454" s="307" t="str">
        <f>RSD_Otherdemands_HS_AP!J156</f>
        <v>MW</v>
      </c>
      <c r="E454" s="307" t="str">
        <f>RSD_Otherdemands_HS_AP!K156</f>
        <v>TJ</v>
      </c>
      <c r="F454" s="304" t="s">
        <v>1251</v>
      </c>
      <c r="G454" s="305"/>
    </row>
    <row r="455" spans="1:7" x14ac:dyDescent="0.3">
      <c r="A455" s="303" t="s">
        <v>1191</v>
      </c>
      <c r="B455" s="307" t="str">
        <f>RSD_Otherdemands_HS_AP!H157</f>
        <v>RLHSA04oELC02</v>
      </c>
      <c r="C455" s="307" t="str">
        <f>RSD_Otherdemands_HS_AP!I157</f>
        <v>RLHSAFluorescentTubesELC.BAT</v>
      </c>
      <c r="D455" s="307" t="str">
        <f>RSD_Otherdemands_HS_AP!J157</f>
        <v>MW</v>
      </c>
      <c r="E455" s="307" t="str">
        <f>RSD_Otherdemands_HS_AP!K157</f>
        <v>TJ</v>
      </c>
      <c r="F455" s="304" t="s">
        <v>1251</v>
      </c>
      <c r="G455" s="305"/>
    </row>
    <row r="456" spans="1:7" x14ac:dyDescent="0.3">
      <c r="A456" s="303" t="s">
        <v>1191</v>
      </c>
      <c r="B456" s="307" t="str">
        <f>RSD_Otherdemands_HS_AP!H158</f>
        <v>RLHSA03oELC02</v>
      </c>
      <c r="C456" s="307" t="str">
        <f>RSD_Otherdemands_HS_AP!I158</f>
        <v>RLHSALEDELC.BAT</v>
      </c>
      <c r="D456" s="307" t="str">
        <f>RSD_Otherdemands_HS_AP!J158</f>
        <v>MW</v>
      </c>
      <c r="E456" s="307" t="str">
        <f>RSD_Otherdemands_HS_AP!K158</f>
        <v>TJ</v>
      </c>
      <c r="F456" s="304" t="s">
        <v>1251</v>
      </c>
      <c r="G456" s="305"/>
    </row>
    <row r="457" spans="1:7" x14ac:dyDescent="0.3">
      <c r="A457" s="303" t="s">
        <v>1191</v>
      </c>
      <c r="B457" s="307" t="str">
        <f>RSD_Otherdemands_HS_AP!H159</f>
        <v>RLHSA02oELC02</v>
      </c>
      <c r="C457" s="307" t="str">
        <f>RSD_Otherdemands_HS_AP!I159</f>
        <v>RLHSAHalogenELC.BAT</v>
      </c>
      <c r="D457" s="307" t="str">
        <f>RSD_Otherdemands_HS_AP!J159</f>
        <v>MW</v>
      </c>
      <c r="E457" s="307" t="str">
        <f>RSD_Otherdemands_HS_AP!K159</f>
        <v>TJ</v>
      </c>
      <c r="F457" s="304" t="s">
        <v>1251</v>
      </c>
      <c r="G457" s="305"/>
    </row>
    <row r="458" spans="1:7" x14ac:dyDescent="0.3">
      <c r="A458" s="303" t="s">
        <v>1191</v>
      </c>
      <c r="B458" s="307" t="str">
        <f>RSD_Otherdemands_HS_AP!H160</f>
        <v>RLHSAoELC02</v>
      </c>
      <c r="C458" s="307" t="str">
        <f>RSD_Otherdemands_HS_AP!I160</f>
        <v>RLHSAIncandescentImprovedELC.BAT</v>
      </c>
      <c r="D458" s="307" t="str">
        <f>RSD_Otherdemands_HS_AP!J160</f>
        <v>MW</v>
      </c>
      <c r="E458" s="307" t="str">
        <f>RSD_Otherdemands_HS_AP!K160</f>
        <v>TJ</v>
      </c>
      <c r="F458" s="304" t="s">
        <v>1251</v>
      </c>
      <c r="G458" s="305"/>
    </row>
    <row r="459" spans="1:7" x14ac:dyDescent="0.3">
      <c r="A459" s="303" t="s">
        <v>1191</v>
      </c>
      <c r="B459" s="307" t="str">
        <f>RSD_Otherdemands_HS_AP!H161</f>
        <v>RLHSAoELC01</v>
      </c>
      <c r="C459" s="307" t="str">
        <f>RSD_Otherdemands_HS_AP!I161</f>
        <v>RLHSAIncandescentELC.BAU</v>
      </c>
      <c r="D459" s="307" t="str">
        <f>RSD_Otherdemands_HS_AP!J161</f>
        <v>MW</v>
      </c>
      <c r="E459" s="307" t="str">
        <f>RSD_Otherdemands_HS_AP!K161</f>
        <v>TJ</v>
      </c>
      <c r="F459" s="304" t="s">
        <v>1251</v>
      </c>
      <c r="G459" s="305"/>
    </row>
    <row r="460" spans="1:7" x14ac:dyDescent="0.3">
      <c r="A460" s="303" t="s">
        <v>1191</v>
      </c>
      <c r="B460" s="307" t="str">
        <f>RSD_Otherdemands_HS_AP!H162</f>
        <v>RLHSA05oELC02</v>
      </c>
      <c r="C460" s="307" t="str">
        <f>RSD_Otherdemands_HS_AP!I162</f>
        <v>RLHSAPressureSodiumELC.BAT</v>
      </c>
      <c r="D460" s="307" t="str">
        <f>RSD_Otherdemands_HS_AP!J162</f>
        <v>MW</v>
      </c>
      <c r="E460" s="307" t="str">
        <f>RSD_Otherdemands_HS_AP!K162</f>
        <v>TJ</v>
      </c>
      <c r="F460" s="304" t="s">
        <v>1251</v>
      </c>
      <c r="G460" s="305"/>
    </row>
    <row r="461" spans="1:7" x14ac:dyDescent="0.3">
      <c r="A461" s="303" t="s">
        <v>1191</v>
      </c>
      <c r="B461" s="307" t="str">
        <f>RSD_Otherdemands_HS_AP!H163</f>
        <v>RLHSA06oELC02</v>
      </c>
      <c r="C461" s="307" t="str">
        <f>RSD_Otherdemands_HS_AP!I163</f>
        <v>RLHSAMetalHalideELC.BAT</v>
      </c>
      <c r="D461" s="307" t="str">
        <f>RSD_Otherdemands_HS_AP!J163</f>
        <v>MW</v>
      </c>
      <c r="E461" s="307" t="str">
        <f>RSD_Otherdemands_HS_AP!K163</f>
        <v>TJ</v>
      </c>
      <c r="F461" s="304" t="s">
        <v>1251</v>
      </c>
      <c r="G461" s="305"/>
    </row>
    <row r="462" spans="1:7" x14ac:dyDescent="0.3">
      <c r="A462" s="303" t="s">
        <v>1191</v>
      </c>
      <c r="B462" s="307" t="str">
        <f>RSD_Otherdemands_HS_AP!H164</f>
        <v>RLHSB04oELC02</v>
      </c>
      <c r="C462" s="307" t="str">
        <f>RSD_Otherdemands_HS_AP!I164</f>
        <v>RLHSBFluorescentTubesELC.BAT</v>
      </c>
      <c r="D462" s="307" t="str">
        <f>RSD_Otherdemands_HS_AP!J164</f>
        <v>MW</v>
      </c>
      <c r="E462" s="307" t="str">
        <f>RSD_Otherdemands_HS_AP!K164</f>
        <v>TJ</v>
      </c>
      <c r="F462" s="304" t="s">
        <v>1251</v>
      </c>
      <c r="G462" s="305"/>
    </row>
    <row r="463" spans="1:7" x14ac:dyDescent="0.3">
      <c r="A463" s="303" t="s">
        <v>1191</v>
      </c>
      <c r="B463" s="307" t="str">
        <f>RSD_Otherdemands_HS_AP!H165</f>
        <v>RLHSB03oELC02</v>
      </c>
      <c r="C463" s="307" t="str">
        <f>RSD_Otherdemands_HS_AP!I165</f>
        <v>RLHSBLEDELC.BAT</v>
      </c>
      <c r="D463" s="307" t="str">
        <f>RSD_Otherdemands_HS_AP!J165</f>
        <v>MW</v>
      </c>
      <c r="E463" s="307" t="str">
        <f>RSD_Otherdemands_HS_AP!K165</f>
        <v>TJ</v>
      </c>
      <c r="F463" s="304" t="s">
        <v>1251</v>
      </c>
      <c r="G463" s="305"/>
    </row>
    <row r="464" spans="1:7" x14ac:dyDescent="0.3">
      <c r="A464" s="303" t="s">
        <v>1191</v>
      </c>
      <c r="B464" s="307" t="str">
        <f>RSD_Otherdemands_HS_AP!H166</f>
        <v>RLHSB02oELC02</v>
      </c>
      <c r="C464" s="307" t="str">
        <f>RSD_Otherdemands_HS_AP!I166</f>
        <v>RLHSBHalogenELC.BAT</v>
      </c>
      <c r="D464" s="307" t="str">
        <f>RSD_Otherdemands_HS_AP!J166</f>
        <v>MW</v>
      </c>
      <c r="E464" s="307" t="str">
        <f>RSD_Otherdemands_HS_AP!K166</f>
        <v>TJ</v>
      </c>
      <c r="F464" s="304" t="s">
        <v>1251</v>
      </c>
      <c r="G464" s="305"/>
    </row>
    <row r="465" spans="1:7" x14ac:dyDescent="0.3">
      <c r="A465" s="303" t="s">
        <v>1191</v>
      </c>
      <c r="B465" s="307" t="str">
        <f>RSD_Otherdemands_HS_AP!H167</f>
        <v>RLHSBoELC02</v>
      </c>
      <c r="C465" s="307" t="str">
        <f>RSD_Otherdemands_HS_AP!I167</f>
        <v>RLHSBIncandescentImprovedELC.BAT</v>
      </c>
      <c r="D465" s="307" t="str">
        <f>RSD_Otherdemands_HS_AP!J167</f>
        <v>MW</v>
      </c>
      <c r="E465" s="307" t="str">
        <f>RSD_Otherdemands_HS_AP!K167</f>
        <v>TJ</v>
      </c>
      <c r="F465" s="304" t="s">
        <v>1251</v>
      </c>
      <c r="G465" s="305"/>
    </row>
    <row r="466" spans="1:7" x14ac:dyDescent="0.3">
      <c r="A466" s="303" t="s">
        <v>1191</v>
      </c>
      <c r="B466" s="307" t="str">
        <f>RSD_Otherdemands_HS_AP!H168</f>
        <v>RLHSBoELC01</v>
      </c>
      <c r="C466" s="307" t="str">
        <f>RSD_Otherdemands_HS_AP!I168</f>
        <v>RLHSBIncandescentELC.BAU</v>
      </c>
      <c r="D466" s="307" t="str">
        <f>RSD_Otherdemands_HS_AP!J168</f>
        <v>MW</v>
      </c>
      <c r="E466" s="307" t="str">
        <f>RSD_Otherdemands_HS_AP!K168</f>
        <v>TJ</v>
      </c>
      <c r="F466" s="304" t="s">
        <v>1251</v>
      </c>
      <c r="G466" s="305"/>
    </row>
    <row r="467" spans="1:7" x14ac:dyDescent="0.3">
      <c r="A467" s="303" t="s">
        <v>1191</v>
      </c>
      <c r="B467" s="307" t="str">
        <f>RSD_Otherdemands_HS_AP!H169</f>
        <v>RLHSB05oELC02</v>
      </c>
      <c r="C467" s="307" t="str">
        <f>RSD_Otherdemands_HS_AP!I169</f>
        <v>RLHSBPressureSodiumELC.BAT</v>
      </c>
      <c r="D467" s="307" t="str">
        <f>RSD_Otherdemands_HS_AP!J169</f>
        <v>MW</v>
      </c>
      <c r="E467" s="307" t="str">
        <f>RSD_Otherdemands_HS_AP!K169</f>
        <v>TJ</v>
      </c>
      <c r="F467" s="304" t="s">
        <v>1251</v>
      </c>
      <c r="G467" s="305"/>
    </row>
    <row r="468" spans="1:7" x14ac:dyDescent="0.3">
      <c r="A468" s="303" t="s">
        <v>1191</v>
      </c>
      <c r="B468" s="307" t="str">
        <f>RSD_Otherdemands_HS_AP!H170</f>
        <v>RLHSB06oELC02</v>
      </c>
      <c r="C468" s="307" t="str">
        <f>RSD_Otherdemands_HS_AP!I170</f>
        <v>RLHSBMetalHalideELC.BAT</v>
      </c>
      <c r="D468" s="307" t="str">
        <f>RSD_Otherdemands_HS_AP!J170</f>
        <v>MW</v>
      </c>
      <c r="E468" s="307" t="str">
        <f>RSD_Otherdemands_HS_AP!K170</f>
        <v>TJ</v>
      </c>
      <c r="F468" s="304" t="s">
        <v>1251</v>
      </c>
      <c r="G468" s="305"/>
    </row>
    <row r="469" spans="1:7" x14ac:dyDescent="0.3">
      <c r="A469" s="303" t="s">
        <v>1191</v>
      </c>
      <c r="B469" s="307" t="str">
        <f>RSD_Otherdemands_HS_AP!H171</f>
        <v>RLHSC04oELC02</v>
      </c>
      <c r="C469" s="307" t="str">
        <f>RSD_Otherdemands_HS_AP!I171</f>
        <v>RLHSCFluorescentTubesELC.BAT</v>
      </c>
      <c r="D469" s="307" t="str">
        <f>RSD_Otherdemands_HS_AP!J171</f>
        <v>MW</v>
      </c>
      <c r="E469" s="307" t="str">
        <f>RSD_Otherdemands_HS_AP!K171</f>
        <v>TJ</v>
      </c>
      <c r="F469" s="304" t="s">
        <v>1251</v>
      </c>
      <c r="G469" s="305"/>
    </row>
    <row r="470" spans="1:7" x14ac:dyDescent="0.3">
      <c r="A470" s="303" t="s">
        <v>1191</v>
      </c>
      <c r="B470" s="307" t="str">
        <f>RSD_Otherdemands_HS_AP!H172</f>
        <v>RLHSC03oELC02</v>
      </c>
      <c r="C470" s="307" t="str">
        <f>RSD_Otherdemands_HS_AP!I172</f>
        <v>RLHSCLEDELC.BAT</v>
      </c>
      <c r="D470" s="307" t="str">
        <f>RSD_Otherdemands_HS_AP!J172</f>
        <v>MW</v>
      </c>
      <c r="E470" s="307" t="str">
        <f>RSD_Otherdemands_HS_AP!K172</f>
        <v>TJ</v>
      </c>
      <c r="F470" s="304" t="s">
        <v>1251</v>
      </c>
      <c r="G470" s="305"/>
    </row>
    <row r="471" spans="1:7" x14ac:dyDescent="0.3">
      <c r="A471" s="303" t="s">
        <v>1191</v>
      </c>
      <c r="B471" s="307" t="str">
        <f>RSD_Otherdemands_HS_AP!H173</f>
        <v>RLHSC02oELC02</v>
      </c>
      <c r="C471" s="307" t="str">
        <f>RSD_Otherdemands_HS_AP!I173</f>
        <v>RLHSCHalogenELC.BAT</v>
      </c>
      <c r="D471" s="307" t="str">
        <f>RSD_Otherdemands_HS_AP!J173</f>
        <v>MW</v>
      </c>
      <c r="E471" s="307" t="str">
        <f>RSD_Otherdemands_HS_AP!K173</f>
        <v>TJ</v>
      </c>
      <c r="F471" s="304" t="s">
        <v>1251</v>
      </c>
      <c r="G471" s="305"/>
    </row>
    <row r="472" spans="1:7" x14ac:dyDescent="0.3">
      <c r="A472" s="303" t="s">
        <v>1191</v>
      </c>
      <c r="B472" s="307" t="str">
        <f>RSD_Otherdemands_HS_AP!H174</f>
        <v>RLHSCoELC02</v>
      </c>
      <c r="C472" s="307" t="str">
        <f>RSD_Otherdemands_HS_AP!I174</f>
        <v>RLHSCIncandescentImprovedELC.BAT</v>
      </c>
      <c r="D472" s="307" t="str">
        <f>RSD_Otherdemands_HS_AP!J174</f>
        <v>MW</v>
      </c>
      <c r="E472" s="307" t="str">
        <f>RSD_Otherdemands_HS_AP!K174</f>
        <v>TJ</v>
      </c>
      <c r="F472" s="304" t="s">
        <v>1251</v>
      </c>
      <c r="G472" s="305"/>
    </row>
    <row r="473" spans="1:7" x14ac:dyDescent="0.3">
      <c r="A473" s="303" t="s">
        <v>1191</v>
      </c>
      <c r="B473" s="307" t="str">
        <f>RSD_Otherdemands_HS_AP!H175</f>
        <v>RLHSCoELC01</v>
      </c>
      <c r="C473" s="307" t="str">
        <f>RSD_Otherdemands_HS_AP!I175</f>
        <v>RLHSCIncandescentELC.BAU</v>
      </c>
      <c r="D473" s="307" t="str">
        <f>RSD_Otherdemands_HS_AP!J175</f>
        <v>MW</v>
      </c>
      <c r="E473" s="307" t="str">
        <f>RSD_Otherdemands_HS_AP!K175</f>
        <v>TJ</v>
      </c>
      <c r="F473" s="304" t="s">
        <v>1251</v>
      </c>
      <c r="G473" s="305"/>
    </row>
    <row r="474" spans="1:7" x14ac:dyDescent="0.3">
      <c r="A474" s="303" t="s">
        <v>1191</v>
      </c>
      <c r="B474" s="307" t="str">
        <f>RSD_Otherdemands_HS_AP!H176</f>
        <v>RLHSC05oELC02</v>
      </c>
      <c r="C474" s="307" t="str">
        <f>RSD_Otherdemands_HS_AP!I176</f>
        <v>RLHSCPressureSodiumELC.BAT</v>
      </c>
      <c r="D474" s="307" t="str">
        <f>RSD_Otherdemands_HS_AP!J176</f>
        <v>MW</v>
      </c>
      <c r="E474" s="307" t="str">
        <f>RSD_Otherdemands_HS_AP!K176</f>
        <v>TJ</v>
      </c>
      <c r="F474" s="304" t="s">
        <v>1251</v>
      </c>
      <c r="G474" s="305"/>
    </row>
    <row r="475" spans="1:7" x14ac:dyDescent="0.3">
      <c r="A475" s="303" t="s">
        <v>1191</v>
      </c>
      <c r="B475" s="307" t="str">
        <f>RSD_Otherdemands_HS_AP!H177</f>
        <v>RLHSC06oELC02</v>
      </c>
      <c r="C475" s="307" t="str">
        <f>RSD_Otherdemands_HS_AP!I177</f>
        <v>RLHSCMetalHalideELC.BAT</v>
      </c>
      <c r="D475" s="307" t="str">
        <f>RSD_Otherdemands_HS_AP!J177</f>
        <v>MW</v>
      </c>
      <c r="E475" s="307" t="str">
        <f>RSD_Otherdemands_HS_AP!K177</f>
        <v>TJ</v>
      </c>
      <c r="F475" s="304" t="s">
        <v>1251</v>
      </c>
      <c r="G475" s="305"/>
    </row>
    <row r="476" spans="1:7" x14ac:dyDescent="0.3">
      <c r="A476" s="303" t="s">
        <v>1191</v>
      </c>
      <c r="B476" s="307" t="str">
        <f>RSD_Otherdemands_HS_AP!H178</f>
        <v>RLHSE04oELC02</v>
      </c>
      <c r="C476" s="307" t="str">
        <f>RSD_Otherdemands_HS_AP!I178</f>
        <v>RLHSEFluorescentTubesELC.BAT</v>
      </c>
      <c r="D476" s="307" t="str">
        <f>RSD_Otherdemands_HS_AP!J178</f>
        <v>MW</v>
      </c>
      <c r="E476" s="307" t="str">
        <f>RSD_Otherdemands_HS_AP!K178</f>
        <v>TJ</v>
      </c>
      <c r="F476" s="304" t="s">
        <v>1251</v>
      </c>
      <c r="G476" s="305"/>
    </row>
    <row r="477" spans="1:7" x14ac:dyDescent="0.3">
      <c r="A477" s="303" t="s">
        <v>1191</v>
      </c>
      <c r="B477" s="307" t="str">
        <f>RSD_Otherdemands_HS_AP!H179</f>
        <v>RLHSE03oELC02</v>
      </c>
      <c r="C477" s="307" t="str">
        <f>RSD_Otherdemands_HS_AP!I179</f>
        <v>RLHSELEDELC.BAT</v>
      </c>
      <c r="D477" s="307" t="str">
        <f>RSD_Otherdemands_HS_AP!J179</f>
        <v>MW</v>
      </c>
      <c r="E477" s="307" t="str">
        <f>RSD_Otherdemands_HS_AP!K179</f>
        <v>TJ</v>
      </c>
      <c r="F477" s="304" t="s">
        <v>1251</v>
      </c>
      <c r="G477" s="305"/>
    </row>
    <row r="478" spans="1:7" x14ac:dyDescent="0.3">
      <c r="A478" s="303" t="s">
        <v>1191</v>
      </c>
      <c r="B478" s="307" t="str">
        <f>RSD_Otherdemands_HS_AP!H180</f>
        <v>RLHSE02oELC02</v>
      </c>
      <c r="C478" s="307" t="str">
        <f>RSD_Otherdemands_HS_AP!I180</f>
        <v>RLHSEHalogenELC.BAT</v>
      </c>
      <c r="D478" s="307" t="str">
        <f>RSD_Otherdemands_HS_AP!J180</f>
        <v>MW</v>
      </c>
      <c r="E478" s="307" t="str">
        <f>RSD_Otherdemands_HS_AP!K180</f>
        <v>TJ</v>
      </c>
      <c r="F478" s="304" t="s">
        <v>1251</v>
      </c>
      <c r="G478" s="305"/>
    </row>
    <row r="479" spans="1:7" x14ac:dyDescent="0.3">
      <c r="A479" s="303" t="s">
        <v>1191</v>
      </c>
      <c r="B479" s="307" t="str">
        <f>RSD_Otherdemands_HS_AP!H181</f>
        <v>RLHSEoELC02</v>
      </c>
      <c r="C479" s="307" t="str">
        <f>RSD_Otherdemands_HS_AP!I181</f>
        <v>RLHSEIncandescentImprovedELC.BAT</v>
      </c>
      <c r="D479" s="307" t="str">
        <f>RSD_Otherdemands_HS_AP!J181</f>
        <v>MW</v>
      </c>
      <c r="E479" s="307" t="str">
        <f>RSD_Otherdemands_HS_AP!K181</f>
        <v>TJ</v>
      </c>
      <c r="F479" s="304" t="s">
        <v>1251</v>
      </c>
      <c r="G479" s="305"/>
    </row>
    <row r="480" spans="1:7" x14ac:dyDescent="0.3">
      <c r="A480" s="303" t="s">
        <v>1191</v>
      </c>
      <c r="B480" s="307" t="str">
        <f>RSD_Otherdemands_HS_AP!H182</f>
        <v>RLHSEoELC01</v>
      </c>
      <c r="C480" s="307" t="str">
        <f>RSD_Otherdemands_HS_AP!I182</f>
        <v>RLHSEIncandescentELC.BAU</v>
      </c>
      <c r="D480" s="307" t="str">
        <f>RSD_Otherdemands_HS_AP!J182</f>
        <v>MW</v>
      </c>
      <c r="E480" s="307" t="str">
        <f>RSD_Otherdemands_HS_AP!K182</f>
        <v>TJ</v>
      </c>
      <c r="F480" s="304" t="s">
        <v>1251</v>
      </c>
      <c r="G480" s="305"/>
    </row>
    <row r="481" spans="1:7" x14ac:dyDescent="0.3">
      <c r="A481" s="303" t="s">
        <v>1191</v>
      </c>
      <c r="B481" s="307" t="str">
        <f>RSD_Otherdemands_HS_AP!H183</f>
        <v>RLHSE05oELC02</v>
      </c>
      <c r="C481" s="307" t="str">
        <f>RSD_Otherdemands_HS_AP!I183</f>
        <v>RLHSEPressureSodiumELC.BAT</v>
      </c>
      <c r="D481" s="307" t="str">
        <f>RSD_Otherdemands_HS_AP!J183</f>
        <v>MW</v>
      </c>
      <c r="E481" s="307" t="str">
        <f>RSD_Otherdemands_HS_AP!K183</f>
        <v>TJ</v>
      </c>
      <c r="F481" s="304" t="s">
        <v>1251</v>
      </c>
      <c r="G481" s="305"/>
    </row>
    <row r="482" spans="1:7" x14ac:dyDescent="0.3">
      <c r="A482" s="303" t="s">
        <v>1191</v>
      </c>
      <c r="B482" s="307" t="str">
        <f>RSD_Otherdemands_HS_AP!H184</f>
        <v>RLHSE06oELC02</v>
      </c>
      <c r="C482" s="307" t="str">
        <f>RSD_Otherdemands_HS_AP!I184</f>
        <v>RLHSEMetalHalideELC.BAT</v>
      </c>
      <c r="D482" s="307" t="str">
        <f>RSD_Otherdemands_HS_AP!J184</f>
        <v>MW</v>
      </c>
      <c r="E482" s="307" t="str">
        <f>RSD_Otherdemands_HS_AP!K184</f>
        <v>TJ</v>
      </c>
      <c r="F482" s="304" t="s">
        <v>1251</v>
      </c>
      <c r="G482" s="305"/>
    </row>
    <row r="483" spans="1:7" x14ac:dyDescent="0.3">
      <c r="A483" s="303" t="s">
        <v>1191</v>
      </c>
      <c r="B483" s="307" t="str">
        <f>RSD_INSULATION_HS_AP!I5</f>
        <v>RHHSAoWALLoSAV10</v>
      </c>
      <c r="C483" s="307" t="str">
        <f>RSD_INSULATION_HS_AP!J5</f>
        <v>RHHSAWallInsulationSAV.BAT10</v>
      </c>
      <c r="D483" s="307" t="str">
        <f>RSD_INSULATION_HS_AP!K5</f>
        <v>MW</v>
      </c>
      <c r="E483" s="307" t="str">
        <f>RSD_INSULATION_HS_AP!L5</f>
        <v>TJ</v>
      </c>
      <c r="F483" s="304"/>
      <c r="G483" s="305"/>
    </row>
    <row r="484" spans="1:7" x14ac:dyDescent="0.3">
      <c r="A484" s="303" t="s">
        <v>1191</v>
      </c>
      <c r="B484" s="307" t="str">
        <f>RSD_INSULATION_HS_AP!I6</f>
        <v>RHHSAoWALLoSAV20</v>
      </c>
      <c r="C484" s="307" t="str">
        <f>RSD_INSULATION_HS_AP!J6</f>
        <v>RHHSAWallInsulationSAV.BAT20</v>
      </c>
      <c r="D484" s="307" t="str">
        <f>RSD_INSULATION_HS_AP!K6</f>
        <v>MW</v>
      </c>
      <c r="E484" s="307" t="str">
        <f>RSD_INSULATION_HS_AP!L6</f>
        <v>TJ</v>
      </c>
      <c r="F484" s="304"/>
      <c r="G484" s="305"/>
    </row>
    <row r="485" spans="1:7" x14ac:dyDescent="0.3">
      <c r="A485" s="303" t="s">
        <v>1191</v>
      </c>
      <c r="B485" s="307" t="str">
        <f>RSD_INSULATION_HS_AP!I7</f>
        <v>RHHSAoWALLoSAV30</v>
      </c>
      <c r="C485" s="307" t="str">
        <f>RSD_INSULATION_HS_AP!J7</f>
        <v>RHHSAWallInsulationSAV.BAT30</v>
      </c>
      <c r="D485" s="307" t="str">
        <f>RSD_INSULATION_HS_AP!K7</f>
        <v>MW</v>
      </c>
      <c r="E485" s="307" t="str">
        <f>RSD_INSULATION_HS_AP!L7</f>
        <v>TJ</v>
      </c>
      <c r="F485" s="304"/>
      <c r="G485" s="305"/>
    </row>
    <row r="486" spans="1:7" x14ac:dyDescent="0.3">
      <c r="A486" s="303" t="s">
        <v>1191</v>
      </c>
      <c r="B486" s="307" t="str">
        <f>RSD_INSULATION_HS_AP!I8</f>
        <v>RHHSAoWALLoSAV40</v>
      </c>
      <c r="C486" s="307" t="str">
        <f>RSD_INSULATION_HS_AP!J8</f>
        <v>RHHSAWallInsulationSAV.BAT40</v>
      </c>
      <c r="D486" s="307" t="str">
        <f>RSD_INSULATION_HS_AP!K8</f>
        <v>MW</v>
      </c>
      <c r="E486" s="307" t="str">
        <f>RSD_INSULATION_HS_AP!L8</f>
        <v>TJ</v>
      </c>
      <c r="F486" s="304"/>
      <c r="G486" s="305"/>
    </row>
    <row r="487" spans="1:7" x14ac:dyDescent="0.3">
      <c r="A487" s="303" t="s">
        <v>1191</v>
      </c>
      <c r="B487" s="307" t="str">
        <f>RSD_INSULATION_HS_AP!I14</f>
        <v>RHHSBoWALLoSAV10</v>
      </c>
      <c r="C487" s="307" t="str">
        <f>RSD_INSULATION_HS_AP!J14</f>
        <v>RHHSBWallInsulationSAV.BAT10</v>
      </c>
      <c r="D487" s="307" t="str">
        <f>RSD_INSULATION_HS_AP!K14</f>
        <v>MW</v>
      </c>
      <c r="E487" s="307" t="str">
        <f>RSD_INSULATION_HS_AP!L14</f>
        <v>TJ</v>
      </c>
      <c r="F487" s="304"/>
      <c r="G487" s="305"/>
    </row>
    <row r="488" spans="1:7" x14ac:dyDescent="0.3">
      <c r="A488" s="303" t="s">
        <v>1191</v>
      </c>
      <c r="B488" s="307" t="str">
        <f>RSD_INSULATION_HS_AP!I15</f>
        <v>RHHSBoWALLoSAV20</v>
      </c>
      <c r="C488" s="307" t="str">
        <f>RSD_INSULATION_HS_AP!J15</f>
        <v>RHHSBWallInsulationSAV.BAT20</v>
      </c>
      <c r="D488" s="307" t="str">
        <f>RSD_INSULATION_HS_AP!K15</f>
        <v>MW</v>
      </c>
      <c r="E488" s="307" t="str">
        <f>RSD_INSULATION_HS_AP!L15</f>
        <v>TJ</v>
      </c>
      <c r="F488" s="304"/>
      <c r="G488" s="305"/>
    </row>
    <row r="489" spans="1:7" x14ac:dyDescent="0.3">
      <c r="A489" s="303" t="s">
        <v>1191</v>
      </c>
      <c r="B489" s="307" t="str">
        <f>RSD_INSULATION_HS_AP!I16</f>
        <v>RHHSBoWALLoSAV30</v>
      </c>
      <c r="C489" s="307" t="str">
        <f>RSD_INSULATION_HS_AP!J16</f>
        <v>RHHSBWallInsulationSAV.BAT30</v>
      </c>
      <c r="D489" s="307" t="str">
        <f>RSD_INSULATION_HS_AP!K16</f>
        <v>MW</v>
      </c>
      <c r="E489" s="307" t="str">
        <f>RSD_INSULATION_HS_AP!L16</f>
        <v>TJ</v>
      </c>
      <c r="F489" s="304"/>
      <c r="G489" s="305"/>
    </row>
    <row r="490" spans="1:7" x14ac:dyDescent="0.3">
      <c r="A490" s="303" t="s">
        <v>1191</v>
      </c>
      <c r="B490" s="307" t="str">
        <f>RSD_INSULATION_HS_AP!I17</f>
        <v>RHHSBoWALLoSAV40</v>
      </c>
      <c r="C490" s="307" t="str">
        <f>RSD_INSULATION_HS_AP!J17</f>
        <v>RHHSBWallInsulationSAV.BAT40</v>
      </c>
      <c r="D490" s="307" t="str">
        <f>RSD_INSULATION_HS_AP!K17</f>
        <v>MW</v>
      </c>
      <c r="E490" s="307" t="str">
        <f>RSD_INSULATION_HS_AP!L17</f>
        <v>TJ</v>
      </c>
      <c r="F490" s="304"/>
      <c r="G490" s="305"/>
    </row>
    <row r="491" spans="1:7" x14ac:dyDescent="0.3">
      <c r="A491" s="303" t="s">
        <v>1191</v>
      </c>
      <c r="B491" s="307" t="str">
        <f>RSD_INSULATION_HS_AP!I18</f>
        <v>RHHSBoWALLoSAV50</v>
      </c>
      <c r="C491" s="307" t="str">
        <f>RSD_INSULATION_HS_AP!J18</f>
        <v>RHHSBWallInsulationSAV.BAT50</v>
      </c>
      <c r="D491" s="307" t="str">
        <f>RSD_INSULATION_HS_AP!K18</f>
        <v>MW</v>
      </c>
      <c r="E491" s="307" t="str">
        <f>RSD_INSULATION_HS_AP!L18</f>
        <v>TJ</v>
      </c>
      <c r="F491" s="304"/>
      <c r="G491" s="305"/>
    </row>
    <row r="492" spans="1:7" x14ac:dyDescent="0.3">
      <c r="A492" s="303" t="s">
        <v>1191</v>
      </c>
      <c r="B492" s="307" t="str">
        <f>RSD_INSULATION_HS_AP!I19</f>
        <v>RHHSBoWALLoSAV60</v>
      </c>
      <c r="C492" s="307" t="str">
        <f>RSD_INSULATION_HS_AP!J19</f>
        <v>RHHSBWallInsulationSAV.BAT60</v>
      </c>
      <c r="D492" s="307" t="str">
        <f>RSD_INSULATION_HS_AP!K19</f>
        <v>MW</v>
      </c>
      <c r="E492" s="307" t="str">
        <f>RSD_INSULATION_HS_AP!L19</f>
        <v>TJ</v>
      </c>
      <c r="F492" s="304"/>
      <c r="G492" s="305"/>
    </row>
    <row r="493" spans="1:7" x14ac:dyDescent="0.3">
      <c r="A493" s="303" t="s">
        <v>1191</v>
      </c>
      <c r="B493" s="307" t="str">
        <f>RSD_INSULATION_HS_AP!I20</f>
        <v>RHHSBoWALLoSAV70</v>
      </c>
      <c r="C493" s="307" t="str">
        <f>RSD_INSULATION_HS_AP!J20</f>
        <v>RHHSBWallInsulationSAV.BAT70</v>
      </c>
      <c r="D493" s="307" t="str">
        <f>RSD_INSULATION_HS_AP!K20</f>
        <v>MW</v>
      </c>
      <c r="E493" s="307" t="str">
        <f>RSD_INSULATION_HS_AP!L20</f>
        <v>TJ</v>
      </c>
      <c r="F493" s="304"/>
      <c r="G493" s="305"/>
    </row>
    <row r="494" spans="1:7" x14ac:dyDescent="0.3">
      <c r="A494" s="303" t="s">
        <v>1191</v>
      </c>
      <c r="B494" s="307" t="str">
        <f>RSD_INSULATION_HS_AP!I21</f>
        <v>RHHSBoWALLoSAV80</v>
      </c>
      <c r="C494" s="307" t="str">
        <f>RSD_INSULATION_HS_AP!J21</f>
        <v>RHHSBWallInsulationSAV.BAT80</v>
      </c>
      <c r="D494" s="307" t="str">
        <f>RSD_INSULATION_HS_AP!K21</f>
        <v>MW</v>
      </c>
      <c r="E494" s="307" t="str">
        <f>RSD_INSULATION_HS_AP!L21</f>
        <v>TJ</v>
      </c>
      <c r="F494" s="304"/>
      <c r="G494" s="305"/>
    </row>
    <row r="495" spans="1:7" x14ac:dyDescent="0.3">
      <c r="A495" s="303" t="s">
        <v>1191</v>
      </c>
      <c r="B495" s="307" t="str">
        <f>RSD_INSULATION_HS_AP!I22</f>
        <v>RHHSBoWALLoSAV90</v>
      </c>
      <c r="C495" s="307" t="str">
        <f>RSD_INSULATION_HS_AP!J22</f>
        <v>RHHSBWallInsulationSAV.BAT90</v>
      </c>
      <c r="D495" s="307" t="str">
        <f>RSD_INSULATION_HS_AP!K22</f>
        <v>MW</v>
      </c>
      <c r="E495" s="307" t="str">
        <f>RSD_INSULATION_HS_AP!L22</f>
        <v>TJ</v>
      </c>
      <c r="F495" s="304"/>
      <c r="G495" s="305"/>
    </row>
    <row r="496" spans="1:7" x14ac:dyDescent="0.3">
      <c r="A496" s="303" t="s">
        <v>1191</v>
      </c>
      <c r="B496" s="307" t="str">
        <f>RSD_INSULATION_HS_AP!I23</f>
        <v>RHHSCoWALLoSAV10</v>
      </c>
      <c r="C496" s="307" t="str">
        <f>RSD_INSULATION_HS_AP!J23</f>
        <v>RHHSCWallInsulationSAV.BAT10</v>
      </c>
      <c r="D496" s="307" t="str">
        <f>RSD_INSULATION_HS_AP!K23</f>
        <v>MW</v>
      </c>
      <c r="E496" s="307" t="str">
        <f>RSD_INSULATION_HS_AP!L23</f>
        <v>TJ</v>
      </c>
      <c r="F496" s="304"/>
      <c r="G496" s="305"/>
    </row>
    <row r="497" spans="1:7" x14ac:dyDescent="0.3">
      <c r="A497" s="303" t="s">
        <v>1191</v>
      </c>
      <c r="B497" s="307" t="str">
        <f>RSD_INSULATION_HS_AP!I24</f>
        <v>RHHSCoWALLoSAV20</v>
      </c>
      <c r="C497" s="307" t="str">
        <f>RSD_INSULATION_HS_AP!J24</f>
        <v>RHHSCWallInsulationSAV.BAT20</v>
      </c>
      <c r="D497" s="307" t="str">
        <f>RSD_INSULATION_HS_AP!K24</f>
        <v>MW</v>
      </c>
      <c r="E497" s="307" t="str">
        <f>RSD_INSULATION_HS_AP!L24</f>
        <v>TJ</v>
      </c>
      <c r="F497" s="304"/>
      <c r="G497" s="305"/>
    </row>
    <row r="498" spans="1:7" x14ac:dyDescent="0.3">
      <c r="A498" s="303" t="s">
        <v>1191</v>
      </c>
      <c r="B498" s="307" t="str">
        <f>RSD_INSULATION_HS_AP!I25</f>
        <v>RHHSCoWALLoSAV30</v>
      </c>
      <c r="C498" s="307" t="str">
        <f>RSD_INSULATION_HS_AP!J25</f>
        <v>RHHSCWallInsulationSAV.BAT30</v>
      </c>
      <c r="D498" s="307" t="str">
        <f>RSD_INSULATION_HS_AP!K25</f>
        <v>MW</v>
      </c>
      <c r="E498" s="307" t="str">
        <f>RSD_INSULATION_HS_AP!L25</f>
        <v>TJ</v>
      </c>
      <c r="F498" s="304"/>
      <c r="G498" s="305"/>
    </row>
    <row r="499" spans="1:7" x14ac:dyDescent="0.3">
      <c r="A499" s="303" t="s">
        <v>1191</v>
      </c>
      <c r="B499" s="307" t="str">
        <f>RSD_INSULATION_HS_AP!I26</f>
        <v>RHHSCoWALLoSAV40</v>
      </c>
      <c r="C499" s="307" t="str">
        <f>RSD_INSULATION_HS_AP!J26</f>
        <v>RHHSCWallInsulationSAV.BAT40</v>
      </c>
      <c r="D499" s="307" t="str">
        <f>RSD_INSULATION_HS_AP!K26</f>
        <v>MW</v>
      </c>
      <c r="E499" s="307" t="str">
        <f>RSD_INSULATION_HS_AP!L26</f>
        <v>TJ</v>
      </c>
      <c r="F499" s="304"/>
      <c r="G499" s="305"/>
    </row>
    <row r="500" spans="1:7" x14ac:dyDescent="0.3">
      <c r="A500" s="303" t="s">
        <v>1191</v>
      </c>
      <c r="B500" s="307" t="str">
        <f>RSD_INSULATION_HS_AP!I27</f>
        <v>RHHSCoWALLoSAV50</v>
      </c>
      <c r="C500" s="307" t="str">
        <f>RSD_INSULATION_HS_AP!J27</f>
        <v>RHHSCWallInsulationSAV.BAT50</v>
      </c>
      <c r="D500" s="307" t="str">
        <f>RSD_INSULATION_HS_AP!K27</f>
        <v>MW</v>
      </c>
      <c r="E500" s="307" t="str">
        <f>RSD_INSULATION_HS_AP!L27</f>
        <v>TJ</v>
      </c>
      <c r="F500" s="304"/>
      <c r="G500" s="305"/>
    </row>
    <row r="501" spans="1:7" x14ac:dyDescent="0.3">
      <c r="A501" s="303" t="s">
        <v>1191</v>
      </c>
      <c r="B501" s="307" t="str">
        <f>RSD_INSULATION_HS_AP!I28</f>
        <v>RHHSCoWALLoSAV60</v>
      </c>
      <c r="C501" s="307" t="str">
        <f>RSD_INSULATION_HS_AP!J28</f>
        <v>RHHSCWallInsulationSAV.BAT60</v>
      </c>
      <c r="D501" s="307" t="str">
        <f>RSD_INSULATION_HS_AP!K28</f>
        <v>MW</v>
      </c>
      <c r="E501" s="307" t="str">
        <f>RSD_INSULATION_HS_AP!L28</f>
        <v>TJ</v>
      </c>
      <c r="F501" s="304"/>
      <c r="G501" s="305"/>
    </row>
    <row r="502" spans="1:7" x14ac:dyDescent="0.3">
      <c r="A502" s="303" t="s">
        <v>1191</v>
      </c>
      <c r="B502" s="307" t="str">
        <f>RSD_INSULATION_HS_AP!I29</f>
        <v>RHHSCoWALLoSAV70</v>
      </c>
      <c r="C502" s="307" t="str">
        <f>RSD_INSULATION_HS_AP!J29</f>
        <v>RHHSCWallInsulationSAV.BAT70</v>
      </c>
      <c r="D502" s="307" t="str">
        <f>RSD_INSULATION_HS_AP!K29</f>
        <v>MW</v>
      </c>
      <c r="E502" s="307" t="str">
        <f>RSD_INSULATION_HS_AP!L29</f>
        <v>TJ</v>
      </c>
      <c r="F502" s="304"/>
      <c r="G502" s="305"/>
    </row>
    <row r="503" spans="1:7" x14ac:dyDescent="0.3">
      <c r="A503" s="303" t="s">
        <v>1191</v>
      </c>
      <c r="B503" s="307" t="str">
        <f>RSD_INSULATION_HS_AP!I30</f>
        <v>RHHSCoWALLoSAV80</v>
      </c>
      <c r="C503" s="307" t="str">
        <f>RSD_INSULATION_HS_AP!J30</f>
        <v>RHHSCWallInsulationSAV.BAT80</v>
      </c>
      <c r="D503" s="307" t="str">
        <f>RSD_INSULATION_HS_AP!K30</f>
        <v>MW</v>
      </c>
      <c r="E503" s="307" t="str">
        <f>RSD_INSULATION_HS_AP!L30</f>
        <v>TJ</v>
      </c>
      <c r="F503" s="304"/>
      <c r="G503" s="305"/>
    </row>
    <row r="504" spans="1:7" x14ac:dyDescent="0.3">
      <c r="A504" s="303" t="s">
        <v>1191</v>
      </c>
      <c r="B504" s="307" t="str">
        <f>RSD_INSULATION_HS_AP!I31</f>
        <v>RHHSCoWALLoSAV90</v>
      </c>
      <c r="C504" s="307" t="str">
        <f>RSD_INSULATION_HS_AP!J31</f>
        <v>RHHSCWallInsulationSAV.BAT90</v>
      </c>
      <c r="D504" s="307" t="str">
        <f>RSD_INSULATION_HS_AP!K31</f>
        <v>MW</v>
      </c>
      <c r="E504" s="307" t="str">
        <f>RSD_INSULATION_HS_AP!L31</f>
        <v>TJ</v>
      </c>
      <c r="F504" s="304"/>
      <c r="G504" s="305"/>
    </row>
    <row r="505" spans="1:7" x14ac:dyDescent="0.3">
      <c r="A505" s="303" t="s">
        <v>1191</v>
      </c>
      <c r="B505" s="307" t="str">
        <f>RSD_INSULATION_HS_AP!I32</f>
        <v>RHHSEoWALLoSAV10</v>
      </c>
      <c r="C505" s="307" t="str">
        <f>RSD_INSULATION_HS_AP!J32</f>
        <v>RHHSEWallInsulationSAV.BAT10</v>
      </c>
      <c r="D505" s="307" t="str">
        <f>RSD_INSULATION_HS_AP!K32</f>
        <v>MW</v>
      </c>
      <c r="E505" s="307" t="str">
        <f>RSD_INSULATION_HS_AP!L32</f>
        <v>TJ</v>
      </c>
      <c r="F505" s="304"/>
      <c r="G505" s="305"/>
    </row>
    <row r="506" spans="1:7" x14ac:dyDescent="0.3">
      <c r="A506" s="303" t="s">
        <v>1191</v>
      </c>
      <c r="B506" s="307" t="str">
        <f>RSD_INSULATION_HS_AP!I33</f>
        <v>RHHSEoWALLoSAV20</v>
      </c>
      <c r="C506" s="307" t="str">
        <f>RSD_INSULATION_HS_AP!J33</f>
        <v>RHHSEWallInsulationSAV.BAT20</v>
      </c>
      <c r="D506" s="307" t="str">
        <f>RSD_INSULATION_HS_AP!K33</f>
        <v>MW</v>
      </c>
      <c r="E506" s="307" t="str">
        <f>RSD_INSULATION_HS_AP!L33</f>
        <v>TJ</v>
      </c>
      <c r="F506" s="304"/>
      <c r="G506" s="305"/>
    </row>
    <row r="507" spans="1:7" x14ac:dyDescent="0.3">
      <c r="A507" s="303" t="s">
        <v>1191</v>
      </c>
      <c r="B507" s="307" t="str">
        <f>RSD_INSULATION_HS_AP!I34</f>
        <v>RHHSEoWALLoSAV30</v>
      </c>
      <c r="C507" s="307" t="str">
        <f>RSD_INSULATION_HS_AP!J34</f>
        <v>RHHSEWallInsulationSAV.BAT30</v>
      </c>
      <c r="D507" s="307" t="str">
        <f>RSD_INSULATION_HS_AP!K34</f>
        <v>MW</v>
      </c>
      <c r="E507" s="307" t="str">
        <f>RSD_INSULATION_HS_AP!L34</f>
        <v>TJ</v>
      </c>
      <c r="F507" s="304"/>
      <c r="G507" s="305"/>
    </row>
    <row r="508" spans="1:7" x14ac:dyDescent="0.3">
      <c r="A508" s="303" t="s">
        <v>1191</v>
      </c>
      <c r="B508" s="307" t="str">
        <f>RSD_INSULATION_HS_AP!I35</f>
        <v>RHHSEoWALLoSAV40</v>
      </c>
      <c r="C508" s="307" t="str">
        <f>RSD_INSULATION_HS_AP!J35</f>
        <v>RHHSEWallInsulationSAV.BAT40</v>
      </c>
      <c r="D508" s="307" t="str">
        <f>RSD_INSULATION_HS_AP!K35</f>
        <v>MW</v>
      </c>
      <c r="E508" s="307" t="str">
        <f>RSD_INSULATION_HS_AP!L35</f>
        <v>TJ</v>
      </c>
      <c r="F508" s="304"/>
      <c r="G508" s="305"/>
    </row>
    <row r="509" spans="1:7" x14ac:dyDescent="0.3">
      <c r="A509" s="303" t="s">
        <v>1191</v>
      </c>
      <c r="B509" s="307" t="str">
        <f>RSD_INSULATION_HS_AP!I36</f>
        <v>RHHSEoWALLoSAV50</v>
      </c>
      <c r="C509" s="307" t="str">
        <f>RSD_INSULATION_HS_AP!J36</f>
        <v>RHHSEWallInsulationSAV.BAT50</v>
      </c>
      <c r="D509" s="307" t="str">
        <f>RSD_INSULATION_HS_AP!K36</f>
        <v>MW</v>
      </c>
      <c r="E509" s="307" t="str">
        <f>RSD_INSULATION_HS_AP!L36</f>
        <v>TJ</v>
      </c>
      <c r="F509" s="304"/>
      <c r="G509" s="305"/>
    </row>
    <row r="510" spans="1:7" x14ac:dyDescent="0.3">
      <c r="A510" s="303" t="s">
        <v>1191</v>
      </c>
      <c r="B510" s="307" t="str">
        <f>RSD_INSULATION_HS_AP!I37</f>
        <v>RHHSEoWALLoSAV60</v>
      </c>
      <c r="C510" s="307" t="str">
        <f>RSD_INSULATION_HS_AP!J37</f>
        <v>RHHSEWallInsulationSAV.BAT60</v>
      </c>
      <c r="D510" s="307" t="str">
        <f>RSD_INSULATION_HS_AP!K37</f>
        <v>MW</v>
      </c>
      <c r="E510" s="307" t="str">
        <f>RSD_INSULATION_HS_AP!L37</f>
        <v>TJ</v>
      </c>
      <c r="F510" s="304"/>
      <c r="G510" s="305"/>
    </row>
    <row r="511" spans="1:7" x14ac:dyDescent="0.3">
      <c r="A511" s="303" t="s">
        <v>1191</v>
      </c>
      <c r="B511" s="307" t="str">
        <f>RSD_INSULATION_HS_AP!I38</f>
        <v>RHHSEoWALLoSAV70</v>
      </c>
      <c r="C511" s="307" t="str">
        <f>RSD_INSULATION_HS_AP!J38</f>
        <v>RHHSEWallInsulationSAV.BAT70</v>
      </c>
      <c r="D511" s="307" t="str">
        <f>RSD_INSULATION_HS_AP!K38</f>
        <v>MW</v>
      </c>
      <c r="E511" s="307" t="str">
        <f>RSD_INSULATION_HS_AP!L38</f>
        <v>TJ</v>
      </c>
      <c r="F511" s="304"/>
      <c r="G511" s="305"/>
    </row>
    <row r="512" spans="1:7" x14ac:dyDescent="0.3">
      <c r="A512" s="303" t="s">
        <v>1191</v>
      </c>
      <c r="B512" s="307" t="str">
        <f>RSD_INSULATION_HS_AP!I39</f>
        <v>RHHSEoWALLoSAV80</v>
      </c>
      <c r="C512" s="307" t="str">
        <f>RSD_INSULATION_HS_AP!J39</f>
        <v>RHHSEWallInsulationSAV.BAT80</v>
      </c>
      <c r="D512" s="307" t="str">
        <f>RSD_INSULATION_HS_AP!K39</f>
        <v>MW</v>
      </c>
      <c r="E512" s="307" t="str">
        <f>RSD_INSULATION_HS_AP!L39</f>
        <v>TJ</v>
      </c>
      <c r="F512" s="304"/>
      <c r="G512" s="305"/>
    </row>
    <row r="513" spans="1:7" x14ac:dyDescent="0.3">
      <c r="A513" s="303" t="s">
        <v>1191</v>
      </c>
      <c r="B513" s="307" t="str">
        <f>RSD_INSULATION_HS_AP!I40</f>
        <v>RHHSEoWALLoSAV90</v>
      </c>
      <c r="C513" s="307" t="str">
        <f>RSD_INSULATION_HS_AP!J40</f>
        <v>RHHSEWallInsulationSAV.BAT90</v>
      </c>
      <c r="D513" s="307" t="str">
        <f>RSD_INSULATION_HS_AP!K40</f>
        <v>MW</v>
      </c>
      <c r="E513" s="307" t="str">
        <f>RSD_INSULATION_HS_AP!L40</f>
        <v>TJ</v>
      </c>
      <c r="F513" s="304"/>
      <c r="G513" s="305"/>
    </row>
    <row r="514" spans="1:7" x14ac:dyDescent="0.3">
      <c r="A514" s="303" t="s">
        <v>1191</v>
      </c>
      <c r="B514" s="307" t="str">
        <f>RSD_INSULATION_HS_AP!I41</f>
        <v>RHAPAoWALLoSAV10</v>
      </c>
      <c r="C514" s="307" t="str">
        <f>RSD_INSULATION_HS_AP!J41</f>
        <v>RHAPAWallInsulationSAV.BAT10</v>
      </c>
      <c r="D514" s="307" t="str">
        <f>RSD_INSULATION_HS_AP!K41</f>
        <v>MW</v>
      </c>
      <c r="E514" s="307" t="str">
        <f>RSD_INSULATION_HS_AP!L41</f>
        <v>TJ</v>
      </c>
      <c r="F514" s="304"/>
      <c r="G514" s="305"/>
    </row>
    <row r="515" spans="1:7" x14ac:dyDescent="0.3">
      <c r="A515" s="303" t="s">
        <v>1191</v>
      </c>
      <c r="B515" s="307" t="str">
        <f>RSD_INSULATION_HS_AP!I42</f>
        <v>RHAPAoWALLoSAV20</v>
      </c>
      <c r="C515" s="307" t="str">
        <f>RSD_INSULATION_HS_AP!J42</f>
        <v>RHAPAWallInsulationSAV.BAT20</v>
      </c>
      <c r="D515" s="307" t="str">
        <f>RSD_INSULATION_HS_AP!K42</f>
        <v>MW</v>
      </c>
      <c r="E515" s="307" t="str">
        <f>RSD_INSULATION_HS_AP!L42</f>
        <v>TJ</v>
      </c>
      <c r="F515" s="304"/>
      <c r="G515" s="305"/>
    </row>
    <row r="516" spans="1:7" x14ac:dyDescent="0.3">
      <c r="A516" s="303" t="s">
        <v>1191</v>
      </c>
      <c r="B516" s="307" t="str">
        <f>RSD_INSULATION_HS_AP!I43</f>
        <v>RHAPAoWALLoSAV30</v>
      </c>
      <c r="C516" s="307" t="str">
        <f>RSD_INSULATION_HS_AP!J43</f>
        <v>RHAPAWallInsulationSAV.BAT30</v>
      </c>
      <c r="D516" s="307" t="str">
        <f>RSD_INSULATION_HS_AP!K43</f>
        <v>MW</v>
      </c>
      <c r="E516" s="307" t="str">
        <f>RSD_INSULATION_HS_AP!L43</f>
        <v>TJ</v>
      </c>
      <c r="F516" s="304"/>
      <c r="G516" s="305"/>
    </row>
    <row r="517" spans="1:7" x14ac:dyDescent="0.3">
      <c r="A517" s="303" t="s">
        <v>1191</v>
      </c>
      <c r="B517" s="307" t="str">
        <f>RSD_INSULATION_HS_AP!I44</f>
        <v>RHAPAoWALLoSAV40</v>
      </c>
      <c r="C517" s="307" t="str">
        <f>RSD_INSULATION_HS_AP!J44</f>
        <v>RHAPAWallInsulationSAV.BAT40</v>
      </c>
      <c r="D517" s="307" t="str">
        <f>RSD_INSULATION_HS_AP!K44</f>
        <v>MW</v>
      </c>
      <c r="E517" s="307" t="str">
        <f>RSD_INSULATION_HS_AP!L44</f>
        <v>TJ</v>
      </c>
      <c r="F517" s="304"/>
      <c r="G517" s="305"/>
    </row>
    <row r="518" spans="1:7" x14ac:dyDescent="0.3">
      <c r="A518" s="303" t="s">
        <v>1191</v>
      </c>
      <c r="B518" s="307" t="str">
        <f>RSD_INSULATION_HS_AP!I45</f>
        <v>RHAPAoWALLoSAV50</v>
      </c>
      <c r="C518" s="307" t="str">
        <f>RSD_INSULATION_HS_AP!J45</f>
        <v>RHAPAWallInsulationSAV.BAT50</v>
      </c>
      <c r="D518" s="307" t="str">
        <f>RSD_INSULATION_HS_AP!K45</f>
        <v>MW</v>
      </c>
      <c r="E518" s="307" t="str">
        <f>RSD_INSULATION_HS_AP!L45</f>
        <v>TJ</v>
      </c>
      <c r="F518" s="304"/>
      <c r="G518" s="305"/>
    </row>
    <row r="519" spans="1:7" x14ac:dyDescent="0.3">
      <c r="A519" s="303" t="s">
        <v>1191</v>
      </c>
      <c r="B519" s="307" t="str">
        <f>RSD_INSULATION_HS_AP!I46</f>
        <v>RHAPAoWALLoSAV60</v>
      </c>
      <c r="C519" s="307" t="str">
        <f>RSD_INSULATION_HS_AP!J46</f>
        <v>RHAPAWallInsulationSAV.BAT60</v>
      </c>
      <c r="D519" s="307" t="str">
        <f>RSD_INSULATION_HS_AP!K46</f>
        <v>MW</v>
      </c>
      <c r="E519" s="307" t="str">
        <f>RSD_INSULATION_HS_AP!L46</f>
        <v>TJ</v>
      </c>
      <c r="F519" s="304"/>
      <c r="G519" s="305"/>
    </row>
    <row r="520" spans="1:7" x14ac:dyDescent="0.3">
      <c r="A520" s="303" t="s">
        <v>1191</v>
      </c>
      <c r="B520" s="307" t="str">
        <f>RSD_INSULATION_HS_AP!I47</f>
        <v>RHAPAoWALLoSAV70</v>
      </c>
      <c r="C520" s="307" t="str">
        <f>RSD_INSULATION_HS_AP!J47</f>
        <v>RHAPAWallInsulationSAV.BAT70</v>
      </c>
      <c r="D520" s="307" t="str">
        <f>RSD_INSULATION_HS_AP!K47</f>
        <v>MW</v>
      </c>
      <c r="E520" s="307" t="str">
        <f>RSD_INSULATION_HS_AP!L47</f>
        <v>TJ</v>
      </c>
      <c r="F520" s="304"/>
      <c r="G520" s="305"/>
    </row>
    <row r="521" spans="1:7" x14ac:dyDescent="0.3">
      <c r="A521" s="303" t="s">
        <v>1191</v>
      </c>
      <c r="B521" s="307" t="str">
        <f>RSD_INSULATION_HS_AP!I48</f>
        <v>RHAPAoWALLoSAV80</v>
      </c>
      <c r="C521" s="307" t="str">
        <f>RSD_INSULATION_HS_AP!J48</f>
        <v>RHAPAWallInsulationSAV.BAT80</v>
      </c>
      <c r="D521" s="307" t="str">
        <f>RSD_INSULATION_HS_AP!K48</f>
        <v>MW</v>
      </c>
      <c r="E521" s="307" t="str">
        <f>RSD_INSULATION_HS_AP!L48</f>
        <v>TJ</v>
      </c>
      <c r="F521" s="304"/>
      <c r="G521" s="305"/>
    </row>
    <row r="522" spans="1:7" x14ac:dyDescent="0.3">
      <c r="A522" s="303" t="s">
        <v>1191</v>
      </c>
      <c r="B522" s="307" t="str">
        <f>RSD_INSULATION_HS_AP!I49</f>
        <v>RHAPAoWALLoSAV90</v>
      </c>
      <c r="C522" s="307" t="str">
        <f>RSD_INSULATION_HS_AP!J49</f>
        <v>RHAPAWallInsulationSAV.BAT90</v>
      </c>
      <c r="D522" s="307" t="str">
        <f>RSD_INSULATION_HS_AP!K49</f>
        <v>MW</v>
      </c>
      <c r="E522" s="307" t="str">
        <f>RSD_INSULATION_HS_AP!L49</f>
        <v>TJ</v>
      </c>
      <c r="F522" s="304"/>
      <c r="G522" s="305"/>
    </row>
    <row r="523" spans="1:7" x14ac:dyDescent="0.3">
      <c r="A523" s="303" t="s">
        <v>1191</v>
      </c>
      <c r="B523" s="307" t="str">
        <f>RSD_INSULATION_HS_AP!I50</f>
        <v>RHAPBoWALLoSAV10</v>
      </c>
      <c r="C523" s="307" t="str">
        <f>RSD_INSULATION_HS_AP!J50</f>
        <v>RHAPBWallInsulationSAV.BAT10</v>
      </c>
      <c r="D523" s="307" t="str">
        <f>RSD_INSULATION_HS_AP!K50</f>
        <v>MW</v>
      </c>
      <c r="E523" s="307" t="str">
        <f>RSD_INSULATION_HS_AP!L50</f>
        <v>TJ</v>
      </c>
      <c r="F523" s="304"/>
      <c r="G523" s="305"/>
    </row>
    <row r="524" spans="1:7" x14ac:dyDescent="0.3">
      <c r="A524" s="303" t="s">
        <v>1191</v>
      </c>
      <c r="B524" s="307" t="str">
        <f>RSD_INSULATION_HS_AP!I51</f>
        <v>RHAPBoWALLoSAV20</v>
      </c>
      <c r="C524" s="307" t="str">
        <f>RSD_INSULATION_HS_AP!J51</f>
        <v>RHAPBWallInsulationSAV.BAT20</v>
      </c>
      <c r="D524" s="307" t="str">
        <f>RSD_INSULATION_HS_AP!K51</f>
        <v>MW</v>
      </c>
      <c r="E524" s="307" t="str">
        <f>RSD_INSULATION_HS_AP!L51</f>
        <v>TJ</v>
      </c>
      <c r="F524" s="304"/>
      <c r="G524" s="305"/>
    </row>
    <row r="525" spans="1:7" x14ac:dyDescent="0.3">
      <c r="A525" s="303" t="s">
        <v>1191</v>
      </c>
      <c r="B525" s="307" t="str">
        <f>RSD_INSULATION_HS_AP!I52</f>
        <v>RHAPBoWALLoSAV30</v>
      </c>
      <c r="C525" s="307" t="str">
        <f>RSD_INSULATION_HS_AP!J52</f>
        <v>RHAPBWallInsulationSAV.BAT30</v>
      </c>
      <c r="D525" s="307" t="str">
        <f>RSD_INSULATION_HS_AP!K52</f>
        <v>MW</v>
      </c>
      <c r="E525" s="307" t="str">
        <f>RSD_INSULATION_HS_AP!L52</f>
        <v>TJ</v>
      </c>
      <c r="F525" s="304"/>
      <c r="G525" s="305"/>
    </row>
    <row r="526" spans="1:7" x14ac:dyDescent="0.3">
      <c r="A526" s="303" t="s">
        <v>1191</v>
      </c>
      <c r="B526" s="307" t="str">
        <f>RSD_INSULATION_HS_AP!I53</f>
        <v>RHAPBoWALLoSAV40</v>
      </c>
      <c r="C526" s="307" t="str">
        <f>RSD_INSULATION_HS_AP!J53</f>
        <v>RHAPBWallInsulationSAV.BAT40</v>
      </c>
      <c r="D526" s="307" t="str">
        <f>RSD_INSULATION_HS_AP!K53</f>
        <v>MW</v>
      </c>
      <c r="E526" s="307" t="str">
        <f>RSD_INSULATION_HS_AP!L53</f>
        <v>TJ</v>
      </c>
      <c r="F526" s="304"/>
      <c r="G526" s="305"/>
    </row>
    <row r="527" spans="1:7" x14ac:dyDescent="0.3">
      <c r="A527" s="303" t="s">
        <v>1191</v>
      </c>
      <c r="B527" s="307" t="str">
        <f>RSD_INSULATION_HS_AP!I54</f>
        <v>RHAPBoWALLoSAV50</v>
      </c>
      <c r="C527" s="307" t="str">
        <f>RSD_INSULATION_HS_AP!J54</f>
        <v>RHAPBWallInsulationSAV.BAT50</v>
      </c>
      <c r="D527" s="307" t="str">
        <f>RSD_INSULATION_HS_AP!K54</f>
        <v>MW</v>
      </c>
      <c r="E527" s="307" t="str">
        <f>RSD_INSULATION_HS_AP!L54</f>
        <v>TJ</v>
      </c>
      <c r="F527" s="304"/>
      <c r="G527" s="305"/>
    </row>
    <row r="528" spans="1:7" x14ac:dyDescent="0.3">
      <c r="A528" s="303" t="s">
        <v>1191</v>
      </c>
      <c r="B528" s="307" t="str">
        <f>RSD_INSULATION_HS_AP!I55</f>
        <v>RHAPBoWALLoSAV60</v>
      </c>
      <c r="C528" s="307" t="str">
        <f>RSD_INSULATION_HS_AP!J55</f>
        <v>RHAPBWallInsulationSAV.BAT60</v>
      </c>
      <c r="D528" s="307" t="str">
        <f>RSD_INSULATION_HS_AP!K55</f>
        <v>MW</v>
      </c>
      <c r="E528" s="307" t="str">
        <f>RSD_INSULATION_HS_AP!L55</f>
        <v>TJ</v>
      </c>
      <c r="F528" s="304"/>
      <c r="G528" s="305"/>
    </row>
    <row r="529" spans="1:7" x14ac:dyDescent="0.3">
      <c r="A529" s="303" t="s">
        <v>1191</v>
      </c>
      <c r="B529" s="307" t="str">
        <f>RSD_INSULATION_HS_AP!I56</f>
        <v>RHAPBoWALLoSAV70</v>
      </c>
      <c r="C529" s="307" t="str">
        <f>RSD_INSULATION_HS_AP!J56</f>
        <v>RHAPBWallInsulationSAV.BAT70</v>
      </c>
      <c r="D529" s="307" t="str">
        <f>RSD_INSULATION_HS_AP!K56</f>
        <v>MW</v>
      </c>
      <c r="E529" s="307" t="str">
        <f>RSD_INSULATION_HS_AP!L56</f>
        <v>TJ</v>
      </c>
      <c r="F529" s="304"/>
      <c r="G529" s="305"/>
    </row>
    <row r="530" spans="1:7" x14ac:dyDescent="0.3">
      <c r="A530" s="303" t="s">
        <v>1191</v>
      </c>
      <c r="B530" s="307" t="str">
        <f>RSD_INSULATION_HS_AP!I57</f>
        <v>RHAPBoWALLoSAV80</v>
      </c>
      <c r="C530" s="307" t="str">
        <f>RSD_INSULATION_HS_AP!J57</f>
        <v>RHAPBWallInsulationSAV.BAT80</v>
      </c>
      <c r="D530" s="307" t="str">
        <f>RSD_INSULATION_HS_AP!K57</f>
        <v>MW</v>
      </c>
      <c r="E530" s="307" t="str">
        <f>RSD_INSULATION_HS_AP!L57</f>
        <v>TJ</v>
      </c>
      <c r="F530" s="304"/>
      <c r="G530" s="305"/>
    </row>
    <row r="531" spans="1:7" x14ac:dyDescent="0.3">
      <c r="A531" s="303" t="s">
        <v>1191</v>
      </c>
      <c r="B531" s="307" t="str">
        <f>RSD_INSULATION_HS_AP!I58</f>
        <v>RHAPBoWALLoSAV90</v>
      </c>
      <c r="C531" s="307" t="str">
        <f>RSD_INSULATION_HS_AP!J58</f>
        <v>RHAPBWallInsulationSAV.BAT90</v>
      </c>
      <c r="D531" s="307" t="str">
        <f>RSD_INSULATION_HS_AP!K58</f>
        <v>MW</v>
      </c>
      <c r="E531" s="307" t="str">
        <f>RSD_INSULATION_HS_AP!L58</f>
        <v>TJ</v>
      </c>
      <c r="F531" s="304"/>
      <c r="G531" s="305"/>
    </row>
    <row r="532" spans="1:7" x14ac:dyDescent="0.3">
      <c r="A532" s="303" t="s">
        <v>1191</v>
      </c>
      <c r="B532" s="307" t="str">
        <f>RSD_INSULATION_HS_AP!I59</f>
        <v>RHAPCoWALLoSAV10</v>
      </c>
      <c r="C532" s="307" t="str">
        <f>RSD_INSULATION_HS_AP!J59</f>
        <v>RHAPCWallInsulationSAV.BAT10</v>
      </c>
      <c r="D532" s="307" t="str">
        <f>RSD_INSULATION_HS_AP!K59</f>
        <v>MW</v>
      </c>
      <c r="E532" s="307" t="str">
        <f>RSD_INSULATION_HS_AP!L59</f>
        <v>TJ</v>
      </c>
      <c r="F532" s="304"/>
      <c r="G532" s="305"/>
    </row>
    <row r="533" spans="1:7" x14ac:dyDescent="0.3">
      <c r="A533" s="303" t="s">
        <v>1191</v>
      </c>
      <c r="B533" s="307" t="str">
        <f>RSD_INSULATION_HS_AP!I60</f>
        <v>RHAPCoWALLoSAV20</v>
      </c>
      <c r="C533" s="307" t="str">
        <f>RSD_INSULATION_HS_AP!J60</f>
        <v>RHAPCWallInsulationSAV.BAT20</v>
      </c>
      <c r="D533" s="307" t="str">
        <f>RSD_INSULATION_HS_AP!K60</f>
        <v>MW</v>
      </c>
      <c r="E533" s="307" t="str">
        <f>RSD_INSULATION_HS_AP!L60</f>
        <v>TJ</v>
      </c>
      <c r="F533" s="304"/>
      <c r="G533" s="305"/>
    </row>
    <row r="534" spans="1:7" x14ac:dyDescent="0.3">
      <c r="A534" s="303" t="s">
        <v>1191</v>
      </c>
      <c r="B534" s="307" t="str">
        <f>RSD_INSULATION_HS_AP!I61</f>
        <v>RHAPCoWALLoSAV30</v>
      </c>
      <c r="C534" s="307" t="str">
        <f>RSD_INSULATION_HS_AP!J61</f>
        <v>RHAPCWallInsulationSAV.BAT30</v>
      </c>
      <c r="D534" s="307" t="str">
        <f>RSD_INSULATION_HS_AP!K61</f>
        <v>MW</v>
      </c>
      <c r="E534" s="307" t="str">
        <f>RSD_INSULATION_HS_AP!L61</f>
        <v>TJ</v>
      </c>
      <c r="F534" s="304"/>
      <c r="G534" s="305"/>
    </row>
    <row r="535" spans="1:7" x14ac:dyDescent="0.3">
      <c r="A535" s="303" t="s">
        <v>1191</v>
      </c>
      <c r="B535" s="307" t="str">
        <f>RSD_INSULATION_HS_AP!I62</f>
        <v>RHAPCoWALLoSAV40</v>
      </c>
      <c r="C535" s="307" t="str">
        <f>RSD_INSULATION_HS_AP!J62</f>
        <v>RHAPCWallInsulationSAV.BAT40</v>
      </c>
      <c r="D535" s="307" t="str">
        <f>RSD_INSULATION_HS_AP!K62</f>
        <v>MW</v>
      </c>
      <c r="E535" s="307" t="str">
        <f>RSD_INSULATION_HS_AP!L62</f>
        <v>TJ</v>
      </c>
      <c r="F535" s="304"/>
      <c r="G535" s="305"/>
    </row>
    <row r="536" spans="1:7" x14ac:dyDescent="0.3">
      <c r="A536" s="303" t="s">
        <v>1191</v>
      </c>
      <c r="B536" s="307" t="str">
        <f>RSD_INSULATION_HS_AP!I63</f>
        <v>RHAPCoWALLoSAV50</v>
      </c>
      <c r="C536" s="307" t="str">
        <f>RSD_INSULATION_HS_AP!J63</f>
        <v>RHAPCWallInsulationSAV.BAT50</v>
      </c>
      <c r="D536" s="307" t="str">
        <f>RSD_INSULATION_HS_AP!K63</f>
        <v>MW</v>
      </c>
      <c r="E536" s="307" t="str">
        <f>RSD_INSULATION_HS_AP!L63</f>
        <v>TJ</v>
      </c>
      <c r="F536" s="304"/>
      <c r="G536" s="305"/>
    </row>
    <row r="537" spans="1:7" x14ac:dyDescent="0.3">
      <c r="A537" s="303" t="s">
        <v>1191</v>
      </c>
      <c r="B537" s="307" t="str">
        <f>RSD_INSULATION_HS_AP!I64</f>
        <v>RHAPCoWALLoSAV60</v>
      </c>
      <c r="C537" s="307" t="str">
        <f>RSD_INSULATION_HS_AP!J64</f>
        <v>RHAPCWallInsulationSAV.BAT60</v>
      </c>
      <c r="D537" s="307" t="str">
        <f>RSD_INSULATION_HS_AP!K64</f>
        <v>MW</v>
      </c>
      <c r="E537" s="307" t="str">
        <f>RSD_INSULATION_HS_AP!L64</f>
        <v>TJ</v>
      </c>
      <c r="F537" s="304"/>
      <c r="G537" s="305"/>
    </row>
    <row r="538" spans="1:7" x14ac:dyDescent="0.3">
      <c r="A538" s="303" t="s">
        <v>1191</v>
      </c>
      <c r="B538" s="307" t="str">
        <f>RSD_INSULATION_HS_AP!I65</f>
        <v>RHAPCoWALLoSAV70</v>
      </c>
      <c r="C538" s="307" t="str">
        <f>RSD_INSULATION_HS_AP!J65</f>
        <v>RHAPCWallInsulationSAV.BAT70</v>
      </c>
      <c r="D538" s="307" t="str">
        <f>RSD_INSULATION_HS_AP!K65</f>
        <v>MW</v>
      </c>
      <c r="E538" s="307" t="str">
        <f>RSD_INSULATION_HS_AP!L65</f>
        <v>TJ</v>
      </c>
      <c r="F538" s="304"/>
      <c r="G538" s="305"/>
    </row>
    <row r="539" spans="1:7" x14ac:dyDescent="0.3">
      <c r="A539" s="303" t="s">
        <v>1191</v>
      </c>
      <c r="B539" s="307" t="str">
        <f>RSD_INSULATION_HS_AP!I66</f>
        <v>RHAPCoWALLoSAV80</v>
      </c>
      <c r="C539" s="307" t="str">
        <f>RSD_INSULATION_HS_AP!J66</f>
        <v>RHAPCWallInsulationSAV.BAT80</v>
      </c>
      <c r="D539" s="307" t="str">
        <f>RSD_INSULATION_HS_AP!K66</f>
        <v>MW</v>
      </c>
      <c r="E539" s="307" t="str">
        <f>RSD_INSULATION_HS_AP!L66</f>
        <v>TJ</v>
      </c>
      <c r="F539" s="304"/>
      <c r="G539" s="305"/>
    </row>
    <row r="540" spans="1:7" x14ac:dyDescent="0.3">
      <c r="A540" s="303" t="s">
        <v>1191</v>
      </c>
      <c r="B540" s="307" t="str">
        <f>RSD_INSULATION_HS_AP!I67</f>
        <v>RHAPCoWALLoSAV90</v>
      </c>
      <c r="C540" s="307" t="str">
        <f>RSD_INSULATION_HS_AP!J67</f>
        <v>RHAPCWallInsulationSAV.BAT90</v>
      </c>
      <c r="D540" s="307" t="str">
        <f>RSD_INSULATION_HS_AP!K67</f>
        <v>MW</v>
      </c>
      <c r="E540" s="307" t="str">
        <f>RSD_INSULATION_HS_AP!L67</f>
        <v>TJ</v>
      </c>
      <c r="F540" s="304"/>
      <c r="G540" s="305"/>
    </row>
    <row r="541" spans="1:7" x14ac:dyDescent="0.3">
      <c r="A541" s="303" t="s">
        <v>1191</v>
      </c>
      <c r="B541" s="307" t="str">
        <f>RSD_INSULATION_HS_AP!I68</f>
        <v>RHAPEoWALLoSAV10</v>
      </c>
      <c r="C541" s="307" t="str">
        <f>RSD_INSULATION_HS_AP!J68</f>
        <v>RHAPEWallInsulationSAV.BAT10</v>
      </c>
      <c r="D541" s="307" t="str">
        <f>RSD_INSULATION_HS_AP!K68</f>
        <v>MW</v>
      </c>
      <c r="E541" s="307" t="str">
        <f>RSD_INSULATION_HS_AP!L68</f>
        <v>TJ</v>
      </c>
      <c r="F541" s="304"/>
      <c r="G541" s="305"/>
    </row>
    <row r="542" spans="1:7" x14ac:dyDescent="0.3">
      <c r="A542" s="303" t="s">
        <v>1191</v>
      </c>
      <c r="B542" s="307" t="str">
        <f>RSD_INSULATION_HS_AP!I69</f>
        <v>RHAPEoWALLoSAV20</v>
      </c>
      <c r="C542" s="307" t="str">
        <f>RSD_INSULATION_HS_AP!J69</f>
        <v>RHAPEWallInsulationSAV.BAT20</v>
      </c>
      <c r="D542" s="307" t="str">
        <f>RSD_INSULATION_HS_AP!K69</f>
        <v>MW</v>
      </c>
      <c r="E542" s="307" t="str">
        <f>RSD_INSULATION_HS_AP!L69</f>
        <v>TJ</v>
      </c>
      <c r="F542" s="304"/>
      <c r="G542" s="305"/>
    </row>
    <row r="543" spans="1:7" x14ac:dyDescent="0.3">
      <c r="A543" s="303" t="s">
        <v>1191</v>
      </c>
      <c r="B543" s="307" t="str">
        <f>RSD_INSULATION_HS_AP!I70</f>
        <v>RHAPEoWALLoSAV30</v>
      </c>
      <c r="C543" s="307" t="str">
        <f>RSD_INSULATION_HS_AP!J70</f>
        <v>RHAPEWallInsulationSAV.BAT30</v>
      </c>
      <c r="D543" s="307" t="str">
        <f>RSD_INSULATION_HS_AP!K70</f>
        <v>MW</v>
      </c>
      <c r="E543" s="307" t="str">
        <f>RSD_INSULATION_HS_AP!L70</f>
        <v>TJ</v>
      </c>
      <c r="F543" s="304"/>
      <c r="G543" s="305"/>
    </row>
    <row r="544" spans="1:7" x14ac:dyDescent="0.3">
      <c r="A544" s="303" t="s">
        <v>1191</v>
      </c>
      <c r="B544" s="307" t="str">
        <f>RSD_INSULATION_HS_AP!I71</f>
        <v>RHAPEoWALLoSAV40</v>
      </c>
      <c r="C544" s="307" t="str">
        <f>RSD_INSULATION_HS_AP!J71</f>
        <v>RHAPEWallInsulationSAV.BAT40</v>
      </c>
      <c r="D544" s="307" t="str">
        <f>RSD_INSULATION_HS_AP!K71</f>
        <v>MW</v>
      </c>
      <c r="E544" s="307" t="str">
        <f>RSD_INSULATION_HS_AP!L71</f>
        <v>TJ</v>
      </c>
      <c r="F544" s="304"/>
      <c r="G544" s="305"/>
    </row>
    <row r="545" spans="1:7" x14ac:dyDescent="0.3">
      <c r="A545" s="303" t="s">
        <v>1191</v>
      </c>
      <c r="B545" s="307" t="str">
        <f>RSD_INSULATION_HS_AP!I72</f>
        <v>RHAPEoWALLoSAV50</v>
      </c>
      <c r="C545" s="307" t="str">
        <f>RSD_INSULATION_HS_AP!J72</f>
        <v>RHAPEWallInsulationSAV.BAT50</v>
      </c>
      <c r="D545" s="307" t="str">
        <f>RSD_INSULATION_HS_AP!K72</f>
        <v>MW</v>
      </c>
      <c r="E545" s="307" t="str">
        <f>RSD_INSULATION_HS_AP!L72</f>
        <v>TJ</v>
      </c>
      <c r="F545" s="304"/>
      <c r="G545" s="305"/>
    </row>
    <row r="546" spans="1:7" x14ac:dyDescent="0.3">
      <c r="A546" s="303" t="s">
        <v>1191</v>
      </c>
      <c r="B546" s="307" t="str">
        <f>RSD_INSULATION_HS_AP!I73</f>
        <v>RHAPEoWALLoSAV60</v>
      </c>
      <c r="C546" s="307" t="str">
        <f>RSD_INSULATION_HS_AP!J73</f>
        <v>RHAPEWallInsulationSAV.BAT60</v>
      </c>
      <c r="D546" s="307" t="str">
        <f>RSD_INSULATION_HS_AP!K73</f>
        <v>MW</v>
      </c>
      <c r="E546" s="307" t="str">
        <f>RSD_INSULATION_HS_AP!L73</f>
        <v>TJ</v>
      </c>
      <c r="F546" s="304"/>
      <c r="G546" s="305"/>
    </row>
    <row r="547" spans="1:7" x14ac:dyDescent="0.3">
      <c r="A547" s="303" t="s">
        <v>1191</v>
      </c>
      <c r="B547" s="307" t="str">
        <f>RSD_INSULATION_HS_AP!I74</f>
        <v>RHAPEoWALLoSAV70</v>
      </c>
      <c r="C547" s="307" t="str">
        <f>RSD_INSULATION_HS_AP!J74</f>
        <v>RHAPEWallInsulationSAV.BAT70</v>
      </c>
      <c r="D547" s="307" t="str">
        <f>RSD_INSULATION_HS_AP!K74</f>
        <v>MW</v>
      </c>
      <c r="E547" s="307" t="str">
        <f>RSD_INSULATION_HS_AP!L74</f>
        <v>TJ</v>
      </c>
      <c r="F547" s="304"/>
      <c r="G547" s="305"/>
    </row>
    <row r="548" spans="1:7" x14ac:dyDescent="0.3">
      <c r="A548" s="303" t="s">
        <v>1191</v>
      </c>
      <c r="B548" s="307" t="str">
        <f>RSD_INSULATION_HS_AP!I75</f>
        <v>RHAPEoWALLoSAV80</v>
      </c>
      <c r="C548" s="307" t="str">
        <f>RSD_INSULATION_HS_AP!J75</f>
        <v>RHAPEWallInsulationSAV.BAT80</v>
      </c>
      <c r="D548" s="307" t="str">
        <f>RSD_INSULATION_HS_AP!K75</f>
        <v>MW</v>
      </c>
      <c r="E548" s="307" t="str">
        <f>RSD_INSULATION_HS_AP!L75</f>
        <v>TJ</v>
      </c>
      <c r="F548" s="304"/>
      <c r="G548" s="305"/>
    </row>
    <row r="549" spans="1:7" x14ac:dyDescent="0.3">
      <c r="A549" s="303" t="s">
        <v>1191</v>
      </c>
      <c r="B549" s="307" t="str">
        <f>RSD_INSULATION_HS_AP!I76</f>
        <v>RHAPEoWALLoSAV90</v>
      </c>
      <c r="C549" s="307" t="str">
        <f>RSD_INSULATION_HS_AP!J76</f>
        <v>RHAPEWallInsulationSAV.BAT90</v>
      </c>
      <c r="D549" s="307" t="str">
        <f>RSD_INSULATION_HS_AP!K76</f>
        <v>MW</v>
      </c>
      <c r="E549" s="307" t="str">
        <f>RSD_INSULATION_HS_AP!L76</f>
        <v>TJ</v>
      </c>
      <c r="F549" s="304"/>
      <c r="G549" s="305"/>
    </row>
    <row r="550" spans="1:7" s="246" customFormat="1" x14ac:dyDescent="0.3">
      <c r="A550" s="562"/>
      <c r="B550" s="563"/>
      <c r="C550" s="563"/>
      <c r="D550" s="563"/>
      <c r="E550" s="563"/>
      <c r="F550" s="564"/>
      <c r="G550" s="565"/>
    </row>
    <row r="551" spans="1:7" s="246" customFormat="1" x14ac:dyDescent="0.3">
      <c r="A551" s="562"/>
      <c r="B551" s="563"/>
      <c r="C551" s="563"/>
      <c r="D551" s="563"/>
      <c r="E551" s="563"/>
      <c r="F551" s="564"/>
      <c r="G551" s="565"/>
    </row>
    <row r="552" spans="1:7" s="246" customFormat="1" x14ac:dyDescent="0.3">
      <c r="A552" s="562"/>
      <c r="B552" s="563"/>
      <c r="C552" s="563"/>
      <c r="D552" s="563"/>
      <c r="E552" s="563"/>
      <c r="F552" s="564"/>
      <c r="G552" s="565"/>
    </row>
    <row r="553" spans="1:7" s="246" customFormat="1" x14ac:dyDescent="0.3">
      <c r="A553" s="562"/>
      <c r="B553" s="563"/>
      <c r="C553" s="563"/>
      <c r="D553" s="563"/>
      <c r="E553" s="563"/>
      <c r="F553" s="564"/>
      <c r="G553" s="565"/>
    </row>
    <row r="554" spans="1:7" s="246" customFormat="1" x14ac:dyDescent="0.3">
      <c r="A554" s="562"/>
      <c r="B554" s="563"/>
      <c r="C554" s="563"/>
      <c r="D554" s="563"/>
      <c r="E554" s="563"/>
      <c r="F554" s="564"/>
      <c r="G554" s="565"/>
    </row>
    <row r="555" spans="1:7" s="246" customFormat="1" x14ac:dyDescent="0.3">
      <c r="A555" s="562"/>
      <c r="B555" s="563"/>
      <c r="C555" s="563"/>
      <c r="D555" s="563"/>
      <c r="E555" s="563"/>
      <c r="F555" s="564"/>
      <c r="G555" s="565"/>
    </row>
    <row r="556" spans="1:7" s="246" customFormat="1" x14ac:dyDescent="0.3">
      <c r="A556" s="562"/>
      <c r="B556" s="563"/>
      <c r="C556" s="563"/>
      <c r="D556" s="563"/>
      <c r="E556" s="563"/>
      <c r="F556" s="564"/>
      <c r="G556" s="565"/>
    </row>
    <row r="557" spans="1:7" s="246" customFormat="1" x14ac:dyDescent="0.3">
      <c r="A557" s="562"/>
      <c r="B557" s="563"/>
      <c r="C557" s="563"/>
      <c r="D557" s="563"/>
      <c r="E557" s="563"/>
      <c r="F557" s="564"/>
      <c r="G557" s="565"/>
    </row>
    <row r="558" spans="1:7" s="246" customFormat="1" x14ac:dyDescent="0.3">
      <c r="A558" s="562"/>
      <c r="B558" s="563"/>
      <c r="C558" s="563"/>
      <c r="D558" s="563"/>
      <c r="E558" s="563"/>
      <c r="F558" s="564"/>
      <c r="G558" s="565"/>
    </row>
    <row r="559" spans="1:7" s="246" customFormat="1" x14ac:dyDescent="0.3">
      <c r="A559" s="562"/>
      <c r="B559" s="563"/>
      <c r="C559" s="563"/>
      <c r="D559" s="563"/>
      <c r="E559" s="563"/>
      <c r="F559" s="564"/>
      <c r="G559" s="565"/>
    </row>
    <row r="560" spans="1:7" s="246" customFormat="1" x14ac:dyDescent="0.3">
      <c r="A560" s="562"/>
      <c r="B560" s="563"/>
      <c r="C560" s="563"/>
      <c r="D560" s="563"/>
      <c r="E560" s="563"/>
      <c r="F560" s="564"/>
      <c r="G560" s="565"/>
    </row>
    <row r="561" spans="1:7" s="246" customFormat="1" x14ac:dyDescent="0.3">
      <c r="A561" s="562"/>
      <c r="B561" s="563"/>
      <c r="C561" s="563"/>
      <c r="D561" s="563"/>
      <c r="E561" s="563"/>
      <c r="F561" s="564"/>
      <c r="G561" s="565"/>
    </row>
    <row r="562" spans="1:7" s="246" customFormat="1" x14ac:dyDescent="0.3">
      <c r="A562" s="562"/>
      <c r="B562" s="563"/>
      <c r="C562" s="563"/>
      <c r="D562" s="563"/>
      <c r="E562" s="563"/>
      <c r="F562" s="564"/>
      <c r="G562" s="565"/>
    </row>
    <row r="563" spans="1:7" s="246" customFormat="1" x14ac:dyDescent="0.3">
      <c r="A563" s="562"/>
      <c r="B563" s="563"/>
      <c r="C563" s="563"/>
      <c r="D563" s="563"/>
      <c r="E563" s="563"/>
      <c r="F563" s="564"/>
      <c r="G563" s="565"/>
    </row>
    <row r="564" spans="1:7" s="246" customFormat="1" x14ac:dyDescent="0.3">
      <c r="A564" s="562"/>
      <c r="B564" s="563"/>
      <c r="C564" s="563"/>
      <c r="D564" s="563"/>
      <c r="E564" s="563"/>
      <c r="F564" s="564"/>
      <c r="G564" s="565"/>
    </row>
    <row r="565" spans="1:7" s="246" customFormat="1" x14ac:dyDescent="0.3">
      <c r="A565" s="562"/>
      <c r="B565" s="563"/>
      <c r="C565" s="563"/>
      <c r="D565" s="563"/>
      <c r="E565" s="563"/>
      <c r="F565" s="564"/>
      <c r="G565" s="565"/>
    </row>
    <row r="566" spans="1:7" s="246" customFormat="1" x14ac:dyDescent="0.3">
      <c r="A566" s="562"/>
      <c r="B566" s="563"/>
      <c r="C566" s="563"/>
      <c r="D566" s="563"/>
      <c r="E566" s="563"/>
      <c r="F566" s="564"/>
      <c r="G566" s="565"/>
    </row>
    <row r="567" spans="1:7" s="246" customFormat="1" x14ac:dyDescent="0.3">
      <c r="A567" s="562"/>
      <c r="B567" s="563"/>
      <c r="C567" s="563"/>
      <c r="D567" s="563"/>
      <c r="E567" s="563"/>
      <c r="F567" s="564"/>
      <c r="G567" s="565"/>
    </row>
    <row r="568" spans="1:7" s="246" customFormat="1" x14ac:dyDescent="0.3">
      <c r="A568" s="562"/>
      <c r="B568" s="563"/>
      <c r="C568" s="563"/>
      <c r="D568" s="563"/>
      <c r="E568" s="563"/>
      <c r="F568" s="564"/>
      <c r="G568" s="565"/>
    </row>
    <row r="569" spans="1:7" s="246" customFormat="1" x14ac:dyDescent="0.3">
      <c r="A569" s="562"/>
      <c r="B569" s="563"/>
      <c r="C569" s="563"/>
      <c r="D569" s="563"/>
      <c r="E569" s="563"/>
      <c r="F569" s="564"/>
      <c r="G569" s="565"/>
    </row>
    <row r="570" spans="1:7" s="246" customFormat="1" x14ac:dyDescent="0.3">
      <c r="A570" s="562"/>
      <c r="B570" s="563"/>
      <c r="C570" s="563"/>
      <c r="D570" s="563"/>
      <c r="E570" s="563"/>
      <c r="F570" s="564"/>
      <c r="G570" s="565"/>
    </row>
    <row r="571" spans="1:7" s="246" customFormat="1" x14ac:dyDescent="0.3">
      <c r="A571" s="562"/>
      <c r="B571" s="563"/>
      <c r="C571" s="563"/>
      <c r="D571" s="563"/>
      <c r="E571" s="563"/>
      <c r="F571" s="564"/>
      <c r="G571" s="565"/>
    </row>
    <row r="572" spans="1:7" s="246" customFormat="1" x14ac:dyDescent="0.3">
      <c r="A572" s="562"/>
      <c r="B572" s="563"/>
      <c r="C572" s="563"/>
      <c r="D572" s="563"/>
      <c r="E572" s="563"/>
      <c r="F572" s="564"/>
      <c r="G572" s="565"/>
    </row>
    <row r="573" spans="1:7" s="246" customFormat="1" x14ac:dyDescent="0.3">
      <c r="A573" s="562"/>
      <c r="B573" s="563"/>
      <c r="C573" s="563"/>
      <c r="D573" s="563"/>
      <c r="E573" s="563"/>
      <c r="F573" s="564"/>
      <c r="G573" s="565"/>
    </row>
    <row r="574" spans="1:7" s="246" customFormat="1" x14ac:dyDescent="0.3">
      <c r="A574" s="562"/>
      <c r="B574" s="563"/>
      <c r="C574" s="563"/>
      <c r="D574" s="563"/>
      <c r="E574" s="563"/>
      <c r="F574" s="564"/>
      <c r="G574" s="565"/>
    </row>
    <row r="575" spans="1:7" s="246" customFormat="1" x14ac:dyDescent="0.3">
      <c r="A575" s="562"/>
      <c r="B575" s="563"/>
      <c r="C575" s="563"/>
      <c r="D575" s="563"/>
      <c r="E575" s="563"/>
      <c r="F575" s="564"/>
      <c r="G575" s="565"/>
    </row>
    <row r="576" spans="1:7" s="246" customFormat="1" x14ac:dyDescent="0.3">
      <c r="A576" s="562"/>
      <c r="B576" s="563"/>
      <c r="C576" s="563"/>
      <c r="D576" s="563"/>
      <c r="E576" s="563"/>
      <c r="F576" s="564"/>
      <c r="G576" s="565"/>
    </row>
    <row r="577" spans="1:7" s="246" customFormat="1" x14ac:dyDescent="0.3">
      <c r="A577" s="562"/>
      <c r="B577" s="563"/>
      <c r="C577" s="563"/>
      <c r="D577" s="563"/>
      <c r="E577" s="563"/>
      <c r="F577" s="564"/>
      <c r="G577" s="565"/>
    </row>
    <row r="578" spans="1:7" s="246" customFormat="1" x14ac:dyDescent="0.3">
      <c r="A578" s="562"/>
      <c r="B578" s="563"/>
      <c r="C578" s="563"/>
      <c r="D578" s="563"/>
      <c r="E578" s="563"/>
      <c r="F578" s="564"/>
      <c r="G578" s="565"/>
    </row>
    <row r="579" spans="1:7" s="246" customFormat="1" x14ac:dyDescent="0.3">
      <c r="A579" s="562"/>
      <c r="B579" s="563"/>
      <c r="C579" s="563"/>
      <c r="D579" s="563"/>
      <c r="E579" s="563"/>
      <c r="F579" s="564"/>
      <c r="G579" s="565"/>
    </row>
    <row r="580" spans="1:7" s="246" customFormat="1" x14ac:dyDescent="0.3">
      <c r="A580" s="562"/>
      <c r="B580" s="563"/>
      <c r="C580" s="563"/>
      <c r="D580" s="563"/>
      <c r="E580" s="563"/>
      <c r="F580" s="564"/>
      <c r="G580" s="565"/>
    </row>
    <row r="581" spans="1:7" s="246" customFormat="1" x14ac:dyDescent="0.3">
      <c r="A581" s="562"/>
      <c r="B581" s="563"/>
      <c r="C581" s="563"/>
      <c r="D581" s="563"/>
      <c r="E581" s="563"/>
      <c r="F581" s="564"/>
      <c r="G581" s="565"/>
    </row>
    <row r="582" spans="1:7" s="246" customFormat="1" x14ac:dyDescent="0.3">
      <c r="A582" s="562"/>
      <c r="B582" s="563"/>
      <c r="C582" s="563"/>
      <c r="D582" s="563"/>
      <c r="E582" s="563"/>
      <c r="F582" s="564"/>
      <c r="G582" s="565"/>
    </row>
    <row r="583" spans="1:7" s="246" customFormat="1" x14ac:dyDescent="0.3">
      <c r="A583" s="562"/>
      <c r="B583" s="563"/>
      <c r="C583" s="563"/>
      <c r="D583" s="563"/>
      <c r="E583" s="563"/>
      <c r="F583" s="564"/>
      <c r="G583" s="565"/>
    </row>
    <row r="584" spans="1:7" s="246" customFormat="1" x14ac:dyDescent="0.3">
      <c r="A584" s="562"/>
      <c r="B584" s="563"/>
      <c r="C584" s="563"/>
      <c r="D584" s="563"/>
      <c r="E584" s="563"/>
      <c r="F584" s="564"/>
      <c r="G584" s="565"/>
    </row>
    <row r="585" spans="1:7" s="246" customFormat="1" x14ac:dyDescent="0.3">
      <c r="A585" s="562"/>
      <c r="B585" s="563"/>
      <c r="C585" s="563"/>
      <c r="D585" s="563"/>
      <c r="E585" s="563"/>
      <c r="F585" s="564"/>
      <c r="G585" s="565"/>
    </row>
    <row r="586" spans="1:7" s="246" customFormat="1" x14ac:dyDescent="0.3">
      <c r="A586" s="562"/>
      <c r="B586" s="563"/>
      <c r="C586" s="563"/>
      <c r="D586" s="563"/>
      <c r="E586" s="563"/>
      <c r="F586" s="564"/>
      <c r="G586" s="565"/>
    </row>
    <row r="587" spans="1:7" s="246" customFormat="1" x14ac:dyDescent="0.3">
      <c r="A587" s="562"/>
      <c r="B587" s="563"/>
      <c r="C587" s="563"/>
      <c r="D587" s="563"/>
      <c r="E587" s="563"/>
      <c r="F587" s="564"/>
      <c r="G587" s="565"/>
    </row>
    <row r="588" spans="1:7" s="246" customFormat="1" x14ac:dyDescent="0.3">
      <c r="A588" s="562"/>
      <c r="B588" s="563"/>
      <c r="C588" s="563"/>
      <c r="D588" s="563"/>
      <c r="E588" s="563"/>
      <c r="F588" s="564"/>
      <c r="G588" s="565"/>
    </row>
    <row r="589" spans="1:7" s="246" customFormat="1" x14ac:dyDescent="0.3">
      <c r="A589" s="562"/>
      <c r="B589" s="563"/>
      <c r="C589" s="563"/>
      <c r="D589" s="563"/>
      <c r="E589" s="563"/>
      <c r="F589" s="564"/>
      <c r="G589" s="565"/>
    </row>
    <row r="590" spans="1:7" s="246" customFormat="1" x14ac:dyDescent="0.3">
      <c r="A590" s="562"/>
      <c r="B590" s="563"/>
      <c r="C590" s="563"/>
      <c r="D590" s="563"/>
      <c r="E590" s="563"/>
      <c r="F590" s="564"/>
      <c r="G590" s="565"/>
    </row>
    <row r="591" spans="1:7" s="246" customFormat="1" x14ac:dyDescent="0.3">
      <c r="A591" s="562"/>
      <c r="B591" s="563"/>
      <c r="C591" s="563"/>
      <c r="D591" s="563"/>
      <c r="E591" s="563"/>
      <c r="F591" s="564"/>
      <c r="G591" s="565"/>
    </row>
    <row r="592" spans="1:7" s="246" customFormat="1" x14ac:dyDescent="0.3">
      <c r="A592" s="562"/>
      <c r="B592" s="563"/>
      <c r="C592" s="563"/>
      <c r="D592" s="563"/>
      <c r="E592" s="563"/>
      <c r="F592" s="564"/>
      <c r="G592" s="565"/>
    </row>
    <row r="593" spans="1:7" s="246" customFormat="1" x14ac:dyDescent="0.3">
      <c r="A593" s="562"/>
      <c r="B593" s="563"/>
      <c r="C593" s="563"/>
      <c r="D593" s="563"/>
      <c r="E593" s="563"/>
      <c r="F593" s="564"/>
      <c r="G593" s="565"/>
    </row>
    <row r="594" spans="1:7" s="246" customFormat="1" x14ac:dyDescent="0.3">
      <c r="A594" s="562"/>
      <c r="B594" s="563"/>
      <c r="C594" s="563"/>
      <c r="D594" s="563"/>
      <c r="E594" s="563"/>
      <c r="F594" s="564"/>
      <c r="G594" s="565"/>
    </row>
    <row r="595" spans="1:7" s="246" customFormat="1" x14ac:dyDescent="0.3">
      <c r="A595" s="562"/>
      <c r="B595" s="563"/>
      <c r="C595" s="563"/>
      <c r="D595" s="563"/>
      <c r="E595" s="563"/>
      <c r="F595" s="564"/>
      <c r="G595" s="565"/>
    </row>
    <row r="596" spans="1:7" s="246" customFormat="1" x14ac:dyDescent="0.3">
      <c r="A596" s="562"/>
      <c r="B596" s="563"/>
      <c r="C596" s="563"/>
      <c r="D596" s="563"/>
      <c r="E596" s="563"/>
      <c r="F596" s="564"/>
      <c r="G596" s="565"/>
    </row>
    <row r="597" spans="1:7" s="246" customFormat="1" x14ac:dyDescent="0.3">
      <c r="A597" s="562"/>
      <c r="B597" s="563"/>
      <c r="C597" s="563"/>
      <c r="D597" s="563"/>
      <c r="E597" s="563"/>
      <c r="F597" s="564"/>
      <c r="G597" s="565"/>
    </row>
    <row r="598" spans="1:7" s="246" customFormat="1" x14ac:dyDescent="0.3">
      <c r="A598" s="562"/>
      <c r="B598" s="563"/>
      <c r="C598" s="563"/>
      <c r="D598" s="563"/>
      <c r="E598" s="563"/>
      <c r="F598" s="564"/>
      <c r="G598" s="565"/>
    </row>
    <row r="599" spans="1:7" s="246" customFormat="1" x14ac:dyDescent="0.3">
      <c r="A599" s="562"/>
      <c r="B599" s="563"/>
      <c r="C599" s="563"/>
      <c r="D599" s="563"/>
      <c r="E599" s="563"/>
      <c r="F599" s="564"/>
      <c r="G599" s="565"/>
    </row>
    <row r="600" spans="1:7" s="246" customFormat="1" x14ac:dyDescent="0.3">
      <c r="A600" s="562"/>
      <c r="B600" s="563"/>
      <c r="C600" s="563"/>
      <c r="D600" s="563"/>
      <c r="E600" s="563"/>
      <c r="F600" s="564"/>
      <c r="G600" s="565"/>
    </row>
    <row r="601" spans="1:7" s="246" customFormat="1" x14ac:dyDescent="0.3">
      <c r="A601" s="562"/>
      <c r="B601" s="563"/>
      <c r="C601" s="563"/>
      <c r="D601" s="563"/>
      <c r="E601" s="563"/>
      <c r="F601" s="564"/>
      <c r="G601" s="565"/>
    </row>
    <row r="602" spans="1:7" s="246" customFormat="1" x14ac:dyDescent="0.3">
      <c r="A602" s="562"/>
      <c r="B602" s="563"/>
      <c r="C602" s="563"/>
      <c r="D602" s="563"/>
      <c r="E602" s="563"/>
      <c r="F602" s="564"/>
      <c r="G602" s="565"/>
    </row>
    <row r="603" spans="1:7" s="246" customFormat="1" x14ac:dyDescent="0.3">
      <c r="A603" s="562"/>
      <c r="B603" s="563"/>
      <c r="C603" s="563"/>
      <c r="D603" s="563"/>
      <c r="E603" s="563"/>
      <c r="F603" s="564"/>
      <c r="G603" s="565"/>
    </row>
    <row r="604" spans="1:7" s="246" customFormat="1" x14ac:dyDescent="0.3">
      <c r="A604" s="562"/>
      <c r="B604" s="563"/>
      <c r="C604" s="563"/>
      <c r="D604" s="563"/>
      <c r="E604" s="563"/>
      <c r="F604" s="564"/>
      <c r="G604" s="565"/>
    </row>
    <row r="605" spans="1:7" s="246" customFormat="1" x14ac:dyDescent="0.3">
      <c r="A605" s="562"/>
      <c r="B605" s="563"/>
      <c r="C605" s="563"/>
      <c r="D605" s="563"/>
      <c r="E605" s="563"/>
      <c r="F605" s="564"/>
      <c r="G605" s="565"/>
    </row>
    <row r="606" spans="1:7" s="246" customFormat="1" x14ac:dyDescent="0.3">
      <c r="A606" s="562"/>
      <c r="B606" s="563"/>
      <c r="C606" s="563"/>
      <c r="D606" s="563"/>
      <c r="E606" s="563"/>
      <c r="F606" s="564"/>
      <c r="G606" s="565"/>
    </row>
    <row r="607" spans="1:7" s="246" customFormat="1" x14ac:dyDescent="0.3">
      <c r="A607" s="562"/>
      <c r="B607" s="563"/>
      <c r="C607" s="563"/>
      <c r="D607" s="563"/>
      <c r="E607" s="563"/>
      <c r="F607" s="564"/>
      <c r="G607" s="565"/>
    </row>
    <row r="608" spans="1:7" s="246" customFormat="1" x14ac:dyDescent="0.3">
      <c r="A608" s="562"/>
      <c r="B608" s="563"/>
      <c r="C608" s="563"/>
      <c r="D608" s="563"/>
      <c r="E608" s="563"/>
      <c r="F608" s="564"/>
      <c r="G608" s="565"/>
    </row>
    <row r="609" spans="1:7" s="246" customFormat="1" x14ac:dyDescent="0.3">
      <c r="A609" s="562"/>
      <c r="B609" s="563"/>
      <c r="C609" s="563"/>
      <c r="D609" s="563"/>
      <c r="E609" s="563"/>
      <c r="F609" s="564"/>
      <c r="G609" s="565"/>
    </row>
    <row r="610" spans="1:7" s="246" customFormat="1" x14ac:dyDescent="0.3">
      <c r="A610" s="562"/>
      <c r="B610" s="563"/>
      <c r="C610" s="563"/>
      <c r="D610" s="563"/>
      <c r="E610" s="563"/>
      <c r="F610" s="564"/>
      <c r="G610" s="565"/>
    </row>
    <row r="611" spans="1:7" s="246" customFormat="1" x14ac:dyDescent="0.3">
      <c r="A611" s="562"/>
      <c r="B611" s="563"/>
      <c r="C611" s="563"/>
      <c r="D611" s="563"/>
      <c r="E611" s="563"/>
      <c r="F611" s="564"/>
      <c r="G611" s="565"/>
    </row>
    <row r="612" spans="1:7" s="246" customFormat="1" x14ac:dyDescent="0.3">
      <c r="A612" s="562"/>
      <c r="B612" s="563"/>
      <c r="C612" s="563"/>
      <c r="D612" s="563"/>
      <c r="E612" s="563"/>
      <c r="F612" s="564"/>
      <c r="G612" s="565"/>
    </row>
    <row r="613" spans="1:7" s="246" customFormat="1" x14ac:dyDescent="0.3">
      <c r="A613" s="562"/>
      <c r="B613" s="563"/>
      <c r="C613" s="563"/>
      <c r="D613" s="563"/>
      <c r="E613" s="563"/>
      <c r="F613" s="564"/>
      <c r="G613" s="565"/>
    </row>
    <row r="614" spans="1:7" s="246" customFormat="1" x14ac:dyDescent="0.3">
      <c r="A614" s="562"/>
      <c r="B614" s="563"/>
      <c r="C614" s="563"/>
      <c r="D614" s="563"/>
      <c r="E614" s="563"/>
      <c r="F614" s="564"/>
      <c r="G614" s="565"/>
    </row>
    <row r="615" spans="1:7" s="246" customFormat="1" x14ac:dyDescent="0.3">
      <c r="A615" s="562"/>
      <c r="B615" s="563"/>
      <c r="C615" s="563"/>
      <c r="D615" s="563"/>
      <c r="E615" s="563"/>
      <c r="F615" s="564"/>
      <c r="G615" s="565"/>
    </row>
    <row r="616" spans="1:7" s="246" customFormat="1" x14ac:dyDescent="0.3">
      <c r="A616" s="562"/>
      <c r="B616" s="563"/>
      <c r="C616" s="563"/>
      <c r="D616" s="563"/>
      <c r="E616" s="563"/>
      <c r="F616" s="564"/>
      <c r="G616" s="565"/>
    </row>
    <row r="617" spans="1:7" s="246" customFormat="1" x14ac:dyDescent="0.3">
      <c r="A617" s="562"/>
      <c r="B617" s="563"/>
      <c r="C617" s="563"/>
      <c r="D617" s="563"/>
      <c r="E617" s="563"/>
      <c r="F617" s="564"/>
      <c r="G617" s="565"/>
    </row>
    <row r="618" spans="1:7" s="246" customFormat="1" x14ac:dyDescent="0.3">
      <c r="A618" s="562"/>
      <c r="B618" s="563"/>
      <c r="C618" s="563"/>
      <c r="D618" s="563"/>
      <c r="E618" s="563"/>
      <c r="F618" s="564"/>
      <c r="G618" s="565"/>
    </row>
    <row r="619" spans="1:7" s="246" customFormat="1" x14ac:dyDescent="0.3">
      <c r="A619" s="562"/>
      <c r="B619" s="563"/>
      <c r="C619" s="563"/>
      <c r="D619" s="563"/>
      <c r="E619" s="563"/>
      <c r="F619" s="564"/>
      <c r="G619" s="565"/>
    </row>
    <row r="620" spans="1:7" s="246" customFormat="1" x14ac:dyDescent="0.3">
      <c r="A620" s="562"/>
      <c r="B620" s="563"/>
      <c r="C620" s="563"/>
      <c r="D620" s="563"/>
      <c r="E620" s="563"/>
      <c r="F620" s="564"/>
      <c r="G620" s="565"/>
    </row>
    <row r="621" spans="1:7" s="246" customFormat="1" x14ac:dyDescent="0.3">
      <c r="A621" s="562"/>
      <c r="B621" s="563"/>
      <c r="C621" s="563"/>
      <c r="D621" s="563"/>
      <c r="E621" s="563"/>
      <c r="F621" s="564"/>
      <c r="G621" s="565"/>
    </row>
    <row r="622" spans="1:7" s="246" customFormat="1" x14ac:dyDescent="0.3">
      <c r="A622" s="562"/>
      <c r="B622" s="563"/>
      <c r="C622" s="563"/>
      <c r="D622" s="563"/>
      <c r="E622" s="563"/>
      <c r="F622" s="564"/>
      <c r="G622" s="565"/>
    </row>
    <row r="623" spans="1:7" s="246" customFormat="1" x14ac:dyDescent="0.3">
      <c r="A623" s="562"/>
      <c r="B623" s="563"/>
      <c r="C623" s="563"/>
      <c r="D623" s="563"/>
      <c r="E623" s="563"/>
      <c r="F623" s="564"/>
      <c r="G623" s="565"/>
    </row>
    <row r="624" spans="1:7" s="246" customFormat="1" x14ac:dyDescent="0.3">
      <c r="A624" s="562"/>
      <c r="B624" s="563"/>
      <c r="C624" s="563"/>
      <c r="D624" s="563"/>
      <c r="E624" s="563"/>
      <c r="F624" s="564"/>
      <c r="G624" s="565"/>
    </row>
    <row r="625" spans="1:7" s="246" customFormat="1" x14ac:dyDescent="0.3">
      <c r="A625" s="562"/>
      <c r="B625" s="563"/>
      <c r="C625" s="563"/>
      <c r="D625" s="563"/>
      <c r="E625" s="563"/>
      <c r="F625" s="564"/>
      <c r="G625" s="565"/>
    </row>
    <row r="626" spans="1:7" s="246" customFormat="1" x14ac:dyDescent="0.3">
      <c r="A626" s="562"/>
      <c r="B626" s="563"/>
      <c r="C626" s="563"/>
      <c r="D626" s="563"/>
      <c r="E626" s="563"/>
      <c r="F626" s="564"/>
      <c r="G626" s="565"/>
    </row>
    <row r="627" spans="1:7" s="246" customFormat="1" x14ac:dyDescent="0.3">
      <c r="A627" s="562"/>
      <c r="B627" s="563"/>
      <c r="C627" s="563"/>
      <c r="D627" s="563"/>
      <c r="E627" s="563"/>
      <c r="F627" s="564"/>
      <c r="G627" s="565"/>
    </row>
    <row r="628" spans="1:7" s="246" customFormat="1" x14ac:dyDescent="0.3">
      <c r="A628" s="562"/>
      <c r="B628" s="563"/>
      <c r="C628" s="563"/>
      <c r="D628" s="563"/>
      <c r="E628" s="563"/>
      <c r="F628" s="564"/>
      <c r="G628" s="565"/>
    </row>
    <row r="629" spans="1:7" s="246" customFormat="1" x14ac:dyDescent="0.3">
      <c r="A629" s="562"/>
      <c r="B629" s="563"/>
      <c r="C629" s="563"/>
      <c r="D629" s="563"/>
      <c r="E629" s="563"/>
      <c r="F629" s="564"/>
      <c r="G629" s="565"/>
    </row>
    <row r="630" spans="1:7" s="246" customFormat="1" x14ac:dyDescent="0.3">
      <c r="A630" s="562"/>
      <c r="B630" s="563"/>
      <c r="C630" s="563"/>
      <c r="D630" s="563"/>
      <c r="E630" s="563"/>
      <c r="F630" s="564"/>
      <c r="G630" s="565"/>
    </row>
    <row r="631" spans="1:7" s="246" customFormat="1" x14ac:dyDescent="0.3">
      <c r="A631" s="562"/>
      <c r="B631" s="563"/>
      <c r="C631" s="563"/>
      <c r="D631" s="563"/>
      <c r="E631" s="563"/>
      <c r="F631" s="564"/>
      <c r="G631" s="565"/>
    </row>
    <row r="632" spans="1:7" s="246" customFormat="1" x14ac:dyDescent="0.3">
      <c r="A632" s="562"/>
      <c r="B632" s="563"/>
      <c r="C632" s="563"/>
      <c r="D632" s="563"/>
      <c r="E632" s="563"/>
      <c r="F632" s="564"/>
      <c r="G632" s="565"/>
    </row>
    <row r="633" spans="1:7" s="246" customFormat="1" x14ac:dyDescent="0.3">
      <c r="A633" s="562"/>
      <c r="B633" s="563"/>
      <c r="C633" s="563"/>
      <c r="D633" s="563"/>
      <c r="E633" s="563"/>
      <c r="F633" s="564"/>
      <c r="G633" s="565"/>
    </row>
    <row r="634" spans="1:7" s="246" customFormat="1" x14ac:dyDescent="0.3">
      <c r="A634" s="562"/>
      <c r="B634" s="563"/>
      <c r="C634" s="563"/>
      <c r="D634" s="563"/>
      <c r="E634" s="563"/>
      <c r="F634" s="564"/>
      <c r="G634" s="565"/>
    </row>
    <row r="635" spans="1:7" s="246" customFormat="1" x14ac:dyDescent="0.3">
      <c r="A635" s="562"/>
      <c r="B635" s="563"/>
      <c r="C635" s="563"/>
      <c r="D635" s="563"/>
      <c r="E635" s="563"/>
      <c r="F635" s="564"/>
      <c r="G635" s="565"/>
    </row>
    <row r="636" spans="1:7" s="246" customFormat="1" x14ac:dyDescent="0.3">
      <c r="A636" s="562"/>
      <c r="B636" s="563"/>
      <c r="C636" s="563"/>
      <c r="D636" s="563"/>
      <c r="E636" s="563"/>
      <c r="F636" s="564"/>
      <c r="G636" s="565"/>
    </row>
    <row r="637" spans="1:7" s="246" customFormat="1" x14ac:dyDescent="0.3">
      <c r="A637" s="562"/>
      <c r="B637" s="563"/>
      <c r="C637" s="563"/>
      <c r="D637" s="563"/>
      <c r="E637" s="563"/>
      <c r="F637" s="564"/>
      <c r="G637" s="565"/>
    </row>
    <row r="638" spans="1:7" s="246" customFormat="1" x14ac:dyDescent="0.3">
      <c r="A638" s="562"/>
      <c r="B638" s="563"/>
      <c r="C638" s="563"/>
      <c r="D638" s="563"/>
      <c r="E638" s="563"/>
      <c r="F638" s="564"/>
      <c r="G638" s="565"/>
    </row>
    <row r="639" spans="1:7" s="246" customFormat="1" x14ac:dyDescent="0.3">
      <c r="A639" s="562"/>
      <c r="B639" s="563"/>
      <c r="C639" s="563"/>
      <c r="D639" s="563"/>
      <c r="E639" s="563"/>
      <c r="F639" s="564"/>
      <c r="G639" s="565"/>
    </row>
    <row r="640" spans="1:7" s="246" customFormat="1" x14ac:dyDescent="0.3">
      <c r="A640" s="562"/>
      <c r="B640" s="563"/>
      <c r="C640" s="563"/>
      <c r="D640" s="563"/>
      <c r="E640" s="563"/>
      <c r="F640" s="564"/>
      <c r="G640" s="565"/>
    </row>
    <row r="641" spans="1:7" s="246" customFormat="1" x14ac:dyDescent="0.3">
      <c r="A641" s="562"/>
      <c r="B641" s="563"/>
      <c r="C641" s="563"/>
      <c r="D641" s="563"/>
      <c r="E641" s="563"/>
      <c r="F641" s="564"/>
      <c r="G641" s="565"/>
    </row>
    <row r="642" spans="1:7" s="246" customFormat="1" x14ac:dyDescent="0.3">
      <c r="A642" s="562"/>
      <c r="B642" s="563"/>
      <c r="C642" s="563"/>
      <c r="D642" s="563"/>
      <c r="E642" s="563"/>
      <c r="F642" s="564"/>
      <c r="G642" s="565"/>
    </row>
    <row r="643" spans="1:7" s="246" customFormat="1" x14ac:dyDescent="0.3">
      <c r="A643" s="562"/>
      <c r="B643" s="563"/>
      <c r="C643" s="563"/>
      <c r="D643" s="563"/>
      <c r="E643" s="563"/>
      <c r="F643" s="564"/>
      <c r="G643" s="565"/>
    </row>
    <row r="644" spans="1:7" s="246" customFormat="1" x14ac:dyDescent="0.3">
      <c r="A644" s="562"/>
      <c r="B644" s="563"/>
      <c r="C644" s="563"/>
      <c r="D644" s="563"/>
      <c r="E644" s="563"/>
      <c r="F644" s="564"/>
      <c r="G644" s="565"/>
    </row>
    <row r="645" spans="1:7" s="246" customFormat="1" x14ac:dyDescent="0.3">
      <c r="A645" s="562"/>
      <c r="B645" s="563"/>
      <c r="C645" s="563"/>
      <c r="D645" s="563"/>
      <c r="E645" s="563"/>
      <c r="F645" s="564"/>
      <c r="G645" s="565"/>
    </row>
    <row r="646" spans="1:7" s="246" customFormat="1" x14ac:dyDescent="0.3">
      <c r="A646" s="562"/>
      <c r="B646" s="563"/>
      <c r="C646" s="563"/>
      <c r="D646" s="563"/>
      <c r="E646" s="563"/>
      <c r="F646" s="564"/>
      <c r="G646" s="565"/>
    </row>
    <row r="647" spans="1:7" s="246" customFormat="1" x14ac:dyDescent="0.3">
      <c r="A647" s="562"/>
      <c r="B647" s="563"/>
      <c r="C647" s="563"/>
      <c r="D647" s="563"/>
      <c r="E647" s="563"/>
      <c r="F647" s="564"/>
      <c r="G647" s="565"/>
    </row>
    <row r="648" spans="1:7" s="246" customFormat="1" x14ac:dyDescent="0.3">
      <c r="A648" s="562"/>
      <c r="B648" s="563"/>
      <c r="C648" s="563"/>
      <c r="D648" s="563"/>
      <c r="E648" s="563"/>
      <c r="F648" s="564"/>
      <c r="G648" s="565"/>
    </row>
    <row r="649" spans="1:7" s="246" customFormat="1" x14ac:dyDescent="0.3">
      <c r="A649" s="562"/>
      <c r="B649" s="563"/>
      <c r="C649" s="563"/>
      <c r="D649" s="563"/>
      <c r="E649" s="563"/>
      <c r="F649" s="564"/>
      <c r="G649" s="565"/>
    </row>
    <row r="650" spans="1:7" s="246" customFormat="1" x14ac:dyDescent="0.3">
      <c r="A650" s="562"/>
      <c r="B650" s="563"/>
      <c r="C650" s="563"/>
      <c r="D650" s="563"/>
      <c r="E650" s="563"/>
      <c r="F650" s="564"/>
      <c r="G650" s="565"/>
    </row>
    <row r="651" spans="1:7" s="246" customFormat="1" x14ac:dyDescent="0.3">
      <c r="A651" s="562"/>
      <c r="B651" s="563"/>
      <c r="C651" s="563"/>
      <c r="D651" s="563"/>
      <c r="E651" s="563"/>
      <c r="F651" s="564"/>
      <c r="G651" s="565"/>
    </row>
    <row r="652" spans="1:7" s="246" customFormat="1" x14ac:dyDescent="0.3">
      <c r="A652" s="562"/>
      <c r="B652" s="563"/>
      <c r="C652" s="563"/>
      <c r="D652" s="563"/>
      <c r="E652" s="563"/>
      <c r="F652" s="564"/>
      <c r="G652" s="565"/>
    </row>
    <row r="653" spans="1:7" s="246" customFormat="1" x14ac:dyDescent="0.3">
      <c r="A653" s="562"/>
      <c r="B653" s="563"/>
      <c r="C653" s="563"/>
      <c r="D653" s="563"/>
      <c r="E653" s="563"/>
      <c r="F653" s="564"/>
      <c r="G653" s="565"/>
    </row>
    <row r="654" spans="1:7" s="246" customFormat="1" x14ac:dyDescent="0.3">
      <c r="A654" s="562"/>
      <c r="B654" s="563"/>
      <c r="C654" s="563"/>
      <c r="D654" s="563"/>
      <c r="E654" s="563"/>
      <c r="F654" s="564"/>
      <c r="G654" s="565"/>
    </row>
    <row r="655" spans="1:7" s="246" customFormat="1" x14ac:dyDescent="0.3">
      <c r="A655" s="562"/>
      <c r="B655" s="563"/>
      <c r="C655" s="563"/>
      <c r="D655" s="563"/>
      <c r="E655" s="563"/>
      <c r="F655" s="564"/>
      <c r="G655" s="565"/>
    </row>
    <row r="656" spans="1:7" s="246" customFormat="1" x14ac:dyDescent="0.3">
      <c r="A656" s="562"/>
      <c r="B656" s="563"/>
      <c r="C656" s="563"/>
      <c r="D656" s="563"/>
      <c r="E656" s="563"/>
      <c r="F656" s="564"/>
      <c r="G656" s="565"/>
    </row>
    <row r="657" spans="1:7" s="246" customFormat="1" x14ac:dyDescent="0.3">
      <c r="A657" s="562"/>
      <c r="B657" s="563"/>
      <c r="C657" s="563"/>
      <c r="D657" s="563"/>
      <c r="E657" s="563"/>
      <c r="F657" s="564"/>
      <c r="G657" s="565"/>
    </row>
    <row r="658" spans="1:7" s="246" customFormat="1" x14ac:dyDescent="0.3">
      <c r="A658" s="562"/>
      <c r="B658" s="563"/>
      <c r="C658" s="563"/>
      <c r="D658" s="563"/>
      <c r="E658" s="563"/>
      <c r="F658" s="564"/>
      <c r="G658" s="565"/>
    </row>
    <row r="659" spans="1:7" s="246" customFormat="1" x14ac:dyDescent="0.3">
      <c r="A659" s="562"/>
      <c r="B659" s="563"/>
      <c r="C659" s="563"/>
      <c r="D659" s="563"/>
      <c r="E659" s="563"/>
      <c r="F659" s="564"/>
      <c r="G659" s="565"/>
    </row>
    <row r="660" spans="1:7" s="246" customFormat="1" x14ac:dyDescent="0.3">
      <c r="A660" s="562"/>
      <c r="B660" s="563"/>
      <c r="C660" s="563"/>
      <c r="D660" s="563"/>
      <c r="E660" s="563"/>
      <c r="F660" s="564"/>
      <c r="G660" s="565"/>
    </row>
    <row r="661" spans="1:7" s="246" customFormat="1" x14ac:dyDescent="0.3">
      <c r="A661" s="562"/>
      <c r="B661" s="563"/>
      <c r="C661" s="563"/>
      <c r="D661" s="563"/>
      <c r="E661" s="563"/>
      <c r="F661" s="564"/>
      <c r="G661" s="565"/>
    </row>
    <row r="662" spans="1:7" s="246" customFormat="1" x14ac:dyDescent="0.3">
      <c r="A662" s="562"/>
      <c r="B662" s="563"/>
      <c r="C662" s="563"/>
      <c r="D662" s="563"/>
      <c r="E662" s="563"/>
      <c r="F662" s="564"/>
      <c r="G662" s="565"/>
    </row>
    <row r="663" spans="1:7" s="246" customFormat="1" x14ac:dyDescent="0.3">
      <c r="A663" s="562"/>
      <c r="B663" s="563"/>
      <c r="C663" s="563"/>
      <c r="D663" s="563"/>
      <c r="E663" s="563"/>
      <c r="F663" s="564"/>
      <c r="G663" s="565"/>
    </row>
    <row r="664" spans="1:7" s="246" customFormat="1" x14ac:dyDescent="0.3">
      <c r="A664" s="562"/>
      <c r="B664" s="563"/>
      <c r="C664" s="563"/>
      <c r="D664" s="563"/>
      <c r="E664" s="563"/>
      <c r="F664" s="564"/>
      <c r="G664" s="565"/>
    </row>
    <row r="665" spans="1:7" s="246" customFormat="1" x14ac:dyDescent="0.3">
      <c r="A665" s="562"/>
      <c r="B665" s="563"/>
      <c r="C665" s="563"/>
      <c r="D665" s="563"/>
      <c r="E665" s="563"/>
      <c r="F665" s="564"/>
      <c r="G665" s="565"/>
    </row>
    <row r="666" spans="1:7" s="246" customFormat="1" x14ac:dyDescent="0.3">
      <c r="A666" s="562"/>
      <c r="B666" s="563"/>
      <c r="C666" s="563"/>
      <c r="D666" s="563"/>
      <c r="E666" s="563"/>
      <c r="F666" s="564"/>
      <c r="G666" s="565"/>
    </row>
    <row r="667" spans="1:7" s="246" customFormat="1" x14ac:dyDescent="0.3">
      <c r="A667" s="562"/>
      <c r="B667" s="563"/>
      <c r="C667" s="563"/>
      <c r="D667" s="563"/>
      <c r="E667" s="563"/>
      <c r="F667" s="564"/>
      <c r="G667" s="565"/>
    </row>
    <row r="668" spans="1:7" s="246" customFormat="1" x14ac:dyDescent="0.3">
      <c r="A668" s="562"/>
      <c r="B668" s="563"/>
      <c r="C668" s="563"/>
      <c r="D668" s="563"/>
      <c r="E668" s="563"/>
      <c r="F668" s="564"/>
      <c r="G668" s="565"/>
    </row>
    <row r="669" spans="1:7" s="246" customFormat="1" x14ac:dyDescent="0.3">
      <c r="A669" s="562"/>
      <c r="B669" s="563"/>
      <c r="C669" s="563"/>
      <c r="D669" s="563"/>
      <c r="E669" s="563"/>
      <c r="F669" s="564"/>
      <c r="G669" s="565"/>
    </row>
    <row r="670" spans="1:7" s="246" customFormat="1" x14ac:dyDescent="0.3">
      <c r="A670" s="562"/>
      <c r="B670" s="563"/>
      <c r="C670" s="563"/>
      <c r="D670" s="563"/>
      <c r="E670" s="563"/>
      <c r="F670" s="564"/>
      <c r="G670" s="565"/>
    </row>
    <row r="671" spans="1:7" s="246" customFormat="1" x14ac:dyDescent="0.3">
      <c r="A671" s="562"/>
      <c r="B671" s="563"/>
      <c r="C671" s="563"/>
      <c r="D671" s="563"/>
      <c r="E671" s="563"/>
      <c r="F671" s="564"/>
      <c r="G671" s="565"/>
    </row>
    <row r="672" spans="1:7" s="246" customFormat="1" x14ac:dyDescent="0.3">
      <c r="A672" s="562"/>
      <c r="B672" s="563"/>
      <c r="C672" s="563"/>
      <c r="D672" s="563"/>
      <c r="E672" s="563"/>
      <c r="F672" s="564"/>
      <c r="G672" s="56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7C6D6-204D-44F6-9D8B-FB0D2E7FC687}">
  <sheetPr>
    <tabColor rgb="FFFF0000"/>
  </sheetPr>
  <dimension ref="B1:N52"/>
  <sheetViews>
    <sheetView zoomScale="53" workbookViewId="0">
      <selection activeCell="F17" sqref="F17"/>
    </sheetView>
  </sheetViews>
  <sheetFormatPr defaultRowHeight="14.4" x14ac:dyDescent="0.3"/>
  <cols>
    <col min="2" max="2" width="18.88671875" customWidth="1"/>
    <col min="3" max="3" width="43.88671875" style="554" bestFit="1" customWidth="1"/>
    <col min="4" max="4" width="15" style="554" customWidth="1"/>
    <col min="5" max="5" width="15" style="554" bestFit="1" customWidth="1"/>
    <col min="6" max="6" width="15.88671875" bestFit="1" customWidth="1"/>
    <col min="7" max="7" width="15" customWidth="1"/>
    <col min="9" max="9" width="18.88671875" customWidth="1"/>
    <col min="10" max="10" width="43.88671875" style="554" bestFit="1" customWidth="1"/>
    <col min="11" max="11" width="15" style="554" customWidth="1"/>
    <col min="12" max="12" width="14.44140625" style="554" customWidth="1"/>
    <col min="13" max="13" width="14.109375" customWidth="1"/>
    <col min="14" max="14" width="15" customWidth="1"/>
  </cols>
  <sheetData>
    <row r="1" spans="2:14" x14ac:dyDescent="0.3">
      <c r="D1" s="555" t="s">
        <v>1226</v>
      </c>
      <c r="E1" s="555"/>
      <c r="F1" s="555"/>
      <c r="G1" s="555"/>
    </row>
    <row r="2" spans="2:14" x14ac:dyDescent="0.3">
      <c r="D2" s="554" t="s">
        <v>1221</v>
      </c>
      <c r="F2" s="554" t="s">
        <v>1222</v>
      </c>
      <c r="G2" s="554"/>
      <c r="K2" s="554" t="s">
        <v>1221</v>
      </c>
      <c r="M2" s="554" t="s">
        <v>1222</v>
      </c>
      <c r="N2" s="554"/>
    </row>
    <row r="3" spans="2:14" x14ac:dyDescent="0.3">
      <c r="D3" s="554" t="s">
        <v>102</v>
      </c>
      <c r="E3" s="554" t="s">
        <v>1212</v>
      </c>
      <c r="F3" s="554" t="s">
        <v>102</v>
      </c>
      <c r="G3" t="s">
        <v>1212</v>
      </c>
      <c r="K3" s="554" t="s">
        <v>102</v>
      </c>
      <c r="L3" s="554" t="s">
        <v>1212</v>
      </c>
      <c r="M3" s="554" t="s">
        <v>102</v>
      </c>
      <c r="N3" t="s">
        <v>1212</v>
      </c>
    </row>
    <row r="4" spans="2:14" x14ac:dyDescent="0.3">
      <c r="C4" s="554" t="s">
        <v>1223</v>
      </c>
      <c r="D4" s="553" t="s">
        <v>1210</v>
      </c>
      <c r="E4" s="553" t="s">
        <v>1211</v>
      </c>
      <c r="F4" s="553" t="s">
        <v>1210</v>
      </c>
      <c r="G4" s="553" t="s">
        <v>1211</v>
      </c>
      <c r="J4" s="554" t="s">
        <v>1223</v>
      </c>
      <c r="K4" s="553" t="s">
        <v>1210</v>
      </c>
      <c r="L4" s="553" t="s">
        <v>1211</v>
      </c>
      <c r="M4" s="553" t="s">
        <v>1210</v>
      </c>
      <c r="N4" s="553" t="s">
        <v>1211</v>
      </c>
    </row>
    <row r="5" spans="2:14" x14ac:dyDescent="0.3">
      <c r="B5" s="546" t="s">
        <v>245</v>
      </c>
      <c r="C5" s="219" t="s">
        <v>1225</v>
      </c>
      <c r="D5" s="551">
        <v>1</v>
      </c>
      <c r="E5" s="551">
        <v>1</v>
      </c>
      <c r="F5" s="551">
        <v>1</v>
      </c>
      <c r="G5" s="551">
        <v>1</v>
      </c>
      <c r="I5" s="546" t="s">
        <v>245</v>
      </c>
      <c r="J5" s="219" t="s">
        <v>1225</v>
      </c>
      <c r="K5" s="551">
        <v>0.15</v>
      </c>
      <c r="L5" s="551">
        <v>0.15</v>
      </c>
      <c r="M5" s="551">
        <v>0.2</v>
      </c>
      <c r="N5" s="551">
        <v>0.05</v>
      </c>
    </row>
    <row r="6" spans="2:14" x14ac:dyDescent="0.3">
      <c r="B6" s="546" t="s">
        <v>245</v>
      </c>
      <c r="C6" s="219" t="s">
        <v>490</v>
      </c>
      <c r="D6" s="551">
        <v>1</v>
      </c>
      <c r="E6" s="551">
        <v>1</v>
      </c>
      <c r="F6" s="551">
        <v>1</v>
      </c>
      <c r="G6" s="551">
        <v>1</v>
      </c>
      <c r="I6" s="546" t="s">
        <v>245</v>
      </c>
      <c r="J6" s="219" t="s">
        <v>490</v>
      </c>
      <c r="K6" s="551">
        <v>0.15</v>
      </c>
      <c r="L6" s="551">
        <v>0.15</v>
      </c>
      <c r="M6" s="551">
        <v>0.2</v>
      </c>
      <c r="N6" s="551">
        <v>0.05</v>
      </c>
    </row>
    <row r="7" spans="2:14" x14ac:dyDescent="0.3">
      <c r="B7" s="546" t="s">
        <v>245</v>
      </c>
      <c r="C7" s="219" t="s">
        <v>494</v>
      </c>
      <c r="D7" s="551">
        <v>1</v>
      </c>
      <c r="E7" s="551">
        <v>1</v>
      </c>
      <c r="F7" s="551">
        <v>1</v>
      </c>
      <c r="G7" s="551">
        <v>1</v>
      </c>
      <c r="I7" s="546" t="s">
        <v>245</v>
      </c>
      <c r="J7" s="219" t="s">
        <v>494</v>
      </c>
      <c r="K7" s="551">
        <v>0.15</v>
      </c>
      <c r="L7" s="551">
        <v>0.15</v>
      </c>
      <c r="M7" s="551">
        <v>0.2</v>
      </c>
      <c r="N7" s="551">
        <v>0.05</v>
      </c>
    </row>
    <row r="8" spans="2:14" x14ac:dyDescent="0.3">
      <c r="B8" s="546" t="s">
        <v>245</v>
      </c>
      <c r="C8" s="219" t="s">
        <v>499</v>
      </c>
      <c r="D8" s="551">
        <v>1</v>
      </c>
      <c r="E8" s="551">
        <v>1</v>
      </c>
      <c r="F8" s="551">
        <v>1</v>
      </c>
      <c r="G8" s="551">
        <v>1</v>
      </c>
      <c r="I8" s="546" t="s">
        <v>245</v>
      </c>
      <c r="J8" s="219" t="s">
        <v>499</v>
      </c>
      <c r="K8" s="551">
        <v>0.15</v>
      </c>
      <c r="L8" s="551">
        <v>0.15</v>
      </c>
      <c r="M8" s="551">
        <v>0.2</v>
      </c>
      <c r="N8" s="551">
        <v>0.05</v>
      </c>
    </row>
    <row r="9" spans="2:14" x14ac:dyDescent="0.3">
      <c r="B9" s="546" t="s">
        <v>245</v>
      </c>
      <c r="C9" s="219" t="s">
        <v>504</v>
      </c>
      <c r="D9" s="551">
        <v>1</v>
      </c>
      <c r="E9" s="551">
        <v>1</v>
      </c>
      <c r="F9" s="551">
        <v>1</v>
      </c>
      <c r="G9" s="551">
        <v>1</v>
      </c>
      <c r="I9" s="546" t="s">
        <v>245</v>
      </c>
      <c r="J9" s="219" t="s">
        <v>504</v>
      </c>
      <c r="K9" s="551">
        <v>0.15</v>
      </c>
      <c r="L9" s="551">
        <v>0.15</v>
      </c>
      <c r="M9" s="551">
        <v>0.2</v>
      </c>
      <c r="N9" s="551">
        <v>0.05</v>
      </c>
    </row>
    <row r="10" spans="2:14" x14ac:dyDescent="0.3">
      <c r="B10" s="546" t="s">
        <v>245</v>
      </c>
      <c r="C10" s="219" t="s">
        <v>507</v>
      </c>
      <c r="D10" s="551">
        <v>1</v>
      </c>
      <c r="E10" s="551">
        <v>1</v>
      </c>
      <c r="F10" s="551">
        <v>1</v>
      </c>
      <c r="G10" s="551">
        <v>1</v>
      </c>
      <c r="I10" s="546" t="s">
        <v>245</v>
      </c>
      <c r="J10" s="219" t="s">
        <v>507</v>
      </c>
      <c r="K10" s="551">
        <v>0.15</v>
      </c>
      <c r="L10" s="551">
        <v>0.15</v>
      </c>
      <c r="M10" s="551">
        <v>0.2</v>
      </c>
      <c r="N10" s="551">
        <v>0.05</v>
      </c>
    </row>
    <row r="11" spans="2:14" x14ac:dyDescent="0.3">
      <c r="B11" s="546" t="s">
        <v>245</v>
      </c>
      <c r="C11" s="219" t="s">
        <v>510</v>
      </c>
      <c r="D11" s="551">
        <v>1</v>
      </c>
      <c r="E11" s="551">
        <v>1</v>
      </c>
      <c r="F11" s="551">
        <v>1</v>
      </c>
      <c r="G11" s="551">
        <v>1</v>
      </c>
      <c r="I11" s="546" t="s">
        <v>245</v>
      </c>
      <c r="J11" s="219" t="s">
        <v>510</v>
      </c>
      <c r="K11" s="551">
        <v>0.15</v>
      </c>
      <c r="L11" s="551">
        <v>0.15</v>
      </c>
      <c r="M11" s="551">
        <v>0.2</v>
      </c>
      <c r="N11" s="551">
        <v>0.05</v>
      </c>
    </row>
    <row r="12" spans="2:14" x14ac:dyDescent="0.3">
      <c r="B12" s="546" t="s">
        <v>245</v>
      </c>
      <c r="C12" s="219" t="s">
        <v>514</v>
      </c>
      <c r="D12" s="551">
        <v>1</v>
      </c>
      <c r="E12" s="551">
        <v>1</v>
      </c>
      <c r="F12" s="551">
        <v>1</v>
      </c>
      <c r="G12" s="551">
        <v>1</v>
      </c>
      <c r="I12" s="546" t="s">
        <v>245</v>
      </c>
      <c r="J12" s="219" t="s">
        <v>514</v>
      </c>
      <c r="K12" s="551">
        <v>0.15</v>
      </c>
      <c r="L12" s="551">
        <v>0.15</v>
      </c>
      <c r="M12" s="551">
        <v>0.2</v>
      </c>
      <c r="N12" s="551">
        <v>0.05</v>
      </c>
    </row>
    <row r="13" spans="2:14" x14ac:dyDescent="0.3">
      <c r="B13" s="546" t="s">
        <v>245</v>
      </c>
      <c r="C13" s="219" t="s">
        <v>516</v>
      </c>
      <c r="D13" s="551">
        <v>1</v>
      </c>
      <c r="E13" s="551">
        <v>1</v>
      </c>
      <c r="F13" s="551">
        <v>1</v>
      </c>
      <c r="G13" s="551">
        <v>1</v>
      </c>
      <c r="I13" s="546" t="s">
        <v>245</v>
      </c>
      <c r="J13" s="219" t="s">
        <v>516</v>
      </c>
      <c r="K13" s="551">
        <v>0.15</v>
      </c>
      <c r="L13" s="551">
        <v>0.15</v>
      </c>
      <c r="M13" s="551">
        <v>0.2</v>
      </c>
      <c r="N13" s="551">
        <v>0.05</v>
      </c>
    </row>
    <row r="14" spans="2:14" x14ac:dyDescent="0.3">
      <c r="B14" s="546" t="s">
        <v>245</v>
      </c>
      <c r="C14" s="219" t="s">
        <v>518</v>
      </c>
      <c r="D14" s="551">
        <v>1</v>
      </c>
      <c r="E14" s="551">
        <v>1</v>
      </c>
      <c r="F14" s="551">
        <v>1</v>
      </c>
      <c r="G14" s="551">
        <v>1</v>
      </c>
      <c r="I14" s="546" t="s">
        <v>245</v>
      </c>
      <c r="J14" s="219" t="s">
        <v>518</v>
      </c>
      <c r="K14" s="551">
        <v>0.15</v>
      </c>
      <c r="L14" s="551">
        <v>0.15</v>
      </c>
      <c r="M14" s="551">
        <v>0.2</v>
      </c>
      <c r="N14" s="551">
        <v>0.05</v>
      </c>
    </row>
    <row r="15" spans="2:14" x14ac:dyDescent="0.3">
      <c r="B15" s="546" t="s">
        <v>1202</v>
      </c>
      <c r="C15" s="219" t="s">
        <v>184</v>
      </c>
      <c r="D15" s="551">
        <v>1</v>
      </c>
      <c r="E15" s="551">
        <v>1</v>
      </c>
      <c r="F15" s="551">
        <v>1</v>
      </c>
      <c r="G15" s="551">
        <v>1</v>
      </c>
      <c r="I15" s="546" t="s">
        <v>1202</v>
      </c>
      <c r="J15" s="219" t="s">
        <v>184</v>
      </c>
      <c r="K15" s="551">
        <v>0.15</v>
      </c>
      <c r="L15" s="551">
        <v>0.15</v>
      </c>
      <c r="M15" s="551">
        <v>0.2</v>
      </c>
      <c r="N15" s="551">
        <v>0.05</v>
      </c>
    </row>
    <row r="16" spans="2:14" x14ac:dyDescent="0.3">
      <c r="B16" s="546" t="s">
        <v>1203</v>
      </c>
      <c r="C16" s="219" t="s">
        <v>1224</v>
      </c>
      <c r="D16" s="551">
        <v>1</v>
      </c>
      <c r="E16" s="551">
        <v>1</v>
      </c>
      <c r="F16" s="551">
        <v>1</v>
      </c>
      <c r="G16" s="551">
        <v>1</v>
      </c>
      <c r="I16" s="546" t="s">
        <v>1203</v>
      </c>
      <c r="J16" s="219" t="s">
        <v>1224</v>
      </c>
      <c r="K16" s="551">
        <v>0.25</v>
      </c>
      <c r="L16" s="551">
        <v>0.25</v>
      </c>
      <c r="M16" s="551">
        <v>0.2</v>
      </c>
      <c r="N16" s="551">
        <v>0.05</v>
      </c>
    </row>
    <row r="17" spans="2:14" x14ac:dyDescent="0.3">
      <c r="B17" s="546" t="s">
        <v>1203</v>
      </c>
      <c r="C17" s="219" t="s">
        <v>486</v>
      </c>
      <c r="D17" s="551">
        <v>1</v>
      </c>
      <c r="E17" s="551">
        <v>1</v>
      </c>
      <c r="F17" s="551">
        <v>1</v>
      </c>
      <c r="G17" s="551">
        <v>1</v>
      </c>
      <c r="I17" s="546" t="s">
        <v>1203</v>
      </c>
      <c r="J17" s="219" t="s">
        <v>486</v>
      </c>
      <c r="K17" s="551">
        <v>0.25</v>
      </c>
      <c r="L17" s="551">
        <v>0.25</v>
      </c>
      <c r="M17" s="551">
        <v>0.2</v>
      </c>
      <c r="N17" s="551">
        <v>0.05</v>
      </c>
    </row>
    <row r="18" spans="2:14" x14ac:dyDescent="0.3">
      <c r="B18" s="546" t="s">
        <v>1203</v>
      </c>
      <c r="C18" s="219" t="s">
        <v>488</v>
      </c>
      <c r="D18" s="551">
        <v>1</v>
      </c>
      <c r="E18" s="551">
        <v>1</v>
      </c>
      <c r="F18" s="551">
        <v>1</v>
      </c>
      <c r="G18" s="551">
        <v>1</v>
      </c>
      <c r="I18" s="546" t="s">
        <v>1203</v>
      </c>
      <c r="J18" s="219" t="s">
        <v>488</v>
      </c>
      <c r="K18" s="551">
        <v>0.25</v>
      </c>
      <c r="L18" s="551">
        <v>0.25</v>
      </c>
      <c r="M18" s="551">
        <v>0.2</v>
      </c>
      <c r="N18" s="551">
        <v>0.05</v>
      </c>
    </row>
    <row r="19" spans="2:14" x14ac:dyDescent="0.3">
      <c r="B19" s="546" t="s">
        <v>1204</v>
      </c>
      <c r="C19" s="219"/>
      <c r="D19" s="551">
        <v>1</v>
      </c>
      <c r="E19" s="551"/>
      <c r="F19" s="551">
        <v>1</v>
      </c>
      <c r="G19" s="552"/>
      <c r="I19" s="546" t="s">
        <v>1204</v>
      </c>
      <c r="J19" s="219"/>
      <c r="K19" s="551">
        <v>0.25</v>
      </c>
      <c r="L19" s="551"/>
      <c r="M19" s="551">
        <v>0.2</v>
      </c>
      <c r="N19" s="552"/>
    </row>
    <row r="20" spans="2:14" x14ac:dyDescent="0.3">
      <c r="B20" s="546" t="s">
        <v>254</v>
      </c>
      <c r="C20" s="219"/>
      <c r="D20" s="551">
        <v>1</v>
      </c>
      <c r="E20" s="551">
        <v>1</v>
      </c>
      <c r="F20" s="551">
        <v>1</v>
      </c>
      <c r="G20" s="551">
        <v>1</v>
      </c>
      <c r="I20" s="546" t="s">
        <v>254</v>
      </c>
      <c r="J20" s="219"/>
      <c r="K20" s="551">
        <v>0.25</v>
      </c>
      <c r="L20" s="551">
        <v>0.25</v>
      </c>
      <c r="M20" s="551">
        <v>0.2</v>
      </c>
      <c r="N20" s="551">
        <v>0.05</v>
      </c>
    </row>
    <row r="21" spans="2:14" x14ac:dyDescent="0.3">
      <c r="B21" s="546" t="s">
        <v>1205</v>
      </c>
      <c r="C21" s="219" t="s">
        <v>146</v>
      </c>
      <c r="D21" s="551">
        <v>1</v>
      </c>
      <c r="E21" s="551">
        <v>1</v>
      </c>
      <c r="F21" s="551">
        <v>1</v>
      </c>
      <c r="G21" s="551">
        <v>1</v>
      </c>
      <c r="I21" s="546" t="s">
        <v>1205</v>
      </c>
      <c r="J21" s="219" t="s">
        <v>146</v>
      </c>
      <c r="K21" s="551">
        <v>0.15</v>
      </c>
      <c r="L21" s="551">
        <v>0.25</v>
      </c>
      <c r="M21" s="551">
        <v>0.2</v>
      </c>
      <c r="N21" s="551">
        <v>0.05</v>
      </c>
    </row>
    <row r="22" spans="2:14" x14ac:dyDescent="0.3">
      <c r="B22" s="546" t="s">
        <v>1206</v>
      </c>
      <c r="C22" s="219"/>
      <c r="D22" s="551">
        <v>1</v>
      </c>
      <c r="E22" s="551">
        <v>1</v>
      </c>
      <c r="F22" s="551">
        <v>1</v>
      </c>
      <c r="G22" s="551">
        <v>1</v>
      </c>
      <c r="I22" s="546" t="s">
        <v>1206</v>
      </c>
      <c r="J22" s="219"/>
      <c r="K22" s="551">
        <v>0.15</v>
      </c>
      <c r="L22" s="551">
        <v>0.15</v>
      </c>
      <c r="M22" s="551">
        <v>0.2</v>
      </c>
      <c r="N22" s="551">
        <v>0.05</v>
      </c>
    </row>
    <row r="23" spans="2:14" x14ac:dyDescent="0.3">
      <c r="B23" s="546" t="s">
        <v>1207</v>
      </c>
      <c r="C23" s="219"/>
      <c r="D23" s="551">
        <v>1</v>
      </c>
      <c r="E23" s="551">
        <v>1</v>
      </c>
      <c r="F23" s="551">
        <v>1</v>
      </c>
      <c r="G23" s="551">
        <v>1</v>
      </c>
      <c r="I23" s="546" t="s">
        <v>1207</v>
      </c>
      <c r="J23" s="219"/>
      <c r="K23" s="551">
        <v>0.15</v>
      </c>
      <c r="L23" s="551">
        <v>0.15</v>
      </c>
      <c r="M23" s="551">
        <v>0.2</v>
      </c>
      <c r="N23" s="551">
        <v>0.05</v>
      </c>
    </row>
    <row r="24" spans="2:14" x14ac:dyDescent="0.3">
      <c r="B24" s="546" t="s">
        <v>1208</v>
      </c>
      <c r="C24" s="219"/>
      <c r="D24" s="551">
        <v>1</v>
      </c>
      <c r="E24" s="551">
        <v>1</v>
      </c>
      <c r="F24" s="551">
        <v>1</v>
      </c>
      <c r="G24" s="551">
        <v>1</v>
      </c>
      <c r="I24" s="546" t="s">
        <v>1208</v>
      </c>
      <c r="J24" s="219"/>
      <c r="K24" s="551">
        <v>0.15</v>
      </c>
      <c r="L24" s="551">
        <v>0.15</v>
      </c>
      <c r="M24" s="551">
        <v>0.2</v>
      </c>
      <c r="N24" s="551">
        <v>0.05</v>
      </c>
    </row>
    <row r="25" spans="2:14" x14ac:dyDescent="0.3">
      <c r="B25" s="546" t="s">
        <v>270</v>
      </c>
      <c r="C25" s="219" t="s">
        <v>162</v>
      </c>
      <c r="D25" s="551">
        <v>1</v>
      </c>
      <c r="E25" s="551">
        <v>1</v>
      </c>
      <c r="F25" s="551">
        <v>1</v>
      </c>
      <c r="G25" s="551">
        <v>1</v>
      </c>
      <c r="I25" s="546" t="s">
        <v>270</v>
      </c>
      <c r="J25" s="219" t="s">
        <v>162</v>
      </c>
      <c r="K25" s="551">
        <v>0.25</v>
      </c>
      <c r="L25" s="551">
        <v>0.25</v>
      </c>
      <c r="M25" s="551">
        <v>0.2</v>
      </c>
      <c r="N25" s="551">
        <v>0.05</v>
      </c>
    </row>
    <row r="26" spans="2:14" x14ac:dyDescent="0.3">
      <c r="B26" s="546" t="s">
        <v>277</v>
      </c>
      <c r="C26" s="219" t="s">
        <v>1225</v>
      </c>
      <c r="D26" s="551">
        <v>1</v>
      </c>
      <c r="E26" s="551">
        <v>1</v>
      </c>
      <c r="F26" s="551">
        <v>1</v>
      </c>
      <c r="G26" s="551">
        <v>1</v>
      </c>
      <c r="I26" s="546" t="s">
        <v>277</v>
      </c>
      <c r="J26" s="219" t="s">
        <v>1225</v>
      </c>
      <c r="K26" s="551">
        <v>0.15</v>
      </c>
      <c r="L26" s="551">
        <v>0.15</v>
      </c>
      <c r="M26" s="551">
        <v>0.2</v>
      </c>
      <c r="N26" s="551">
        <v>0.05</v>
      </c>
    </row>
    <row r="27" spans="2:14" x14ac:dyDescent="0.3">
      <c r="B27" s="546" t="s">
        <v>1209</v>
      </c>
      <c r="C27" s="219" t="s">
        <v>168</v>
      </c>
      <c r="D27" s="551">
        <v>1</v>
      </c>
      <c r="E27" s="551">
        <v>1</v>
      </c>
      <c r="F27" s="551">
        <v>1</v>
      </c>
      <c r="G27" s="551">
        <v>1</v>
      </c>
      <c r="I27" s="546" t="s">
        <v>1209</v>
      </c>
      <c r="J27" s="219" t="s">
        <v>168</v>
      </c>
      <c r="K27" s="551">
        <v>0.15</v>
      </c>
      <c r="L27" s="551">
        <v>0.15</v>
      </c>
      <c r="M27" s="551">
        <v>0.2</v>
      </c>
      <c r="N27" s="551">
        <v>0.05</v>
      </c>
    </row>
    <row r="28" spans="2:14" x14ac:dyDescent="0.3">
      <c r="B28" s="546" t="s">
        <v>1209</v>
      </c>
      <c r="C28" s="219" t="s">
        <v>477</v>
      </c>
      <c r="D28" s="551">
        <v>1</v>
      </c>
      <c r="E28" s="551">
        <v>1</v>
      </c>
      <c r="F28" s="551">
        <v>1</v>
      </c>
      <c r="G28" s="551">
        <v>1</v>
      </c>
      <c r="I28" s="546" t="s">
        <v>1209</v>
      </c>
      <c r="J28" s="219" t="s">
        <v>477</v>
      </c>
      <c r="K28" s="551">
        <v>0.15</v>
      </c>
      <c r="L28" s="551">
        <v>0.15</v>
      </c>
      <c r="M28" s="551">
        <v>0.2</v>
      </c>
      <c r="N28" s="551">
        <v>0.05</v>
      </c>
    </row>
    <row r="29" spans="2:14" x14ac:dyDescent="0.3">
      <c r="B29" s="546" t="s">
        <v>1209</v>
      </c>
      <c r="C29" s="219" t="s">
        <v>482</v>
      </c>
      <c r="D29" s="551">
        <v>1</v>
      </c>
      <c r="E29" s="551">
        <v>1</v>
      </c>
      <c r="F29" s="551">
        <v>1</v>
      </c>
      <c r="G29" s="551">
        <v>1</v>
      </c>
      <c r="I29" s="546" t="s">
        <v>1209</v>
      </c>
      <c r="J29" s="219" t="s">
        <v>482</v>
      </c>
      <c r="K29" s="551">
        <v>0.15</v>
      </c>
      <c r="L29" s="551">
        <v>0.15</v>
      </c>
      <c r="M29" s="551">
        <v>0.2</v>
      </c>
      <c r="N29" s="551">
        <v>0.05</v>
      </c>
    </row>
    <row r="30" spans="2:14" x14ac:dyDescent="0.3">
      <c r="B30" s="546" t="s">
        <v>320</v>
      </c>
      <c r="C30" s="219"/>
      <c r="D30" s="551">
        <v>1</v>
      </c>
      <c r="E30" s="551">
        <v>1</v>
      </c>
      <c r="F30" s="551">
        <v>1</v>
      </c>
      <c r="G30" s="551">
        <v>1</v>
      </c>
      <c r="I30" s="546" t="s">
        <v>320</v>
      </c>
      <c r="J30" s="219"/>
      <c r="K30" s="551">
        <v>0.15</v>
      </c>
      <c r="L30" s="551">
        <v>0.15</v>
      </c>
      <c r="M30" s="551">
        <v>0.2</v>
      </c>
      <c r="N30" s="551">
        <v>0.05</v>
      </c>
    </row>
    <row r="31" spans="2:14" x14ac:dyDescent="0.3">
      <c r="B31" s="546" t="s">
        <v>287</v>
      </c>
      <c r="C31" s="219" t="s">
        <v>217</v>
      </c>
      <c r="D31" s="551">
        <v>1</v>
      </c>
      <c r="E31" s="551">
        <v>1</v>
      </c>
      <c r="F31" s="551">
        <v>1</v>
      </c>
      <c r="G31" s="551">
        <v>1</v>
      </c>
      <c r="I31" s="546" t="s">
        <v>287</v>
      </c>
      <c r="J31" s="219" t="s">
        <v>217</v>
      </c>
      <c r="K31" s="551">
        <v>0.25</v>
      </c>
      <c r="L31" s="551">
        <v>0.15</v>
      </c>
      <c r="M31" s="551">
        <v>0.2</v>
      </c>
      <c r="N31" s="551">
        <v>0.05</v>
      </c>
    </row>
    <row r="32" spans="2:14" x14ac:dyDescent="0.3">
      <c r="B32" s="546" t="s">
        <v>1213</v>
      </c>
      <c r="C32" s="219"/>
      <c r="D32" s="551"/>
      <c r="E32" s="551">
        <v>1</v>
      </c>
      <c r="F32" s="552"/>
      <c r="G32" s="551">
        <v>1</v>
      </c>
      <c r="I32" s="546" t="s">
        <v>1213</v>
      </c>
      <c r="J32" s="219"/>
      <c r="K32" s="551"/>
      <c r="L32" s="551">
        <v>0.25</v>
      </c>
      <c r="M32" s="552"/>
      <c r="N32" s="551">
        <v>0.05</v>
      </c>
    </row>
    <row r="33" spans="2:14" x14ac:dyDescent="0.3">
      <c r="B33" s="547" t="s">
        <v>308</v>
      </c>
      <c r="C33" s="547" t="s">
        <v>225</v>
      </c>
      <c r="D33" s="551">
        <v>1</v>
      </c>
      <c r="E33" s="551">
        <v>1</v>
      </c>
      <c r="F33" s="551">
        <v>1</v>
      </c>
      <c r="G33" s="551">
        <v>1</v>
      </c>
      <c r="I33" s="547" t="s">
        <v>308</v>
      </c>
      <c r="J33" s="547" t="s">
        <v>225</v>
      </c>
      <c r="K33" s="551">
        <v>0.15</v>
      </c>
      <c r="L33" s="551">
        <v>0.15</v>
      </c>
      <c r="M33" s="551">
        <v>0.2</v>
      </c>
      <c r="N33" s="551">
        <v>0.05</v>
      </c>
    </row>
    <row r="34" spans="2:14" x14ac:dyDescent="0.3">
      <c r="B34" s="547" t="s">
        <v>228</v>
      </c>
      <c r="C34" s="547" t="s">
        <v>228</v>
      </c>
      <c r="D34" s="551">
        <v>1</v>
      </c>
      <c r="E34" s="551">
        <v>1</v>
      </c>
      <c r="F34" s="551">
        <v>1</v>
      </c>
      <c r="G34" s="551">
        <v>1</v>
      </c>
      <c r="I34" s="547" t="s">
        <v>228</v>
      </c>
      <c r="J34" s="547" t="s">
        <v>228</v>
      </c>
      <c r="K34" s="551">
        <v>1</v>
      </c>
      <c r="L34" s="551">
        <v>1</v>
      </c>
      <c r="M34" s="551">
        <v>1</v>
      </c>
      <c r="N34" s="551">
        <v>1</v>
      </c>
    </row>
    <row r="35" spans="2:14" x14ac:dyDescent="0.3">
      <c r="B35" s="548" t="s">
        <v>1214</v>
      </c>
      <c r="C35" s="548" t="s">
        <v>328</v>
      </c>
      <c r="D35" s="551">
        <v>1</v>
      </c>
      <c r="E35" s="551"/>
      <c r="F35" s="552"/>
      <c r="G35" s="552"/>
      <c r="I35" s="548" t="s">
        <v>1214</v>
      </c>
      <c r="J35" s="548" t="s">
        <v>328</v>
      </c>
      <c r="K35" s="551">
        <v>0.05</v>
      </c>
      <c r="L35" s="551"/>
      <c r="M35" s="552"/>
      <c r="N35" s="552"/>
    </row>
    <row r="36" spans="2:14" x14ac:dyDescent="0.3">
      <c r="B36" s="548" t="s">
        <v>1215</v>
      </c>
      <c r="C36" s="548" t="s">
        <v>332</v>
      </c>
      <c r="D36" s="551">
        <v>1</v>
      </c>
      <c r="E36" s="551"/>
      <c r="F36" s="552"/>
      <c r="G36" s="552"/>
      <c r="I36" s="548" t="s">
        <v>1215</v>
      </c>
      <c r="J36" s="548" t="s">
        <v>332</v>
      </c>
      <c r="K36" s="551">
        <v>0.05</v>
      </c>
      <c r="L36" s="551"/>
      <c r="M36" s="552"/>
      <c r="N36" s="552"/>
    </row>
    <row r="37" spans="2:14" x14ac:dyDescent="0.3">
      <c r="B37" s="548" t="s">
        <v>1216</v>
      </c>
      <c r="C37" s="548" t="s">
        <v>342</v>
      </c>
      <c r="D37" s="551">
        <v>1</v>
      </c>
      <c r="E37" s="551"/>
      <c r="F37" s="552"/>
      <c r="G37" s="552"/>
      <c r="I37" s="548" t="s">
        <v>1216</v>
      </c>
      <c r="J37" s="548" t="s">
        <v>342</v>
      </c>
      <c r="K37" s="551">
        <v>0.05</v>
      </c>
      <c r="L37" s="551"/>
      <c r="M37" s="552"/>
      <c r="N37" s="552"/>
    </row>
    <row r="38" spans="2:14" x14ac:dyDescent="0.3">
      <c r="B38" s="548" t="s">
        <v>1217</v>
      </c>
      <c r="C38" s="548" t="s">
        <v>338</v>
      </c>
      <c r="D38" s="551">
        <v>1</v>
      </c>
      <c r="E38" s="551"/>
      <c r="F38" s="552"/>
      <c r="G38" s="552"/>
      <c r="I38" s="548" t="s">
        <v>1217</v>
      </c>
      <c r="J38" s="548" t="s">
        <v>338</v>
      </c>
      <c r="K38" s="551">
        <v>0.05</v>
      </c>
      <c r="L38" s="551"/>
      <c r="M38" s="552"/>
      <c r="N38" s="552"/>
    </row>
    <row r="39" spans="2:14" x14ac:dyDescent="0.3">
      <c r="B39" s="548" t="s">
        <v>326</v>
      </c>
      <c r="C39" s="548" t="s">
        <v>326</v>
      </c>
      <c r="D39" s="551">
        <v>1</v>
      </c>
      <c r="E39" s="551"/>
      <c r="F39" s="552"/>
      <c r="G39" s="552"/>
      <c r="I39" s="548" t="s">
        <v>326</v>
      </c>
      <c r="J39" s="548" t="s">
        <v>326</v>
      </c>
      <c r="K39" s="551">
        <v>0.05</v>
      </c>
      <c r="L39" s="551"/>
      <c r="M39" s="552"/>
      <c r="N39" s="552"/>
    </row>
    <row r="40" spans="2:14" x14ac:dyDescent="0.3">
      <c r="B40" s="548" t="s">
        <v>334</v>
      </c>
      <c r="C40" s="548" t="s">
        <v>334</v>
      </c>
      <c r="D40" s="551">
        <v>1</v>
      </c>
      <c r="E40" s="551"/>
      <c r="F40" s="552"/>
      <c r="G40" s="552"/>
      <c r="I40" s="548" t="s">
        <v>334</v>
      </c>
      <c r="J40" s="548" t="s">
        <v>334</v>
      </c>
      <c r="K40" s="551">
        <v>0.05</v>
      </c>
      <c r="L40" s="551"/>
      <c r="M40" s="552"/>
      <c r="N40" s="552"/>
    </row>
    <row r="41" spans="2:14" x14ac:dyDescent="0.3">
      <c r="B41" s="548" t="s">
        <v>344</v>
      </c>
      <c r="C41" s="548" t="s">
        <v>344</v>
      </c>
      <c r="D41" s="551">
        <v>1</v>
      </c>
      <c r="E41" s="551"/>
      <c r="F41" s="552"/>
      <c r="G41" s="552"/>
      <c r="I41" s="548" t="s">
        <v>344</v>
      </c>
      <c r="J41" s="548" t="s">
        <v>344</v>
      </c>
      <c r="K41" s="551">
        <v>0.05</v>
      </c>
      <c r="L41" s="551"/>
      <c r="M41" s="552"/>
      <c r="N41" s="552"/>
    </row>
    <row r="42" spans="2:14" x14ac:dyDescent="0.3">
      <c r="B42" s="548" t="s">
        <v>340</v>
      </c>
      <c r="C42" s="548" t="s">
        <v>340</v>
      </c>
      <c r="D42" s="551">
        <v>1</v>
      </c>
      <c r="E42" s="551"/>
      <c r="F42" s="552"/>
      <c r="G42" s="552"/>
      <c r="I42" s="548" t="s">
        <v>340</v>
      </c>
      <c r="J42" s="548" t="s">
        <v>340</v>
      </c>
      <c r="K42" s="551">
        <v>0.05</v>
      </c>
      <c r="L42" s="551"/>
      <c r="M42" s="552"/>
      <c r="N42" s="552"/>
    </row>
    <row r="43" spans="2:14" x14ac:dyDescent="0.3">
      <c r="B43" s="548" t="s">
        <v>330</v>
      </c>
      <c r="C43" s="548" t="s">
        <v>330</v>
      </c>
      <c r="D43" s="551">
        <v>1</v>
      </c>
      <c r="E43" s="551"/>
      <c r="F43" s="552"/>
      <c r="G43" s="552"/>
      <c r="I43" s="548" t="s">
        <v>330</v>
      </c>
      <c r="J43" s="548" t="s">
        <v>330</v>
      </c>
      <c r="K43" s="551">
        <v>0.05</v>
      </c>
      <c r="L43" s="551"/>
      <c r="M43" s="552"/>
      <c r="N43" s="552"/>
    </row>
    <row r="44" spans="2:14" x14ac:dyDescent="0.3">
      <c r="B44" s="548" t="s">
        <v>336</v>
      </c>
      <c r="C44" s="548" t="s">
        <v>336</v>
      </c>
      <c r="D44" s="551">
        <v>1</v>
      </c>
      <c r="E44" s="551"/>
      <c r="F44" s="552"/>
      <c r="G44" s="552"/>
      <c r="I44" s="548" t="s">
        <v>336</v>
      </c>
      <c r="J44" s="548" t="s">
        <v>336</v>
      </c>
      <c r="K44" s="551">
        <v>0.05</v>
      </c>
      <c r="L44" s="551"/>
      <c r="M44" s="552"/>
      <c r="N44" s="552"/>
    </row>
    <row r="45" spans="2:14" x14ac:dyDescent="0.3">
      <c r="B45" s="549" t="s">
        <v>360</v>
      </c>
      <c r="C45" s="549" t="s">
        <v>348</v>
      </c>
      <c r="D45" s="551">
        <v>1</v>
      </c>
      <c r="E45" s="551"/>
      <c r="F45" s="552"/>
      <c r="G45" s="552"/>
      <c r="I45" s="549" t="s">
        <v>360</v>
      </c>
      <c r="J45" s="549" t="s">
        <v>348</v>
      </c>
      <c r="K45" s="551">
        <v>0.6</v>
      </c>
      <c r="L45" s="551"/>
      <c r="M45" s="552"/>
      <c r="N45" s="552"/>
    </row>
    <row r="46" spans="2:14" x14ac:dyDescent="0.3">
      <c r="B46" s="549" t="s">
        <v>1218</v>
      </c>
      <c r="C46" s="549" t="s">
        <v>350</v>
      </c>
      <c r="D46" s="551">
        <v>1</v>
      </c>
      <c r="E46" s="551"/>
      <c r="F46" s="552"/>
      <c r="G46" s="552"/>
      <c r="I46" s="549" t="s">
        <v>1218</v>
      </c>
      <c r="J46" s="549" t="s">
        <v>350</v>
      </c>
      <c r="K46" s="551">
        <v>0.6</v>
      </c>
      <c r="L46" s="551"/>
      <c r="M46" s="552"/>
      <c r="N46" s="552"/>
    </row>
    <row r="47" spans="2:14" x14ac:dyDescent="0.3">
      <c r="B47" s="549" t="s">
        <v>1219</v>
      </c>
      <c r="C47" s="549" t="s">
        <v>352</v>
      </c>
      <c r="D47" s="551">
        <v>1</v>
      </c>
      <c r="E47" s="551"/>
      <c r="F47" s="552"/>
      <c r="G47" s="552"/>
      <c r="I47" s="549" t="s">
        <v>1219</v>
      </c>
      <c r="J47" s="549" t="s">
        <v>352</v>
      </c>
      <c r="K47" s="551">
        <v>0.6</v>
      </c>
      <c r="L47" s="551"/>
      <c r="M47" s="552"/>
      <c r="N47" s="552"/>
    </row>
    <row r="48" spans="2:14" x14ac:dyDescent="0.3">
      <c r="B48" s="549" t="s">
        <v>350</v>
      </c>
      <c r="C48" s="549" t="s">
        <v>354</v>
      </c>
      <c r="D48" s="551">
        <v>1</v>
      </c>
      <c r="E48" s="551"/>
      <c r="F48" s="552"/>
      <c r="G48" s="552"/>
      <c r="I48" s="549" t="s">
        <v>350</v>
      </c>
      <c r="J48" s="549" t="s">
        <v>354</v>
      </c>
      <c r="K48" s="551">
        <v>0.6</v>
      </c>
      <c r="L48" s="551"/>
      <c r="M48" s="552"/>
      <c r="N48" s="552"/>
    </row>
    <row r="49" spans="2:14" x14ac:dyDescent="0.3">
      <c r="B49" s="549" t="s">
        <v>352</v>
      </c>
      <c r="C49" s="549" t="s">
        <v>356</v>
      </c>
      <c r="D49" s="551">
        <v>1</v>
      </c>
      <c r="E49" s="551"/>
      <c r="F49" s="552"/>
      <c r="G49" s="552"/>
      <c r="I49" s="549" t="s">
        <v>352</v>
      </c>
      <c r="J49" s="549" t="s">
        <v>356</v>
      </c>
      <c r="K49" s="551">
        <v>0.6</v>
      </c>
      <c r="L49" s="551"/>
      <c r="M49" s="552"/>
      <c r="N49" s="552"/>
    </row>
    <row r="50" spans="2:14" x14ac:dyDescent="0.3">
      <c r="B50" s="549" t="s">
        <v>1220</v>
      </c>
      <c r="C50" s="549" t="s">
        <v>358</v>
      </c>
      <c r="D50" s="551">
        <v>1</v>
      </c>
      <c r="E50" s="551"/>
      <c r="F50" s="552"/>
      <c r="G50" s="552"/>
      <c r="I50" s="549" t="s">
        <v>1220</v>
      </c>
      <c r="J50" s="549" t="s">
        <v>358</v>
      </c>
      <c r="K50" s="551">
        <v>0.6</v>
      </c>
      <c r="L50" s="551"/>
      <c r="M50" s="552"/>
      <c r="N50" s="552"/>
    </row>
    <row r="51" spans="2:14" x14ac:dyDescent="0.3">
      <c r="B51" s="549" t="s">
        <v>356</v>
      </c>
      <c r="C51" s="549" t="s">
        <v>360</v>
      </c>
      <c r="D51" s="551">
        <v>1</v>
      </c>
      <c r="E51" s="551"/>
      <c r="F51" s="552"/>
      <c r="G51" s="552"/>
      <c r="I51" s="549" t="s">
        <v>356</v>
      </c>
      <c r="J51" s="549" t="s">
        <v>360</v>
      </c>
      <c r="K51" s="551">
        <v>0.6</v>
      </c>
      <c r="L51" s="551"/>
      <c r="M51" s="552"/>
      <c r="N51" s="552"/>
    </row>
    <row r="52" spans="2:14" x14ac:dyDescent="0.3">
      <c r="B52" s="550" t="s">
        <v>346</v>
      </c>
      <c r="C52" s="550" t="s">
        <v>346</v>
      </c>
      <c r="D52" s="551">
        <v>1</v>
      </c>
      <c r="E52" s="551"/>
      <c r="F52" s="552"/>
      <c r="G52" s="552"/>
      <c r="I52" s="550" t="s">
        <v>346</v>
      </c>
      <c r="J52" s="550" t="s">
        <v>346</v>
      </c>
      <c r="K52" s="551">
        <v>1</v>
      </c>
      <c r="L52" s="551"/>
      <c r="M52" s="552"/>
      <c r="N52" s="55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X529"/>
  <sheetViews>
    <sheetView topLeftCell="D1" zoomScale="60" zoomScaleNormal="60" workbookViewId="0">
      <pane ySplit="6" topLeftCell="A138" activePane="bottomLeft" state="frozen"/>
      <selection activeCell="R1" sqref="R1"/>
      <selection pane="bottomLeft" activeCell="J178" sqref="A178:XFD178"/>
    </sheetView>
  </sheetViews>
  <sheetFormatPr defaultColWidth="8.88671875" defaultRowHeight="14.4" x14ac:dyDescent="0.3"/>
  <cols>
    <col min="1" max="1" width="13.6640625" style="80" customWidth="1"/>
    <col min="2" max="2" width="4.88671875" style="80" customWidth="1"/>
    <col min="3" max="3" width="4.5546875" style="80" customWidth="1"/>
    <col min="4" max="4" width="4.6640625" style="80" customWidth="1"/>
    <col min="5" max="5" width="4.33203125" style="80" customWidth="1"/>
    <col min="6" max="6" width="4.109375" style="80" customWidth="1"/>
    <col min="7" max="7" width="3.88671875" style="80" customWidth="1"/>
    <col min="8" max="8" width="20.6640625" style="80" customWidth="1"/>
    <col min="9" max="9" width="19.33203125" style="80" customWidth="1"/>
    <col min="10" max="10" width="38.109375" style="80" customWidth="1"/>
    <col min="11" max="11" width="41.6640625" style="80" customWidth="1"/>
    <col min="12" max="12" width="21.33203125" style="80" customWidth="1"/>
    <col min="13" max="13" width="20.109375" style="80" customWidth="1"/>
    <col min="14" max="14" width="17.77734375" style="80" customWidth="1"/>
    <col min="15" max="15" width="20.44140625" style="80" customWidth="1"/>
    <col min="16" max="16" width="26.109375" style="80" customWidth="1"/>
    <col min="17" max="17" width="42.21875" style="80" customWidth="1"/>
    <col min="18" max="18" width="102.88671875" style="76" customWidth="1"/>
    <col min="19" max="19" width="32.88671875" style="80" customWidth="1"/>
    <col min="20" max="20" width="34.33203125" style="80" customWidth="1"/>
    <col min="21" max="21" width="19.109375" style="80" customWidth="1"/>
    <col min="22" max="22" width="19.33203125" style="80" customWidth="1"/>
    <col min="23" max="23" width="26.44140625" style="80" customWidth="1"/>
    <col min="24" max="24" width="13.6640625" style="80" customWidth="1"/>
    <col min="25" max="25" width="23.33203125" style="80" customWidth="1"/>
    <col min="26" max="26" width="36" style="80" customWidth="1"/>
    <col min="27" max="27" width="39.44140625" style="80" customWidth="1"/>
    <col min="28" max="28" width="17.44140625" style="80" customWidth="1"/>
    <col min="29" max="30" width="17.109375" style="80" customWidth="1"/>
    <col min="31" max="31" width="20.109375" style="80" customWidth="1"/>
    <col min="32" max="32" width="17.6640625" style="80" customWidth="1"/>
    <col min="33" max="33" width="16.44140625" style="80" customWidth="1"/>
    <col min="34" max="34" width="15" style="80" customWidth="1"/>
    <col min="35" max="35" width="17.109375" style="80" customWidth="1"/>
    <col min="36" max="36" width="17" style="80" customWidth="1"/>
    <col min="37" max="37" width="18.33203125" style="80" customWidth="1"/>
    <col min="38" max="38" width="19.21875" style="80" customWidth="1"/>
    <col min="39" max="39" width="14.21875" style="80" customWidth="1"/>
    <col min="40" max="40" width="15.6640625" style="80" customWidth="1"/>
    <col min="41" max="41" width="62.21875" style="205" customWidth="1"/>
    <col min="42" max="42" width="18.33203125" style="184" customWidth="1"/>
    <col min="43" max="43" width="14.5546875" style="185" customWidth="1"/>
    <col min="44" max="45" width="14.5546875" style="184" customWidth="1"/>
    <col min="46" max="46" width="21.77734375" style="184" customWidth="1"/>
    <col min="47" max="47" width="14.88671875" style="185" customWidth="1"/>
    <col min="48" max="49" width="14.5546875" style="185" customWidth="1"/>
    <col min="50" max="50" width="18.44140625" style="184" customWidth="1"/>
    <col min="51" max="51" width="10.33203125" style="184" customWidth="1"/>
    <col min="52" max="52" width="17.109375" style="184" customWidth="1"/>
    <col min="53" max="53" width="15.6640625" style="184" customWidth="1"/>
    <col min="54" max="54" width="13.6640625" style="184" customWidth="1"/>
    <col min="55" max="55" width="19.33203125" style="80" customWidth="1"/>
    <col min="56" max="56" width="48.33203125" style="184" customWidth="1"/>
    <col min="57" max="57" width="35.88671875" style="184" customWidth="1"/>
    <col min="58" max="58" width="23" style="80" customWidth="1"/>
    <col min="59" max="59" width="29.33203125" style="80" customWidth="1"/>
    <col min="60" max="60" width="15.6640625" style="80" customWidth="1"/>
    <col min="61" max="61" width="13.33203125" style="80" customWidth="1"/>
    <col min="62" max="62" width="13.88671875" style="80" customWidth="1"/>
    <col min="63" max="63" width="22.6640625" style="80" customWidth="1"/>
    <col min="64" max="64" width="35.109375" style="80" customWidth="1"/>
    <col min="65" max="65" width="44.88671875" style="80" customWidth="1"/>
    <col min="66" max="66" width="15.33203125" style="80" customWidth="1"/>
    <col min="67" max="67" width="27.77734375" style="80" customWidth="1"/>
    <col min="68" max="68" width="32.6640625" style="80" customWidth="1"/>
    <col min="69" max="69" width="31.6640625" style="80" customWidth="1"/>
    <col min="70" max="70" width="19.6640625" style="184" customWidth="1"/>
    <col min="71" max="71" width="15.6640625" style="80" customWidth="1"/>
    <col min="72" max="73" width="21.109375" style="80" customWidth="1"/>
    <col min="74" max="75" width="21.21875" style="80" customWidth="1"/>
    <col min="76" max="76" width="25.44140625" style="80" customWidth="1"/>
    <col min="77" max="16384" width="8.88671875" style="223"/>
  </cols>
  <sheetData>
    <row r="1" spans="1:76" ht="15" thickBot="1" x14ac:dyDescent="0.35">
      <c r="A1" s="88"/>
      <c r="B1" s="88"/>
      <c r="C1" s="88"/>
      <c r="D1" s="88"/>
      <c r="E1" s="88"/>
      <c r="F1" s="88"/>
      <c r="G1" s="88"/>
      <c r="H1" s="88"/>
      <c r="I1" s="88"/>
      <c r="J1" s="88"/>
      <c r="K1" s="88"/>
      <c r="L1" s="88"/>
      <c r="M1" s="88"/>
      <c r="N1" s="88"/>
      <c r="O1" s="88"/>
      <c r="P1" s="88"/>
      <c r="Q1" s="63" t="s">
        <v>0</v>
      </c>
      <c r="R1" s="63"/>
      <c r="S1" s="89"/>
      <c r="T1" s="89"/>
      <c r="U1" s="89"/>
      <c r="V1" s="89"/>
      <c r="W1" s="89"/>
      <c r="X1" s="89"/>
      <c r="Y1" s="89"/>
      <c r="Z1" s="90" t="s">
        <v>1</v>
      </c>
      <c r="AA1" s="90"/>
      <c r="AB1" s="90"/>
      <c r="AC1" s="90"/>
      <c r="AD1" s="90"/>
      <c r="AE1" s="90"/>
      <c r="AF1" s="90"/>
      <c r="AG1" s="90"/>
      <c r="AH1" s="88"/>
      <c r="AI1" s="88"/>
      <c r="AJ1" s="88"/>
      <c r="AK1" s="88"/>
      <c r="AL1" s="88"/>
      <c r="AM1" s="88"/>
      <c r="AN1" s="88"/>
      <c r="AO1" s="199"/>
      <c r="AP1" s="4"/>
      <c r="AQ1" s="91"/>
      <c r="AR1" s="4"/>
      <c r="AS1" s="4"/>
      <c r="AT1" s="4"/>
      <c r="AU1" s="91"/>
      <c r="AV1" s="91"/>
      <c r="AW1" s="91"/>
      <c r="AX1" s="88"/>
      <c r="AY1" s="88"/>
      <c r="AZ1" s="88"/>
      <c r="BA1" s="88"/>
      <c r="BB1" s="88"/>
      <c r="BC1" s="88"/>
      <c r="BD1" s="4"/>
      <c r="BE1" s="88"/>
      <c r="BF1" s="88"/>
      <c r="BG1" s="88"/>
      <c r="BH1" s="88"/>
      <c r="BI1" s="88"/>
      <c r="BJ1" s="88"/>
      <c r="BK1" s="92"/>
      <c r="BL1" s="92"/>
      <c r="BM1" s="92"/>
      <c r="BN1" s="92"/>
      <c r="BO1" s="92"/>
      <c r="BP1" s="92"/>
      <c r="BQ1" s="92"/>
      <c r="BR1" s="181"/>
      <c r="BS1" s="92"/>
      <c r="BT1" s="5"/>
      <c r="BU1" s="5"/>
      <c r="BV1" s="5"/>
      <c r="BW1" s="5"/>
      <c r="BX1" s="5"/>
    </row>
    <row r="2" spans="1:76" ht="24.6" customHeight="1" thickTop="1" thickBot="1" x14ac:dyDescent="0.35">
      <c r="A2" s="1" t="s">
        <v>2</v>
      </c>
      <c r="B2" s="5"/>
      <c r="C2" s="5"/>
      <c r="D2" s="5"/>
      <c r="E2" s="5"/>
      <c r="F2" s="5"/>
      <c r="G2" s="5"/>
      <c r="H2" s="93"/>
      <c r="I2" s="5"/>
      <c r="J2" s="1" t="s">
        <v>2</v>
      </c>
      <c r="K2" s="5"/>
      <c r="L2" s="94"/>
      <c r="M2" s="65" t="s">
        <v>3</v>
      </c>
      <c r="N2" s="95"/>
      <c r="O2" s="5"/>
      <c r="P2" s="94"/>
      <c r="Q2" s="64" t="s">
        <v>4</v>
      </c>
      <c r="R2" s="74"/>
      <c r="S2" s="5"/>
      <c r="T2" s="5"/>
      <c r="U2" s="5"/>
      <c r="V2" s="5"/>
      <c r="W2" s="5"/>
      <c r="X2" s="5"/>
      <c r="Y2" s="66" t="s">
        <v>5</v>
      </c>
      <c r="Z2" s="67" t="s">
        <v>6</v>
      </c>
      <c r="AA2" s="5"/>
      <c r="AB2" s="5"/>
      <c r="AC2" s="5"/>
      <c r="AD2" s="5"/>
      <c r="AE2" s="5"/>
      <c r="AF2" s="5"/>
      <c r="AG2" s="68" t="s">
        <v>7</v>
      </c>
      <c r="AH2" s="88" t="s">
        <v>8</v>
      </c>
      <c r="AI2" s="5"/>
      <c r="AJ2" s="5"/>
      <c r="AK2" s="88"/>
      <c r="AL2" s="88"/>
      <c r="AM2" s="69" t="s">
        <v>9</v>
      </c>
      <c r="AN2" s="5" t="s">
        <v>10</v>
      </c>
      <c r="AO2" s="200" t="s">
        <v>11</v>
      </c>
      <c r="AP2" s="96"/>
      <c r="AQ2" s="96" t="s">
        <v>11</v>
      </c>
      <c r="AR2" s="96"/>
      <c r="AS2" s="96"/>
      <c r="AT2" s="96"/>
      <c r="AU2" s="91"/>
      <c r="AV2" s="91"/>
      <c r="AW2" s="91"/>
      <c r="AX2" s="5"/>
      <c r="AY2" s="126" t="s">
        <v>12</v>
      </c>
      <c r="AZ2" s="5"/>
      <c r="BA2" s="5"/>
      <c r="BB2" s="126"/>
      <c r="BC2" s="5"/>
      <c r="BD2" s="4"/>
      <c r="BE2" s="5"/>
      <c r="BF2" s="5"/>
      <c r="BG2" s="5"/>
      <c r="BH2" s="5"/>
      <c r="BI2" s="5"/>
      <c r="BJ2" s="70" t="s">
        <v>13</v>
      </c>
      <c r="BK2" s="74" t="s">
        <v>14</v>
      </c>
      <c r="BL2" s="97"/>
      <c r="BM2" s="97"/>
      <c r="BN2" s="97"/>
      <c r="BO2" s="97"/>
      <c r="BP2" s="97"/>
      <c r="BQ2" s="97"/>
      <c r="BR2" s="194"/>
      <c r="BS2" s="70" t="s">
        <v>15</v>
      </c>
      <c r="BT2" s="74" t="s">
        <v>16</v>
      </c>
      <c r="BU2" s="5"/>
      <c r="BV2" s="5"/>
      <c r="BW2" s="5"/>
      <c r="BX2" s="56" t="s">
        <v>17</v>
      </c>
    </row>
    <row r="3" spans="1:76" ht="41.4" customHeight="1" thickBot="1" x14ac:dyDescent="0.35">
      <c r="A3" s="98" t="s">
        <v>18</v>
      </c>
      <c r="B3" s="5"/>
      <c r="C3" s="5"/>
      <c r="D3" s="5"/>
      <c r="E3" s="5"/>
      <c r="F3" s="5"/>
      <c r="G3" s="5"/>
      <c r="H3" s="99" t="s">
        <v>19</v>
      </c>
      <c r="I3" s="100" t="s">
        <v>20</v>
      </c>
      <c r="J3" s="101" t="s">
        <v>18</v>
      </c>
      <c r="K3" s="101"/>
      <c r="L3" s="102"/>
      <c r="M3" s="101" t="s">
        <v>21</v>
      </c>
      <c r="N3" s="101"/>
      <c r="O3" s="101"/>
      <c r="P3" s="103"/>
      <c r="Q3" s="104" t="s">
        <v>22</v>
      </c>
      <c r="R3" s="6"/>
      <c r="S3" s="105"/>
      <c r="T3" s="105"/>
      <c r="U3" s="106"/>
      <c r="V3" s="106"/>
      <c r="W3" s="105"/>
      <c r="X3" s="83"/>
      <c r="Y3" s="107"/>
      <c r="Z3" s="108" t="s">
        <v>23</v>
      </c>
      <c r="AA3" s="109"/>
      <c r="AB3" s="109"/>
      <c r="AC3" s="109"/>
      <c r="AD3" s="110"/>
      <c r="AE3" s="110"/>
      <c r="AF3" s="110"/>
      <c r="AG3" s="111"/>
      <c r="AH3" s="112"/>
      <c r="AI3" s="113"/>
      <c r="AJ3" s="113"/>
      <c r="AK3" s="113"/>
      <c r="AL3" s="114"/>
      <c r="AM3" s="115"/>
      <c r="AN3" s="116" t="s">
        <v>24</v>
      </c>
      <c r="AO3" s="201"/>
      <c r="AP3" s="83"/>
      <c r="AQ3" s="593" t="s">
        <v>25</v>
      </c>
      <c r="AR3" s="594"/>
      <c r="AS3" s="595"/>
      <c r="AT3" s="192"/>
      <c r="AU3" s="602" t="s">
        <v>26</v>
      </c>
      <c r="AV3" s="603"/>
      <c r="AW3" s="604"/>
      <c r="AX3" s="83"/>
      <c r="AY3" s="118"/>
      <c r="AZ3" s="83" t="s">
        <v>24</v>
      </c>
      <c r="BA3" s="119"/>
      <c r="BB3" s="83"/>
      <c r="BC3" s="120"/>
      <c r="BD3" s="117"/>
      <c r="BE3" s="117"/>
      <c r="BF3" s="120"/>
      <c r="BG3" s="120" t="s">
        <v>24</v>
      </c>
      <c r="BH3" s="118" t="s">
        <v>24</v>
      </c>
      <c r="BI3" s="118"/>
      <c r="BJ3" s="121"/>
      <c r="BK3" s="122" t="s">
        <v>24</v>
      </c>
      <c r="BL3" s="123"/>
      <c r="BM3" s="123"/>
      <c r="BN3" s="123"/>
      <c r="BO3" s="123"/>
      <c r="BP3" s="123"/>
      <c r="BQ3" s="123"/>
      <c r="BR3" s="195" t="s">
        <v>27</v>
      </c>
      <c r="BS3" s="124" t="s">
        <v>27</v>
      </c>
      <c r="BT3" s="83"/>
      <c r="BU3" s="83"/>
      <c r="BV3" s="83"/>
      <c r="BW3" s="83"/>
      <c r="BX3" s="83"/>
    </row>
    <row r="4" spans="1:76" s="224" customFormat="1" ht="44.4" customHeight="1" thickTop="1" thickBot="1" x14ac:dyDescent="0.35">
      <c r="A4" s="125" t="s">
        <v>28</v>
      </c>
      <c r="B4" s="126"/>
      <c r="C4" s="127"/>
      <c r="D4" s="126"/>
      <c r="E4" s="126"/>
      <c r="F4" s="126"/>
      <c r="G4" s="126"/>
      <c r="H4" s="128" t="s">
        <v>29</v>
      </c>
      <c r="I4" s="129" t="s">
        <v>30</v>
      </c>
      <c r="J4" s="130" t="s">
        <v>28</v>
      </c>
      <c r="K4" s="125" t="s">
        <v>31</v>
      </c>
      <c r="L4" s="131" t="s">
        <v>32</v>
      </c>
      <c r="M4" s="130" t="s">
        <v>33</v>
      </c>
      <c r="N4" s="125" t="s">
        <v>34</v>
      </c>
      <c r="O4" s="125" t="s">
        <v>35</v>
      </c>
      <c r="P4" s="131" t="s">
        <v>36</v>
      </c>
      <c r="Q4" s="125" t="s">
        <v>37</v>
      </c>
      <c r="R4" s="2" t="s">
        <v>38</v>
      </c>
      <c r="S4" s="125" t="s">
        <v>39</v>
      </c>
      <c r="T4" s="125" t="s">
        <v>39</v>
      </c>
      <c r="U4" s="125" t="s">
        <v>40</v>
      </c>
      <c r="V4" s="125" t="s">
        <v>40</v>
      </c>
      <c r="W4" s="125" t="s">
        <v>41</v>
      </c>
      <c r="X4" s="84" t="s">
        <v>42</v>
      </c>
      <c r="Y4" s="131" t="s">
        <v>32</v>
      </c>
      <c r="Z4" s="132" t="s">
        <v>37</v>
      </c>
      <c r="AA4" s="133" t="s">
        <v>38</v>
      </c>
      <c r="AB4" s="132" t="s">
        <v>40</v>
      </c>
      <c r="AC4" s="133" t="s">
        <v>43</v>
      </c>
      <c r="AD4" s="132" t="s">
        <v>44</v>
      </c>
      <c r="AE4" s="132" t="s">
        <v>45</v>
      </c>
      <c r="AF4" s="132" t="s">
        <v>41</v>
      </c>
      <c r="AG4" s="134" t="s">
        <v>46</v>
      </c>
      <c r="AH4" s="135" t="s">
        <v>47</v>
      </c>
      <c r="AI4" s="136" t="s">
        <v>48</v>
      </c>
      <c r="AJ4" s="136" t="s">
        <v>49</v>
      </c>
      <c r="AK4" s="136" t="s">
        <v>49</v>
      </c>
      <c r="AL4" s="136" t="s">
        <v>49</v>
      </c>
      <c r="AM4" s="137" t="s">
        <v>50</v>
      </c>
      <c r="AN4" s="138" t="s">
        <v>51</v>
      </c>
      <c r="AO4" s="596" t="s">
        <v>52</v>
      </c>
      <c r="AP4" s="597"/>
      <c r="AQ4" s="596" t="s">
        <v>53</v>
      </c>
      <c r="AR4" s="598"/>
      <c r="AS4" s="597"/>
      <c r="AT4" s="193" t="s">
        <v>54</v>
      </c>
      <c r="AU4" s="599" t="s">
        <v>55</v>
      </c>
      <c r="AV4" s="600"/>
      <c r="AW4" s="601"/>
      <c r="AX4" s="84" t="s">
        <v>56</v>
      </c>
      <c r="AY4" s="82" t="s">
        <v>57</v>
      </c>
      <c r="AZ4" s="84" t="s">
        <v>58</v>
      </c>
      <c r="BA4" s="84" t="s">
        <v>59</v>
      </c>
      <c r="BB4" s="84" t="s">
        <v>60</v>
      </c>
      <c r="BC4" s="139" t="s">
        <v>61</v>
      </c>
      <c r="BD4" s="78" t="s">
        <v>62</v>
      </c>
      <c r="BE4" s="79" t="s">
        <v>63</v>
      </c>
      <c r="BF4" s="139" t="s">
        <v>64</v>
      </c>
      <c r="BG4" s="139" t="s">
        <v>65</v>
      </c>
      <c r="BH4" s="82" t="s">
        <v>66</v>
      </c>
      <c r="BI4" s="82" t="s">
        <v>67</v>
      </c>
      <c r="BJ4" s="140" t="s">
        <v>68</v>
      </c>
      <c r="BK4" s="122" t="s">
        <v>69</v>
      </c>
      <c r="BL4" s="78" t="s">
        <v>70</v>
      </c>
      <c r="BM4" s="78" t="s">
        <v>71</v>
      </c>
      <c r="BN4" s="78" t="s">
        <v>72</v>
      </c>
      <c r="BO4" s="78" t="s">
        <v>73</v>
      </c>
      <c r="BP4" s="78" t="s">
        <v>74</v>
      </c>
      <c r="BQ4" s="78" t="s">
        <v>75</v>
      </c>
      <c r="BR4" s="196" t="s">
        <v>76</v>
      </c>
      <c r="BS4" s="141" t="s">
        <v>77</v>
      </c>
      <c r="BT4" s="84" t="s">
        <v>78</v>
      </c>
      <c r="BU4" s="84" t="s">
        <v>79</v>
      </c>
      <c r="BV4" s="84" t="s">
        <v>80</v>
      </c>
      <c r="BW4" s="84" t="s">
        <v>81</v>
      </c>
      <c r="BX4" s="84" t="s">
        <v>82</v>
      </c>
    </row>
    <row r="5" spans="1:76" s="224" customFormat="1" ht="55.2" customHeight="1" thickTop="1" thickBot="1" x14ac:dyDescent="0.35">
      <c r="A5" s="142"/>
      <c r="B5" s="126"/>
      <c r="C5" s="126"/>
      <c r="D5" s="126"/>
      <c r="E5" s="126"/>
      <c r="F5" s="126"/>
      <c r="G5" s="126"/>
      <c r="H5" s="143" t="s">
        <v>83</v>
      </c>
      <c r="I5" s="144" t="s">
        <v>84</v>
      </c>
      <c r="J5" s="145"/>
      <c r="K5" s="142"/>
      <c r="L5" s="131" t="s">
        <v>85</v>
      </c>
      <c r="M5" s="145"/>
      <c r="N5" s="142"/>
      <c r="O5" s="142"/>
      <c r="P5" s="146"/>
      <c r="Q5" s="142" t="s">
        <v>86</v>
      </c>
      <c r="R5" s="3" t="s">
        <v>87</v>
      </c>
      <c r="S5" s="142" t="s">
        <v>88</v>
      </c>
      <c r="T5" s="142" t="s">
        <v>88</v>
      </c>
      <c r="U5" s="142" t="s">
        <v>86</v>
      </c>
      <c r="V5" s="142" t="s">
        <v>89</v>
      </c>
      <c r="W5" s="142" t="s">
        <v>86</v>
      </c>
      <c r="X5" s="84" t="s">
        <v>90</v>
      </c>
      <c r="Y5" s="131" t="s">
        <v>85</v>
      </c>
      <c r="Z5" s="147" t="s">
        <v>91</v>
      </c>
      <c r="AA5" s="147" t="s">
        <v>92</v>
      </c>
      <c r="AB5" s="147" t="s">
        <v>93</v>
      </c>
      <c r="AC5" s="147" t="s">
        <v>93</v>
      </c>
      <c r="AD5" s="147" t="s">
        <v>93</v>
      </c>
      <c r="AE5" s="147" t="s">
        <v>93</v>
      </c>
      <c r="AF5" s="147" t="s">
        <v>93</v>
      </c>
      <c r="AG5" s="134"/>
      <c r="AH5" s="135"/>
      <c r="AI5" s="136"/>
      <c r="AJ5" s="136"/>
      <c r="AK5" s="136"/>
      <c r="AL5" s="148"/>
      <c r="AM5" s="137" t="s">
        <v>94</v>
      </c>
      <c r="AN5" s="149" t="s">
        <v>95</v>
      </c>
      <c r="AO5" s="202" t="s">
        <v>96</v>
      </c>
      <c r="AP5" s="84" t="s">
        <v>97</v>
      </c>
      <c r="AQ5" s="150" t="s">
        <v>98</v>
      </c>
      <c r="AR5" s="84" t="s">
        <v>99</v>
      </c>
      <c r="AS5" s="84" t="s">
        <v>100</v>
      </c>
      <c r="AT5" s="84" t="s">
        <v>101</v>
      </c>
      <c r="AU5" s="150" t="s">
        <v>102</v>
      </c>
      <c r="AV5" s="150" t="s">
        <v>103</v>
      </c>
      <c r="AW5" s="150" t="s">
        <v>104</v>
      </c>
      <c r="AX5" s="84" t="s">
        <v>105</v>
      </c>
      <c r="AY5" s="82"/>
      <c r="AZ5" s="84" t="s">
        <v>106</v>
      </c>
      <c r="BA5" s="84"/>
      <c r="BB5" s="84"/>
      <c r="BC5" s="151" t="s">
        <v>107</v>
      </c>
      <c r="BD5" s="78" t="s">
        <v>108</v>
      </c>
      <c r="BE5" s="78" t="s">
        <v>109</v>
      </c>
      <c r="BF5" s="151" t="s">
        <v>110</v>
      </c>
      <c r="BG5" s="151" t="s">
        <v>111</v>
      </c>
      <c r="BH5" s="82" t="s">
        <v>112</v>
      </c>
      <c r="BI5" s="82" t="s">
        <v>113</v>
      </c>
      <c r="BJ5" s="140" t="s">
        <v>114</v>
      </c>
      <c r="BK5" s="122" t="s">
        <v>115</v>
      </c>
      <c r="BL5" s="78"/>
      <c r="BM5" s="78"/>
      <c r="BN5" s="78" t="s">
        <v>116</v>
      </c>
      <c r="BO5" s="78"/>
      <c r="BP5" s="78"/>
      <c r="BQ5" s="78"/>
      <c r="BR5" s="196" t="s">
        <v>117</v>
      </c>
      <c r="BS5" s="141" t="s">
        <v>118</v>
      </c>
      <c r="BT5" s="84" t="s">
        <v>119</v>
      </c>
      <c r="BU5" s="84" t="s">
        <v>120</v>
      </c>
      <c r="BV5" s="84" t="s">
        <v>121</v>
      </c>
      <c r="BW5" s="84" t="s">
        <v>122</v>
      </c>
      <c r="BX5" s="84" t="s">
        <v>123</v>
      </c>
    </row>
    <row r="6" spans="1:76" ht="30" customHeight="1" thickTop="1" thickBot="1" x14ac:dyDescent="0.35">
      <c r="A6" s="152" t="s">
        <v>124</v>
      </c>
      <c r="B6" s="592" t="s">
        <v>125</v>
      </c>
      <c r="C6" s="592"/>
      <c r="D6" s="592"/>
      <c r="E6" s="592"/>
      <c r="F6" s="592"/>
      <c r="G6" s="592"/>
      <c r="H6" s="153" t="s">
        <v>126</v>
      </c>
      <c r="I6" s="154" t="s">
        <v>124</v>
      </c>
      <c r="J6" s="155" t="s">
        <v>124</v>
      </c>
      <c r="K6" s="156" t="s">
        <v>127</v>
      </c>
      <c r="L6" s="157" t="s">
        <v>127</v>
      </c>
      <c r="M6" s="155" t="s">
        <v>124</v>
      </c>
      <c r="N6" s="156" t="s">
        <v>124</v>
      </c>
      <c r="O6" s="156" t="s">
        <v>124</v>
      </c>
      <c r="P6" s="157" t="s">
        <v>128</v>
      </c>
      <c r="Q6" s="156" t="s">
        <v>124</v>
      </c>
      <c r="R6" s="7" t="s">
        <v>127</v>
      </c>
      <c r="S6" s="156"/>
      <c r="T6" s="156"/>
      <c r="U6" s="156" t="s">
        <v>124</v>
      </c>
      <c r="V6" s="156" t="s">
        <v>124</v>
      </c>
      <c r="W6" s="156"/>
      <c r="X6" s="85" t="s">
        <v>128</v>
      </c>
      <c r="Y6" s="157" t="s">
        <v>127</v>
      </c>
      <c r="Z6" s="158" t="s">
        <v>124</v>
      </c>
      <c r="AA6" s="158" t="s">
        <v>127</v>
      </c>
      <c r="AB6" s="158" t="s">
        <v>124</v>
      </c>
      <c r="AC6" s="158" t="s">
        <v>124</v>
      </c>
      <c r="AD6" s="158" t="s">
        <v>124</v>
      </c>
      <c r="AE6" s="158" t="s">
        <v>124</v>
      </c>
      <c r="AF6" s="158" t="s">
        <v>124</v>
      </c>
      <c r="AG6" s="159"/>
      <c r="AH6" s="160"/>
      <c r="AI6" s="161"/>
      <c r="AJ6" s="161"/>
      <c r="AK6" s="161"/>
      <c r="AL6" s="162"/>
      <c r="AM6" s="163"/>
      <c r="AN6" s="164"/>
      <c r="AO6" s="203"/>
      <c r="AP6" s="85"/>
      <c r="AQ6" s="166"/>
      <c r="AR6" s="85"/>
      <c r="AS6" s="85"/>
      <c r="AT6" s="85"/>
      <c r="AU6" s="166"/>
      <c r="AV6" s="166"/>
      <c r="AW6" s="166"/>
      <c r="AX6" s="85"/>
      <c r="AY6" s="167"/>
      <c r="AZ6" s="85"/>
      <c r="BA6" s="85"/>
      <c r="BB6" s="85"/>
      <c r="BC6" s="168"/>
      <c r="BD6" s="165"/>
      <c r="BE6" s="165"/>
      <c r="BF6" s="168"/>
      <c r="BG6" s="168"/>
      <c r="BH6" s="167"/>
      <c r="BI6" s="167"/>
      <c r="BJ6" s="169"/>
      <c r="BK6" s="170" t="s">
        <v>129</v>
      </c>
      <c r="BL6" s="165"/>
      <c r="BM6" s="165"/>
      <c r="BN6" s="165"/>
      <c r="BO6" s="165"/>
      <c r="BP6" s="165" t="s">
        <v>130</v>
      </c>
      <c r="BQ6" s="165"/>
      <c r="BR6" s="197" t="s">
        <v>131</v>
      </c>
      <c r="BS6" s="171" t="s">
        <v>132</v>
      </c>
      <c r="BT6" s="85"/>
      <c r="BU6" s="85"/>
      <c r="BV6" s="85"/>
      <c r="BW6" s="85"/>
      <c r="BX6" s="85"/>
    </row>
    <row r="7" spans="1:76" s="225" customFormat="1" ht="49.2" customHeight="1" x14ac:dyDescent="0.3">
      <c r="A7" s="86"/>
      <c r="B7" s="86"/>
      <c r="C7" s="86"/>
      <c r="D7" s="86"/>
      <c r="E7" s="86"/>
      <c r="F7" s="86"/>
      <c r="G7" s="86"/>
      <c r="H7" s="86"/>
      <c r="I7" s="86" t="s">
        <v>133</v>
      </c>
      <c r="J7" s="86" t="s">
        <v>134</v>
      </c>
      <c r="K7" s="86" t="s">
        <v>135</v>
      </c>
      <c r="L7" s="86"/>
      <c r="M7" s="86"/>
      <c r="N7" s="86"/>
      <c r="O7" s="86" t="s">
        <v>136</v>
      </c>
      <c r="P7" s="86">
        <v>2017</v>
      </c>
      <c r="Q7" s="86"/>
      <c r="R7" s="187"/>
      <c r="S7" s="172" t="s">
        <v>137</v>
      </c>
      <c r="T7" s="172" t="s">
        <v>138</v>
      </c>
      <c r="U7" s="86"/>
      <c r="V7" s="172" t="s">
        <v>139</v>
      </c>
      <c r="W7" s="86"/>
      <c r="X7" s="86"/>
      <c r="Y7" s="86"/>
      <c r="Z7" s="173" t="s">
        <v>140</v>
      </c>
      <c r="AA7" s="173" t="s">
        <v>140</v>
      </c>
      <c r="AB7" s="86"/>
      <c r="AC7" s="86"/>
      <c r="AD7" s="86"/>
      <c r="AE7" s="86"/>
      <c r="AF7" s="173" t="s">
        <v>140</v>
      </c>
      <c r="AG7" s="86"/>
      <c r="AH7" s="86"/>
      <c r="AI7" s="86"/>
      <c r="AJ7" s="86"/>
      <c r="AK7" s="86"/>
      <c r="AL7" s="86"/>
      <c r="AM7" s="86"/>
      <c r="AN7" s="86"/>
      <c r="AO7" s="204"/>
      <c r="AP7" s="86"/>
      <c r="AQ7" s="174"/>
      <c r="AR7" s="86"/>
      <c r="AS7" s="86"/>
      <c r="AT7" s="86"/>
      <c r="AU7" s="174"/>
      <c r="AV7" s="174"/>
      <c r="AW7" s="174"/>
      <c r="AX7" s="86"/>
      <c r="AY7" s="86"/>
      <c r="AZ7" s="86" t="s">
        <v>141</v>
      </c>
      <c r="BA7" s="86" t="s">
        <v>141</v>
      </c>
      <c r="BB7" s="86" t="s">
        <v>141</v>
      </c>
      <c r="BC7" s="86"/>
      <c r="BD7" s="86"/>
      <c r="BE7" s="86"/>
      <c r="BF7" s="86" t="s">
        <v>142</v>
      </c>
      <c r="BG7" s="86" t="s">
        <v>142</v>
      </c>
      <c r="BH7" s="86"/>
      <c r="BI7" s="86" t="s">
        <v>42</v>
      </c>
      <c r="BJ7" s="86"/>
      <c r="BK7" s="86" t="s">
        <v>1122</v>
      </c>
      <c r="BL7" s="86"/>
      <c r="BM7" s="86"/>
      <c r="BN7" s="86"/>
      <c r="BO7" s="86"/>
      <c r="BP7" s="86"/>
      <c r="BQ7" s="86"/>
      <c r="BR7" s="198" t="s">
        <v>143</v>
      </c>
      <c r="BS7" s="86" t="s">
        <v>144</v>
      </c>
      <c r="BT7" s="86" t="s">
        <v>145</v>
      </c>
      <c r="BU7" s="86" t="s">
        <v>145</v>
      </c>
      <c r="BV7" s="86" t="s">
        <v>145</v>
      </c>
      <c r="BW7" s="86" t="s">
        <v>145</v>
      </c>
      <c r="BX7" s="86" t="s">
        <v>145</v>
      </c>
    </row>
    <row r="8" spans="1:76" s="228" customFormat="1" ht="24" customHeight="1" thickBot="1" x14ac:dyDescent="0.35">
      <c r="A8" s="227"/>
      <c r="B8" s="227"/>
      <c r="C8" s="227"/>
      <c r="D8" s="227"/>
      <c r="E8" s="227"/>
      <c r="F8" s="227"/>
      <c r="G8" s="227"/>
      <c r="H8" s="227"/>
      <c r="I8" s="227"/>
      <c r="J8" s="229">
        <v>1</v>
      </c>
      <c r="K8" s="229">
        <v>2</v>
      </c>
      <c r="L8" s="229">
        <v>3</v>
      </c>
      <c r="M8" s="229">
        <v>4</v>
      </c>
      <c r="N8" s="229">
        <v>5</v>
      </c>
      <c r="O8" s="229">
        <v>6</v>
      </c>
      <c r="P8" s="229">
        <v>7</v>
      </c>
      <c r="Q8" s="229">
        <v>8</v>
      </c>
      <c r="R8" s="229">
        <v>9</v>
      </c>
      <c r="S8" s="229">
        <v>10</v>
      </c>
      <c r="T8" s="229">
        <v>11</v>
      </c>
      <c r="U8" s="229">
        <v>12</v>
      </c>
      <c r="V8" s="229">
        <v>13</v>
      </c>
      <c r="W8" s="229">
        <v>14</v>
      </c>
      <c r="X8" s="229">
        <v>15</v>
      </c>
      <c r="Y8" s="229">
        <v>16</v>
      </c>
      <c r="Z8" s="229">
        <v>17</v>
      </c>
      <c r="AA8" s="229">
        <v>18</v>
      </c>
      <c r="AB8" s="229">
        <v>19</v>
      </c>
      <c r="AC8" s="229">
        <v>20</v>
      </c>
      <c r="AD8" s="229">
        <v>21</v>
      </c>
      <c r="AE8" s="229">
        <v>22</v>
      </c>
      <c r="AF8" s="229">
        <v>23</v>
      </c>
      <c r="AG8" s="229">
        <v>24</v>
      </c>
      <c r="AH8" s="229">
        <v>25</v>
      </c>
      <c r="AI8" s="229">
        <v>26</v>
      </c>
      <c r="AJ8" s="229">
        <v>27</v>
      </c>
      <c r="AK8" s="229">
        <v>28</v>
      </c>
      <c r="AL8" s="229">
        <v>29</v>
      </c>
      <c r="AM8" s="229">
        <v>30</v>
      </c>
      <c r="AN8" s="229">
        <v>31</v>
      </c>
      <c r="AO8" s="229">
        <v>32</v>
      </c>
      <c r="AP8" s="229">
        <v>33</v>
      </c>
      <c r="AQ8" s="229">
        <v>34</v>
      </c>
      <c r="AR8" s="229">
        <v>35</v>
      </c>
      <c r="AS8" s="229">
        <v>36</v>
      </c>
      <c r="AT8" s="229">
        <v>37</v>
      </c>
      <c r="AU8" s="229">
        <v>38</v>
      </c>
      <c r="AV8" s="229">
        <v>39</v>
      </c>
      <c r="AW8" s="229">
        <v>40</v>
      </c>
      <c r="AX8" s="229">
        <v>41</v>
      </c>
      <c r="AY8" s="229">
        <v>42</v>
      </c>
      <c r="AZ8" s="229">
        <v>43</v>
      </c>
      <c r="BA8" s="229">
        <v>44</v>
      </c>
      <c r="BB8" s="229">
        <v>45</v>
      </c>
      <c r="BC8" s="229">
        <v>46</v>
      </c>
      <c r="BD8" s="229">
        <v>47</v>
      </c>
      <c r="BE8" s="229">
        <v>48</v>
      </c>
      <c r="BF8" s="229">
        <v>49</v>
      </c>
      <c r="BG8" s="229">
        <v>50</v>
      </c>
      <c r="BH8" s="229">
        <v>51</v>
      </c>
      <c r="BI8" s="229">
        <v>52</v>
      </c>
      <c r="BJ8" s="229">
        <v>53</v>
      </c>
      <c r="BK8" s="229">
        <v>54</v>
      </c>
      <c r="BL8" s="229">
        <v>55</v>
      </c>
      <c r="BM8" s="229">
        <v>56</v>
      </c>
      <c r="BN8" s="229">
        <v>57</v>
      </c>
      <c r="BO8" s="229">
        <v>58</v>
      </c>
      <c r="BP8" s="229">
        <v>59</v>
      </c>
      <c r="BQ8" s="229">
        <v>60</v>
      </c>
      <c r="BR8" s="229">
        <v>61</v>
      </c>
      <c r="BS8" s="229">
        <v>62</v>
      </c>
      <c r="BT8" s="229">
        <v>63</v>
      </c>
      <c r="BU8" s="229">
        <v>64</v>
      </c>
      <c r="BV8" s="229">
        <v>65</v>
      </c>
      <c r="BW8" s="229">
        <v>66</v>
      </c>
      <c r="BX8" s="229">
        <v>67</v>
      </c>
    </row>
    <row r="9" spans="1:76" s="225" customFormat="1" ht="15.6" thickTop="1" thickBot="1" x14ac:dyDescent="0.35">
      <c r="A9" s="222"/>
      <c r="B9" s="222"/>
      <c r="C9" s="222"/>
      <c r="D9" s="222"/>
      <c r="E9" s="222"/>
      <c r="F9" s="222"/>
      <c r="G9" s="222"/>
      <c r="H9" s="222"/>
      <c r="I9" s="222"/>
      <c r="J9" s="323" t="s">
        <v>28</v>
      </c>
      <c r="K9" s="324" t="s">
        <v>31</v>
      </c>
      <c r="L9" s="324" t="s">
        <v>32</v>
      </c>
      <c r="M9" s="325" t="s">
        <v>33</v>
      </c>
      <c r="N9" s="324" t="s">
        <v>34</v>
      </c>
      <c r="O9" s="324" t="s">
        <v>35</v>
      </c>
      <c r="P9" s="324" t="s">
        <v>36</v>
      </c>
      <c r="Q9" s="325" t="s">
        <v>37</v>
      </c>
      <c r="R9" s="326" t="s">
        <v>38</v>
      </c>
      <c r="S9" s="324" t="s">
        <v>39</v>
      </c>
      <c r="T9" s="324" t="s">
        <v>1101</v>
      </c>
      <c r="U9" s="324" t="s">
        <v>40</v>
      </c>
      <c r="V9" s="324" t="s">
        <v>1102</v>
      </c>
      <c r="W9" s="324" t="s">
        <v>41</v>
      </c>
      <c r="X9" s="327" t="s">
        <v>42</v>
      </c>
      <c r="Y9" s="324" t="s">
        <v>1103</v>
      </c>
      <c r="Z9" s="328" t="s">
        <v>1104</v>
      </c>
      <c r="AA9" s="329" t="s">
        <v>1105</v>
      </c>
      <c r="AB9" s="329" t="s">
        <v>1106</v>
      </c>
      <c r="AC9" s="329" t="s">
        <v>43</v>
      </c>
      <c r="AD9" s="329" t="s">
        <v>44</v>
      </c>
      <c r="AE9" s="329" t="s">
        <v>45</v>
      </c>
      <c r="AF9" s="329" t="s">
        <v>1107</v>
      </c>
      <c r="AG9" s="329" t="s">
        <v>46</v>
      </c>
      <c r="AH9" s="330" t="s">
        <v>47</v>
      </c>
      <c r="AI9" s="331" t="s">
        <v>48</v>
      </c>
      <c r="AJ9" s="331" t="s">
        <v>49</v>
      </c>
      <c r="AK9" s="331" t="s">
        <v>1108</v>
      </c>
      <c r="AL9" s="331" t="s">
        <v>1109</v>
      </c>
      <c r="AM9" s="331" t="s">
        <v>50</v>
      </c>
      <c r="AN9" s="332" t="s">
        <v>51</v>
      </c>
      <c r="AO9" s="333" t="s">
        <v>52</v>
      </c>
      <c r="AP9" s="334" t="s">
        <v>1096</v>
      </c>
      <c r="AQ9" s="333" t="s">
        <v>53</v>
      </c>
      <c r="AR9" s="334" t="s">
        <v>1097</v>
      </c>
      <c r="AS9" s="334" t="s">
        <v>1098</v>
      </c>
      <c r="AT9" s="333" t="s">
        <v>54</v>
      </c>
      <c r="AU9" s="335" t="s">
        <v>55</v>
      </c>
      <c r="AV9" s="336" t="s">
        <v>1099</v>
      </c>
      <c r="AW9" s="336" t="s">
        <v>1100</v>
      </c>
      <c r="AX9" s="327" t="s">
        <v>56</v>
      </c>
      <c r="AY9" s="337" t="s">
        <v>57</v>
      </c>
      <c r="AZ9" s="327" t="s">
        <v>58</v>
      </c>
      <c r="BA9" s="327" t="s">
        <v>59</v>
      </c>
      <c r="BB9" s="327" t="s">
        <v>60</v>
      </c>
      <c r="BC9" s="338" t="s">
        <v>61</v>
      </c>
      <c r="BD9" s="339" t="s">
        <v>62</v>
      </c>
      <c r="BE9" s="340" t="s">
        <v>63</v>
      </c>
      <c r="BF9" s="338" t="s">
        <v>64</v>
      </c>
      <c r="BG9" s="338" t="s">
        <v>65</v>
      </c>
      <c r="BH9" s="337" t="s">
        <v>66</v>
      </c>
      <c r="BI9" s="337" t="s">
        <v>67</v>
      </c>
      <c r="BJ9" s="337" t="s">
        <v>68</v>
      </c>
      <c r="BK9" s="341" t="s">
        <v>69</v>
      </c>
      <c r="BL9" s="339" t="s">
        <v>70</v>
      </c>
      <c r="BM9" s="339" t="s">
        <v>71</v>
      </c>
      <c r="BN9" s="339" t="s">
        <v>72</v>
      </c>
      <c r="BO9" s="339" t="s">
        <v>73</v>
      </c>
      <c r="BP9" s="339" t="s">
        <v>74</v>
      </c>
      <c r="BQ9" s="339" t="s">
        <v>75</v>
      </c>
      <c r="BR9" s="342" t="s">
        <v>76</v>
      </c>
      <c r="BS9" s="343" t="s">
        <v>77</v>
      </c>
      <c r="BT9" s="344" t="s">
        <v>78</v>
      </c>
      <c r="BU9" s="327" t="s">
        <v>79</v>
      </c>
      <c r="BV9" s="327" t="s">
        <v>80</v>
      </c>
      <c r="BW9" s="327" t="s">
        <v>81</v>
      </c>
      <c r="BX9" s="345" t="s">
        <v>82</v>
      </c>
    </row>
    <row r="10" spans="1:76" s="226" customFormat="1" ht="15" thickTop="1" x14ac:dyDescent="0.3">
      <c r="A10" s="88"/>
      <c r="B10" s="88"/>
      <c r="C10" s="88"/>
      <c r="D10" s="88"/>
      <c r="E10" s="88"/>
      <c r="F10" s="88"/>
      <c r="G10" s="88"/>
      <c r="H10" s="88"/>
      <c r="I10" s="88"/>
      <c r="J10" s="346" t="s">
        <v>134</v>
      </c>
      <c r="K10" s="347" t="s">
        <v>135</v>
      </c>
      <c r="L10" s="347"/>
      <c r="M10" s="347"/>
      <c r="N10" s="347"/>
      <c r="O10" s="347" t="s">
        <v>136</v>
      </c>
      <c r="P10" s="347">
        <v>2017</v>
      </c>
      <c r="Q10" s="348" t="s">
        <v>146</v>
      </c>
      <c r="R10" s="349" t="s">
        <v>147</v>
      </c>
      <c r="S10" s="347">
        <v>15</v>
      </c>
      <c r="T10" s="347"/>
      <c r="U10" s="347" t="s">
        <v>148</v>
      </c>
      <c r="V10" s="347"/>
      <c r="W10" s="347" t="s">
        <v>149</v>
      </c>
      <c r="X10" s="347">
        <v>2015</v>
      </c>
      <c r="Y10" s="347"/>
      <c r="Z10" s="347" t="str">
        <f>VLOOKUP(R10,KEY_Processes!$B$4:$E$54,4,FALSE)</f>
        <v>B_OIL_01</v>
      </c>
      <c r="AA10" s="347" t="str">
        <f>VLOOKUP(R10,KEY_Processes!$B$4:$E$54,2,FALSE)</f>
        <v>Oil-fired boiler</v>
      </c>
      <c r="AB10" s="347" t="str">
        <f>VLOOKUP(U10,KEY_FUELS!$C$4:$D$77,2,FALSE)</f>
        <v>OIL</v>
      </c>
      <c r="AC10" s="347" t="s">
        <v>150</v>
      </c>
      <c r="AD10" s="347" t="s">
        <v>151</v>
      </c>
      <c r="AE10" s="347" t="s">
        <v>152</v>
      </c>
      <c r="AF10" s="350" t="str">
        <f>VLOOKUP(W10,KEY_Other!$B$37:$C$89,2,FALSE)</f>
        <v>DK</v>
      </c>
      <c r="AG10" s="347"/>
      <c r="AH10" s="347" t="str">
        <f>AC10&amp;VLOOKUP(U10,KEY_FUELS!$C$4:$D$78,2,FALSE)</f>
        <v>RSDOIL</v>
      </c>
      <c r="AI10" s="347" t="str">
        <f>IFERROR(AC10&amp;VLOOKUP(V10,KEY_FUELS!$C$4:$D$78,2,FALSE),"")</f>
        <v/>
      </c>
      <c r="AJ10" s="347" t="str">
        <f>LEFT(AC10,1)&amp;"H"&amp;AD10</f>
        <v>RHHSB</v>
      </c>
      <c r="AK10" s="347" t="str">
        <f t="shared" ref="AK10:AK73" si="0">IF(AV10&gt;0,LEFT(AC10,1)&amp;"W"&amp;AD10,"")</f>
        <v>RWHSB</v>
      </c>
      <c r="AL10" s="347" t="str">
        <f t="shared" ref="AL10:AL73" si="1">IF(T10&gt;0,LEFT(AC10,1)&amp;"E"&amp;AD10,"")</f>
        <v/>
      </c>
      <c r="AM10" s="348">
        <v>31.536000000000001</v>
      </c>
      <c r="AN10" s="347">
        <f>IF(ISBLANK(X10),"2015",X10)</f>
        <v>2015</v>
      </c>
      <c r="AO10" s="351"/>
      <c r="AP10" s="352"/>
      <c r="AQ10" s="353"/>
      <c r="AR10" s="354"/>
      <c r="AS10" s="354"/>
      <c r="AT10" s="354"/>
      <c r="AU10" s="355">
        <v>1</v>
      </c>
      <c r="AV10" s="355">
        <v>1</v>
      </c>
      <c r="AW10" s="355"/>
      <c r="AX10" s="356"/>
      <c r="AY10" s="352"/>
      <c r="AZ10" s="355">
        <v>0.92</v>
      </c>
      <c r="BA10" s="355">
        <v>0.92</v>
      </c>
      <c r="BB10" s="357"/>
      <c r="BC10" s="358"/>
      <c r="BD10" s="358"/>
      <c r="BE10" s="359"/>
      <c r="BF10" s="347"/>
      <c r="BG10" s="347"/>
      <c r="BH10" s="357"/>
      <c r="BI10" s="347">
        <v>20</v>
      </c>
      <c r="BJ10" s="347"/>
      <c r="BK10" s="356">
        <v>6</v>
      </c>
      <c r="BL10" s="360"/>
      <c r="BM10" s="360"/>
      <c r="BN10" s="360"/>
      <c r="BO10" s="360"/>
      <c r="BP10" s="360"/>
      <c r="BQ10" s="360"/>
      <c r="BR10" s="352">
        <v>249.45</v>
      </c>
      <c r="BS10" s="356">
        <v>0</v>
      </c>
      <c r="BT10" s="348">
        <v>0.5</v>
      </c>
      <c r="BU10" s="356">
        <v>30</v>
      </c>
      <c r="BV10" s="348">
        <v>0</v>
      </c>
      <c r="BW10" s="348">
        <v>0</v>
      </c>
      <c r="BX10" s="361">
        <v>1.7500000000000002E-2</v>
      </c>
    </row>
    <row r="11" spans="1:76" s="226" customFormat="1" x14ac:dyDescent="0.3">
      <c r="A11" s="88"/>
      <c r="B11" s="88"/>
      <c r="C11" s="88"/>
      <c r="D11" s="88"/>
      <c r="E11" s="88"/>
      <c r="F11" s="88"/>
      <c r="G11" s="88"/>
      <c r="H11" s="88"/>
      <c r="I11" s="88"/>
      <c r="J11" s="362" t="s">
        <v>134</v>
      </c>
      <c r="K11" s="363" t="s">
        <v>135</v>
      </c>
      <c r="L11" s="363"/>
      <c r="M11" s="363"/>
      <c r="N11" s="363"/>
      <c r="O11" s="363" t="s">
        <v>136</v>
      </c>
      <c r="P11" s="363">
        <v>2017</v>
      </c>
      <c r="Q11" s="364" t="s">
        <v>146</v>
      </c>
      <c r="R11" s="365" t="s">
        <v>147</v>
      </c>
      <c r="S11" s="363">
        <v>15</v>
      </c>
      <c r="T11" s="363"/>
      <c r="U11" s="363" t="s">
        <v>148</v>
      </c>
      <c r="V11" s="363"/>
      <c r="W11" s="363" t="s">
        <v>149</v>
      </c>
      <c r="X11" s="363">
        <v>2020</v>
      </c>
      <c r="Y11" s="363"/>
      <c r="Z11" s="363" t="str">
        <f>VLOOKUP(R11,KEY_Processes!$B$4:$E$54,4,FALSE)</f>
        <v>B_OIL_01</v>
      </c>
      <c r="AA11" s="363" t="str">
        <f>VLOOKUP(R11,KEY_Processes!$B$4:$E$54,2,FALSE)</f>
        <v>Oil-fired boiler</v>
      </c>
      <c r="AB11" s="363" t="str">
        <f>VLOOKUP(U11,KEY_FUELS!$C$4:$D$77,2,FALSE)</f>
        <v>OIL</v>
      </c>
      <c r="AC11" s="363" t="s">
        <v>150</v>
      </c>
      <c r="AD11" s="363" t="s">
        <v>151</v>
      </c>
      <c r="AE11" s="363" t="s">
        <v>152</v>
      </c>
      <c r="AF11" s="366" t="str">
        <f>VLOOKUP(W11,KEY_Other!$B$37:$C$89,2,FALSE)</f>
        <v>DK</v>
      </c>
      <c r="AG11" s="363"/>
      <c r="AH11" s="363" t="str">
        <f>AC11&amp;VLOOKUP(U11,KEY_FUELS!$C$4:$D$78,2,FALSE)</f>
        <v>RSDOIL</v>
      </c>
      <c r="AI11" s="363" t="str">
        <f>IFERROR(AC11&amp;VLOOKUP(V11,KEY_FUELS!$C$4:$D$78,2,FALSE),"")</f>
        <v/>
      </c>
      <c r="AJ11" s="363" t="str">
        <f>LEFT(AC11,1)&amp;"H"&amp;AD11</f>
        <v>RHHSB</v>
      </c>
      <c r="AK11" s="363" t="str">
        <f t="shared" si="0"/>
        <v>RWHSB</v>
      </c>
      <c r="AL11" s="363" t="str">
        <f t="shared" si="1"/>
        <v/>
      </c>
      <c r="AM11" s="364">
        <v>31.536000000000001</v>
      </c>
      <c r="AN11" s="363">
        <f t="shared" ref="AN11:AN74" si="2">IF(ISBLANK(X11),"2015",X11)</f>
        <v>2020</v>
      </c>
      <c r="AO11" s="367"/>
      <c r="AP11" s="368"/>
      <c r="AQ11" s="369"/>
      <c r="AR11" s="370"/>
      <c r="AS11" s="370"/>
      <c r="AT11" s="370"/>
      <c r="AU11" s="371">
        <v>1</v>
      </c>
      <c r="AV11" s="371">
        <v>1</v>
      </c>
      <c r="AW11" s="371"/>
      <c r="AX11" s="372"/>
      <c r="AY11" s="368"/>
      <c r="AZ11" s="371">
        <v>0.92</v>
      </c>
      <c r="BA11" s="371">
        <v>0.92</v>
      </c>
      <c r="BB11" s="372"/>
      <c r="BC11" s="373"/>
      <c r="BD11" s="373"/>
      <c r="BE11" s="374"/>
      <c r="BF11" s="363"/>
      <c r="BG11" s="363"/>
      <c r="BH11" s="375"/>
      <c r="BI11" s="363">
        <v>20</v>
      </c>
      <c r="BJ11" s="363"/>
      <c r="BK11" s="372">
        <v>6</v>
      </c>
      <c r="BL11" s="376"/>
      <c r="BM11" s="376"/>
      <c r="BN11" s="376"/>
      <c r="BO11" s="376"/>
      <c r="BP11" s="376"/>
      <c r="BQ11" s="376"/>
      <c r="BR11" s="368">
        <v>244</v>
      </c>
      <c r="BS11" s="372">
        <v>0</v>
      </c>
      <c r="BT11" s="364">
        <v>0.5</v>
      </c>
      <c r="BU11" s="372">
        <v>25</v>
      </c>
      <c r="BV11" s="364">
        <v>0</v>
      </c>
      <c r="BW11" s="364">
        <v>0</v>
      </c>
      <c r="BX11" s="377">
        <v>1.7500000000000002E-2</v>
      </c>
    </row>
    <row r="12" spans="1:76" s="226" customFormat="1" x14ac:dyDescent="0.3">
      <c r="A12" s="88"/>
      <c r="B12" s="88"/>
      <c r="C12" s="88"/>
      <c r="D12" s="88"/>
      <c r="E12" s="88"/>
      <c r="F12" s="88"/>
      <c r="G12" s="88"/>
      <c r="H12" s="88"/>
      <c r="I12" s="88"/>
      <c r="J12" s="378" t="s">
        <v>134</v>
      </c>
      <c r="K12" s="379" t="s">
        <v>135</v>
      </c>
      <c r="L12" s="379"/>
      <c r="M12" s="379"/>
      <c r="N12" s="379"/>
      <c r="O12" s="379" t="s">
        <v>136</v>
      </c>
      <c r="P12" s="379">
        <v>2017</v>
      </c>
      <c r="Q12" s="380" t="s">
        <v>146</v>
      </c>
      <c r="R12" s="381" t="s">
        <v>147</v>
      </c>
      <c r="S12" s="379">
        <v>15</v>
      </c>
      <c r="T12" s="379"/>
      <c r="U12" s="379" t="s">
        <v>148</v>
      </c>
      <c r="V12" s="379"/>
      <c r="W12" s="379" t="s">
        <v>149</v>
      </c>
      <c r="X12" s="379">
        <v>2030</v>
      </c>
      <c r="Y12" s="379"/>
      <c r="Z12" s="379" t="str">
        <f>VLOOKUP(R12,KEY_Processes!$B$4:$E$54,4,FALSE)</f>
        <v>B_OIL_01</v>
      </c>
      <c r="AA12" s="379" t="str">
        <f>VLOOKUP(R12,KEY_Processes!$B$4:$E$54,2,FALSE)</f>
        <v>Oil-fired boiler</v>
      </c>
      <c r="AB12" s="379" t="str">
        <f>VLOOKUP(U12,KEY_FUELS!$C$4:$D$77,2,FALSE)</f>
        <v>OIL</v>
      </c>
      <c r="AC12" s="379" t="s">
        <v>150</v>
      </c>
      <c r="AD12" s="379" t="s">
        <v>151</v>
      </c>
      <c r="AE12" s="379" t="s">
        <v>152</v>
      </c>
      <c r="AF12" s="382" t="str">
        <f>VLOOKUP(W12,KEY_Other!$B$37:$C$89,2,FALSE)</f>
        <v>DK</v>
      </c>
      <c r="AG12" s="379"/>
      <c r="AH12" s="379" t="str">
        <f>AC12&amp;VLOOKUP(U12,KEY_FUELS!$C$4:$D$78,2,FALSE)</f>
        <v>RSDOIL</v>
      </c>
      <c r="AI12" s="379" t="str">
        <f>IFERROR(AC12&amp;VLOOKUP(V12,KEY_FUELS!$C$4:$D$78,2,FALSE),"")</f>
        <v/>
      </c>
      <c r="AJ12" s="379" t="str">
        <f>LEFT(AC12,1)&amp;"H"&amp;AD12</f>
        <v>RHHSB</v>
      </c>
      <c r="AK12" s="379" t="str">
        <f t="shared" si="0"/>
        <v>RWHSB</v>
      </c>
      <c r="AL12" s="379" t="str">
        <f t="shared" si="1"/>
        <v/>
      </c>
      <c r="AM12" s="380">
        <v>31.536000000000001</v>
      </c>
      <c r="AN12" s="379">
        <f t="shared" si="2"/>
        <v>2030</v>
      </c>
      <c r="AO12" s="383"/>
      <c r="AP12" s="384"/>
      <c r="AQ12" s="385"/>
      <c r="AR12" s="386"/>
      <c r="AS12" s="386"/>
      <c r="AT12" s="386"/>
      <c r="AU12" s="387">
        <v>1</v>
      </c>
      <c r="AV12" s="387">
        <v>1</v>
      </c>
      <c r="AW12" s="387"/>
      <c r="AX12" s="388"/>
      <c r="AY12" s="384"/>
      <c r="AZ12" s="387">
        <v>0.93</v>
      </c>
      <c r="BA12" s="387">
        <v>0.93</v>
      </c>
      <c r="BB12" s="388"/>
      <c r="BC12" s="389"/>
      <c r="BD12" s="389"/>
      <c r="BE12" s="390"/>
      <c r="BF12" s="379"/>
      <c r="BG12" s="379"/>
      <c r="BH12" s="391"/>
      <c r="BI12" s="379">
        <v>20</v>
      </c>
      <c r="BJ12" s="379"/>
      <c r="BK12" s="388">
        <v>6</v>
      </c>
      <c r="BL12" s="392"/>
      <c r="BM12" s="392"/>
      <c r="BN12" s="392"/>
      <c r="BO12" s="392"/>
      <c r="BP12" s="392"/>
      <c r="BQ12" s="392"/>
      <c r="BR12" s="384">
        <v>236</v>
      </c>
      <c r="BS12" s="388">
        <v>0</v>
      </c>
      <c r="BT12" s="380">
        <v>0.5</v>
      </c>
      <c r="BU12" s="388">
        <v>20</v>
      </c>
      <c r="BV12" s="380">
        <v>0</v>
      </c>
      <c r="BW12" s="380">
        <v>0</v>
      </c>
      <c r="BX12" s="393">
        <v>1.7500000000000002E-2</v>
      </c>
    </row>
    <row r="13" spans="1:76" s="226" customFormat="1" x14ac:dyDescent="0.3">
      <c r="A13" s="88"/>
      <c r="B13" s="88"/>
      <c r="C13" s="88"/>
      <c r="D13" s="88"/>
      <c r="E13" s="88"/>
      <c r="F13" s="88"/>
      <c r="G13" s="88"/>
      <c r="H13" s="88"/>
      <c r="I13" s="88"/>
      <c r="J13" s="362" t="s">
        <v>134</v>
      </c>
      <c r="K13" s="363" t="s">
        <v>135</v>
      </c>
      <c r="L13" s="363"/>
      <c r="M13" s="363"/>
      <c r="N13" s="363"/>
      <c r="O13" s="363" t="s">
        <v>136</v>
      </c>
      <c r="P13" s="363">
        <v>2017</v>
      </c>
      <c r="Q13" s="364" t="s">
        <v>146</v>
      </c>
      <c r="R13" s="365" t="s">
        <v>147</v>
      </c>
      <c r="S13" s="363">
        <v>15</v>
      </c>
      <c r="T13" s="363"/>
      <c r="U13" s="363" t="s">
        <v>148</v>
      </c>
      <c r="V13" s="363"/>
      <c r="W13" s="363" t="s">
        <v>149</v>
      </c>
      <c r="X13" s="363">
        <v>2050</v>
      </c>
      <c r="Y13" s="363"/>
      <c r="Z13" s="363" t="str">
        <f>VLOOKUP(R13,KEY_Processes!$B$4:$E$54,4,FALSE)</f>
        <v>B_OIL_01</v>
      </c>
      <c r="AA13" s="363" t="str">
        <f>VLOOKUP(R13,KEY_Processes!$B$4:$E$54,2,FALSE)</f>
        <v>Oil-fired boiler</v>
      </c>
      <c r="AB13" s="363" t="str">
        <f>VLOOKUP(U13,KEY_FUELS!$C$4:$D$77,2,FALSE)</f>
        <v>OIL</v>
      </c>
      <c r="AC13" s="363" t="s">
        <v>150</v>
      </c>
      <c r="AD13" s="363" t="s">
        <v>151</v>
      </c>
      <c r="AE13" s="363" t="s">
        <v>152</v>
      </c>
      <c r="AF13" s="366" t="str">
        <f>VLOOKUP(W13,KEY_Other!$B$37:$C$89,2,FALSE)</f>
        <v>DK</v>
      </c>
      <c r="AG13" s="363"/>
      <c r="AH13" s="363" t="str">
        <f>AC13&amp;VLOOKUP(U13,KEY_FUELS!$C$4:$D$78,2,FALSE)</f>
        <v>RSDOIL</v>
      </c>
      <c r="AI13" s="363" t="str">
        <f>IFERROR(AC13&amp;VLOOKUP(V13,KEY_FUELS!$C$4:$D$78,2,FALSE),"")</f>
        <v/>
      </c>
      <c r="AJ13" s="363" t="str">
        <f>LEFT(AC13,1)&amp;"H"&amp;AD13</f>
        <v>RHHSB</v>
      </c>
      <c r="AK13" s="363" t="str">
        <f t="shared" si="0"/>
        <v>RWHSB</v>
      </c>
      <c r="AL13" s="363" t="str">
        <f t="shared" si="1"/>
        <v/>
      </c>
      <c r="AM13" s="364">
        <v>31.536000000000001</v>
      </c>
      <c r="AN13" s="363">
        <f t="shared" si="2"/>
        <v>2050</v>
      </c>
      <c r="AO13" s="367"/>
      <c r="AP13" s="368"/>
      <c r="AQ13" s="369"/>
      <c r="AR13" s="370"/>
      <c r="AS13" s="370"/>
      <c r="AT13" s="370"/>
      <c r="AU13" s="371">
        <v>1</v>
      </c>
      <c r="AV13" s="371">
        <v>1</v>
      </c>
      <c r="AW13" s="371"/>
      <c r="AX13" s="372"/>
      <c r="AY13" s="368"/>
      <c r="AZ13" s="371">
        <v>0.95</v>
      </c>
      <c r="BA13" s="371">
        <v>0.95</v>
      </c>
      <c r="BB13" s="372"/>
      <c r="BC13" s="373"/>
      <c r="BD13" s="373"/>
      <c r="BE13" s="374"/>
      <c r="BF13" s="363"/>
      <c r="BG13" s="363"/>
      <c r="BH13" s="375"/>
      <c r="BI13" s="363">
        <v>20</v>
      </c>
      <c r="BJ13" s="363"/>
      <c r="BK13" s="372">
        <v>10</v>
      </c>
      <c r="BL13" s="376"/>
      <c r="BM13" s="376"/>
      <c r="BN13" s="376"/>
      <c r="BO13" s="376"/>
      <c r="BP13" s="376"/>
      <c r="BQ13" s="376"/>
      <c r="BR13" s="368">
        <v>214</v>
      </c>
      <c r="BS13" s="372">
        <v>0</v>
      </c>
      <c r="BT13" s="364">
        <v>0.5</v>
      </c>
      <c r="BU13" s="372">
        <v>15</v>
      </c>
      <c r="BV13" s="364">
        <v>0</v>
      </c>
      <c r="BW13" s="364">
        <v>0</v>
      </c>
      <c r="BX13" s="377">
        <v>1.7500000000000002E-2</v>
      </c>
    </row>
    <row r="14" spans="1:76" s="226" customFormat="1" x14ac:dyDescent="0.3">
      <c r="A14" s="88"/>
      <c r="B14" s="88"/>
      <c r="C14" s="88"/>
      <c r="D14" s="88"/>
      <c r="E14" s="88"/>
      <c r="F14" s="88"/>
      <c r="G14" s="88"/>
      <c r="H14" s="88"/>
      <c r="I14" s="88"/>
      <c r="J14" s="378" t="s">
        <v>134</v>
      </c>
      <c r="K14" s="379" t="s">
        <v>135</v>
      </c>
      <c r="L14" s="379"/>
      <c r="M14" s="379"/>
      <c r="N14" s="379"/>
      <c r="O14" s="379" t="s">
        <v>136</v>
      </c>
      <c r="P14" s="379">
        <v>2017</v>
      </c>
      <c r="Q14" s="380" t="s">
        <v>146</v>
      </c>
      <c r="R14" s="381" t="s">
        <v>153</v>
      </c>
      <c r="S14" s="379">
        <v>15</v>
      </c>
      <c r="T14" s="379"/>
      <c r="U14" s="379" t="s">
        <v>154</v>
      </c>
      <c r="V14" s="379"/>
      <c r="W14" s="379" t="s">
        <v>149</v>
      </c>
      <c r="X14" s="379">
        <v>2015</v>
      </c>
      <c r="Y14" s="379"/>
      <c r="Z14" s="379" t="str">
        <f>VLOOKUP(R14,KEY_Processes!$B$4:$E$54,4,FALSE)</f>
        <v>B_WOO_01</v>
      </c>
      <c r="AA14" s="379" t="str">
        <f>VLOOKUP(R14,KEY_Processes!$B$4:$E$54,2,FALSE)</f>
        <v>Oil-fired boiler</v>
      </c>
      <c r="AB14" s="379" t="str">
        <f>VLOOKUP(U14,KEY_FUELS!$C$4:$D$77,2,FALSE)</f>
        <v>WOO</v>
      </c>
      <c r="AC14" s="379" t="s">
        <v>150</v>
      </c>
      <c r="AD14" s="379" t="s">
        <v>155</v>
      </c>
      <c r="AE14" s="379" t="s">
        <v>152</v>
      </c>
      <c r="AF14" s="382" t="str">
        <f>VLOOKUP(W14,KEY_Other!$B$37:$C$89,2,FALSE)</f>
        <v>DK</v>
      </c>
      <c r="AG14" s="379"/>
      <c r="AH14" s="379" t="str">
        <f>AC14&amp;VLOOKUP(U14,KEY_FUELS!$C$4:$D$78,2,FALSE)</f>
        <v>RSDWOO</v>
      </c>
      <c r="AI14" s="379" t="str">
        <f>IFERROR(AC14&amp;VLOOKUP(V14,KEY_FUELS!$C$4:$D$78,2,FALSE),"")</f>
        <v/>
      </c>
      <c r="AJ14" s="379" t="str">
        <f t="shared" ref="AJ14:AJ184" si="3">LEFT(AC14,1)&amp;"H"&amp;AD14</f>
        <v>RHHSA</v>
      </c>
      <c r="AK14" s="379" t="str">
        <f t="shared" si="0"/>
        <v>RWHSA</v>
      </c>
      <c r="AL14" s="379" t="str">
        <f t="shared" si="1"/>
        <v/>
      </c>
      <c r="AM14" s="380">
        <v>31.536000000000001</v>
      </c>
      <c r="AN14" s="379">
        <f t="shared" si="2"/>
        <v>2015</v>
      </c>
      <c r="AO14" s="383"/>
      <c r="AP14" s="384"/>
      <c r="AQ14" s="386"/>
      <c r="AR14" s="386"/>
      <c r="AS14" s="386"/>
      <c r="AT14" s="386"/>
      <c r="AU14" s="387">
        <v>1</v>
      </c>
      <c r="AV14" s="387">
        <v>1</v>
      </c>
      <c r="AW14" s="387"/>
      <c r="AX14" s="388"/>
      <c r="AY14" s="384"/>
      <c r="AZ14" s="387">
        <v>0.88</v>
      </c>
      <c r="BA14" s="387">
        <v>0.88</v>
      </c>
      <c r="BB14" s="388"/>
      <c r="BC14" s="389"/>
      <c r="BD14" s="389"/>
      <c r="BE14" s="390"/>
      <c r="BF14" s="379"/>
      <c r="BG14" s="379"/>
      <c r="BH14" s="391"/>
      <c r="BI14" s="379">
        <v>20</v>
      </c>
      <c r="BJ14" s="379"/>
      <c r="BK14" s="388">
        <v>10</v>
      </c>
      <c r="BL14" s="392"/>
      <c r="BM14" s="392"/>
      <c r="BN14" s="392"/>
      <c r="BO14" s="392"/>
      <c r="BP14" s="392"/>
      <c r="BQ14" s="392"/>
      <c r="BR14" s="384">
        <v>246.3</v>
      </c>
      <c r="BS14" s="388">
        <v>0</v>
      </c>
      <c r="BT14" s="380">
        <v>0.5</v>
      </c>
      <c r="BU14" s="388">
        <v>30</v>
      </c>
      <c r="BV14" s="380">
        <v>0</v>
      </c>
      <c r="BW14" s="380">
        <v>0</v>
      </c>
      <c r="BX14" s="393">
        <v>1.7500000000000002E-2</v>
      </c>
    </row>
    <row r="15" spans="1:76" s="226" customFormat="1" x14ac:dyDescent="0.3">
      <c r="A15" s="88"/>
      <c r="B15" s="88"/>
      <c r="C15" s="88"/>
      <c r="D15" s="88"/>
      <c r="E15" s="88"/>
      <c r="F15" s="88"/>
      <c r="G15" s="88"/>
      <c r="H15" s="88"/>
      <c r="I15" s="88"/>
      <c r="J15" s="362" t="s">
        <v>134</v>
      </c>
      <c r="K15" s="363" t="s">
        <v>135</v>
      </c>
      <c r="L15" s="363"/>
      <c r="M15" s="363"/>
      <c r="N15" s="363"/>
      <c r="O15" s="363" t="s">
        <v>136</v>
      </c>
      <c r="P15" s="363">
        <v>2017</v>
      </c>
      <c r="Q15" s="364" t="s">
        <v>146</v>
      </c>
      <c r="R15" s="365" t="s">
        <v>153</v>
      </c>
      <c r="S15" s="363">
        <v>15</v>
      </c>
      <c r="T15" s="363"/>
      <c r="U15" s="363" t="s">
        <v>154</v>
      </c>
      <c r="V15" s="363"/>
      <c r="W15" s="363" t="s">
        <v>149</v>
      </c>
      <c r="X15" s="363">
        <v>2020</v>
      </c>
      <c r="Y15" s="363"/>
      <c r="Z15" s="363" t="str">
        <f>VLOOKUP(R15,KEY_Processes!$B$4:$E$54,4,FALSE)</f>
        <v>B_WOO_01</v>
      </c>
      <c r="AA15" s="363" t="str">
        <f>VLOOKUP(R15,KEY_Processes!$B$4:$E$54,2,FALSE)</f>
        <v>Oil-fired boiler</v>
      </c>
      <c r="AB15" s="363" t="str">
        <f>VLOOKUP(U15,KEY_FUELS!$C$4:$D$77,2,FALSE)</f>
        <v>WOO</v>
      </c>
      <c r="AC15" s="363" t="s">
        <v>150</v>
      </c>
      <c r="AD15" s="363" t="s">
        <v>155</v>
      </c>
      <c r="AE15" s="363" t="s">
        <v>152</v>
      </c>
      <c r="AF15" s="366" t="str">
        <f>VLOOKUP(W15,KEY_Other!$B$37:$C$89,2,FALSE)</f>
        <v>DK</v>
      </c>
      <c r="AG15" s="363"/>
      <c r="AH15" s="363" t="str">
        <f>AC15&amp;VLOOKUP(U15,KEY_FUELS!$C$4:$D$78,2,FALSE)</f>
        <v>RSDWOO</v>
      </c>
      <c r="AI15" s="363" t="str">
        <f>IFERROR(AC15&amp;VLOOKUP(V15,KEY_FUELS!$C$4:$D$78,2,FALSE),"")</f>
        <v/>
      </c>
      <c r="AJ15" s="363" t="str">
        <f t="shared" ref="AJ15" si="4">LEFT(AC15,1)&amp;"H"&amp;AD15</f>
        <v>RHHSA</v>
      </c>
      <c r="AK15" s="363" t="str">
        <f t="shared" si="0"/>
        <v>RWHSA</v>
      </c>
      <c r="AL15" s="363" t="str">
        <f t="shared" si="1"/>
        <v/>
      </c>
      <c r="AM15" s="364">
        <v>31.536000000000001</v>
      </c>
      <c r="AN15" s="363">
        <f t="shared" si="2"/>
        <v>2020</v>
      </c>
      <c r="AO15" s="367"/>
      <c r="AP15" s="368"/>
      <c r="AQ15" s="370"/>
      <c r="AR15" s="370"/>
      <c r="AS15" s="370"/>
      <c r="AT15" s="370"/>
      <c r="AU15" s="371">
        <v>1</v>
      </c>
      <c r="AV15" s="371">
        <v>1</v>
      </c>
      <c r="AW15" s="371"/>
      <c r="AX15" s="372"/>
      <c r="AY15" s="368"/>
      <c r="AZ15" s="371">
        <v>0.88</v>
      </c>
      <c r="BA15" s="371">
        <v>0.88</v>
      </c>
      <c r="BB15" s="372"/>
      <c r="BC15" s="373"/>
      <c r="BD15" s="373"/>
      <c r="BE15" s="374"/>
      <c r="BF15" s="363"/>
      <c r="BG15" s="363"/>
      <c r="BH15" s="375"/>
      <c r="BI15" s="363">
        <v>20</v>
      </c>
      <c r="BJ15" s="363"/>
      <c r="BK15" s="372">
        <v>10</v>
      </c>
      <c r="BL15" s="376"/>
      <c r="BM15" s="376"/>
      <c r="BN15" s="376"/>
      <c r="BO15" s="376"/>
      <c r="BP15" s="376"/>
      <c r="BQ15" s="376"/>
      <c r="BR15" s="368">
        <v>241</v>
      </c>
      <c r="BS15" s="372">
        <v>0</v>
      </c>
      <c r="BT15" s="364">
        <v>0.5</v>
      </c>
      <c r="BU15" s="372">
        <v>25</v>
      </c>
      <c r="BV15" s="364">
        <v>0</v>
      </c>
      <c r="BW15" s="364">
        <v>0</v>
      </c>
      <c r="BX15" s="377">
        <v>1.7500000000000002E-2</v>
      </c>
    </row>
    <row r="16" spans="1:76" s="226" customFormat="1" x14ac:dyDescent="0.3">
      <c r="A16" s="88"/>
      <c r="B16" s="88"/>
      <c r="C16" s="88"/>
      <c r="D16" s="88"/>
      <c r="E16" s="88"/>
      <c r="F16" s="88"/>
      <c r="G16" s="88"/>
      <c r="H16" s="88"/>
      <c r="I16" s="88"/>
      <c r="J16" s="378" t="s">
        <v>134</v>
      </c>
      <c r="K16" s="379" t="s">
        <v>135</v>
      </c>
      <c r="L16" s="379"/>
      <c r="M16" s="379"/>
      <c r="N16" s="379"/>
      <c r="O16" s="379" t="s">
        <v>136</v>
      </c>
      <c r="P16" s="379">
        <v>2017</v>
      </c>
      <c r="Q16" s="380" t="s">
        <v>146</v>
      </c>
      <c r="R16" s="381" t="s">
        <v>153</v>
      </c>
      <c r="S16" s="379">
        <v>15</v>
      </c>
      <c r="T16" s="379"/>
      <c r="U16" s="379" t="s">
        <v>154</v>
      </c>
      <c r="V16" s="379"/>
      <c r="W16" s="379" t="s">
        <v>149</v>
      </c>
      <c r="X16" s="379">
        <v>2030</v>
      </c>
      <c r="Y16" s="379"/>
      <c r="Z16" s="379" t="str">
        <f>VLOOKUP(R16,KEY_Processes!$B$4:$E$54,4,FALSE)</f>
        <v>B_WOO_01</v>
      </c>
      <c r="AA16" s="379" t="str">
        <f>VLOOKUP(R16,KEY_Processes!$B$4:$E$54,2,FALSE)</f>
        <v>Oil-fired boiler</v>
      </c>
      <c r="AB16" s="379" t="str">
        <f>VLOOKUP(U16,KEY_FUELS!$C$4:$D$77,2,FALSE)</f>
        <v>WOO</v>
      </c>
      <c r="AC16" s="379" t="s">
        <v>150</v>
      </c>
      <c r="AD16" s="379" t="s">
        <v>155</v>
      </c>
      <c r="AE16" s="379" t="s">
        <v>152</v>
      </c>
      <c r="AF16" s="382" t="str">
        <f>VLOOKUP(W16,KEY_Other!$B$37:$C$89,2,FALSE)</f>
        <v>DK</v>
      </c>
      <c r="AG16" s="379"/>
      <c r="AH16" s="379" t="str">
        <f>AC16&amp;VLOOKUP(U16,KEY_FUELS!$C$4:$D$78,2,FALSE)</f>
        <v>RSDWOO</v>
      </c>
      <c r="AI16" s="379" t="str">
        <f>IFERROR(AC16&amp;VLOOKUP(V16,KEY_FUELS!$C$4:$D$78,2,FALSE),"")</f>
        <v/>
      </c>
      <c r="AJ16" s="379" t="str">
        <f t="shared" si="3"/>
        <v>RHHSA</v>
      </c>
      <c r="AK16" s="379" t="str">
        <f t="shared" si="0"/>
        <v>RWHSA</v>
      </c>
      <c r="AL16" s="379" t="str">
        <f t="shared" si="1"/>
        <v/>
      </c>
      <c r="AM16" s="380">
        <v>31.536000000000001</v>
      </c>
      <c r="AN16" s="379">
        <f t="shared" si="2"/>
        <v>2030</v>
      </c>
      <c r="AO16" s="383"/>
      <c r="AP16" s="384"/>
      <c r="AQ16" s="386"/>
      <c r="AR16" s="386"/>
      <c r="AS16" s="386"/>
      <c r="AT16" s="386"/>
      <c r="AU16" s="387">
        <v>1</v>
      </c>
      <c r="AV16" s="387">
        <v>1</v>
      </c>
      <c r="AW16" s="387"/>
      <c r="AX16" s="388"/>
      <c r="AY16" s="384"/>
      <c r="AZ16" s="387">
        <v>0.92</v>
      </c>
      <c r="BA16" s="387">
        <v>0.92</v>
      </c>
      <c r="BB16" s="388"/>
      <c r="BC16" s="389"/>
      <c r="BD16" s="389"/>
      <c r="BE16" s="390"/>
      <c r="BF16" s="379"/>
      <c r="BG16" s="379"/>
      <c r="BH16" s="391"/>
      <c r="BI16" s="379">
        <v>20</v>
      </c>
      <c r="BJ16" s="379"/>
      <c r="BK16" s="388">
        <v>9</v>
      </c>
      <c r="BL16" s="392"/>
      <c r="BM16" s="392"/>
      <c r="BN16" s="392"/>
      <c r="BO16" s="392"/>
      <c r="BP16" s="392"/>
      <c r="BQ16" s="392"/>
      <c r="BR16" s="384">
        <v>232</v>
      </c>
      <c r="BS16" s="388">
        <v>0</v>
      </c>
      <c r="BT16" s="380">
        <v>0.5</v>
      </c>
      <c r="BU16" s="388">
        <v>20</v>
      </c>
      <c r="BV16" s="380">
        <v>0</v>
      </c>
      <c r="BW16" s="380">
        <v>0</v>
      </c>
      <c r="BX16" s="393">
        <v>1.7500000000000002E-2</v>
      </c>
    </row>
    <row r="17" spans="1:76" s="226" customFormat="1" ht="15" thickBot="1" x14ac:dyDescent="0.35">
      <c r="A17" s="88"/>
      <c r="B17" s="88"/>
      <c r="C17" s="88"/>
      <c r="D17" s="88"/>
      <c r="E17" s="88"/>
      <c r="F17" s="88"/>
      <c r="G17" s="88"/>
      <c r="H17" s="88"/>
      <c r="I17" s="88"/>
      <c r="J17" s="362" t="s">
        <v>134</v>
      </c>
      <c r="K17" s="363" t="s">
        <v>135</v>
      </c>
      <c r="L17" s="363"/>
      <c r="M17" s="363"/>
      <c r="N17" s="363"/>
      <c r="O17" s="363" t="s">
        <v>136</v>
      </c>
      <c r="P17" s="363">
        <v>2017</v>
      </c>
      <c r="Q17" s="364" t="s">
        <v>146</v>
      </c>
      <c r="R17" s="365" t="s">
        <v>153</v>
      </c>
      <c r="S17" s="363">
        <v>15</v>
      </c>
      <c r="T17" s="363"/>
      <c r="U17" s="363" t="s">
        <v>154</v>
      </c>
      <c r="V17" s="363"/>
      <c r="W17" s="363" t="s">
        <v>149</v>
      </c>
      <c r="X17" s="363">
        <v>2050</v>
      </c>
      <c r="Y17" s="363"/>
      <c r="Z17" s="363" t="str">
        <f>VLOOKUP(R17,KEY_Processes!$B$4:$E$54,4,FALSE)</f>
        <v>B_WOO_01</v>
      </c>
      <c r="AA17" s="363" t="str">
        <f>VLOOKUP(R17,KEY_Processes!$B$4:$E$54,2,FALSE)</f>
        <v>Oil-fired boiler</v>
      </c>
      <c r="AB17" s="363" t="str">
        <f>VLOOKUP(U17,KEY_FUELS!$C$4:$D$77,2,FALSE)</f>
        <v>WOO</v>
      </c>
      <c r="AC17" s="363" t="s">
        <v>150</v>
      </c>
      <c r="AD17" s="363" t="s">
        <v>155</v>
      </c>
      <c r="AE17" s="363" t="s">
        <v>152</v>
      </c>
      <c r="AF17" s="366" t="str">
        <f>VLOOKUP(W17,KEY_Other!$B$37:$C$89,2,FALSE)</f>
        <v>DK</v>
      </c>
      <c r="AG17" s="363"/>
      <c r="AH17" s="363" t="str">
        <f>AC17&amp;VLOOKUP(U17,KEY_FUELS!$C$4:$D$78,2,FALSE)</f>
        <v>RSDWOO</v>
      </c>
      <c r="AI17" s="363" t="str">
        <f>IFERROR(AC17&amp;VLOOKUP(V17,KEY_FUELS!$C$4:$D$78,2,FALSE),"")</f>
        <v/>
      </c>
      <c r="AJ17" s="363" t="str">
        <f t="shared" ref="AJ17" si="5">LEFT(AC17,1)&amp;"H"&amp;AD17</f>
        <v>RHHSA</v>
      </c>
      <c r="AK17" s="363" t="str">
        <f t="shared" si="0"/>
        <v>RWHSA</v>
      </c>
      <c r="AL17" s="363" t="str">
        <f t="shared" si="1"/>
        <v/>
      </c>
      <c r="AM17" s="364">
        <v>31.536000000000001</v>
      </c>
      <c r="AN17" s="363">
        <f t="shared" si="2"/>
        <v>2050</v>
      </c>
      <c r="AO17" s="367"/>
      <c r="AP17" s="368"/>
      <c r="AQ17" s="370"/>
      <c r="AR17" s="370"/>
      <c r="AS17" s="370"/>
      <c r="AT17" s="370"/>
      <c r="AU17" s="371">
        <v>1</v>
      </c>
      <c r="AV17" s="371">
        <v>1</v>
      </c>
      <c r="AW17" s="371"/>
      <c r="AX17" s="372"/>
      <c r="AY17" s="368"/>
      <c r="AZ17" s="371">
        <v>0.94</v>
      </c>
      <c r="BA17" s="371">
        <v>0.94</v>
      </c>
      <c r="BB17" s="372"/>
      <c r="BC17" s="373"/>
      <c r="BD17" s="373"/>
      <c r="BE17" s="374"/>
      <c r="BF17" s="363"/>
      <c r="BG17" s="363"/>
      <c r="BH17" s="375"/>
      <c r="BI17" s="363">
        <v>20</v>
      </c>
      <c r="BJ17" s="363"/>
      <c r="BK17" s="372">
        <v>17</v>
      </c>
      <c r="BL17" s="376"/>
      <c r="BM17" s="376"/>
      <c r="BN17" s="376"/>
      <c r="BO17" s="376"/>
      <c r="BP17" s="376"/>
      <c r="BQ17" s="376"/>
      <c r="BR17" s="368">
        <v>210</v>
      </c>
      <c r="BS17" s="372">
        <v>0</v>
      </c>
      <c r="BT17" s="364">
        <v>0.5</v>
      </c>
      <c r="BU17" s="372">
        <v>15</v>
      </c>
      <c r="BV17" s="364">
        <v>0</v>
      </c>
      <c r="BW17" s="364">
        <v>0</v>
      </c>
      <c r="BX17" s="377">
        <v>1.7500000000000002E-2</v>
      </c>
    </row>
    <row r="18" spans="1:76" s="226" customFormat="1" x14ac:dyDescent="0.3">
      <c r="A18" s="177"/>
      <c r="B18" s="1" t="s">
        <v>156</v>
      </c>
      <c r="C18" s="88"/>
      <c r="D18" s="88"/>
      <c r="E18" s="88"/>
      <c r="F18" s="88"/>
      <c r="G18" s="88"/>
      <c r="H18" s="88"/>
      <c r="I18" s="88"/>
      <c r="J18" s="378" t="s">
        <v>134</v>
      </c>
      <c r="K18" s="379" t="s">
        <v>135</v>
      </c>
      <c r="L18" s="379"/>
      <c r="M18" s="379"/>
      <c r="N18" s="379"/>
      <c r="O18" s="379" t="s">
        <v>136</v>
      </c>
      <c r="P18" s="379">
        <v>2017</v>
      </c>
      <c r="Q18" s="380" t="s">
        <v>146</v>
      </c>
      <c r="R18" s="381" t="s">
        <v>157</v>
      </c>
      <c r="S18" s="379">
        <v>400</v>
      </c>
      <c r="T18" s="379"/>
      <c r="U18" s="379" t="s">
        <v>148</v>
      </c>
      <c r="V18" s="379"/>
      <c r="W18" s="379" t="s">
        <v>149</v>
      </c>
      <c r="X18" s="379">
        <v>2015</v>
      </c>
      <c r="Y18" s="379"/>
      <c r="Z18" s="379" t="str">
        <f>VLOOKUP(R18,KEY_Processes!$B$4:$E$54,4,FALSE)</f>
        <v>B_OIL_02</v>
      </c>
      <c r="AA18" s="379" t="str">
        <f>VLOOKUP(R18,KEY_Processes!$B$4:$E$54,2,FALSE)</f>
        <v>Oil-fired boiler</v>
      </c>
      <c r="AB18" s="379" t="str">
        <f>VLOOKUP(U18,KEY_FUELS!$C$4:$D$77,2,FALSE)</f>
        <v>OIL</v>
      </c>
      <c r="AC18" s="379" t="s">
        <v>150</v>
      </c>
      <c r="AD18" s="379" t="s">
        <v>158</v>
      </c>
      <c r="AE18" s="379" t="s">
        <v>152</v>
      </c>
      <c r="AF18" s="382" t="str">
        <f>VLOOKUP(W18,KEY_Other!$B$37:$C$89,2,FALSE)</f>
        <v>DK</v>
      </c>
      <c r="AG18" s="379"/>
      <c r="AH18" s="379" t="str">
        <f>AC18&amp;VLOOKUP(U18,KEY_FUELS!$C$4:$D$78,2,FALSE)</f>
        <v>RSDOIL</v>
      </c>
      <c r="AI18" s="379" t="str">
        <f>IFERROR(AC18&amp;VLOOKUP(V18,KEY_FUELS!$C$4:$D$78,2,FALSE),"")</f>
        <v/>
      </c>
      <c r="AJ18" s="379" t="str">
        <f t="shared" si="3"/>
        <v>RHAPC</v>
      </c>
      <c r="AK18" s="379" t="str">
        <f t="shared" si="0"/>
        <v>RWAPC</v>
      </c>
      <c r="AL18" s="379" t="str">
        <f t="shared" si="1"/>
        <v/>
      </c>
      <c r="AM18" s="380">
        <v>31.536000000000001</v>
      </c>
      <c r="AN18" s="379">
        <f t="shared" si="2"/>
        <v>2015</v>
      </c>
      <c r="AO18" s="383"/>
      <c r="AP18" s="384"/>
      <c r="AQ18" s="386"/>
      <c r="AR18" s="386"/>
      <c r="AS18" s="386"/>
      <c r="AT18" s="386"/>
      <c r="AU18" s="387">
        <v>1</v>
      </c>
      <c r="AV18" s="387">
        <v>1</v>
      </c>
      <c r="AW18" s="387"/>
      <c r="AX18" s="388"/>
      <c r="AY18" s="384"/>
      <c r="AZ18" s="387">
        <v>0.92</v>
      </c>
      <c r="BA18" s="387">
        <v>0.92</v>
      </c>
      <c r="BB18" s="388"/>
      <c r="BC18" s="389"/>
      <c r="BD18" s="389"/>
      <c r="BE18" s="390"/>
      <c r="BF18" s="379"/>
      <c r="BG18" s="379"/>
      <c r="BH18" s="391"/>
      <c r="BI18" s="379">
        <v>20</v>
      </c>
      <c r="BJ18" s="379"/>
      <c r="BK18" s="388">
        <v>35</v>
      </c>
      <c r="BL18" s="392"/>
      <c r="BM18" s="392"/>
      <c r="BN18" s="392"/>
      <c r="BO18" s="392"/>
      <c r="BP18" s="392"/>
      <c r="BQ18" s="392"/>
      <c r="BR18" s="384">
        <v>854.5</v>
      </c>
      <c r="BS18" s="388">
        <v>23.574009893557928</v>
      </c>
      <c r="BT18" s="380">
        <v>0.5</v>
      </c>
      <c r="BU18" s="388">
        <v>30</v>
      </c>
      <c r="BV18" s="380">
        <v>0</v>
      </c>
      <c r="BW18" s="380">
        <v>0</v>
      </c>
      <c r="BX18" s="393">
        <v>1.7500000000000002E-2</v>
      </c>
    </row>
    <row r="19" spans="1:76" s="226" customFormat="1" x14ac:dyDescent="0.3">
      <c r="A19" s="178"/>
      <c r="B19" s="81" t="s">
        <v>159</v>
      </c>
      <c r="C19" s="87"/>
      <c r="D19" s="87"/>
      <c r="E19" s="87"/>
      <c r="F19" s="87"/>
      <c r="G19" s="87"/>
      <c r="H19" s="88"/>
      <c r="I19" s="88"/>
      <c r="J19" s="362" t="s">
        <v>134</v>
      </c>
      <c r="K19" s="363" t="s">
        <v>135</v>
      </c>
      <c r="L19" s="363"/>
      <c r="M19" s="363"/>
      <c r="N19" s="363"/>
      <c r="O19" s="363" t="s">
        <v>136</v>
      </c>
      <c r="P19" s="363">
        <v>2017</v>
      </c>
      <c r="Q19" s="364" t="s">
        <v>146</v>
      </c>
      <c r="R19" s="365" t="s">
        <v>157</v>
      </c>
      <c r="S19" s="363">
        <v>400</v>
      </c>
      <c r="T19" s="363"/>
      <c r="U19" s="363" t="s">
        <v>148</v>
      </c>
      <c r="V19" s="363"/>
      <c r="W19" s="363" t="s">
        <v>149</v>
      </c>
      <c r="X19" s="363">
        <v>2020</v>
      </c>
      <c r="Y19" s="363"/>
      <c r="Z19" s="363" t="str">
        <f>VLOOKUP(R19,KEY_Processes!$B$4:$E$54,4,FALSE)</f>
        <v>B_OIL_02</v>
      </c>
      <c r="AA19" s="363" t="str">
        <f>VLOOKUP(R19,KEY_Processes!$B$4:$E$54,2,FALSE)</f>
        <v>Oil-fired boiler</v>
      </c>
      <c r="AB19" s="363" t="str">
        <f>VLOOKUP(U19,KEY_FUELS!$C$4:$D$77,2,FALSE)</f>
        <v>OIL</v>
      </c>
      <c r="AC19" s="363" t="s">
        <v>150</v>
      </c>
      <c r="AD19" s="363" t="s">
        <v>158</v>
      </c>
      <c r="AE19" s="363" t="s">
        <v>152</v>
      </c>
      <c r="AF19" s="366" t="str">
        <f>VLOOKUP(W19,KEY_Other!$B$37:$C$89,2,FALSE)</f>
        <v>DK</v>
      </c>
      <c r="AG19" s="363"/>
      <c r="AH19" s="363" t="str">
        <f>AC19&amp;VLOOKUP(U19,KEY_FUELS!$C$4:$D$78,2,FALSE)</f>
        <v>RSDOIL</v>
      </c>
      <c r="AI19" s="363" t="str">
        <f>IFERROR(AC19&amp;VLOOKUP(V19,KEY_FUELS!$C$4:$D$78,2,FALSE),"")</f>
        <v/>
      </c>
      <c r="AJ19" s="363" t="str">
        <f t="shared" ref="AJ19" si="6">LEFT(AC19,1)&amp;"H"&amp;AD19</f>
        <v>RHAPC</v>
      </c>
      <c r="AK19" s="363" t="str">
        <f t="shared" si="0"/>
        <v>RWAPC</v>
      </c>
      <c r="AL19" s="363" t="str">
        <f t="shared" si="1"/>
        <v/>
      </c>
      <c r="AM19" s="364">
        <v>31.536000000000001</v>
      </c>
      <c r="AN19" s="363">
        <f t="shared" si="2"/>
        <v>2020</v>
      </c>
      <c r="AO19" s="367"/>
      <c r="AP19" s="368"/>
      <c r="AQ19" s="370"/>
      <c r="AR19" s="370"/>
      <c r="AS19" s="370"/>
      <c r="AT19" s="370"/>
      <c r="AU19" s="371">
        <v>1</v>
      </c>
      <c r="AV19" s="371">
        <v>1</v>
      </c>
      <c r="AW19" s="371"/>
      <c r="AX19" s="372"/>
      <c r="AY19" s="368"/>
      <c r="AZ19" s="371">
        <v>0.92</v>
      </c>
      <c r="BA19" s="371">
        <v>0.92</v>
      </c>
      <c r="BB19" s="372"/>
      <c r="BC19" s="373"/>
      <c r="BD19" s="373"/>
      <c r="BE19" s="374"/>
      <c r="BF19" s="363"/>
      <c r="BG19" s="363"/>
      <c r="BH19" s="375"/>
      <c r="BI19" s="363">
        <v>20</v>
      </c>
      <c r="BJ19" s="363"/>
      <c r="BK19" s="372">
        <v>34</v>
      </c>
      <c r="BL19" s="376"/>
      <c r="BM19" s="376"/>
      <c r="BN19" s="376"/>
      <c r="BO19" s="376"/>
      <c r="BP19" s="376"/>
      <c r="BQ19" s="376"/>
      <c r="BR19" s="368">
        <v>838</v>
      </c>
      <c r="BS19" s="372">
        <v>23.574009893557928</v>
      </c>
      <c r="BT19" s="364">
        <v>0.5</v>
      </c>
      <c r="BU19" s="372">
        <v>25</v>
      </c>
      <c r="BV19" s="364">
        <v>0</v>
      </c>
      <c r="BW19" s="364">
        <v>0</v>
      </c>
      <c r="BX19" s="377">
        <v>1.7500000000000002E-2</v>
      </c>
    </row>
    <row r="20" spans="1:76" s="226" customFormat="1" x14ac:dyDescent="0.3">
      <c r="A20" s="4"/>
      <c r="B20" s="88"/>
      <c r="C20" s="88"/>
      <c r="D20" s="88"/>
      <c r="E20" s="88"/>
      <c r="F20" s="88"/>
      <c r="G20" s="88"/>
      <c r="H20" s="88"/>
      <c r="I20" s="88"/>
      <c r="J20" s="378" t="s">
        <v>134</v>
      </c>
      <c r="K20" s="379" t="s">
        <v>135</v>
      </c>
      <c r="L20" s="379"/>
      <c r="M20" s="379"/>
      <c r="N20" s="379"/>
      <c r="O20" s="379" t="s">
        <v>136</v>
      </c>
      <c r="P20" s="379">
        <v>2017</v>
      </c>
      <c r="Q20" s="380" t="s">
        <v>146</v>
      </c>
      <c r="R20" s="381" t="s">
        <v>157</v>
      </c>
      <c r="S20" s="379">
        <v>400</v>
      </c>
      <c r="T20" s="379"/>
      <c r="U20" s="379" t="s">
        <v>148</v>
      </c>
      <c r="V20" s="379"/>
      <c r="W20" s="379" t="s">
        <v>149</v>
      </c>
      <c r="X20" s="379">
        <v>2030</v>
      </c>
      <c r="Y20" s="379"/>
      <c r="Z20" s="379" t="str">
        <f>VLOOKUP(R20,KEY_Processes!$B$4:$E$54,4,FALSE)</f>
        <v>B_OIL_02</v>
      </c>
      <c r="AA20" s="379" t="str">
        <f>VLOOKUP(R20,KEY_Processes!$B$4:$E$54,2,FALSE)</f>
        <v>Oil-fired boiler</v>
      </c>
      <c r="AB20" s="379" t="str">
        <f>VLOOKUP(U20,KEY_FUELS!$C$4:$D$77,2,FALSE)</f>
        <v>OIL</v>
      </c>
      <c r="AC20" s="379" t="s">
        <v>150</v>
      </c>
      <c r="AD20" s="379" t="s">
        <v>158</v>
      </c>
      <c r="AE20" s="379" t="s">
        <v>152</v>
      </c>
      <c r="AF20" s="382" t="str">
        <f>VLOOKUP(W20,KEY_Other!$B$37:$C$89,2,FALSE)</f>
        <v>DK</v>
      </c>
      <c r="AG20" s="379"/>
      <c r="AH20" s="379" t="str">
        <f>AC20&amp;VLOOKUP(U20,KEY_FUELS!$C$4:$D$78,2,FALSE)</f>
        <v>RSDOIL</v>
      </c>
      <c r="AI20" s="379" t="str">
        <f>IFERROR(AC20&amp;VLOOKUP(V20,KEY_FUELS!$C$4:$D$78,2,FALSE),"")</f>
        <v/>
      </c>
      <c r="AJ20" s="379" t="str">
        <f t="shared" si="3"/>
        <v>RHAPC</v>
      </c>
      <c r="AK20" s="379" t="str">
        <f t="shared" si="0"/>
        <v>RWAPC</v>
      </c>
      <c r="AL20" s="379" t="str">
        <f t="shared" si="1"/>
        <v/>
      </c>
      <c r="AM20" s="380">
        <v>31.536000000000001</v>
      </c>
      <c r="AN20" s="379">
        <f t="shared" si="2"/>
        <v>2030</v>
      </c>
      <c r="AO20" s="383"/>
      <c r="AP20" s="384"/>
      <c r="AQ20" s="386"/>
      <c r="AR20" s="386"/>
      <c r="AS20" s="386"/>
      <c r="AT20" s="386"/>
      <c r="AU20" s="387">
        <v>1</v>
      </c>
      <c r="AV20" s="387">
        <v>1</v>
      </c>
      <c r="AW20" s="387"/>
      <c r="AX20" s="388"/>
      <c r="AY20" s="384"/>
      <c r="AZ20" s="387">
        <v>0.93</v>
      </c>
      <c r="BA20" s="387">
        <v>0.93</v>
      </c>
      <c r="BB20" s="388"/>
      <c r="BC20" s="389"/>
      <c r="BD20" s="389"/>
      <c r="BE20" s="390"/>
      <c r="BF20" s="379"/>
      <c r="BG20" s="379"/>
      <c r="BH20" s="391"/>
      <c r="BI20" s="379">
        <v>20</v>
      </c>
      <c r="BJ20" s="379"/>
      <c r="BK20" s="388">
        <v>32</v>
      </c>
      <c r="BL20" s="392"/>
      <c r="BM20" s="392"/>
      <c r="BN20" s="392"/>
      <c r="BO20" s="392"/>
      <c r="BP20" s="392"/>
      <c r="BQ20" s="392"/>
      <c r="BR20" s="384">
        <v>836</v>
      </c>
      <c r="BS20" s="388">
        <v>23.574009893557928</v>
      </c>
      <c r="BT20" s="380">
        <v>0.5</v>
      </c>
      <c r="BU20" s="388">
        <v>20</v>
      </c>
      <c r="BV20" s="380">
        <v>0</v>
      </c>
      <c r="BW20" s="380">
        <v>0</v>
      </c>
      <c r="BX20" s="393">
        <v>1.7500000000000002E-2</v>
      </c>
    </row>
    <row r="21" spans="1:76" s="226" customFormat="1" x14ac:dyDescent="0.3">
      <c r="A21" s="4"/>
      <c r="B21" s="88"/>
      <c r="C21" s="88"/>
      <c r="D21" s="88"/>
      <c r="E21" s="88"/>
      <c r="F21" s="88"/>
      <c r="G21" s="88"/>
      <c r="H21" s="88"/>
      <c r="I21" s="88"/>
      <c r="J21" s="362" t="s">
        <v>134</v>
      </c>
      <c r="K21" s="363" t="s">
        <v>135</v>
      </c>
      <c r="L21" s="363"/>
      <c r="M21" s="363"/>
      <c r="N21" s="363"/>
      <c r="O21" s="363" t="s">
        <v>136</v>
      </c>
      <c r="P21" s="363">
        <v>2017</v>
      </c>
      <c r="Q21" s="364" t="s">
        <v>146</v>
      </c>
      <c r="R21" s="365" t="s">
        <v>157</v>
      </c>
      <c r="S21" s="363">
        <v>400</v>
      </c>
      <c r="T21" s="363"/>
      <c r="U21" s="363" t="s">
        <v>148</v>
      </c>
      <c r="V21" s="363"/>
      <c r="W21" s="363" t="s">
        <v>149</v>
      </c>
      <c r="X21" s="363">
        <v>2050</v>
      </c>
      <c r="Y21" s="363"/>
      <c r="Z21" s="363" t="str">
        <f>VLOOKUP(R21,KEY_Processes!$B$4:$E$54,4,FALSE)</f>
        <v>B_OIL_02</v>
      </c>
      <c r="AA21" s="363" t="str">
        <f>VLOOKUP(R21,KEY_Processes!$B$4:$E$54,2,FALSE)</f>
        <v>Oil-fired boiler</v>
      </c>
      <c r="AB21" s="363" t="str">
        <f>VLOOKUP(U21,KEY_FUELS!$C$4:$D$77,2,FALSE)</f>
        <v>OIL</v>
      </c>
      <c r="AC21" s="363" t="s">
        <v>150</v>
      </c>
      <c r="AD21" s="363" t="s">
        <v>158</v>
      </c>
      <c r="AE21" s="363" t="s">
        <v>152</v>
      </c>
      <c r="AF21" s="366" t="str">
        <f>VLOOKUP(W21,KEY_Other!$B$37:$C$89,2,FALSE)</f>
        <v>DK</v>
      </c>
      <c r="AG21" s="363"/>
      <c r="AH21" s="363" t="str">
        <f>AC21&amp;VLOOKUP(U21,KEY_FUELS!$C$4:$D$78,2,FALSE)</f>
        <v>RSDOIL</v>
      </c>
      <c r="AI21" s="363" t="str">
        <f>IFERROR(AC21&amp;VLOOKUP(V21,KEY_FUELS!$C$4:$D$78,2,FALSE),"")</f>
        <v/>
      </c>
      <c r="AJ21" s="363" t="str">
        <f t="shared" ref="AJ21" si="7">LEFT(AC21,1)&amp;"H"&amp;AD21</f>
        <v>RHAPC</v>
      </c>
      <c r="AK21" s="363" t="str">
        <f t="shared" si="0"/>
        <v>RWAPC</v>
      </c>
      <c r="AL21" s="363" t="str">
        <f t="shared" si="1"/>
        <v/>
      </c>
      <c r="AM21" s="364">
        <v>31.536000000000001</v>
      </c>
      <c r="AN21" s="363">
        <f t="shared" si="2"/>
        <v>2050</v>
      </c>
      <c r="AO21" s="367"/>
      <c r="AP21" s="368"/>
      <c r="AQ21" s="370"/>
      <c r="AR21" s="370"/>
      <c r="AS21" s="370"/>
      <c r="AT21" s="370"/>
      <c r="AU21" s="371">
        <v>1</v>
      </c>
      <c r="AV21" s="371">
        <v>1</v>
      </c>
      <c r="AW21" s="371"/>
      <c r="AX21" s="372"/>
      <c r="AY21" s="368"/>
      <c r="AZ21" s="371">
        <v>0.95</v>
      </c>
      <c r="BA21" s="371">
        <v>0.95</v>
      </c>
      <c r="BB21" s="372"/>
      <c r="BC21" s="373"/>
      <c r="BD21" s="373"/>
      <c r="BE21" s="374"/>
      <c r="BF21" s="363"/>
      <c r="BG21" s="363"/>
      <c r="BH21" s="375"/>
      <c r="BI21" s="363">
        <v>20</v>
      </c>
      <c r="BJ21" s="363"/>
      <c r="BK21" s="372">
        <v>59</v>
      </c>
      <c r="BL21" s="376"/>
      <c r="BM21" s="376"/>
      <c r="BN21" s="376"/>
      <c r="BO21" s="376"/>
      <c r="BP21" s="376"/>
      <c r="BQ21" s="376"/>
      <c r="BR21" s="368">
        <v>778</v>
      </c>
      <c r="BS21" s="372">
        <v>23.574009893557928</v>
      </c>
      <c r="BT21" s="364">
        <v>0.5</v>
      </c>
      <c r="BU21" s="372">
        <v>15</v>
      </c>
      <c r="BV21" s="364">
        <v>0</v>
      </c>
      <c r="BW21" s="364">
        <v>0</v>
      </c>
      <c r="BX21" s="377">
        <v>1.7500000000000002E-2</v>
      </c>
    </row>
    <row r="22" spans="1:76" s="226" customFormat="1" x14ac:dyDescent="0.3">
      <c r="A22" s="88"/>
      <c r="B22" s="87"/>
      <c r="C22" s="87"/>
      <c r="D22" s="87"/>
      <c r="E22" s="87"/>
      <c r="F22" s="87"/>
      <c r="G22" s="87"/>
      <c r="H22" s="88"/>
      <c r="I22" s="88"/>
      <c r="J22" s="378" t="s">
        <v>134</v>
      </c>
      <c r="K22" s="379" t="s">
        <v>135</v>
      </c>
      <c r="L22" s="379"/>
      <c r="M22" s="379"/>
      <c r="N22" s="379"/>
      <c r="O22" s="379" t="s">
        <v>136</v>
      </c>
      <c r="P22" s="379">
        <v>2017</v>
      </c>
      <c r="Q22" s="380" t="s">
        <v>146</v>
      </c>
      <c r="R22" s="381" t="s">
        <v>160</v>
      </c>
      <c r="S22" s="379">
        <v>160</v>
      </c>
      <c r="T22" s="379"/>
      <c r="U22" s="379" t="s">
        <v>154</v>
      </c>
      <c r="V22" s="379"/>
      <c r="W22" s="379" t="s">
        <v>149</v>
      </c>
      <c r="X22" s="379">
        <v>2015</v>
      </c>
      <c r="Y22" s="379"/>
      <c r="Z22" s="379" t="str">
        <f>VLOOKUP(R22,KEY_Processes!$B$4:$E$54,4,FALSE)</f>
        <v>B_WOO_02</v>
      </c>
      <c r="AA22" s="379" t="str">
        <f>VLOOKUP(R22,KEY_Processes!$B$4:$E$54,2,FALSE)</f>
        <v>Oil-fired boiler</v>
      </c>
      <c r="AB22" s="379" t="str">
        <f>VLOOKUP(U22,KEY_FUELS!$C$4:$D$77,2,FALSE)</f>
        <v>WOO</v>
      </c>
      <c r="AC22" s="379" t="s">
        <v>150</v>
      </c>
      <c r="AD22" s="379" t="s">
        <v>161</v>
      </c>
      <c r="AE22" s="379" t="s">
        <v>152</v>
      </c>
      <c r="AF22" s="382" t="str">
        <f>VLOOKUP(W22,KEY_Other!$B$37:$C$89,2,FALSE)</f>
        <v>DK</v>
      </c>
      <c r="AG22" s="379"/>
      <c r="AH22" s="379" t="str">
        <f>AC22&amp;VLOOKUP(U22,KEY_FUELS!$C$4:$D$78,2,FALSE)</f>
        <v>RSDWOO</v>
      </c>
      <c r="AI22" s="379" t="str">
        <f>IFERROR(AC22&amp;VLOOKUP(V22,KEY_FUELS!$C$4:$D$78,2,FALSE),"")</f>
        <v/>
      </c>
      <c r="AJ22" s="379" t="str">
        <f t="shared" si="3"/>
        <v>RHAPA</v>
      </c>
      <c r="AK22" s="379" t="str">
        <f t="shared" si="0"/>
        <v>RWAPA</v>
      </c>
      <c r="AL22" s="379" t="str">
        <f t="shared" si="1"/>
        <v/>
      </c>
      <c r="AM22" s="380">
        <v>31.536000000000001</v>
      </c>
      <c r="AN22" s="379">
        <f t="shared" si="2"/>
        <v>2015</v>
      </c>
      <c r="AO22" s="383"/>
      <c r="AP22" s="384"/>
      <c r="AQ22" s="386"/>
      <c r="AR22" s="386"/>
      <c r="AS22" s="386"/>
      <c r="AT22" s="386"/>
      <c r="AU22" s="387">
        <v>1</v>
      </c>
      <c r="AV22" s="387">
        <v>1</v>
      </c>
      <c r="AW22" s="387"/>
      <c r="AX22" s="388"/>
      <c r="AY22" s="384"/>
      <c r="AZ22" s="387">
        <v>0.88</v>
      </c>
      <c r="BA22" s="387">
        <v>0.88</v>
      </c>
      <c r="BB22" s="388"/>
      <c r="BC22" s="389"/>
      <c r="BD22" s="389"/>
      <c r="BE22" s="390"/>
      <c r="BF22" s="379"/>
      <c r="BG22" s="379"/>
      <c r="BH22" s="391"/>
      <c r="BI22" s="379">
        <v>20</v>
      </c>
      <c r="BJ22" s="379"/>
      <c r="BK22" s="388">
        <v>28</v>
      </c>
      <c r="BL22" s="392"/>
      <c r="BM22" s="392"/>
      <c r="BN22" s="392"/>
      <c r="BO22" s="392"/>
      <c r="BP22" s="392"/>
      <c r="BQ22" s="392"/>
      <c r="BR22" s="384">
        <v>563</v>
      </c>
      <c r="BS22" s="388">
        <v>23.574009893557928</v>
      </c>
      <c r="BT22" s="380">
        <v>0.5</v>
      </c>
      <c r="BU22" s="388">
        <v>30</v>
      </c>
      <c r="BV22" s="380">
        <v>0</v>
      </c>
      <c r="BW22" s="380">
        <v>0</v>
      </c>
      <c r="BX22" s="393">
        <v>1.7500000000000002E-2</v>
      </c>
    </row>
    <row r="23" spans="1:76" s="226" customFormat="1" x14ac:dyDescent="0.3">
      <c r="A23" s="88"/>
      <c r="B23" s="87"/>
      <c r="C23" s="87"/>
      <c r="D23" s="87"/>
      <c r="E23" s="87"/>
      <c r="F23" s="87"/>
      <c r="G23" s="87"/>
      <c r="H23" s="88"/>
      <c r="I23" s="88"/>
      <c r="J23" s="362" t="s">
        <v>134</v>
      </c>
      <c r="K23" s="363" t="s">
        <v>135</v>
      </c>
      <c r="L23" s="363"/>
      <c r="M23" s="363"/>
      <c r="N23" s="363"/>
      <c r="O23" s="363" t="s">
        <v>136</v>
      </c>
      <c r="P23" s="363">
        <v>2017</v>
      </c>
      <c r="Q23" s="364" t="s">
        <v>146</v>
      </c>
      <c r="R23" s="365" t="s">
        <v>160</v>
      </c>
      <c r="S23" s="363">
        <v>160</v>
      </c>
      <c r="T23" s="363"/>
      <c r="U23" s="363" t="s">
        <v>154</v>
      </c>
      <c r="V23" s="363"/>
      <c r="W23" s="363" t="s">
        <v>149</v>
      </c>
      <c r="X23" s="363">
        <v>2020</v>
      </c>
      <c r="Y23" s="363"/>
      <c r="Z23" s="363" t="str">
        <f>VLOOKUP(R23,KEY_Processes!$B$4:$E$54,4,FALSE)</f>
        <v>B_WOO_02</v>
      </c>
      <c r="AA23" s="363" t="str">
        <f>VLOOKUP(R23,KEY_Processes!$B$4:$E$54,2,FALSE)</f>
        <v>Oil-fired boiler</v>
      </c>
      <c r="AB23" s="363" t="str">
        <f>VLOOKUP(U23,KEY_FUELS!$C$4:$D$77,2,FALSE)</f>
        <v>WOO</v>
      </c>
      <c r="AC23" s="363" t="s">
        <v>150</v>
      </c>
      <c r="AD23" s="363" t="s">
        <v>161</v>
      </c>
      <c r="AE23" s="363" t="s">
        <v>152</v>
      </c>
      <c r="AF23" s="366" t="str">
        <f>VLOOKUP(W23,KEY_Other!$B$37:$C$89,2,FALSE)</f>
        <v>DK</v>
      </c>
      <c r="AG23" s="363"/>
      <c r="AH23" s="363" t="str">
        <f>AC23&amp;VLOOKUP(U23,KEY_FUELS!$C$4:$D$78,2,FALSE)</f>
        <v>RSDWOO</v>
      </c>
      <c r="AI23" s="363" t="str">
        <f>IFERROR(AC23&amp;VLOOKUP(V23,KEY_FUELS!$C$4:$D$78,2,FALSE),"")</f>
        <v/>
      </c>
      <c r="AJ23" s="363" t="str">
        <f t="shared" ref="AJ23" si="8">LEFT(AC23,1)&amp;"H"&amp;AD23</f>
        <v>RHAPA</v>
      </c>
      <c r="AK23" s="363" t="str">
        <f t="shared" si="0"/>
        <v>RWAPA</v>
      </c>
      <c r="AL23" s="363" t="str">
        <f t="shared" si="1"/>
        <v/>
      </c>
      <c r="AM23" s="364">
        <v>31.536000000000001</v>
      </c>
      <c r="AN23" s="363">
        <f t="shared" si="2"/>
        <v>2020</v>
      </c>
      <c r="AO23" s="367"/>
      <c r="AP23" s="368"/>
      <c r="AQ23" s="370"/>
      <c r="AR23" s="370"/>
      <c r="AS23" s="370"/>
      <c r="AT23" s="370"/>
      <c r="AU23" s="371">
        <v>1</v>
      </c>
      <c r="AV23" s="371">
        <v>1</v>
      </c>
      <c r="AW23" s="371"/>
      <c r="AX23" s="372"/>
      <c r="AY23" s="368"/>
      <c r="AZ23" s="371">
        <v>0.88</v>
      </c>
      <c r="BA23" s="371">
        <v>0.88</v>
      </c>
      <c r="BB23" s="372"/>
      <c r="BC23" s="373"/>
      <c r="BD23" s="373"/>
      <c r="BE23" s="374"/>
      <c r="BF23" s="363"/>
      <c r="BG23" s="363"/>
      <c r="BH23" s="375"/>
      <c r="BI23" s="363">
        <v>20</v>
      </c>
      <c r="BJ23" s="363"/>
      <c r="BK23" s="372">
        <v>27</v>
      </c>
      <c r="BL23" s="376"/>
      <c r="BM23" s="376"/>
      <c r="BN23" s="376"/>
      <c r="BO23" s="376"/>
      <c r="BP23" s="376"/>
      <c r="BQ23" s="376"/>
      <c r="BR23" s="368">
        <v>550</v>
      </c>
      <c r="BS23" s="372">
        <v>23.574009893557928</v>
      </c>
      <c r="BT23" s="364">
        <v>0.5</v>
      </c>
      <c r="BU23" s="372">
        <v>25</v>
      </c>
      <c r="BV23" s="364">
        <v>0</v>
      </c>
      <c r="BW23" s="364">
        <v>0</v>
      </c>
      <c r="BX23" s="377">
        <v>1.7500000000000002E-2</v>
      </c>
    </row>
    <row r="24" spans="1:76" s="226" customFormat="1" x14ac:dyDescent="0.3">
      <c r="A24" s="88"/>
      <c r="B24" s="87"/>
      <c r="C24" s="87"/>
      <c r="D24" s="87"/>
      <c r="E24" s="87"/>
      <c r="F24" s="87"/>
      <c r="G24" s="87"/>
      <c r="H24" s="88"/>
      <c r="I24" s="88"/>
      <c r="J24" s="378" t="s">
        <v>134</v>
      </c>
      <c r="K24" s="379" t="s">
        <v>135</v>
      </c>
      <c r="L24" s="379"/>
      <c r="M24" s="379"/>
      <c r="N24" s="379"/>
      <c r="O24" s="379" t="s">
        <v>136</v>
      </c>
      <c r="P24" s="379">
        <v>2017</v>
      </c>
      <c r="Q24" s="380" t="s">
        <v>146</v>
      </c>
      <c r="R24" s="381" t="s">
        <v>160</v>
      </c>
      <c r="S24" s="379">
        <v>160</v>
      </c>
      <c r="T24" s="379"/>
      <c r="U24" s="379" t="s">
        <v>154</v>
      </c>
      <c r="V24" s="379"/>
      <c r="W24" s="379" t="s">
        <v>149</v>
      </c>
      <c r="X24" s="379">
        <v>2030</v>
      </c>
      <c r="Y24" s="379"/>
      <c r="Z24" s="379" t="str">
        <f>VLOOKUP(R24,KEY_Processes!$B$4:$E$54,4,FALSE)</f>
        <v>B_WOO_02</v>
      </c>
      <c r="AA24" s="379" t="str">
        <f>VLOOKUP(R24,KEY_Processes!$B$4:$E$54,2,FALSE)</f>
        <v>Oil-fired boiler</v>
      </c>
      <c r="AB24" s="379" t="str">
        <f>VLOOKUP(U24,KEY_FUELS!$C$4:$D$77,2,FALSE)</f>
        <v>WOO</v>
      </c>
      <c r="AC24" s="379" t="s">
        <v>150</v>
      </c>
      <c r="AD24" s="379" t="s">
        <v>161</v>
      </c>
      <c r="AE24" s="379" t="s">
        <v>152</v>
      </c>
      <c r="AF24" s="382" t="str">
        <f>VLOOKUP(W24,KEY_Other!$B$37:$C$89,2,FALSE)</f>
        <v>DK</v>
      </c>
      <c r="AG24" s="379"/>
      <c r="AH24" s="379" t="str">
        <f>AC24&amp;VLOOKUP(U24,KEY_FUELS!$C$4:$D$78,2,FALSE)</f>
        <v>RSDWOO</v>
      </c>
      <c r="AI24" s="379" t="str">
        <f>IFERROR(AC24&amp;VLOOKUP(V24,KEY_FUELS!$C$4:$D$78,2,FALSE),"")</f>
        <v/>
      </c>
      <c r="AJ24" s="379" t="str">
        <f t="shared" si="3"/>
        <v>RHAPA</v>
      </c>
      <c r="AK24" s="379" t="str">
        <f t="shared" si="0"/>
        <v>RWAPA</v>
      </c>
      <c r="AL24" s="379" t="str">
        <f t="shared" si="1"/>
        <v/>
      </c>
      <c r="AM24" s="380">
        <v>31.536000000000001</v>
      </c>
      <c r="AN24" s="379">
        <f t="shared" si="2"/>
        <v>2030</v>
      </c>
      <c r="AO24" s="383"/>
      <c r="AP24" s="384"/>
      <c r="AQ24" s="386"/>
      <c r="AR24" s="386"/>
      <c r="AS24" s="386"/>
      <c r="AT24" s="386"/>
      <c r="AU24" s="387">
        <v>1</v>
      </c>
      <c r="AV24" s="387">
        <v>1</v>
      </c>
      <c r="AW24" s="387"/>
      <c r="AX24" s="388"/>
      <c r="AY24" s="384"/>
      <c r="AZ24" s="387">
        <v>0.92</v>
      </c>
      <c r="BA24" s="387">
        <v>0.92</v>
      </c>
      <c r="BB24" s="388"/>
      <c r="BC24" s="389"/>
      <c r="BD24" s="389"/>
      <c r="BE24" s="390"/>
      <c r="BF24" s="379"/>
      <c r="BG24" s="379"/>
      <c r="BH24" s="391"/>
      <c r="BI24" s="379">
        <v>20</v>
      </c>
      <c r="BJ24" s="379"/>
      <c r="BK24" s="388">
        <v>26</v>
      </c>
      <c r="BL24" s="392"/>
      <c r="BM24" s="392"/>
      <c r="BN24" s="392"/>
      <c r="BO24" s="392"/>
      <c r="BP24" s="392"/>
      <c r="BQ24" s="392"/>
      <c r="BR24" s="384">
        <v>516</v>
      </c>
      <c r="BS24" s="388">
        <v>23.574009893557928</v>
      </c>
      <c r="BT24" s="380">
        <v>0.5</v>
      </c>
      <c r="BU24" s="388">
        <v>20</v>
      </c>
      <c r="BV24" s="380">
        <v>0</v>
      </c>
      <c r="BW24" s="380">
        <v>0</v>
      </c>
      <c r="BX24" s="393">
        <v>1.7500000000000002E-2</v>
      </c>
    </row>
    <row r="25" spans="1:76" s="226" customFormat="1" x14ac:dyDescent="0.3">
      <c r="A25" s="176"/>
      <c r="B25" s="176"/>
      <c r="C25" s="176"/>
      <c r="D25" s="176"/>
      <c r="E25" s="176"/>
      <c r="F25" s="176"/>
      <c r="G25" s="176"/>
      <c r="H25" s="88"/>
      <c r="I25" s="88"/>
      <c r="J25" s="362" t="s">
        <v>134</v>
      </c>
      <c r="K25" s="363" t="s">
        <v>135</v>
      </c>
      <c r="L25" s="363"/>
      <c r="M25" s="363"/>
      <c r="N25" s="363"/>
      <c r="O25" s="363" t="s">
        <v>136</v>
      </c>
      <c r="P25" s="363">
        <v>2017</v>
      </c>
      <c r="Q25" s="364" t="s">
        <v>146</v>
      </c>
      <c r="R25" s="365" t="s">
        <v>160</v>
      </c>
      <c r="S25" s="363">
        <v>160</v>
      </c>
      <c r="T25" s="363"/>
      <c r="U25" s="363" t="s">
        <v>154</v>
      </c>
      <c r="V25" s="363"/>
      <c r="W25" s="363" t="s">
        <v>149</v>
      </c>
      <c r="X25" s="363">
        <v>2050</v>
      </c>
      <c r="Y25" s="363"/>
      <c r="Z25" s="363" t="str">
        <f>VLOOKUP(R25,KEY_Processes!$B$4:$E$54,4,FALSE)</f>
        <v>B_WOO_02</v>
      </c>
      <c r="AA25" s="363" t="str">
        <f>VLOOKUP(R25,KEY_Processes!$B$4:$E$54,2,FALSE)</f>
        <v>Oil-fired boiler</v>
      </c>
      <c r="AB25" s="363" t="str">
        <f>VLOOKUP(U25,KEY_FUELS!$C$4:$D$77,2,FALSE)</f>
        <v>WOO</v>
      </c>
      <c r="AC25" s="363" t="s">
        <v>150</v>
      </c>
      <c r="AD25" s="363" t="s">
        <v>161</v>
      </c>
      <c r="AE25" s="363" t="s">
        <v>152</v>
      </c>
      <c r="AF25" s="366" t="str">
        <f>VLOOKUP(W25,KEY_Other!$B$37:$C$89,2,FALSE)</f>
        <v>DK</v>
      </c>
      <c r="AG25" s="363"/>
      <c r="AH25" s="363" t="str">
        <f>AC25&amp;VLOOKUP(U25,KEY_FUELS!$C$4:$D$78,2,FALSE)</f>
        <v>RSDWOO</v>
      </c>
      <c r="AI25" s="363" t="str">
        <f>IFERROR(AC25&amp;VLOOKUP(V25,KEY_FUELS!$C$4:$D$78,2,FALSE),"")</f>
        <v/>
      </c>
      <c r="AJ25" s="363" t="str">
        <f t="shared" ref="AJ25" si="9">LEFT(AC25,1)&amp;"H"&amp;AD25</f>
        <v>RHAPA</v>
      </c>
      <c r="AK25" s="363" t="str">
        <f t="shared" si="0"/>
        <v>RWAPA</v>
      </c>
      <c r="AL25" s="363" t="str">
        <f t="shared" si="1"/>
        <v/>
      </c>
      <c r="AM25" s="364">
        <v>31.536000000000001</v>
      </c>
      <c r="AN25" s="363">
        <f t="shared" si="2"/>
        <v>2050</v>
      </c>
      <c r="AO25" s="367"/>
      <c r="AP25" s="368"/>
      <c r="AQ25" s="370"/>
      <c r="AR25" s="370"/>
      <c r="AS25" s="370"/>
      <c r="AT25" s="370"/>
      <c r="AU25" s="371">
        <v>1</v>
      </c>
      <c r="AV25" s="371">
        <v>1</v>
      </c>
      <c r="AW25" s="371"/>
      <c r="AX25" s="372"/>
      <c r="AY25" s="368"/>
      <c r="AZ25" s="371">
        <v>0.94</v>
      </c>
      <c r="BA25" s="371">
        <v>0.94</v>
      </c>
      <c r="BB25" s="372"/>
      <c r="BC25" s="373"/>
      <c r="BD25" s="373"/>
      <c r="BE25" s="374"/>
      <c r="BF25" s="363"/>
      <c r="BG25" s="363"/>
      <c r="BH25" s="375"/>
      <c r="BI25" s="363">
        <v>20</v>
      </c>
      <c r="BJ25" s="363"/>
      <c r="BK25" s="372">
        <v>47</v>
      </c>
      <c r="BL25" s="376"/>
      <c r="BM25" s="376"/>
      <c r="BN25" s="376"/>
      <c r="BO25" s="376"/>
      <c r="BP25" s="376"/>
      <c r="BQ25" s="376"/>
      <c r="BR25" s="368">
        <v>476</v>
      </c>
      <c r="BS25" s="372">
        <v>23.574009893557928</v>
      </c>
      <c r="BT25" s="364">
        <v>0.5</v>
      </c>
      <c r="BU25" s="372">
        <v>15</v>
      </c>
      <c r="BV25" s="364">
        <v>0</v>
      </c>
      <c r="BW25" s="364">
        <v>0</v>
      </c>
      <c r="BX25" s="377">
        <v>1.7500000000000002E-2</v>
      </c>
    </row>
    <row r="26" spans="1:76" s="226" customFormat="1" x14ac:dyDescent="0.3">
      <c r="A26" s="88"/>
      <c r="B26" s="179"/>
      <c r="C26" s="87"/>
      <c r="D26" s="87"/>
      <c r="E26" s="87"/>
      <c r="F26" s="87"/>
      <c r="G26" s="92"/>
      <c r="H26" s="88"/>
      <c r="I26" s="92"/>
      <c r="J26" s="378" t="s">
        <v>134</v>
      </c>
      <c r="K26" s="379" t="s">
        <v>135</v>
      </c>
      <c r="L26" s="394"/>
      <c r="M26" s="379"/>
      <c r="N26" s="379"/>
      <c r="O26" s="379" t="s">
        <v>136</v>
      </c>
      <c r="P26" s="379">
        <v>2017</v>
      </c>
      <c r="Q26" s="380" t="s">
        <v>162</v>
      </c>
      <c r="R26" s="381" t="s">
        <v>163</v>
      </c>
      <c r="S26" s="379">
        <v>10</v>
      </c>
      <c r="T26" s="379"/>
      <c r="U26" s="379" t="s">
        <v>164</v>
      </c>
      <c r="V26" s="379"/>
      <c r="W26" s="379" t="s">
        <v>149</v>
      </c>
      <c r="X26" s="379">
        <v>2015</v>
      </c>
      <c r="Y26" s="379"/>
      <c r="Z26" s="379" t="str">
        <f>VLOOKUP(R26,KEY_Processes!$B$4:$E$54,4,FALSE)</f>
        <v>B_GAS_01</v>
      </c>
      <c r="AA26" s="379" t="str">
        <f>VLOOKUP(R26,KEY_Processes!$B$4:$E$54,2,FALSE)</f>
        <v>Natural gas boiler</v>
      </c>
      <c r="AB26" s="379" t="str">
        <f>VLOOKUP(U26,KEY_FUELS!$C$4:$D$77,2,FALSE)</f>
        <v>GAS</v>
      </c>
      <c r="AC26" s="379" t="s">
        <v>150</v>
      </c>
      <c r="AD26" s="379" t="s">
        <v>151</v>
      </c>
      <c r="AE26" s="379" t="s">
        <v>152</v>
      </c>
      <c r="AF26" s="382" t="str">
        <f>VLOOKUP(W26,KEY_Other!$B$37:$C$89,2,FALSE)</f>
        <v>DK</v>
      </c>
      <c r="AG26" s="394"/>
      <c r="AH26" s="379" t="str">
        <f>AC26&amp;VLOOKUP(U26,KEY_FUELS!$C$4:$D$78,2,FALSE)</f>
        <v>RSDGAS</v>
      </c>
      <c r="AI26" s="379" t="str">
        <f>IFERROR(AC26&amp;VLOOKUP(V26,KEY_FUELS!$C$4:$D$78,2,FALSE),"")</f>
        <v/>
      </c>
      <c r="AJ26" s="379" t="str">
        <f t="shared" si="3"/>
        <v>RHHSB</v>
      </c>
      <c r="AK26" s="379" t="str">
        <f t="shared" si="0"/>
        <v>RWHSB</v>
      </c>
      <c r="AL26" s="379" t="str">
        <f t="shared" si="1"/>
        <v/>
      </c>
      <c r="AM26" s="380">
        <v>31.536000000000001</v>
      </c>
      <c r="AN26" s="379">
        <f t="shared" si="2"/>
        <v>2015</v>
      </c>
      <c r="AO26" s="383"/>
      <c r="AP26" s="384"/>
      <c r="AQ26" s="386"/>
      <c r="AR26" s="386"/>
      <c r="AS26" s="386"/>
      <c r="AT26" s="386"/>
      <c r="AU26" s="387">
        <v>1</v>
      </c>
      <c r="AV26" s="387">
        <v>1</v>
      </c>
      <c r="AW26" s="387"/>
      <c r="AX26" s="388"/>
      <c r="AY26" s="384"/>
      <c r="AZ26" s="387">
        <v>0.97</v>
      </c>
      <c r="BA26" s="387">
        <v>0.97</v>
      </c>
      <c r="BB26" s="388"/>
      <c r="BC26" s="389"/>
      <c r="BD26" s="389"/>
      <c r="BE26" s="390"/>
      <c r="BF26" s="379"/>
      <c r="BG26" s="379"/>
      <c r="BH26" s="391"/>
      <c r="BI26" s="379">
        <v>20</v>
      </c>
      <c r="BJ26" s="379"/>
      <c r="BK26" s="388">
        <v>5.2</v>
      </c>
      <c r="BL26" s="392"/>
      <c r="BM26" s="392"/>
      <c r="BN26" s="392"/>
      <c r="BO26" s="392"/>
      <c r="BP26" s="392"/>
      <c r="BQ26" s="392"/>
      <c r="BR26" s="384">
        <v>209.45</v>
      </c>
      <c r="BS26" s="388">
        <v>0</v>
      </c>
      <c r="BT26" s="380">
        <v>0</v>
      </c>
      <c r="BU26" s="388">
        <v>20</v>
      </c>
      <c r="BV26" s="380">
        <v>2</v>
      </c>
      <c r="BW26" s="380">
        <v>0</v>
      </c>
      <c r="BX26" s="395">
        <v>0</v>
      </c>
    </row>
    <row r="27" spans="1:76" s="226" customFormat="1" x14ac:dyDescent="0.3">
      <c r="A27" s="88"/>
      <c r="B27" s="179"/>
      <c r="C27" s="87"/>
      <c r="D27" s="87"/>
      <c r="E27" s="87"/>
      <c r="F27" s="87"/>
      <c r="G27" s="92"/>
      <c r="H27" s="88"/>
      <c r="I27" s="92"/>
      <c r="J27" s="362" t="s">
        <v>134</v>
      </c>
      <c r="K27" s="363" t="s">
        <v>135</v>
      </c>
      <c r="L27" s="396"/>
      <c r="M27" s="363"/>
      <c r="N27" s="363"/>
      <c r="O27" s="363" t="s">
        <v>136</v>
      </c>
      <c r="P27" s="363">
        <v>2017</v>
      </c>
      <c r="Q27" s="364" t="s">
        <v>162</v>
      </c>
      <c r="R27" s="365" t="s">
        <v>163</v>
      </c>
      <c r="S27" s="363">
        <v>10</v>
      </c>
      <c r="T27" s="363"/>
      <c r="U27" s="363" t="s">
        <v>164</v>
      </c>
      <c r="V27" s="363"/>
      <c r="W27" s="363" t="s">
        <v>149</v>
      </c>
      <c r="X27" s="363">
        <v>2020</v>
      </c>
      <c r="Y27" s="363"/>
      <c r="Z27" s="363" t="str">
        <f>VLOOKUP(R27,KEY_Processes!$B$4:$E$54,4,FALSE)</f>
        <v>B_GAS_01</v>
      </c>
      <c r="AA27" s="363" t="str">
        <f>VLOOKUP(R27,KEY_Processes!$B$4:$E$54,2,FALSE)</f>
        <v>Natural gas boiler</v>
      </c>
      <c r="AB27" s="363" t="str">
        <f>VLOOKUP(U27,KEY_FUELS!$C$4:$D$77,2,FALSE)</f>
        <v>GAS</v>
      </c>
      <c r="AC27" s="363" t="s">
        <v>150</v>
      </c>
      <c r="AD27" s="363" t="s">
        <v>151</v>
      </c>
      <c r="AE27" s="363" t="s">
        <v>152</v>
      </c>
      <c r="AF27" s="366" t="str">
        <f>VLOOKUP(W27,KEY_Other!$B$37:$C$89,2,FALSE)</f>
        <v>DK</v>
      </c>
      <c r="AG27" s="396"/>
      <c r="AH27" s="363" t="str">
        <f>AC27&amp;VLOOKUP(U27,KEY_FUELS!$C$4:$D$78,2,FALSE)</f>
        <v>RSDGAS</v>
      </c>
      <c r="AI27" s="363" t="str">
        <f>IFERROR(AC27&amp;VLOOKUP(V27,KEY_FUELS!$C$4:$D$78,2,FALSE),"")</f>
        <v/>
      </c>
      <c r="AJ27" s="363" t="str">
        <f t="shared" ref="AJ27" si="10">LEFT(AC27,1)&amp;"H"&amp;AD27</f>
        <v>RHHSB</v>
      </c>
      <c r="AK27" s="363" t="str">
        <f t="shared" si="0"/>
        <v>RWHSB</v>
      </c>
      <c r="AL27" s="363" t="str">
        <f t="shared" si="1"/>
        <v/>
      </c>
      <c r="AM27" s="364">
        <v>31.536000000000001</v>
      </c>
      <c r="AN27" s="363">
        <f t="shared" si="2"/>
        <v>2020</v>
      </c>
      <c r="AO27" s="367"/>
      <c r="AP27" s="368"/>
      <c r="AQ27" s="370"/>
      <c r="AR27" s="370"/>
      <c r="AS27" s="370"/>
      <c r="AT27" s="370"/>
      <c r="AU27" s="371">
        <v>1</v>
      </c>
      <c r="AV27" s="371">
        <v>1</v>
      </c>
      <c r="AW27" s="371"/>
      <c r="AX27" s="372"/>
      <c r="AY27" s="368"/>
      <c r="AZ27" s="371">
        <v>0.97</v>
      </c>
      <c r="BA27" s="371">
        <v>0.97</v>
      </c>
      <c r="BB27" s="372"/>
      <c r="BC27" s="373"/>
      <c r="BD27" s="373"/>
      <c r="BE27" s="374"/>
      <c r="BF27" s="363"/>
      <c r="BG27" s="363"/>
      <c r="BH27" s="375"/>
      <c r="BI27" s="363">
        <v>20</v>
      </c>
      <c r="BJ27" s="363"/>
      <c r="BK27" s="372">
        <v>5.2</v>
      </c>
      <c r="BL27" s="376"/>
      <c r="BM27" s="376"/>
      <c r="BN27" s="376"/>
      <c r="BO27" s="376"/>
      <c r="BP27" s="376"/>
      <c r="BQ27" s="376"/>
      <c r="BR27" s="368">
        <v>205</v>
      </c>
      <c r="BS27" s="372">
        <v>0</v>
      </c>
      <c r="BT27" s="364">
        <v>0</v>
      </c>
      <c r="BU27" s="372">
        <v>10</v>
      </c>
      <c r="BV27" s="364">
        <v>1</v>
      </c>
      <c r="BW27" s="364">
        <v>0</v>
      </c>
      <c r="BX27" s="397">
        <v>0</v>
      </c>
    </row>
    <row r="28" spans="1:76" s="226" customFormat="1" x14ac:dyDescent="0.3">
      <c r="A28" s="88"/>
      <c r="B28" s="179"/>
      <c r="C28" s="87"/>
      <c r="D28" s="87"/>
      <c r="E28" s="87"/>
      <c r="F28" s="87"/>
      <c r="G28" s="92"/>
      <c r="H28" s="88"/>
      <c r="I28" s="92"/>
      <c r="J28" s="378" t="s">
        <v>134</v>
      </c>
      <c r="K28" s="379" t="s">
        <v>135</v>
      </c>
      <c r="L28" s="394"/>
      <c r="M28" s="379"/>
      <c r="N28" s="379"/>
      <c r="O28" s="379" t="s">
        <v>136</v>
      </c>
      <c r="P28" s="379">
        <v>2017</v>
      </c>
      <c r="Q28" s="380" t="s">
        <v>162</v>
      </c>
      <c r="R28" s="381" t="s">
        <v>163</v>
      </c>
      <c r="S28" s="379">
        <v>10</v>
      </c>
      <c r="T28" s="379"/>
      <c r="U28" s="379" t="s">
        <v>164</v>
      </c>
      <c r="V28" s="379"/>
      <c r="W28" s="379" t="s">
        <v>149</v>
      </c>
      <c r="X28" s="379">
        <v>2030</v>
      </c>
      <c r="Y28" s="379"/>
      <c r="Z28" s="379" t="str">
        <f>VLOOKUP(R28,KEY_Processes!$B$4:$E$54,4,FALSE)</f>
        <v>B_GAS_01</v>
      </c>
      <c r="AA28" s="379" t="str">
        <f>VLOOKUP(R28,KEY_Processes!$B$4:$E$54,2,FALSE)</f>
        <v>Natural gas boiler</v>
      </c>
      <c r="AB28" s="379" t="str">
        <f>VLOOKUP(U28,KEY_FUELS!$C$4:$D$77,2,FALSE)</f>
        <v>GAS</v>
      </c>
      <c r="AC28" s="379" t="s">
        <v>150</v>
      </c>
      <c r="AD28" s="379" t="s">
        <v>151</v>
      </c>
      <c r="AE28" s="379" t="s">
        <v>152</v>
      </c>
      <c r="AF28" s="382" t="str">
        <f>VLOOKUP(W28,KEY_Other!$B$37:$C$89,2,FALSE)</f>
        <v>DK</v>
      </c>
      <c r="AG28" s="394"/>
      <c r="AH28" s="379" t="str">
        <f>AC28&amp;VLOOKUP(U28,KEY_FUELS!$C$4:$D$78,2,FALSE)</f>
        <v>RSDGAS</v>
      </c>
      <c r="AI28" s="379" t="str">
        <f>IFERROR(AC28&amp;VLOOKUP(V28,KEY_FUELS!$C$4:$D$78,2,FALSE),"")</f>
        <v/>
      </c>
      <c r="AJ28" s="379" t="str">
        <f t="shared" si="3"/>
        <v>RHHSB</v>
      </c>
      <c r="AK28" s="379" t="str">
        <f t="shared" si="0"/>
        <v>RWHSB</v>
      </c>
      <c r="AL28" s="379" t="str">
        <f t="shared" si="1"/>
        <v/>
      </c>
      <c r="AM28" s="380">
        <v>31.536000000000001</v>
      </c>
      <c r="AN28" s="379">
        <f t="shared" si="2"/>
        <v>2030</v>
      </c>
      <c r="AO28" s="383"/>
      <c r="AP28" s="384"/>
      <c r="AQ28" s="386"/>
      <c r="AR28" s="386"/>
      <c r="AS28" s="386"/>
      <c r="AT28" s="386"/>
      <c r="AU28" s="387">
        <v>1</v>
      </c>
      <c r="AV28" s="387">
        <v>1</v>
      </c>
      <c r="AW28" s="387"/>
      <c r="AX28" s="388"/>
      <c r="AY28" s="384"/>
      <c r="AZ28" s="387">
        <v>0.98</v>
      </c>
      <c r="BA28" s="387">
        <v>0.98</v>
      </c>
      <c r="BB28" s="388"/>
      <c r="BC28" s="389"/>
      <c r="BD28" s="389"/>
      <c r="BE28" s="390"/>
      <c r="BF28" s="379"/>
      <c r="BG28" s="379"/>
      <c r="BH28" s="391"/>
      <c r="BI28" s="379">
        <v>20</v>
      </c>
      <c r="BJ28" s="379"/>
      <c r="BK28" s="388">
        <v>5.2</v>
      </c>
      <c r="BL28" s="392"/>
      <c r="BM28" s="392"/>
      <c r="BN28" s="392"/>
      <c r="BO28" s="392"/>
      <c r="BP28" s="392"/>
      <c r="BQ28" s="392"/>
      <c r="BR28" s="384">
        <v>199</v>
      </c>
      <c r="BS28" s="388">
        <v>0</v>
      </c>
      <c r="BT28" s="380">
        <v>0</v>
      </c>
      <c r="BU28" s="388">
        <v>5</v>
      </c>
      <c r="BV28" s="380">
        <v>0.5</v>
      </c>
      <c r="BW28" s="380">
        <v>0</v>
      </c>
      <c r="BX28" s="395">
        <v>0</v>
      </c>
    </row>
    <row r="29" spans="1:76" s="226" customFormat="1" x14ac:dyDescent="0.3">
      <c r="A29" s="88"/>
      <c r="B29" s="179"/>
      <c r="C29" s="87"/>
      <c r="D29" s="87"/>
      <c r="E29" s="87"/>
      <c r="F29" s="87"/>
      <c r="G29" s="92"/>
      <c r="H29" s="88"/>
      <c r="I29" s="92"/>
      <c r="J29" s="362" t="s">
        <v>134</v>
      </c>
      <c r="K29" s="363" t="s">
        <v>135</v>
      </c>
      <c r="L29" s="396"/>
      <c r="M29" s="363"/>
      <c r="N29" s="363"/>
      <c r="O29" s="363" t="s">
        <v>136</v>
      </c>
      <c r="P29" s="363">
        <v>2017</v>
      </c>
      <c r="Q29" s="364" t="s">
        <v>162</v>
      </c>
      <c r="R29" s="365" t="s">
        <v>163</v>
      </c>
      <c r="S29" s="363">
        <v>10</v>
      </c>
      <c r="T29" s="363"/>
      <c r="U29" s="363" t="s">
        <v>164</v>
      </c>
      <c r="V29" s="363"/>
      <c r="W29" s="363" t="s">
        <v>149</v>
      </c>
      <c r="X29" s="363">
        <v>2050</v>
      </c>
      <c r="Y29" s="363"/>
      <c r="Z29" s="363" t="str">
        <f>VLOOKUP(R29,KEY_Processes!$B$4:$E$54,4,FALSE)</f>
        <v>B_GAS_01</v>
      </c>
      <c r="AA29" s="363" t="str">
        <f>VLOOKUP(R29,KEY_Processes!$B$4:$E$54,2,FALSE)</f>
        <v>Natural gas boiler</v>
      </c>
      <c r="AB29" s="363" t="str">
        <f>VLOOKUP(U29,KEY_FUELS!$C$4:$D$77,2,FALSE)</f>
        <v>GAS</v>
      </c>
      <c r="AC29" s="363" t="s">
        <v>150</v>
      </c>
      <c r="AD29" s="363" t="s">
        <v>151</v>
      </c>
      <c r="AE29" s="363" t="s">
        <v>152</v>
      </c>
      <c r="AF29" s="366" t="str">
        <f>VLOOKUP(W29,KEY_Other!$B$37:$C$89,2,FALSE)</f>
        <v>DK</v>
      </c>
      <c r="AG29" s="396"/>
      <c r="AH29" s="363" t="str">
        <f>AC29&amp;VLOOKUP(U29,KEY_FUELS!$C$4:$D$78,2,FALSE)</f>
        <v>RSDGAS</v>
      </c>
      <c r="AI29" s="363" t="str">
        <f>IFERROR(AC29&amp;VLOOKUP(V29,KEY_FUELS!$C$4:$D$78,2,FALSE),"")</f>
        <v/>
      </c>
      <c r="AJ29" s="363" t="str">
        <f t="shared" ref="AJ29:AJ32" si="11">LEFT(AC29,1)&amp;"H"&amp;AD29</f>
        <v>RHHSB</v>
      </c>
      <c r="AK29" s="363" t="str">
        <f t="shared" si="0"/>
        <v>RWHSB</v>
      </c>
      <c r="AL29" s="363" t="str">
        <f t="shared" si="1"/>
        <v/>
      </c>
      <c r="AM29" s="364">
        <v>31.536000000000001</v>
      </c>
      <c r="AN29" s="363">
        <f t="shared" si="2"/>
        <v>2050</v>
      </c>
      <c r="AO29" s="367"/>
      <c r="AP29" s="368"/>
      <c r="AQ29" s="370"/>
      <c r="AR29" s="370"/>
      <c r="AS29" s="370"/>
      <c r="AT29" s="370"/>
      <c r="AU29" s="371">
        <v>1</v>
      </c>
      <c r="AV29" s="371">
        <v>1</v>
      </c>
      <c r="AW29" s="371"/>
      <c r="AX29" s="372"/>
      <c r="AY29" s="368"/>
      <c r="AZ29" s="371">
        <v>0.99</v>
      </c>
      <c r="BA29" s="371">
        <v>0.99</v>
      </c>
      <c r="BB29" s="372"/>
      <c r="BC29" s="373"/>
      <c r="BD29" s="373"/>
      <c r="BE29" s="374"/>
      <c r="BF29" s="363"/>
      <c r="BG29" s="363"/>
      <c r="BH29" s="375"/>
      <c r="BI29" s="363">
        <v>20</v>
      </c>
      <c r="BJ29" s="363"/>
      <c r="BK29" s="372">
        <v>5.2</v>
      </c>
      <c r="BL29" s="376"/>
      <c r="BM29" s="376"/>
      <c r="BN29" s="376"/>
      <c r="BO29" s="376"/>
      <c r="BP29" s="376"/>
      <c r="BQ29" s="376"/>
      <c r="BR29" s="368">
        <v>181</v>
      </c>
      <c r="BS29" s="372">
        <v>0</v>
      </c>
      <c r="BT29" s="364">
        <v>0</v>
      </c>
      <c r="BU29" s="372">
        <v>3</v>
      </c>
      <c r="BV29" s="364">
        <v>0.25</v>
      </c>
      <c r="BW29" s="364">
        <v>0</v>
      </c>
      <c r="BX29" s="397">
        <v>0</v>
      </c>
    </row>
    <row r="30" spans="1:76" s="226" customFormat="1" x14ac:dyDescent="0.3">
      <c r="A30" s="92"/>
      <c r="B30" s="180"/>
      <c r="C30" s="92"/>
      <c r="D30" s="92"/>
      <c r="E30" s="92"/>
      <c r="F30" s="92"/>
      <c r="G30" s="87"/>
      <c r="H30" s="88"/>
      <c r="I30" s="92"/>
      <c r="J30" s="378" t="s">
        <v>134</v>
      </c>
      <c r="K30" s="379" t="s">
        <v>135</v>
      </c>
      <c r="L30" s="394"/>
      <c r="M30" s="379"/>
      <c r="N30" s="379"/>
      <c r="O30" s="379" t="s">
        <v>136</v>
      </c>
      <c r="P30" s="379">
        <v>2017</v>
      </c>
      <c r="Q30" s="380" t="s">
        <v>162</v>
      </c>
      <c r="R30" s="381" t="s">
        <v>165</v>
      </c>
      <c r="S30" s="379">
        <v>10</v>
      </c>
      <c r="T30" s="379"/>
      <c r="U30" s="379" t="s">
        <v>164</v>
      </c>
      <c r="V30" s="379"/>
      <c r="W30" s="379" t="s">
        <v>149</v>
      </c>
      <c r="X30" s="379">
        <v>2015</v>
      </c>
      <c r="Y30" s="379"/>
      <c r="Z30" s="379" t="str">
        <f>VLOOKUP(R30,KEY_Processes!$B$4:$E$54,4,FALSE)</f>
        <v>B_GAS_02</v>
      </c>
      <c r="AA30" s="379" t="str">
        <f>VLOOKUP(R30,KEY_Processes!$B$4:$E$54,2,FALSE)</f>
        <v>Natural gas boiler</v>
      </c>
      <c r="AB30" s="379" t="str">
        <f>VLOOKUP(U30,KEY_FUELS!$C$4:$D$77,2,FALSE)</f>
        <v>GAS</v>
      </c>
      <c r="AC30" s="379" t="s">
        <v>150</v>
      </c>
      <c r="AD30" s="379" t="s">
        <v>155</v>
      </c>
      <c r="AE30" s="379" t="s">
        <v>152</v>
      </c>
      <c r="AF30" s="382" t="str">
        <f>VLOOKUP(W30,KEY_Other!$B$37:$C$89,2,FALSE)</f>
        <v>DK</v>
      </c>
      <c r="AG30" s="394"/>
      <c r="AH30" s="379" t="str">
        <f>AC30&amp;VLOOKUP(U30,KEY_FUELS!$C$4:$D$78,2,FALSE)</f>
        <v>RSDGAS</v>
      </c>
      <c r="AI30" s="379" t="str">
        <f>IFERROR(AC30&amp;VLOOKUP(V30,KEY_FUELS!$C$4:$D$78,2,FALSE),"")</f>
        <v/>
      </c>
      <c r="AJ30" s="379" t="str">
        <f t="shared" si="11"/>
        <v>RHHSA</v>
      </c>
      <c r="AK30" s="379" t="str">
        <f t="shared" si="0"/>
        <v>RWHSA</v>
      </c>
      <c r="AL30" s="379" t="str">
        <f t="shared" si="1"/>
        <v/>
      </c>
      <c r="AM30" s="380">
        <v>31.536000000000001</v>
      </c>
      <c r="AN30" s="379">
        <f t="shared" si="2"/>
        <v>2015</v>
      </c>
      <c r="AO30" s="383"/>
      <c r="AP30" s="384"/>
      <c r="AQ30" s="386"/>
      <c r="AR30" s="386"/>
      <c r="AS30" s="386"/>
      <c r="AT30" s="386"/>
      <c r="AU30" s="387">
        <v>1</v>
      </c>
      <c r="AV30" s="387">
        <v>1</v>
      </c>
      <c r="AW30" s="387"/>
      <c r="AX30" s="388"/>
      <c r="AY30" s="384"/>
      <c r="AZ30" s="387">
        <v>0.95</v>
      </c>
      <c r="BA30" s="387">
        <v>0.95</v>
      </c>
      <c r="BB30" s="388"/>
      <c r="BC30" s="389"/>
      <c r="BD30" s="389"/>
      <c r="BE30" s="398"/>
      <c r="BF30" s="394"/>
      <c r="BG30" s="394"/>
      <c r="BH30" s="391"/>
      <c r="BI30" s="379">
        <v>20</v>
      </c>
      <c r="BJ30" s="379"/>
      <c r="BK30" s="388">
        <v>5.2</v>
      </c>
      <c r="BL30" s="392"/>
      <c r="BM30" s="392"/>
      <c r="BN30" s="392"/>
      <c r="BO30" s="392"/>
      <c r="BP30" s="392"/>
      <c r="BQ30" s="392"/>
      <c r="BR30" s="384">
        <v>209.45</v>
      </c>
      <c r="BS30" s="388">
        <v>0</v>
      </c>
      <c r="BT30" s="380">
        <v>0</v>
      </c>
      <c r="BU30" s="388">
        <v>20</v>
      </c>
      <c r="BV30" s="380">
        <v>2</v>
      </c>
      <c r="BW30" s="380">
        <v>0</v>
      </c>
      <c r="BX30" s="395">
        <v>0</v>
      </c>
    </row>
    <row r="31" spans="1:76" s="226" customFormat="1" x14ac:dyDescent="0.3">
      <c r="A31" s="92"/>
      <c r="B31" s="180"/>
      <c r="C31" s="92"/>
      <c r="D31" s="92"/>
      <c r="E31" s="92"/>
      <c r="F31" s="92"/>
      <c r="G31" s="87"/>
      <c r="H31" s="88"/>
      <c r="I31" s="92"/>
      <c r="J31" s="362" t="s">
        <v>134</v>
      </c>
      <c r="K31" s="363" t="s">
        <v>135</v>
      </c>
      <c r="L31" s="396"/>
      <c r="M31" s="363"/>
      <c r="N31" s="363"/>
      <c r="O31" s="363" t="s">
        <v>136</v>
      </c>
      <c r="P31" s="363">
        <v>2017</v>
      </c>
      <c r="Q31" s="364" t="s">
        <v>162</v>
      </c>
      <c r="R31" s="365" t="s">
        <v>165</v>
      </c>
      <c r="S31" s="363">
        <v>10</v>
      </c>
      <c r="T31" s="363"/>
      <c r="U31" s="363" t="s">
        <v>164</v>
      </c>
      <c r="V31" s="363"/>
      <c r="W31" s="363" t="s">
        <v>149</v>
      </c>
      <c r="X31" s="363">
        <v>2020</v>
      </c>
      <c r="Y31" s="363"/>
      <c r="Z31" s="363" t="str">
        <f>VLOOKUP(R31,KEY_Processes!$B$4:$E$54,4,FALSE)</f>
        <v>B_GAS_02</v>
      </c>
      <c r="AA31" s="363" t="str">
        <f>VLOOKUP(R31,KEY_Processes!$B$4:$E$54,2,FALSE)</f>
        <v>Natural gas boiler</v>
      </c>
      <c r="AB31" s="363" t="str">
        <f>VLOOKUP(U31,KEY_FUELS!$C$4:$D$77,2,FALSE)</f>
        <v>GAS</v>
      </c>
      <c r="AC31" s="363" t="s">
        <v>150</v>
      </c>
      <c r="AD31" s="363" t="s">
        <v>155</v>
      </c>
      <c r="AE31" s="363" t="s">
        <v>152</v>
      </c>
      <c r="AF31" s="366" t="str">
        <f>VLOOKUP(W31,KEY_Other!$B$37:$C$89,2,FALSE)</f>
        <v>DK</v>
      </c>
      <c r="AG31" s="396"/>
      <c r="AH31" s="363" t="str">
        <f>AC31&amp;VLOOKUP(U31,KEY_FUELS!$C$4:$D$78,2,FALSE)</f>
        <v>RSDGAS</v>
      </c>
      <c r="AI31" s="363" t="str">
        <f>IFERROR(AC31&amp;VLOOKUP(V31,KEY_FUELS!$C$4:$D$78,2,FALSE),"")</f>
        <v/>
      </c>
      <c r="AJ31" s="363" t="str">
        <f t="shared" ref="AJ31" si="12">LEFT(AC31,1)&amp;"H"&amp;AD31</f>
        <v>RHHSA</v>
      </c>
      <c r="AK31" s="363" t="str">
        <f t="shared" si="0"/>
        <v>RWHSA</v>
      </c>
      <c r="AL31" s="363" t="str">
        <f t="shared" si="1"/>
        <v/>
      </c>
      <c r="AM31" s="364">
        <v>31.536000000000001</v>
      </c>
      <c r="AN31" s="363">
        <f t="shared" si="2"/>
        <v>2020</v>
      </c>
      <c r="AO31" s="367"/>
      <c r="AP31" s="368"/>
      <c r="AQ31" s="370"/>
      <c r="AR31" s="370"/>
      <c r="AS31" s="370"/>
      <c r="AT31" s="370"/>
      <c r="AU31" s="371">
        <v>1</v>
      </c>
      <c r="AV31" s="371">
        <v>1</v>
      </c>
      <c r="AW31" s="371"/>
      <c r="AX31" s="372"/>
      <c r="AY31" s="368"/>
      <c r="AZ31" s="371">
        <v>0.95</v>
      </c>
      <c r="BA31" s="371">
        <v>0.95</v>
      </c>
      <c r="BB31" s="372"/>
      <c r="BC31" s="373"/>
      <c r="BD31" s="373"/>
      <c r="BE31" s="399"/>
      <c r="BF31" s="396"/>
      <c r="BG31" s="396"/>
      <c r="BH31" s="375"/>
      <c r="BI31" s="363">
        <v>20</v>
      </c>
      <c r="BJ31" s="363"/>
      <c r="BK31" s="372">
        <v>5.2</v>
      </c>
      <c r="BL31" s="376"/>
      <c r="BM31" s="376"/>
      <c r="BN31" s="376"/>
      <c r="BO31" s="376"/>
      <c r="BP31" s="376"/>
      <c r="BQ31" s="376"/>
      <c r="BR31" s="368">
        <v>205</v>
      </c>
      <c r="BS31" s="372">
        <v>0</v>
      </c>
      <c r="BT31" s="364">
        <v>0</v>
      </c>
      <c r="BU31" s="372">
        <v>10</v>
      </c>
      <c r="BV31" s="364">
        <v>1</v>
      </c>
      <c r="BW31" s="364">
        <v>0</v>
      </c>
      <c r="BX31" s="397">
        <v>0</v>
      </c>
    </row>
    <row r="32" spans="1:76" s="226" customFormat="1" x14ac:dyDescent="0.3">
      <c r="A32" s="92"/>
      <c r="B32" s="180"/>
      <c r="C32" s="92"/>
      <c r="D32" s="92"/>
      <c r="E32" s="92"/>
      <c r="F32" s="92"/>
      <c r="G32" s="87"/>
      <c r="H32" s="88"/>
      <c r="I32" s="92"/>
      <c r="J32" s="378" t="s">
        <v>134</v>
      </c>
      <c r="K32" s="379" t="s">
        <v>135</v>
      </c>
      <c r="L32" s="394"/>
      <c r="M32" s="379"/>
      <c r="N32" s="379"/>
      <c r="O32" s="379" t="s">
        <v>136</v>
      </c>
      <c r="P32" s="379">
        <v>2017</v>
      </c>
      <c r="Q32" s="380" t="s">
        <v>162</v>
      </c>
      <c r="R32" s="381" t="s">
        <v>165</v>
      </c>
      <c r="S32" s="379">
        <v>10</v>
      </c>
      <c r="T32" s="379"/>
      <c r="U32" s="379" t="s">
        <v>164</v>
      </c>
      <c r="V32" s="379"/>
      <c r="W32" s="379" t="s">
        <v>149</v>
      </c>
      <c r="X32" s="379">
        <v>2030</v>
      </c>
      <c r="Y32" s="379"/>
      <c r="Z32" s="379" t="str">
        <f>VLOOKUP(R32,KEY_Processes!$B$4:$E$54,4,FALSE)</f>
        <v>B_GAS_02</v>
      </c>
      <c r="AA32" s="379" t="str">
        <f>VLOOKUP(R32,KEY_Processes!$B$4:$E$54,2,FALSE)</f>
        <v>Natural gas boiler</v>
      </c>
      <c r="AB32" s="379" t="str">
        <f>VLOOKUP(U32,KEY_FUELS!$C$4:$D$77,2,FALSE)</f>
        <v>GAS</v>
      </c>
      <c r="AC32" s="379" t="s">
        <v>150</v>
      </c>
      <c r="AD32" s="379" t="s">
        <v>155</v>
      </c>
      <c r="AE32" s="379" t="s">
        <v>152</v>
      </c>
      <c r="AF32" s="382" t="str">
        <f>VLOOKUP(W32,KEY_Other!$B$37:$C$89,2,FALSE)</f>
        <v>DK</v>
      </c>
      <c r="AG32" s="394"/>
      <c r="AH32" s="379" t="str">
        <f>AC32&amp;VLOOKUP(U32,KEY_FUELS!$C$4:$D$78,2,FALSE)</f>
        <v>RSDGAS</v>
      </c>
      <c r="AI32" s="379" t="str">
        <f>IFERROR(AC32&amp;VLOOKUP(V32,KEY_FUELS!$C$4:$D$78,2,FALSE),"")</f>
        <v/>
      </c>
      <c r="AJ32" s="379" t="str">
        <f t="shared" si="11"/>
        <v>RHHSA</v>
      </c>
      <c r="AK32" s="379" t="str">
        <f t="shared" si="0"/>
        <v>RWHSA</v>
      </c>
      <c r="AL32" s="379" t="str">
        <f t="shared" si="1"/>
        <v/>
      </c>
      <c r="AM32" s="380">
        <v>31.536000000000001</v>
      </c>
      <c r="AN32" s="379">
        <f t="shared" si="2"/>
        <v>2030</v>
      </c>
      <c r="AO32" s="383"/>
      <c r="AP32" s="384"/>
      <c r="AQ32" s="386"/>
      <c r="AR32" s="386"/>
      <c r="AS32" s="386"/>
      <c r="AT32" s="386"/>
      <c r="AU32" s="387">
        <v>1</v>
      </c>
      <c r="AV32" s="387">
        <v>1</v>
      </c>
      <c r="AW32" s="387"/>
      <c r="AX32" s="388"/>
      <c r="AY32" s="384"/>
      <c r="AZ32" s="387">
        <v>0.96</v>
      </c>
      <c r="BA32" s="387">
        <v>0.96</v>
      </c>
      <c r="BB32" s="388"/>
      <c r="BC32" s="389"/>
      <c r="BD32" s="389"/>
      <c r="BE32" s="398"/>
      <c r="BF32" s="394"/>
      <c r="BG32" s="394"/>
      <c r="BH32" s="391"/>
      <c r="BI32" s="379">
        <v>20</v>
      </c>
      <c r="BJ32" s="379"/>
      <c r="BK32" s="388">
        <v>5.2</v>
      </c>
      <c r="BL32" s="392"/>
      <c r="BM32" s="392"/>
      <c r="BN32" s="392"/>
      <c r="BO32" s="392"/>
      <c r="BP32" s="392"/>
      <c r="BQ32" s="392"/>
      <c r="BR32" s="384">
        <v>199</v>
      </c>
      <c r="BS32" s="388">
        <v>0</v>
      </c>
      <c r="BT32" s="380">
        <v>0</v>
      </c>
      <c r="BU32" s="388">
        <v>5</v>
      </c>
      <c r="BV32" s="380">
        <v>0.5</v>
      </c>
      <c r="BW32" s="380">
        <v>0</v>
      </c>
      <c r="BX32" s="395">
        <v>0</v>
      </c>
    </row>
    <row r="33" spans="1:76" s="226" customFormat="1" x14ac:dyDescent="0.3">
      <c r="A33" s="92"/>
      <c r="B33" s="180"/>
      <c r="C33" s="92"/>
      <c r="D33" s="92"/>
      <c r="E33" s="92"/>
      <c r="F33" s="92"/>
      <c r="G33" s="87"/>
      <c r="H33" s="88"/>
      <c r="I33" s="92"/>
      <c r="J33" s="362" t="s">
        <v>134</v>
      </c>
      <c r="K33" s="363" t="s">
        <v>135</v>
      </c>
      <c r="L33" s="396"/>
      <c r="M33" s="363"/>
      <c r="N33" s="363"/>
      <c r="O33" s="363" t="s">
        <v>136</v>
      </c>
      <c r="P33" s="363">
        <v>2017</v>
      </c>
      <c r="Q33" s="364" t="s">
        <v>162</v>
      </c>
      <c r="R33" s="365" t="s">
        <v>165</v>
      </c>
      <c r="S33" s="363">
        <v>10</v>
      </c>
      <c r="T33" s="363"/>
      <c r="U33" s="363" t="s">
        <v>164</v>
      </c>
      <c r="V33" s="363"/>
      <c r="W33" s="363" t="s">
        <v>149</v>
      </c>
      <c r="X33" s="363">
        <v>2050</v>
      </c>
      <c r="Y33" s="363"/>
      <c r="Z33" s="363" t="str">
        <f>VLOOKUP(R33,KEY_Processes!$B$4:$E$54,4,FALSE)</f>
        <v>B_GAS_02</v>
      </c>
      <c r="AA33" s="363" t="str">
        <f>VLOOKUP(R33,KEY_Processes!$B$4:$E$54,2,FALSE)</f>
        <v>Natural gas boiler</v>
      </c>
      <c r="AB33" s="363" t="str">
        <f>VLOOKUP(U33,KEY_FUELS!$C$4:$D$77,2,FALSE)</f>
        <v>GAS</v>
      </c>
      <c r="AC33" s="363" t="s">
        <v>150</v>
      </c>
      <c r="AD33" s="363" t="s">
        <v>155</v>
      </c>
      <c r="AE33" s="363" t="s">
        <v>152</v>
      </c>
      <c r="AF33" s="366" t="str">
        <f>VLOOKUP(W33,KEY_Other!$B$37:$C$89,2,FALSE)</f>
        <v>DK</v>
      </c>
      <c r="AG33" s="396"/>
      <c r="AH33" s="363" t="str">
        <f>AC33&amp;VLOOKUP(U33,KEY_FUELS!$C$4:$D$78,2,FALSE)</f>
        <v>RSDGAS</v>
      </c>
      <c r="AI33" s="363" t="str">
        <f>IFERROR(AC33&amp;VLOOKUP(V33,KEY_FUELS!$C$4:$D$78,2,FALSE),"")</f>
        <v/>
      </c>
      <c r="AJ33" s="363" t="str">
        <f t="shared" si="3"/>
        <v>RHHSA</v>
      </c>
      <c r="AK33" s="363" t="str">
        <f t="shared" si="0"/>
        <v>RWHSA</v>
      </c>
      <c r="AL33" s="363" t="str">
        <f t="shared" si="1"/>
        <v/>
      </c>
      <c r="AM33" s="364">
        <v>31.536000000000001</v>
      </c>
      <c r="AN33" s="363">
        <f t="shared" si="2"/>
        <v>2050</v>
      </c>
      <c r="AO33" s="367"/>
      <c r="AP33" s="368"/>
      <c r="AQ33" s="370"/>
      <c r="AR33" s="370"/>
      <c r="AS33" s="370"/>
      <c r="AT33" s="370"/>
      <c r="AU33" s="371">
        <v>1</v>
      </c>
      <c r="AV33" s="371">
        <v>1</v>
      </c>
      <c r="AW33" s="371"/>
      <c r="AX33" s="372"/>
      <c r="AY33" s="368"/>
      <c r="AZ33" s="371">
        <v>0.97</v>
      </c>
      <c r="BA33" s="371">
        <v>0.97</v>
      </c>
      <c r="BB33" s="372"/>
      <c r="BC33" s="373"/>
      <c r="BD33" s="373"/>
      <c r="BE33" s="399"/>
      <c r="BF33" s="396"/>
      <c r="BG33" s="396"/>
      <c r="BH33" s="375"/>
      <c r="BI33" s="363">
        <v>20</v>
      </c>
      <c r="BJ33" s="363"/>
      <c r="BK33" s="372">
        <v>5.2</v>
      </c>
      <c r="BL33" s="376"/>
      <c r="BM33" s="376"/>
      <c r="BN33" s="376"/>
      <c r="BO33" s="376"/>
      <c r="BP33" s="376"/>
      <c r="BQ33" s="376"/>
      <c r="BR33" s="368">
        <v>181</v>
      </c>
      <c r="BS33" s="372">
        <v>0</v>
      </c>
      <c r="BT33" s="364">
        <v>0</v>
      </c>
      <c r="BU33" s="372">
        <v>3</v>
      </c>
      <c r="BV33" s="364">
        <v>0.25</v>
      </c>
      <c r="BW33" s="364">
        <v>0</v>
      </c>
      <c r="BX33" s="397">
        <v>0</v>
      </c>
    </row>
    <row r="34" spans="1:76" s="226" customFormat="1" x14ac:dyDescent="0.3">
      <c r="A34" s="92"/>
      <c r="B34" s="180"/>
      <c r="C34" s="88"/>
      <c r="D34" s="88"/>
      <c r="E34" s="87"/>
      <c r="F34" s="87"/>
      <c r="G34" s="88"/>
      <c r="H34" s="88"/>
      <c r="I34" s="88"/>
      <c r="J34" s="378" t="s">
        <v>134</v>
      </c>
      <c r="K34" s="379" t="s">
        <v>135</v>
      </c>
      <c r="L34" s="379"/>
      <c r="M34" s="379"/>
      <c r="N34" s="379"/>
      <c r="O34" s="379" t="s">
        <v>136</v>
      </c>
      <c r="P34" s="379">
        <v>2017</v>
      </c>
      <c r="Q34" s="380" t="s">
        <v>162</v>
      </c>
      <c r="R34" s="381" t="s">
        <v>166</v>
      </c>
      <c r="S34" s="379">
        <v>400</v>
      </c>
      <c r="T34" s="379"/>
      <c r="U34" s="379" t="s">
        <v>164</v>
      </c>
      <c r="V34" s="379"/>
      <c r="W34" s="379" t="s">
        <v>149</v>
      </c>
      <c r="X34" s="379">
        <v>2015</v>
      </c>
      <c r="Y34" s="379"/>
      <c r="Z34" s="379" t="str">
        <f>VLOOKUP(R34,KEY_Processes!$B$4:$E$54,4,FALSE)</f>
        <v>B_GAS_03</v>
      </c>
      <c r="AA34" s="379" t="str">
        <f>VLOOKUP(R34,KEY_Processes!$B$4:$E$54,2,FALSE)</f>
        <v>Natural gas boiler</v>
      </c>
      <c r="AB34" s="379" t="str">
        <f>VLOOKUP(U34,KEY_FUELS!$C$4:$D$77,2,FALSE)</f>
        <v>GAS</v>
      </c>
      <c r="AC34" s="379" t="s">
        <v>150</v>
      </c>
      <c r="AD34" s="379" t="s">
        <v>158</v>
      </c>
      <c r="AE34" s="379" t="s">
        <v>152</v>
      </c>
      <c r="AF34" s="382" t="str">
        <f>VLOOKUP(W34,KEY_Other!$B$37:$C$89,2,FALSE)</f>
        <v>DK</v>
      </c>
      <c r="AG34" s="379"/>
      <c r="AH34" s="379" t="str">
        <f>AC34&amp;VLOOKUP(U34,KEY_FUELS!$C$4:$D$78,2,FALSE)</f>
        <v>RSDGAS</v>
      </c>
      <c r="AI34" s="379" t="str">
        <f>IFERROR(AC34&amp;VLOOKUP(V34,KEY_FUELS!$C$4:$D$78,2,FALSE),"")</f>
        <v/>
      </c>
      <c r="AJ34" s="379" t="str">
        <f t="shared" ref="AJ34" si="13">LEFT(AC34,1)&amp;"H"&amp;AD34</f>
        <v>RHAPC</v>
      </c>
      <c r="AK34" s="379" t="str">
        <f t="shared" si="0"/>
        <v>RWAPC</v>
      </c>
      <c r="AL34" s="379" t="str">
        <f t="shared" si="1"/>
        <v/>
      </c>
      <c r="AM34" s="380">
        <v>31.536000000000001</v>
      </c>
      <c r="AN34" s="379">
        <f t="shared" si="2"/>
        <v>2015</v>
      </c>
      <c r="AO34" s="383"/>
      <c r="AP34" s="384"/>
      <c r="AQ34" s="386"/>
      <c r="AR34" s="386"/>
      <c r="AS34" s="386"/>
      <c r="AT34" s="386"/>
      <c r="AU34" s="387">
        <v>1</v>
      </c>
      <c r="AV34" s="387">
        <v>1</v>
      </c>
      <c r="AW34" s="387"/>
      <c r="AX34" s="388"/>
      <c r="AY34" s="384"/>
      <c r="AZ34" s="387">
        <v>1.01</v>
      </c>
      <c r="BA34" s="387">
        <v>1.01</v>
      </c>
      <c r="BB34" s="388"/>
      <c r="BC34" s="389"/>
      <c r="BD34" s="389"/>
      <c r="BE34" s="390"/>
      <c r="BF34" s="379"/>
      <c r="BG34" s="379"/>
      <c r="BH34" s="391"/>
      <c r="BI34" s="379">
        <v>25</v>
      </c>
      <c r="BJ34" s="379"/>
      <c r="BK34" s="388">
        <v>27.200000000000003</v>
      </c>
      <c r="BL34" s="392"/>
      <c r="BM34" s="392"/>
      <c r="BN34" s="392"/>
      <c r="BO34" s="392"/>
      <c r="BP34" s="392"/>
      <c r="BQ34" s="392"/>
      <c r="BR34" s="384">
        <v>683.25</v>
      </c>
      <c r="BS34" s="388">
        <v>0</v>
      </c>
      <c r="BT34" s="380">
        <v>0</v>
      </c>
      <c r="BU34" s="388">
        <v>20</v>
      </c>
      <c r="BV34" s="380">
        <v>2</v>
      </c>
      <c r="BW34" s="380">
        <v>0</v>
      </c>
      <c r="BX34" s="395">
        <v>0</v>
      </c>
    </row>
    <row r="35" spans="1:76" s="226" customFormat="1" x14ac:dyDescent="0.3">
      <c r="A35" s="92"/>
      <c r="B35" s="180"/>
      <c r="C35" s="88"/>
      <c r="D35" s="88"/>
      <c r="E35" s="87"/>
      <c r="F35" s="87"/>
      <c r="G35" s="88"/>
      <c r="H35" s="88"/>
      <c r="I35" s="88"/>
      <c r="J35" s="362" t="s">
        <v>134</v>
      </c>
      <c r="K35" s="363" t="s">
        <v>135</v>
      </c>
      <c r="L35" s="363"/>
      <c r="M35" s="363"/>
      <c r="N35" s="363"/>
      <c r="O35" s="363" t="s">
        <v>136</v>
      </c>
      <c r="P35" s="363">
        <v>2017</v>
      </c>
      <c r="Q35" s="364" t="s">
        <v>162</v>
      </c>
      <c r="R35" s="365" t="s">
        <v>166</v>
      </c>
      <c r="S35" s="363">
        <v>400</v>
      </c>
      <c r="T35" s="363"/>
      <c r="U35" s="363" t="s">
        <v>164</v>
      </c>
      <c r="V35" s="363"/>
      <c r="W35" s="363" t="s">
        <v>149</v>
      </c>
      <c r="X35" s="363">
        <v>2020</v>
      </c>
      <c r="Y35" s="363"/>
      <c r="Z35" s="363" t="str">
        <f>VLOOKUP(R35,KEY_Processes!$B$4:$E$54,4,FALSE)</f>
        <v>B_GAS_03</v>
      </c>
      <c r="AA35" s="363" t="str">
        <f>VLOOKUP(R35,KEY_Processes!$B$4:$E$54,2,FALSE)</f>
        <v>Natural gas boiler</v>
      </c>
      <c r="AB35" s="363" t="str">
        <f>VLOOKUP(U35,KEY_FUELS!$C$4:$D$77,2,FALSE)</f>
        <v>GAS</v>
      </c>
      <c r="AC35" s="363" t="s">
        <v>150</v>
      </c>
      <c r="AD35" s="363" t="s">
        <v>158</v>
      </c>
      <c r="AE35" s="363" t="s">
        <v>152</v>
      </c>
      <c r="AF35" s="366" t="str">
        <f>VLOOKUP(W35,KEY_Other!$B$37:$C$89,2,FALSE)</f>
        <v>DK</v>
      </c>
      <c r="AG35" s="363"/>
      <c r="AH35" s="363" t="str">
        <f>AC35&amp;VLOOKUP(U35,KEY_FUELS!$C$4:$D$78,2,FALSE)</f>
        <v>RSDGAS</v>
      </c>
      <c r="AI35" s="363" t="str">
        <f>IFERROR(AC35&amp;VLOOKUP(V35,KEY_FUELS!$C$4:$D$78,2,FALSE),"")</f>
        <v/>
      </c>
      <c r="AJ35" s="363" t="str">
        <f t="shared" si="3"/>
        <v>RHAPC</v>
      </c>
      <c r="AK35" s="363" t="str">
        <f t="shared" si="0"/>
        <v>RWAPC</v>
      </c>
      <c r="AL35" s="363" t="str">
        <f t="shared" si="1"/>
        <v/>
      </c>
      <c r="AM35" s="364">
        <v>31.536000000000001</v>
      </c>
      <c r="AN35" s="363">
        <f t="shared" si="2"/>
        <v>2020</v>
      </c>
      <c r="AO35" s="367"/>
      <c r="AP35" s="368"/>
      <c r="AQ35" s="370"/>
      <c r="AR35" s="370"/>
      <c r="AS35" s="370"/>
      <c r="AT35" s="370"/>
      <c r="AU35" s="371">
        <v>1</v>
      </c>
      <c r="AV35" s="371">
        <v>1</v>
      </c>
      <c r="AW35" s="371"/>
      <c r="AX35" s="372"/>
      <c r="AY35" s="368"/>
      <c r="AZ35" s="371">
        <v>1.01</v>
      </c>
      <c r="BA35" s="371">
        <v>1.01</v>
      </c>
      <c r="BB35" s="372"/>
      <c r="BC35" s="373"/>
      <c r="BD35" s="373"/>
      <c r="BE35" s="374"/>
      <c r="BF35" s="363"/>
      <c r="BG35" s="363"/>
      <c r="BH35" s="375"/>
      <c r="BI35" s="363">
        <v>25</v>
      </c>
      <c r="BJ35" s="363"/>
      <c r="BK35" s="372">
        <v>27.200000000000003</v>
      </c>
      <c r="BL35" s="376"/>
      <c r="BM35" s="376"/>
      <c r="BN35" s="376"/>
      <c r="BO35" s="376"/>
      <c r="BP35" s="376"/>
      <c r="BQ35" s="376"/>
      <c r="BR35" s="368">
        <v>669</v>
      </c>
      <c r="BS35" s="372">
        <v>0</v>
      </c>
      <c r="BT35" s="364">
        <v>0</v>
      </c>
      <c r="BU35" s="372">
        <v>10</v>
      </c>
      <c r="BV35" s="364">
        <v>1</v>
      </c>
      <c r="BW35" s="364">
        <v>0</v>
      </c>
      <c r="BX35" s="397">
        <v>0</v>
      </c>
    </row>
    <row r="36" spans="1:76" s="226" customFormat="1" x14ac:dyDescent="0.3">
      <c r="A36" s="92"/>
      <c r="B36" s="180"/>
      <c r="C36" s="88"/>
      <c r="D36" s="88"/>
      <c r="E36" s="87"/>
      <c r="F36" s="87"/>
      <c r="G36" s="88"/>
      <c r="H36" s="88"/>
      <c r="I36" s="88"/>
      <c r="J36" s="378" t="s">
        <v>134</v>
      </c>
      <c r="K36" s="379" t="s">
        <v>135</v>
      </c>
      <c r="L36" s="379"/>
      <c r="M36" s="379"/>
      <c r="N36" s="379"/>
      <c r="O36" s="379" t="s">
        <v>136</v>
      </c>
      <c r="P36" s="379">
        <v>2017</v>
      </c>
      <c r="Q36" s="380" t="s">
        <v>162</v>
      </c>
      <c r="R36" s="381" t="s">
        <v>166</v>
      </c>
      <c r="S36" s="379">
        <v>400</v>
      </c>
      <c r="T36" s="379"/>
      <c r="U36" s="379" t="s">
        <v>164</v>
      </c>
      <c r="V36" s="379"/>
      <c r="W36" s="379" t="s">
        <v>149</v>
      </c>
      <c r="X36" s="379">
        <v>2030</v>
      </c>
      <c r="Y36" s="379"/>
      <c r="Z36" s="379" t="str">
        <f>VLOOKUP(R36,KEY_Processes!$B$4:$E$54,4,FALSE)</f>
        <v>B_GAS_03</v>
      </c>
      <c r="AA36" s="379" t="str">
        <f>VLOOKUP(R36,KEY_Processes!$B$4:$E$54,2,FALSE)</f>
        <v>Natural gas boiler</v>
      </c>
      <c r="AB36" s="379" t="str">
        <f>VLOOKUP(U36,KEY_FUELS!$C$4:$D$77,2,FALSE)</f>
        <v>GAS</v>
      </c>
      <c r="AC36" s="379" t="s">
        <v>150</v>
      </c>
      <c r="AD36" s="379" t="s">
        <v>158</v>
      </c>
      <c r="AE36" s="379" t="s">
        <v>152</v>
      </c>
      <c r="AF36" s="382" t="str">
        <f>VLOOKUP(W36,KEY_Other!$B$37:$C$89,2,FALSE)</f>
        <v>DK</v>
      </c>
      <c r="AG36" s="379"/>
      <c r="AH36" s="379" t="str">
        <f>AC36&amp;VLOOKUP(U36,KEY_FUELS!$C$4:$D$78,2,FALSE)</f>
        <v>RSDGAS</v>
      </c>
      <c r="AI36" s="379" t="str">
        <f>IFERROR(AC36&amp;VLOOKUP(V36,KEY_FUELS!$C$4:$D$78,2,FALSE),"")</f>
        <v/>
      </c>
      <c r="AJ36" s="379" t="str">
        <f t="shared" ref="AJ36" si="14">LEFT(AC36,1)&amp;"H"&amp;AD36</f>
        <v>RHAPC</v>
      </c>
      <c r="AK36" s="379" t="str">
        <f t="shared" si="0"/>
        <v>RWAPC</v>
      </c>
      <c r="AL36" s="379" t="str">
        <f t="shared" si="1"/>
        <v/>
      </c>
      <c r="AM36" s="380">
        <v>31.536000000000001</v>
      </c>
      <c r="AN36" s="379">
        <f t="shared" si="2"/>
        <v>2030</v>
      </c>
      <c r="AO36" s="383"/>
      <c r="AP36" s="384"/>
      <c r="AQ36" s="386"/>
      <c r="AR36" s="386"/>
      <c r="AS36" s="386"/>
      <c r="AT36" s="386"/>
      <c r="AU36" s="387">
        <v>1</v>
      </c>
      <c r="AV36" s="387">
        <v>1</v>
      </c>
      <c r="AW36" s="387"/>
      <c r="AX36" s="388"/>
      <c r="AY36" s="384"/>
      <c r="AZ36" s="387">
        <v>1.02</v>
      </c>
      <c r="BA36" s="387">
        <v>1.02</v>
      </c>
      <c r="BB36" s="388"/>
      <c r="BC36" s="389"/>
      <c r="BD36" s="389"/>
      <c r="BE36" s="390"/>
      <c r="BF36" s="379"/>
      <c r="BG36" s="379"/>
      <c r="BH36" s="391"/>
      <c r="BI36" s="379">
        <v>25</v>
      </c>
      <c r="BJ36" s="379"/>
      <c r="BK36" s="388">
        <v>25</v>
      </c>
      <c r="BL36" s="392"/>
      <c r="BM36" s="392"/>
      <c r="BN36" s="392"/>
      <c r="BO36" s="392"/>
      <c r="BP36" s="392"/>
      <c r="BQ36" s="392"/>
      <c r="BR36" s="384">
        <v>651</v>
      </c>
      <c r="BS36" s="388">
        <v>0</v>
      </c>
      <c r="BT36" s="380">
        <v>0</v>
      </c>
      <c r="BU36" s="388">
        <v>5</v>
      </c>
      <c r="BV36" s="380">
        <v>0.5</v>
      </c>
      <c r="BW36" s="380">
        <v>0</v>
      </c>
      <c r="BX36" s="395">
        <v>0</v>
      </c>
    </row>
    <row r="37" spans="1:76" s="226" customFormat="1" x14ac:dyDescent="0.3">
      <c r="A37" s="92"/>
      <c r="B37" s="180"/>
      <c r="C37" s="88"/>
      <c r="D37" s="88"/>
      <c r="E37" s="87"/>
      <c r="F37" s="87"/>
      <c r="G37" s="88"/>
      <c r="H37" s="88"/>
      <c r="I37" s="88"/>
      <c r="J37" s="362" t="s">
        <v>134</v>
      </c>
      <c r="K37" s="363" t="s">
        <v>135</v>
      </c>
      <c r="L37" s="363"/>
      <c r="M37" s="363"/>
      <c r="N37" s="363"/>
      <c r="O37" s="363" t="s">
        <v>136</v>
      </c>
      <c r="P37" s="363">
        <v>2017</v>
      </c>
      <c r="Q37" s="364" t="s">
        <v>162</v>
      </c>
      <c r="R37" s="365" t="s">
        <v>166</v>
      </c>
      <c r="S37" s="363">
        <v>400</v>
      </c>
      <c r="T37" s="363"/>
      <c r="U37" s="363" t="s">
        <v>164</v>
      </c>
      <c r="V37" s="363"/>
      <c r="W37" s="363" t="s">
        <v>149</v>
      </c>
      <c r="X37" s="363">
        <v>2050</v>
      </c>
      <c r="Y37" s="363"/>
      <c r="Z37" s="363" t="str">
        <f>VLOOKUP(R37,KEY_Processes!$B$4:$E$54,4,FALSE)</f>
        <v>B_GAS_03</v>
      </c>
      <c r="AA37" s="363" t="str">
        <f>VLOOKUP(R37,KEY_Processes!$B$4:$E$54,2,FALSE)</f>
        <v>Natural gas boiler</v>
      </c>
      <c r="AB37" s="363" t="str">
        <f>VLOOKUP(U37,KEY_FUELS!$C$4:$D$77,2,FALSE)</f>
        <v>GAS</v>
      </c>
      <c r="AC37" s="363" t="s">
        <v>150</v>
      </c>
      <c r="AD37" s="363" t="s">
        <v>158</v>
      </c>
      <c r="AE37" s="363" t="s">
        <v>152</v>
      </c>
      <c r="AF37" s="366" t="str">
        <f>VLOOKUP(W37,KEY_Other!$B$37:$C$89,2,FALSE)</f>
        <v>DK</v>
      </c>
      <c r="AG37" s="363"/>
      <c r="AH37" s="363" t="str">
        <f>AC37&amp;VLOOKUP(U37,KEY_FUELS!$C$4:$D$78,2,FALSE)</f>
        <v>RSDGAS</v>
      </c>
      <c r="AI37" s="363" t="str">
        <f>IFERROR(AC37&amp;VLOOKUP(V37,KEY_FUELS!$C$4:$D$78,2,FALSE),"")</f>
        <v/>
      </c>
      <c r="AJ37" s="363" t="str">
        <f t="shared" si="3"/>
        <v>RHAPC</v>
      </c>
      <c r="AK37" s="363" t="str">
        <f t="shared" si="0"/>
        <v>RWAPC</v>
      </c>
      <c r="AL37" s="363" t="str">
        <f t="shared" si="1"/>
        <v/>
      </c>
      <c r="AM37" s="364">
        <v>31.536000000000001</v>
      </c>
      <c r="AN37" s="363">
        <f t="shared" si="2"/>
        <v>2050</v>
      </c>
      <c r="AO37" s="367"/>
      <c r="AP37" s="368"/>
      <c r="AQ37" s="370"/>
      <c r="AR37" s="370"/>
      <c r="AS37" s="370"/>
      <c r="AT37" s="370"/>
      <c r="AU37" s="371">
        <v>1</v>
      </c>
      <c r="AV37" s="371">
        <v>1</v>
      </c>
      <c r="AW37" s="371"/>
      <c r="AX37" s="372"/>
      <c r="AY37" s="368"/>
      <c r="AZ37" s="371">
        <v>1.02</v>
      </c>
      <c r="BA37" s="371">
        <v>1.02</v>
      </c>
      <c r="BB37" s="372"/>
      <c r="BC37" s="373"/>
      <c r="BD37" s="373"/>
      <c r="BE37" s="374"/>
      <c r="BF37" s="363"/>
      <c r="BG37" s="363"/>
      <c r="BH37" s="375"/>
      <c r="BI37" s="363">
        <v>25</v>
      </c>
      <c r="BJ37" s="363"/>
      <c r="BK37" s="372">
        <v>23</v>
      </c>
      <c r="BL37" s="376"/>
      <c r="BM37" s="376"/>
      <c r="BN37" s="376"/>
      <c r="BO37" s="376"/>
      <c r="BP37" s="376"/>
      <c r="BQ37" s="376"/>
      <c r="BR37" s="368">
        <v>620</v>
      </c>
      <c r="BS37" s="372">
        <v>0</v>
      </c>
      <c r="BT37" s="364">
        <v>0</v>
      </c>
      <c r="BU37" s="372">
        <v>3</v>
      </c>
      <c r="BV37" s="364">
        <v>0.25</v>
      </c>
      <c r="BW37" s="364">
        <v>0</v>
      </c>
      <c r="BX37" s="397">
        <v>0</v>
      </c>
    </row>
    <row r="38" spans="1:76" s="226" customFormat="1" x14ac:dyDescent="0.3">
      <c r="A38" s="88"/>
      <c r="B38" s="87"/>
      <c r="C38" s="87"/>
      <c r="D38" s="87"/>
      <c r="E38" s="87"/>
      <c r="F38" s="88"/>
      <c r="G38" s="87"/>
      <c r="H38" s="88"/>
      <c r="I38" s="88"/>
      <c r="J38" s="378" t="s">
        <v>134</v>
      </c>
      <c r="K38" s="379" t="s">
        <v>135</v>
      </c>
      <c r="L38" s="379"/>
      <c r="M38" s="379"/>
      <c r="N38" s="379"/>
      <c r="O38" s="379" t="s">
        <v>136</v>
      </c>
      <c r="P38" s="379">
        <v>2017</v>
      </c>
      <c r="Q38" s="380" t="s">
        <v>162</v>
      </c>
      <c r="R38" s="381" t="s">
        <v>167</v>
      </c>
      <c r="S38" s="379">
        <v>160</v>
      </c>
      <c r="T38" s="379"/>
      <c r="U38" s="379" t="s">
        <v>164</v>
      </c>
      <c r="V38" s="379"/>
      <c r="W38" s="379" t="s">
        <v>149</v>
      </c>
      <c r="X38" s="379">
        <v>2015</v>
      </c>
      <c r="Y38" s="379"/>
      <c r="Z38" s="379" t="str">
        <f>VLOOKUP(R38,KEY_Processes!$B$4:$E$54,4,FALSE)</f>
        <v>B_GAS_04</v>
      </c>
      <c r="AA38" s="379" t="str">
        <f>VLOOKUP(R38,KEY_Processes!$B$4:$E$54,2,FALSE)</f>
        <v>Natural gas boiler</v>
      </c>
      <c r="AB38" s="379" t="str">
        <f>VLOOKUP(U38,KEY_FUELS!$C$4:$D$77,2,FALSE)</f>
        <v>GAS</v>
      </c>
      <c r="AC38" s="379" t="s">
        <v>150</v>
      </c>
      <c r="AD38" s="379" t="s">
        <v>161</v>
      </c>
      <c r="AE38" s="379" t="s">
        <v>152</v>
      </c>
      <c r="AF38" s="382" t="str">
        <f>VLOOKUP(W38,KEY_Other!$B$37:$C$89,2,FALSE)</f>
        <v>DK</v>
      </c>
      <c r="AG38" s="379"/>
      <c r="AH38" s="379" t="str">
        <f>AC38&amp;VLOOKUP(U38,KEY_FUELS!$C$4:$D$78,2,FALSE)</f>
        <v>RSDGAS</v>
      </c>
      <c r="AI38" s="379" t="str">
        <f>IFERROR(AC38&amp;VLOOKUP(V38,KEY_FUELS!$C$4:$D$78,2,FALSE),"")</f>
        <v/>
      </c>
      <c r="AJ38" s="379" t="str">
        <f t="shared" ref="AJ38" si="15">LEFT(AC38,1)&amp;"H"&amp;AD38</f>
        <v>RHAPA</v>
      </c>
      <c r="AK38" s="379" t="str">
        <f t="shared" si="0"/>
        <v>RWAPA</v>
      </c>
      <c r="AL38" s="379" t="str">
        <f t="shared" si="1"/>
        <v/>
      </c>
      <c r="AM38" s="380">
        <v>31.536000000000001</v>
      </c>
      <c r="AN38" s="379">
        <f t="shared" si="2"/>
        <v>2015</v>
      </c>
      <c r="AO38" s="383"/>
      <c r="AP38" s="384"/>
      <c r="AQ38" s="386"/>
      <c r="AR38" s="386"/>
      <c r="AS38" s="386"/>
      <c r="AT38" s="386"/>
      <c r="AU38" s="387">
        <v>1</v>
      </c>
      <c r="AV38" s="387">
        <v>1</v>
      </c>
      <c r="AW38" s="387"/>
      <c r="AX38" s="388"/>
      <c r="AY38" s="384"/>
      <c r="AZ38" s="387">
        <v>1.01</v>
      </c>
      <c r="BA38" s="387">
        <v>1.01</v>
      </c>
      <c r="BB38" s="388"/>
      <c r="BC38" s="389"/>
      <c r="BD38" s="389"/>
      <c r="BE38" s="390"/>
      <c r="BF38" s="379"/>
      <c r="BG38" s="379"/>
      <c r="BH38" s="391"/>
      <c r="BI38" s="379">
        <v>25</v>
      </c>
      <c r="BJ38" s="379"/>
      <c r="BK38" s="388">
        <v>20</v>
      </c>
      <c r="BL38" s="392"/>
      <c r="BM38" s="392"/>
      <c r="BN38" s="392"/>
      <c r="BO38" s="392"/>
      <c r="BP38" s="392"/>
      <c r="BQ38" s="392"/>
      <c r="BR38" s="384">
        <v>447.625</v>
      </c>
      <c r="BS38" s="388">
        <v>0</v>
      </c>
      <c r="BT38" s="380">
        <v>0</v>
      </c>
      <c r="BU38" s="388">
        <v>20</v>
      </c>
      <c r="BV38" s="380">
        <v>2</v>
      </c>
      <c r="BW38" s="380">
        <v>0</v>
      </c>
      <c r="BX38" s="395">
        <v>0</v>
      </c>
    </row>
    <row r="39" spans="1:76" s="226" customFormat="1" x14ac:dyDescent="0.3">
      <c r="A39" s="88"/>
      <c r="B39" s="87"/>
      <c r="C39" s="87"/>
      <c r="D39" s="87"/>
      <c r="E39" s="87"/>
      <c r="F39" s="88"/>
      <c r="G39" s="87"/>
      <c r="H39" s="88"/>
      <c r="I39" s="88"/>
      <c r="J39" s="362" t="s">
        <v>134</v>
      </c>
      <c r="K39" s="363" t="s">
        <v>135</v>
      </c>
      <c r="L39" s="363"/>
      <c r="M39" s="363"/>
      <c r="N39" s="363"/>
      <c r="O39" s="363" t="s">
        <v>136</v>
      </c>
      <c r="P39" s="363">
        <v>2017</v>
      </c>
      <c r="Q39" s="364" t="s">
        <v>162</v>
      </c>
      <c r="R39" s="365" t="s">
        <v>167</v>
      </c>
      <c r="S39" s="363">
        <v>160</v>
      </c>
      <c r="T39" s="363"/>
      <c r="U39" s="363" t="s">
        <v>164</v>
      </c>
      <c r="V39" s="363"/>
      <c r="W39" s="363" t="s">
        <v>149</v>
      </c>
      <c r="X39" s="363">
        <v>2020</v>
      </c>
      <c r="Y39" s="363"/>
      <c r="Z39" s="363" t="str">
        <f>VLOOKUP(R39,KEY_Processes!$B$4:$E$54,4,FALSE)</f>
        <v>B_GAS_04</v>
      </c>
      <c r="AA39" s="363" t="str">
        <f>VLOOKUP(R39,KEY_Processes!$B$4:$E$54,2,FALSE)</f>
        <v>Natural gas boiler</v>
      </c>
      <c r="AB39" s="363" t="str">
        <f>VLOOKUP(U39,KEY_FUELS!$C$4:$D$77,2,FALSE)</f>
        <v>GAS</v>
      </c>
      <c r="AC39" s="363" t="s">
        <v>150</v>
      </c>
      <c r="AD39" s="363" t="s">
        <v>161</v>
      </c>
      <c r="AE39" s="363" t="s">
        <v>152</v>
      </c>
      <c r="AF39" s="366" t="str">
        <f>VLOOKUP(W39,KEY_Other!$B$37:$C$89,2,FALSE)</f>
        <v>DK</v>
      </c>
      <c r="AG39" s="363"/>
      <c r="AH39" s="363" t="str">
        <f>AC39&amp;VLOOKUP(U39,KEY_FUELS!$C$4:$D$78,2,FALSE)</f>
        <v>RSDGAS</v>
      </c>
      <c r="AI39" s="363" t="str">
        <f>IFERROR(AC39&amp;VLOOKUP(V39,KEY_FUELS!$C$4:$D$78,2,FALSE),"")</f>
        <v/>
      </c>
      <c r="AJ39" s="363" t="str">
        <f t="shared" si="3"/>
        <v>RHAPA</v>
      </c>
      <c r="AK39" s="363" t="str">
        <f t="shared" si="0"/>
        <v>RWAPA</v>
      </c>
      <c r="AL39" s="363" t="str">
        <f t="shared" si="1"/>
        <v/>
      </c>
      <c r="AM39" s="364">
        <v>31.536000000000001</v>
      </c>
      <c r="AN39" s="363">
        <f t="shared" si="2"/>
        <v>2020</v>
      </c>
      <c r="AO39" s="367"/>
      <c r="AP39" s="368"/>
      <c r="AQ39" s="370"/>
      <c r="AR39" s="370"/>
      <c r="AS39" s="370"/>
      <c r="AT39" s="370"/>
      <c r="AU39" s="371">
        <v>1</v>
      </c>
      <c r="AV39" s="371">
        <v>1</v>
      </c>
      <c r="AW39" s="371"/>
      <c r="AX39" s="372"/>
      <c r="AY39" s="368"/>
      <c r="AZ39" s="371">
        <v>1.01</v>
      </c>
      <c r="BA39" s="371">
        <v>1.01</v>
      </c>
      <c r="BB39" s="372"/>
      <c r="BC39" s="373"/>
      <c r="BD39" s="373"/>
      <c r="BE39" s="374"/>
      <c r="BF39" s="363"/>
      <c r="BG39" s="363"/>
      <c r="BH39" s="375"/>
      <c r="BI39" s="363">
        <v>25</v>
      </c>
      <c r="BJ39" s="363"/>
      <c r="BK39" s="372">
        <v>20</v>
      </c>
      <c r="BL39" s="376"/>
      <c r="BM39" s="376"/>
      <c r="BN39" s="376"/>
      <c r="BO39" s="376"/>
      <c r="BP39" s="376"/>
      <c r="BQ39" s="376"/>
      <c r="BR39" s="368">
        <v>438</v>
      </c>
      <c r="BS39" s="372">
        <v>0</v>
      </c>
      <c r="BT39" s="364">
        <v>0</v>
      </c>
      <c r="BU39" s="372">
        <v>10</v>
      </c>
      <c r="BV39" s="364">
        <v>1</v>
      </c>
      <c r="BW39" s="364">
        <v>0</v>
      </c>
      <c r="BX39" s="397">
        <v>0</v>
      </c>
    </row>
    <row r="40" spans="1:76" s="226" customFormat="1" x14ac:dyDescent="0.3">
      <c r="A40" s="88"/>
      <c r="B40" s="87"/>
      <c r="C40" s="87"/>
      <c r="D40" s="87"/>
      <c r="E40" s="87"/>
      <c r="F40" s="88"/>
      <c r="G40" s="87"/>
      <c r="H40" s="88"/>
      <c r="I40" s="88"/>
      <c r="J40" s="378" t="s">
        <v>134</v>
      </c>
      <c r="K40" s="379" t="s">
        <v>135</v>
      </c>
      <c r="L40" s="379"/>
      <c r="M40" s="379"/>
      <c r="N40" s="379"/>
      <c r="O40" s="379" t="s">
        <v>136</v>
      </c>
      <c r="P40" s="379">
        <v>2017</v>
      </c>
      <c r="Q40" s="380" t="s">
        <v>162</v>
      </c>
      <c r="R40" s="381" t="s">
        <v>167</v>
      </c>
      <c r="S40" s="379">
        <v>160</v>
      </c>
      <c r="T40" s="379"/>
      <c r="U40" s="379" t="s">
        <v>164</v>
      </c>
      <c r="V40" s="379"/>
      <c r="W40" s="379" t="s">
        <v>149</v>
      </c>
      <c r="X40" s="379">
        <v>2030</v>
      </c>
      <c r="Y40" s="379"/>
      <c r="Z40" s="379" t="str">
        <f>VLOOKUP(R40,KEY_Processes!$B$4:$E$54,4,FALSE)</f>
        <v>B_GAS_04</v>
      </c>
      <c r="AA40" s="379" t="str">
        <f>VLOOKUP(R40,KEY_Processes!$B$4:$E$54,2,FALSE)</f>
        <v>Natural gas boiler</v>
      </c>
      <c r="AB40" s="379" t="str">
        <f>VLOOKUP(U40,KEY_FUELS!$C$4:$D$77,2,FALSE)</f>
        <v>GAS</v>
      </c>
      <c r="AC40" s="379" t="s">
        <v>150</v>
      </c>
      <c r="AD40" s="379" t="s">
        <v>161</v>
      </c>
      <c r="AE40" s="379" t="s">
        <v>152</v>
      </c>
      <c r="AF40" s="382" t="str">
        <f>VLOOKUP(W40,KEY_Other!$B$37:$C$89,2,FALSE)</f>
        <v>DK</v>
      </c>
      <c r="AG40" s="379"/>
      <c r="AH40" s="379" t="str">
        <f>AC40&amp;VLOOKUP(U40,KEY_FUELS!$C$4:$D$78,2,FALSE)</f>
        <v>RSDGAS</v>
      </c>
      <c r="AI40" s="379" t="str">
        <f>IFERROR(AC40&amp;VLOOKUP(V40,KEY_FUELS!$C$4:$D$78,2,FALSE),"")</f>
        <v/>
      </c>
      <c r="AJ40" s="379" t="str">
        <f t="shared" ref="AJ40" si="16">LEFT(AC40,1)&amp;"H"&amp;AD40</f>
        <v>RHAPA</v>
      </c>
      <c r="AK40" s="379" t="str">
        <f t="shared" si="0"/>
        <v>RWAPA</v>
      </c>
      <c r="AL40" s="379" t="str">
        <f t="shared" si="1"/>
        <v/>
      </c>
      <c r="AM40" s="380">
        <v>31.536000000000001</v>
      </c>
      <c r="AN40" s="379">
        <f t="shared" si="2"/>
        <v>2030</v>
      </c>
      <c r="AO40" s="383"/>
      <c r="AP40" s="384"/>
      <c r="AQ40" s="386"/>
      <c r="AR40" s="386"/>
      <c r="AS40" s="386"/>
      <c r="AT40" s="386"/>
      <c r="AU40" s="387">
        <v>1</v>
      </c>
      <c r="AV40" s="387">
        <v>1</v>
      </c>
      <c r="AW40" s="387"/>
      <c r="AX40" s="388"/>
      <c r="AY40" s="384"/>
      <c r="AZ40" s="387">
        <v>1.02</v>
      </c>
      <c r="BA40" s="387">
        <v>1.02</v>
      </c>
      <c r="BB40" s="388"/>
      <c r="BC40" s="389"/>
      <c r="BD40" s="389"/>
      <c r="BE40" s="390"/>
      <c r="BF40" s="379"/>
      <c r="BG40" s="379"/>
      <c r="BH40" s="391"/>
      <c r="BI40" s="379">
        <v>25</v>
      </c>
      <c r="BJ40" s="379"/>
      <c r="BK40" s="388">
        <v>19</v>
      </c>
      <c r="BL40" s="392"/>
      <c r="BM40" s="392"/>
      <c r="BN40" s="392"/>
      <c r="BO40" s="392"/>
      <c r="BP40" s="392"/>
      <c r="BQ40" s="392"/>
      <c r="BR40" s="384">
        <v>424</v>
      </c>
      <c r="BS40" s="388">
        <v>0</v>
      </c>
      <c r="BT40" s="380">
        <v>0</v>
      </c>
      <c r="BU40" s="388">
        <v>5</v>
      </c>
      <c r="BV40" s="380">
        <v>0.5</v>
      </c>
      <c r="BW40" s="380">
        <v>0</v>
      </c>
      <c r="BX40" s="395">
        <v>0</v>
      </c>
    </row>
    <row r="41" spans="1:76" s="226" customFormat="1" x14ac:dyDescent="0.3">
      <c r="A41" s="88"/>
      <c r="B41" s="87"/>
      <c r="C41" s="87"/>
      <c r="D41" s="87"/>
      <c r="E41" s="87"/>
      <c r="F41" s="88"/>
      <c r="G41" s="87"/>
      <c r="H41" s="88"/>
      <c r="I41" s="88"/>
      <c r="J41" s="362" t="s">
        <v>134</v>
      </c>
      <c r="K41" s="363" t="s">
        <v>135</v>
      </c>
      <c r="L41" s="363"/>
      <c r="M41" s="363"/>
      <c r="N41" s="363"/>
      <c r="O41" s="363" t="s">
        <v>136</v>
      </c>
      <c r="P41" s="363">
        <v>2017</v>
      </c>
      <c r="Q41" s="364" t="s">
        <v>162</v>
      </c>
      <c r="R41" s="365" t="s">
        <v>167</v>
      </c>
      <c r="S41" s="363">
        <v>160</v>
      </c>
      <c r="T41" s="363"/>
      <c r="U41" s="363" t="s">
        <v>164</v>
      </c>
      <c r="V41" s="363"/>
      <c r="W41" s="363" t="s">
        <v>149</v>
      </c>
      <c r="X41" s="363">
        <v>2050</v>
      </c>
      <c r="Y41" s="363"/>
      <c r="Z41" s="363" t="str">
        <f>VLOOKUP(R41,KEY_Processes!$B$4:$E$54,4,FALSE)</f>
        <v>B_GAS_04</v>
      </c>
      <c r="AA41" s="363" t="str">
        <f>VLOOKUP(R41,KEY_Processes!$B$4:$E$54,2,FALSE)</f>
        <v>Natural gas boiler</v>
      </c>
      <c r="AB41" s="363" t="str">
        <f>VLOOKUP(U41,KEY_FUELS!$C$4:$D$77,2,FALSE)</f>
        <v>GAS</v>
      </c>
      <c r="AC41" s="363" t="s">
        <v>150</v>
      </c>
      <c r="AD41" s="363" t="s">
        <v>161</v>
      </c>
      <c r="AE41" s="363" t="s">
        <v>152</v>
      </c>
      <c r="AF41" s="366" t="str">
        <f>VLOOKUP(W41,KEY_Other!$B$37:$C$89,2,FALSE)</f>
        <v>DK</v>
      </c>
      <c r="AG41" s="363"/>
      <c r="AH41" s="363" t="str">
        <f>AC41&amp;VLOOKUP(U41,KEY_FUELS!$C$4:$D$78,2,FALSE)</f>
        <v>RSDGAS</v>
      </c>
      <c r="AI41" s="363" t="str">
        <f>IFERROR(AC41&amp;VLOOKUP(V41,KEY_FUELS!$C$4:$D$78,2,FALSE),"")</f>
        <v/>
      </c>
      <c r="AJ41" s="363" t="str">
        <f t="shared" si="3"/>
        <v>RHAPA</v>
      </c>
      <c r="AK41" s="363" t="str">
        <f t="shared" si="0"/>
        <v>RWAPA</v>
      </c>
      <c r="AL41" s="363" t="str">
        <f t="shared" si="1"/>
        <v/>
      </c>
      <c r="AM41" s="364">
        <v>31.536000000000001</v>
      </c>
      <c r="AN41" s="363">
        <f t="shared" si="2"/>
        <v>2050</v>
      </c>
      <c r="AO41" s="367"/>
      <c r="AP41" s="368"/>
      <c r="AQ41" s="370"/>
      <c r="AR41" s="370"/>
      <c r="AS41" s="370"/>
      <c r="AT41" s="370"/>
      <c r="AU41" s="371">
        <v>1</v>
      </c>
      <c r="AV41" s="371">
        <v>1</v>
      </c>
      <c r="AW41" s="371"/>
      <c r="AX41" s="372"/>
      <c r="AY41" s="368"/>
      <c r="AZ41" s="371">
        <v>1.02</v>
      </c>
      <c r="BA41" s="371">
        <v>1.02</v>
      </c>
      <c r="BB41" s="372"/>
      <c r="BC41" s="373"/>
      <c r="BD41" s="373"/>
      <c r="BE41" s="374"/>
      <c r="BF41" s="363"/>
      <c r="BG41" s="363"/>
      <c r="BH41" s="375"/>
      <c r="BI41" s="363">
        <v>25</v>
      </c>
      <c r="BJ41" s="363"/>
      <c r="BK41" s="372">
        <v>17</v>
      </c>
      <c r="BL41" s="376"/>
      <c r="BM41" s="376"/>
      <c r="BN41" s="376"/>
      <c r="BO41" s="376"/>
      <c r="BP41" s="376"/>
      <c r="BQ41" s="376"/>
      <c r="BR41" s="368">
        <v>403</v>
      </c>
      <c r="BS41" s="372">
        <v>0</v>
      </c>
      <c r="BT41" s="364">
        <v>0</v>
      </c>
      <c r="BU41" s="372">
        <v>3</v>
      </c>
      <c r="BV41" s="364">
        <v>0.25</v>
      </c>
      <c r="BW41" s="364">
        <v>0</v>
      </c>
      <c r="BX41" s="397">
        <v>0</v>
      </c>
    </row>
    <row r="42" spans="1:76" s="226" customFormat="1" x14ac:dyDescent="0.3">
      <c r="A42" s="88"/>
      <c r="B42" s="87"/>
      <c r="C42" s="87"/>
      <c r="D42" s="87"/>
      <c r="E42" s="87"/>
      <c r="F42" s="88"/>
      <c r="G42" s="87"/>
      <c r="H42" s="88"/>
      <c r="I42" s="88"/>
      <c r="J42" s="378" t="s">
        <v>134</v>
      </c>
      <c r="K42" s="379" t="s">
        <v>135</v>
      </c>
      <c r="L42" s="379"/>
      <c r="M42" s="379"/>
      <c r="N42" s="379"/>
      <c r="O42" s="379" t="s">
        <v>136</v>
      </c>
      <c r="P42" s="379">
        <v>2017</v>
      </c>
      <c r="Q42" s="380" t="s">
        <v>168</v>
      </c>
      <c r="R42" s="381" t="s">
        <v>169</v>
      </c>
      <c r="S42" s="379">
        <v>10</v>
      </c>
      <c r="T42" s="379"/>
      <c r="U42" s="379" t="s">
        <v>170</v>
      </c>
      <c r="V42" s="379"/>
      <c r="W42" s="379" t="s">
        <v>149</v>
      </c>
      <c r="X42" s="379">
        <v>2015</v>
      </c>
      <c r="Y42" s="379"/>
      <c r="Z42" s="379" t="str">
        <f>VLOOKUP(R42,KEY_Processes!$B$4:$E$54,4,FALSE)</f>
        <v>HTH_01</v>
      </c>
      <c r="AA42" s="379" t="str">
        <f>VLOOKUP(R42,KEY_Processes!$B$4:$E$54,2,FALSE)</f>
        <v>District heating Indirect substation</v>
      </c>
      <c r="AB42" s="379" t="str">
        <f>VLOOKUP(U42,KEY_FUELS!$C$4:$D$77,2,FALSE)</f>
        <v>HTH</v>
      </c>
      <c r="AC42" s="379" t="s">
        <v>150</v>
      </c>
      <c r="AD42" s="379" t="s">
        <v>151</v>
      </c>
      <c r="AE42" s="379" t="s">
        <v>152</v>
      </c>
      <c r="AF42" s="382" t="str">
        <f>VLOOKUP(W42,KEY_Other!$B$37:$C$89,2,FALSE)</f>
        <v>DK</v>
      </c>
      <c r="AG42" s="379"/>
      <c r="AH42" s="379" t="str">
        <f>AC42&amp;VLOOKUP(U42,KEY_FUELS!$C$4:$D$78,2,FALSE)</f>
        <v>RSDHTH</v>
      </c>
      <c r="AI42" s="379" t="str">
        <f>IFERROR(AC42&amp;VLOOKUP(V42,KEY_FUELS!$C$4:$D$78,2,FALSE),"")</f>
        <v/>
      </c>
      <c r="AJ42" s="379" t="str">
        <f t="shared" si="3"/>
        <v>RHHSB</v>
      </c>
      <c r="AK42" s="379" t="str">
        <f t="shared" si="0"/>
        <v>RWHSB</v>
      </c>
      <c r="AL42" s="379" t="str">
        <f t="shared" si="1"/>
        <v/>
      </c>
      <c r="AM42" s="380">
        <v>31.536000000000001</v>
      </c>
      <c r="AN42" s="379">
        <f t="shared" si="2"/>
        <v>2015</v>
      </c>
      <c r="AO42" s="383"/>
      <c r="AP42" s="384"/>
      <c r="AQ42" s="386"/>
      <c r="AR42" s="386"/>
      <c r="AS42" s="386"/>
      <c r="AT42" s="386"/>
      <c r="AU42" s="387">
        <v>1</v>
      </c>
      <c r="AV42" s="387">
        <v>1</v>
      </c>
      <c r="AW42" s="387"/>
      <c r="AX42" s="388"/>
      <c r="AY42" s="384"/>
      <c r="AZ42" s="387">
        <v>0.97</v>
      </c>
      <c r="BA42" s="387">
        <v>0.97</v>
      </c>
      <c r="BB42" s="388"/>
      <c r="BC42" s="389"/>
      <c r="BD42" s="389"/>
      <c r="BE42" s="390"/>
      <c r="BF42" s="379"/>
      <c r="BG42" s="379"/>
      <c r="BH42" s="391"/>
      <c r="BI42" s="379">
        <v>25</v>
      </c>
      <c r="BJ42" s="379"/>
      <c r="BK42" s="388">
        <v>5.2</v>
      </c>
      <c r="BL42" s="388"/>
      <c r="BM42" s="388"/>
      <c r="BN42" s="388"/>
      <c r="BO42" s="388"/>
      <c r="BP42" s="388"/>
      <c r="BQ42" s="388"/>
      <c r="BR42" s="384">
        <v>57.56</v>
      </c>
      <c r="BS42" s="388">
        <v>0</v>
      </c>
      <c r="BT42" s="380"/>
      <c r="BU42" s="388"/>
      <c r="BV42" s="380"/>
      <c r="BW42" s="380"/>
      <c r="BX42" s="395"/>
    </row>
    <row r="43" spans="1:76" s="226" customFormat="1" x14ac:dyDescent="0.3">
      <c r="A43" s="88"/>
      <c r="B43" s="87"/>
      <c r="C43" s="87"/>
      <c r="D43" s="87"/>
      <c r="E43" s="87"/>
      <c r="F43" s="88"/>
      <c r="G43" s="87"/>
      <c r="H43" s="88"/>
      <c r="I43" s="88"/>
      <c r="J43" s="362" t="s">
        <v>134</v>
      </c>
      <c r="K43" s="363" t="s">
        <v>135</v>
      </c>
      <c r="L43" s="363"/>
      <c r="M43" s="363"/>
      <c r="N43" s="363"/>
      <c r="O43" s="363" t="s">
        <v>136</v>
      </c>
      <c r="P43" s="363">
        <v>2017</v>
      </c>
      <c r="Q43" s="364" t="s">
        <v>168</v>
      </c>
      <c r="R43" s="365" t="s">
        <v>169</v>
      </c>
      <c r="S43" s="363">
        <v>10</v>
      </c>
      <c r="T43" s="363"/>
      <c r="U43" s="363" t="s">
        <v>170</v>
      </c>
      <c r="V43" s="363"/>
      <c r="W43" s="363" t="s">
        <v>149</v>
      </c>
      <c r="X43" s="363">
        <v>2020</v>
      </c>
      <c r="Y43" s="363"/>
      <c r="Z43" s="363" t="str">
        <f>VLOOKUP(R43,KEY_Processes!$B$4:$E$54,4,FALSE)</f>
        <v>HTH_01</v>
      </c>
      <c r="AA43" s="363" t="str">
        <f>VLOOKUP(R43,KEY_Processes!$B$4:$E$54,2,FALSE)</f>
        <v>District heating Indirect substation</v>
      </c>
      <c r="AB43" s="363" t="str">
        <f>VLOOKUP(U43,KEY_FUELS!$C$4:$D$77,2,FALSE)</f>
        <v>HTH</v>
      </c>
      <c r="AC43" s="363" t="s">
        <v>150</v>
      </c>
      <c r="AD43" s="363" t="s">
        <v>151</v>
      </c>
      <c r="AE43" s="363" t="s">
        <v>152</v>
      </c>
      <c r="AF43" s="366" t="str">
        <f>VLOOKUP(W43,KEY_Other!$B$37:$C$89,2,FALSE)</f>
        <v>DK</v>
      </c>
      <c r="AG43" s="363"/>
      <c r="AH43" s="363" t="str">
        <f>AC43&amp;VLOOKUP(U43,KEY_FUELS!$C$4:$D$78,2,FALSE)</f>
        <v>RSDHTH</v>
      </c>
      <c r="AI43" s="363" t="str">
        <f>IFERROR(AC43&amp;VLOOKUP(V43,KEY_FUELS!$C$4:$D$78,2,FALSE),"")</f>
        <v/>
      </c>
      <c r="AJ43" s="363" t="str">
        <f t="shared" ref="AJ43" si="17">LEFT(AC43,1)&amp;"H"&amp;AD43</f>
        <v>RHHSB</v>
      </c>
      <c r="AK43" s="363" t="str">
        <f t="shared" si="0"/>
        <v>RWHSB</v>
      </c>
      <c r="AL43" s="363" t="str">
        <f t="shared" si="1"/>
        <v/>
      </c>
      <c r="AM43" s="364">
        <v>31.536000000000001</v>
      </c>
      <c r="AN43" s="363">
        <f t="shared" si="2"/>
        <v>2020</v>
      </c>
      <c r="AO43" s="367"/>
      <c r="AP43" s="368"/>
      <c r="AQ43" s="370"/>
      <c r="AR43" s="370"/>
      <c r="AS43" s="370"/>
      <c r="AT43" s="370"/>
      <c r="AU43" s="371">
        <v>1</v>
      </c>
      <c r="AV43" s="371">
        <v>1</v>
      </c>
      <c r="AW43" s="371"/>
      <c r="AX43" s="372"/>
      <c r="AY43" s="368"/>
      <c r="AZ43" s="371">
        <v>0.98</v>
      </c>
      <c r="BA43" s="371">
        <v>0.98</v>
      </c>
      <c r="BB43" s="372"/>
      <c r="BC43" s="373"/>
      <c r="BD43" s="373"/>
      <c r="BE43" s="374"/>
      <c r="BF43" s="363"/>
      <c r="BG43" s="363"/>
      <c r="BH43" s="375"/>
      <c r="BI43" s="363">
        <v>25</v>
      </c>
      <c r="BJ43" s="363"/>
      <c r="BK43" s="372">
        <v>5.2</v>
      </c>
      <c r="BL43" s="372"/>
      <c r="BM43" s="372"/>
      <c r="BN43" s="372"/>
      <c r="BO43" s="372"/>
      <c r="BP43" s="372"/>
      <c r="BQ43" s="372"/>
      <c r="BR43" s="368">
        <v>56</v>
      </c>
      <c r="BS43" s="372">
        <v>0</v>
      </c>
      <c r="BT43" s="364"/>
      <c r="BU43" s="372"/>
      <c r="BV43" s="364"/>
      <c r="BW43" s="364"/>
      <c r="BX43" s="397"/>
    </row>
    <row r="44" spans="1:76" s="226" customFormat="1" x14ac:dyDescent="0.3">
      <c r="A44" s="88"/>
      <c r="B44" s="87"/>
      <c r="C44" s="87"/>
      <c r="D44" s="87"/>
      <c r="E44" s="87"/>
      <c r="F44" s="88"/>
      <c r="G44" s="87"/>
      <c r="H44" s="88"/>
      <c r="I44" s="88"/>
      <c r="J44" s="378" t="s">
        <v>134</v>
      </c>
      <c r="K44" s="379" t="s">
        <v>135</v>
      </c>
      <c r="L44" s="379"/>
      <c r="M44" s="379"/>
      <c r="N44" s="379"/>
      <c r="O44" s="379" t="s">
        <v>136</v>
      </c>
      <c r="P44" s="379">
        <v>2017</v>
      </c>
      <c r="Q44" s="380" t="s">
        <v>168</v>
      </c>
      <c r="R44" s="381" t="s">
        <v>169</v>
      </c>
      <c r="S44" s="379">
        <v>10</v>
      </c>
      <c r="T44" s="379"/>
      <c r="U44" s="379" t="s">
        <v>170</v>
      </c>
      <c r="V44" s="379"/>
      <c r="W44" s="379" t="s">
        <v>149</v>
      </c>
      <c r="X44" s="379">
        <v>2030</v>
      </c>
      <c r="Y44" s="379"/>
      <c r="Z44" s="379" t="str">
        <f>VLOOKUP(R44,KEY_Processes!$B$4:$E$54,4,FALSE)</f>
        <v>HTH_01</v>
      </c>
      <c r="AA44" s="379" t="str">
        <f>VLOOKUP(R44,KEY_Processes!$B$4:$E$54,2,FALSE)</f>
        <v>District heating Indirect substation</v>
      </c>
      <c r="AB44" s="379" t="str">
        <f>VLOOKUP(U44,KEY_FUELS!$C$4:$D$77,2,FALSE)</f>
        <v>HTH</v>
      </c>
      <c r="AC44" s="379" t="s">
        <v>150</v>
      </c>
      <c r="AD44" s="379" t="s">
        <v>151</v>
      </c>
      <c r="AE44" s="379" t="s">
        <v>152</v>
      </c>
      <c r="AF44" s="382" t="str">
        <f>VLOOKUP(W44,KEY_Other!$B$37:$C$89,2,FALSE)</f>
        <v>DK</v>
      </c>
      <c r="AG44" s="379"/>
      <c r="AH44" s="379" t="str">
        <f>AC44&amp;VLOOKUP(U44,KEY_FUELS!$C$4:$D$78,2,FALSE)</f>
        <v>RSDHTH</v>
      </c>
      <c r="AI44" s="379" t="str">
        <f>IFERROR(AC44&amp;VLOOKUP(V44,KEY_FUELS!$C$4:$D$78,2,FALSE),"")</f>
        <v/>
      </c>
      <c r="AJ44" s="379" t="str">
        <f t="shared" si="3"/>
        <v>RHHSB</v>
      </c>
      <c r="AK44" s="379" t="str">
        <f t="shared" si="0"/>
        <v>RWHSB</v>
      </c>
      <c r="AL44" s="379" t="str">
        <f t="shared" si="1"/>
        <v/>
      </c>
      <c r="AM44" s="380">
        <v>31.536000000000001</v>
      </c>
      <c r="AN44" s="379">
        <f t="shared" si="2"/>
        <v>2030</v>
      </c>
      <c r="AO44" s="383"/>
      <c r="AP44" s="384"/>
      <c r="AQ44" s="386"/>
      <c r="AR44" s="386"/>
      <c r="AS44" s="386"/>
      <c r="AT44" s="386"/>
      <c r="AU44" s="387">
        <v>1</v>
      </c>
      <c r="AV44" s="387">
        <v>1</v>
      </c>
      <c r="AW44" s="387"/>
      <c r="AX44" s="388"/>
      <c r="AY44" s="384"/>
      <c r="AZ44" s="387">
        <v>0.98</v>
      </c>
      <c r="BA44" s="387">
        <v>0.98</v>
      </c>
      <c r="BB44" s="388"/>
      <c r="BC44" s="389"/>
      <c r="BD44" s="389"/>
      <c r="BE44" s="390"/>
      <c r="BF44" s="379"/>
      <c r="BG44" s="379"/>
      <c r="BH44" s="391"/>
      <c r="BI44" s="379">
        <v>25</v>
      </c>
      <c r="BJ44" s="379"/>
      <c r="BK44" s="388">
        <v>5.2</v>
      </c>
      <c r="BL44" s="388"/>
      <c r="BM44" s="388"/>
      <c r="BN44" s="388"/>
      <c r="BO44" s="388"/>
      <c r="BP44" s="388"/>
      <c r="BQ44" s="388"/>
      <c r="BR44" s="384">
        <v>56</v>
      </c>
      <c r="BS44" s="388">
        <v>0</v>
      </c>
      <c r="BT44" s="380"/>
      <c r="BU44" s="388"/>
      <c r="BV44" s="380"/>
      <c r="BW44" s="380"/>
      <c r="BX44" s="395"/>
    </row>
    <row r="45" spans="1:76" s="226" customFormat="1" x14ac:dyDescent="0.3">
      <c r="A45" s="88"/>
      <c r="B45" s="87"/>
      <c r="C45" s="87"/>
      <c r="D45" s="87"/>
      <c r="E45" s="87"/>
      <c r="F45" s="88"/>
      <c r="G45" s="87"/>
      <c r="H45" s="88"/>
      <c r="I45" s="88"/>
      <c r="J45" s="362" t="s">
        <v>134</v>
      </c>
      <c r="K45" s="363" t="s">
        <v>135</v>
      </c>
      <c r="L45" s="363"/>
      <c r="M45" s="363"/>
      <c r="N45" s="363"/>
      <c r="O45" s="363" t="s">
        <v>136</v>
      </c>
      <c r="P45" s="363">
        <v>2017</v>
      </c>
      <c r="Q45" s="364" t="s">
        <v>168</v>
      </c>
      <c r="R45" s="365" t="s">
        <v>169</v>
      </c>
      <c r="S45" s="363">
        <v>10</v>
      </c>
      <c r="T45" s="363"/>
      <c r="U45" s="363" t="s">
        <v>170</v>
      </c>
      <c r="V45" s="363"/>
      <c r="W45" s="363" t="s">
        <v>149</v>
      </c>
      <c r="X45" s="363">
        <v>2050</v>
      </c>
      <c r="Y45" s="363"/>
      <c r="Z45" s="363" t="str">
        <f>VLOOKUP(R45,KEY_Processes!$B$4:$E$54,4,FALSE)</f>
        <v>HTH_01</v>
      </c>
      <c r="AA45" s="363" t="str">
        <f>VLOOKUP(R45,KEY_Processes!$B$4:$E$54,2,FALSE)</f>
        <v>District heating Indirect substation</v>
      </c>
      <c r="AB45" s="363" t="str">
        <f>VLOOKUP(U45,KEY_FUELS!$C$4:$D$77,2,FALSE)</f>
        <v>HTH</v>
      </c>
      <c r="AC45" s="363" t="s">
        <v>150</v>
      </c>
      <c r="AD45" s="363" t="s">
        <v>151</v>
      </c>
      <c r="AE45" s="363" t="s">
        <v>152</v>
      </c>
      <c r="AF45" s="366" t="str">
        <f>VLOOKUP(W45,KEY_Other!$B$37:$C$89,2,FALSE)</f>
        <v>DK</v>
      </c>
      <c r="AG45" s="363"/>
      <c r="AH45" s="363" t="str">
        <f>AC45&amp;VLOOKUP(U45,KEY_FUELS!$C$4:$D$78,2,FALSE)</f>
        <v>RSDHTH</v>
      </c>
      <c r="AI45" s="363" t="str">
        <f>IFERROR(AC45&amp;VLOOKUP(V45,KEY_FUELS!$C$4:$D$78,2,FALSE),"")</f>
        <v/>
      </c>
      <c r="AJ45" s="363" t="str">
        <f t="shared" ref="AJ45" si="18">LEFT(AC45,1)&amp;"H"&amp;AD45</f>
        <v>RHHSB</v>
      </c>
      <c r="AK45" s="363" t="str">
        <f t="shared" si="0"/>
        <v>RWHSB</v>
      </c>
      <c r="AL45" s="363" t="str">
        <f t="shared" si="1"/>
        <v/>
      </c>
      <c r="AM45" s="364">
        <v>31.536000000000001</v>
      </c>
      <c r="AN45" s="363">
        <f t="shared" si="2"/>
        <v>2050</v>
      </c>
      <c r="AO45" s="367"/>
      <c r="AP45" s="368"/>
      <c r="AQ45" s="370"/>
      <c r="AR45" s="370"/>
      <c r="AS45" s="370"/>
      <c r="AT45" s="370"/>
      <c r="AU45" s="371">
        <v>1</v>
      </c>
      <c r="AV45" s="371">
        <v>1</v>
      </c>
      <c r="AW45" s="371"/>
      <c r="AX45" s="372"/>
      <c r="AY45" s="368"/>
      <c r="AZ45" s="371">
        <v>0.98</v>
      </c>
      <c r="BA45" s="371">
        <v>0.98</v>
      </c>
      <c r="BB45" s="372"/>
      <c r="BC45" s="373"/>
      <c r="BD45" s="373"/>
      <c r="BE45" s="374"/>
      <c r="BF45" s="363"/>
      <c r="BG45" s="363"/>
      <c r="BH45" s="375"/>
      <c r="BI45" s="363">
        <v>25</v>
      </c>
      <c r="BJ45" s="363"/>
      <c r="BK45" s="372">
        <v>4</v>
      </c>
      <c r="BL45" s="372"/>
      <c r="BM45" s="372"/>
      <c r="BN45" s="372"/>
      <c r="BO45" s="372"/>
      <c r="BP45" s="372"/>
      <c r="BQ45" s="372"/>
      <c r="BR45" s="368">
        <v>51</v>
      </c>
      <c r="BS45" s="372">
        <v>0</v>
      </c>
      <c r="BT45" s="364"/>
      <c r="BU45" s="372"/>
      <c r="BV45" s="364"/>
      <c r="BW45" s="364"/>
      <c r="BX45" s="397"/>
    </row>
    <row r="46" spans="1:76" s="226" customFormat="1" x14ac:dyDescent="0.3">
      <c r="A46" s="88"/>
      <c r="B46" s="87"/>
      <c r="C46" s="87"/>
      <c r="D46" s="87"/>
      <c r="E46" s="87"/>
      <c r="F46" s="88"/>
      <c r="G46" s="87"/>
      <c r="H46" s="88"/>
      <c r="I46" s="88"/>
      <c r="J46" s="378" t="s">
        <v>134</v>
      </c>
      <c r="K46" s="379" t="s">
        <v>135</v>
      </c>
      <c r="L46" s="379"/>
      <c r="M46" s="379"/>
      <c r="N46" s="379"/>
      <c r="O46" s="379" t="s">
        <v>136</v>
      </c>
      <c r="P46" s="379">
        <v>2017</v>
      </c>
      <c r="Q46" s="380" t="s">
        <v>168</v>
      </c>
      <c r="R46" s="381" t="s">
        <v>171</v>
      </c>
      <c r="S46" s="379">
        <v>10</v>
      </c>
      <c r="T46" s="379"/>
      <c r="U46" s="379" t="s">
        <v>170</v>
      </c>
      <c r="V46" s="379"/>
      <c r="W46" s="379" t="s">
        <v>149</v>
      </c>
      <c r="X46" s="379">
        <v>2015</v>
      </c>
      <c r="Y46" s="379"/>
      <c r="Z46" s="379" t="str">
        <f>VLOOKUP(R46,KEY_Processes!$B$4:$E$54,4,FALSE)</f>
        <v>HTH_02</v>
      </c>
      <c r="AA46" s="379" t="str">
        <f>VLOOKUP(R46,KEY_Processes!$B$4:$E$54,2,FALSE)</f>
        <v>District heating Indirect substation</v>
      </c>
      <c r="AB46" s="379" t="str">
        <f>VLOOKUP(U46,KEY_FUELS!$C$4:$D$77,2,FALSE)</f>
        <v>HTH</v>
      </c>
      <c r="AC46" s="379" t="s">
        <v>150</v>
      </c>
      <c r="AD46" s="379" t="s">
        <v>155</v>
      </c>
      <c r="AE46" s="379" t="s">
        <v>152</v>
      </c>
      <c r="AF46" s="382" t="str">
        <f>VLOOKUP(W46,KEY_Other!$B$37:$C$89,2,FALSE)</f>
        <v>DK</v>
      </c>
      <c r="AG46" s="379"/>
      <c r="AH46" s="379" t="str">
        <f>AC46&amp;VLOOKUP(U46,KEY_FUELS!$C$4:$D$78,2,FALSE)</f>
        <v>RSDHTH</v>
      </c>
      <c r="AI46" s="379" t="str">
        <f>IFERROR(AC46&amp;VLOOKUP(V46,KEY_FUELS!$C$4:$D$78,2,FALSE),"")</f>
        <v/>
      </c>
      <c r="AJ46" s="379" t="str">
        <f t="shared" si="3"/>
        <v>RHHSA</v>
      </c>
      <c r="AK46" s="379" t="str">
        <f t="shared" si="0"/>
        <v>RWHSA</v>
      </c>
      <c r="AL46" s="379" t="str">
        <f t="shared" si="1"/>
        <v/>
      </c>
      <c r="AM46" s="380">
        <v>31.536000000000001</v>
      </c>
      <c r="AN46" s="379">
        <f t="shared" si="2"/>
        <v>2015</v>
      </c>
      <c r="AO46" s="383"/>
      <c r="AP46" s="384"/>
      <c r="AQ46" s="386"/>
      <c r="AR46" s="386"/>
      <c r="AS46" s="386"/>
      <c r="AT46" s="386"/>
      <c r="AU46" s="387">
        <v>1</v>
      </c>
      <c r="AV46" s="387">
        <v>1</v>
      </c>
      <c r="AW46" s="387"/>
      <c r="AX46" s="388"/>
      <c r="AY46" s="384"/>
      <c r="AZ46" s="387">
        <v>0.96</v>
      </c>
      <c r="BA46" s="387">
        <v>0.96</v>
      </c>
      <c r="BB46" s="388"/>
      <c r="BC46" s="389"/>
      <c r="BD46" s="389"/>
      <c r="BE46" s="390"/>
      <c r="BF46" s="379"/>
      <c r="BG46" s="379"/>
      <c r="BH46" s="391"/>
      <c r="BI46" s="379">
        <v>25</v>
      </c>
      <c r="BJ46" s="379"/>
      <c r="BK46" s="388">
        <v>4.0459949428152759</v>
      </c>
      <c r="BL46" s="388"/>
      <c r="BM46" s="388"/>
      <c r="BN46" s="388"/>
      <c r="BO46" s="388"/>
      <c r="BP46" s="388"/>
      <c r="BQ46" s="388"/>
      <c r="BR46" s="384">
        <v>53.78</v>
      </c>
      <c r="BS46" s="388">
        <v>0</v>
      </c>
      <c r="BT46" s="380"/>
      <c r="BU46" s="388"/>
      <c r="BV46" s="380"/>
      <c r="BW46" s="380"/>
      <c r="BX46" s="395"/>
    </row>
    <row r="47" spans="1:76" s="226" customFormat="1" x14ac:dyDescent="0.3">
      <c r="A47" s="88"/>
      <c r="B47" s="87"/>
      <c r="C47" s="87"/>
      <c r="D47" s="87"/>
      <c r="E47" s="87"/>
      <c r="F47" s="88"/>
      <c r="G47" s="87"/>
      <c r="H47" s="88"/>
      <c r="I47" s="88"/>
      <c r="J47" s="362" t="s">
        <v>134</v>
      </c>
      <c r="K47" s="363" t="s">
        <v>135</v>
      </c>
      <c r="L47" s="363"/>
      <c r="M47" s="363"/>
      <c r="N47" s="363"/>
      <c r="O47" s="363" t="s">
        <v>136</v>
      </c>
      <c r="P47" s="363">
        <v>2017</v>
      </c>
      <c r="Q47" s="364" t="s">
        <v>168</v>
      </c>
      <c r="R47" s="365" t="s">
        <v>171</v>
      </c>
      <c r="S47" s="363">
        <v>10</v>
      </c>
      <c r="T47" s="363"/>
      <c r="U47" s="363" t="s">
        <v>170</v>
      </c>
      <c r="V47" s="363"/>
      <c r="W47" s="363" t="s">
        <v>149</v>
      </c>
      <c r="X47" s="363">
        <v>2020</v>
      </c>
      <c r="Y47" s="363"/>
      <c r="Z47" s="363" t="str">
        <f>VLOOKUP(R47,KEY_Processes!$B$4:$E$54,4,FALSE)</f>
        <v>HTH_02</v>
      </c>
      <c r="AA47" s="363" t="str">
        <f>VLOOKUP(R47,KEY_Processes!$B$4:$E$54,2,FALSE)</f>
        <v>District heating Indirect substation</v>
      </c>
      <c r="AB47" s="363" t="str">
        <f>VLOOKUP(U47,KEY_FUELS!$C$4:$D$77,2,FALSE)</f>
        <v>HTH</v>
      </c>
      <c r="AC47" s="363" t="s">
        <v>150</v>
      </c>
      <c r="AD47" s="363" t="s">
        <v>155</v>
      </c>
      <c r="AE47" s="363" t="s">
        <v>152</v>
      </c>
      <c r="AF47" s="366" t="str">
        <f>VLOOKUP(W47,KEY_Other!$B$37:$C$89,2,FALSE)</f>
        <v>DK</v>
      </c>
      <c r="AG47" s="363"/>
      <c r="AH47" s="363" t="str">
        <f>AC47&amp;VLOOKUP(U47,KEY_FUELS!$C$4:$D$78,2,FALSE)</f>
        <v>RSDHTH</v>
      </c>
      <c r="AI47" s="363" t="str">
        <f>IFERROR(AC47&amp;VLOOKUP(V47,KEY_FUELS!$C$4:$D$78,2,FALSE),"")</f>
        <v/>
      </c>
      <c r="AJ47" s="363" t="str">
        <f t="shared" si="3"/>
        <v>RHHSA</v>
      </c>
      <c r="AK47" s="363" t="str">
        <f t="shared" si="0"/>
        <v>RWHSA</v>
      </c>
      <c r="AL47" s="363" t="str">
        <f t="shared" si="1"/>
        <v/>
      </c>
      <c r="AM47" s="364">
        <v>31.536000000000001</v>
      </c>
      <c r="AN47" s="363">
        <f t="shared" si="2"/>
        <v>2020</v>
      </c>
      <c r="AO47" s="367"/>
      <c r="AP47" s="368"/>
      <c r="AQ47" s="370"/>
      <c r="AR47" s="370"/>
      <c r="AS47" s="370"/>
      <c r="AT47" s="370"/>
      <c r="AU47" s="371">
        <v>1</v>
      </c>
      <c r="AV47" s="371">
        <v>1</v>
      </c>
      <c r="AW47" s="371"/>
      <c r="AX47" s="372"/>
      <c r="AY47" s="368"/>
      <c r="AZ47" s="371">
        <v>0.96</v>
      </c>
      <c r="BA47" s="371">
        <v>0.96</v>
      </c>
      <c r="BB47" s="372"/>
      <c r="BC47" s="373"/>
      <c r="BD47" s="373"/>
      <c r="BE47" s="374"/>
      <c r="BF47" s="363"/>
      <c r="BG47" s="363"/>
      <c r="BH47" s="375"/>
      <c r="BI47" s="363">
        <v>25</v>
      </c>
      <c r="BJ47" s="363"/>
      <c r="BK47" s="372">
        <v>5</v>
      </c>
      <c r="BL47" s="372"/>
      <c r="BM47" s="372"/>
      <c r="BN47" s="372"/>
      <c r="BO47" s="372"/>
      <c r="BP47" s="372"/>
      <c r="BQ47" s="372"/>
      <c r="BR47" s="368">
        <v>53</v>
      </c>
      <c r="BS47" s="372">
        <v>0</v>
      </c>
      <c r="BT47" s="364"/>
      <c r="BU47" s="372"/>
      <c r="BV47" s="364"/>
      <c r="BW47" s="364"/>
      <c r="BX47" s="397"/>
    </row>
    <row r="48" spans="1:76" s="226" customFormat="1" x14ac:dyDescent="0.3">
      <c r="A48" s="88"/>
      <c r="B48" s="87"/>
      <c r="C48" s="87"/>
      <c r="D48" s="87"/>
      <c r="E48" s="87"/>
      <c r="F48" s="88"/>
      <c r="G48" s="87"/>
      <c r="H48" s="88"/>
      <c r="I48" s="88"/>
      <c r="J48" s="378" t="s">
        <v>134</v>
      </c>
      <c r="K48" s="379" t="s">
        <v>135</v>
      </c>
      <c r="L48" s="379"/>
      <c r="M48" s="379"/>
      <c r="N48" s="379"/>
      <c r="O48" s="379" t="s">
        <v>136</v>
      </c>
      <c r="P48" s="379">
        <v>2017</v>
      </c>
      <c r="Q48" s="380" t="s">
        <v>168</v>
      </c>
      <c r="R48" s="381" t="s">
        <v>171</v>
      </c>
      <c r="S48" s="379">
        <v>10</v>
      </c>
      <c r="T48" s="379"/>
      <c r="U48" s="379" t="s">
        <v>170</v>
      </c>
      <c r="V48" s="379"/>
      <c r="W48" s="379" t="s">
        <v>149</v>
      </c>
      <c r="X48" s="379">
        <v>2030</v>
      </c>
      <c r="Y48" s="379"/>
      <c r="Z48" s="379" t="str">
        <f>VLOOKUP(R48,KEY_Processes!$B$4:$E$54,4,FALSE)</f>
        <v>HTH_02</v>
      </c>
      <c r="AA48" s="379" t="str">
        <f>VLOOKUP(R48,KEY_Processes!$B$4:$E$54,2,FALSE)</f>
        <v>District heating Indirect substation</v>
      </c>
      <c r="AB48" s="379" t="str">
        <f>VLOOKUP(U48,KEY_FUELS!$C$4:$D$77,2,FALSE)</f>
        <v>HTH</v>
      </c>
      <c r="AC48" s="379" t="s">
        <v>150</v>
      </c>
      <c r="AD48" s="379" t="s">
        <v>155</v>
      </c>
      <c r="AE48" s="379" t="s">
        <v>152</v>
      </c>
      <c r="AF48" s="382" t="str">
        <f>VLOOKUP(W48,KEY_Other!$B$37:$C$89,2,FALSE)</f>
        <v>DK</v>
      </c>
      <c r="AG48" s="379"/>
      <c r="AH48" s="379" t="str">
        <f>AC48&amp;VLOOKUP(U48,KEY_FUELS!$C$4:$D$78,2,FALSE)</f>
        <v>RSDHTH</v>
      </c>
      <c r="AI48" s="379" t="str">
        <f>IFERROR(AC48&amp;VLOOKUP(V48,KEY_FUELS!$C$4:$D$78,2,FALSE),"")</f>
        <v/>
      </c>
      <c r="AJ48" s="379" t="str">
        <f t="shared" ref="AJ48" si="19">LEFT(AC48,1)&amp;"H"&amp;AD48</f>
        <v>RHHSA</v>
      </c>
      <c r="AK48" s="379" t="str">
        <f t="shared" si="0"/>
        <v>RWHSA</v>
      </c>
      <c r="AL48" s="379" t="str">
        <f t="shared" si="1"/>
        <v/>
      </c>
      <c r="AM48" s="380">
        <v>31.536000000000001</v>
      </c>
      <c r="AN48" s="379">
        <f t="shared" si="2"/>
        <v>2030</v>
      </c>
      <c r="AO48" s="383"/>
      <c r="AP48" s="384"/>
      <c r="AQ48" s="386"/>
      <c r="AR48" s="386"/>
      <c r="AS48" s="386"/>
      <c r="AT48" s="386"/>
      <c r="AU48" s="387">
        <v>1</v>
      </c>
      <c r="AV48" s="387">
        <v>1</v>
      </c>
      <c r="AW48" s="387"/>
      <c r="AX48" s="388"/>
      <c r="AY48" s="384"/>
      <c r="AZ48" s="387">
        <v>0.97</v>
      </c>
      <c r="BA48" s="387">
        <v>0.97</v>
      </c>
      <c r="BB48" s="388"/>
      <c r="BC48" s="389"/>
      <c r="BD48" s="389"/>
      <c r="BE48" s="390"/>
      <c r="BF48" s="379"/>
      <c r="BG48" s="379"/>
      <c r="BH48" s="391"/>
      <c r="BI48" s="379">
        <v>25</v>
      </c>
      <c r="BJ48" s="379"/>
      <c r="BK48" s="388">
        <v>5</v>
      </c>
      <c r="BL48" s="388"/>
      <c r="BM48" s="388"/>
      <c r="BN48" s="388"/>
      <c r="BO48" s="388"/>
      <c r="BP48" s="388"/>
      <c r="BQ48" s="388"/>
      <c r="BR48" s="384">
        <v>51</v>
      </c>
      <c r="BS48" s="388">
        <v>0</v>
      </c>
      <c r="BT48" s="380"/>
      <c r="BU48" s="388"/>
      <c r="BV48" s="380"/>
      <c r="BW48" s="380"/>
      <c r="BX48" s="395"/>
    </row>
    <row r="49" spans="1:76" s="226" customFormat="1" x14ac:dyDescent="0.3">
      <c r="A49" s="88"/>
      <c r="B49" s="87"/>
      <c r="C49" s="87"/>
      <c r="D49" s="87"/>
      <c r="E49" s="87"/>
      <c r="F49" s="88"/>
      <c r="G49" s="87"/>
      <c r="H49" s="88"/>
      <c r="I49" s="88"/>
      <c r="J49" s="362" t="s">
        <v>134</v>
      </c>
      <c r="K49" s="363" t="s">
        <v>135</v>
      </c>
      <c r="L49" s="363"/>
      <c r="M49" s="363"/>
      <c r="N49" s="363"/>
      <c r="O49" s="363" t="s">
        <v>136</v>
      </c>
      <c r="P49" s="363">
        <v>2017</v>
      </c>
      <c r="Q49" s="364" t="s">
        <v>168</v>
      </c>
      <c r="R49" s="365" t="s">
        <v>171</v>
      </c>
      <c r="S49" s="363">
        <v>10</v>
      </c>
      <c r="T49" s="363"/>
      <c r="U49" s="363" t="s">
        <v>170</v>
      </c>
      <c r="V49" s="363"/>
      <c r="W49" s="363" t="s">
        <v>149</v>
      </c>
      <c r="X49" s="363">
        <v>2050</v>
      </c>
      <c r="Y49" s="363"/>
      <c r="Z49" s="363" t="str">
        <f>VLOOKUP(R49,KEY_Processes!$B$4:$E$54,4,FALSE)</f>
        <v>HTH_02</v>
      </c>
      <c r="AA49" s="363" t="str">
        <f>VLOOKUP(R49,KEY_Processes!$B$4:$E$54,2,FALSE)</f>
        <v>District heating Indirect substation</v>
      </c>
      <c r="AB49" s="363" t="str">
        <f>VLOOKUP(U49,KEY_FUELS!$C$4:$D$77,2,FALSE)</f>
        <v>HTH</v>
      </c>
      <c r="AC49" s="363" t="s">
        <v>150</v>
      </c>
      <c r="AD49" s="363" t="s">
        <v>155</v>
      </c>
      <c r="AE49" s="363" t="s">
        <v>152</v>
      </c>
      <c r="AF49" s="366" t="str">
        <f>VLOOKUP(W49,KEY_Other!$B$37:$C$89,2,FALSE)</f>
        <v>DK</v>
      </c>
      <c r="AG49" s="363"/>
      <c r="AH49" s="363" t="str">
        <f>AC49&amp;VLOOKUP(U49,KEY_FUELS!$C$4:$D$78,2,FALSE)</f>
        <v>RSDHTH</v>
      </c>
      <c r="AI49" s="363" t="str">
        <f>IFERROR(AC49&amp;VLOOKUP(V49,KEY_FUELS!$C$4:$D$78,2,FALSE),"")</f>
        <v/>
      </c>
      <c r="AJ49" s="363" t="str">
        <f t="shared" ref="AJ49" si="20">LEFT(AC49,1)&amp;"H"&amp;AD49</f>
        <v>RHHSA</v>
      </c>
      <c r="AK49" s="363" t="str">
        <f t="shared" si="0"/>
        <v>RWHSA</v>
      </c>
      <c r="AL49" s="363" t="str">
        <f t="shared" si="1"/>
        <v/>
      </c>
      <c r="AM49" s="364">
        <v>31.536000000000001</v>
      </c>
      <c r="AN49" s="363">
        <f t="shared" si="2"/>
        <v>2050</v>
      </c>
      <c r="AO49" s="367"/>
      <c r="AP49" s="368"/>
      <c r="AQ49" s="370"/>
      <c r="AR49" s="370"/>
      <c r="AS49" s="370"/>
      <c r="AT49" s="370"/>
      <c r="AU49" s="371">
        <v>1</v>
      </c>
      <c r="AV49" s="371">
        <v>1</v>
      </c>
      <c r="AW49" s="371"/>
      <c r="AX49" s="372"/>
      <c r="AY49" s="368"/>
      <c r="AZ49" s="371">
        <v>0.98</v>
      </c>
      <c r="BA49" s="371">
        <v>0.98</v>
      </c>
      <c r="BB49" s="372"/>
      <c r="BC49" s="373"/>
      <c r="BD49" s="373"/>
      <c r="BE49" s="374"/>
      <c r="BF49" s="363"/>
      <c r="BG49" s="363"/>
      <c r="BH49" s="375"/>
      <c r="BI49" s="363">
        <v>25</v>
      </c>
      <c r="BJ49" s="363"/>
      <c r="BK49" s="372">
        <v>4.0459949428152759</v>
      </c>
      <c r="BL49" s="372"/>
      <c r="BM49" s="372"/>
      <c r="BN49" s="372"/>
      <c r="BO49" s="372"/>
      <c r="BP49" s="372"/>
      <c r="BQ49" s="372"/>
      <c r="BR49" s="368">
        <v>47</v>
      </c>
      <c r="BS49" s="372">
        <v>0</v>
      </c>
      <c r="BT49" s="364"/>
      <c r="BU49" s="372"/>
      <c r="BV49" s="364"/>
      <c r="BW49" s="364"/>
      <c r="BX49" s="397"/>
    </row>
    <row r="50" spans="1:76" s="226" customFormat="1" x14ac:dyDescent="0.3">
      <c r="A50" s="88"/>
      <c r="B50" s="87"/>
      <c r="C50" s="87"/>
      <c r="D50" s="87"/>
      <c r="E50" s="87"/>
      <c r="F50" s="88"/>
      <c r="G50" s="87"/>
      <c r="H50" s="88"/>
      <c r="I50" s="88"/>
      <c r="J50" s="378" t="s">
        <v>134</v>
      </c>
      <c r="K50" s="379" t="s">
        <v>135</v>
      </c>
      <c r="L50" s="379"/>
      <c r="M50" s="379"/>
      <c r="N50" s="379"/>
      <c r="O50" s="379" t="s">
        <v>136</v>
      </c>
      <c r="P50" s="379">
        <v>2017</v>
      </c>
      <c r="Q50" s="380" t="s">
        <v>168</v>
      </c>
      <c r="R50" s="381" t="s">
        <v>172</v>
      </c>
      <c r="S50" s="379">
        <v>400</v>
      </c>
      <c r="T50" s="379"/>
      <c r="U50" s="379" t="s">
        <v>170</v>
      </c>
      <c r="V50" s="379"/>
      <c r="W50" s="379" t="s">
        <v>149</v>
      </c>
      <c r="X50" s="379">
        <v>2015</v>
      </c>
      <c r="Y50" s="379"/>
      <c r="Z50" s="379" t="str">
        <f>VLOOKUP(R50,KEY_Processes!$B$4:$E$54,4,FALSE)</f>
        <v>HTH_03</v>
      </c>
      <c r="AA50" s="379" t="str">
        <f>VLOOKUP(R50,KEY_Processes!$B$4:$E$54,2,FALSE)</f>
        <v>District heating Indirect substation</v>
      </c>
      <c r="AB50" s="379" t="str">
        <f>VLOOKUP(U50,KEY_FUELS!$C$4:$D$77,2,FALSE)</f>
        <v>HTH</v>
      </c>
      <c r="AC50" s="379" t="s">
        <v>150</v>
      </c>
      <c r="AD50" s="379" t="s">
        <v>158</v>
      </c>
      <c r="AE50" s="379" t="s">
        <v>152</v>
      </c>
      <c r="AF50" s="382" t="str">
        <f>VLOOKUP(W50,KEY_Other!$B$37:$C$89,2,FALSE)</f>
        <v>DK</v>
      </c>
      <c r="AG50" s="379"/>
      <c r="AH50" s="379" t="str">
        <f>AC50&amp;VLOOKUP(U50,KEY_FUELS!$C$4:$D$78,2,FALSE)</f>
        <v>RSDHTH</v>
      </c>
      <c r="AI50" s="379" t="str">
        <f>IFERROR(AC50&amp;VLOOKUP(V50,KEY_FUELS!$C$4:$D$78,2,FALSE),"")</f>
        <v/>
      </c>
      <c r="AJ50" s="379" t="str">
        <f t="shared" si="3"/>
        <v>RHAPC</v>
      </c>
      <c r="AK50" s="379" t="str">
        <f t="shared" si="0"/>
        <v>RWAPC</v>
      </c>
      <c r="AL50" s="379" t="str">
        <f t="shared" si="1"/>
        <v/>
      </c>
      <c r="AM50" s="380">
        <v>31.536000000000001</v>
      </c>
      <c r="AN50" s="379">
        <f t="shared" si="2"/>
        <v>2015</v>
      </c>
      <c r="AO50" s="383"/>
      <c r="AP50" s="384"/>
      <c r="AQ50" s="386"/>
      <c r="AR50" s="386"/>
      <c r="AS50" s="386"/>
      <c r="AT50" s="386"/>
      <c r="AU50" s="387">
        <v>1</v>
      </c>
      <c r="AV50" s="387">
        <v>1</v>
      </c>
      <c r="AW50" s="387"/>
      <c r="AX50" s="388"/>
      <c r="AY50" s="384"/>
      <c r="AZ50" s="387">
        <v>1</v>
      </c>
      <c r="BA50" s="387">
        <v>1</v>
      </c>
      <c r="BB50" s="388"/>
      <c r="BC50" s="389"/>
      <c r="BD50" s="389"/>
      <c r="BE50" s="390"/>
      <c r="BF50" s="379"/>
      <c r="BG50" s="379"/>
      <c r="BH50" s="391"/>
      <c r="BI50" s="379">
        <v>25</v>
      </c>
      <c r="BJ50" s="379"/>
      <c r="BK50" s="388">
        <v>20</v>
      </c>
      <c r="BL50" s="388"/>
      <c r="BM50" s="388"/>
      <c r="BN50" s="388"/>
      <c r="BO50" s="388"/>
      <c r="BP50" s="388"/>
      <c r="BQ50" s="388"/>
      <c r="BR50" s="384">
        <v>138.80000000000001</v>
      </c>
      <c r="BS50" s="388">
        <v>0</v>
      </c>
      <c r="BT50" s="380"/>
      <c r="BU50" s="388"/>
      <c r="BV50" s="380"/>
      <c r="BW50" s="380"/>
      <c r="BX50" s="395"/>
    </row>
    <row r="51" spans="1:76" s="226" customFormat="1" x14ac:dyDescent="0.3">
      <c r="A51" s="88"/>
      <c r="B51" s="87"/>
      <c r="C51" s="87"/>
      <c r="D51" s="87"/>
      <c r="E51" s="87"/>
      <c r="F51" s="88"/>
      <c r="G51" s="87"/>
      <c r="H51" s="88"/>
      <c r="I51" s="88"/>
      <c r="J51" s="362" t="s">
        <v>134</v>
      </c>
      <c r="K51" s="363" t="s">
        <v>135</v>
      </c>
      <c r="L51" s="363"/>
      <c r="M51" s="363"/>
      <c r="N51" s="363"/>
      <c r="O51" s="363" t="s">
        <v>136</v>
      </c>
      <c r="P51" s="363">
        <v>2017</v>
      </c>
      <c r="Q51" s="364" t="s">
        <v>168</v>
      </c>
      <c r="R51" s="365" t="s">
        <v>172</v>
      </c>
      <c r="S51" s="363">
        <v>400</v>
      </c>
      <c r="T51" s="363"/>
      <c r="U51" s="363" t="s">
        <v>170</v>
      </c>
      <c r="V51" s="363"/>
      <c r="W51" s="363" t="s">
        <v>149</v>
      </c>
      <c r="X51" s="363">
        <v>2020</v>
      </c>
      <c r="Y51" s="363"/>
      <c r="Z51" s="363" t="str">
        <f>VLOOKUP(R51,KEY_Processes!$B$4:$E$54,4,FALSE)</f>
        <v>HTH_03</v>
      </c>
      <c r="AA51" s="363" t="str">
        <f>VLOOKUP(R51,KEY_Processes!$B$4:$E$54,2,FALSE)</f>
        <v>District heating Indirect substation</v>
      </c>
      <c r="AB51" s="363" t="str">
        <f>VLOOKUP(U51,KEY_FUELS!$C$4:$D$77,2,FALSE)</f>
        <v>HTH</v>
      </c>
      <c r="AC51" s="363" t="s">
        <v>150</v>
      </c>
      <c r="AD51" s="363" t="s">
        <v>158</v>
      </c>
      <c r="AE51" s="363" t="s">
        <v>152</v>
      </c>
      <c r="AF51" s="366" t="str">
        <f>VLOOKUP(W51,KEY_Other!$B$37:$C$89,2,FALSE)</f>
        <v>DK</v>
      </c>
      <c r="AG51" s="363"/>
      <c r="AH51" s="363" t="str">
        <f>AC51&amp;VLOOKUP(U51,KEY_FUELS!$C$4:$D$78,2,FALSE)</f>
        <v>RSDHTH</v>
      </c>
      <c r="AI51" s="363" t="str">
        <f>IFERROR(AC51&amp;VLOOKUP(V51,KEY_FUELS!$C$4:$D$78,2,FALSE),"")</f>
        <v/>
      </c>
      <c r="AJ51" s="363" t="str">
        <f t="shared" ref="AJ51" si="21">LEFT(AC51,1)&amp;"H"&amp;AD51</f>
        <v>RHAPC</v>
      </c>
      <c r="AK51" s="363" t="str">
        <f t="shared" si="0"/>
        <v>RWAPC</v>
      </c>
      <c r="AL51" s="363" t="str">
        <f t="shared" si="1"/>
        <v/>
      </c>
      <c r="AM51" s="364">
        <v>31.536000000000001</v>
      </c>
      <c r="AN51" s="363">
        <f t="shared" si="2"/>
        <v>2020</v>
      </c>
      <c r="AO51" s="367"/>
      <c r="AP51" s="368"/>
      <c r="AQ51" s="370"/>
      <c r="AR51" s="370"/>
      <c r="AS51" s="370"/>
      <c r="AT51" s="370"/>
      <c r="AU51" s="371">
        <v>1</v>
      </c>
      <c r="AV51" s="371">
        <v>1</v>
      </c>
      <c r="AW51" s="371"/>
      <c r="AX51" s="372"/>
      <c r="AY51" s="368"/>
      <c r="AZ51" s="371">
        <v>1</v>
      </c>
      <c r="BA51" s="371">
        <v>1</v>
      </c>
      <c r="BB51" s="372"/>
      <c r="BC51" s="373"/>
      <c r="BD51" s="373"/>
      <c r="BE51" s="374"/>
      <c r="BF51" s="363"/>
      <c r="BG51" s="363"/>
      <c r="BH51" s="375"/>
      <c r="BI51" s="363">
        <v>25</v>
      </c>
      <c r="BJ51" s="363"/>
      <c r="BK51" s="372">
        <v>20</v>
      </c>
      <c r="BL51" s="372"/>
      <c r="BM51" s="372"/>
      <c r="BN51" s="372"/>
      <c r="BO51" s="372"/>
      <c r="BP51" s="372"/>
      <c r="BQ51" s="372"/>
      <c r="BR51" s="368">
        <v>136</v>
      </c>
      <c r="BS51" s="372">
        <v>0</v>
      </c>
      <c r="BT51" s="364"/>
      <c r="BU51" s="372"/>
      <c r="BV51" s="364"/>
      <c r="BW51" s="364"/>
      <c r="BX51" s="397"/>
    </row>
    <row r="52" spans="1:76" s="226" customFormat="1" x14ac:dyDescent="0.3">
      <c r="A52" s="88"/>
      <c r="B52" s="87"/>
      <c r="C52" s="87"/>
      <c r="D52" s="87"/>
      <c r="E52" s="87"/>
      <c r="F52" s="88"/>
      <c r="G52" s="87"/>
      <c r="H52" s="88"/>
      <c r="I52" s="88"/>
      <c r="J52" s="378" t="s">
        <v>134</v>
      </c>
      <c r="K52" s="379" t="s">
        <v>135</v>
      </c>
      <c r="L52" s="379"/>
      <c r="M52" s="379"/>
      <c r="N52" s="379"/>
      <c r="O52" s="379" t="s">
        <v>136</v>
      </c>
      <c r="P52" s="379">
        <v>2017</v>
      </c>
      <c r="Q52" s="380" t="s">
        <v>168</v>
      </c>
      <c r="R52" s="381" t="s">
        <v>172</v>
      </c>
      <c r="S52" s="379">
        <v>400</v>
      </c>
      <c r="T52" s="379"/>
      <c r="U52" s="379" t="s">
        <v>170</v>
      </c>
      <c r="V52" s="379"/>
      <c r="W52" s="379" t="s">
        <v>149</v>
      </c>
      <c r="X52" s="379">
        <v>2030</v>
      </c>
      <c r="Y52" s="379"/>
      <c r="Z52" s="379" t="str">
        <f>VLOOKUP(R52,KEY_Processes!$B$4:$E$54,4,FALSE)</f>
        <v>HTH_03</v>
      </c>
      <c r="AA52" s="379" t="str">
        <f>VLOOKUP(R52,KEY_Processes!$B$4:$E$54,2,FALSE)</f>
        <v>District heating Indirect substation</v>
      </c>
      <c r="AB52" s="379" t="str">
        <f>VLOOKUP(U52,KEY_FUELS!$C$4:$D$77,2,FALSE)</f>
        <v>HTH</v>
      </c>
      <c r="AC52" s="379" t="s">
        <v>150</v>
      </c>
      <c r="AD52" s="379" t="s">
        <v>158</v>
      </c>
      <c r="AE52" s="379" t="s">
        <v>152</v>
      </c>
      <c r="AF52" s="382" t="str">
        <f>VLOOKUP(W52,KEY_Other!$B$37:$C$89,2,FALSE)</f>
        <v>DK</v>
      </c>
      <c r="AG52" s="379"/>
      <c r="AH52" s="379" t="str">
        <f>AC52&amp;VLOOKUP(U52,KEY_FUELS!$C$4:$D$78,2,FALSE)</f>
        <v>RSDHTH</v>
      </c>
      <c r="AI52" s="379" t="str">
        <f>IFERROR(AC52&amp;VLOOKUP(V52,KEY_FUELS!$C$4:$D$78,2,FALSE),"")</f>
        <v/>
      </c>
      <c r="AJ52" s="379" t="str">
        <f t="shared" si="3"/>
        <v>RHAPC</v>
      </c>
      <c r="AK52" s="379" t="str">
        <f t="shared" si="0"/>
        <v>RWAPC</v>
      </c>
      <c r="AL52" s="379" t="str">
        <f t="shared" si="1"/>
        <v/>
      </c>
      <c r="AM52" s="380">
        <v>31.536000000000001</v>
      </c>
      <c r="AN52" s="379">
        <f t="shared" si="2"/>
        <v>2030</v>
      </c>
      <c r="AO52" s="383"/>
      <c r="AP52" s="384"/>
      <c r="AQ52" s="386"/>
      <c r="AR52" s="386"/>
      <c r="AS52" s="386"/>
      <c r="AT52" s="386"/>
      <c r="AU52" s="387">
        <v>1</v>
      </c>
      <c r="AV52" s="387">
        <v>1</v>
      </c>
      <c r="AW52" s="387"/>
      <c r="AX52" s="388"/>
      <c r="AY52" s="384"/>
      <c r="AZ52" s="387">
        <v>1</v>
      </c>
      <c r="BA52" s="387">
        <v>1</v>
      </c>
      <c r="BB52" s="388"/>
      <c r="BC52" s="389"/>
      <c r="BD52" s="389"/>
      <c r="BE52" s="390"/>
      <c r="BF52" s="379"/>
      <c r="BG52" s="379"/>
      <c r="BH52" s="391"/>
      <c r="BI52" s="379">
        <v>25</v>
      </c>
      <c r="BJ52" s="379"/>
      <c r="BK52" s="388">
        <v>19</v>
      </c>
      <c r="BL52" s="388"/>
      <c r="BM52" s="388"/>
      <c r="BN52" s="388"/>
      <c r="BO52" s="388"/>
      <c r="BP52" s="388"/>
      <c r="BQ52" s="388"/>
      <c r="BR52" s="384">
        <v>144</v>
      </c>
      <c r="BS52" s="388">
        <v>0</v>
      </c>
      <c r="BT52" s="380"/>
      <c r="BU52" s="388"/>
      <c r="BV52" s="380"/>
      <c r="BW52" s="380"/>
      <c r="BX52" s="395"/>
    </row>
    <row r="53" spans="1:76" s="226" customFormat="1" x14ac:dyDescent="0.3">
      <c r="A53" s="88"/>
      <c r="B53" s="87"/>
      <c r="C53" s="87"/>
      <c r="D53" s="87"/>
      <c r="E53" s="87"/>
      <c r="F53" s="88"/>
      <c r="G53" s="87"/>
      <c r="H53" s="88"/>
      <c r="I53" s="88"/>
      <c r="J53" s="362" t="s">
        <v>134</v>
      </c>
      <c r="K53" s="363" t="s">
        <v>135</v>
      </c>
      <c r="L53" s="363"/>
      <c r="M53" s="363"/>
      <c r="N53" s="363"/>
      <c r="O53" s="363" t="s">
        <v>136</v>
      </c>
      <c r="P53" s="363">
        <v>2017</v>
      </c>
      <c r="Q53" s="364" t="s">
        <v>168</v>
      </c>
      <c r="R53" s="365" t="s">
        <v>172</v>
      </c>
      <c r="S53" s="363">
        <v>400</v>
      </c>
      <c r="T53" s="363"/>
      <c r="U53" s="363" t="s">
        <v>170</v>
      </c>
      <c r="V53" s="363"/>
      <c r="W53" s="363" t="s">
        <v>149</v>
      </c>
      <c r="X53" s="363">
        <v>2050</v>
      </c>
      <c r="Y53" s="363"/>
      <c r="Z53" s="363" t="str">
        <f>VLOOKUP(R53,KEY_Processes!$B$4:$E$54,4,FALSE)</f>
        <v>HTH_03</v>
      </c>
      <c r="AA53" s="363" t="str">
        <f>VLOOKUP(R53,KEY_Processes!$B$4:$E$54,2,FALSE)</f>
        <v>District heating Indirect substation</v>
      </c>
      <c r="AB53" s="363" t="str">
        <f>VLOOKUP(U53,KEY_FUELS!$C$4:$D$77,2,FALSE)</f>
        <v>HTH</v>
      </c>
      <c r="AC53" s="363" t="s">
        <v>150</v>
      </c>
      <c r="AD53" s="363" t="s">
        <v>158</v>
      </c>
      <c r="AE53" s="363" t="s">
        <v>152</v>
      </c>
      <c r="AF53" s="366" t="str">
        <f>VLOOKUP(W53,KEY_Other!$B$37:$C$89,2,FALSE)</f>
        <v>DK</v>
      </c>
      <c r="AG53" s="363"/>
      <c r="AH53" s="363" t="str">
        <f>AC53&amp;VLOOKUP(U53,KEY_FUELS!$C$4:$D$78,2,FALSE)</f>
        <v>RSDHTH</v>
      </c>
      <c r="AI53" s="363" t="str">
        <f>IFERROR(AC53&amp;VLOOKUP(V53,KEY_FUELS!$C$4:$D$78,2,FALSE),"")</f>
        <v/>
      </c>
      <c r="AJ53" s="363" t="str">
        <f t="shared" ref="AJ53" si="22">LEFT(AC53,1)&amp;"H"&amp;AD53</f>
        <v>RHAPC</v>
      </c>
      <c r="AK53" s="363" t="str">
        <f t="shared" si="0"/>
        <v>RWAPC</v>
      </c>
      <c r="AL53" s="363" t="str">
        <f t="shared" si="1"/>
        <v/>
      </c>
      <c r="AM53" s="364">
        <v>31.536000000000001</v>
      </c>
      <c r="AN53" s="363">
        <f t="shared" si="2"/>
        <v>2050</v>
      </c>
      <c r="AO53" s="367"/>
      <c r="AP53" s="368"/>
      <c r="AQ53" s="370"/>
      <c r="AR53" s="370"/>
      <c r="AS53" s="370"/>
      <c r="AT53" s="370"/>
      <c r="AU53" s="371">
        <v>1</v>
      </c>
      <c r="AV53" s="371">
        <v>1</v>
      </c>
      <c r="AW53" s="371"/>
      <c r="AX53" s="372"/>
      <c r="AY53" s="368"/>
      <c r="AZ53" s="371">
        <v>1</v>
      </c>
      <c r="BA53" s="371">
        <v>1</v>
      </c>
      <c r="BB53" s="372"/>
      <c r="BC53" s="373"/>
      <c r="BD53" s="373"/>
      <c r="BE53" s="374"/>
      <c r="BF53" s="363"/>
      <c r="BG53" s="363"/>
      <c r="BH53" s="375"/>
      <c r="BI53" s="363">
        <v>25</v>
      </c>
      <c r="BJ53" s="363"/>
      <c r="BK53" s="372">
        <v>17</v>
      </c>
      <c r="BL53" s="372"/>
      <c r="BM53" s="372"/>
      <c r="BN53" s="372"/>
      <c r="BO53" s="372"/>
      <c r="BP53" s="372"/>
      <c r="BQ53" s="372"/>
      <c r="BR53" s="368">
        <v>132</v>
      </c>
      <c r="BS53" s="372">
        <v>0</v>
      </c>
      <c r="BT53" s="364"/>
      <c r="BU53" s="372"/>
      <c r="BV53" s="364"/>
      <c r="BW53" s="364"/>
      <c r="BX53" s="397"/>
    </row>
    <row r="54" spans="1:76" s="226" customFormat="1" x14ac:dyDescent="0.3">
      <c r="A54" s="88"/>
      <c r="B54" s="87"/>
      <c r="C54" s="87"/>
      <c r="D54" s="87"/>
      <c r="E54" s="87"/>
      <c r="F54" s="88"/>
      <c r="G54" s="87"/>
      <c r="H54" s="88"/>
      <c r="I54" s="88"/>
      <c r="J54" s="378" t="s">
        <v>134</v>
      </c>
      <c r="K54" s="379" t="s">
        <v>135</v>
      </c>
      <c r="L54" s="379"/>
      <c r="M54" s="379"/>
      <c r="N54" s="379"/>
      <c r="O54" s="379" t="s">
        <v>136</v>
      </c>
      <c r="P54" s="379">
        <v>2017</v>
      </c>
      <c r="Q54" s="380" t="s">
        <v>168</v>
      </c>
      <c r="R54" s="381" t="s">
        <v>173</v>
      </c>
      <c r="S54" s="379">
        <v>160</v>
      </c>
      <c r="T54" s="379"/>
      <c r="U54" s="379" t="s">
        <v>170</v>
      </c>
      <c r="V54" s="379"/>
      <c r="W54" s="379" t="s">
        <v>149</v>
      </c>
      <c r="X54" s="379">
        <v>2015</v>
      </c>
      <c r="Y54" s="379"/>
      <c r="Z54" s="379" t="str">
        <f>VLOOKUP(R54,KEY_Processes!$B$4:$E$54,4,FALSE)</f>
        <v>HTH_04</v>
      </c>
      <c r="AA54" s="379" t="str">
        <f>VLOOKUP(R54,KEY_Processes!$B$4:$E$54,2,FALSE)</f>
        <v>District heating Indirect substation</v>
      </c>
      <c r="AB54" s="379" t="str">
        <f>VLOOKUP(U54,KEY_FUELS!$C$4:$D$77,2,FALSE)</f>
        <v>HTH</v>
      </c>
      <c r="AC54" s="379" t="s">
        <v>150</v>
      </c>
      <c r="AD54" s="379" t="s">
        <v>161</v>
      </c>
      <c r="AE54" s="379" t="s">
        <v>152</v>
      </c>
      <c r="AF54" s="382" t="str">
        <f>VLOOKUP(W54,KEY_Other!$B$37:$C$89,2,FALSE)</f>
        <v>DK</v>
      </c>
      <c r="AG54" s="379"/>
      <c r="AH54" s="379" t="str">
        <f>AC54&amp;VLOOKUP(U54,KEY_FUELS!$C$4:$D$78,2,FALSE)</f>
        <v>RSDHTH</v>
      </c>
      <c r="AI54" s="379" t="str">
        <f>IFERROR(AC54&amp;VLOOKUP(V54,KEY_FUELS!$C$4:$D$78,2,FALSE),"")</f>
        <v/>
      </c>
      <c r="AJ54" s="379" t="str">
        <f t="shared" si="3"/>
        <v>RHAPA</v>
      </c>
      <c r="AK54" s="379" t="str">
        <f t="shared" si="0"/>
        <v>RWAPA</v>
      </c>
      <c r="AL54" s="379" t="str">
        <f t="shared" si="1"/>
        <v/>
      </c>
      <c r="AM54" s="380">
        <v>31.536000000000001</v>
      </c>
      <c r="AN54" s="379">
        <f t="shared" si="2"/>
        <v>2015</v>
      </c>
      <c r="AO54" s="383"/>
      <c r="AP54" s="384"/>
      <c r="AQ54" s="386"/>
      <c r="AR54" s="386"/>
      <c r="AS54" s="386"/>
      <c r="AT54" s="386"/>
      <c r="AU54" s="387">
        <v>1</v>
      </c>
      <c r="AV54" s="387">
        <v>1</v>
      </c>
      <c r="AW54" s="387"/>
      <c r="AX54" s="388"/>
      <c r="AY54" s="384"/>
      <c r="AZ54" s="387">
        <v>1</v>
      </c>
      <c r="BA54" s="387">
        <v>1</v>
      </c>
      <c r="BB54" s="388"/>
      <c r="BC54" s="389"/>
      <c r="BD54" s="389"/>
      <c r="BE54" s="390"/>
      <c r="BF54" s="379"/>
      <c r="BG54" s="379"/>
      <c r="BH54" s="391"/>
      <c r="BI54" s="379">
        <v>25</v>
      </c>
      <c r="BJ54" s="379"/>
      <c r="BK54" s="388">
        <v>15.2</v>
      </c>
      <c r="BL54" s="392"/>
      <c r="BM54" s="392"/>
      <c r="BN54" s="392"/>
      <c r="BO54" s="392"/>
      <c r="BP54" s="392"/>
      <c r="BQ54" s="392"/>
      <c r="BR54" s="384">
        <v>107.05</v>
      </c>
      <c r="BS54" s="388">
        <v>0</v>
      </c>
      <c r="BT54" s="380"/>
      <c r="BU54" s="388"/>
      <c r="BV54" s="380"/>
      <c r="BW54" s="380"/>
      <c r="BX54" s="395"/>
    </row>
    <row r="55" spans="1:76" s="226" customFormat="1" x14ac:dyDescent="0.3">
      <c r="A55" s="88"/>
      <c r="B55" s="87"/>
      <c r="C55" s="87"/>
      <c r="D55" s="87"/>
      <c r="E55" s="87"/>
      <c r="F55" s="88"/>
      <c r="G55" s="87"/>
      <c r="H55" s="88"/>
      <c r="I55" s="88"/>
      <c r="J55" s="362" t="s">
        <v>134</v>
      </c>
      <c r="K55" s="363" t="s">
        <v>135</v>
      </c>
      <c r="L55" s="363"/>
      <c r="M55" s="363"/>
      <c r="N55" s="363"/>
      <c r="O55" s="363" t="s">
        <v>136</v>
      </c>
      <c r="P55" s="363">
        <v>2017</v>
      </c>
      <c r="Q55" s="364" t="s">
        <v>168</v>
      </c>
      <c r="R55" s="365" t="s">
        <v>173</v>
      </c>
      <c r="S55" s="363">
        <v>160</v>
      </c>
      <c r="T55" s="363"/>
      <c r="U55" s="363" t="s">
        <v>170</v>
      </c>
      <c r="V55" s="363"/>
      <c r="W55" s="363" t="s">
        <v>149</v>
      </c>
      <c r="X55" s="363">
        <v>2020</v>
      </c>
      <c r="Y55" s="363"/>
      <c r="Z55" s="363" t="str">
        <f>VLOOKUP(R55,KEY_Processes!$B$4:$E$54,4,FALSE)</f>
        <v>HTH_04</v>
      </c>
      <c r="AA55" s="363" t="str">
        <f>VLOOKUP(R55,KEY_Processes!$B$4:$E$54,2,FALSE)</f>
        <v>District heating Indirect substation</v>
      </c>
      <c r="AB55" s="363" t="str">
        <f>VLOOKUP(U55,KEY_FUELS!$C$4:$D$77,2,FALSE)</f>
        <v>HTH</v>
      </c>
      <c r="AC55" s="363" t="s">
        <v>150</v>
      </c>
      <c r="AD55" s="363" t="s">
        <v>161</v>
      </c>
      <c r="AE55" s="363" t="s">
        <v>152</v>
      </c>
      <c r="AF55" s="366" t="str">
        <f>VLOOKUP(W55,KEY_Other!$B$37:$C$89,2,FALSE)</f>
        <v>DK</v>
      </c>
      <c r="AG55" s="363"/>
      <c r="AH55" s="363" t="str">
        <f>AC55&amp;VLOOKUP(U55,KEY_FUELS!$C$4:$D$78,2,FALSE)</f>
        <v>RSDHTH</v>
      </c>
      <c r="AI55" s="363" t="str">
        <f>IFERROR(AC55&amp;VLOOKUP(V55,KEY_FUELS!$C$4:$D$78,2,FALSE),"")</f>
        <v/>
      </c>
      <c r="AJ55" s="363" t="str">
        <f t="shared" ref="AJ55" si="23">LEFT(AC55,1)&amp;"H"&amp;AD55</f>
        <v>RHAPA</v>
      </c>
      <c r="AK55" s="363" t="str">
        <f t="shared" si="0"/>
        <v>RWAPA</v>
      </c>
      <c r="AL55" s="363" t="str">
        <f t="shared" si="1"/>
        <v/>
      </c>
      <c r="AM55" s="364">
        <v>31.536000000000001</v>
      </c>
      <c r="AN55" s="363">
        <f t="shared" si="2"/>
        <v>2020</v>
      </c>
      <c r="AO55" s="367"/>
      <c r="AP55" s="368"/>
      <c r="AQ55" s="370"/>
      <c r="AR55" s="370"/>
      <c r="AS55" s="370"/>
      <c r="AT55" s="370"/>
      <c r="AU55" s="371">
        <v>1</v>
      </c>
      <c r="AV55" s="371">
        <v>1</v>
      </c>
      <c r="AW55" s="371"/>
      <c r="AX55" s="372"/>
      <c r="AY55" s="368"/>
      <c r="AZ55" s="371">
        <v>1</v>
      </c>
      <c r="BA55" s="371">
        <v>1</v>
      </c>
      <c r="BB55" s="372"/>
      <c r="BC55" s="373"/>
      <c r="BD55" s="373"/>
      <c r="BE55" s="374"/>
      <c r="BF55" s="363"/>
      <c r="BG55" s="363"/>
      <c r="BH55" s="375"/>
      <c r="BI55" s="363">
        <v>25</v>
      </c>
      <c r="BJ55" s="363"/>
      <c r="BK55" s="372">
        <v>15.2</v>
      </c>
      <c r="BL55" s="376"/>
      <c r="BM55" s="376"/>
      <c r="BN55" s="376"/>
      <c r="BO55" s="376"/>
      <c r="BP55" s="376"/>
      <c r="BQ55" s="376"/>
      <c r="BR55" s="368">
        <v>105</v>
      </c>
      <c r="BS55" s="372">
        <v>0</v>
      </c>
      <c r="BT55" s="364"/>
      <c r="BU55" s="372"/>
      <c r="BV55" s="364"/>
      <c r="BW55" s="364"/>
      <c r="BX55" s="397"/>
    </row>
    <row r="56" spans="1:76" s="226" customFormat="1" x14ac:dyDescent="0.3">
      <c r="A56" s="88"/>
      <c r="B56" s="87"/>
      <c r="C56" s="87"/>
      <c r="D56" s="87"/>
      <c r="E56" s="87"/>
      <c r="F56" s="88"/>
      <c r="G56" s="87"/>
      <c r="H56" s="88"/>
      <c r="I56" s="88"/>
      <c r="J56" s="378" t="s">
        <v>134</v>
      </c>
      <c r="K56" s="379" t="s">
        <v>135</v>
      </c>
      <c r="L56" s="379"/>
      <c r="M56" s="379"/>
      <c r="N56" s="379"/>
      <c r="O56" s="379" t="s">
        <v>136</v>
      </c>
      <c r="P56" s="379">
        <v>2017</v>
      </c>
      <c r="Q56" s="380" t="s">
        <v>168</v>
      </c>
      <c r="R56" s="381" t="s">
        <v>173</v>
      </c>
      <c r="S56" s="379">
        <v>160</v>
      </c>
      <c r="T56" s="379"/>
      <c r="U56" s="379" t="s">
        <v>170</v>
      </c>
      <c r="V56" s="379"/>
      <c r="W56" s="379" t="s">
        <v>149</v>
      </c>
      <c r="X56" s="379">
        <v>2030</v>
      </c>
      <c r="Y56" s="379"/>
      <c r="Z56" s="379" t="str">
        <f>VLOOKUP(R56,KEY_Processes!$B$4:$E$54,4,FALSE)</f>
        <v>HTH_04</v>
      </c>
      <c r="AA56" s="379" t="str">
        <f>VLOOKUP(R56,KEY_Processes!$B$4:$E$54,2,FALSE)</f>
        <v>District heating Indirect substation</v>
      </c>
      <c r="AB56" s="379" t="str">
        <f>VLOOKUP(U56,KEY_FUELS!$C$4:$D$77,2,FALSE)</f>
        <v>HTH</v>
      </c>
      <c r="AC56" s="379" t="s">
        <v>150</v>
      </c>
      <c r="AD56" s="379" t="s">
        <v>161</v>
      </c>
      <c r="AE56" s="379" t="s">
        <v>152</v>
      </c>
      <c r="AF56" s="382" t="str">
        <f>VLOOKUP(W56,KEY_Other!$B$37:$C$89,2,FALSE)</f>
        <v>DK</v>
      </c>
      <c r="AG56" s="379"/>
      <c r="AH56" s="379" t="str">
        <f>AC56&amp;VLOOKUP(U56,KEY_FUELS!$C$4:$D$78,2,FALSE)</f>
        <v>RSDHTH</v>
      </c>
      <c r="AI56" s="379" t="str">
        <f>IFERROR(AC56&amp;VLOOKUP(V56,KEY_FUELS!$C$4:$D$78,2,FALSE),"")</f>
        <v/>
      </c>
      <c r="AJ56" s="379" t="str">
        <f t="shared" si="3"/>
        <v>RHAPA</v>
      </c>
      <c r="AK56" s="379" t="str">
        <f t="shared" si="0"/>
        <v>RWAPA</v>
      </c>
      <c r="AL56" s="379" t="str">
        <f t="shared" si="1"/>
        <v/>
      </c>
      <c r="AM56" s="380">
        <v>31.536000000000001</v>
      </c>
      <c r="AN56" s="379">
        <f t="shared" si="2"/>
        <v>2030</v>
      </c>
      <c r="AO56" s="383"/>
      <c r="AP56" s="384"/>
      <c r="AQ56" s="386"/>
      <c r="AR56" s="386"/>
      <c r="AS56" s="386"/>
      <c r="AT56" s="386"/>
      <c r="AU56" s="387">
        <v>1</v>
      </c>
      <c r="AV56" s="387">
        <v>1</v>
      </c>
      <c r="AW56" s="387"/>
      <c r="AX56" s="388"/>
      <c r="AY56" s="384"/>
      <c r="AZ56" s="387">
        <v>1</v>
      </c>
      <c r="BA56" s="387">
        <v>1</v>
      </c>
      <c r="BB56" s="388"/>
      <c r="BC56" s="389"/>
      <c r="BD56" s="389"/>
      <c r="BE56" s="390"/>
      <c r="BF56" s="379"/>
      <c r="BG56" s="379"/>
      <c r="BH56" s="391"/>
      <c r="BI56" s="379">
        <v>25</v>
      </c>
      <c r="BJ56" s="379"/>
      <c r="BK56" s="388">
        <v>14</v>
      </c>
      <c r="BL56" s="392"/>
      <c r="BM56" s="392"/>
      <c r="BN56" s="392"/>
      <c r="BO56" s="392"/>
      <c r="BP56" s="392"/>
      <c r="BQ56" s="392"/>
      <c r="BR56" s="384">
        <v>109</v>
      </c>
      <c r="BS56" s="388">
        <v>0</v>
      </c>
      <c r="BT56" s="380"/>
      <c r="BU56" s="388"/>
      <c r="BV56" s="380"/>
      <c r="BW56" s="380"/>
      <c r="BX56" s="395"/>
    </row>
    <row r="57" spans="1:76" s="226" customFormat="1" x14ac:dyDescent="0.3">
      <c r="A57" s="88"/>
      <c r="B57" s="87"/>
      <c r="C57" s="87"/>
      <c r="D57" s="87"/>
      <c r="E57" s="87"/>
      <c r="F57" s="88"/>
      <c r="G57" s="87"/>
      <c r="H57" s="88"/>
      <c r="I57" s="88"/>
      <c r="J57" s="362" t="s">
        <v>134</v>
      </c>
      <c r="K57" s="363" t="s">
        <v>135</v>
      </c>
      <c r="L57" s="363"/>
      <c r="M57" s="363"/>
      <c r="N57" s="363"/>
      <c r="O57" s="363" t="s">
        <v>136</v>
      </c>
      <c r="P57" s="363">
        <v>2017</v>
      </c>
      <c r="Q57" s="364" t="s">
        <v>168</v>
      </c>
      <c r="R57" s="365" t="s">
        <v>173</v>
      </c>
      <c r="S57" s="363">
        <v>160</v>
      </c>
      <c r="T57" s="363"/>
      <c r="U57" s="363" t="s">
        <v>170</v>
      </c>
      <c r="V57" s="363"/>
      <c r="W57" s="363" t="s">
        <v>149</v>
      </c>
      <c r="X57" s="363">
        <v>2050</v>
      </c>
      <c r="Y57" s="363"/>
      <c r="Z57" s="363" t="str">
        <f>VLOOKUP(R57,KEY_Processes!$B$4:$E$54,4,FALSE)</f>
        <v>HTH_04</v>
      </c>
      <c r="AA57" s="363" t="str">
        <f>VLOOKUP(R57,KEY_Processes!$B$4:$E$54,2,FALSE)</f>
        <v>District heating Indirect substation</v>
      </c>
      <c r="AB57" s="363" t="str">
        <f>VLOOKUP(U57,KEY_FUELS!$C$4:$D$77,2,FALSE)</f>
        <v>HTH</v>
      </c>
      <c r="AC57" s="363" t="s">
        <v>150</v>
      </c>
      <c r="AD57" s="363" t="s">
        <v>161</v>
      </c>
      <c r="AE57" s="363" t="s">
        <v>152</v>
      </c>
      <c r="AF57" s="366" t="str">
        <f>VLOOKUP(W57,KEY_Other!$B$37:$C$89,2,FALSE)</f>
        <v>DK</v>
      </c>
      <c r="AG57" s="363"/>
      <c r="AH57" s="363" t="str">
        <f>AC57&amp;VLOOKUP(U57,KEY_FUELS!$C$4:$D$78,2,FALSE)</f>
        <v>RSDHTH</v>
      </c>
      <c r="AI57" s="363" t="str">
        <f>IFERROR(AC57&amp;VLOOKUP(V57,KEY_FUELS!$C$4:$D$78,2,FALSE),"")</f>
        <v/>
      </c>
      <c r="AJ57" s="363" t="str">
        <f t="shared" ref="AJ57" si="24">LEFT(AC57,1)&amp;"H"&amp;AD57</f>
        <v>RHAPA</v>
      </c>
      <c r="AK57" s="363" t="str">
        <f t="shared" si="0"/>
        <v>RWAPA</v>
      </c>
      <c r="AL57" s="363" t="str">
        <f t="shared" si="1"/>
        <v/>
      </c>
      <c r="AM57" s="364">
        <v>31.536000000000001</v>
      </c>
      <c r="AN57" s="363">
        <f t="shared" si="2"/>
        <v>2050</v>
      </c>
      <c r="AO57" s="367"/>
      <c r="AP57" s="368"/>
      <c r="AQ57" s="370"/>
      <c r="AR57" s="370"/>
      <c r="AS57" s="370"/>
      <c r="AT57" s="370"/>
      <c r="AU57" s="371">
        <v>1</v>
      </c>
      <c r="AV57" s="371">
        <v>1</v>
      </c>
      <c r="AW57" s="371"/>
      <c r="AX57" s="372"/>
      <c r="AY57" s="368"/>
      <c r="AZ57" s="371">
        <v>1</v>
      </c>
      <c r="BA57" s="371">
        <v>1</v>
      </c>
      <c r="BB57" s="372"/>
      <c r="BC57" s="373"/>
      <c r="BD57" s="373"/>
      <c r="BE57" s="374"/>
      <c r="BF57" s="363"/>
      <c r="BG57" s="363"/>
      <c r="BH57" s="375"/>
      <c r="BI57" s="363">
        <v>25</v>
      </c>
      <c r="BJ57" s="363"/>
      <c r="BK57" s="372">
        <v>13</v>
      </c>
      <c r="BL57" s="376"/>
      <c r="BM57" s="376"/>
      <c r="BN57" s="376"/>
      <c r="BO57" s="376"/>
      <c r="BP57" s="376"/>
      <c r="BQ57" s="376"/>
      <c r="BR57" s="368">
        <v>101</v>
      </c>
      <c r="BS57" s="372">
        <v>0</v>
      </c>
      <c r="BT57" s="364"/>
      <c r="BU57" s="372"/>
      <c r="BV57" s="364"/>
      <c r="BW57" s="364"/>
      <c r="BX57" s="397"/>
    </row>
    <row r="58" spans="1:76" s="226" customFormat="1" x14ac:dyDescent="0.3">
      <c r="A58" s="88"/>
      <c r="B58" s="87"/>
      <c r="C58" s="87"/>
      <c r="D58" s="87"/>
      <c r="E58" s="87"/>
      <c r="F58" s="88"/>
      <c r="G58" s="87"/>
      <c r="H58" s="88"/>
      <c r="I58" s="88"/>
      <c r="J58" s="378" t="s">
        <v>134</v>
      </c>
      <c r="K58" s="379" t="s">
        <v>135</v>
      </c>
      <c r="L58" s="379"/>
      <c r="M58" s="379"/>
      <c r="N58" s="379"/>
      <c r="O58" s="379" t="s">
        <v>136</v>
      </c>
      <c r="P58" s="379">
        <v>2017</v>
      </c>
      <c r="Q58" s="380" t="s">
        <v>168</v>
      </c>
      <c r="R58" s="381" t="s">
        <v>174</v>
      </c>
      <c r="S58" s="379">
        <v>10</v>
      </c>
      <c r="T58" s="379"/>
      <c r="U58" s="379" t="s">
        <v>170</v>
      </c>
      <c r="V58" s="379"/>
      <c r="W58" s="379" t="s">
        <v>149</v>
      </c>
      <c r="X58" s="379">
        <v>2015</v>
      </c>
      <c r="Y58" s="379"/>
      <c r="Z58" s="379" t="str">
        <f>VLOOKUP(R58,KEY_Processes!$B$4:$E$54,4,FALSE)</f>
        <v>HTH_05</v>
      </c>
      <c r="AA58" s="379" t="str">
        <f>VLOOKUP(R58,KEY_Processes!$B$4:$E$54,2,FALSE)</f>
        <v>District heating Direct substation</v>
      </c>
      <c r="AB58" s="379" t="str">
        <f>VLOOKUP(U58,KEY_FUELS!$C$4:$D$77,2,FALSE)</f>
        <v>HTH</v>
      </c>
      <c r="AC58" s="379" t="s">
        <v>150</v>
      </c>
      <c r="AD58" s="379" t="s">
        <v>151</v>
      </c>
      <c r="AE58" s="379" t="s">
        <v>152</v>
      </c>
      <c r="AF58" s="382" t="str">
        <f>VLOOKUP(W58,KEY_Other!$B$37:$C$89,2,FALSE)</f>
        <v>DK</v>
      </c>
      <c r="AG58" s="379"/>
      <c r="AH58" s="379" t="str">
        <f>AC58&amp;VLOOKUP(U58,KEY_FUELS!$C$4:$D$78,2,FALSE)</f>
        <v>RSDHTH</v>
      </c>
      <c r="AI58" s="379" t="str">
        <f>IFERROR(AC58&amp;VLOOKUP(V58,KEY_FUELS!$C$4:$D$78,2,FALSE),"")</f>
        <v/>
      </c>
      <c r="AJ58" s="379" t="str">
        <f t="shared" si="3"/>
        <v>RHHSB</v>
      </c>
      <c r="AK58" s="379" t="str">
        <f t="shared" si="0"/>
        <v>RWHSB</v>
      </c>
      <c r="AL58" s="379" t="str">
        <f t="shared" si="1"/>
        <v/>
      </c>
      <c r="AM58" s="380">
        <v>31.536000000000001</v>
      </c>
      <c r="AN58" s="379">
        <f t="shared" si="2"/>
        <v>2015</v>
      </c>
      <c r="AO58" s="383"/>
      <c r="AP58" s="384"/>
      <c r="AQ58" s="386"/>
      <c r="AR58" s="386"/>
      <c r="AS58" s="386"/>
      <c r="AT58" s="386"/>
      <c r="AU58" s="387">
        <v>1</v>
      </c>
      <c r="AV58" s="387">
        <v>1</v>
      </c>
      <c r="AW58" s="387"/>
      <c r="AX58" s="388"/>
      <c r="AY58" s="384"/>
      <c r="AZ58" s="387">
        <v>1</v>
      </c>
      <c r="BA58" s="387">
        <v>1</v>
      </c>
      <c r="BB58" s="388"/>
      <c r="BC58" s="389"/>
      <c r="BD58" s="389"/>
      <c r="BE58" s="390"/>
      <c r="BF58" s="379"/>
      <c r="BG58" s="379"/>
      <c r="BH58" s="391"/>
      <c r="BI58" s="379">
        <v>25</v>
      </c>
      <c r="BJ58" s="379"/>
      <c r="BK58" s="388">
        <v>4.9000000000000004</v>
      </c>
      <c r="BL58" s="392"/>
      <c r="BM58" s="392"/>
      <c r="BN58" s="392"/>
      <c r="BO58" s="392"/>
      <c r="BP58" s="392"/>
      <c r="BQ58" s="392"/>
      <c r="BR58" s="384">
        <v>49.52</v>
      </c>
      <c r="BS58" s="388">
        <v>0</v>
      </c>
      <c r="BT58" s="380"/>
      <c r="BU58" s="388"/>
      <c r="BV58" s="380"/>
      <c r="BW58" s="380"/>
      <c r="BX58" s="395"/>
    </row>
    <row r="59" spans="1:76" s="226" customFormat="1" x14ac:dyDescent="0.3">
      <c r="A59" s="88"/>
      <c r="B59" s="87"/>
      <c r="C59" s="87"/>
      <c r="D59" s="87"/>
      <c r="E59" s="87"/>
      <c r="F59" s="88"/>
      <c r="G59" s="87"/>
      <c r="H59" s="88"/>
      <c r="I59" s="88"/>
      <c r="J59" s="362" t="s">
        <v>134</v>
      </c>
      <c r="K59" s="363" t="s">
        <v>135</v>
      </c>
      <c r="L59" s="363"/>
      <c r="M59" s="363"/>
      <c r="N59" s="363"/>
      <c r="O59" s="363" t="s">
        <v>136</v>
      </c>
      <c r="P59" s="363">
        <v>2017</v>
      </c>
      <c r="Q59" s="364" t="s">
        <v>168</v>
      </c>
      <c r="R59" s="365" t="s">
        <v>174</v>
      </c>
      <c r="S59" s="363">
        <v>10</v>
      </c>
      <c r="T59" s="363"/>
      <c r="U59" s="363" t="s">
        <v>170</v>
      </c>
      <c r="V59" s="363"/>
      <c r="W59" s="363" t="s">
        <v>149</v>
      </c>
      <c r="X59" s="363">
        <v>2020</v>
      </c>
      <c r="Y59" s="363"/>
      <c r="Z59" s="363" t="str">
        <f>VLOOKUP(R59,KEY_Processes!$B$4:$E$54,4,FALSE)</f>
        <v>HTH_05</v>
      </c>
      <c r="AA59" s="363" t="str">
        <f>VLOOKUP(R59,KEY_Processes!$B$4:$E$54,2,FALSE)</f>
        <v>District heating Direct substation</v>
      </c>
      <c r="AB59" s="363" t="str">
        <f>VLOOKUP(U59,KEY_FUELS!$C$4:$D$77,2,FALSE)</f>
        <v>HTH</v>
      </c>
      <c r="AC59" s="363" t="s">
        <v>150</v>
      </c>
      <c r="AD59" s="363" t="s">
        <v>151</v>
      </c>
      <c r="AE59" s="363" t="s">
        <v>152</v>
      </c>
      <c r="AF59" s="366" t="str">
        <f>VLOOKUP(W59,KEY_Other!$B$37:$C$89,2,FALSE)</f>
        <v>DK</v>
      </c>
      <c r="AG59" s="363"/>
      <c r="AH59" s="363" t="str">
        <f>AC59&amp;VLOOKUP(U59,KEY_FUELS!$C$4:$D$78,2,FALSE)</f>
        <v>RSDHTH</v>
      </c>
      <c r="AI59" s="363" t="str">
        <f>IFERROR(AC59&amp;VLOOKUP(V59,KEY_FUELS!$C$4:$D$78,2,FALSE),"")</f>
        <v/>
      </c>
      <c r="AJ59" s="363" t="str">
        <f t="shared" ref="AJ59" si="25">LEFT(AC59,1)&amp;"H"&amp;AD59</f>
        <v>RHHSB</v>
      </c>
      <c r="AK59" s="363" t="str">
        <f t="shared" si="0"/>
        <v>RWHSB</v>
      </c>
      <c r="AL59" s="363" t="str">
        <f t="shared" si="1"/>
        <v/>
      </c>
      <c r="AM59" s="364">
        <v>31.536000000000001</v>
      </c>
      <c r="AN59" s="363">
        <f t="shared" si="2"/>
        <v>2020</v>
      </c>
      <c r="AO59" s="367"/>
      <c r="AP59" s="368"/>
      <c r="AQ59" s="370"/>
      <c r="AR59" s="370"/>
      <c r="AS59" s="370"/>
      <c r="AT59" s="370"/>
      <c r="AU59" s="371">
        <v>1</v>
      </c>
      <c r="AV59" s="371">
        <v>1</v>
      </c>
      <c r="AW59" s="371"/>
      <c r="AX59" s="372"/>
      <c r="AY59" s="368"/>
      <c r="AZ59" s="371">
        <v>1</v>
      </c>
      <c r="BA59" s="371">
        <v>1</v>
      </c>
      <c r="BB59" s="372"/>
      <c r="BC59" s="373"/>
      <c r="BD59" s="373"/>
      <c r="BE59" s="374"/>
      <c r="BF59" s="363"/>
      <c r="BG59" s="363"/>
      <c r="BH59" s="375"/>
      <c r="BI59" s="363">
        <v>25</v>
      </c>
      <c r="BJ59" s="363"/>
      <c r="BK59" s="372">
        <v>4.9000000000000004</v>
      </c>
      <c r="BL59" s="376"/>
      <c r="BM59" s="376"/>
      <c r="BN59" s="376"/>
      <c r="BO59" s="376"/>
      <c r="BP59" s="376"/>
      <c r="BQ59" s="376"/>
      <c r="BR59" s="368">
        <v>49</v>
      </c>
      <c r="BS59" s="372">
        <v>0</v>
      </c>
      <c r="BT59" s="364"/>
      <c r="BU59" s="372"/>
      <c r="BV59" s="364"/>
      <c r="BW59" s="364"/>
      <c r="BX59" s="397"/>
    </row>
    <row r="60" spans="1:76" s="226" customFormat="1" x14ac:dyDescent="0.3">
      <c r="A60" s="88"/>
      <c r="B60" s="87"/>
      <c r="C60" s="87"/>
      <c r="D60" s="87"/>
      <c r="E60" s="87"/>
      <c r="F60" s="88"/>
      <c r="G60" s="87"/>
      <c r="H60" s="88"/>
      <c r="I60" s="88"/>
      <c r="J60" s="378" t="s">
        <v>134</v>
      </c>
      <c r="K60" s="379" t="s">
        <v>135</v>
      </c>
      <c r="L60" s="379"/>
      <c r="M60" s="379"/>
      <c r="N60" s="379"/>
      <c r="O60" s="379" t="s">
        <v>136</v>
      </c>
      <c r="P60" s="379">
        <v>2017</v>
      </c>
      <c r="Q60" s="380" t="s">
        <v>168</v>
      </c>
      <c r="R60" s="381" t="s">
        <v>174</v>
      </c>
      <c r="S60" s="379">
        <v>10</v>
      </c>
      <c r="T60" s="379"/>
      <c r="U60" s="379" t="s">
        <v>170</v>
      </c>
      <c r="V60" s="379"/>
      <c r="W60" s="379" t="s">
        <v>149</v>
      </c>
      <c r="X60" s="379">
        <v>2030</v>
      </c>
      <c r="Y60" s="379"/>
      <c r="Z60" s="379" t="str">
        <f>VLOOKUP(R60,KEY_Processes!$B$4:$E$54,4,FALSE)</f>
        <v>HTH_05</v>
      </c>
      <c r="AA60" s="379" t="str">
        <f>VLOOKUP(R60,KEY_Processes!$B$4:$E$54,2,FALSE)</f>
        <v>District heating Direct substation</v>
      </c>
      <c r="AB60" s="379" t="str">
        <f>VLOOKUP(U60,KEY_FUELS!$C$4:$D$77,2,FALSE)</f>
        <v>HTH</v>
      </c>
      <c r="AC60" s="379" t="s">
        <v>150</v>
      </c>
      <c r="AD60" s="379" t="s">
        <v>151</v>
      </c>
      <c r="AE60" s="379" t="s">
        <v>152</v>
      </c>
      <c r="AF60" s="382" t="str">
        <f>VLOOKUP(W60,KEY_Other!$B$37:$C$89,2,FALSE)</f>
        <v>DK</v>
      </c>
      <c r="AG60" s="379"/>
      <c r="AH60" s="379" t="str">
        <f>AC60&amp;VLOOKUP(U60,KEY_FUELS!$C$4:$D$78,2,FALSE)</f>
        <v>RSDHTH</v>
      </c>
      <c r="AI60" s="379" t="str">
        <f>IFERROR(AC60&amp;VLOOKUP(V60,KEY_FUELS!$C$4:$D$78,2,FALSE),"")</f>
        <v/>
      </c>
      <c r="AJ60" s="379" t="str">
        <f t="shared" si="3"/>
        <v>RHHSB</v>
      </c>
      <c r="AK60" s="379" t="str">
        <f t="shared" si="0"/>
        <v>RWHSB</v>
      </c>
      <c r="AL60" s="379" t="str">
        <f t="shared" si="1"/>
        <v/>
      </c>
      <c r="AM60" s="380">
        <v>31.536000000000001</v>
      </c>
      <c r="AN60" s="379">
        <f t="shared" si="2"/>
        <v>2030</v>
      </c>
      <c r="AO60" s="383"/>
      <c r="AP60" s="384"/>
      <c r="AQ60" s="386"/>
      <c r="AR60" s="386"/>
      <c r="AS60" s="386"/>
      <c r="AT60" s="386"/>
      <c r="AU60" s="387">
        <v>1</v>
      </c>
      <c r="AV60" s="387">
        <v>1</v>
      </c>
      <c r="AW60" s="387"/>
      <c r="AX60" s="388"/>
      <c r="AY60" s="384"/>
      <c r="AZ60" s="387">
        <v>1</v>
      </c>
      <c r="BA60" s="387">
        <v>1</v>
      </c>
      <c r="BB60" s="388"/>
      <c r="BC60" s="389"/>
      <c r="BD60" s="389"/>
      <c r="BE60" s="390"/>
      <c r="BF60" s="379"/>
      <c r="BG60" s="379"/>
      <c r="BH60" s="391"/>
      <c r="BI60" s="379">
        <v>25</v>
      </c>
      <c r="BJ60" s="379"/>
      <c r="BK60" s="388">
        <v>4.9000000000000004</v>
      </c>
      <c r="BL60" s="392"/>
      <c r="BM60" s="392"/>
      <c r="BN60" s="392"/>
      <c r="BO60" s="392"/>
      <c r="BP60" s="392"/>
      <c r="BQ60" s="392"/>
      <c r="BR60" s="384">
        <v>47</v>
      </c>
      <c r="BS60" s="388">
        <v>0</v>
      </c>
      <c r="BT60" s="380"/>
      <c r="BU60" s="388"/>
      <c r="BV60" s="380"/>
      <c r="BW60" s="380"/>
      <c r="BX60" s="395"/>
    </row>
    <row r="61" spans="1:76" s="226" customFormat="1" x14ac:dyDescent="0.3">
      <c r="A61" s="88"/>
      <c r="B61" s="87"/>
      <c r="C61" s="87"/>
      <c r="D61" s="87"/>
      <c r="E61" s="87"/>
      <c r="F61" s="88"/>
      <c r="G61" s="87"/>
      <c r="H61" s="88"/>
      <c r="I61" s="88"/>
      <c r="J61" s="362" t="s">
        <v>134</v>
      </c>
      <c r="K61" s="363" t="s">
        <v>135</v>
      </c>
      <c r="L61" s="363"/>
      <c r="M61" s="363"/>
      <c r="N61" s="363"/>
      <c r="O61" s="363" t="s">
        <v>136</v>
      </c>
      <c r="P61" s="363">
        <v>2017</v>
      </c>
      <c r="Q61" s="364" t="s">
        <v>168</v>
      </c>
      <c r="R61" s="365" t="s">
        <v>174</v>
      </c>
      <c r="S61" s="363">
        <v>10</v>
      </c>
      <c r="T61" s="363"/>
      <c r="U61" s="363" t="s">
        <v>170</v>
      </c>
      <c r="V61" s="363"/>
      <c r="W61" s="363" t="s">
        <v>149</v>
      </c>
      <c r="X61" s="363">
        <v>2050</v>
      </c>
      <c r="Y61" s="363"/>
      <c r="Z61" s="363" t="str">
        <f>VLOOKUP(R61,KEY_Processes!$B$4:$E$54,4,FALSE)</f>
        <v>HTH_05</v>
      </c>
      <c r="AA61" s="363" t="str">
        <f>VLOOKUP(R61,KEY_Processes!$B$4:$E$54,2,FALSE)</f>
        <v>District heating Direct substation</v>
      </c>
      <c r="AB61" s="363" t="str">
        <f>VLOOKUP(U61,KEY_FUELS!$C$4:$D$77,2,FALSE)</f>
        <v>HTH</v>
      </c>
      <c r="AC61" s="363" t="s">
        <v>150</v>
      </c>
      <c r="AD61" s="363" t="s">
        <v>151</v>
      </c>
      <c r="AE61" s="363" t="s">
        <v>152</v>
      </c>
      <c r="AF61" s="366" t="str">
        <f>VLOOKUP(W61,KEY_Other!$B$37:$C$89,2,FALSE)</f>
        <v>DK</v>
      </c>
      <c r="AG61" s="363"/>
      <c r="AH61" s="363" t="str">
        <f>AC61&amp;VLOOKUP(U61,KEY_FUELS!$C$4:$D$78,2,FALSE)</f>
        <v>RSDHTH</v>
      </c>
      <c r="AI61" s="363" t="str">
        <f>IFERROR(AC61&amp;VLOOKUP(V61,KEY_FUELS!$C$4:$D$78,2,FALSE),"")</f>
        <v/>
      </c>
      <c r="AJ61" s="363" t="str">
        <f t="shared" ref="AJ61" si="26">LEFT(AC61,1)&amp;"H"&amp;AD61</f>
        <v>RHHSB</v>
      </c>
      <c r="AK61" s="363" t="str">
        <f t="shared" si="0"/>
        <v>RWHSB</v>
      </c>
      <c r="AL61" s="363" t="str">
        <f t="shared" si="1"/>
        <v/>
      </c>
      <c r="AM61" s="364">
        <v>31.536000000000001</v>
      </c>
      <c r="AN61" s="363">
        <f t="shared" si="2"/>
        <v>2050</v>
      </c>
      <c r="AO61" s="367"/>
      <c r="AP61" s="368"/>
      <c r="AQ61" s="370"/>
      <c r="AR61" s="370"/>
      <c r="AS61" s="370"/>
      <c r="AT61" s="370"/>
      <c r="AU61" s="371">
        <v>1</v>
      </c>
      <c r="AV61" s="371">
        <v>1</v>
      </c>
      <c r="AW61" s="371"/>
      <c r="AX61" s="372"/>
      <c r="AY61" s="368"/>
      <c r="AZ61" s="371">
        <v>1</v>
      </c>
      <c r="BA61" s="371">
        <v>1</v>
      </c>
      <c r="BB61" s="372"/>
      <c r="BC61" s="373"/>
      <c r="BD61" s="373"/>
      <c r="BE61" s="374"/>
      <c r="BF61" s="363"/>
      <c r="BG61" s="363"/>
      <c r="BH61" s="375"/>
      <c r="BI61" s="363">
        <v>25</v>
      </c>
      <c r="BJ61" s="363"/>
      <c r="BK61" s="372">
        <v>4</v>
      </c>
      <c r="BL61" s="376"/>
      <c r="BM61" s="376"/>
      <c r="BN61" s="376"/>
      <c r="BO61" s="376"/>
      <c r="BP61" s="376"/>
      <c r="BQ61" s="376"/>
      <c r="BR61" s="368">
        <v>43</v>
      </c>
      <c r="BS61" s="372">
        <v>0</v>
      </c>
      <c r="BT61" s="364"/>
      <c r="BU61" s="372"/>
      <c r="BV61" s="364"/>
      <c r="BW61" s="364"/>
      <c r="BX61" s="397"/>
    </row>
    <row r="62" spans="1:76" s="226" customFormat="1" x14ac:dyDescent="0.3">
      <c r="A62" s="88"/>
      <c r="B62" s="87"/>
      <c r="C62" s="87"/>
      <c r="D62" s="87"/>
      <c r="E62" s="87"/>
      <c r="F62" s="88"/>
      <c r="G62" s="87"/>
      <c r="H62" s="88"/>
      <c r="I62" s="88"/>
      <c r="J62" s="378" t="s">
        <v>134</v>
      </c>
      <c r="K62" s="379" t="s">
        <v>135</v>
      </c>
      <c r="L62" s="379"/>
      <c r="M62" s="379"/>
      <c r="N62" s="379"/>
      <c r="O62" s="379" t="s">
        <v>136</v>
      </c>
      <c r="P62" s="379">
        <v>2017</v>
      </c>
      <c r="Q62" s="380" t="s">
        <v>168</v>
      </c>
      <c r="R62" s="381" t="s">
        <v>175</v>
      </c>
      <c r="S62" s="379">
        <v>400</v>
      </c>
      <c r="T62" s="379"/>
      <c r="U62" s="379" t="s">
        <v>170</v>
      </c>
      <c r="V62" s="379"/>
      <c r="W62" s="379" t="s">
        <v>149</v>
      </c>
      <c r="X62" s="379">
        <v>2015</v>
      </c>
      <c r="Y62" s="379"/>
      <c r="Z62" s="379" t="str">
        <f>VLOOKUP(R62,KEY_Processes!$B$4:$E$54,4,FALSE)</f>
        <v>HTH_06</v>
      </c>
      <c r="AA62" s="379" t="str">
        <f>VLOOKUP(R62,KEY_Processes!$B$4:$E$54,2,FALSE)</f>
        <v>District heating Direct substation</v>
      </c>
      <c r="AB62" s="379" t="str">
        <f>VLOOKUP(U62,KEY_FUELS!$C$4:$D$77,2,FALSE)</f>
        <v>HTH</v>
      </c>
      <c r="AC62" s="379" t="s">
        <v>150</v>
      </c>
      <c r="AD62" s="379" t="s">
        <v>158</v>
      </c>
      <c r="AE62" s="379" t="s">
        <v>152</v>
      </c>
      <c r="AF62" s="382" t="str">
        <f>VLOOKUP(W62,KEY_Other!$B$37:$C$89,2,FALSE)</f>
        <v>DK</v>
      </c>
      <c r="AG62" s="379"/>
      <c r="AH62" s="379" t="str">
        <f>AC62&amp;VLOOKUP(U62,KEY_FUELS!$C$4:$D$78,2,FALSE)</f>
        <v>RSDHTH</v>
      </c>
      <c r="AI62" s="379" t="str">
        <f>IFERROR(AC62&amp;VLOOKUP(V62,KEY_FUELS!$C$4:$D$78,2,FALSE),"")</f>
        <v/>
      </c>
      <c r="AJ62" s="379" t="str">
        <f t="shared" si="3"/>
        <v>RHAPC</v>
      </c>
      <c r="AK62" s="379" t="str">
        <f t="shared" si="0"/>
        <v>RWAPC</v>
      </c>
      <c r="AL62" s="379" t="str">
        <f t="shared" si="1"/>
        <v/>
      </c>
      <c r="AM62" s="380">
        <v>31.536000000000001</v>
      </c>
      <c r="AN62" s="379">
        <f t="shared" si="2"/>
        <v>2015</v>
      </c>
      <c r="AO62" s="383"/>
      <c r="AP62" s="384"/>
      <c r="AQ62" s="386"/>
      <c r="AR62" s="386"/>
      <c r="AS62" s="386"/>
      <c r="AT62" s="386"/>
      <c r="AU62" s="387">
        <v>1</v>
      </c>
      <c r="AV62" s="387">
        <v>1</v>
      </c>
      <c r="AW62" s="387"/>
      <c r="AX62" s="388"/>
      <c r="AY62" s="384"/>
      <c r="AZ62" s="387">
        <v>1</v>
      </c>
      <c r="BA62" s="387">
        <v>1</v>
      </c>
      <c r="BB62" s="388"/>
      <c r="BC62" s="389"/>
      <c r="BD62" s="389"/>
      <c r="BE62" s="390"/>
      <c r="BF62" s="379"/>
      <c r="BG62" s="379"/>
      <c r="BH62" s="391"/>
      <c r="BI62" s="379">
        <v>25</v>
      </c>
      <c r="BJ62" s="379"/>
      <c r="BK62" s="388">
        <v>18</v>
      </c>
      <c r="BL62" s="392"/>
      <c r="BM62" s="392"/>
      <c r="BN62" s="392"/>
      <c r="BO62" s="392"/>
      <c r="BP62" s="392"/>
      <c r="BQ62" s="392"/>
      <c r="BR62" s="384">
        <v>89.6</v>
      </c>
      <c r="BS62" s="388">
        <v>0</v>
      </c>
      <c r="BT62" s="380"/>
      <c r="BU62" s="388"/>
      <c r="BV62" s="380"/>
      <c r="BW62" s="380"/>
      <c r="BX62" s="395"/>
    </row>
    <row r="63" spans="1:76" s="226" customFormat="1" x14ac:dyDescent="0.3">
      <c r="A63" s="88"/>
      <c r="B63" s="87"/>
      <c r="C63" s="87"/>
      <c r="D63" s="87"/>
      <c r="E63" s="87"/>
      <c r="F63" s="88"/>
      <c r="G63" s="87"/>
      <c r="H63" s="88"/>
      <c r="I63" s="88"/>
      <c r="J63" s="362" t="s">
        <v>134</v>
      </c>
      <c r="K63" s="363" t="s">
        <v>135</v>
      </c>
      <c r="L63" s="363"/>
      <c r="M63" s="363"/>
      <c r="N63" s="363"/>
      <c r="O63" s="363" t="s">
        <v>136</v>
      </c>
      <c r="P63" s="363">
        <v>2017</v>
      </c>
      <c r="Q63" s="364" t="s">
        <v>168</v>
      </c>
      <c r="R63" s="365" t="s">
        <v>175</v>
      </c>
      <c r="S63" s="363">
        <v>400</v>
      </c>
      <c r="T63" s="363"/>
      <c r="U63" s="363" t="s">
        <v>170</v>
      </c>
      <c r="V63" s="363"/>
      <c r="W63" s="363" t="s">
        <v>149</v>
      </c>
      <c r="X63" s="363">
        <v>2020</v>
      </c>
      <c r="Y63" s="363"/>
      <c r="Z63" s="363" t="str">
        <f>VLOOKUP(R63,KEY_Processes!$B$4:$E$54,4,FALSE)</f>
        <v>HTH_06</v>
      </c>
      <c r="AA63" s="363" t="str">
        <f>VLOOKUP(R63,KEY_Processes!$B$4:$E$54,2,FALSE)</f>
        <v>District heating Direct substation</v>
      </c>
      <c r="AB63" s="363" t="str">
        <f>VLOOKUP(U63,KEY_FUELS!$C$4:$D$77,2,FALSE)</f>
        <v>HTH</v>
      </c>
      <c r="AC63" s="363" t="s">
        <v>150</v>
      </c>
      <c r="AD63" s="363" t="s">
        <v>158</v>
      </c>
      <c r="AE63" s="363" t="s">
        <v>152</v>
      </c>
      <c r="AF63" s="366" t="str">
        <f>VLOOKUP(W63,KEY_Other!$B$37:$C$89,2,FALSE)</f>
        <v>DK</v>
      </c>
      <c r="AG63" s="363"/>
      <c r="AH63" s="363" t="str">
        <f>AC63&amp;VLOOKUP(U63,KEY_FUELS!$C$4:$D$78,2,FALSE)</f>
        <v>RSDHTH</v>
      </c>
      <c r="AI63" s="363" t="str">
        <f>IFERROR(AC63&amp;VLOOKUP(V63,KEY_FUELS!$C$4:$D$78,2,FALSE),"")</f>
        <v/>
      </c>
      <c r="AJ63" s="363" t="str">
        <f t="shared" ref="AJ63" si="27">LEFT(AC63,1)&amp;"H"&amp;AD63</f>
        <v>RHAPC</v>
      </c>
      <c r="AK63" s="363" t="str">
        <f t="shared" si="0"/>
        <v>RWAPC</v>
      </c>
      <c r="AL63" s="363" t="str">
        <f t="shared" si="1"/>
        <v/>
      </c>
      <c r="AM63" s="364">
        <v>31.536000000000001</v>
      </c>
      <c r="AN63" s="363">
        <f t="shared" si="2"/>
        <v>2020</v>
      </c>
      <c r="AO63" s="367"/>
      <c r="AP63" s="368"/>
      <c r="AQ63" s="370"/>
      <c r="AR63" s="370"/>
      <c r="AS63" s="370"/>
      <c r="AT63" s="370"/>
      <c r="AU63" s="371">
        <v>1</v>
      </c>
      <c r="AV63" s="371">
        <v>1</v>
      </c>
      <c r="AW63" s="371"/>
      <c r="AX63" s="372"/>
      <c r="AY63" s="368"/>
      <c r="AZ63" s="371">
        <v>1</v>
      </c>
      <c r="BA63" s="371">
        <v>1</v>
      </c>
      <c r="BB63" s="372"/>
      <c r="BC63" s="373"/>
      <c r="BD63" s="373"/>
      <c r="BE63" s="374"/>
      <c r="BF63" s="363"/>
      <c r="BG63" s="363"/>
      <c r="BH63" s="375"/>
      <c r="BI63" s="363">
        <v>25</v>
      </c>
      <c r="BJ63" s="363"/>
      <c r="BK63" s="372">
        <v>18</v>
      </c>
      <c r="BL63" s="376"/>
      <c r="BM63" s="376"/>
      <c r="BN63" s="376"/>
      <c r="BO63" s="376"/>
      <c r="BP63" s="376"/>
      <c r="BQ63" s="376"/>
      <c r="BR63" s="368">
        <v>89</v>
      </c>
      <c r="BS63" s="372">
        <v>0</v>
      </c>
      <c r="BT63" s="364"/>
      <c r="BU63" s="372"/>
      <c r="BV63" s="364"/>
      <c r="BW63" s="364"/>
      <c r="BX63" s="397"/>
    </row>
    <row r="64" spans="1:76" s="226" customFormat="1" x14ac:dyDescent="0.3">
      <c r="A64" s="88"/>
      <c r="B64" s="87"/>
      <c r="C64" s="87"/>
      <c r="D64" s="87"/>
      <c r="E64" s="87"/>
      <c r="F64" s="88"/>
      <c r="G64" s="87"/>
      <c r="H64" s="88"/>
      <c r="I64" s="88"/>
      <c r="J64" s="378" t="s">
        <v>134</v>
      </c>
      <c r="K64" s="379" t="s">
        <v>135</v>
      </c>
      <c r="L64" s="379"/>
      <c r="M64" s="379"/>
      <c r="N64" s="379"/>
      <c r="O64" s="379" t="s">
        <v>136</v>
      </c>
      <c r="P64" s="379">
        <v>2017</v>
      </c>
      <c r="Q64" s="380" t="s">
        <v>168</v>
      </c>
      <c r="R64" s="381" t="s">
        <v>175</v>
      </c>
      <c r="S64" s="379">
        <v>400</v>
      </c>
      <c r="T64" s="379"/>
      <c r="U64" s="379" t="s">
        <v>170</v>
      </c>
      <c r="V64" s="379"/>
      <c r="W64" s="379" t="s">
        <v>149</v>
      </c>
      <c r="X64" s="379">
        <v>2030</v>
      </c>
      <c r="Y64" s="379"/>
      <c r="Z64" s="379" t="str">
        <f>VLOOKUP(R64,KEY_Processes!$B$4:$E$54,4,FALSE)</f>
        <v>HTH_06</v>
      </c>
      <c r="AA64" s="379" t="str">
        <f>VLOOKUP(R64,KEY_Processes!$B$4:$E$54,2,FALSE)</f>
        <v>District heating Direct substation</v>
      </c>
      <c r="AB64" s="379" t="str">
        <f>VLOOKUP(U64,KEY_FUELS!$C$4:$D$77,2,FALSE)</f>
        <v>HTH</v>
      </c>
      <c r="AC64" s="379" t="s">
        <v>150</v>
      </c>
      <c r="AD64" s="379" t="s">
        <v>158</v>
      </c>
      <c r="AE64" s="379" t="s">
        <v>152</v>
      </c>
      <c r="AF64" s="382" t="str">
        <f>VLOOKUP(W64,KEY_Other!$B$37:$C$89,2,FALSE)</f>
        <v>DK</v>
      </c>
      <c r="AG64" s="379"/>
      <c r="AH64" s="379" t="str">
        <f>AC64&amp;VLOOKUP(U64,KEY_FUELS!$C$4:$D$78,2,FALSE)</f>
        <v>RSDHTH</v>
      </c>
      <c r="AI64" s="379" t="str">
        <f>IFERROR(AC64&amp;VLOOKUP(V64,KEY_FUELS!$C$4:$D$78,2,FALSE),"")</f>
        <v/>
      </c>
      <c r="AJ64" s="379" t="str">
        <f t="shared" si="3"/>
        <v>RHAPC</v>
      </c>
      <c r="AK64" s="379" t="str">
        <f t="shared" si="0"/>
        <v>RWAPC</v>
      </c>
      <c r="AL64" s="379" t="str">
        <f t="shared" si="1"/>
        <v/>
      </c>
      <c r="AM64" s="380">
        <v>31.536000000000001</v>
      </c>
      <c r="AN64" s="379">
        <f t="shared" si="2"/>
        <v>2030</v>
      </c>
      <c r="AO64" s="383"/>
      <c r="AP64" s="384"/>
      <c r="AQ64" s="386"/>
      <c r="AR64" s="386"/>
      <c r="AS64" s="386"/>
      <c r="AT64" s="386"/>
      <c r="AU64" s="387">
        <v>1</v>
      </c>
      <c r="AV64" s="387">
        <v>1</v>
      </c>
      <c r="AW64" s="387"/>
      <c r="AX64" s="388"/>
      <c r="AY64" s="384"/>
      <c r="AZ64" s="387">
        <v>1</v>
      </c>
      <c r="BA64" s="387">
        <v>1</v>
      </c>
      <c r="BB64" s="388"/>
      <c r="BC64" s="389"/>
      <c r="BD64" s="389"/>
      <c r="BE64" s="390"/>
      <c r="BF64" s="379"/>
      <c r="BG64" s="379"/>
      <c r="BH64" s="391"/>
      <c r="BI64" s="379">
        <v>25</v>
      </c>
      <c r="BJ64" s="379"/>
      <c r="BK64" s="388">
        <v>17</v>
      </c>
      <c r="BL64" s="392"/>
      <c r="BM64" s="392"/>
      <c r="BN64" s="392"/>
      <c r="BO64" s="392"/>
      <c r="BP64" s="392"/>
      <c r="BQ64" s="392"/>
      <c r="BR64" s="384">
        <v>89</v>
      </c>
      <c r="BS64" s="388">
        <v>0</v>
      </c>
      <c r="BT64" s="380"/>
      <c r="BU64" s="388"/>
      <c r="BV64" s="380"/>
      <c r="BW64" s="380"/>
      <c r="BX64" s="395"/>
    </row>
    <row r="65" spans="1:76" s="226" customFormat="1" x14ac:dyDescent="0.3">
      <c r="A65" s="88"/>
      <c r="B65" s="87"/>
      <c r="C65" s="87"/>
      <c r="D65" s="87"/>
      <c r="E65" s="87"/>
      <c r="F65" s="88"/>
      <c r="G65" s="87"/>
      <c r="H65" s="88"/>
      <c r="I65" s="88"/>
      <c r="J65" s="362" t="s">
        <v>134</v>
      </c>
      <c r="K65" s="363" t="s">
        <v>135</v>
      </c>
      <c r="L65" s="363"/>
      <c r="M65" s="363"/>
      <c r="N65" s="363"/>
      <c r="O65" s="363" t="s">
        <v>136</v>
      </c>
      <c r="P65" s="363">
        <v>2017</v>
      </c>
      <c r="Q65" s="364" t="s">
        <v>168</v>
      </c>
      <c r="R65" s="365" t="s">
        <v>175</v>
      </c>
      <c r="S65" s="363">
        <v>400</v>
      </c>
      <c r="T65" s="363"/>
      <c r="U65" s="363" t="s">
        <v>170</v>
      </c>
      <c r="V65" s="363"/>
      <c r="W65" s="363" t="s">
        <v>149</v>
      </c>
      <c r="X65" s="363">
        <v>2050</v>
      </c>
      <c r="Y65" s="363"/>
      <c r="Z65" s="363" t="str">
        <f>VLOOKUP(R65,KEY_Processes!$B$4:$E$54,4,FALSE)</f>
        <v>HTH_06</v>
      </c>
      <c r="AA65" s="363" t="str">
        <f>VLOOKUP(R65,KEY_Processes!$B$4:$E$54,2,FALSE)</f>
        <v>District heating Direct substation</v>
      </c>
      <c r="AB65" s="363" t="str">
        <f>VLOOKUP(U65,KEY_FUELS!$C$4:$D$77,2,FALSE)</f>
        <v>HTH</v>
      </c>
      <c r="AC65" s="363" t="s">
        <v>150</v>
      </c>
      <c r="AD65" s="363" t="s">
        <v>158</v>
      </c>
      <c r="AE65" s="363" t="s">
        <v>152</v>
      </c>
      <c r="AF65" s="366" t="str">
        <f>VLOOKUP(W65,KEY_Other!$B$37:$C$89,2,FALSE)</f>
        <v>DK</v>
      </c>
      <c r="AG65" s="363"/>
      <c r="AH65" s="363" t="str">
        <f>AC65&amp;VLOOKUP(U65,KEY_FUELS!$C$4:$D$78,2,FALSE)</f>
        <v>RSDHTH</v>
      </c>
      <c r="AI65" s="363" t="str">
        <f>IFERROR(AC65&amp;VLOOKUP(V65,KEY_FUELS!$C$4:$D$78,2,FALSE),"")</f>
        <v/>
      </c>
      <c r="AJ65" s="363" t="str">
        <f t="shared" ref="AJ65" si="28">LEFT(AC65,1)&amp;"H"&amp;AD65</f>
        <v>RHAPC</v>
      </c>
      <c r="AK65" s="363" t="str">
        <f t="shared" si="0"/>
        <v>RWAPC</v>
      </c>
      <c r="AL65" s="363" t="str">
        <f t="shared" si="1"/>
        <v/>
      </c>
      <c r="AM65" s="364">
        <v>31.536000000000001</v>
      </c>
      <c r="AN65" s="363">
        <f t="shared" si="2"/>
        <v>2050</v>
      </c>
      <c r="AO65" s="367"/>
      <c r="AP65" s="368"/>
      <c r="AQ65" s="370"/>
      <c r="AR65" s="370"/>
      <c r="AS65" s="370"/>
      <c r="AT65" s="370"/>
      <c r="AU65" s="371">
        <v>1</v>
      </c>
      <c r="AV65" s="371">
        <v>1</v>
      </c>
      <c r="AW65" s="371"/>
      <c r="AX65" s="372"/>
      <c r="AY65" s="368"/>
      <c r="AZ65" s="371">
        <v>1</v>
      </c>
      <c r="BA65" s="371">
        <v>1</v>
      </c>
      <c r="BB65" s="372"/>
      <c r="BC65" s="373"/>
      <c r="BD65" s="373"/>
      <c r="BE65" s="374"/>
      <c r="BF65" s="363"/>
      <c r="BG65" s="363"/>
      <c r="BH65" s="375"/>
      <c r="BI65" s="363">
        <v>25</v>
      </c>
      <c r="BJ65" s="363"/>
      <c r="BK65" s="372">
        <v>15</v>
      </c>
      <c r="BL65" s="376"/>
      <c r="BM65" s="376"/>
      <c r="BN65" s="376"/>
      <c r="BO65" s="376"/>
      <c r="BP65" s="376"/>
      <c r="BQ65" s="376"/>
      <c r="BR65" s="368">
        <v>82</v>
      </c>
      <c r="BS65" s="372">
        <v>0</v>
      </c>
      <c r="BT65" s="364"/>
      <c r="BU65" s="372"/>
      <c r="BV65" s="364"/>
      <c r="BW65" s="364"/>
      <c r="BX65" s="397"/>
    </row>
    <row r="66" spans="1:76" s="226" customFormat="1" x14ac:dyDescent="0.3">
      <c r="A66" s="88"/>
      <c r="B66" s="87"/>
      <c r="C66" s="87"/>
      <c r="D66" s="87"/>
      <c r="E66" s="87"/>
      <c r="F66" s="88"/>
      <c r="G66" s="87"/>
      <c r="H66" s="88"/>
      <c r="I66" s="88"/>
      <c r="J66" s="378" t="s">
        <v>134</v>
      </c>
      <c r="K66" s="379" t="s">
        <v>135</v>
      </c>
      <c r="L66" s="379"/>
      <c r="M66" s="379"/>
      <c r="N66" s="379"/>
      <c r="O66" s="379" t="s">
        <v>136</v>
      </c>
      <c r="P66" s="379">
        <v>2017</v>
      </c>
      <c r="Q66" s="380" t="s">
        <v>168</v>
      </c>
      <c r="R66" s="381" t="s">
        <v>176</v>
      </c>
      <c r="S66" s="379">
        <v>160</v>
      </c>
      <c r="T66" s="379"/>
      <c r="U66" s="379" t="s">
        <v>170</v>
      </c>
      <c r="V66" s="379"/>
      <c r="W66" s="379" t="s">
        <v>149</v>
      </c>
      <c r="X66" s="379">
        <v>2015</v>
      </c>
      <c r="Y66" s="379"/>
      <c r="Z66" s="379" t="str">
        <f>VLOOKUP(R66,KEY_Processes!$B$4:$E$54,4,FALSE)</f>
        <v>HTH_07</v>
      </c>
      <c r="AA66" s="379" t="str">
        <f>VLOOKUP(R66,KEY_Processes!$B$4:$E$54,2,FALSE)</f>
        <v>District heating Direct substation</v>
      </c>
      <c r="AB66" s="379" t="str">
        <f>VLOOKUP(U66,KEY_FUELS!$C$4:$D$77,2,FALSE)</f>
        <v>HTH</v>
      </c>
      <c r="AC66" s="379" t="s">
        <v>150</v>
      </c>
      <c r="AD66" s="379" t="s">
        <v>161</v>
      </c>
      <c r="AE66" s="379" t="s">
        <v>152</v>
      </c>
      <c r="AF66" s="382" t="str">
        <f>VLOOKUP(W66,KEY_Other!$B$37:$C$89,2,FALSE)</f>
        <v>DK</v>
      </c>
      <c r="AG66" s="379"/>
      <c r="AH66" s="379" t="str">
        <f>AC66&amp;VLOOKUP(U66,KEY_FUELS!$C$4:$D$78,2,FALSE)</f>
        <v>RSDHTH</v>
      </c>
      <c r="AI66" s="379" t="str">
        <f>IFERROR(AC66&amp;VLOOKUP(V66,KEY_FUELS!$C$4:$D$78,2,FALSE),"")</f>
        <v/>
      </c>
      <c r="AJ66" s="379" t="str">
        <f t="shared" si="3"/>
        <v>RHAPA</v>
      </c>
      <c r="AK66" s="379" t="str">
        <f t="shared" si="0"/>
        <v>RWAPA</v>
      </c>
      <c r="AL66" s="379" t="str">
        <f t="shared" si="1"/>
        <v/>
      </c>
      <c r="AM66" s="380">
        <v>31.536000000000001</v>
      </c>
      <c r="AN66" s="379">
        <f t="shared" si="2"/>
        <v>2015</v>
      </c>
      <c r="AO66" s="383"/>
      <c r="AP66" s="384"/>
      <c r="AQ66" s="386"/>
      <c r="AR66" s="386"/>
      <c r="AS66" s="386"/>
      <c r="AT66" s="386"/>
      <c r="AU66" s="387">
        <v>1</v>
      </c>
      <c r="AV66" s="387">
        <v>1</v>
      </c>
      <c r="AW66" s="387"/>
      <c r="AX66" s="388"/>
      <c r="AY66" s="384"/>
      <c r="AZ66" s="387">
        <v>1</v>
      </c>
      <c r="BA66" s="387">
        <v>1</v>
      </c>
      <c r="BB66" s="388"/>
      <c r="BC66" s="389"/>
      <c r="BD66" s="389"/>
      <c r="BE66" s="390"/>
      <c r="BF66" s="379"/>
      <c r="BG66" s="379"/>
      <c r="BH66" s="391"/>
      <c r="BI66" s="379">
        <v>25</v>
      </c>
      <c r="BJ66" s="379"/>
      <c r="BK66" s="388">
        <v>14</v>
      </c>
      <c r="BL66" s="392"/>
      <c r="BM66" s="392"/>
      <c r="BN66" s="392"/>
      <c r="BO66" s="392"/>
      <c r="BP66" s="392"/>
      <c r="BQ66" s="392"/>
      <c r="BR66" s="384">
        <v>77.599999999999994</v>
      </c>
      <c r="BS66" s="388">
        <v>0</v>
      </c>
      <c r="BT66" s="380"/>
      <c r="BU66" s="388"/>
      <c r="BV66" s="380"/>
      <c r="BW66" s="380"/>
      <c r="BX66" s="395"/>
    </row>
    <row r="67" spans="1:76" s="226" customFormat="1" x14ac:dyDescent="0.3">
      <c r="A67" s="88"/>
      <c r="B67" s="87"/>
      <c r="C67" s="87"/>
      <c r="D67" s="87"/>
      <c r="E67" s="87"/>
      <c r="F67" s="88"/>
      <c r="G67" s="87"/>
      <c r="H67" s="88"/>
      <c r="I67" s="88"/>
      <c r="J67" s="362" t="s">
        <v>134</v>
      </c>
      <c r="K67" s="363" t="s">
        <v>135</v>
      </c>
      <c r="L67" s="363"/>
      <c r="M67" s="363"/>
      <c r="N67" s="363"/>
      <c r="O67" s="363" t="s">
        <v>136</v>
      </c>
      <c r="P67" s="363">
        <v>2017</v>
      </c>
      <c r="Q67" s="364" t="s">
        <v>168</v>
      </c>
      <c r="R67" s="365" t="s">
        <v>176</v>
      </c>
      <c r="S67" s="363">
        <v>160</v>
      </c>
      <c r="T67" s="363"/>
      <c r="U67" s="363" t="s">
        <v>170</v>
      </c>
      <c r="V67" s="363"/>
      <c r="W67" s="363" t="s">
        <v>149</v>
      </c>
      <c r="X67" s="363">
        <v>2020</v>
      </c>
      <c r="Y67" s="363"/>
      <c r="Z67" s="363" t="str">
        <f>VLOOKUP(R67,KEY_Processes!$B$4:$E$54,4,FALSE)</f>
        <v>HTH_07</v>
      </c>
      <c r="AA67" s="363" t="str">
        <f>VLOOKUP(R67,KEY_Processes!$B$4:$E$54,2,FALSE)</f>
        <v>District heating Direct substation</v>
      </c>
      <c r="AB67" s="363" t="str">
        <f>VLOOKUP(U67,KEY_FUELS!$C$4:$D$77,2,FALSE)</f>
        <v>HTH</v>
      </c>
      <c r="AC67" s="363" t="s">
        <v>150</v>
      </c>
      <c r="AD67" s="363" t="s">
        <v>161</v>
      </c>
      <c r="AE67" s="363" t="s">
        <v>152</v>
      </c>
      <c r="AF67" s="366" t="str">
        <f>VLOOKUP(W67,KEY_Other!$B$37:$C$89,2,FALSE)</f>
        <v>DK</v>
      </c>
      <c r="AG67" s="363"/>
      <c r="AH67" s="363" t="str">
        <f>AC67&amp;VLOOKUP(U67,KEY_FUELS!$C$4:$D$78,2,FALSE)</f>
        <v>RSDHTH</v>
      </c>
      <c r="AI67" s="363" t="str">
        <f>IFERROR(AC67&amp;VLOOKUP(V67,KEY_FUELS!$C$4:$D$78,2,FALSE),"")</f>
        <v/>
      </c>
      <c r="AJ67" s="363" t="str">
        <f t="shared" ref="AJ67" si="29">LEFT(AC67,1)&amp;"H"&amp;AD67</f>
        <v>RHAPA</v>
      </c>
      <c r="AK67" s="363" t="str">
        <f t="shared" si="0"/>
        <v>RWAPA</v>
      </c>
      <c r="AL67" s="363" t="str">
        <f t="shared" si="1"/>
        <v/>
      </c>
      <c r="AM67" s="364">
        <v>31.536000000000001</v>
      </c>
      <c r="AN67" s="363">
        <f t="shared" si="2"/>
        <v>2020</v>
      </c>
      <c r="AO67" s="367"/>
      <c r="AP67" s="368"/>
      <c r="AQ67" s="370"/>
      <c r="AR67" s="370"/>
      <c r="AS67" s="370"/>
      <c r="AT67" s="370"/>
      <c r="AU67" s="371">
        <v>1</v>
      </c>
      <c r="AV67" s="371">
        <v>1</v>
      </c>
      <c r="AW67" s="371"/>
      <c r="AX67" s="372"/>
      <c r="AY67" s="368"/>
      <c r="AZ67" s="371">
        <v>1</v>
      </c>
      <c r="BA67" s="371">
        <v>1</v>
      </c>
      <c r="BB67" s="372"/>
      <c r="BC67" s="373"/>
      <c r="BD67" s="373"/>
      <c r="BE67" s="374"/>
      <c r="BF67" s="363"/>
      <c r="BG67" s="363"/>
      <c r="BH67" s="375"/>
      <c r="BI67" s="363">
        <v>25</v>
      </c>
      <c r="BJ67" s="363"/>
      <c r="BK67" s="372">
        <v>14</v>
      </c>
      <c r="BL67" s="376"/>
      <c r="BM67" s="376"/>
      <c r="BN67" s="376"/>
      <c r="BO67" s="376"/>
      <c r="BP67" s="376"/>
      <c r="BQ67" s="376"/>
      <c r="BR67" s="368">
        <v>77</v>
      </c>
      <c r="BS67" s="372">
        <v>0</v>
      </c>
      <c r="BT67" s="364"/>
      <c r="BU67" s="372"/>
      <c r="BV67" s="364"/>
      <c r="BW67" s="364"/>
      <c r="BX67" s="397"/>
    </row>
    <row r="68" spans="1:76" s="226" customFormat="1" x14ac:dyDescent="0.3">
      <c r="A68" s="88"/>
      <c r="B68" s="87"/>
      <c r="C68" s="87"/>
      <c r="D68" s="87"/>
      <c r="E68" s="87"/>
      <c r="F68" s="88"/>
      <c r="G68" s="87"/>
      <c r="H68" s="88"/>
      <c r="I68" s="88"/>
      <c r="J68" s="378" t="s">
        <v>134</v>
      </c>
      <c r="K68" s="379" t="s">
        <v>135</v>
      </c>
      <c r="L68" s="379"/>
      <c r="M68" s="379"/>
      <c r="N68" s="379"/>
      <c r="O68" s="379" t="s">
        <v>136</v>
      </c>
      <c r="P68" s="379">
        <v>2017</v>
      </c>
      <c r="Q68" s="380" t="s">
        <v>168</v>
      </c>
      <c r="R68" s="381" t="s">
        <v>176</v>
      </c>
      <c r="S68" s="379">
        <v>160</v>
      </c>
      <c r="T68" s="379"/>
      <c r="U68" s="379" t="s">
        <v>170</v>
      </c>
      <c r="V68" s="379"/>
      <c r="W68" s="379" t="s">
        <v>149</v>
      </c>
      <c r="X68" s="379">
        <v>2030</v>
      </c>
      <c r="Y68" s="379"/>
      <c r="Z68" s="379" t="str">
        <f>VLOOKUP(R68,KEY_Processes!$B$4:$E$54,4,FALSE)</f>
        <v>HTH_07</v>
      </c>
      <c r="AA68" s="379" t="str">
        <f>VLOOKUP(R68,KEY_Processes!$B$4:$E$54,2,FALSE)</f>
        <v>District heating Direct substation</v>
      </c>
      <c r="AB68" s="379" t="str">
        <f>VLOOKUP(U68,KEY_FUELS!$C$4:$D$77,2,FALSE)</f>
        <v>HTH</v>
      </c>
      <c r="AC68" s="379" t="s">
        <v>150</v>
      </c>
      <c r="AD68" s="379" t="s">
        <v>161</v>
      </c>
      <c r="AE68" s="379" t="s">
        <v>152</v>
      </c>
      <c r="AF68" s="382" t="str">
        <f>VLOOKUP(W68,KEY_Other!$B$37:$C$89,2,FALSE)</f>
        <v>DK</v>
      </c>
      <c r="AG68" s="379"/>
      <c r="AH68" s="379" t="str">
        <f>AC68&amp;VLOOKUP(U68,KEY_FUELS!$C$4:$D$78,2,FALSE)</f>
        <v>RSDHTH</v>
      </c>
      <c r="AI68" s="379" t="str">
        <f>IFERROR(AC68&amp;VLOOKUP(V68,KEY_FUELS!$C$4:$D$78,2,FALSE),"")</f>
        <v/>
      </c>
      <c r="AJ68" s="379" t="str">
        <f t="shared" si="3"/>
        <v>RHAPA</v>
      </c>
      <c r="AK68" s="379" t="str">
        <f t="shared" si="0"/>
        <v>RWAPA</v>
      </c>
      <c r="AL68" s="379" t="str">
        <f t="shared" si="1"/>
        <v/>
      </c>
      <c r="AM68" s="380">
        <v>31.536000000000001</v>
      </c>
      <c r="AN68" s="379">
        <f t="shared" si="2"/>
        <v>2030</v>
      </c>
      <c r="AO68" s="383"/>
      <c r="AP68" s="384"/>
      <c r="AQ68" s="386"/>
      <c r="AR68" s="386"/>
      <c r="AS68" s="386"/>
      <c r="AT68" s="386"/>
      <c r="AU68" s="387">
        <v>1</v>
      </c>
      <c r="AV68" s="387">
        <v>1</v>
      </c>
      <c r="AW68" s="387"/>
      <c r="AX68" s="388"/>
      <c r="AY68" s="384"/>
      <c r="AZ68" s="387">
        <v>1</v>
      </c>
      <c r="BA68" s="387">
        <v>1</v>
      </c>
      <c r="BB68" s="388"/>
      <c r="BC68" s="389"/>
      <c r="BD68" s="389"/>
      <c r="BE68" s="390"/>
      <c r="BF68" s="379"/>
      <c r="BG68" s="379"/>
      <c r="BH68" s="391"/>
      <c r="BI68" s="379">
        <v>25</v>
      </c>
      <c r="BJ68" s="379"/>
      <c r="BK68" s="388">
        <v>13</v>
      </c>
      <c r="BL68" s="392"/>
      <c r="BM68" s="392"/>
      <c r="BN68" s="392"/>
      <c r="BO68" s="392"/>
      <c r="BP68" s="392"/>
      <c r="BQ68" s="392"/>
      <c r="BR68" s="384">
        <v>78</v>
      </c>
      <c r="BS68" s="388">
        <v>0</v>
      </c>
      <c r="BT68" s="380"/>
      <c r="BU68" s="388"/>
      <c r="BV68" s="380"/>
      <c r="BW68" s="380"/>
      <c r="BX68" s="395"/>
    </row>
    <row r="69" spans="1:76" s="226" customFormat="1" x14ac:dyDescent="0.3">
      <c r="A69" s="88"/>
      <c r="B69" s="87"/>
      <c r="C69" s="87"/>
      <c r="D69" s="87"/>
      <c r="E69" s="87"/>
      <c r="F69" s="88"/>
      <c r="G69" s="87"/>
      <c r="H69" s="88"/>
      <c r="I69" s="88"/>
      <c r="J69" s="362" t="s">
        <v>134</v>
      </c>
      <c r="K69" s="363" t="s">
        <v>135</v>
      </c>
      <c r="L69" s="363"/>
      <c r="M69" s="363"/>
      <c r="N69" s="363"/>
      <c r="O69" s="363" t="s">
        <v>136</v>
      </c>
      <c r="P69" s="363">
        <v>2017</v>
      </c>
      <c r="Q69" s="364" t="s">
        <v>168</v>
      </c>
      <c r="R69" s="365" t="s">
        <v>176</v>
      </c>
      <c r="S69" s="363">
        <v>160</v>
      </c>
      <c r="T69" s="363"/>
      <c r="U69" s="363" t="s">
        <v>170</v>
      </c>
      <c r="V69" s="363"/>
      <c r="W69" s="363" t="s">
        <v>149</v>
      </c>
      <c r="X69" s="363">
        <v>2050</v>
      </c>
      <c r="Y69" s="363"/>
      <c r="Z69" s="363" t="str">
        <f>VLOOKUP(R69,KEY_Processes!$B$4:$E$54,4,FALSE)</f>
        <v>HTH_07</v>
      </c>
      <c r="AA69" s="363" t="str">
        <f>VLOOKUP(R69,KEY_Processes!$B$4:$E$54,2,FALSE)</f>
        <v>District heating Direct substation</v>
      </c>
      <c r="AB69" s="363" t="str">
        <f>VLOOKUP(U69,KEY_FUELS!$C$4:$D$77,2,FALSE)</f>
        <v>HTH</v>
      </c>
      <c r="AC69" s="363" t="s">
        <v>150</v>
      </c>
      <c r="AD69" s="363" t="s">
        <v>161</v>
      </c>
      <c r="AE69" s="363" t="s">
        <v>152</v>
      </c>
      <c r="AF69" s="366" t="str">
        <f>VLOOKUP(W69,KEY_Other!$B$37:$C$89,2,FALSE)</f>
        <v>DK</v>
      </c>
      <c r="AG69" s="363"/>
      <c r="AH69" s="363" t="str">
        <f>AC69&amp;VLOOKUP(U69,KEY_FUELS!$C$4:$D$78,2,FALSE)</f>
        <v>RSDHTH</v>
      </c>
      <c r="AI69" s="363" t="str">
        <f>IFERROR(AC69&amp;VLOOKUP(V69,KEY_FUELS!$C$4:$D$78,2,FALSE),"")</f>
        <v/>
      </c>
      <c r="AJ69" s="363" t="str">
        <f t="shared" ref="AJ69" si="30">LEFT(AC69,1)&amp;"H"&amp;AD69</f>
        <v>RHAPA</v>
      </c>
      <c r="AK69" s="363" t="str">
        <f t="shared" si="0"/>
        <v>RWAPA</v>
      </c>
      <c r="AL69" s="363" t="str">
        <f t="shared" si="1"/>
        <v/>
      </c>
      <c r="AM69" s="364">
        <v>31.536000000000001</v>
      </c>
      <c r="AN69" s="363">
        <f t="shared" si="2"/>
        <v>2050</v>
      </c>
      <c r="AO69" s="367"/>
      <c r="AP69" s="368"/>
      <c r="AQ69" s="370"/>
      <c r="AR69" s="370"/>
      <c r="AS69" s="370"/>
      <c r="AT69" s="370"/>
      <c r="AU69" s="371">
        <v>1</v>
      </c>
      <c r="AV69" s="371">
        <v>1</v>
      </c>
      <c r="AW69" s="371"/>
      <c r="AX69" s="372"/>
      <c r="AY69" s="368"/>
      <c r="AZ69" s="371">
        <v>1</v>
      </c>
      <c r="BA69" s="371">
        <v>1</v>
      </c>
      <c r="BB69" s="372"/>
      <c r="BC69" s="373"/>
      <c r="BD69" s="373"/>
      <c r="BE69" s="374"/>
      <c r="BF69" s="363"/>
      <c r="BG69" s="363"/>
      <c r="BH69" s="375"/>
      <c r="BI69" s="363">
        <v>25</v>
      </c>
      <c r="BJ69" s="363"/>
      <c r="BK69" s="372">
        <v>12</v>
      </c>
      <c r="BL69" s="376"/>
      <c r="BM69" s="376"/>
      <c r="BN69" s="376"/>
      <c r="BO69" s="376"/>
      <c r="BP69" s="376"/>
      <c r="BQ69" s="376"/>
      <c r="BR69" s="368">
        <v>72</v>
      </c>
      <c r="BS69" s="372">
        <v>0</v>
      </c>
      <c r="BT69" s="364"/>
      <c r="BU69" s="372"/>
      <c r="BV69" s="364"/>
      <c r="BW69" s="364"/>
      <c r="BX69" s="397"/>
    </row>
    <row r="70" spans="1:76" s="226" customFormat="1" x14ac:dyDescent="0.3">
      <c r="A70" s="88"/>
      <c r="B70" s="87"/>
      <c r="C70" s="87"/>
      <c r="D70" s="87"/>
      <c r="E70" s="87"/>
      <c r="F70" s="88"/>
      <c r="G70" s="87"/>
      <c r="H70" s="88"/>
      <c r="I70" s="88"/>
      <c r="J70" s="378" t="s">
        <v>134</v>
      </c>
      <c r="K70" s="379" t="s">
        <v>135</v>
      </c>
      <c r="L70" s="379"/>
      <c r="M70" s="379"/>
      <c r="N70" s="379"/>
      <c r="O70" s="379" t="s">
        <v>136</v>
      </c>
      <c r="P70" s="379">
        <v>2017</v>
      </c>
      <c r="Q70" s="380" t="s">
        <v>177</v>
      </c>
      <c r="R70" s="381" t="s">
        <v>178</v>
      </c>
      <c r="S70" s="379">
        <v>12</v>
      </c>
      <c r="T70" s="379"/>
      <c r="U70" s="379" t="s">
        <v>179</v>
      </c>
      <c r="V70" s="379"/>
      <c r="W70" s="379" t="s">
        <v>149</v>
      </c>
      <c r="X70" s="379">
        <v>2015</v>
      </c>
      <c r="Y70" s="379"/>
      <c r="Z70" s="379" t="str">
        <f>VLOOKUP(R70,KEY_Processes!$B$4:$E$54,4,FALSE)</f>
        <v>B_WOF_01</v>
      </c>
      <c r="AA70" s="379" t="str">
        <f>VLOOKUP(R70,KEY_Processes!$B$4:$E$54,2,FALSE)</f>
        <v>Biomass boilers, automatic stoking</v>
      </c>
      <c r="AB70" s="379" t="str">
        <f>VLOOKUP(U70,KEY_FUELS!$C$4:$D$77,2,FALSE)</f>
        <v>WOF</v>
      </c>
      <c r="AC70" s="379" t="s">
        <v>150</v>
      </c>
      <c r="AD70" s="379" t="s">
        <v>151</v>
      </c>
      <c r="AE70" s="379" t="s">
        <v>152</v>
      </c>
      <c r="AF70" s="382" t="str">
        <f>VLOOKUP(W70,KEY_Other!$B$37:$C$89,2,FALSE)</f>
        <v>DK</v>
      </c>
      <c r="AG70" s="379"/>
      <c r="AH70" s="379" t="str">
        <f>AC70&amp;VLOOKUP(U70,KEY_FUELS!$C$4:$D$78,2,FALSE)</f>
        <v>RSDWOF</v>
      </c>
      <c r="AI70" s="379" t="str">
        <f>IFERROR(AC70&amp;VLOOKUP(V70,KEY_FUELS!$C$4:$D$78,2,FALSE),"")</f>
        <v/>
      </c>
      <c r="AJ70" s="379" t="str">
        <f t="shared" si="3"/>
        <v>RHHSB</v>
      </c>
      <c r="AK70" s="379" t="str">
        <f t="shared" si="0"/>
        <v>RWHSB</v>
      </c>
      <c r="AL70" s="379" t="str">
        <f t="shared" si="1"/>
        <v/>
      </c>
      <c r="AM70" s="380">
        <v>31.536000000000001</v>
      </c>
      <c r="AN70" s="379">
        <f t="shared" si="2"/>
        <v>2015</v>
      </c>
      <c r="AO70" s="383"/>
      <c r="AP70" s="384"/>
      <c r="AQ70" s="386"/>
      <c r="AR70" s="386"/>
      <c r="AS70" s="386"/>
      <c r="AT70" s="386"/>
      <c r="AU70" s="387">
        <v>1</v>
      </c>
      <c r="AV70" s="387">
        <v>1</v>
      </c>
      <c r="AW70" s="387"/>
      <c r="AX70" s="388"/>
      <c r="AY70" s="384"/>
      <c r="AZ70" s="387">
        <v>0.8</v>
      </c>
      <c r="BA70" s="387">
        <v>0.8</v>
      </c>
      <c r="BB70" s="388"/>
      <c r="BC70" s="389"/>
      <c r="BD70" s="389"/>
      <c r="BE70" s="390"/>
      <c r="BF70" s="379"/>
      <c r="BG70" s="379"/>
      <c r="BH70" s="391"/>
      <c r="BI70" s="379">
        <v>20</v>
      </c>
      <c r="BJ70" s="379"/>
      <c r="BK70" s="388">
        <v>8.6</v>
      </c>
      <c r="BL70" s="392"/>
      <c r="BM70" s="392"/>
      <c r="BN70" s="392"/>
      <c r="BO70" s="392"/>
      <c r="BP70" s="392"/>
      <c r="BQ70" s="392"/>
      <c r="BR70" s="384">
        <v>515.75</v>
      </c>
      <c r="BS70" s="388">
        <v>0</v>
      </c>
      <c r="BT70" s="380">
        <v>25</v>
      </c>
      <c r="BU70" s="388">
        <v>90</v>
      </c>
      <c r="BV70" s="380">
        <v>3</v>
      </c>
      <c r="BW70" s="380">
        <v>4</v>
      </c>
      <c r="BX70" s="395">
        <v>19</v>
      </c>
    </row>
    <row r="71" spans="1:76" s="226" customFormat="1" x14ac:dyDescent="0.3">
      <c r="A71" s="88"/>
      <c r="B71" s="87"/>
      <c r="C71" s="87"/>
      <c r="D71" s="87"/>
      <c r="E71" s="87"/>
      <c r="F71" s="88"/>
      <c r="G71" s="87"/>
      <c r="H71" s="88"/>
      <c r="I71" s="88"/>
      <c r="J71" s="362" t="s">
        <v>134</v>
      </c>
      <c r="K71" s="363" t="s">
        <v>135</v>
      </c>
      <c r="L71" s="363"/>
      <c r="M71" s="363"/>
      <c r="N71" s="363"/>
      <c r="O71" s="363" t="s">
        <v>136</v>
      </c>
      <c r="P71" s="363">
        <v>2017</v>
      </c>
      <c r="Q71" s="364" t="s">
        <v>177</v>
      </c>
      <c r="R71" s="365" t="s">
        <v>178</v>
      </c>
      <c r="S71" s="363">
        <v>10</v>
      </c>
      <c r="T71" s="363"/>
      <c r="U71" s="363" t="s">
        <v>179</v>
      </c>
      <c r="V71" s="363"/>
      <c r="W71" s="363" t="s">
        <v>149</v>
      </c>
      <c r="X71" s="363">
        <v>2020</v>
      </c>
      <c r="Y71" s="363"/>
      <c r="Z71" s="363" t="str">
        <f>VLOOKUP(R71,KEY_Processes!$B$4:$E$54,4,FALSE)</f>
        <v>B_WOF_01</v>
      </c>
      <c r="AA71" s="363" t="str">
        <f>VLOOKUP(R71,KEY_Processes!$B$4:$E$54,2,FALSE)</f>
        <v>Biomass boilers, automatic stoking</v>
      </c>
      <c r="AB71" s="363" t="str">
        <f>VLOOKUP(U71,KEY_FUELS!$C$4:$D$77,2,FALSE)</f>
        <v>WOF</v>
      </c>
      <c r="AC71" s="363" t="s">
        <v>150</v>
      </c>
      <c r="AD71" s="363" t="s">
        <v>151</v>
      </c>
      <c r="AE71" s="363" t="s">
        <v>152</v>
      </c>
      <c r="AF71" s="366" t="str">
        <f>VLOOKUP(W71,KEY_Other!$B$37:$C$89,2,FALSE)</f>
        <v>DK</v>
      </c>
      <c r="AG71" s="363"/>
      <c r="AH71" s="363" t="str">
        <f>AC71&amp;VLOOKUP(U71,KEY_FUELS!$C$4:$D$78,2,FALSE)</f>
        <v>RSDWOF</v>
      </c>
      <c r="AI71" s="363" t="str">
        <f>IFERROR(AC71&amp;VLOOKUP(V71,KEY_FUELS!$C$4:$D$78,2,FALSE),"")</f>
        <v/>
      </c>
      <c r="AJ71" s="363" t="str">
        <f t="shared" si="3"/>
        <v>RHHSB</v>
      </c>
      <c r="AK71" s="363" t="str">
        <f t="shared" si="0"/>
        <v>RWHSB</v>
      </c>
      <c r="AL71" s="363" t="str">
        <f t="shared" si="1"/>
        <v/>
      </c>
      <c r="AM71" s="364">
        <v>31.536000000000001</v>
      </c>
      <c r="AN71" s="363">
        <f t="shared" si="2"/>
        <v>2020</v>
      </c>
      <c r="AO71" s="367"/>
      <c r="AP71" s="368"/>
      <c r="AQ71" s="370"/>
      <c r="AR71" s="370"/>
      <c r="AS71" s="370"/>
      <c r="AT71" s="370"/>
      <c r="AU71" s="371">
        <v>1</v>
      </c>
      <c r="AV71" s="371">
        <v>1</v>
      </c>
      <c r="AW71" s="371"/>
      <c r="AX71" s="372"/>
      <c r="AY71" s="368"/>
      <c r="AZ71" s="371">
        <v>0.82</v>
      </c>
      <c r="BA71" s="371">
        <v>0.82</v>
      </c>
      <c r="BB71" s="372"/>
      <c r="BC71" s="373"/>
      <c r="BD71" s="373"/>
      <c r="BE71" s="374"/>
      <c r="BF71" s="363"/>
      <c r="BG71" s="363"/>
      <c r="BH71" s="375"/>
      <c r="BI71" s="363">
        <v>20</v>
      </c>
      <c r="BJ71" s="363"/>
      <c r="BK71" s="372">
        <v>8</v>
      </c>
      <c r="BL71" s="376"/>
      <c r="BM71" s="376"/>
      <c r="BN71" s="376"/>
      <c r="BO71" s="376"/>
      <c r="BP71" s="376"/>
      <c r="BQ71" s="376"/>
      <c r="BR71" s="368">
        <v>504</v>
      </c>
      <c r="BS71" s="372">
        <v>0</v>
      </c>
      <c r="BT71" s="364">
        <v>25</v>
      </c>
      <c r="BU71" s="372">
        <v>70</v>
      </c>
      <c r="BV71" s="364">
        <v>2</v>
      </c>
      <c r="BW71" s="364">
        <v>4</v>
      </c>
      <c r="BX71" s="397">
        <v>15</v>
      </c>
    </row>
    <row r="72" spans="1:76" s="226" customFormat="1" x14ac:dyDescent="0.3">
      <c r="A72" s="88"/>
      <c r="B72" s="87"/>
      <c r="C72" s="87"/>
      <c r="D72" s="87"/>
      <c r="E72" s="87"/>
      <c r="F72" s="88"/>
      <c r="G72" s="87"/>
      <c r="H72" s="88"/>
      <c r="I72" s="88"/>
      <c r="J72" s="378" t="s">
        <v>134</v>
      </c>
      <c r="K72" s="379" t="s">
        <v>135</v>
      </c>
      <c r="L72" s="379"/>
      <c r="M72" s="379"/>
      <c r="N72" s="379"/>
      <c r="O72" s="379" t="s">
        <v>136</v>
      </c>
      <c r="P72" s="379">
        <v>2017</v>
      </c>
      <c r="Q72" s="380" t="s">
        <v>177</v>
      </c>
      <c r="R72" s="381" t="s">
        <v>178</v>
      </c>
      <c r="S72" s="379">
        <v>10</v>
      </c>
      <c r="T72" s="379"/>
      <c r="U72" s="379" t="s">
        <v>179</v>
      </c>
      <c r="V72" s="379"/>
      <c r="W72" s="379" t="s">
        <v>149</v>
      </c>
      <c r="X72" s="379">
        <v>2030</v>
      </c>
      <c r="Y72" s="379"/>
      <c r="Z72" s="379" t="str">
        <f>VLOOKUP(R72,KEY_Processes!$B$4:$E$54,4,FALSE)</f>
        <v>B_WOF_01</v>
      </c>
      <c r="AA72" s="379" t="str">
        <f>VLOOKUP(R72,KEY_Processes!$B$4:$E$54,2,FALSE)</f>
        <v>Biomass boilers, automatic stoking</v>
      </c>
      <c r="AB72" s="379" t="str">
        <f>VLOOKUP(U72,KEY_FUELS!$C$4:$D$77,2,FALSE)</f>
        <v>WOF</v>
      </c>
      <c r="AC72" s="379" t="s">
        <v>150</v>
      </c>
      <c r="AD72" s="379" t="s">
        <v>151</v>
      </c>
      <c r="AE72" s="379" t="s">
        <v>152</v>
      </c>
      <c r="AF72" s="382" t="str">
        <f>VLOOKUP(W72,KEY_Other!$B$37:$C$89,2,FALSE)</f>
        <v>DK</v>
      </c>
      <c r="AG72" s="379"/>
      <c r="AH72" s="379" t="str">
        <f>AC72&amp;VLOOKUP(U72,KEY_FUELS!$C$4:$D$78,2,FALSE)</f>
        <v>RSDWOF</v>
      </c>
      <c r="AI72" s="379" t="str">
        <f>IFERROR(AC72&amp;VLOOKUP(V72,KEY_FUELS!$C$4:$D$78,2,FALSE),"")</f>
        <v/>
      </c>
      <c r="AJ72" s="379" t="str">
        <f t="shared" si="3"/>
        <v>RHHSB</v>
      </c>
      <c r="AK72" s="379" t="str">
        <f t="shared" si="0"/>
        <v>RWHSB</v>
      </c>
      <c r="AL72" s="379" t="str">
        <f t="shared" si="1"/>
        <v/>
      </c>
      <c r="AM72" s="380">
        <v>31.536000000000001</v>
      </c>
      <c r="AN72" s="379">
        <f t="shared" si="2"/>
        <v>2030</v>
      </c>
      <c r="AO72" s="383"/>
      <c r="AP72" s="384"/>
      <c r="AQ72" s="386"/>
      <c r="AR72" s="386"/>
      <c r="AS72" s="386"/>
      <c r="AT72" s="386"/>
      <c r="AU72" s="387">
        <v>1</v>
      </c>
      <c r="AV72" s="387">
        <v>1</v>
      </c>
      <c r="AW72" s="387"/>
      <c r="AX72" s="388"/>
      <c r="AY72" s="384"/>
      <c r="AZ72" s="387">
        <v>0.86</v>
      </c>
      <c r="BA72" s="387">
        <v>0.86</v>
      </c>
      <c r="BB72" s="388"/>
      <c r="BC72" s="389"/>
      <c r="BD72" s="389"/>
      <c r="BE72" s="390"/>
      <c r="BF72" s="379"/>
      <c r="BG72" s="379"/>
      <c r="BH72" s="391"/>
      <c r="BI72" s="379">
        <v>20</v>
      </c>
      <c r="BJ72" s="379"/>
      <c r="BK72" s="388">
        <v>8</v>
      </c>
      <c r="BL72" s="392"/>
      <c r="BM72" s="392"/>
      <c r="BN72" s="392"/>
      <c r="BO72" s="392"/>
      <c r="BP72" s="392"/>
      <c r="BQ72" s="392"/>
      <c r="BR72" s="384">
        <v>486</v>
      </c>
      <c r="BS72" s="388">
        <v>0</v>
      </c>
      <c r="BT72" s="380">
        <v>25</v>
      </c>
      <c r="BU72" s="388">
        <v>50</v>
      </c>
      <c r="BV72" s="380">
        <v>1</v>
      </c>
      <c r="BW72" s="380">
        <v>4</v>
      </c>
      <c r="BX72" s="395">
        <v>12</v>
      </c>
    </row>
    <row r="73" spans="1:76" s="226" customFormat="1" x14ac:dyDescent="0.3">
      <c r="A73" s="88"/>
      <c r="B73" s="87"/>
      <c r="C73" s="87"/>
      <c r="D73" s="87"/>
      <c r="E73" s="87"/>
      <c r="F73" s="88"/>
      <c r="G73" s="87"/>
      <c r="H73" s="88"/>
      <c r="I73" s="88"/>
      <c r="J73" s="362" t="s">
        <v>134</v>
      </c>
      <c r="K73" s="363" t="s">
        <v>135</v>
      </c>
      <c r="L73" s="363"/>
      <c r="M73" s="363"/>
      <c r="N73" s="363"/>
      <c r="O73" s="363" t="s">
        <v>136</v>
      </c>
      <c r="P73" s="363">
        <v>2017</v>
      </c>
      <c r="Q73" s="364" t="s">
        <v>177</v>
      </c>
      <c r="R73" s="365" t="s">
        <v>178</v>
      </c>
      <c r="S73" s="363">
        <v>10</v>
      </c>
      <c r="T73" s="363"/>
      <c r="U73" s="363" t="s">
        <v>179</v>
      </c>
      <c r="V73" s="363"/>
      <c r="W73" s="363" t="s">
        <v>149</v>
      </c>
      <c r="X73" s="363">
        <v>2050</v>
      </c>
      <c r="Y73" s="363"/>
      <c r="Z73" s="363" t="str">
        <f>VLOOKUP(R73,KEY_Processes!$B$4:$E$54,4,FALSE)</f>
        <v>B_WOF_01</v>
      </c>
      <c r="AA73" s="363" t="str">
        <f>VLOOKUP(R73,KEY_Processes!$B$4:$E$54,2,FALSE)</f>
        <v>Biomass boilers, automatic stoking</v>
      </c>
      <c r="AB73" s="363" t="str">
        <f>VLOOKUP(U73,KEY_FUELS!$C$4:$D$77,2,FALSE)</f>
        <v>WOF</v>
      </c>
      <c r="AC73" s="363" t="s">
        <v>150</v>
      </c>
      <c r="AD73" s="363" t="s">
        <v>151</v>
      </c>
      <c r="AE73" s="363" t="s">
        <v>152</v>
      </c>
      <c r="AF73" s="366" t="str">
        <f>VLOOKUP(W73,KEY_Other!$B$37:$C$89,2,FALSE)</f>
        <v>DK</v>
      </c>
      <c r="AG73" s="363"/>
      <c r="AH73" s="363" t="str">
        <f>AC73&amp;VLOOKUP(U73,KEY_FUELS!$C$4:$D$78,2,FALSE)</f>
        <v>RSDWOF</v>
      </c>
      <c r="AI73" s="363" t="str">
        <f>IFERROR(AC73&amp;VLOOKUP(V73,KEY_FUELS!$C$4:$D$78,2,FALSE),"")</f>
        <v/>
      </c>
      <c r="AJ73" s="363" t="str">
        <f t="shared" si="3"/>
        <v>RHHSB</v>
      </c>
      <c r="AK73" s="363" t="str">
        <f t="shared" si="0"/>
        <v>RWHSB</v>
      </c>
      <c r="AL73" s="363" t="str">
        <f t="shared" si="1"/>
        <v/>
      </c>
      <c r="AM73" s="364">
        <v>31.536000000000001</v>
      </c>
      <c r="AN73" s="363">
        <f t="shared" si="2"/>
        <v>2050</v>
      </c>
      <c r="AO73" s="367"/>
      <c r="AP73" s="368"/>
      <c r="AQ73" s="370"/>
      <c r="AR73" s="370"/>
      <c r="AS73" s="370"/>
      <c r="AT73" s="370"/>
      <c r="AU73" s="371">
        <v>1</v>
      </c>
      <c r="AV73" s="371">
        <v>1</v>
      </c>
      <c r="AW73" s="371"/>
      <c r="AX73" s="372"/>
      <c r="AY73" s="368"/>
      <c r="AZ73" s="371">
        <v>0.88</v>
      </c>
      <c r="BA73" s="371">
        <v>0.88</v>
      </c>
      <c r="BB73" s="372"/>
      <c r="BC73" s="373"/>
      <c r="BD73" s="373"/>
      <c r="BE73" s="374"/>
      <c r="BF73" s="363"/>
      <c r="BG73" s="363"/>
      <c r="BH73" s="375"/>
      <c r="BI73" s="363">
        <v>20</v>
      </c>
      <c r="BJ73" s="363"/>
      <c r="BK73" s="372">
        <v>7</v>
      </c>
      <c r="BL73" s="376"/>
      <c r="BM73" s="376"/>
      <c r="BN73" s="376"/>
      <c r="BO73" s="376"/>
      <c r="BP73" s="376"/>
      <c r="BQ73" s="376"/>
      <c r="BR73" s="368">
        <v>443</v>
      </c>
      <c r="BS73" s="372">
        <v>0</v>
      </c>
      <c r="BT73" s="364">
        <v>25</v>
      </c>
      <c r="BU73" s="372">
        <v>40</v>
      </c>
      <c r="BV73" s="364">
        <v>0</v>
      </c>
      <c r="BW73" s="364">
        <v>4</v>
      </c>
      <c r="BX73" s="397">
        <v>10</v>
      </c>
    </row>
    <row r="74" spans="1:76" s="226" customFormat="1" x14ac:dyDescent="0.3">
      <c r="A74" s="88"/>
      <c r="B74" s="87"/>
      <c r="C74" s="87"/>
      <c r="D74" s="87"/>
      <c r="E74" s="87"/>
      <c r="F74" s="88"/>
      <c r="G74" s="87"/>
      <c r="H74" s="88"/>
      <c r="I74" s="88"/>
      <c r="J74" s="378" t="s">
        <v>134</v>
      </c>
      <c r="K74" s="379" t="s">
        <v>135</v>
      </c>
      <c r="L74" s="379"/>
      <c r="M74" s="379"/>
      <c r="N74" s="379"/>
      <c r="O74" s="379" t="s">
        <v>136</v>
      </c>
      <c r="P74" s="379">
        <v>2017</v>
      </c>
      <c r="Q74" s="380" t="s">
        <v>177</v>
      </c>
      <c r="R74" s="381" t="s">
        <v>180</v>
      </c>
      <c r="S74" s="379">
        <v>12</v>
      </c>
      <c r="T74" s="379"/>
      <c r="U74" s="379" t="s">
        <v>179</v>
      </c>
      <c r="V74" s="379"/>
      <c r="W74" s="379" t="s">
        <v>149</v>
      </c>
      <c r="X74" s="379">
        <v>2015</v>
      </c>
      <c r="Y74" s="379"/>
      <c r="Z74" s="379" t="str">
        <f>VLOOKUP(R74,KEY_Processes!$B$4:$E$54,4,FALSE)</f>
        <v>B_WOF_02</v>
      </c>
      <c r="AA74" s="379" t="str">
        <f>VLOOKUP(R74,KEY_Processes!$B$4:$E$54,2,FALSE)</f>
        <v>Biomass boilers, automatic stoking</v>
      </c>
      <c r="AB74" s="379" t="str">
        <f>VLOOKUP(U74,KEY_FUELS!$C$4:$D$77,2,FALSE)</f>
        <v>WOF</v>
      </c>
      <c r="AC74" s="379" t="s">
        <v>150</v>
      </c>
      <c r="AD74" s="379" t="s">
        <v>155</v>
      </c>
      <c r="AE74" s="379" t="s">
        <v>152</v>
      </c>
      <c r="AF74" s="382" t="str">
        <f>VLOOKUP(W74,KEY_Other!$B$37:$C$89,2,FALSE)</f>
        <v>DK</v>
      </c>
      <c r="AG74" s="379"/>
      <c r="AH74" s="379" t="str">
        <f>AC74&amp;VLOOKUP(U74,KEY_FUELS!$C$4:$D$78,2,FALSE)</f>
        <v>RSDWOF</v>
      </c>
      <c r="AI74" s="379" t="str">
        <f>IFERROR(AC74&amp;VLOOKUP(V74,KEY_FUELS!$C$4:$D$78,2,FALSE),"")</f>
        <v/>
      </c>
      <c r="AJ74" s="379" t="str">
        <f t="shared" si="3"/>
        <v>RHHSA</v>
      </c>
      <c r="AK74" s="379" t="str">
        <f t="shared" ref="AK74:AK137" si="31">IF(AV74&gt;0,LEFT(AC74,1)&amp;"W"&amp;AD74,"")</f>
        <v>RWHSA</v>
      </c>
      <c r="AL74" s="379" t="str">
        <f t="shared" ref="AL74:AL137" si="32">IF(T74&gt;0,LEFT(AC74,1)&amp;"E"&amp;AD74,"")</f>
        <v/>
      </c>
      <c r="AM74" s="380">
        <v>31.536000000000001</v>
      </c>
      <c r="AN74" s="379">
        <f t="shared" si="2"/>
        <v>2015</v>
      </c>
      <c r="AO74" s="383"/>
      <c r="AP74" s="384"/>
      <c r="AQ74" s="386"/>
      <c r="AR74" s="386"/>
      <c r="AS74" s="386"/>
      <c r="AT74" s="386"/>
      <c r="AU74" s="387">
        <v>1</v>
      </c>
      <c r="AV74" s="387">
        <v>1</v>
      </c>
      <c r="AW74" s="387"/>
      <c r="AX74" s="388"/>
      <c r="AY74" s="384"/>
      <c r="AZ74" s="387">
        <v>0.75</v>
      </c>
      <c r="BA74" s="387">
        <v>0.75</v>
      </c>
      <c r="BB74" s="388"/>
      <c r="BC74" s="389"/>
      <c r="BD74" s="389"/>
      <c r="BE74" s="390"/>
      <c r="BF74" s="379"/>
      <c r="BG74" s="379"/>
      <c r="BH74" s="391"/>
      <c r="BI74" s="379">
        <v>20</v>
      </c>
      <c r="BJ74" s="379"/>
      <c r="BK74" s="388">
        <v>8.3000000000000007</v>
      </c>
      <c r="BL74" s="392"/>
      <c r="BM74" s="392"/>
      <c r="BN74" s="392"/>
      <c r="BO74" s="392"/>
      <c r="BP74" s="392"/>
      <c r="BQ74" s="392"/>
      <c r="BR74" s="384">
        <v>512.6</v>
      </c>
      <c r="BS74" s="388">
        <v>0</v>
      </c>
      <c r="BT74" s="380">
        <v>25</v>
      </c>
      <c r="BU74" s="388">
        <v>90</v>
      </c>
      <c r="BV74" s="380">
        <v>3</v>
      </c>
      <c r="BW74" s="380">
        <v>4</v>
      </c>
      <c r="BX74" s="395">
        <v>19</v>
      </c>
    </row>
    <row r="75" spans="1:76" s="226" customFormat="1" x14ac:dyDescent="0.3">
      <c r="A75" s="88"/>
      <c r="B75" s="87"/>
      <c r="C75" s="87"/>
      <c r="D75" s="87"/>
      <c r="E75" s="87"/>
      <c r="F75" s="88"/>
      <c r="G75" s="87"/>
      <c r="H75" s="88"/>
      <c r="I75" s="88"/>
      <c r="J75" s="362" t="s">
        <v>134</v>
      </c>
      <c r="K75" s="363" t="s">
        <v>135</v>
      </c>
      <c r="L75" s="363"/>
      <c r="M75" s="363"/>
      <c r="N75" s="363"/>
      <c r="O75" s="363" t="s">
        <v>136</v>
      </c>
      <c r="P75" s="363">
        <v>2017</v>
      </c>
      <c r="Q75" s="364" t="s">
        <v>177</v>
      </c>
      <c r="R75" s="365" t="s">
        <v>180</v>
      </c>
      <c r="S75" s="363">
        <v>10</v>
      </c>
      <c r="T75" s="363"/>
      <c r="U75" s="363" t="s">
        <v>179</v>
      </c>
      <c r="V75" s="363"/>
      <c r="W75" s="363" t="s">
        <v>149</v>
      </c>
      <c r="X75" s="363">
        <v>2020</v>
      </c>
      <c r="Y75" s="363"/>
      <c r="Z75" s="363" t="str">
        <f>VLOOKUP(R75,KEY_Processes!$B$4:$E$54,4,FALSE)</f>
        <v>B_WOF_02</v>
      </c>
      <c r="AA75" s="363" t="str">
        <f>VLOOKUP(R75,KEY_Processes!$B$4:$E$54,2,FALSE)</f>
        <v>Biomass boilers, automatic stoking</v>
      </c>
      <c r="AB75" s="363" t="str">
        <f>VLOOKUP(U75,KEY_FUELS!$C$4:$D$77,2,FALSE)</f>
        <v>WOF</v>
      </c>
      <c r="AC75" s="363" t="s">
        <v>150</v>
      </c>
      <c r="AD75" s="363" t="s">
        <v>155</v>
      </c>
      <c r="AE75" s="363" t="s">
        <v>152</v>
      </c>
      <c r="AF75" s="366" t="str">
        <f>VLOOKUP(W75,KEY_Other!$B$37:$C$89,2,FALSE)</f>
        <v>DK</v>
      </c>
      <c r="AG75" s="363"/>
      <c r="AH75" s="363" t="str">
        <f>AC75&amp;VLOOKUP(U75,KEY_FUELS!$C$4:$D$78,2,FALSE)</f>
        <v>RSDWOF</v>
      </c>
      <c r="AI75" s="363" t="str">
        <f>IFERROR(AC75&amp;VLOOKUP(V75,KEY_FUELS!$C$4:$D$78,2,FALSE),"")</f>
        <v/>
      </c>
      <c r="AJ75" s="363" t="str">
        <f t="shared" si="3"/>
        <v>RHHSA</v>
      </c>
      <c r="AK75" s="363" t="str">
        <f t="shared" si="31"/>
        <v>RWHSA</v>
      </c>
      <c r="AL75" s="363" t="str">
        <f t="shared" si="32"/>
        <v/>
      </c>
      <c r="AM75" s="364">
        <v>31.536000000000001</v>
      </c>
      <c r="AN75" s="363">
        <f t="shared" ref="AN75:AN138" si="33">IF(ISBLANK(X75),"2015",X75)</f>
        <v>2020</v>
      </c>
      <c r="AO75" s="367"/>
      <c r="AP75" s="368"/>
      <c r="AQ75" s="370"/>
      <c r="AR75" s="370"/>
      <c r="AS75" s="370"/>
      <c r="AT75" s="370"/>
      <c r="AU75" s="371">
        <v>1</v>
      </c>
      <c r="AV75" s="371">
        <v>1</v>
      </c>
      <c r="AW75" s="371"/>
      <c r="AX75" s="372"/>
      <c r="AY75" s="368"/>
      <c r="AZ75" s="371">
        <v>0.78</v>
      </c>
      <c r="BA75" s="371">
        <v>0.78</v>
      </c>
      <c r="BB75" s="372"/>
      <c r="BC75" s="373"/>
      <c r="BD75" s="373"/>
      <c r="BE75" s="374"/>
      <c r="BF75" s="363"/>
      <c r="BG75" s="363"/>
      <c r="BH75" s="375"/>
      <c r="BI75" s="363">
        <v>20</v>
      </c>
      <c r="BJ75" s="363"/>
      <c r="BK75" s="372">
        <v>8.3000000000000007</v>
      </c>
      <c r="BL75" s="376"/>
      <c r="BM75" s="376"/>
      <c r="BN75" s="376"/>
      <c r="BO75" s="376"/>
      <c r="BP75" s="376"/>
      <c r="BQ75" s="376"/>
      <c r="BR75" s="368">
        <v>501</v>
      </c>
      <c r="BS75" s="372">
        <v>0</v>
      </c>
      <c r="BT75" s="364">
        <v>25</v>
      </c>
      <c r="BU75" s="372">
        <v>70</v>
      </c>
      <c r="BV75" s="364">
        <v>2</v>
      </c>
      <c r="BW75" s="364">
        <v>4</v>
      </c>
      <c r="BX75" s="397">
        <v>15</v>
      </c>
    </row>
    <row r="76" spans="1:76" s="226" customFormat="1" x14ac:dyDescent="0.3">
      <c r="A76" s="88"/>
      <c r="B76" s="87"/>
      <c r="C76" s="87"/>
      <c r="D76" s="87"/>
      <c r="E76" s="87"/>
      <c r="F76" s="88"/>
      <c r="G76" s="87"/>
      <c r="H76" s="88"/>
      <c r="I76" s="88"/>
      <c r="J76" s="378" t="s">
        <v>134</v>
      </c>
      <c r="K76" s="379" t="s">
        <v>135</v>
      </c>
      <c r="L76" s="379"/>
      <c r="M76" s="379"/>
      <c r="N76" s="379"/>
      <c r="O76" s="379" t="s">
        <v>136</v>
      </c>
      <c r="P76" s="379">
        <v>2017</v>
      </c>
      <c r="Q76" s="380" t="s">
        <v>177</v>
      </c>
      <c r="R76" s="381" t="s">
        <v>180</v>
      </c>
      <c r="S76" s="379">
        <v>8</v>
      </c>
      <c r="T76" s="379"/>
      <c r="U76" s="379" t="s">
        <v>179</v>
      </c>
      <c r="V76" s="379"/>
      <c r="W76" s="379" t="s">
        <v>149</v>
      </c>
      <c r="X76" s="379">
        <v>2030</v>
      </c>
      <c r="Y76" s="379"/>
      <c r="Z76" s="379" t="str">
        <f>VLOOKUP(R76,KEY_Processes!$B$4:$E$54,4,FALSE)</f>
        <v>B_WOF_02</v>
      </c>
      <c r="AA76" s="379" t="str">
        <f>VLOOKUP(R76,KEY_Processes!$B$4:$E$54,2,FALSE)</f>
        <v>Biomass boilers, automatic stoking</v>
      </c>
      <c r="AB76" s="379" t="str">
        <f>VLOOKUP(U76,KEY_FUELS!$C$4:$D$77,2,FALSE)</f>
        <v>WOF</v>
      </c>
      <c r="AC76" s="379" t="s">
        <v>150</v>
      </c>
      <c r="AD76" s="379" t="s">
        <v>155</v>
      </c>
      <c r="AE76" s="379" t="s">
        <v>152</v>
      </c>
      <c r="AF76" s="382" t="str">
        <f>VLOOKUP(W76,KEY_Other!$B$37:$C$89,2,FALSE)</f>
        <v>DK</v>
      </c>
      <c r="AG76" s="379"/>
      <c r="AH76" s="379" t="str">
        <f>AC76&amp;VLOOKUP(U76,KEY_FUELS!$C$4:$D$78,2,FALSE)</f>
        <v>RSDWOF</v>
      </c>
      <c r="AI76" s="379" t="str">
        <f>IFERROR(AC76&amp;VLOOKUP(V76,KEY_FUELS!$C$4:$D$78,2,FALSE),"")</f>
        <v/>
      </c>
      <c r="AJ76" s="379" t="str">
        <f t="shared" si="3"/>
        <v>RHHSA</v>
      </c>
      <c r="AK76" s="379" t="str">
        <f t="shared" si="31"/>
        <v>RWHSA</v>
      </c>
      <c r="AL76" s="379" t="str">
        <f t="shared" si="32"/>
        <v/>
      </c>
      <c r="AM76" s="380">
        <v>31.536000000000001</v>
      </c>
      <c r="AN76" s="379">
        <f t="shared" si="33"/>
        <v>2030</v>
      </c>
      <c r="AO76" s="383"/>
      <c r="AP76" s="384"/>
      <c r="AQ76" s="386"/>
      <c r="AR76" s="386"/>
      <c r="AS76" s="386"/>
      <c r="AT76" s="386"/>
      <c r="AU76" s="387">
        <v>1</v>
      </c>
      <c r="AV76" s="387">
        <v>1</v>
      </c>
      <c r="AW76" s="387"/>
      <c r="AX76" s="388"/>
      <c r="AY76" s="384"/>
      <c r="AZ76" s="387">
        <v>0.8</v>
      </c>
      <c r="BA76" s="387">
        <v>0.8</v>
      </c>
      <c r="BB76" s="388"/>
      <c r="BC76" s="389"/>
      <c r="BD76" s="389"/>
      <c r="BE76" s="390"/>
      <c r="BF76" s="379"/>
      <c r="BG76" s="379"/>
      <c r="BH76" s="391"/>
      <c r="BI76" s="379">
        <v>20</v>
      </c>
      <c r="BJ76" s="379"/>
      <c r="BK76" s="388">
        <v>8.3000000000000007</v>
      </c>
      <c r="BL76" s="392"/>
      <c r="BM76" s="392"/>
      <c r="BN76" s="392"/>
      <c r="BO76" s="392"/>
      <c r="BP76" s="392"/>
      <c r="BQ76" s="392"/>
      <c r="BR76" s="384">
        <v>482</v>
      </c>
      <c r="BS76" s="388">
        <v>0</v>
      </c>
      <c r="BT76" s="380">
        <v>25</v>
      </c>
      <c r="BU76" s="388">
        <v>50</v>
      </c>
      <c r="BV76" s="380">
        <v>1</v>
      </c>
      <c r="BW76" s="380">
        <v>4</v>
      </c>
      <c r="BX76" s="395">
        <v>12</v>
      </c>
    </row>
    <row r="77" spans="1:76" s="226" customFormat="1" x14ac:dyDescent="0.3">
      <c r="A77" s="88"/>
      <c r="B77" s="87"/>
      <c r="C77" s="87"/>
      <c r="D77" s="87"/>
      <c r="E77" s="87"/>
      <c r="F77" s="88"/>
      <c r="G77" s="87"/>
      <c r="H77" s="88"/>
      <c r="I77" s="88"/>
      <c r="J77" s="362" t="s">
        <v>134</v>
      </c>
      <c r="K77" s="363" t="s">
        <v>135</v>
      </c>
      <c r="L77" s="363"/>
      <c r="M77" s="363"/>
      <c r="N77" s="363"/>
      <c r="O77" s="363" t="s">
        <v>136</v>
      </c>
      <c r="P77" s="363">
        <v>2017</v>
      </c>
      <c r="Q77" s="364" t="s">
        <v>177</v>
      </c>
      <c r="R77" s="365" t="s">
        <v>180</v>
      </c>
      <c r="S77" s="363">
        <v>8</v>
      </c>
      <c r="T77" s="363"/>
      <c r="U77" s="363" t="s">
        <v>179</v>
      </c>
      <c r="V77" s="363"/>
      <c r="W77" s="363" t="s">
        <v>149</v>
      </c>
      <c r="X77" s="363">
        <v>2050</v>
      </c>
      <c r="Y77" s="363"/>
      <c r="Z77" s="363" t="str">
        <f>VLOOKUP(R77,KEY_Processes!$B$4:$E$54,4,FALSE)</f>
        <v>B_WOF_02</v>
      </c>
      <c r="AA77" s="363" t="str">
        <f>VLOOKUP(R77,KEY_Processes!$B$4:$E$54,2,FALSE)</f>
        <v>Biomass boilers, automatic stoking</v>
      </c>
      <c r="AB77" s="363" t="str">
        <f>VLOOKUP(U77,KEY_FUELS!$C$4:$D$77,2,FALSE)</f>
        <v>WOF</v>
      </c>
      <c r="AC77" s="363" t="s">
        <v>150</v>
      </c>
      <c r="AD77" s="363" t="s">
        <v>155</v>
      </c>
      <c r="AE77" s="363" t="s">
        <v>152</v>
      </c>
      <c r="AF77" s="366" t="str">
        <f>VLOOKUP(W77,KEY_Other!$B$37:$C$89,2,FALSE)</f>
        <v>DK</v>
      </c>
      <c r="AG77" s="363"/>
      <c r="AH77" s="363" t="str">
        <f>AC77&amp;VLOOKUP(U77,KEY_FUELS!$C$4:$D$78,2,FALSE)</f>
        <v>RSDWOF</v>
      </c>
      <c r="AI77" s="363" t="str">
        <f>IFERROR(AC77&amp;VLOOKUP(V77,KEY_FUELS!$C$4:$D$78,2,FALSE),"")</f>
        <v/>
      </c>
      <c r="AJ77" s="363" t="str">
        <f t="shared" si="3"/>
        <v>RHHSA</v>
      </c>
      <c r="AK77" s="363" t="str">
        <f t="shared" si="31"/>
        <v>RWHSA</v>
      </c>
      <c r="AL77" s="363" t="str">
        <f t="shared" si="32"/>
        <v/>
      </c>
      <c r="AM77" s="364">
        <v>31.536000000000001</v>
      </c>
      <c r="AN77" s="363">
        <f t="shared" si="33"/>
        <v>2050</v>
      </c>
      <c r="AO77" s="367"/>
      <c r="AP77" s="368"/>
      <c r="AQ77" s="370"/>
      <c r="AR77" s="370"/>
      <c r="AS77" s="370"/>
      <c r="AT77" s="370"/>
      <c r="AU77" s="371">
        <v>1</v>
      </c>
      <c r="AV77" s="371">
        <v>1</v>
      </c>
      <c r="AW77" s="371"/>
      <c r="AX77" s="372"/>
      <c r="AY77" s="368"/>
      <c r="AZ77" s="371">
        <v>0.85</v>
      </c>
      <c r="BA77" s="371">
        <v>0.85</v>
      </c>
      <c r="BB77" s="372"/>
      <c r="BC77" s="373"/>
      <c r="BD77" s="373"/>
      <c r="BE77" s="374"/>
      <c r="BF77" s="363"/>
      <c r="BG77" s="363"/>
      <c r="BH77" s="375"/>
      <c r="BI77" s="363">
        <v>20</v>
      </c>
      <c r="BJ77" s="363"/>
      <c r="BK77" s="372">
        <v>7</v>
      </c>
      <c r="BL77" s="376"/>
      <c r="BM77" s="376"/>
      <c r="BN77" s="376"/>
      <c r="BO77" s="376"/>
      <c r="BP77" s="376"/>
      <c r="BQ77" s="376"/>
      <c r="BR77" s="368">
        <v>438</v>
      </c>
      <c r="BS77" s="372">
        <v>0</v>
      </c>
      <c r="BT77" s="364">
        <v>25</v>
      </c>
      <c r="BU77" s="372">
        <v>40</v>
      </c>
      <c r="BV77" s="364">
        <v>0</v>
      </c>
      <c r="BW77" s="364">
        <v>4</v>
      </c>
      <c r="BX77" s="397">
        <v>10</v>
      </c>
    </row>
    <row r="78" spans="1:76" s="226" customFormat="1" x14ac:dyDescent="0.3">
      <c r="A78" s="88"/>
      <c r="B78" s="87"/>
      <c r="C78" s="87"/>
      <c r="D78" s="87"/>
      <c r="E78" s="87"/>
      <c r="F78" s="88"/>
      <c r="G78" s="87"/>
      <c r="H78" s="88"/>
      <c r="I78" s="88"/>
      <c r="J78" s="378" t="s">
        <v>134</v>
      </c>
      <c r="K78" s="379" t="s">
        <v>135</v>
      </c>
      <c r="L78" s="379"/>
      <c r="M78" s="379"/>
      <c r="N78" s="379"/>
      <c r="O78" s="379" t="s">
        <v>136</v>
      </c>
      <c r="P78" s="379">
        <v>2017</v>
      </c>
      <c r="Q78" s="380" t="s">
        <v>177</v>
      </c>
      <c r="R78" s="381" t="s">
        <v>181</v>
      </c>
      <c r="S78" s="379">
        <v>400</v>
      </c>
      <c r="T78" s="379"/>
      <c r="U78" s="379" t="s">
        <v>179</v>
      </c>
      <c r="V78" s="379"/>
      <c r="W78" s="379" t="s">
        <v>149</v>
      </c>
      <c r="X78" s="379">
        <v>2015</v>
      </c>
      <c r="Y78" s="379"/>
      <c r="Z78" s="379" t="str">
        <f>VLOOKUP(R78,KEY_Processes!$B$4:$E$54,4,FALSE)</f>
        <v>B_WOF_03</v>
      </c>
      <c r="AA78" s="379" t="str">
        <f>VLOOKUP(R78,KEY_Processes!$B$4:$E$54,2,FALSE)</f>
        <v>Biomass boilers, automatic stoking</v>
      </c>
      <c r="AB78" s="379" t="str">
        <f>VLOOKUP(U78,KEY_FUELS!$C$4:$D$77,2,FALSE)</f>
        <v>WOF</v>
      </c>
      <c r="AC78" s="379" t="s">
        <v>150</v>
      </c>
      <c r="AD78" s="379" t="s">
        <v>158</v>
      </c>
      <c r="AE78" s="379" t="s">
        <v>152</v>
      </c>
      <c r="AF78" s="382" t="str">
        <f>VLOOKUP(W78,KEY_Other!$B$37:$C$89,2,FALSE)</f>
        <v>DK</v>
      </c>
      <c r="AG78" s="379"/>
      <c r="AH78" s="379" t="str">
        <f>AC78&amp;VLOOKUP(U78,KEY_FUELS!$C$4:$D$78,2,FALSE)</f>
        <v>RSDWOF</v>
      </c>
      <c r="AI78" s="379" t="str">
        <f>IFERROR(AC78&amp;VLOOKUP(V78,KEY_FUELS!$C$4:$D$78,2,FALSE),"")</f>
        <v/>
      </c>
      <c r="AJ78" s="379" t="str">
        <f t="shared" si="3"/>
        <v>RHAPC</v>
      </c>
      <c r="AK78" s="379" t="str">
        <f t="shared" si="31"/>
        <v>RWAPC</v>
      </c>
      <c r="AL78" s="379" t="str">
        <f t="shared" si="32"/>
        <v/>
      </c>
      <c r="AM78" s="380">
        <v>31.536000000000001</v>
      </c>
      <c r="AN78" s="379">
        <f t="shared" si="33"/>
        <v>2015</v>
      </c>
      <c r="AO78" s="383"/>
      <c r="AP78" s="384"/>
      <c r="AQ78" s="386"/>
      <c r="AR78" s="386"/>
      <c r="AS78" s="386"/>
      <c r="AT78" s="386"/>
      <c r="AU78" s="387">
        <v>1</v>
      </c>
      <c r="AV78" s="387">
        <v>1</v>
      </c>
      <c r="AW78" s="387"/>
      <c r="AX78" s="388"/>
      <c r="AY78" s="384"/>
      <c r="AZ78" s="387">
        <v>0.8</v>
      </c>
      <c r="BA78" s="387">
        <v>0.8</v>
      </c>
      <c r="BB78" s="388"/>
      <c r="BC78" s="389"/>
      <c r="BD78" s="389"/>
      <c r="BE78" s="390"/>
      <c r="BF78" s="379"/>
      <c r="BG78" s="379"/>
      <c r="BH78" s="391"/>
      <c r="BI78" s="379">
        <v>20</v>
      </c>
      <c r="BJ78" s="379"/>
      <c r="BK78" s="388">
        <v>105</v>
      </c>
      <c r="BL78" s="392"/>
      <c r="BM78" s="392"/>
      <c r="BN78" s="392"/>
      <c r="BO78" s="392"/>
      <c r="BP78" s="392"/>
      <c r="BQ78" s="392"/>
      <c r="BR78" s="384">
        <v>1757.5</v>
      </c>
      <c r="BS78" s="388">
        <v>0</v>
      </c>
      <c r="BT78" s="380">
        <v>25</v>
      </c>
      <c r="BU78" s="388">
        <v>90</v>
      </c>
      <c r="BV78" s="380">
        <v>3</v>
      </c>
      <c r="BW78" s="380">
        <v>4</v>
      </c>
      <c r="BX78" s="395">
        <v>19</v>
      </c>
    </row>
    <row r="79" spans="1:76" s="226" customFormat="1" x14ac:dyDescent="0.3">
      <c r="A79" s="88"/>
      <c r="B79" s="87"/>
      <c r="C79" s="87"/>
      <c r="D79" s="87"/>
      <c r="E79" s="87"/>
      <c r="F79" s="88"/>
      <c r="G79" s="87"/>
      <c r="H79" s="88"/>
      <c r="I79" s="88"/>
      <c r="J79" s="362" t="s">
        <v>134</v>
      </c>
      <c r="K79" s="363" t="s">
        <v>135</v>
      </c>
      <c r="L79" s="363"/>
      <c r="M79" s="363"/>
      <c r="N79" s="363"/>
      <c r="O79" s="363" t="s">
        <v>136</v>
      </c>
      <c r="P79" s="363">
        <v>2017</v>
      </c>
      <c r="Q79" s="364" t="s">
        <v>177</v>
      </c>
      <c r="R79" s="365" t="s">
        <v>181</v>
      </c>
      <c r="S79" s="363">
        <v>400</v>
      </c>
      <c r="T79" s="363"/>
      <c r="U79" s="363" t="s">
        <v>179</v>
      </c>
      <c r="V79" s="363"/>
      <c r="W79" s="363" t="s">
        <v>149</v>
      </c>
      <c r="X79" s="363">
        <v>2020</v>
      </c>
      <c r="Y79" s="363"/>
      <c r="Z79" s="363" t="str">
        <f>VLOOKUP(R79,KEY_Processes!$B$4:$E$54,4,FALSE)</f>
        <v>B_WOF_03</v>
      </c>
      <c r="AA79" s="363" t="str">
        <f>VLOOKUP(R79,KEY_Processes!$B$4:$E$54,2,FALSE)</f>
        <v>Biomass boilers, automatic stoking</v>
      </c>
      <c r="AB79" s="363" t="str">
        <f>VLOOKUP(U79,KEY_FUELS!$C$4:$D$77,2,FALSE)</f>
        <v>WOF</v>
      </c>
      <c r="AC79" s="363" t="s">
        <v>150</v>
      </c>
      <c r="AD79" s="363" t="s">
        <v>158</v>
      </c>
      <c r="AE79" s="363" t="s">
        <v>152</v>
      </c>
      <c r="AF79" s="366" t="str">
        <f>VLOOKUP(W79,KEY_Other!$B$37:$C$89,2,FALSE)</f>
        <v>DK</v>
      </c>
      <c r="AG79" s="363"/>
      <c r="AH79" s="363" t="str">
        <f>AC79&amp;VLOOKUP(U79,KEY_FUELS!$C$4:$D$78,2,FALSE)</f>
        <v>RSDWOF</v>
      </c>
      <c r="AI79" s="363" t="str">
        <f>IFERROR(AC79&amp;VLOOKUP(V79,KEY_FUELS!$C$4:$D$78,2,FALSE),"")</f>
        <v/>
      </c>
      <c r="AJ79" s="363" t="str">
        <f t="shared" si="3"/>
        <v>RHAPC</v>
      </c>
      <c r="AK79" s="363" t="str">
        <f t="shared" si="31"/>
        <v>RWAPC</v>
      </c>
      <c r="AL79" s="363" t="str">
        <f t="shared" si="32"/>
        <v/>
      </c>
      <c r="AM79" s="364">
        <v>31.536000000000001</v>
      </c>
      <c r="AN79" s="363">
        <f t="shared" si="33"/>
        <v>2020</v>
      </c>
      <c r="AO79" s="367"/>
      <c r="AP79" s="368"/>
      <c r="AQ79" s="370"/>
      <c r="AR79" s="370"/>
      <c r="AS79" s="370"/>
      <c r="AT79" s="370"/>
      <c r="AU79" s="371">
        <v>1</v>
      </c>
      <c r="AV79" s="371">
        <v>1</v>
      </c>
      <c r="AW79" s="371"/>
      <c r="AX79" s="372"/>
      <c r="AY79" s="368"/>
      <c r="AZ79" s="371">
        <v>0.85</v>
      </c>
      <c r="BA79" s="371">
        <v>0.85</v>
      </c>
      <c r="BB79" s="372"/>
      <c r="BC79" s="373"/>
      <c r="BD79" s="373"/>
      <c r="BE79" s="374"/>
      <c r="BF79" s="363"/>
      <c r="BG79" s="363"/>
      <c r="BH79" s="375"/>
      <c r="BI79" s="363">
        <v>20</v>
      </c>
      <c r="BJ79" s="363"/>
      <c r="BK79" s="372">
        <v>102</v>
      </c>
      <c r="BL79" s="376"/>
      <c r="BM79" s="376"/>
      <c r="BN79" s="376"/>
      <c r="BO79" s="376"/>
      <c r="BP79" s="376"/>
      <c r="BQ79" s="376"/>
      <c r="BR79" s="368">
        <v>1726</v>
      </c>
      <c r="BS79" s="372">
        <v>0</v>
      </c>
      <c r="BT79" s="364">
        <v>25</v>
      </c>
      <c r="BU79" s="372">
        <v>70</v>
      </c>
      <c r="BV79" s="364">
        <v>2</v>
      </c>
      <c r="BW79" s="364">
        <v>4</v>
      </c>
      <c r="BX79" s="397">
        <v>15</v>
      </c>
    </row>
    <row r="80" spans="1:76" s="226" customFormat="1" x14ac:dyDescent="0.3">
      <c r="A80" s="88"/>
      <c r="B80" s="87"/>
      <c r="C80" s="87"/>
      <c r="D80" s="87"/>
      <c r="E80" s="87"/>
      <c r="F80" s="88"/>
      <c r="G80" s="87"/>
      <c r="H80" s="88"/>
      <c r="I80" s="88"/>
      <c r="J80" s="378" t="s">
        <v>134</v>
      </c>
      <c r="K80" s="379" t="s">
        <v>135</v>
      </c>
      <c r="L80" s="379"/>
      <c r="M80" s="379"/>
      <c r="N80" s="379"/>
      <c r="O80" s="379" t="s">
        <v>136</v>
      </c>
      <c r="P80" s="379">
        <v>2017</v>
      </c>
      <c r="Q80" s="380" t="s">
        <v>177</v>
      </c>
      <c r="R80" s="381" t="s">
        <v>181</v>
      </c>
      <c r="S80" s="379">
        <v>400</v>
      </c>
      <c r="T80" s="379"/>
      <c r="U80" s="379" t="s">
        <v>179</v>
      </c>
      <c r="V80" s="379"/>
      <c r="W80" s="379" t="s">
        <v>149</v>
      </c>
      <c r="X80" s="379">
        <v>2030</v>
      </c>
      <c r="Y80" s="379"/>
      <c r="Z80" s="379" t="str">
        <f>VLOOKUP(R80,KEY_Processes!$B$4:$E$54,4,FALSE)</f>
        <v>B_WOF_03</v>
      </c>
      <c r="AA80" s="379" t="str">
        <f>VLOOKUP(R80,KEY_Processes!$B$4:$E$54,2,FALSE)</f>
        <v>Biomass boilers, automatic stoking</v>
      </c>
      <c r="AB80" s="379" t="str">
        <f>VLOOKUP(U80,KEY_FUELS!$C$4:$D$77,2,FALSE)</f>
        <v>WOF</v>
      </c>
      <c r="AC80" s="379" t="s">
        <v>150</v>
      </c>
      <c r="AD80" s="379" t="s">
        <v>158</v>
      </c>
      <c r="AE80" s="379" t="s">
        <v>152</v>
      </c>
      <c r="AF80" s="382" t="str">
        <f>VLOOKUP(W80,KEY_Other!$B$37:$C$89,2,FALSE)</f>
        <v>DK</v>
      </c>
      <c r="AG80" s="379"/>
      <c r="AH80" s="379" t="str">
        <f>AC80&amp;VLOOKUP(U80,KEY_FUELS!$C$4:$D$78,2,FALSE)</f>
        <v>RSDWOF</v>
      </c>
      <c r="AI80" s="379" t="str">
        <f>IFERROR(AC80&amp;VLOOKUP(V80,KEY_FUELS!$C$4:$D$78,2,FALSE),"")</f>
        <v/>
      </c>
      <c r="AJ80" s="379" t="str">
        <f t="shared" si="3"/>
        <v>RHAPC</v>
      </c>
      <c r="AK80" s="379" t="str">
        <f t="shared" si="31"/>
        <v>RWAPC</v>
      </c>
      <c r="AL80" s="379" t="str">
        <f t="shared" si="32"/>
        <v/>
      </c>
      <c r="AM80" s="380">
        <v>31.536000000000001</v>
      </c>
      <c r="AN80" s="379">
        <f t="shared" si="33"/>
        <v>2030</v>
      </c>
      <c r="AO80" s="383"/>
      <c r="AP80" s="384"/>
      <c r="AQ80" s="386"/>
      <c r="AR80" s="386"/>
      <c r="AS80" s="386"/>
      <c r="AT80" s="386"/>
      <c r="AU80" s="387">
        <v>1</v>
      </c>
      <c r="AV80" s="387">
        <v>1</v>
      </c>
      <c r="AW80" s="387"/>
      <c r="AX80" s="388"/>
      <c r="AY80" s="384"/>
      <c r="AZ80" s="387">
        <v>0.9</v>
      </c>
      <c r="BA80" s="387">
        <v>0.9</v>
      </c>
      <c r="BB80" s="388"/>
      <c r="BC80" s="389"/>
      <c r="BD80" s="389"/>
      <c r="BE80" s="390"/>
      <c r="BF80" s="379"/>
      <c r="BG80" s="379"/>
      <c r="BH80" s="391"/>
      <c r="BI80" s="379">
        <v>20</v>
      </c>
      <c r="BJ80" s="379"/>
      <c r="BK80" s="388">
        <v>97</v>
      </c>
      <c r="BL80" s="392"/>
      <c r="BM80" s="392"/>
      <c r="BN80" s="392"/>
      <c r="BO80" s="392"/>
      <c r="BP80" s="392"/>
      <c r="BQ80" s="392"/>
      <c r="BR80" s="384">
        <v>1706</v>
      </c>
      <c r="BS80" s="388">
        <v>0</v>
      </c>
      <c r="BT80" s="380">
        <v>25</v>
      </c>
      <c r="BU80" s="388">
        <v>50</v>
      </c>
      <c r="BV80" s="380">
        <v>1</v>
      </c>
      <c r="BW80" s="380">
        <v>4</v>
      </c>
      <c r="BX80" s="395">
        <v>12</v>
      </c>
    </row>
    <row r="81" spans="1:76" s="226" customFormat="1" x14ac:dyDescent="0.3">
      <c r="A81" s="88"/>
      <c r="B81" s="87"/>
      <c r="C81" s="87"/>
      <c r="D81" s="87"/>
      <c r="E81" s="87"/>
      <c r="F81" s="88"/>
      <c r="G81" s="87"/>
      <c r="H81" s="88"/>
      <c r="I81" s="88"/>
      <c r="J81" s="362" t="s">
        <v>134</v>
      </c>
      <c r="K81" s="363" t="s">
        <v>135</v>
      </c>
      <c r="L81" s="363"/>
      <c r="M81" s="363"/>
      <c r="N81" s="363"/>
      <c r="O81" s="363" t="s">
        <v>136</v>
      </c>
      <c r="P81" s="363">
        <v>2017</v>
      </c>
      <c r="Q81" s="364" t="s">
        <v>177</v>
      </c>
      <c r="R81" s="365" t="s">
        <v>181</v>
      </c>
      <c r="S81" s="363">
        <v>400</v>
      </c>
      <c r="T81" s="363"/>
      <c r="U81" s="363" t="s">
        <v>179</v>
      </c>
      <c r="V81" s="363"/>
      <c r="W81" s="363" t="s">
        <v>149</v>
      </c>
      <c r="X81" s="363">
        <v>2050</v>
      </c>
      <c r="Y81" s="363"/>
      <c r="Z81" s="363" t="str">
        <f>VLOOKUP(R81,KEY_Processes!$B$4:$E$54,4,FALSE)</f>
        <v>B_WOF_03</v>
      </c>
      <c r="AA81" s="363" t="str">
        <f>VLOOKUP(R81,KEY_Processes!$B$4:$E$54,2,FALSE)</f>
        <v>Biomass boilers, automatic stoking</v>
      </c>
      <c r="AB81" s="363" t="str">
        <f>VLOOKUP(U81,KEY_FUELS!$C$4:$D$77,2,FALSE)</f>
        <v>WOF</v>
      </c>
      <c r="AC81" s="363" t="s">
        <v>150</v>
      </c>
      <c r="AD81" s="363" t="s">
        <v>158</v>
      </c>
      <c r="AE81" s="363" t="s">
        <v>152</v>
      </c>
      <c r="AF81" s="366" t="str">
        <f>VLOOKUP(W81,KEY_Other!$B$37:$C$89,2,FALSE)</f>
        <v>DK</v>
      </c>
      <c r="AG81" s="363"/>
      <c r="AH81" s="363" t="str">
        <f>AC81&amp;VLOOKUP(U81,KEY_FUELS!$C$4:$D$78,2,FALSE)</f>
        <v>RSDWOF</v>
      </c>
      <c r="AI81" s="363" t="str">
        <f>IFERROR(AC81&amp;VLOOKUP(V81,KEY_FUELS!$C$4:$D$78,2,FALSE),"")</f>
        <v/>
      </c>
      <c r="AJ81" s="363" t="str">
        <f t="shared" si="3"/>
        <v>RHAPC</v>
      </c>
      <c r="AK81" s="363" t="str">
        <f t="shared" si="31"/>
        <v>RWAPC</v>
      </c>
      <c r="AL81" s="363" t="str">
        <f t="shared" si="32"/>
        <v/>
      </c>
      <c r="AM81" s="364">
        <v>31.536000000000001</v>
      </c>
      <c r="AN81" s="363">
        <f t="shared" si="33"/>
        <v>2050</v>
      </c>
      <c r="AO81" s="367"/>
      <c r="AP81" s="368"/>
      <c r="AQ81" s="370"/>
      <c r="AR81" s="370"/>
      <c r="AS81" s="370"/>
      <c r="AT81" s="370"/>
      <c r="AU81" s="371">
        <v>1</v>
      </c>
      <c r="AV81" s="371">
        <v>1</v>
      </c>
      <c r="AW81" s="371"/>
      <c r="AX81" s="372"/>
      <c r="AY81" s="368"/>
      <c r="AZ81" s="371">
        <v>0.9</v>
      </c>
      <c r="BA81" s="371">
        <v>0.9</v>
      </c>
      <c r="BB81" s="372"/>
      <c r="BC81" s="373"/>
      <c r="BD81" s="373"/>
      <c r="BE81" s="374"/>
      <c r="BF81" s="363"/>
      <c r="BG81" s="363"/>
      <c r="BH81" s="375"/>
      <c r="BI81" s="363">
        <v>20</v>
      </c>
      <c r="BJ81" s="363"/>
      <c r="BK81" s="372">
        <v>88</v>
      </c>
      <c r="BL81" s="376"/>
      <c r="BM81" s="376"/>
      <c r="BN81" s="376"/>
      <c r="BO81" s="376"/>
      <c r="BP81" s="376"/>
      <c r="BQ81" s="376"/>
      <c r="BR81" s="368">
        <v>1577</v>
      </c>
      <c r="BS81" s="372">
        <v>0</v>
      </c>
      <c r="BT81" s="364">
        <v>25</v>
      </c>
      <c r="BU81" s="372">
        <v>40</v>
      </c>
      <c r="BV81" s="364">
        <v>0</v>
      </c>
      <c r="BW81" s="364">
        <v>4</v>
      </c>
      <c r="BX81" s="397">
        <v>10</v>
      </c>
    </row>
    <row r="82" spans="1:76" s="226" customFormat="1" x14ac:dyDescent="0.3">
      <c r="A82" s="88"/>
      <c r="B82" s="87"/>
      <c r="C82" s="87"/>
      <c r="D82" s="87"/>
      <c r="E82" s="87"/>
      <c r="F82" s="88"/>
      <c r="G82" s="87"/>
      <c r="H82" s="88"/>
      <c r="I82" s="88"/>
      <c r="J82" s="378" t="s">
        <v>134</v>
      </c>
      <c r="K82" s="379" t="s">
        <v>135</v>
      </c>
      <c r="L82" s="379"/>
      <c r="M82" s="379"/>
      <c r="N82" s="379"/>
      <c r="O82" s="379" t="s">
        <v>136</v>
      </c>
      <c r="P82" s="379">
        <v>2017</v>
      </c>
      <c r="Q82" s="380" t="s">
        <v>177</v>
      </c>
      <c r="R82" s="381" t="s">
        <v>182</v>
      </c>
      <c r="S82" s="379">
        <v>160</v>
      </c>
      <c r="T82" s="379"/>
      <c r="U82" s="379" t="s">
        <v>179</v>
      </c>
      <c r="V82" s="379"/>
      <c r="W82" s="379" t="s">
        <v>149</v>
      </c>
      <c r="X82" s="379">
        <v>2015</v>
      </c>
      <c r="Y82" s="379"/>
      <c r="Z82" s="379" t="str">
        <f>VLOOKUP(R82,KEY_Processes!$B$4:$E$54,4,FALSE)</f>
        <v>B_WOF_04</v>
      </c>
      <c r="AA82" s="379" t="str">
        <f>VLOOKUP(R82,KEY_Processes!$B$4:$E$54,2,FALSE)</f>
        <v>Biomass boilers, automatic stoking</v>
      </c>
      <c r="AB82" s="379" t="str">
        <f>VLOOKUP(U82,KEY_FUELS!$C$4:$D$77,2,FALSE)</f>
        <v>WOF</v>
      </c>
      <c r="AC82" s="379" t="s">
        <v>150</v>
      </c>
      <c r="AD82" s="379" t="s">
        <v>161</v>
      </c>
      <c r="AE82" s="379" t="s">
        <v>152</v>
      </c>
      <c r="AF82" s="382" t="str">
        <f>VLOOKUP(W82,KEY_Other!$B$37:$C$89,2,FALSE)</f>
        <v>DK</v>
      </c>
      <c r="AG82" s="379"/>
      <c r="AH82" s="379" t="str">
        <f>AC82&amp;VLOOKUP(U82,KEY_FUELS!$C$4:$D$78,2,FALSE)</f>
        <v>RSDWOF</v>
      </c>
      <c r="AI82" s="379" t="str">
        <f>IFERROR(AC82&amp;VLOOKUP(V82,KEY_FUELS!$C$4:$D$78,2,FALSE),"")</f>
        <v/>
      </c>
      <c r="AJ82" s="379" t="str">
        <f t="shared" si="3"/>
        <v>RHAPA</v>
      </c>
      <c r="AK82" s="379" t="str">
        <f t="shared" si="31"/>
        <v>RWAPA</v>
      </c>
      <c r="AL82" s="379" t="str">
        <f t="shared" si="32"/>
        <v/>
      </c>
      <c r="AM82" s="380">
        <v>31.536000000000001</v>
      </c>
      <c r="AN82" s="379">
        <f t="shared" si="33"/>
        <v>2015</v>
      </c>
      <c r="AO82" s="383"/>
      <c r="AP82" s="384"/>
      <c r="AQ82" s="386"/>
      <c r="AR82" s="386"/>
      <c r="AS82" s="386"/>
      <c r="AT82" s="386"/>
      <c r="AU82" s="387">
        <v>1</v>
      </c>
      <c r="AV82" s="387">
        <v>1</v>
      </c>
      <c r="AW82" s="387"/>
      <c r="AX82" s="388"/>
      <c r="AY82" s="384"/>
      <c r="AZ82" s="387">
        <v>0.8</v>
      </c>
      <c r="BA82" s="387">
        <v>0.8</v>
      </c>
      <c r="BB82" s="388"/>
      <c r="BC82" s="389"/>
      <c r="BD82" s="389"/>
      <c r="BE82" s="390"/>
      <c r="BF82" s="379"/>
      <c r="BG82" s="379"/>
      <c r="BH82" s="391"/>
      <c r="BI82" s="379">
        <v>20</v>
      </c>
      <c r="BJ82" s="379"/>
      <c r="BK82" s="388">
        <v>63</v>
      </c>
      <c r="BL82" s="392"/>
      <c r="BM82" s="392"/>
      <c r="BN82" s="392"/>
      <c r="BO82" s="392"/>
      <c r="BP82" s="392"/>
      <c r="BQ82" s="392"/>
      <c r="BR82" s="384">
        <v>1154.5</v>
      </c>
      <c r="BS82" s="388">
        <v>0</v>
      </c>
      <c r="BT82" s="380">
        <v>25</v>
      </c>
      <c r="BU82" s="388">
        <v>90</v>
      </c>
      <c r="BV82" s="380">
        <v>3</v>
      </c>
      <c r="BW82" s="380">
        <v>4</v>
      </c>
      <c r="BX82" s="395">
        <v>19</v>
      </c>
    </row>
    <row r="83" spans="1:76" s="226" customFormat="1" x14ac:dyDescent="0.3">
      <c r="A83" s="88"/>
      <c r="B83" s="87"/>
      <c r="C83" s="87"/>
      <c r="D83" s="87"/>
      <c r="E83" s="87"/>
      <c r="F83" s="88"/>
      <c r="G83" s="87"/>
      <c r="H83" s="88"/>
      <c r="I83" s="88"/>
      <c r="J83" s="362" t="s">
        <v>134</v>
      </c>
      <c r="K83" s="363" t="s">
        <v>135</v>
      </c>
      <c r="L83" s="363"/>
      <c r="M83" s="363"/>
      <c r="N83" s="363"/>
      <c r="O83" s="363" t="s">
        <v>136</v>
      </c>
      <c r="P83" s="363">
        <v>2017</v>
      </c>
      <c r="Q83" s="364" t="s">
        <v>177</v>
      </c>
      <c r="R83" s="365" t="s">
        <v>182</v>
      </c>
      <c r="S83" s="363">
        <v>160</v>
      </c>
      <c r="T83" s="363"/>
      <c r="U83" s="363" t="s">
        <v>179</v>
      </c>
      <c r="V83" s="363"/>
      <c r="W83" s="363" t="s">
        <v>149</v>
      </c>
      <c r="X83" s="363">
        <v>2020</v>
      </c>
      <c r="Y83" s="363"/>
      <c r="Z83" s="363" t="str">
        <f>VLOOKUP(R83,KEY_Processes!$B$4:$E$54,4,FALSE)</f>
        <v>B_WOF_04</v>
      </c>
      <c r="AA83" s="363" t="str">
        <f>VLOOKUP(R83,KEY_Processes!$B$4:$E$54,2,FALSE)</f>
        <v>Biomass boilers, automatic stoking</v>
      </c>
      <c r="AB83" s="363" t="str">
        <f>VLOOKUP(U83,KEY_FUELS!$C$4:$D$77,2,FALSE)</f>
        <v>WOF</v>
      </c>
      <c r="AC83" s="363" t="s">
        <v>150</v>
      </c>
      <c r="AD83" s="363" t="s">
        <v>161</v>
      </c>
      <c r="AE83" s="363" t="s">
        <v>152</v>
      </c>
      <c r="AF83" s="366" t="str">
        <f>VLOOKUP(W83,KEY_Other!$B$37:$C$89,2,FALSE)</f>
        <v>DK</v>
      </c>
      <c r="AG83" s="363"/>
      <c r="AH83" s="363" t="str">
        <f>AC83&amp;VLOOKUP(U83,KEY_FUELS!$C$4:$D$78,2,FALSE)</f>
        <v>RSDWOF</v>
      </c>
      <c r="AI83" s="363" t="str">
        <f>IFERROR(AC83&amp;VLOOKUP(V83,KEY_FUELS!$C$4:$D$78,2,FALSE),"")</f>
        <v/>
      </c>
      <c r="AJ83" s="363" t="str">
        <f t="shared" si="3"/>
        <v>RHAPA</v>
      </c>
      <c r="AK83" s="363" t="str">
        <f t="shared" si="31"/>
        <v>RWAPA</v>
      </c>
      <c r="AL83" s="363" t="str">
        <f t="shared" si="32"/>
        <v/>
      </c>
      <c r="AM83" s="364">
        <v>31.536000000000001</v>
      </c>
      <c r="AN83" s="363">
        <f t="shared" si="33"/>
        <v>2020</v>
      </c>
      <c r="AO83" s="367"/>
      <c r="AP83" s="368"/>
      <c r="AQ83" s="370"/>
      <c r="AR83" s="370"/>
      <c r="AS83" s="370"/>
      <c r="AT83" s="370"/>
      <c r="AU83" s="371">
        <v>1</v>
      </c>
      <c r="AV83" s="371">
        <v>1</v>
      </c>
      <c r="AW83" s="371"/>
      <c r="AX83" s="372"/>
      <c r="AY83" s="368"/>
      <c r="AZ83" s="371">
        <v>0.85</v>
      </c>
      <c r="BA83" s="371">
        <v>0.85</v>
      </c>
      <c r="BB83" s="372"/>
      <c r="BC83" s="373"/>
      <c r="BD83" s="373"/>
      <c r="BE83" s="374"/>
      <c r="BF83" s="363"/>
      <c r="BG83" s="363"/>
      <c r="BH83" s="375"/>
      <c r="BI83" s="363">
        <v>20</v>
      </c>
      <c r="BJ83" s="363"/>
      <c r="BK83" s="372">
        <v>61</v>
      </c>
      <c r="BL83" s="376"/>
      <c r="BM83" s="376"/>
      <c r="BN83" s="376"/>
      <c r="BO83" s="376"/>
      <c r="BP83" s="376"/>
      <c r="BQ83" s="376"/>
      <c r="BR83" s="368">
        <v>1130</v>
      </c>
      <c r="BS83" s="372">
        <v>0</v>
      </c>
      <c r="BT83" s="364">
        <v>25</v>
      </c>
      <c r="BU83" s="372">
        <v>70</v>
      </c>
      <c r="BV83" s="364">
        <v>2</v>
      </c>
      <c r="BW83" s="364">
        <v>4</v>
      </c>
      <c r="BX83" s="397">
        <v>15</v>
      </c>
    </row>
    <row r="84" spans="1:76" s="226" customFormat="1" x14ac:dyDescent="0.3">
      <c r="A84" s="88"/>
      <c r="B84" s="87"/>
      <c r="C84" s="87"/>
      <c r="D84" s="87"/>
      <c r="E84" s="87"/>
      <c r="F84" s="88"/>
      <c r="G84" s="87"/>
      <c r="H84" s="88"/>
      <c r="I84" s="88"/>
      <c r="J84" s="378" t="s">
        <v>134</v>
      </c>
      <c r="K84" s="379" t="s">
        <v>135</v>
      </c>
      <c r="L84" s="379"/>
      <c r="M84" s="379"/>
      <c r="N84" s="379"/>
      <c r="O84" s="379" t="s">
        <v>136</v>
      </c>
      <c r="P84" s="379">
        <v>2017</v>
      </c>
      <c r="Q84" s="380" t="s">
        <v>177</v>
      </c>
      <c r="R84" s="381" t="s">
        <v>182</v>
      </c>
      <c r="S84" s="379">
        <v>160</v>
      </c>
      <c r="T84" s="379"/>
      <c r="U84" s="379" t="s">
        <v>179</v>
      </c>
      <c r="V84" s="379"/>
      <c r="W84" s="379" t="s">
        <v>149</v>
      </c>
      <c r="X84" s="379">
        <v>2030</v>
      </c>
      <c r="Y84" s="379"/>
      <c r="Z84" s="379" t="str">
        <f>VLOOKUP(R84,KEY_Processes!$B$4:$E$54,4,FALSE)</f>
        <v>B_WOF_04</v>
      </c>
      <c r="AA84" s="379" t="str">
        <f>VLOOKUP(R84,KEY_Processes!$B$4:$E$54,2,FALSE)</f>
        <v>Biomass boilers, automatic stoking</v>
      </c>
      <c r="AB84" s="379" t="str">
        <f>VLOOKUP(U84,KEY_FUELS!$C$4:$D$77,2,FALSE)</f>
        <v>WOF</v>
      </c>
      <c r="AC84" s="379" t="s">
        <v>150</v>
      </c>
      <c r="AD84" s="379" t="s">
        <v>161</v>
      </c>
      <c r="AE84" s="379" t="s">
        <v>152</v>
      </c>
      <c r="AF84" s="382" t="str">
        <f>VLOOKUP(W84,KEY_Other!$B$37:$C$89,2,FALSE)</f>
        <v>DK</v>
      </c>
      <c r="AG84" s="379"/>
      <c r="AH84" s="379" t="str">
        <f>AC84&amp;VLOOKUP(U84,KEY_FUELS!$C$4:$D$78,2,FALSE)</f>
        <v>RSDWOF</v>
      </c>
      <c r="AI84" s="379" t="str">
        <f>IFERROR(AC84&amp;VLOOKUP(V84,KEY_FUELS!$C$4:$D$78,2,FALSE),"")</f>
        <v/>
      </c>
      <c r="AJ84" s="379" t="str">
        <f t="shared" si="3"/>
        <v>RHAPA</v>
      </c>
      <c r="AK84" s="379" t="str">
        <f t="shared" si="31"/>
        <v>RWAPA</v>
      </c>
      <c r="AL84" s="379" t="str">
        <f t="shared" si="32"/>
        <v/>
      </c>
      <c r="AM84" s="380">
        <v>31.536000000000001</v>
      </c>
      <c r="AN84" s="379">
        <f t="shared" si="33"/>
        <v>2030</v>
      </c>
      <c r="AO84" s="383"/>
      <c r="AP84" s="384"/>
      <c r="AQ84" s="386"/>
      <c r="AR84" s="386"/>
      <c r="AS84" s="386"/>
      <c r="AT84" s="386"/>
      <c r="AU84" s="387">
        <v>1</v>
      </c>
      <c r="AV84" s="387">
        <v>1</v>
      </c>
      <c r="AW84" s="387"/>
      <c r="AX84" s="388"/>
      <c r="AY84" s="384"/>
      <c r="AZ84" s="387">
        <v>0.9</v>
      </c>
      <c r="BA84" s="387">
        <v>0.9</v>
      </c>
      <c r="BB84" s="388"/>
      <c r="BC84" s="389"/>
      <c r="BD84" s="389"/>
      <c r="BE84" s="390"/>
      <c r="BF84" s="379"/>
      <c r="BG84" s="379"/>
      <c r="BH84" s="391"/>
      <c r="BI84" s="379">
        <v>20</v>
      </c>
      <c r="BJ84" s="379"/>
      <c r="BK84" s="388">
        <v>58</v>
      </c>
      <c r="BL84" s="392"/>
      <c r="BM84" s="392"/>
      <c r="BN84" s="392"/>
      <c r="BO84" s="392"/>
      <c r="BP84" s="392"/>
      <c r="BQ84" s="392"/>
      <c r="BR84" s="384">
        <v>1117</v>
      </c>
      <c r="BS84" s="388">
        <v>0</v>
      </c>
      <c r="BT84" s="380">
        <v>25</v>
      </c>
      <c r="BU84" s="388">
        <v>50</v>
      </c>
      <c r="BV84" s="380">
        <v>1</v>
      </c>
      <c r="BW84" s="380">
        <v>4</v>
      </c>
      <c r="BX84" s="395">
        <v>12</v>
      </c>
    </row>
    <row r="85" spans="1:76" s="226" customFormat="1" x14ac:dyDescent="0.3">
      <c r="A85" s="88"/>
      <c r="B85" s="87"/>
      <c r="C85" s="87"/>
      <c r="D85" s="87"/>
      <c r="E85" s="87"/>
      <c r="F85" s="88"/>
      <c r="G85" s="87"/>
      <c r="H85" s="88"/>
      <c r="I85" s="88"/>
      <c r="J85" s="362" t="s">
        <v>134</v>
      </c>
      <c r="K85" s="363" t="s">
        <v>135</v>
      </c>
      <c r="L85" s="363"/>
      <c r="M85" s="363"/>
      <c r="N85" s="363"/>
      <c r="O85" s="363" t="s">
        <v>136</v>
      </c>
      <c r="P85" s="363">
        <v>2017</v>
      </c>
      <c r="Q85" s="364" t="s">
        <v>177</v>
      </c>
      <c r="R85" s="365" t="s">
        <v>182</v>
      </c>
      <c r="S85" s="363">
        <v>160</v>
      </c>
      <c r="T85" s="363"/>
      <c r="U85" s="363" t="s">
        <v>179</v>
      </c>
      <c r="V85" s="363"/>
      <c r="W85" s="363" t="s">
        <v>149</v>
      </c>
      <c r="X85" s="363">
        <v>2050</v>
      </c>
      <c r="Y85" s="363"/>
      <c r="Z85" s="363" t="str">
        <f>VLOOKUP(R85,KEY_Processes!$B$4:$E$54,4,FALSE)</f>
        <v>B_WOF_04</v>
      </c>
      <c r="AA85" s="363" t="str">
        <f>VLOOKUP(R85,KEY_Processes!$B$4:$E$54,2,FALSE)</f>
        <v>Biomass boilers, automatic stoking</v>
      </c>
      <c r="AB85" s="363" t="str">
        <f>VLOOKUP(U85,KEY_FUELS!$C$4:$D$77,2,FALSE)</f>
        <v>WOF</v>
      </c>
      <c r="AC85" s="363" t="s">
        <v>150</v>
      </c>
      <c r="AD85" s="363" t="s">
        <v>161</v>
      </c>
      <c r="AE85" s="363" t="s">
        <v>152</v>
      </c>
      <c r="AF85" s="366" t="str">
        <f>VLOOKUP(W85,KEY_Other!$B$37:$C$89,2,FALSE)</f>
        <v>DK</v>
      </c>
      <c r="AG85" s="363"/>
      <c r="AH85" s="363" t="str">
        <f>AC85&amp;VLOOKUP(U85,KEY_FUELS!$C$4:$D$78,2,FALSE)</f>
        <v>RSDWOF</v>
      </c>
      <c r="AI85" s="363" t="str">
        <f>IFERROR(AC85&amp;VLOOKUP(V85,KEY_FUELS!$C$4:$D$78,2,FALSE),"")</f>
        <v/>
      </c>
      <c r="AJ85" s="363" t="str">
        <f t="shared" si="3"/>
        <v>RHAPA</v>
      </c>
      <c r="AK85" s="363" t="str">
        <f t="shared" si="31"/>
        <v>RWAPA</v>
      </c>
      <c r="AL85" s="363" t="str">
        <f t="shared" si="32"/>
        <v/>
      </c>
      <c r="AM85" s="364">
        <v>31.536000000000001</v>
      </c>
      <c r="AN85" s="363">
        <f t="shared" si="33"/>
        <v>2050</v>
      </c>
      <c r="AO85" s="367"/>
      <c r="AP85" s="368"/>
      <c r="AQ85" s="370"/>
      <c r="AR85" s="370"/>
      <c r="AS85" s="370"/>
      <c r="AT85" s="370"/>
      <c r="AU85" s="371">
        <v>1</v>
      </c>
      <c r="AV85" s="371">
        <v>1</v>
      </c>
      <c r="AW85" s="371"/>
      <c r="AX85" s="372"/>
      <c r="AY85" s="368"/>
      <c r="AZ85" s="371">
        <v>0.9</v>
      </c>
      <c r="BA85" s="371">
        <v>0.9</v>
      </c>
      <c r="BB85" s="372"/>
      <c r="BC85" s="373"/>
      <c r="BD85" s="373"/>
      <c r="BE85" s="374"/>
      <c r="BF85" s="363"/>
      <c r="BG85" s="363"/>
      <c r="BH85" s="375"/>
      <c r="BI85" s="363">
        <v>20</v>
      </c>
      <c r="BJ85" s="363"/>
      <c r="BK85" s="372">
        <v>53</v>
      </c>
      <c r="BL85" s="376"/>
      <c r="BM85" s="376"/>
      <c r="BN85" s="376"/>
      <c r="BO85" s="376"/>
      <c r="BP85" s="376"/>
      <c r="BQ85" s="376"/>
      <c r="BR85" s="368">
        <v>1036</v>
      </c>
      <c r="BS85" s="372">
        <v>0</v>
      </c>
      <c r="BT85" s="364">
        <v>25</v>
      </c>
      <c r="BU85" s="372">
        <v>40</v>
      </c>
      <c r="BV85" s="364">
        <v>0</v>
      </c>
      <c r="BW85" s="364">
        <v>4</v>
      </c>
      <c r="BX85" s="397">
        <v>10</v>
      </c>
    </row>
    <row r="86" spans="1:76" s="226" customFormat="1" x14ac:dyDescent="0.3">
      <c r="A86" s="88"/>
      <c r="B86" s="87"/>
      <c r="C86" s="87"/>
      <c r="D86" s="87"/>
      <c r="E86" s="87"/>
      <c r="F86" s="88"/>
      <c r="G86" s="87"/>
      <c r="H86" s="88"/>
      <c r="I86" s="88"/>
      <c r="J86" s="378" t="s">
        <v>134</v>
      </c>
      <c r="K86" s="379" t="s">
        <v>135</v>
      </c>
      <c r="L86" s="379"/>
      <c r="M86" s="379"/>
      <c r="N86" s="379"/>
      <c r="O86" s="379" t="s">
        <v>136</v>
      </c>
      <c r="P86" s="379">
        <v>2017</v>
      </c>
      <c r="Q86" s="380" t="s">
        <v>177</v>
      </c>
      <c r="R86" s="381" t="s">
        <v>183</v>
      </c>
      <c r="S86" s="379">
        <v>35</v>
      </c>
      <c r="T86" s="379"/>
      <c r="U86" s="379" t="s">
        <v>179</v>
      </c>
      <c r="V86" s="379"/>
      <c r="W86" s="379" t="s">
        <v>149</v>
      </c>
      <c r="X86" s="379">
        <v>2015</v>
      </c>
      <c r="Y86" s="379"/>
      <c r="Z86" s="379" t="str">
        <f>VLOOKUP(R86,KEY_Processes!$B$4:$E$54,4,FALSE)</f>
        <v>B_WOF_05</v>
      </c>
      <c r="AA86" s="379" t="str">
        <f>VLOOKUP(R86,KEY_Processes!$B$4:$E$54,2,FALSE)</f>
        <v>Biomass boiler, manual stoking</v>
      </c>
      <c r="AB86" s="379" t="str">
        <f>VLOOKUP(U86,KEY_FUELS!$C$4:$D$77,2,FALSE)</f>
        <v>WOF</v>
      </c>
      <c r="AC86" s="379" t="s">
        <v>150</v>
      </c>
      <c r="AD86" s="379" t="s">
        <v>151</v>
      </c>
      <c r="AE86" s="379" t="s">
        <v>152</v>
      </c>
      <c r="AF86" s="382" t="str">
        <f>VLOOKUP(W86,KEY_Other!$B$37:$C$89,2,FALSE)</f>
        <v>DK</v>
      </c>
      <c r="AG86" s="379"/>
      <c r="AH86" s="379" t="str">
        <f>AC86&amp;VLOOKUP(U86,KEY_FUELS!$C$4:$D$78,2,FALSE)</f>
        <v>RSDWOF</v>
      </c>
      <c r="AI86" s="379" t="str">
        <f>IFERROR(AC86&amp;VLOOKUP(V86,KEY_FUELS!$C$4:$D$78,2,FALSE),"")</f>
        <v/>
      </c>
      <c r="AJ86" s="379" t="str">
        <f t="shared" si="3"/>
        <v>RHHSB</v>
      </c>
      <c r="AK86" s="379" t="str">
        <f t="shared" si="31"/>
        <v>RWHSB</v>
      </c>
      <c r="AL86" s="379" t="str">
        <f t="shared" si="32"/>
        <v/>
      </c>
      <c r="AM86" s="380">
        <v>31.536000000000001</v>
      </c>
      <c r="AN86" s="379">
        <f t="shared" si="33"/>
        <v>2015</v>
      </c>
      <c r="AO86" s="383"/>
      <c r="AP86" s="384"/>
      <c r="AQ86" s="386"/>
      <c r="AR86" s="386"/>
      <c r="AS86" s="386"/>
      <c r="AT86" s="386"/>
      <c r="AU86" s="387">
        <v>1</v>
      </c>
      <c r="AV86" s="387">
        <v>1</v>
      </c>
      <c r="AW86" s="387"/>
      <c r="AX86" s="388"/>
      <c r="AY86" s="384"/>
      <c r="AZ86" s="387">
        <v>0.8</v>
      </c>
      <c r="BA86" s="387">
        <v>0.8</v>
      </c>
      <c r="BB86" s="388"/>
      <c r="BC86" s="389"/>
      <c r="BD86" s="389"/>
      <c r="BE86" s="390"/>
      <c r="BF86" s="379"/>
      <c r="BG86" s="379"/>
      <c r="BH86" s="391"/>
      <c r="BI86" s="379">
        <v>20</v>
      </c>
      <c r="BJ86" s="379"/>
      <c r="BK86" s="388">
        <v>10.1</v>
      </c>
      <c r="BL86" s="392"/>
      <c r="BM86" s="392"/>
      <c r="BN86" s="392"/>
      <c r="BO86" s="392"/>
      <c r="BP86" s="392"/>
      <c r="BQ86" s="392"/>
      <c r="BR86" s="384">
        <v>465.75</v>
      </c>
      <c r="BS86" s="388">
        <v>0</v>
      </c>
      <c r="BT86" s="380">
        <v>25</v>
      </c>
      <c r="BU86" s="388">
        <v>90</v>
      </c>
      <c r="BV86" s="380">
        <v>3</v>
      </c>
      <c r="BW86" s="380">
        <v>4</v>
      </c>
      <c r="BX86" s="395">
        <v>150</v>
      </c>
    </row>
    <row r="87" spans="1:76" s="226" customFormat="1" x14ac:dyDescent="0.3">
      <c r="A87" s="88"/>
      <c r="B87" s="87"/>
      <c r="C87" s="87"/>
      <c r="D87" s="87"/>
      <c r="E87" s="87"/>
      <c r="F87" s="88"/>
      <c r="G87" s="87"/>
      <c r="H87" s="88"/>
      <c r="I87" s="88"/>
      <c r="J87" s="362" t="s">
        <v>134</v>
      </c>
      <c r="K87" s="363" t="s">
        <v>135</v>
      </c>
      <c r="L87" s="363"/>
      <c r="M87" s="363"/>
      <c r="N87" s="363"/>
      <c r="O87" s="363" t="s">
        <v>136</v>
      </c>
      <c r="P87" s="363">
        <v>2017</v>
      </c>
      <c r="Q87" s="364" t="s">
        <v>177</v>
      </c>
      <c r="R87" s="365" t="s">
        <v>183</v>
      </c>
      <c r="S87" s="363">
        <v>30</v>
      </c>
      <c r="T87" s="363"/>
      <c r="U87" s="363" t="s">
        <v>179</v>
      </c>
      <c r="V87" s="363"/>
      <c r="W87" s="363" t="s">
        <v>149</v>
      </c>
      <c r="X87" s="363">
        <v>2020</v>
      </c>
      <c r="Y87" s="363"/>
      <c r="Z87" s="363" t="str">
        <f>VLOOKUP(R87,KEY_Processes!$B$4:$E$54,4,FALSE)</f>
        <v>B_WOF_05</v>
      </c>
      <c r="AA87" s="363" t="str">
        <f>VLOOKUP(R87,KEY_Processes!$B$4:$E$54,2,FALSE)</f>
        <v>Biomass boiler, manual stoking</v>
      </c>
      <c r="AB87" s="363" t="str">
        <f>VLOOKUP(U87,KEY_FUELS!$C$4:$D$77,2,FALSE)</f>
        <v>WOF</v>
      </c>
      <c r="AC87" s="363" t="s">
        <v>150</v>
      </c>
      <c r="AD87" s="363" t="s">
        <v>151</v>
      </c>
      <c r="AE87" s="363" t="s">
        <v>152</v>
      </c>
      <c r="AF87" s="366" t="str">
        <f>VLOOKUP(W87,KEY_Other!$B$37:$C$89,2,FALSE)</f>
        <v>DK</v>
      </c>
      <c r="AG87" s="363"/>
      <c r="AH87" s="363" t="str">
        <f>AC87&amp;VLOOKUP(U87,KEY_FUELS!$C$4:$D$78,2,FALSE)</f>
        <v>RSDWOF</v>
      </c>
      <c r="AI87" s="363" t="str">
        <f>IFERROR(AC87&amp;VLOOKUP(V87,KEY_FUELS!$C$4:$D$78,2,FALSE),"")</f>
        <v/>
      </c>
      <c r="AJ87" s="363" t="str">
        <f t="shared" si="3"/>
        <v>RHHSB</v>
      </c>
      <c r="AK87" s="363" t="str">
        <f t="shared" si="31"/>
        <v>RWHSB</v>
      </c>
      <c r="AL87" s="363" t="str">
        <f t="shared" si="32"/>
        <v/>
      </c>
      <c r="AM87" s="364">
        <v>31.536000000000001</v>
      </c>
      <c r="AN87" s="363">
        <f t="shared" si="33"/>
        <v>2020</v>
      </c>
      <c r="AO87" s="367"/>
      <c r="AP87" s="368"/>
      <c r="AQ87" s="370"/>
      <c r="AR87" s="370"/>
      <c r="AS87" s="370"/>
      <c r="AT87" s="370"/>
      <c r="AU87" s="371">
        <v>1</v>
      </c>
      <c r="AV87" s="371">
        <v>1</v>
      </c>
      <c r="AW87" s="371"/>
      <c r="AX87" s="372"/>
      <c r="AY87" s="368"/>
      <c r="AZ87" s="371">
        <v>0.82</v>
      </c>
      <c r="BA87" s="371">
        <v>0.82</v>
      </c>
      <c r="BB87" s="372"/>
      <c r="BC87" s="373"/>
      <c r="BD87" s="373"/>
      <c r="BE87" s="374"/>
      <c r="BF87" s="363"/>
      <c r="BG87" s="363"/>
      <c r="BH87" s="375"/>
      <c r="BI87" s="363">
        <v>20</v>
      </c>
      <c r="BJ87" s="363"/>
      <c r="BK87" s="372">
        <v>10.1</v>
      </c>
      <c r="BL87" s="376"/>
      <c r="BM87" s="376"/>
      <c r="BN87" s="376"/>
      <c r="BO87" s="376"/>
      <c r="BP87" s="376"/>
      <c r="BQ87" s="376"/>
      <c r="BR87" s="368">
        <v>455</v>
      </c>
      <c r="BS87" s="372">
        <v>0</v>
      </c>
      <c r="BT87" s="364">
        <v>25</v>
      </c>
      <c r="BU87" s="372">
        <v>70</v>
      </c>
      <c r="BV87" s="364">
        <v>2</v>
      </c>
      <c r="BW87" s="364">
        <v>4</v>
      </c>
      <c r="BX87" s="397">
        <v>120</v>
      </c>
    </row>
    <row r="88" spans="1:76" s="226" customFormat="1" x14ac:dyDescent="0.3">
      <c r="A88" s="88"/>
      <c r="B88" s="87"/>
      <c r="C88" s="87"/>
      <c r="D88" s="87"/>
      <c r="E88" s="87"/>
      <c r="F88" s="88"/>
      <c r="G88" s="87"/>
      <c r="H88" s="88"/>
      <c r="I88" s="88"/>
      <c r="J88" s="378" t="s">
        <v>134</v>
      </c>
      <c r="K88" s="379" t="s">
        <v>135</v>
      </c>
      <c r="L88" s="379"/>
      <c r="M88" s="379"/>
      <c r="N88" s="379"/>
      <c r="O88" s="379" t="s">
        <v>136</v>
      </c>
      <c r="P88" s="379">
        <v>2017</v>
      </c>
      <c r="Q88" s="380" t="s">
        <v>177</v>
      </c>
      <c r="R88" s="381" t="s">
        <v>183</v>
      </c>
      <c r="S88" s="379">
        <v>25</v>
      </c>
      <c r="T88" s="379"/>
      <c r="U88" s="379" t="s">
        <v>179</v>
      </c>
      <c r="V88" s="379"/>
      <c r="W88" s="379" t="s">
        <v>149</v>
      </c>
      <c r="X88" s="379">
        <v>2030</v>
      </c>
      <c r="Y88" s="379"/>
      <c r="Z88" s="379" t="str">
        <f>VLOOKUP(R88,KEY_Processes!$B$4:$E$54,4,FALSE)</f>
        <v>B_WOF_05</v>
      </c>
      <c r="AA88" s="379" t="str">
        <f>VLOOKUP(R88,KEY_Processes!$B$4:$E$54,2,FALSE)</f>
        <v>Biomass boiler, manual stoking</v>
      </c>
      <c r="AB88" s="379" t="str">
        <f>VLOOKUP(U88,KEY_FUELS!$C$4:$D$77,2,FALSE)</f>
        <v>WOF</v>
      </c>
      <c r="AC88" s="379" t="s">
        <v>150</v>
      </c>
      <c r="AD88" s="379" t="s">
        <v>151</v>
      </c>
      <c r="AE88" s="379" t="s">
        <v>152</v>
      </c>
      <c r="AF88" s="382" t="str">
        <f>VLOOKUP(W88,KEY_Other!$B$37:$C$89,2,FALSE)</f>
        <v>DK</v>
      </c>
      <c r="AG88" s="379"/>
      <c r="AH88" s="379" t="str">
        <f>AC88&amp;VLOOKUP(U88,KEY_FUELS!$C$4:$D$78,2,FALSE)</f>
        <v>RSDWOF</v>
      </c>
      <c r="AI88" s="379" t="str">
        <f>IFERROR(AC88&amp;VLOOKUP(V88,KEY_FUELS!$C$4:$D$78,2,FALSE),"")</f>
        <v/>
      </c>
      <c r="AJ88" s="379" t="str">
        <f t="shared" si="3"/>
        <v>RHHSB</v>
      </c>
      <c r="AK88" s="379" t="str">
        <f t="shared" si="31"/>
        <v>RWHSB</v>
      </c>
      <c r="AL88" s="379" t="str">
        <f t="shared" si="32"/>
        <v/>
      </c>
      <c r="AM88" s="380">
        <v>31.536000000000001</v>
      </c>
      <c r="AN88" s="379">
        <f t="shared" si="33"/>
        <v>2030</v>
      </c>
      <c r="AO88" s="383"/>
      <c r="AP88" s="384"/>
      <c r="AQ88" s="386"/>
      <c r="AR88" s="386"/>
      <c r="AS88" s="386"/>
      <c r="AT88" s="386"/>
      <c r="AU88" s="387">
        <v>1</v>
      </c>
      <c r="AV88" s="387">
        <v>1</v>
      </c>
      <c r="AW88" s="387"/>
      <c r="AX88" s="388"/>
      <c r="AY88" s="384"/>
      <c r="AZ88" s="387">
        <v>0.86</v>
      </c>
      <c r="BA88" s="387">
        <v>0.86</v>
      </c>
      <c r="BB88" s="388"/>
      <c r="BC88" s="389"/>
      <c r="BD88" s="389"/>
      <c r="BE88" s="390"/>
      <c r="BF88" s="379"/>
      <c r="BG88" s="379"/>
      <c r="BH88" s="391"/>
      <c r="BI88" s="379">
        <v>20</v>
      </c>
      <c r="BJ88" s="379"/>
      <c r="BK88" s="388">
        <v>9</v>
      </c>
      <c r="BL88" s="392"/>
      <c r="BM88" s="392"/>
      <c r="BN88" s="392"/>
      <c r="BO88" s="392"/>
      <c r="BP88" s="392"/>
      <c r="BQ88" s="392"/>
      <c r="BR88" s="384">
        <v>440</v>
      </c>
      <c r="BS88" s="388">
        <v>0</v>
      </c>
      <c r="BT88" s="380">
        <v>25</v>
      </c>
      <c r="BU88" s="388">
        <v>60</v>
      </c>
      <c r="BV88" s="380">
        <v>1</v>
      </c>
      <c r="BW88" s="380">
        <v>4</v>
      </c>
      <c r="BX88" s="395">
        <v>95</v>
      </c>
    </row>
    <row r="89" spans="1:76" s="226" customFormat="1" x14ac:dyDescent="0.3">
      <c r="A89" s="88"/>
      <c r="B89" s="87"/>
      <c r="C89" s="87"/>
      <c r="D89" s="87"/>
      <c r="E89" s="87"/>
      <c r="F89" s="88"/>
      <c r="G89" s="87"/>
      <c r="H89" s="88"/>
      <c r="I89" s="88"/>
      <c r="J89" s="362" t="s">
        <v>134</v>
      </c>
      <c r="K89" s="363" t="s">
        <v>135</v>
      </c>
      <c r="L89" s="363"/>
      <c r="M89" s="363"/>
      <c r="N89" s="363"/>
      <c r="O89" s="363" t="s">
        <v>136</v>
      </c>
      <c r="P89" s="363">
        <v>2017</v>
      </c>
      <c r="Q89" s="364" t="s">
        <v>177</v>
      </c>
      <c r="R89" s="365" t="s">
        <v>183</v>
      </c>
      <c r="S89" s="363">
        <v>25</v>
      </c>
      <c r="T89" s="363"/>
      <c r="U89" s="363" t="s">
        <v>179</v>
      </c>
      <c r="V89" s="363"/>
      <c r="W89" s="363" t="s">
        <v>149</v>
      </c>
      <c r="X89" s="363">
        <v>2050</v>
      </c>
      <c r="Y89" s="363"/>
      <c r="Z89" s="363" t="str">
        <f>VLOOKUP(R89,KEY_Processes!$B$4:$E$54,4,FALSE)</f>
        <v>B_WOF_05</v>
      </c>
      <c r="AA89" s="363" t="str">
        <f>VLOOKUP(R89,KEY_Processes!$B$4:$E$54,2,FALSE)</f>
        <v>Biomass boiler, manual stoking</v>
      </c>
      <c r="AB89" s="363" t="str">
        <f>VLOOKUP(U89,KEY_FUELS!$C$4:$D$77,2,FALSE)</f>
        <v>WOF</v>
      </c>
      <c r="AC89" s="363" t="s">
        <v>150</v>
      </c>
      <c r="AD89" s="363" t="s">
        <v>151</v>
      </c>
      <c r="AE89" s="363" t="s">
        <v>152</v>
      </c>
      <c r="AF89" s="366" t="str">
        <f>VLOOKUP(W89,KEY_Other!$B$37:$C$89,2,FALSE)</f>
        <v>DK</v>
      </c>
      <c r="AG89" s="363"/>
      <c r="AH89" s="363" t="str">
        <f>AC89&amp;VLOOKUP(U89,KEY_FUELS!$C$4:$D$78,2,FALSE)</f>
        <v>RSDWOF</v>
      </c>
      <c r="AI89" s="363" t="str">
        <f>IFERROR(AC89&amp;VLOOKUP(V89,KEY_FUELS!$C$4:$D$78,2,FALSE),"")</f>
        <v/>
      </c>
      <c r="AJ89" s="363" t="str">
        <f t="shared" si="3"/>
        <v>RHHSB</v>
      </c>
      <c r="AK89" s="363" t="str">
        <f t="shared" si="31"/>
        <v>RWHSB</v>
      </c>
      <c r="AL89" s="363" t="str">
        <f t="shared" si="32"/>
        <v/>
      </c>
      <c r="AM89" s="364">
        <v>31.536000000000001</v>
      </c>
      <c r="AN89" s="363">
        <f t="shared" si="33"/>
        <v>2050</v>
      </c>
      <c r="AO89" s="367"/>
      <c r="AP89" s="368"/>
      <c r="AQ89" s="370"/>
      <c r="AR89" s="370"/>
      <c r="AS89" s="370"/>
      <c r="AT89" s="370"/>
      <c r="AU89" s="371">
        <v>1</v>
      </c>
      <c r="AV89" s="371">
        <v>1</v>
      </c>
      <c r="AW89" s="371"/>
      <c r="AX89" s="372"/>
      <c r="AY89" s="368"/>
      <c r="AZ89" s="371">
        <v>0.88</v>
      </c>
      <c r="BA89" s="371">
        <v>0.88</v>
      </c>
      <c r="BB89" s="372"/>
      <c r="BC89" s="373"/>
      <c r="BD89" s="373"/>
      <c r="BE89" s="374"/>
      <c r="BF89" s="363"/>
      <c r="BG89" s="363"/>
      <c r="BH89" s="375"/>
      <c r="BI89" s="363">
        <v>20</v>
      </c>
      <c r="BJ89" s="363"/>
      <c r="BK89" s="372">
        <v>8</v>
      </c>
      <c r="BL89" s="376"/>
      <c r="BM89" s="376"/>
      <c r="BN89" s="376"/>
      <c r="BO89" s="376"/>
      <c r="BP89" s="376"/>
      <c r="BQ89" s="376"/>
      <c r="BR89" s="368">
        <v>401</v>
      </c>
      <c r="BS89" s="372">
        <v>0</v>
      </c>
      <c r="BT89" s="364">
        <v>25</v>
      </c>
      <c r="BU89" s="372">
        <v>50</v>
      </c>
      <c r="BV89" s="364">
        <v>0</v>
      </c>
      <c r="BW89" s="364">
        <v>4</v>
      </c>
      <c r="BX89" s="397">
        <v>60</v>
      </c>
    </row>
    <row r="90" spans="1:76" s="226" customFormat="1" x14ac:dyDescent="0.3">
      <c r="A90" s="88"/>
      <c r="B90" s="87"/>
      <c r="C90" s="87"/>
      <c r="D90" s="87"/>
      <c r="E90" s="87"/>
      <c r="F90" s="88"/>
      <c r="G90" s="87"/>
      <c r="H90" s="88"/>
      <c r="I90" s="88"/>
      <c r="J90" s="378" t="s">
        <v>134</v>
      </c>
      <c r="K90" s="379" t="s">
        <v>135</v>
      </c>
      <c r="L90" s="379"/>
      <c r="M90" s="379"/>
      <c r="N90" s="379"/>
      <c r="O90" s="379" t="s">
        <v>136</v>
      </c>
      <c r="P90" s="379">
        <v>2017</v>
      </c>
      <c r="Q90" s="380" t="s">
        <v>184</v>
      </c>
      <c r="R90" s="381" t="s">
        <v>185</v>
      </c>
      <c r="S90" s="379">
        <v>6</v>
      </c>
      <c r="T90" s="379"/>
      <c r="U90" s="379" t="s">
        <v>179</v>
      </c>
      <c r="V90" s="379"/>
      <c r="W90" s="379" t="s">
        <v>149</v>
      </c>
      <c r="X90" s="379">
        <v>2015</v>
      </c>
      <c r="Y90" s="379"/>
      <c r="Z90" s="379" t="str">
        <f>VLOOKUP(R90,KEY_Processes!$B$4:$E$54,4,FALSE)</f>
        <v>S_WOF_01</v>
      </c>
      <c r="AA90" s="379" t="str">
        <f>VLOOKUP(R90,KEY_Processes!$B$4:$E$54,2,FALSE)</f>
        <v>Wood stove</v>
      </c>
      <c r="AB90" s="379" t="str">
        <f>VLOOKUP(U90,KEY_FUELS!$C$4:$D$77,2,FALSE)</f>
        <v>WOF</v>
      </c>
      <c r="AC90" s="379" t="s">
        <v>150</v>
      </c>
      <c r="AD90" s="379" t="s">
        <v>151</v>
      </c>
      <c r="AE90" s="379" t="s">
        <v>152</v>
      </c>
      <c r="AF90" s="382" t="str">
        <f>VLOOKUP(W90,KEY_Other!$B$37:$C$89,2,FALSE)</f>
        <v>DK</v>
      </c>
      <c r="AG90" s="379"/>
      <c r="AH90" s="379" t="str">
        <f>AC90&amp;VLOOKUP(U90,KEY_FUELS!$C$4:$D$78,2,FALSE)</f>
        <v>RSDWOF</v>
      </c>
      <c r="AI90" s="379" t="str">
        <f>IFERROR(AC90&amp;VLOOKUP(V90,KEY_FUELS!$C$4:$D$78,2,FALSE),"")</f>
        <v/>
      </c>
      <c r="AJ90" s="379" t="str">
        <f t="shared" si="3"/>
        <v>RHHSB</v>
      </c>
      <c r="AK90" s="379" t="str">
        <f t="shared" si="31"/>
        <v/>
      </c>
      <c r="AL90" s="379" t="str">
        <f t="shared" si="32"/>
        <v/>
      </c>
      <c r="AM90" s="380">
        <v>31.536000000000001</v>
      </c>
      <c r="AN90" s="379">
        <f t="shared" si="33"/>
        <v>2015</v>
      </c>
      <c r="AO90" s="383"/>
      <c r="AP90" s="384"/>
      <c r="AQ90" s="386"/>
      <c r="AR90" s="386"/>
      <c r="AS90" s="386"/>
      <c r="AT90" s="386"/>
      <c r="AU90" s="387">
        <v>0.4</v>
      </c>
      <c r="AV90" s="387">
        <v>0</v>
      </c>
      <c r="AW90" s="387"/>
      <c r="AX90" s="388"/>
      <c r="AY90" s="384"/>
      <c r="AZ90" s="387">
        <v>0.65</v>
      </c>
      <c r="BA90" s="387">
        <v>0.65</v>
      </c>
      <c r="BB90" s="388"/>
      <c r="BC90" s="389"/>
      <c r="BD90" s="389"/>
      <c r="BE90" s="390"/>
      <c r="BF90" s="379"/>
      <c r="BG90" s="379"/>
      <c r="BH90" s="391"/>
      <c r="BI90" s="379">
        <v>20</v>
      </c>
      <c r="BJ90" s="379"/>
      <c r="BK90" s="388">
        <v>4.0999999999999996</v>
      </c>
      <c r="BL90" s="392"/>
      <c r="BM90" s="392"/>
      <c r="BN90" s="392"/>
      <c r="BO90" s="392"/>
      <c r="BP90" s="392"/>
      <c r="BQ90" s="392"/>
      <c r="BR90" s="384">
        <v>150</v>
      </c>
      <c r="BS90" s="388">
        <v>0</v>
      </c>
      <c r="BT90" s="380">
        <v>25</v>
      </c>
      <c r="BU90" s="388">
        <v>90</v>
      </c>
      <c r="BV90" s="380">
        <v>320</v>
      </c>
      <c r="BW90" s="380">
        <v>4</v>
      </c>
      <c r="BX90" s="395">
        <v>50</v>
      </c>
    </row>
    <row r="91" spans="1:76" s="226" customFormat="1" x14ac:dyDescent="0.3">
      <c r="A91" s="88"/>
      <c r="B91" s="87"/>
      <c r="C91" s="87"/>
      <c r="D91" s="87"/>
      <c r="E91" s="87"/>
      <c r="F91" s="88"/>
      <c r="G91" s="87"/>
      <c r="H91" s="88"/>
      <c r="I91" s="88"/>
      <c r="J91" s="362" t="s">
        <v>134</v>
      </c>
      <c r="K91" s="363" t="s">
        <v>135</v>
      </c>
      <c r="L91" s="363"/>
      <c r="M91" s="363"/>
      <c r="N91" s="363"/>
      <c r="O91" s="363" t="s">
        <v>136</v>
      </c>
      <c r="P91" s="363">
        <v>2017</v>
      </c>
      <c r="Q91" s="364" t="s">
        <v>184</v>
      </c>
      <c r="R91" s="365" t="s">
        <v>185</v>
      </c>
      <c r="S91" s="363">
        <v>5</v>
      </c>
      <c r="T91" s="363"/>
      <c r="U91" s="363" t="s">
        <v>179</v>
      </c>
      <c r="V91" s="363"/>
      <c r="W91" s="363" t="s">
        <v>149</v>
      </c>
      <c r="X91" s="363">
        <v>2020</v>
      </c>
      <c r="Y91" s="363"/>
      <c r="Z91" s="363" t="str">
        <f>VLOOKUP(R91,KEY_Processes!$B$4:$E$54,4,FALSE)</f>
        <v>S_WOF_01</v>
      </c>
      <c r="AA91" s="363" t="str">
        <f>VLOOKUP(R91,KEY_Processes!$B$4:$E$54,2,FALSE)</f>
        <v>Wood stove</v>
      </c>
      <c r="AB91" s="363" t="str">
        <f>VLOOKUP(U91,KEY_FUELS!$C$4:$D$77,2,FALSE)</f>
        <v>WOF</v>
      </c>
      <c r="AC91" s="363" t="s">
        <v>150</v>
      </c>
      <c r="AD91" s="363" t="s">
        <v>151</v>
      </c>
      <c r="AE91" s="363" t="s">
        <v>152</v>
      </c>
      <c r="AF91" s="366" t="str">
        <f>VLOOKUP(W91,KEY_Other!$B$37:$C$89,2,FALSE)</f>
        <v>DK</v>
      </c>
      <c r="AG91" s="363"/>
      <c r="AH91" s="363" t="str">
        <f>AC91&amp;VLOOKUP(U91,KEY_FUELS!$C$4:$D$78,2,FALSE)</f>
        <v>RSDWOF</v>
      </c>
      <c r="AI91" s="363" t="str">
        <f>IFERROR(AC91&amp;VLOOKUP(V91,KEY_FUELS!$C$4:$D$78,2,FALSE),"")</f>
        <v/>
      </c>
      <c r="AJ91" s="363" t="str">
        <f t="shared" si="3"/>
        <v>RHHSB</v>
      </c>
      <c r="AK91" s="363" t="str">
        <f t="shared" si="31"/>
        <v/>
      </c>
      <c r="AL91" s="363" t="str">
        <f t="shared" si="32"/>
        <v/>
      </c>
      <c r="AM91" s="364">
        <v>31.536000000000001</v>
      </c>
      <c r="AN91" s="363">
        <f t="shared" si="33"/>
        <v>2020</v>
      </c>
      <c r="AO91" s="367"/>
      <c r="AP91" s="368"/>
      <c r="AQ91" s="370"/>
      <c r="AR91" s="370"/>
      <c r="AS91" s="370"/>
      <c r="AT91" s="370"/>
      <c r="AU91" s="371">
        <v>0.4</v>
      </c>
      <c r="AV91" s="371">
        <v>0</v>
      </c>
      <c r="AW91" s="371"/>
      <c r="AX91" s="372"/>
      <c r="AY91" s="368"/>
      <c r="AZ91" s="371">
        <v>0.7</v>
      </c>
      <c r="BA91" s="371">
        <v>0.7</v>
      </c>
      <c r="BB91" s="372"/>
      <c r="BC91" s="373"/>
      <c r="BD91" s="373"/>
      <c r="BE91" s="374"/>
      <c r="BF91" s="363"/>
      <c r="BG91" s="363"/>
      <c r="BH91" s="375"/>
      <c r="BI91" s="363">
        <v>20</v>
      </c>
      <c r="BJ91" s="363"/>
      <c r="BK91" s="372">
        <v>4.0999999999999996</v>
      </c>
      <c r="BL91" s="376"/>
      <c r="BM91" s="376"/>
      <c r="BN91" s="376"/>
      <c r="BO91" s="376"/>
      <c r="BP91" s="376"/>
      <c r="BQ91" s="376"/>
      <c r="BR91" s="368">
        <v>145</v>
      </c>
      <c r="BS91" s="372">
        <v>0</v>
      </c>
      <c r="BT91" s="364">
        <v>25</v>
      </c>
      <c r="BU91" s="372">
        <v>90</v>
      </c>
      <c r="BV91" s="364">
        <v>125</v>
      </c>
      <c r="BW91" s="364">
        <v>4</v>
      </c>
      <c r="BX91" s="397">
        <v>40</v>
      </c>
    </row>
    <row r="92" spans="1:76" s="226" customFormat="1" x14ac:dyDescent="0.3">
      <c r="A92" s="88"/>
      <c r="B92" s="87"/>
      <c r="C92" s="87"/>
      <c r="D92" s="87"/>
      <c r="E92" s="87"/>
      <c r="F92" s="88"/>
      <c r="G92" s="87"/>
      <c r="H92" s="88"/>
      <c r="I92" s="88"/>
      <c r="J92" s="378" t="s">
        <v>134</v>
      </c>
      <c r="K92" s="379" t="s">
        <v>135</v>
      </c>
      <c r="L92" s="379"/>
      <c r="M92" s="379"/>
      <c r="N92" s="379"/>
      <c r="O92" s="379" t="s">
        <v>136</v>
      </c>
      <c r="P92" s="379">
        <v>2017</v>
      </c>
      <c r="Q92" s="380" t="s">
        <v>184</v>
      </c>
      <c r="R92" s="381" t="s">
        <v>185</v>
      </c>
      <c r="S92" s="379">
        <v>4</v>
      </c>
      <c r="T92" s="379"/>
      <c r="U92" s="379" t="s">
        <v>179</v>
      </c>
      <c r="V92" s="379"/>
      <c r="W92" s="379" t="s">
        <v>149</v>
      </c>
      <c r="X92" s="379">
        <v>2030</v>
      </c>
      <c r="Y92" s="379"/>
      <c r="Z92" s="379" t="str">
        <f>VLOOKUP(R92,KEY_Processes!$B$4:$E$54,4,FALSE)</f>
        <v>S_WOF_01</v>
      </c>
      <c r="AA92" s="379" t="str">
        <f>VLOOKUP(R92,KEY_Processes!$B$4:$E$54,2,FALSE)</f>
        <v>Wood stove</v>
      </c>
      <c r="AB92" s="379" t="str">
        <f>VLOOKUP(U92,KEY_FUELS!$C$4:$D$77,2,FALSE)</f>
        <v>WOF</v>
      </c>
      <c r="AC92" s="379" t="s">
        <v>150</v>
      </c>
      <c r="AD92" s="379" t="s">
        <v>151</v>
      </c>
      <c r="AE92" s="379" t="s">
        <v>152</v>
      </c>
      <c r="AF92" s="382" t="str">
        <f>VLOOKUP(W92,KEY_Other!$B$37:$C$89,2,FALSE)</f>
        <v>DK</v>
      </c>
      <c r="AG92" s="379"/>
      <c r="AH92" s="379" t="str">
        <f>AC92&amp;VLOOKUP(U92,KEY_FUELS!$C$4:$D$78,2,FALSE)</f>
        <v>RSDWOF</v>
      </c>
      <c r="AI92" s="379" t="str">
        <f>IFERROR(AC92&amp;VLOOKUP(V92,KEY_FUELS!$C$4:$D$78,2,FALSE),"")</f>
        <v/>
      </c>
      <c r="AJ92" s="379" t="str">
        <f t="shared" si="3"/>
        <v>RHHSB</v>
      </c>
      <c r="AK92" s="379" t="str">
        <f t="shared" si="31"/>
        <v/>
      </c>
      <c r="AL92" s="379" t="str">
        <f t="shared" si="32"/>
        <v/>
      </c>
      <c r="AM92" s="380">
        <v>31.536000000000001</v>
      </c>
      <c r="AN92" s="379">
        <f t="shared" si="33"/>
        <v>2030</v>
      </c>
      <c r="AO92" s="383"/>
      <c r="AP92" s="384"/>
      <c r="AQ92" s="386"/>
      <c r="AR92" s="386"/>
      <c r="AS92" s="386"/>
      <c r="AT92" s="386"/>
      <c r="AU92" s="387">
        <v>0.4</v>
      </c>
      <c r="AV92" s="387">
        <v>0</v>
      </c>
      <c r="AW92" s="387"/>
      <c r="AX92" s="388"/>
      <c r="AY92" s="384"/>
      <c r="AZ92" s="387">
        <v>0.75</v>
      </c>
      <c r="BA92" s="387">
        <v>0.75</v>
      </c>
      <c r="BB92" s="388"/>
      <c r="BC92" s="389"/>
      <c r="BD92" s="389"/>
      <c r="BE92" s="390"/>
      <c r="BF92" s="379"/>
      <c r="BG92" s="379"/>
      <c r="BH92" s="391"/>
      <c r="BI92" s="379">
        <v>20</v>
      </c>
      <c r="BJ92" s="379"/>
      <c r="BK92" s="388">
        <v>5</v>
      </c>
      <c r="BL92" s="392"/>
      <c r="BM92" s="392"/>
      <c r="BN92" s="392"/>
      <c r="BO92" s="392"/>
      <c r="BP92" s="392"/>
      <c r="BQ92" s="392"/>
      <c r="BR92" s="384">
        <v>200</v>
      </c>
      <c r="BS92" s="388">
        <v>0</v>
      </c>
      <c r="BT92" s="380">
        <v>25</v>
      </c>
      <c r="BU92" s="388">
        <v>90</v>
      </c>
      <c r="BV92" s="380">
        <v>100</v>
      </c>
      <c r="BW92" s="380">
        <v>4</v>
      </c>
      <c r="BX92" s="395">
        <v>30</v>
      </c>
    </row>
    <row r="93" spans="1:76" s="226" customFormat="1" x14ac:dyDescent="0.3">
      <c r="A93" s="88"/>
      <c r="B93" s="87"/>
      <c r="C93" s="87"/>
      <c r="D93" s="87"/>
      <c r="E93" s="87"/>
      <c r="F93" s="88"/>
      <c r="G93" s="87"/>
      <c r="H93" s="88"/>
      <c r="I93" s="88"/>
      <c r="J93" s="362" t="s">
        <v>134</v>
      </c>
      <c r="K93" s="363" t="s">
        <v>135</v>
      </c>
      <c r="L93" s="363"/>
      <c r="M93" s="363"/>
      <c r="N93" s="363"/>
      <c r="O93" s="363" t="s">
        <v>136</v>
      </c>
      <c r="P93" s="363">
        <v>2017</v>
      </c>
      <c r="Q93" s="364" t="s">
        <v>184</v>
      </c>
      <c r="R93" s="365" t="s">
        <v>185</v>
      </c>
      <c r="S93" s="363">
        <v>4</v>
      </c>
      <c r="T93" s="363"/>
      <c r="U93" s="363" t="s">
        <v>179</v>
      </c>
      <c r="V93" s="363"/>
      <c r="W93" s="363" t="s">
        <v>149</v>
      </c>
      <c r="X93" s="363">
        <v>2050</v>
      </c>
      <c r="Y93" s="363"/>
      <c r="Z93" s="363" t="str">
        <f>VLOOKUP(R93,KEY_Processes!$B$4:$E$54,4,FALSE)</f>
        <v>S_WOF_01</v>
      </c>
      <c r="AA93" s="363" t="str">
        <f>VLOOKUP(R93,KEY_Processes!$B$4:$E$54,2,FALSE)</f>
        <v>Wood stove</v>
      </c>
      <c r="AB93" s="363" t="str">
        <f>VLOOKUP(U93,KEY_FUELS!$C$4:$D$77,2,FALSE)</f>
        <v>WOF</v>
      </c>
      <c r="AC93" s="363" t="s">
        <v>150</v>
      </c>
      <c r="AD93" s="363" t="s">
        <v>151</v>
      </c>
      <c r="AE93" s="363" t="s">
        <v>152</v>
      </c>
      <c r="AF93" s="366" t="str">
        <f>VLOOKUP(W93,KEY_Other!$B$37:$C$89,2,FALSE)</f>
        <v>DK</v>
      </c>
      <c r="AG93" s="363"/>
      <c r="AH93" s="363" t="str">
        <f>AC93&amp;VLOOKUP(U93,KEY_FUELS!$C$4:$D$78,2,FALSE)</f>
        <v>RSDWOF</v>
      </c>
      <c r="AI93" s="363" t="str">
        <f>IFERROR(AC93&amp;VLOOKUP(V93,KEY_FUELS!$C$4:$D$78,2,FALSE),"")</f>
        <v/>
      </c>
      <c r="AJ93" s="363" t="str">
        <f t="shared" si="3"/>
        <v>RHHSB</v>
      </c>
      <c r="AK93" s="363" t="str">
        <f t="shared" si="31"/>
        <v/>
      </c>
      <c r="AL93" s="363" t="str">
        <f t="shared" si="32"/>
        <v/>
      </c>
      <c r="AM93" s="364">
        <v>31.536000000000001</v>
      </c>
      <c r="AN93" s="363">
        <f t="shared" si="33"/>
        <v>2050</v>
      </c>
      <c r="AO93" s="367"/>
      <c r="AP93" s="368"/>
      <c r="AQ93" s="370"/>
      <c r="AR93" s="370"/>
      <c r="AS93" s="370"/>
      <c r="AT93" s="370"/>
      <c r="AU93" s="371">
        <v>0.4</v>
      </c>
      <c r="AV93" s="371">
        <v>0</v>
      </c>
      <c r="AW93" s="371"/>
      <c r="AX93" s="372"/>
      <c r="AY93" s="368"/>
      <c r="AZ93" s="371">
        <v>0.75</v>
      </c>
      <c r="BA93" s="371">
        <v>0.75</v>
      </c>
      <c r="BB93" s="372"/>
      <c r="BC93" s="373"/>
      <c r="BD93" s="373"/>
      <c r="BE93" s="374"/>
      <c r="BF93" s="363"/>
      <c r="BG93" s="363"/>
      <c r="BH93" s="375"/>
      <c r="BI93" s="363">
        <v>20</v>
      </c>
      <c r="BJ93" s="363"/>
      <c r="BK93" s="372">
        <v>4</v>
      </c>
      <c r="BL93" s="376"/>
      <c r="BM93" s="376"/>
      <c r="BN93" s="376"/>
      <c r="BO93" s="376"/>
      <c r="BP93" s="376"/>
      <c r="BQ93" s="376"/>
      <c r="BR93" s="368">
        <v>190</v>
      </c>
      <c r="BS93" s="372">
        <v>0</v>
      </c>
      <c r="BT93" s="364">
        <v>25</v>
      </c>
      <c r="BU93" s="372">
        <v>90</v>
      </c>
      <c r="BV93" s="364">
        <v>100</v>
      </c>
      <c r="BW93" s="364">
        <v>4</v>
      </c>
      <c r="BX93" s="397">
        <v>25</v>
      </c>
    </row>
    <row r="94" spans="1:76" s="226" customFormat="1" x14ac:dyDescent="0.3">
      <c r="A94" s="88"/>
      <c r="B94" s="87"/>
      <c r="C94" s="87"/>
      <c r="D94" s="87"/>
      <c r="E94" s="87"/>
      <c r="F94" s="88"/>
      <c r="G94" s="87"/>
      <c r="H94" s="88"/>
      <c r="I94" s="88"/>
      <c r="J94" s="378" t="s">
        <v>134</v>
      </c>
      <c r="K94" s="379" t="s">
        <v>135</v>
      </c>
      <c r="L94" s="379"/>
      <c r="M94" s="379"/>
      <c r="N94" s="379"/>
      <c r="O94" s="379" t="s">
        <v>136</v>
      </c>
      <c r="P94" s="379">
        <v>2017</v>
      </c>
      <c r="Q94" s="380" t="s">
        <v>184</v>
      </c>
      <c r="R94" s="381" t="s">
        <v>186</v>
      </c>
      <c r="S94" s="379">
        <v>15</v>
      </c>
      <c r="T94" s="379"/>
      <c r="U94" s="379" t="s">
        <v>179</v>
      </c>
      <c r="V94" s="379"/>
      <c r="W94" s="379" t="s">
        <v>149</v>
      </c>
      <c r="X94" s="379">
        <v>2015</v>
      </c>
      <c r="Y94" s="379"/>
      <c r="Z94" s="379" t="str">
        <f>VLOOKUP(R94,KEY_Processes!$B$4:$E$54,4,FALSE)</f>
        <v>S_WOF_02</v>
      </c>
      <c r="AA94" s="379" t="str">
        <f>VLOOKUP(R94,KEY_Processes!$B$4:$E$54,2,FALSE)</f>
        <v>Wood stove</v>
      </c>
      <c r="AB94" s="379" t="str">
        <f>VLOOKUP(U94,KEY_FUELS!$C$4:$D$77,2,FALSE)</f>
        <v>WOF</v>
      </c>
      <c r="AC94" s="379" t="s">
        <v>150</v>
      </c>
      <c r="AD94" s="379" t="s">
        <v>151</v>
      </c>
      <c r="AE94" s="379" t="s">
        <v>152</v>
      </c>
      <c r="AF94" s="382" t="str">
        <f>VLOOKUP(W94,KEY_Other!$B$37:$C$89,2,FALSE)</f>
        <v>DK</v>
      </c>
      <c r="AG94" s="379"/>
      <c r="AH94" s="379" t="str">
        <f>AC94&amp;VLOOKUP(U94,KEY_FUELS!$C$4:$D$78,2,FALSE)</f>
        <v>RSDWOF</v>
      </c>
      <c r="AI94" s="379" t="str">
        <f>IFERROR(AC94&amp;VLOOKUP(V94,KEY_FUELS!$C$4:$D$78,2,FALSE),"")</f>
        <v/>
      </c>
      <c r="AJ94" s="379" t="str">
        <f t="shared" si="3"/>
        <v>RHHSB</v>
      </c>
      <c r="AK94" s="379" t="str">
        <f t="shared" si="31"/>
        <v>RWHSB</v>
      </c>
      <c r="AL94" s="379" t="str">
        <f t="shared" si="32"/>
        <v/>
      </c>
      <c r="AM94" s="380">
        <v>31.536000000000001</v>
      </c>
      <c r="AN94" s="379">
        <f t="shared" si="33"/>
        <v>2015</v>
      </c>
      <c r="AO94" s="383"/>
      <c r="AP94" s="384"/>
      <c r="AQ94" s="386"/>
      <c r="AR94" s="386"/>
      <c r="AS94" s="386"/>
      <c r="AT94" s="386"/>
      <c r="AU94" s="387">
        <v>0.45</v>
      </c>
      <c r="AV94" s="387">
        <v>0.2</v>
      </c>
      <c r="AW94" s="387"/>
      <c r="AX94" s="388"/>
      <c r="AY94" s="384"/>
      <c r="AZ94" s="387">
        <v>0.65</v>
      </c>
      <c r="BA94" s="387">
        <v>0.65</v>
      </c>
      <c r="BB94" s="388"/>
      <c r="BC94" s="389"/>
      <c r="BD94" s="389"/>
      <c r="BE94" s="390"/>
      <c r="BF94" s="379"/>
      <c r="BG94" s="379"/>
      <c r="BH94" s="391"/>
      <c r="BI94" s="379">
        <v>20</v>
      </c>
      <c r="BJ94" s="379"/>
      <c r="BK94" s="388">
        <v>5.6</v>
      </c>
      <c r="BL94" s="392"/>
      <c r="BM94" s="392"/>
      <c r="BN94" s="392"/>
      <c r="BO94" s="392"/>
      <c r="BP94" s="392"/>
      <c r="BQ94" s="392"/>
      <c r="BR94" s="384">
        <v>209.45</v>
      </c>
      <c r="BS94" s="388">
        <v>0</v>
      </c>
      <c r="BT94" s="380">
        <v>25</v>
      </c>
      <c r="BU94" s="388">
        <v>90</v>
      </c>
      <c r="BV94" s="380">
        <v>320</v>
      </c>
      <c r="BW94" s="380">
        <v>4</v>
      </c>
      <c r="BX94" s="395">
        <v>50</v>
      </c>
    </row>
    <row r="95" spans="1:76" s="226" customFormat="1" x14ac:dyDescent="0.3">
      <c r="A95" s="88"/>
      <c r="B95" s="87"/>
      <c r="C95" s="87"/>
      <c r="D95" s="87"/>
      <c r="E95" s="87"/>
      <c r="F95" s="88"/>
      <c r="G95" s="87"/>
      <c r="H95" s="88"/>
      <c r="I95" s="88"/>
      <c r="J95" s="362" t="s">
        <v>134</v>
      </c>
      <c r="K95" s="363" t="s">
        <v>135</v>
      </c>
      <c r="L95" s="363"/>
      <c r="M95" s="363"/>
      <c r="N95" s="363"/>
      <c r="O95" s="363" t="s">
        <v>136</v>
      </c>
      <c r="P95" s="363">
        <v>2017</v>
      </c>
      <c r="Q95" s="364" t="s">
        <v>184</v>
      </c>
      <c r="R95" s="365" t="s">
        <v>186</v>
      </c>
      <c r="S95" s="363">
        <v>12</v>
      </c>
      <c r="T95" s="363"/>
      <c r="U95" s="363" t="s">
        <v>179</v>
      </c>
      <c r="V95" s="363"/>
      <c r="W95" s="363" t="s">
        <v>149</v>
      </c>
      <c r="X95" s="363">
        <v>2020</v>
      </c>
      <c r="Y95" s="363"/>
      <c r="Z95" s="363" t="str">
        <f>VLOOKUP(R95,KEY_Processes!$B$4:$E$54,4,FALSE)</f>
        <v>S_WOF_02</v>
      </c>
      <c r="AA95" s="363" t="str">
        <f>VLOOKUP(R95,KEY_Processes!$B$4:$E$54,2,FALSE)</f>
        <v>Wood stove</v>
      </c>
      <c r="AB95" s="363" t="str">
        <f>VLOOKUP(U95,KEY_FUELS!$C$4:$D$77,2,FALSE)</f>
        <v>WOF</v>
      </c>
      <c r="AC95" s="363" t="s">
        <v>150</v>
      </c>
      <c r="AD95" s="363" t="s">
        <v>151</v>
      </c>
      <c r="AE95" s="363" t="s">
        <v>152</v>
      </c>
      <c r="AF95" s="366" t="str">
        <f>VLOOKUP(W95,KEY_Other!$B$37:$C$89,2,FALSE)</f>
        <v>DK</v>
      </c>
      <c r="AG95" s="363"/>
      <c r="AH95" s="363" t="str">
        <f>AC95&amp;VLOOKUP(U95,KEY_FUELS!$C$4:$D$78,2,FALSE)</f>
        <v>RSDWOF</v>
      </c>
      <c r="AI95" s="363" t="str">
        <f>IFERROR(AC95&amp;VLOOKUP(V95,KEY_FUELS!$C$4:$D$78,2,FALSE),"")</f>
        <v/>
      </c>
      <c r="AJ95" s="363" t="str">
        <f t="shared" si="3"/>
        <v>RHHSB</v>
      </c>
      <c r="AK95" s="363" t="str">
        <f t="shared" si="31"/>
        <v>RWHSB</v>
      </c>
      <c r="AL95" s="363" t="str">
        <f t="shared" si="32"/>
        <v/>
      </c>
      <c r="AM95" s="364">
        <v>31.536000000000001</v>
      </c>
      <c r="AN95" s="363">
        <f t="shared" si="33"/>
        <v>2020</v>
      </c>
      <c r="AO95" s="367"/>
      <c r="AP95" s="368"/>
      <c r="AQ95" s="370"/>
      <c r="AR95" s="370"/>
      <c r="AS95" s="370"/>
      <c r="AT95" s="370"/>
      <c r="AU95" s="371">
        <v>0.45</v>
      </c>
      <c r="AV95" s="371">
        <v>0.2</v>
      </c>
      <c r="AW95" s="371"/>
      <c r="AX95" s="372"/>
      <c r="AY95" s="368"/>
      <c r="AZ95" s="371">
        <v>0.7</v>
      </c>
      <c r="BA95" s="371">
        <v>0.7</v>
      </c>
      <c r="BB95" s="372"/>
      <c r="BC95" s="373"/>
      <c r="BD95" s="373"/>
      <c r="BE95" s="374"/>
      <c r="BF95" s="363"/>
      <c r="BG95" s="363"/>
      <c r="BH95" s="375"/>
      <c r="BI95" s="363">
        <v>20</v>
      </c>
      <c r="BJ95" s="363"/>
      <c r="BK95" s="372">
        <v>5.6</v>
      </c>
      <c r="BL95" s="376"/>
      <c r="BM95" s="376"/>
      <c r="BN95" s="376"/>
      <c r="BO95" s="376"/>
      <c r="BP95" s="376"/>
      <c r="BQ95" s="376"/>
      <c r="BR95" s="368">
        <v>205</v>
      </c>
      <c r="BS95" s="372">
        <v>0</v>
      </c>
      <c r="BT95" s="364">
        <v>25</v>
      </c>
      <c r="BU95" s="372">
        <v>90</v>
      </c>
      <c r="BV95" s="364">
        <v>125</v>
      </c>
      <c r="BW95" s="364">
        <v>4</v>
      </c>
      <c r="BX95" s="397">
        <v>40</v>
      </c>
    </row>
    <row r="96" spans="1:76" s="226" customFormat="1" x14ac:dyDescent="0.3">
      <c r="A96" s="88"/>
      <c r="B96" s="87"/>
      <c r="C96" s="87"/>
      <c r="D96" s="87"/>
      <c r="E96" s="87"/>
      <c r="F96" s="88"/>
      <c r="G96" s="87"/>
      <c r="H96" s="88"/>
      <c r="I96" s="88"/>
      <c r="J96" s="378" t="s">
        <v>134</v>
      </c>
      <c r="K96" s="379" t="s">
        <v>135</v>
      </c>
      <c r="L96" s="379"/>
      <c r="M96" s="379"/>
      <c r="N96" s="379"/>
      <c r="O96" s="379" t="s">
        <v>136</v>
      </c>
      <c r="P96" s="379">
        <v>2017</v>
      </c>
      <c r="Q96" s="380" t="s">
        <v>184</v>
      </c>
      <c r="R96" s="381" t="s">
        <v>186</v>
      </c>
      <c r="S96" s="379">
        <v>10</v>
      </c>
      <c r="T96" s="379"/>
      <c r="U96" s="379" t="s">
        <v>179</v>
      </c>
      <c r="V96" s="379"/>
      <c r="W96" s="379" t="s">
        <v>149</v>
      </c>
      <c r="X96" s="379">
        <v>2030</v>
      </c>
      <c r="Y96" s="379"/>
      <c r="Z96" s="379" t="str">
        <f>VLOOKUP(R96,KEY_Processes!$B$4:$E$54,4,FALSE)</f>
        <v>S_WOF_02</v>
      </c>
      <c r="AA96" s="379" t="str">
        <f>VLOOKUP(R96,KEY_Processes!$B$4:$E$54,2,FALSE)</f>
        <v>Wood stove</v>
      </c>
      <c r="AB96" s="379" t="str">
        <f>VLOOKUP(U96,KEY_FUELS!$C$4:$D$77,2,FALSE)</f>
        <v>WOF</v>
      </c>
      <c r="AC96" s="379" t="s">
        <v>150</v>
      </c>
      <c r="AD96" s="379" t="s">
        <v>151</v>
      </c>
      <c r="AE96" s="379" t="s">
        <v>152</v>
      </c>
      <c r="AF96" s="382" t="str">
        <f>VLOOKUP(W96,KEY_Other!$B$37:$C$89,2,FALSE)</f>
        <v>DK</v>
      </c>
      <c r="AG96" s="379"/>
      <c r="AH96" s="379" t="str">
        <f>AC96&amp;VLOOKUP(U96,KEY_FUELS!$C$4:$D$78,2,FALSE)</f>
        <v>RSDWOF</v>
      </c>
      <c r="AI96" s="379" t="str">
        <f>IFERROR(AC96&amp;VLOOKUP(V96,KEY_FUELS!$C$4:$D$78,2,FALSE),"")</f>
        <v/>
      </c>
      <c r="AJ96" s="379" t="str">
        <f t="shared" si="3"/>
        <v>RHHSB</v>
      </c>
      <c r="AK96" s="379" t="str">
        <f t="shared" si="31"/>
        <v>RWHSB</v>
      </c>
      <c r="AL96" s="379" t="str">
        <f t="shared" si="32"/>
        <v/>
      </c>
      <c r="AM96" s="380">
        <v>31.536000000000001</v>
      </c>
      <c r="AN96" s="379">
        <f t="shared" si="33"/>
        <v>2030</v>
      </c>
      <c r="AO96" s="383"/>
      <c r="AP96" s="384"/>
      <c r="AQ96" s="386"/>
      <c r="AR96" s="386"/>
      <c r="AS96" s="386"/>
      <c r="AT96" s="386"/>
      <c r="AU96" s="387">
        <v>0.45</v>
      </c>
      <c r="AV96" s="387">
        <v>0.2</v>
      </c>
      <c r="AW96" s="387"/>
      <c r="AX96" s="388"/>
      <c r="AY96" s="384"/>
      <c r="AZ96" s="387">
        <v>0.75</v>
      </c>
      <c r="BA96" s="387">
        <v>0.75</v>
      </c>
      <c r="BB96" s="388"/>
      <c r="BC96" s="389"/>
      <c r="BD96" s="389"/>
      <c r="BE96" s="390"/>
      <c r="BF96" s="379"/>
      <c r="BG96" s="379"/>
      <c r="BH96" s="391"/>
      <c r="BI96" s="379">
        <v>20</v>
      </c>
      <c r="BJ96" s="379"/>
      <c r="BK96" s="388">
        <v>5.6</v>
      </c>
      <c r="BL96" s="392"/>
      <c r="BM96" s="392"/>
      <c r="BN96" s="392"/>
      <c r="BO96" s="392"/>
      <c r="BP96" s="392"/>
      <c r="BQ96" s="392"/>
      <c r="BR96" s="384">
        <v>263</v>
      </c>
      <c r="BS96" s="388">
        <v>0</v>
      </c>
      <c r="BT96" s="380">
        <v>25</v>
      </c>
      <c r="BU96" s="388">
        <v>90</v>
      </c>
      <c r="BV96" s="380">
        <v>100</v>
      </c>
      <c r="BW96" s="380">
        <v>4</v>
      </c>
      <c r="BX96" s="395">
        <v>30</v>
      </c>
    </row>
    <row r="97" spans="1:76" s="226" customFormat="1" x14ac:dyDescent="0.3">
      <c r="A97" s="88"/>
      <c r="B97" s="87"/>
      <c r="C97" s="87"/>
      <c r="D97" s="87"/>
      <c r="E97" s="87"/>
      <c r="F97" s="88"/>
      <c r="G97" s="87"/>
      <c r="H97" s="88"/>
      <c r="I97" s="88"/>
      <c r="J97" s="362" t="s">
        <v>134</v>
      </c>
      <c r="K97" s="363" t="s">
        <v>135</v>
      </c>
      <c r="L97" s="363"/>
      <c r="M97" s="363"/>
      <c r="N97" s="363"/>
      <c r="O97" s="363" t="s">
        <v>136</v>
      </c>
      <c r="P97" s="363">
        <v>2017</v>
      </c>
      <c r="Q97" s="364" t="s">
        <v>184</v>
      </c>
      <c r="R97" s="365" t="s">
        <v>186</v>
      </c>
      <c r="S97" s="363">
        <v>10</v>
      </c>
      <c r="T97" s="363"/>
      <c r="U97" s="363" t="s">
        <v>179</v>
      </c>
      <c r="V97" s="363"/>
      <c r="W97" s="363" t="s">
        <v>149</v>
      </c>
      <c r="X97" s="363">
        <v>2050</v>
      </c>
      <c r="Y97" s="363"/>
      <c r="Z97" s="363" t="str">
        <f>VLOOKUP(R97,KEY_Processes!$B$4:$E$54,4,FALSE)</f>
        <v>S_WOF_02</v>
      </c>
      <c r="AA97" s="363" t="str">
        <f>VLOOKUP(R97,KEY_Processes!$B$4:$E$54,2,FALSE)</f>
        <v>Wood stove</v>
      </c>
      <c r="AB97" s="363" t="str">
        <f>VLOOKUP(U97,KEY_FUELS!$C$4:$D$77,2,FALSE)</f>
        <v>WOF</v>
      </c>
      <c r="AC97" s="363" t="s">
        <v>150</v>
      </c>
      <c r="AD97" s="363" t="s">
        <v>151</v>
      </c>
      <c r="AE97" s="363" t="s">
        <v>152</v>
      </c>
      <c r="AF97" s="366" t="str">
        <f>VLOOKUP(W97,KEY_Other!$B$37:$C$89,2,FALSE)</f>
        <v>DK</v>
      </c>
      <c r="AG97" s="363"/>
      <c r="AH97" s="363" t="str">
        <f>AC97&amp;VLOOKUP(U97,KEY_FUELS!$C$4:$D$78,2,FALSE)</f>
        <v>RSDWOF</v>
      </c>
      <c r="AI97" s="363" t="str">
        <f>IFERROR(AC97&amp;VLOOKUP(V97,KEY_FUELS!$C$4:$D$78,2,FALSE),"")</f>
        <v/>
      </c>
      <c r="AJ97" s="363" t="str">
        <f t="shared" si="3"/>
        <v>RHHSB</v>
      </c>
      <c r="AK97" s="363" t="str">
        <f t="shared" si="31"/>
        <v>RWHSB</v>
      </c>
      <c r="AL97" s="363" t="str">
        <f t="shared" si="32"/>
        <v/>
      </c>
      <c r="AM97" s="364">
        <v>31.536000000000001</v>
      </c>
      <c r="AN97" s="363">
        <f t="shared" si="33"/>
        <v>2050</v>
      </c>
      <c r="AO97" s="367"/>
      <c r="AP97" s="368"/>
      <c r="AQ97" s="370"/>
      <c r="AR97" s="370"/>
      <c r="AS97" s="370"/>
      <c r="AT97" s="370"/>
      <c r="AU97" s="371">
        <v>0.45</v>
      </c>
      <c r="AV97" s="371">
        <v>0.2</v>
      </c>
      <c r="AW97" s="371"/>
      <c r="AX97" s="372"/>
      <c r="AY97" s="368"/>
      <c r="AZ97" s="371">
        <v>0.75</v>
      </c>
      <c r="BA97" s="371">
        <v>0.75</v>
      </c>
      <c r="BB97" s="372"/>
      <c r="BC97" s="373"/>
      <c r="BD97" s="373"/>
      <c r="BE97" s="374"/>
      <c r="BF97" s="363"/>
      <c r="BG97" s="363"/>
      <c r="BH97" s="375"/>
      <c r="BI97" s="363">
        <v>20</v>
      </c>
      <c r="BJ97" s="363"/>
      <c r="BK97" s="372">
        <v>5.6</v>
      </c>
      <c r="BL97" s="376"/>
      <c r="BM97" s="376"/>
      <c r="BN97" s="376"/>
      <c r="BO97" s="376"/>
      <c r="BP97" s="376"/>
      <c r="BQ97" s="376"/>
      <c r="BR97" s="368">
        <v>253</v>
      </c>
      <c r="BS97" s="372">
        <v>0</v>
      </c>
      <c r="BT97" s="364">
        <v>25</v>
      </c>
      <c r="BU97" s="372">
        <v>90</v>
      </c>
      <c r="BV97" s="364">
        <v>100</v>
      </c>
      <c r="BW97" s="364">
        <v>4</v>
      </c>
      <c r="BX97" s="397">
        <v>25</v>
      </c>
    </row>
    <row r="98" spans="1:76" s="226" customFormat="1" x14ac:dyDescent="0.3">
      <c r="A98" s="88"/>
      <c r="B98" s="87"/>
      <c r="C98" s="87"/>
      <c r="D98" s="87"/>
      <c r="E98" s="87"/>
      <c r="F98" s="88"/>
      <c r="G98" s="87"/>
      <c r="H98" s="88"/>
      <c r="I98" s="88"/>
      <c r="J98" s="378" t="s">
        <v>134</v>
      </c>
      <c r="K98" s="379" t="s">
        <v>135</v>
      </c>
      <c r="L98" s="379"/>
      <c r="M98" s="379"/>
      <c r="N98" s="379"/>
      <c r="O98" s="379" t="s">
        <v>136</v>
      </c>
      <c r="P98" s="379">
        <v>2017</v>
      </c>
      <c r="Q98" s="380" t="s">
        <v>187</v>
      </c>
      <c r="R98" s="381" t="s">
        <v>188</v>
      </c>
      <c r="S98" s="379">
        <v>4</v>
      </c>
      <c r="T98" s="379"/>
      <c r="U98" s="379" t="s">
        <v>189</v>
      </c>
      <c r="V98" s="379" t="s">
        <v>190</v>
      </c>
      <c r="W98" s="379" t="s">
        <v>149</v>
      </c>
      <c r="X98" s="379">
        <v>2015</v>
      </c>
      <c r="Y98" s="379"/>
      <c r="Z98" s="379" t="str">
        <f>VLOOKUP(R98,KEY_Processes!$B$4:$E$54,4,FALSE)</f>
        <v>HP_ELC_01</v>
      </c>
      <c r="AA98" s="379" t="str">
        <f>VLOOKUP(R98,KEY_Processes!$B$4:$E$54,2,FALSE)</f>
        <v>Electric heat pumps, Air-to-air</v>
      </c>
      <c r="AB98" s="379" t="str">
        <f>VLOOKUP(U98,KEY_FUELS!$C$4:$D$77,2,FALSE)</f>
        <v>ELC</v>
      </c>
      <c r="AC98" s="379" t="s">
        <v>150</v>
      </c>
      <c r="AD98" s="379" t="s">
        <v>220</v>
      </c>
      <c r="AE98" s="379" t="s">
        <v>152</v>
      </c>
      <c r="AF98" s="382" t="str">
        <f>VLOOKUP(W98,KEY_Other!$B$37:$C$89,2,FALSE)</f>
        <v>DK</v>
      </c>
      <c r="AG98" s="379"/>
      <c r="AH98" s="379" t="str">
        <f>AC98&amp;VLOOKUP(U98,KEY_FUELS!$C$4:$D$78,2,FALSE)</f>
        <v>RSDELC</v>
      </c>
      <c r="AI98" s="379" t="str">
        <f>IFERROR(AC98&amp;VLOOKUP(V98,KEY_FUELS!$C$4:$D$78,2,FALSE),"")</f>
        <v>RSDAHT</v>
      </c>
      <c r="AJ98" s="379" t="str">
        <f t="shared" si="3"/>
        <v>RHHSC</v>
      </c>
      <c r="AK98" s="379" t="str">
        <f t="shared" si="31"/>
        <v/>
      </c>
      <c r="AL98" s="379" t="str">
        <f t="shared" si="32"/>
        <v/>
      </c>
      <c r="AM98" s="380">
        <v>31.536000000000001</v>
      </c>
      <c r="AN98" s="379">
        <f t="shared" si="33"/>
        <v>2015</v>
      </c>
      <c r="AO98" s="383"/>
      <c r="AP98" s="384"/>
      <c r="AQ98" s="386"/>
      <c r="AR98" s="386"/>
      <c r="AS98" s="386"/>
      <c r="AT98" s="386"/>
      <c r="AU98" s="387">
        <v>0.6</v>
      </c>
      <c r="AV98" s="387">
        <v>0</v>
      </c>
      <c r="AW98" s="387"/>
      <c r="AX98" s="388"/>
      <c r="AY98" s="384">
        <v>5</v>
      </c>
      <c r="AZ98" s="387">
        <v>5</v>
      </c>
      <c r="BA98" s="387">
        <v>5</v>
      </c>
      <c r="BB98" s="388"/>
      <c r="BC98" s="389"/>
      <c r="BD98" s="389"/>
      <c r="BE98" s="390"/>
      <c r="BF98" s="379"/>
      <c r="BG98" s="379"/>
      <c r="BH98" s="391"/>
      <c r="BI98" s="379">
        <v>12</v>
      </c>
      <c r="BJ98" s="379"/>
      <c r="BK98" s="388">
        <v>1.8</v>
      </c>
      <c r="BL98" s="392"/>
      <c r="BM98" s="392"/>
      <c r="BN98" s="392"/>
      <c r="BO98" s="392"/>
      <c r="BP98" s="392"/>
      <c r="BQ98" s="392"/>
      <c r="BR98" s="384">
        <v>170</v>
      </c>
      <c r="BS98" s="388">
        <v>0</v>
      </c>
      <c r="BT98" s="380"/>
      <c r="BU98" s="388"/>
      <c r="BV98" s="380"/>
      <c r="BW98" s="380"/>
      <c r="BX98" s="395"/>
    </row>
    <row r="99" spans="1:76" s="226" customFormat="1" x14ac:dyDescent="0.3">
      <c r="A99" s="88"/>
      <c r="B99" s="87"/>
      <c r="C99" s="87"/>
      <c r="D99" s="87"/>
      <c r="E99" s="87"/>
      <c r="F99" s="88"/>
      <c r="G99" s="87"/>
      <c r="H99" s="88"/>
      <c r="I99" s="88"/>
      <c r="J99" s="362" t="s">
        <v>134</v>
      </c>
      <c r="K99" s="363" t="s">
        <v>135</v>
      </c>
      <c r="L99" s="363"/>
      <c r="M99" s="363"/>
      <c r="N99" s="363"/>
      <c r="O99" s="363" t="s">
        <v>136</v>
      </c>
      <c r="P99" s="363">
        <v>2017</v>
      </c>
      <c r="Q99" s="364" t="s">
        <v>187</v>
      </c>
      <c r="R99" s="365" t="s">
        <v>188</v>
      </c>
      <c r="S99" s="363">
        <v>4</v>
      </c>
      <c r="T99" s="363"/>
      <c r="U99" s="363" t="s">
        <v>189</v>
      </c>
      <c r="V99" s="363" t="s">
        <v>190</v>
      </c>
      <c r="W99" s="363" t="s">
        <v>149</v>
      </c>
      <c r="X99" s="363">
        <v>2020</v>
      </c>
      <c r="Y99" s="363"/>
      <c r="Z99" s="363" t="str">
        <f>VLOOKUP(R99,KEY_Processes!$B$4:$E$54,4,FALSE)</f>
        <v>HP_ELC_01</v>
      </c>
      <c r="AA99" s="363" t="str">
        <f>VLOOKUP(R99,KEY_Processes!$B$4:$E$54,2,FALSE)</f>
        <v>Electric heat pumps, Air-to-air</v>
      </c>
      <c r="AB99" s="363" t="str">
        <f>VLOOKUP(U99,KEY_FUELS!$C$4:$D$77,2,FALSE)</f>
        <v>ELC</v>
      </c>
      <c r="AC99" s="363" t="s">
        <v>150</v>
      </c>
      <c r="AD99" s="363" t="s">
        <v>220</v>
      </c>
      <c r="AE99" s="363" t="s">
        <v>152</v>
      </c>
      <c r="AF99" s="366" t="str">
        <f>VLOOKUP(W99,KEY_Other!$B$37:$C$89,2,FALSE)</f>
        <v>DK</v>
      </c>
      <c r="AG99" s="363"/>
      <c r="AH99" s="363" t="str">
        <f>AC99&amp;VLOOKUP(U99,KEY_FUELS!$C$4:$D$78,2,FALSE)</f>
        <v>RSDELC</v>
      </c>
      <c r="AI99" s="363" t="str">
        <f>IFERROR(AC99&amp;VLOOKUP(V99,KEY_FUELS!$C$4:$D$78,2,FALSE),"")</f>
        <v>RSDAHT</v>
      </c>
      <c r="AJ99" s="363" t="str">
        <f t="shared" si="3"/>
        <v>RHHSC</v>
      </c>
      <c r="AK99" s="363" t="str">
        <f t="shared" si="31"/>
        <v/>
      </c>
      <c r="AL99" s="363" t="str">
        <f t="shared" si="32"/>
        <v/>
      </c>
      <c r="AM99" s="364">
        <v>31.536000000000001</v>
      </c>
      <c r="AN99" s="363">
        <f t="shared" si="33"/>
        <v>2020</v>
      </c>
      <c r="AO99" s="367"/>
      <c r="AP99" s="368"/>
      <c r="AQ99" s="370"/>
      <c r="AR99" s="370"/>
      <c r="AS99" s="370"/>
      <c r="AT99" s="370"/>
      <c r="AU99" s="371">
        <v>0.6</v>
      </c>
      <c r="AV99" s="371">
        <v>0</v>
      </c>
      <c r="AW99" s="371"/>
      <c r="AX99" s="372"/>
      <c r="AY99" s="368">
        <v>5.0999999999999996</v>
      </c>
      <c r="AZ99" s="371">
        <v>5.0999999999999996</v>
      </c>
      <c r="BA99" s="371">
        <v>5.0999999999999996</v>
      </c>
      <c r="BB99" s="372"/>
      <c r="BC99" s="373"/>
      <c r="BD99" s="373"/>
      <c r="BE99" s="374"/>
      <c r="BF99" s="363"/>
      <c r="BG99" s="363"/>
      <c r="BH99" s="375"/>
      <c r="BI99" s="363">
        <v>12</v>
      </c>
      <c r="BJ99" s="363"/>
      <c r="BK99" s="372">
        <v>1.8</v>
      </c>
      <c r="BL99" s="376"/>
      <c r="BM99" s="376"/>
      <c r="BN99" s="376"/>
      <c r="BO99" s="376"/>
      <c r="BP99" s="376"/>
      <c r="BQ99" s="376"/>
      <c r="BR99" s="368">
        <v>162</v>
      </c>
      <c r="BS99" s="372">
        <v>0</v>
      </c>
      <c r="BT99" s="364"/>
      <c r="BU99" s="372"/>
      <c r="BV99" s="364"/>
      <c r="BW99" s="364"/>
      <c r="BX99" s="397"/>
    </row>
    <row r="100" spans="1:76" s="226" customFormat="1" x14ac:dyDescent="0.3">
      <c r="A100" s="88"/>
      <c r="B100" s="87"/>
      <c r="C100" s="87"/>
      <c r="D100" s="87"/>
      <c r="E100" s="87"/>
      <c r="F100" s="88"/>
      <c r="G100" s="87"/>
      <c r="H100" s="88"/>
      <c r="I100" s="88"/>
      <c r="J100" s="378" t="s">
        <v>134</v>
      </c>
      <c r="K100" s="379" t="s">
        <v>135</v>
      </c>
      <c r="L100" s="379"/>
      <c r="M100" s="379"/>
      <c r="N100" s="379"/>
      <c r="O100" s="379" t="s">
        <v>136</v>
      </c>
      <c r="P100" s="379">
        <v>2017</v>
      </c>
      <c r="Q100" s="380" t="s">
        <v>187</v>
      </c>
      <c r="R100" s="381" t="s">
        <v>188</v>
      </c>
      <c r="S100" s="379">
        <v>6</v>
      </c>
      <c r="T100" s="379"/>
      <c r="U100" s="379" t="s">
        <v>189</v>
      </c>
      <c r="V100" s="379" t="s">
        <v>190</v>
      </c>
      <c r="W100" s="379" t="s">
        <v>149</v>
      </c>
      <c r="X100" s="379">
        <v>2030</v>
      </c>
      <c r="Y100" s="379"/>
      <c r="Z100" s="379" t="str">
        <f>VLOOKUP(R100,KEY_Processes!$B$4:$E$54,4,FALSE)</f>
        <v>HP_ELC_01</v>
      </c>
      <c r="AA100" s="379" t="str">
        <f>VLOOKUP(R100,KEY_Processes!$B$4:$E$54,2,FALSE)</f>
        <v>Electric heat pumps, Air-to-air</v>
      </c>
      <c r="AB100" s="379" t="str">
        <f>VLOOKUP(U100,KEY_FUELS!$C$4:$D$77,2,FALSE)</f>
        <v>ELC</v>
      </c>
      <c r="AC100" s="379" t="s">
        <v>150</v>
      </c>
      <c r="AD100" s="379" t="s">
        <v>220</v>
      </c>
      <c r="AE100" s="379" t="s">
        <v>152</v>
      </c>
      <c r="AF100" s="382" t="str">
        <f>VLOOKUP(W100,KEY_Other!$B$37:$C$89,2,FALSE)</f>
        <v>DK</v>
      </c>
      <c r="AG100" s="379"/>
      <c r="AH100" s="379" t="str">
        <f>AC100&amp;VLOOKUP(U100,KEY_FUELS!$C$4:$D$78,2,FALSE)</f>
        <v>RSDELC</v>
      </c>
      <c r="AI100" s="379" t="str">
        <f>IFERROR(AC100&amp;VLOOKUP(V100,KEY_FUELS!$C$4:$D$78,2,FALSE),"")</f>
        <v>RSDAHT</v>
      </c>
      <c r="AJ100" s="379" t="str">
        <f t="shared" si="3"/>
        <v>RHHSC</v>
      </c>
      <c r="AK100" s="379" t="str">
        <f t="shared" si="31"/>
        <v>RWHSC</v>
      </c>
      <c r="AL100" s="379" t="str">
        <f t="shared" si="32"/>
        <v/>
      </c>
      <c r="AM100" s="380">
        <v>31.536000000000001</v>
      </c>
      <c r="AN100" s="379">
        <f t="shared" si="33"/>
        <v>2030</v>
      </c>
      <c r="AO100" s="383"/>
      <c r="AP100" s="384"/>
      <c r="AQ100" s="386"/>
      <c r="AR100" s="386"/>
      <c r="AS100" s="386"/>
      <c r="AT100" s="386"/>
      <c r="AU100" s="387">
        <v>0.6</v>
      </c>
      <c r="AV100" s="387">
        <v>1</v>
      </c>
      <c r="AW100" s="387"/>
      <c r="AX100" s="388"/>
      <c r="AY100" s="384">
        <v>4.0999999999999996</v>
      </c>
      <c r="AZ100" s="387">
        <v>4.0999999999999996</v>
      </c>
      <c r="BA100" s="387">
        <v>4.0999999999999996</v>
      </c>
      <c r="BB100" s="388"/>
      <c r="BC100" s="389"/>
      <c r="BD100" s="389"/>
      <c r="BE100" s="390"/>
      <c r="BF100" s="379"/>
      <c r="BG100" s="379"/>
      <c r="BH100" s="391"/>
      <c r="BI100" s="379">
        <v>12</v>
      </c>
      <c r="BJ100" s="379"/>
      <c r="BK100" s="388">
        <v>1.8</v>
      </c>
      <c r="BL100" s="392"/>
      <c r="BM100" s="392"/>
      <c r="BN100" s="392"/>
      <c r="BO100" s="392"/>
      <c r="BP100" s="392"/>
      <c r="BQ100" s="392"/>
      <c r="BR100" s="384">
        <v>146</v>
      </c>
      <c r="BS100" s="388">
        <v>0</v>
      </c>
      <c r="BT100" s="380"/>
      <c r="BU100" s="388"/>
      <c r="BV100" s="380"/>
      <c r="BW100" s="380"/>
      <c r="BX100" s="395"/>
    </row>
    <row r="101" spans="1:76" s="226" customFormat="1" x14ac:dyDescent="0.3">
      <c r="A101" s="88"/>
      <c r="B101" s="87"/>
      <c r="C101" s="87"/>
      <c r="D101" s="87"/>
      <c r="E101" s="87"/>
      <c r="F101" s="88"/>
      <c r="G101" s="87"/>
      <c r="H101" s="88"/>
      <c r="I101" s="88"/>
      <c r="J101" s="362" t="s">
        <v>134</v>
      </c>
      <c r="K101" s="363" t="s">
        <v>135</v>
      </c>
      <c r="L101" s="363"/>
      <c r="M101" s="363"/>
      <c r="N101" s="363"/>
      <c r="O101" s="363" t="s">
        <v>136</v>
      </c>
      <c r="P101" s="363">
        <v>2017</v>
      </c>
      <c r="Q101" s="364" t="s">
        <v>187</v>
      </c>
      <c r="R101" s="365" t="s">
        <v>188</v>
      </c>
      <c r="S101" s="363">
        <v>6</v>
      </c>
      <c r="T101" s="363"/>
      <c r="U101" s="363" t="s">
        <v>189</v>
      </c>
      <c r="V101" s="363" t="s">
        <v>190</v>
      </c>
      <c r="W101" s="363" t="s">
        <v>149</v>
      </c>
      <c r="X101" s="363">
        <v>2050</v>
      </c>
      <c r="Y101" s="363"/>
      <c r="Z101" s="363" t="str">
        <f>VLOOKUP(R101,KEY_Processes!$B$4:$E$54,4,FALSE)</f>
        <v>HP_ELC_01</v>
      </c>
      <c r="AA101" s="363" t="str">
        <f>VLOOKUP(R101,KEY_Processes!$B$4:$E$54,2,FALSE)</f>
        <v>Electric heat pumps, Air-to-air</v>
      </c>
      <c r="AB101" s="363" t="str">
        <f>VLOOKUP(U101,KEY_FUELS!$C$4:$D$77,2,FALSE)</f>
        <v>ELC</v>
      </c>
      <c r="AC101" s="363" t="s">
        <v>150</v>
      </c>
      <c r="AD101" s="363" t="s">
        <v>220</v>
      </c>
      <c r="AE101" s="363" t="s">
        <v>152</v>
      </c>
      <c r="AF101" s="366" t="str">
        <f>VLOOKUP(W101,KEY_Other!$B$37:$C$89,2,FALSE)</f>
        <v>DK</v>
      </c>
      <c r="AG101" s="363"/>
      <c r="AH101" s="363" t="str">
        <f>AC101&amp;VLOOKUP(U101,KEY_FUELS!$C$4:$D$78,2,FALSE)</f>
        <v>RSDELC</v>
      </c>
      <c r="AI101" s="363" t="str">
        <f>IFERROR(AC101&amp;VLOOKUP(V101,KEY_FUELS!$C$4:$D$78,2,FALSE),"")</f>
        <v>RSDAHT</v>
      </c>
      <c r="AJ101" s="363" t="str">
        <f t="shared" si="3"/>
        <v>RHHSC</v>
      </c>
      <c r="AK101" s="363" t="str">
        <f t="shared" si="31"/>
        <v>RWHSC</v>
      </c>
      <c r="AL101" s="363" t="str">
        <f t="shared" si="32"/>
        <v/>
      </c>
      <c r="AM101" s="364">
        <v>31.536000000000001</v>
      </c>
      <c r="AN101" s="363">
        <f t="shared" si="33"/>
        <v>2050</v>
      </c>
      <c r="AO101" s="367"/>
      <c r="AP101" s="368"/>
      <c r="AQ101" s="370"/>
      <c r="AR101" s="370"/>
      <c r="AS101" s="370"/>
      <c r="AT101" s="370"/>
      <c r="AU101" s="371">
        <v>0.6</v>
      </c>
      <c r="AV101" s="371">
        <v>1</v>
      </c>
      <c r="AW101" s="371"/>
      <c r="AX101" s="372"/>
      <c r="AY101" s="368">
        <v>4.2</v>
      </c>
      <c r="AZ101" s="371">
        <v>4.2</v>
      </c>
      <c r="BA101" s="371">
        <v>4.2</v>
      </c>
      <c r="BB101" s="372"/>
      <c r="BC101" s="373"/>
      <c r="BD101" s="373"/>
      <c r="BE101" s="374"/>
      <c r="BF101" s="363"/>
      <c r="BG101" s="363"/>
      <c r="BH101" s="375"/>
      <c r="BI101" s="363">
        <v>12</v>
      </c>
      <c r="BJ101" s="363"/>
      <c r="BK101" s="372">
        <v>1.8</v>
      </c>
      <c r="BL101" s="376"/>
      <c r="BM101" s="376"/>
      <c r="BN101" s="376"/>
      <c r="BO101" s="376"/>
      <c r="BP101" s="376"/>
      <c r="BQ101" s="376"/>
      <c r="BR101" s="368">
        <v>132</v>
      </c>
      <c r="BS101" s="372">
        <v>0</v>
      </c>
      <c r="BT101" s="364"/>
      <c r="BU101" s="372"/>
      <c r="BV101" s="364"/>
      <c r="BW101" s="364"/>
      <c r="BX101" s="397"/>
    </row>
    <row r="102" spans="1:76" s="226" customFormat="1" x14ac:dyDescent="0.3">
      <c r="A102" s="88"/>
      <c r="B102" s="87"/>
      <c r="C102" s="87"/>
      <c r="D102" s="87"/>
      <c r="E102" s="87"/>
      <c r="F102" s="88"/>
      <c r="G102" s="87"/>
      <c r="H102" s="88"/>
      <c r="I102" s="88"/>
      <c r="J102" s="378" t="s">
        <v>134</v>
      </c>
      <c r="K102" s="379" t="s">
        <v>135</v>
      </c>
      <c r="L102" s="379"/>
      <c r="M102" s="379"/>
      <c r="N102" s="379"/>
      <c r="O102" s="379" t="s">
        <v>136</v>
      </c>
      <c r="P102" s="379">
        <v>2017</v>
      </c>
      <c r="Q102" s="380" t="s">
        <v>187</v>
      </c>
      <c r="R102" s="381" t="s">
        <v>191</v>
      </c>
      <c r="S102" s="379">
        <v>2.5</v>
      </c>
      <c r="T102" s="379"/>
      <c r="U102" s="379" t="s">
        <v>189</v>
      </c>
      <c r="V102" s="379" t="s">
        <v>190</v>
      </c>
      <c r="W102" s="379" t="s">
        <v>149</v>
      </c>
      <c r="X102" s="379">
        <v>2015</v>
      </c>
      <c r="Y102" s="379"/>
      <c r="Z102" s="379" t="str">
        <f>VLOOKUP(R102,KEY_Processes!$B$4:$E$54,4,FALSE)</f>
        <v>HP_ELC_02</v>
      </c>
      <c r="AA102" s="379" t="str">
        <f>VLOOKUP(R102,KEY_Processes!$B$4:$E$54,2,FALSE)</f>
        <v>Electric heat pumps, Air-to-air</v>
      </c>
      <c r="AB102" s="379" t="str">
        <f>VLOOKUP(U102,KEY_FUELS!$C$4:$D$77,2,FALSE)</f>
        <v>ELC</v>
      </c>
      <c r="AC102" s="379" t="s">
        <v>150</v>
      </c>
      <c r="AD102" s="379" t="s">
        <v>155</v>
      </c>
      <c r="AE102" s="379" t="s">
        <v>152</v>
      </c>
      <c r="AF102" s="382" t="str">
        <f>VLOOKUP(W102,KEY_Other!$B$37:$C$89,2,FALSE)</f>
        <v>DK</v>
      </c>
      <c r="AG102" s="379"/>
      <c r="AH102" s="379" t="str">
        <f>AC102&amp;VLOOKUP(U102,KEY_FUELS!$C$4:$D$78,2,FALSE)</f>
        <v>RSDELC</v>
      </c>
      <c r="AI102" s="379" t="str">
        <f>IFERROR(AC102&amp;VLOOKUP(V102,KEY_FUELS!$C$4:$D$78,2,FALSE),"")</f>
        <v>RSDAHT</v>
      </c>
      <c r="AJ102" s="379" t="str">
        <f t="shared" si="3"/>
        <v>RHHSA</v>
      </c>
      <c r="AK102" s="379" t="str">
        <f t="shared" si="31"/>
        <v/>
      </c>
      <c r="AL102" s="379" t="str">
        <f t="shared" si="32"/>
        <v/>
      </c>
      <c r="AM102" s="380">
        <v>31.536000000000001</v>
      </c>
      <c r="AN102" s="379">
        <f t="shared" si="33"/>
        <v>2015</v>
      </c>
      <c r="AO102" s="383"/>
      <c r="AP102" s="384"/>
      <c r="AQ102" s="386"/>
      <c r="AR102" s="386"/>
      <c r="AS102" s="386"/>
      <c r="AT102" s="386"/>
      <c r="AU102" s="387">
        <v>0.6</v>
      </c>
      <c r="AV102" s="387">
        <v>0</v>
      </c>
      <c r="AW102" s="387"/>
      <c r="AX102" s="388"/>
      <c r="AY102" s="384">
        <v>4.8</v>
      </c>
      <c r="AZ102" s="387">
        <v>4.8</v>
      </c>
      <c r="BA102" s="387">
        <v>4.8</v>
      </c>
      <c r="BB102" s="388"/>
      <c r="BC102" s="389"/>
      <c r="BD102" s="389"/>
      <c r="BE102" s="390"/>
      <c r="BF102" s="379"/>
      <c r="BG102" s="379"/>
      <c r="BH102" s="391"/>
      <c r="BI102" s="379">
        <v>12</v>
      </c>
      <c r="BJ102" s="379"/>
      <c r="BK102" s="388">
        <v>1.2</v>
      </c>
      <c r="BL102" s="392"/>
      <c r="BM102" s="392"/>
      <c r="BN102" s="392"/>
      <c r="BO102" s="392"/>
      <c r="BP102" s="392"/>
      <c r="BQ102" s="392"/>
      <c r="BR102" s="384">
        <v>170</v>
      </c>
      <c r="BS102" s="388">
        <v>0</v>
      </c>
      <c r="BT102" s="380"/>
      <c r="BU102" s="388"/>
      <c r="BV102" s="380"/>
      <c r="BW102" s="380"/>
      <c r="BX102" s="395"/>
    </row>
    <row r="103" spans="1:76" s="226" customFormat="1" x14ac:dyDescent="0.3">
      <c r="A103" s="88"/>
      <c r="B103" s="87"/>
      <c r="C103" s="87"/>
      <c r="D103" s="87"/>
      <c r="E103" s="87"/>
      <c r="F103" s="88"/>
      <c r="G103" s="87"/>
      <c r="H103" s="88"/>
      <c r="I103" s="88"/>
      <c r="J103" s="362" t="s">
        <v>134</v>
      </c>
      <c r="K103" s="363" t="s">
        <v>135</v>
      </c>
      <c r="L103" s="363"/>
      <c r="M103" s="363"/>
      <c r="N103" s="363"/>
      <c r="O103" s="363" t="s">
        <v>136</v>
      </c>
      <c r="P103" s="363">
        <v>2017</v>
      </c>
      <c r="Q103" s="364" t="s">
        <v>187</v>
      </c>
      <c r="R103" s="365" t="s">
        <v>191</v>
      </c>
      <c r="S103" s="363">
        <v>2.5</v>
      </c>
      <c r="T103" s="363"/>
      <c r="U103" s="363" t="s">
        <v>189</v>
      </c>
      <c r="V103" s="363" t="s">
        <v>190</v>
      </c>
      <c r="W103" s="363" t="s">
        <v>149</v>
      </c>
      <c r="X103" s="363">
        <v>2020</v>
      </c>
      <c r="Y103" s="363"/>
      <c r="Z103" s="363" t="str">
        <f>VLOOKUP(R103,KEY_Processes!$B$4:$E$54,4,FALSE)</f>
        <v>HP_ELC_02</v>
      </c>
      <c r="AA103" s="363" t="str">
        <f>VLOOKUP(R103,KEY_Processes!$B$4:$E$54,2,FALSE)</f>
        <v>Electric heat pumps, Air-to-air</v>
      </c>
      <c r="AB103" s="363" t="str">
        <f>VLOOKUP(U103,KEY_FUELS!$C$4:$D$77,2,FALSE)</f>
        <v>ELC</v>
      </c>
      <c r="AC103" s="363" t="s">
        <v>150</v>
      </c>
      <c r="AD103" s="363" t="s">
        <v>155</v>
      </c>
      <c r="AE103" s="363" t="s">
        <v>152</v>
      </c>
      <c r="AF103" s="366" t="str">
        <f>VLOOKUP(W103,KEY_Other!$B$37:$C$89,2,FALSE)</f>
        <v>DK</v>
      </c>
      <c r="AG103" s="363"/>
      <c r="AH103" s="363" t="str">
        <f>AC103&amp;VLOOKUP(U103,KEY_FUELS!$C$4:$D$78,2,FALSE)</f>
        <v>RSDELC</v>
      </c>
      <c r="AI103" s="363" t="str">
        <f>IFERROR(AC103&amp;VLOOKUP(V103,KEY_FUELS!$C$4:$D$78,2,FALSE),"")</f>
        <v>RSDAHT</v>
      </c>
      <c r="AJ103" s="363" t="str">
        <f t="shared" si="3"/>
        <v>RHHSA</v>
      </c>
      <c r="AK103" s="363" t="str">
        <f t="shared" si="31"/>
        <v/>
      </c>
      <c r="AL103" s="363" t="str">
        <f t="shared" si="32"/>
        <v/>
      </c>
      <c r="AM103" s="364">
        <v>31.536000000000001</v>
      </c>
      <c r="AN103" s="363">
        <f t="shared" si="33"/>
        <v>2020</v>
      </c>
      <c r="AO103" s="367"/>
      <c r="AP103" s="368"/>
      <c r="AQ103" s="370"/>
      <c r="AR103" s="370"/>
      <c r="AS103" s="370"/>
      <c r="AT103" s="370"/>
      <c r="AU103" s="371">
        <v>0.6</v>
      </c>
      <c r="AV103" s="371">
        <v>0</v>
      </c>
      <c r="AW103" s="371"/>
      <c r="AX103" s="372"/>
      <c r="AY103" s="368">
        <v>4.9000000000000004</v>
      </c>
      <c r="AZ103" s="371">
        <v>4.9000000000000004</v>
      </c>
      <c r="BA103" s="371">
        <v>4.9000000000000004</v>
      </c>
      <c r="BB103" s="372"/>
      <c r="BC103" s="373"/>
      <c r="BD103" s="373"/>
      <c r="BE103" s="374"/>
      <c r="BF103" s="363"/>
      <c r="BG103" s="363"/>
      <c r="BH103" s="375"/>
      <c r="BI103" s="363">
        <v>12</v>
      </c>
      <c r="BJ103" s="363"/>
      <c r="BK103" s="372">
        <v>1.2</v>
      </c>
      <c r="BL103" s="376"/>
      <c r="BM103" s="376"/>
      <c r="BN103" s="376"/>
      <c r="BO103" s="376"/>
      <c r="BP103" s="376"/>
      <c r="BQ103" s="376"/>
      <c r="BR103" s="368">
        <v>162</v>
      </c>
      <c r="BS103" s="372">
        <v>0</v>
      </c>
      <c r="BT103" s="364"/>
      <c r="BU103" s="372"/>
      <c r="BV103" s="364"/>
      <c r="BW103" s="364"/>
      <c r="BX103" s="397"/>
    </row>
    <row r="104" spans="1:76" s="226" customFormat="1" x14ac:dyDescent="0.3">
      <c r="A104" s="88"/>
      <c r="B104" s="87"/>
      <c r="C104" s="87"/>
      <c r="D104" s="87"/>
      <c r="E104" s="87"/>
      <c r="F104" s="88"/>
      <c r="G104" s="87"/>
      <c r="H104" s="88"/>
      <c r="I104" s="88"/>
      <c r="J104" s="378" t="s">
        <v>134</v>
      </c>
      <c r="K104" s="379" t="s">
        <v>135</v>
      </c>
      <c r="L104" s="379"/>
      <c r="M104" s="379"/>
      <c r="N104" s="379"/>
      <c r="O104" s="379" t="s">
        <v>136</v>
      </c>
      <c r="P104" s="379">
        <v>2017</v>
      </c>
      <c r="Q104" s="380" t="s">
        <v>187</v>
      </c>
      <c r="R104" s="381" t="s">
        <v>191</v>
      </c>
      <c r="S104" s="379">
        <v>3.5</v>
      </c>
      <c r="T104" s="379"/>
      <c r="U104" s="379" t="s">
        <v>189</v>
      </c>
      <c r="V104" s="379" t="s">
        <v>190</v>
      </c>
      <c r="W104" s="379" t="s">
        <v>149</v>
      </c>
      <c r="X104" s="379">
        <v>2030</v>
      </c>
      <c r="Y104" s="379"/>
      <c r="Z104" s="379" t="str">
        <f>VLOOKUP(R104,KEY_Processes!$B$4:$E$54,4,FALSE)</f>
        <v>HP_ELC_02</v>
      </c>
      <c r="AA104" s="379" t="str">
        <f>VLOOKUP(R104,KEY_Processes!$B$4:$E$54,2,FALSE)</f>
        <v>Electric heat pumps, Air-to-air</v>
      </c>
      <c r="AB104" s="379" t="str">
        <f>VLOOKUP(U104,KEY_FUELS!$C$4:$D$77,2,FALSE)</f>
        <v>ELC</v>
      </c>
      <c r="AC104" s="379" t="s">
        <v>150</v>
      </c>
      <c r="AD104" s="379" t="s">
        <v>155</v>
      </c>
      <c r="AE104" s="379" t="s">
        <v>152</v>
      </c>
      <c r="AF104" s="382" t="str">
        <f>VLOOKUP(W104,KEY_Other!$B$37:$C$89,2,FALSE)</f>
        <v>DK</v>
      </c>
      <c r="AG104" s="379"/>
      <c r="AH104" s="379" t="str">
        <f>AC104&amp;VLOOKUP(U104,KEY_FUELS!$C$4:$D$78,2,FALSE)</f>
        <v>RSDELC</v>
      </c>
      <c r="AI104" s="379" t="str">
        <f>IFERROR(AC104&amp;VLOOKUP(V104,KEY_FUELS!$C$4:$D$78,2,FALSE),"")</f>
        <v>RSDAHT</v>
      </c>
      <c r="AJ104" s="379" t="str">
        <f t="shared" si="3"/>
        <v>RHHSA</v>
      </c>
      <c r="AK104" s="379" t="str">
        <f t="shared" si="31"/>
        <v>RWHSA</v>
      </c>
      <c r="AL104" s="379" t="str">
        <f t="shared" si="32"/>
        <v/>
      </c>
      <c r="AM104" s="380">
        <v>31.536000000000001</v>
      </c>
      <c r="AN104" s="379">
        <f t="shared" si="33"/>
        <v>2030</v>
      </c>
      <c r="AO104" s="383"/>
      <c r="AP104" s="384"/>
      <c r="AQ104" s="386"/>
      <c r="AR104" s="386"/>
      <c r="AS104" s="386"/>
      <c r="AT104" s="386"/>
      <c r="AU104" s="387">
        <v>0.6</v>
      </c>
      <c r="AV104" s="387">
        <v>1</v>
      </c>
      <c r="AW104" s="387"/>
      <c r="AX104" s="388"/>
      <c r="AY104" s="384">
        <v>3.4</v>
      </c>
      <c r="AZ104" s="387">
        <v>3.4</v>
      </c>
      <c r="BA104" s="387">
        <v>3.4</v>
      </c>
      <c r="BB104" s="388"/>
      <c r="BC104" s="389"/>
      <c r="BD104" s="389"/>
      <c r="BE104" s="390"/>
      <c r="BF104" s="379"/>
      <c r="BG104" s="379"/>
      <c r="BH104" s="391"/>
      <c r="BI104" s="379">
        <v>12</v>
      </c>
      <c r="BJ104" s="379"/>
      <c r="BK104" s="388">
        <v>2</v>
      </c>
      <c r="BL104" s="392"/>
      <c r="BM104" s="392"/>
      <c r="BN104" s="392"/>
      <c r="BO104" s="392"/>
      <c r="BP104" s="392"/>
      <c r="BQ104" s="392"/>
      <c r="BR104" s="384">
        <v>146</v>
      </c>
      <c r="BS104" s="388">
        <v>0</v>
      </c>
      <c r="BT104" s="380"/>
      <c r="BU104" s="388"/>
      <c r="BV104" s="380"/>
      <c r="BW104" s="380"/>
      <c r="BX104" s="395"/>
    </row>
    <row r="105" spans="1:76" s="226" customFormat="1" x14ac:dyDescent="0.3">
      <c r="A105" s="88"/>
      <c r="B105" s="87"/>
      <c r="C105" s="87"/>
      <c r="D105" s="87"/>
      <c r="E105" s="87"/>
      <c r="F105" s="88"/>
      <c r="G105" s="87"/>
      <c r="H105" s="88"/>
      <c r="I105" s="88"/>
      <c r="J105" s="362" t="s">
        <v>134</v>
      </c>
      <c r="K105" s="363" t="s">
        <v>135</v>
      </c>
      <c r="L105" s="363"/>
      <c r="M105" s="363"/>
      <c r="N105" s="363"/>
      <c r="O105" s="363" t="s">
        <v>136</v>
      </c>
      <c r="P105" s="363">
        <v>2017</v>
      </c>
      <c r="Q105" s="364" t="s">
        <v>187</v>
      </c>
      <c r="R105" s="365" t="s">
        <v>191</v>
      </c>
      <c r="S105" s="363">
        <v>3.5</v>
      </c>
      <c r="T105" s="363"/>
      <c r="U105" s="363" t="s">
        <v>189</v>
      </c>
      <c r="V105" s="363" t="s">
        <v>190</v>
      </c>
      <c r="W105" s="363" t="s">
        <v>149</v>
      </c>
      <c r="X105" s="363">
        <v>2050</v>
      </c>
      <c r="Y105" s="363"/>
      <c r="Z105" s="363" t="str">
        <f>VLOOKUP(R105,KEY_Processes!$B$4:$E$54,4,FALSE)</f>
        <v>HP_ELC_02</v>
      </c>
      <c r="AA105" s="363" t="str">
        <f>VLOOKUP(R105,KEY_Processes!$B$4:$E$54,2,FALSE)</f>
        <v>Electric heat pumps, Air-to-air</v>
      </c>
      <c r="AB105" s="363" t="str">
        <f>VLOOKUP(U105,KEY_FUELS!$C$4:$D$77,2,FALSE)</f>
        <v>ELC</v>
      </c>
      <c r="AC105" s="363" t="s">
        <v>150</v>
      </c>
      <c r="AD105" s="363" t="s">
        <v>155</v>
      </c>
      <c r="AE105" s="363" t="s">
        <v>152</v>
      </c>
      <c r="AF105" s="366" t="str">
        <f>VLOOKUP(W105,KEY_Other!$B$37:$C$89,2,FALSE)</f>
        <v>DK</v>
      </c>
      <c r="AG105" s="363"/>
      <c r="AH105" s="363" t="str">
        <f>AC105&amp;VLOOKUP(U105,KEY_FUELS!$C$4:$D$78,2,FALSE)</f>
        <v>RSDELC</v>
      </c>
      <c r="AI105" s="363" t="str">
        <f>IFERROR(AC105&amp;VLOOKUP(V105,KEY_FUELS!$C$4:$D$78,2,FALSE),"")</f>
        <v>RSDAHT</v>
      </c>
      <c r="AJ105" s="363" t="str">
        <f t="shared" si="3"/>
        <v>RHHSA</v>
      </c>
      <c r="AK105" s="363" t="str">
        <f t="shared" si="31"/>
        <v>RWHSA</v>
      </c>
      <c r="AL105" s="363" t="str">
        <f t="shared" si="32"/>
        <v/>
      </c>
      <c r="AM105" s="364">
        <v>31.536000000000001</v>
      </c>
      <c r="AN105" s="363">
        <f t="shared" si="33"/>
        <v>2050</v>
      </c>
      <c r="AO105" s="367"/>
      <c r="AP105" s="368"/>
      <c r="AQ105" s="370"/>
      <c r="AR105" s="370"/>
      <c r="AS105" s="370"/>
      <c r="AT105" s="370"/>
      <c r="AU105" s="371">
        <v>0.6</v>
      </c>
      <c r="AV105" s="371">
        <v>1</v>
      </c>
      <c r="AW105" s="371"/>
      <c r="AX105" s="372"/>
      <c r="AY105" s="368">
        <v>3.6</v>
      </c>
      <c r="AZ105" s="371">
        <v>3.6</v>
      </c>
      <c r="BA105" s="371">
        <v>3.6</v>
      </c>
      <c r="BB105" s="372"/>
      <c r="BC105" s="373"/>
      <c r="BD105" s="373"/>
      <c r="BE105" s="374"/>
      <c r="BF105" s="363"/>
      <c r="BG105" s="363"/>
      <c r="BH105" s="375"/>
      <c r="BI105" s="363">
        <v>12</v>
      </c>
      <c r="BJ105" s="363"/>
      <c r="BK105" s="372">
        <v>2</v>
      </c>
      <c r="BL105" s="376"/>
      <c r="BM105" s="376"/>
      <c r="BN105" s="376"/>
      <c r="BO105" s="376"/>
      <c r="BP105" s="376"/>
      <c r="BQ105" s="376"/>
      <c r="BR105" s="368">
        <v>132</v>
      </c>
      <c r="BS105" s="372">
        <v>0</v>
      </c>
      <c r="BT105" s="364"/>
      <c r="BU105" s="372"/>
      <c r="BV105" s="364"/>
      <c r="BW105" s="364"/>
      <c r="BX105" s="397"/>
    </row>
    <row r="106" spans="1:76" s="226" customFormat="1" x14ac:dyDescent="0.3">
      <c r="A106" s="88"/>
      <c r="B106" s="87"/>
      <c r="C106" s="87"/>
      <c r="D106" s="87"/>
      <c r="E106" s="87"/>
      <c r="F106" s="88"/>
      <c r="G106" s="87"/>
      <c r="H106" s="88"/>
      <c r="I106" s="88"/>
      <c r="J106" s="378" t="s">
        <v>134</v>
      </c>
      <c r="K106" s="379" t="s">
        <v>135</v>
      </c>
      <c r="L106" s="379"/>
      <c r="M106" s="379"/>
      <c r="N106" s="379"/>
      <c r="O106" s="379" t="s">
        <v>136</v>
      </c>
      <c r="P106" s="379">
        <v>2017</v>
      </c>
      <c r="Q106" s="380" t="s">
        <v>187</v>
      </c>
      <c r="R106" s="381" t="s">
        <v>192</v>
      </c>
      <c r="S106" s="391">
        <v>10</v>
      </c>
      <c r="T106" s="391"/>
      <c r="U106" s="379" t="s">
        <v>189</v>
      </c>
      <c r="V106" s="379" t="s">
        <v>190</v>
      </c>
      <c r="W106" s="379" t="s">
        <v>149</v>
      </c>
      <c r="X106" s="379">
        <v>2015</v>
      </c>
      <c r="Y106" s="391"/>
      <c r="Z106" s="379" t="str">
        <f>VLOOKUP(R106,KEY_Processes!$B$4:$E$54,4,FALSE)</f>
        <v>HP_ELC_03</v>
      </c>
      <c r="AA106" s="379" t="str">
        <f>VLOOKUP(R106,KEY_Processes!$B$4:$E$54,2,FALSE)</f>
        <v>Electric heat pumps, Air-to-water</v>
      </c>
      <c r="AB106" s="379" t="str">
        <f>VLOOKUP(U106,KEY_FUELS!$C$4:$D$77,2,FALSE)</f>
        <v>ELC</v>
      </c>
      <c r="AC106" s="379" t="s">
        <v>150</v>
      </c>
      <c r="AD106" s="379" t="s">
        <v>220</v>
      </c>
      <c r="AE106" s="379" t="s">
        <v>152</v>
      </c>
      <c r="AF106" s="382" t="str">
        <f>VLOOKUP(W106,KEY_Other!$B$37:$C$89,2,FALSE)</f>
        <v>DK</v>
      </c>
      <c r="AG106" s="379"/>
      <c r="AH106" s="379" t="str">
        <f>AC106&amp;VLOOKUP(U106,KEY_FUELS!$C$4:$D$78,2,FALSE)</f>
        <v>RSDELC</v>
      </c>
      <c r="AI106" s="379" t="str">
        <f>IFERROR(AC106&amp;VLOOKUP(V106,KEY_FUELS!$C$4:$D$78,2,FALSE),"")</f>
        <v>RSDAHT</v>
      </c>
      <c r="AJ106" s="379" t="str">
        <f t="shared" si="3"/>
        <v>RHHSC</v>
      </c>
      <c r="AK106" s="379" t="str">
        <f t="shared" si="31"/>
        <v>RWHSC</v>
      </c>
      <c r="AL106" s="379" t="str">
        <f t="shared" si="32"/>
        <v/>
      </c>
      <c r="AM106" s="380">
        <v>31.536000000000001</v>
      </c>
      <c r="AN106" s="379">
        <f t="shared" si="33"/>
        <v>2015</v>
      </c>
      <c r="AO106" s="383"/>
      <c r="AP106" s="384"/>
      <c r="AQ106" s="386"/>
      <c r="AR106" s="386"/>
      <c r="AS106" s="386"/>
      <c r="AT106" s="386"/>
      <c r="AU106" s="387">
        <v>1</v>
      </c>
      <c r="AV106" s="387">
        <v>1</v>
      </c>
      <c r="AW106" s="387"/>
      <c r="AX106" s="388" t="s">
        <v>193</v>
      </c>
      <c r="AY106" s="384">
        <v>3.9</v>
      </c>
      <c r="AZ106" s="387">
        <v>3.9</v>
      </c>
      <c r="BA106" s="387">
        <v>4</v>
      </c>
      <c r="BB106" s="388"/>
      <c r="BC106" s="389"/>
      <c r="BD106" s="389"/>
      <c r="BE106" s="390"/>
      <c r="BF106" s="379"/>
      <c r="BG106" s="379"/>
      <c r="BH106" s="391"/>
      <c r="BI106" s="379">
        <v>18</v>
      </c>
      <c r="BJ106" s="379"/>
      <c r="BK106" s="388">
        <v>10</v>
      </c>
      <c r="BL106" s="392"/>
      <c r="BM106" s="392"/>
      <c r="BN106" s="392"/>
      <c r="BO106" s="392"/>
      <c r="BP106" s="392"/>
      <c r="BQ106" s="392"/>
      <c r="BR106" s="384">
        <v>291</v>
      </c>
      <c r="BS106" s="388">
        <v>0</v>
      </c>
      <c r="BT106" s="380"/>
      <c r="BU106" s="388"/>
      <c r="BV106" s="380"/>
      <c r="BW106" s="380"/>
      <c r="BX106" s="395"/>
    </row>
    <row r="107" spans="1:76" s="226" customFormat="1" x14ac:dyDescent="0.3">
      <c r="A107" s="88"/>
      <c r="B107" s="87"/>
      <c r="C107" s="87"/>
      <c r="D107" s="87"/>
      <c r="E107" s="87"/>
      <c r="F107" s="88"/>
      <c r="G107" s="87"/>
      <c r="H107" s="88"/>
      <c r="I107" s="88"/>
      <c r="J107" s="362" t="s">
        <v>134</v>
      </c>
      <c r="K107" s="363" t="s">
        <v>135</v>
      </c>
      <c r="L107" s="363"/>
      <c r="M107" s="363"/>
      <c r="N107" s="363"/>
      <c r="O107" s="363" t="s">
        <v>136</v>
      </c>
      <c r="P107" s="363">
        <v>2017</v>
      </c>
      <c r="Q107" s="364" t="s">
        <v>187</v>
      </c>
      <c r="R107" s="365" t="s">
        <v>192</v>
      </c>
      <c r="S107" s="375">
        <v>10</v>
      </c>
      <c r="T107" s="375"/>
      <c r="U107" s="363" t="s">
        <v>189</v>
      </c>
      <c r="V107" s="363" t="s">
        <v>190</v>
      </c>
      <c r="W107" s="363" t="s">
        <v>149</v>
      </c>
      <c r="X107" s="363">
        <v>2020</v>
      </c>
      <c r="Y107" s="375"/>
      <c r="Z107" s="363" t="str">
        <f>VLOOKUP(R107,KEY_Processes!$B$4:$E$54,4,FALSE)</f>
        <v>HP_ELC_03</v>
      </c>
      <c r="AA107" s="363" t="str">
        <f>VLOOKUP(R107,KEY_Processes!$B$4:$E$54,2,FALSE)</f>
        <v>Electric heat pumps, Air-to-water</v>
      </c>
      <c r="AB107" s="363" t="str">
        <f>VLOOKUP(U107,KEY_FUELS!$C$4:$D$77,2,FALSE)</f>
        <v>ELC</v>
      </c>
      <c r="AC107" s="363" t="s">
        <v>150</v>
      </c>
      <c r="AD107" s="363" t="s">
        <v>220</v>
      </c>
      <c r="AE107" s="363" t="s">
        <v>152</v>
      </c>
      <c r="AF107" s="366" t="str">
        <f>VLOOKUP(W107,KEY_Other!$B$37:$C$89,2,FALSE)</f>
        <v>DK</v>
      </c>
      <c r="AG107" s="363"/>
      <c r="AH107" s="363" t="str">
        <f>AC107&amp;VLOOKUP(U107,KEY_FUELS!$C$4:$D$78,2,FALSE)</f>
        <v>RSDELC</v>
      </c>
      <c r="AI107" s="363" t="str">
        <f>IFERROR(AC107&amp;VLOOKUP(V107,KEY_FUELS!$C$4:$D$78,2,FALSE),"")</f>
        <v>RSDAHT</v>
      </c>
      <c r="AJ107" s="363" t="str">
        <f t="shared" ref="AJ107" si="34">LEFT(AC107,1)&amp;"H"&amp;AD107</f>
        <v>RHHSC</v>
      </c>
      <c r="AK107" s="363" t="str">
        <f t="shared" si="31"/>
        <v>RWHSC</v>
      </c>
      <c r="AL107" s="363" t="str">
        <f t="shared" si="32"/>
        <v/>
      </c>
      <c r="AM107" s="364">
        <v>31.536000000000001</v>
      </c>
      <c r="AN107" s="363">
        <f t="shared" si="33"/>
        <v>2020</v>
      </c>
      <c r="AO107" s="367"/>
      <c r="AP107" s="368"/>
      <c r="AQ107" s="370"/>
      <c r="AR107" s="370"/>
      <c r="AS107" s="370"/>
      <c r="AT107" s="370"/>
      <c r="AU107" s="371">
        <v>1</v>
      </c>
      <c r="AV107" s="371">
        <v>1</v>
      </c>
      <c r="AW107" s="371"/>
      <c r="AX107" s="372" t="s">
        <v>193</v>
      </c>
      <c r="AY107" s="368">
        <v>4</v>
      </c>
      <c r="AZ107" s="371">
        <v>4</v>
      </c>
      <c r="BA107" s="371">
        <v>4.0999999999999996</v>
      </c>
      <c r="BB107" s="372"/>
      <c r="BC107" s="373"/>
      <c r="BD107" s="373"/>
      <c r="BE107" s="374"/>
      <c r="BF107" s="363"/>
      <c r="BG107" s="363"/>
      <c r="BH107" s="375"/>
      <c r="BI107" s="363">
        <v>18</v>
      </c>
      <c r="BJ107" s="363"/>
      <c r="BK107" s="372">
        <v>9</v>
      </c>
      <c r="BL107" s="376"/>
      <c r="BM107" s="376"/>
      <c r="BN107" s="376"/>
      <c r="BO107" s="376"/>
      <c r="BP107" s="376"/>
      <c r="BQ107" s="376"/>
      <c r="BR107" s="368">
        <v>278</v>
      </c>
      <c r="BS107" s="372">
        <v>0</v>
      </c>
      <c r="BT107" s="364"/>
      <c r="BU107" s="372"/>
      <c r="BV107" s="364"/>
      <c r="BW107" s="364"/>
      <c r="BX107" s="397"/>
    </row>
    <row r="108" spans="1:76" s="226" customFormat="1" x14ac:dyDescent="0.3">
      <c r="A108" s="88"/>
      <c r="B108" s="87"/>
      <c r="C108" s="87"/>
      <c r="D108" s="87"/>
      <c r="E108" s="87"/>
      <c r="F108" s="88"/>
      <c r="G108" s="87"/>
      <c r="H108" s="88"/>
      <c r="I108" s="88"/>
      <c r="J108" s="378" t="s">
        <v>134</v>
      </c>
      <c r="K108" s="379" t="s">
        <v>135</v>
      </c>
      <c r="L108" s="379"/>
      <c r="M108" s="379"/>
      <c r="N108" s="379"/>
      <c r="O108" s="379" t="s">
        <v>136</v>
      </c>
      <c r="P108" s="379">
        <v>2017</v>
      </c>
      <c r="Q108" s="380" t="s">
        <v>187</v>
      </c>
      <c r="R108" s="381" t="s">
        <v>192</v>
      </c>
      <c r="S108" s="391">
        <v>10</v>
      </c>
      <c r="T108" s="391"/>
      <c r="U108" s="379" t="s">
        <v>189</v>
      </c>
      <c r="V108" s="379" t="s">
        <v>190</v>
      </c>
      <c r="W108" s="379" t="s">
        <v>149</v>
      </c>
      <c r="X108" s="379">
        <v>2030</v>
      </c>
      <c r="Y108" s="391"/>
      <c r="Z108" s="379" t="str">
        <f>VLOOKUP(R108,KEY_Processes!$B$4:$E$54,4,FALSE)</f>
        <v>HP_ELC_03</v>
      </c>
      <c r="AA108" s="379" t="str">
        <f>VLOOKUP(R108,KEY_Processes!$B$4:$E$54,2,FALSE)</f>
        <v>Electric heat pumps, Air-to-water</v>
      </c>
      <c r="AB108" s="379" t="str">
        <f>VLOOKUP(U108,KEY_FUELS!$C$4:$D$77,2,FALSE)</f>
        <v>ELC</v>
      </c>
      <c r="AC108" s="379" t="s">
        <v>150</v>
      </c>
      <c r="AD108" s="379" t="s">
        <v>220</v>
      </c>
      <c r="AE108" s="379" t="s">
        <v>152</v>
      </c>
      <c r="AF108" s="382" t="str">
        <f>VLOOKUP(W108,KEY_Other!$B$37:$C$89,2,FALSE)</f>
        <v>DK</v>
      </c>
      <c r="AG108" s="379"/>
      <c r="AH108" s="379" t="str">
        <f>AC108&amp;VLOOKUP(U108,KEY_FUELS!$C$4:$D$78,2,FALSE)</f>
        <v>RSDELC</v>
      </c>
      <c r="AI108" s="379" t="str">
        <f>IFERROR(AC108&amp;VLOOKUP(V108,KEY_FUELS!$C$4:$D$78,2,FALSE),"")</f>
        <v>RSDAHT</v>
      </c>
      <c r="AJ108" s="379" t="str">
        <f t="shared" si="3"/>
        <v>RHHSC</v>
      </c>
      <c r="AK108" s="379" t="str">
        <f t="shared" si="31"/>
        <v>RWHSC</v>
      </c>
      <c r="AL108" s="379" t="str">
        <f t="shared" si="32"/>
        <v/>
      </c>
      <c r="AM108" s="380">
        <v>31.536000000000001</v>
      </c>
      <c r="AN108" s="379">
        <f t="shared" si="33"/>
        <v>2030</v>
      </c>
      <c r="AO108" s="383"/>
      <c r="AP108" s="384"/>
      <c r="AQ108" s="386"/>
      <c r="AR108" s="386"/>
      <c r="AS108" s="386"/>
      <c r="AT108" s="386"/>
      <c r="AU108" s="387">
        <v>1</v>
      </c>
      <c r="AV108" s="387">
        <v>1</v>
      </c>
      <c r="AW108" s="387"/>
      <c r="AX108" s="388" t="s">
        <v>193</v>
      </c>
      <c r="AY108" s="384">
        <v>4.2</v>
      </c>
      <c r="AZ108" s="387">
        <v>4.2</v>
      </c>
      <c r="BA108" s="387">
        <v>4.3</v>
      </c>
      <c r="BB108" s="388"/>
      <c r="BC108" s="389"/>
      <c r="BD108" s="389"/>
      <c r="BE108" s="390"/>
      <c r="BF108" s="379"/>
      <c r="BG108" s="379"/>
      <c r="BH108" s="391"/>
      <c r="BI108" s="379">
        <v>18</v>
      </c>
      <c r="BJ108" s="379"/>
      <c r="BK108" s="388">
        <v>9</v>
      </c>
      <c r="BL108" s="392"/>
      <c r="BM108" s="392"/>
      <c r="BN108" s="392"/>
      <c r="BO108" s="392"/>
      <c r="BP108" s="392"/>
      <c r="BQ108" s="392"/>
      <c r="BR108" s="384">
        <v>255</v>
      </c>
      <c r="BS108" s="388">
        <v>0</v>
      </c>
      <c r="BT108" s="380"/>
      <c r="BU108" s="388"/>
      <c r="BV108" s="380"/>
      <c r="BW108" s="380"/>
      <c r="BX108" s="395"/>
    </row>
    <row r="109" spans="1:76" s="226" customFormat="1" x14ac:dyDescent="0.3">
      <c r="A109" s="88"/>
      <c r="B109" s="87"/>
      <c r="C109" s="87"/>
      <c r="D109" s="87"/>
      <c r="E109" s="87"/>
      <c r="F109" s="88"/>
      <c r="G109" s="87"/>
      <c r="H109" s="88"/>
      <c r="I109" s="88"/>
      <c r="J109" s="362" t="s">
        <v>134</v>
      </c>
      <c r="K109" s="363" t="s">
        <v>135</v>
      </c>
      <c r="L109" s="363"/>
      <c r="M109" s="363"/>
      <c r="N109" s="363"/>
      <c r="O109" s="363" t="s">
        <v>136</v>
      </c>
      <c r="P109" s="363">
        <v>2017</v>
      </c>
      <c r="Q109" s="364" t="s">
        <v>187</v>
      </c>
      <c r="R109" s="365" t="s">
        <v>192</v>
      </c>
      <c r="S109" s="375">
        <v>10</v>
      </c>
      <c r="T109" s="375"/>
      <c r="U109" s="363" t="s">
        <v>189</v>
      </c>
      <c r="V109" s="363" t="s">
        <v>190</v>
      </c>
      <c r="W109" s="363" t="s">
        <v>149</v>
      </c>
      <c r="X109" s="363">
        <v>2050</v>
      </c>
      <c r="Y109" s="375"/>
      <c r="Z109" s="363" t="str">
        <f>VLOOKUP(R109,KEY_Processes!$B$4:$E$54,4,FALSE)</f>
        <v>HP_ELC_03</v>
      </c>
      <c r="AA109" s="363" t="str">
        <f>VLOOKUP(R109,KEY_Processes!$B$4:$E$54,2,FALSE)</f>
        <v>Electric heat pumps, Air-to-water</v>
      </c>
      <c r="AB109" s="363" t="str">
        <f>VLOOKUP(U109,KEY_FUELS!$C$4:$D$77,2,FALSE)</f>
        <v>ELC</v>
      </c>
      <c r="AC109" s="363" t="s">
        <v>150</v>
      </c>
      <c r="AD109" s="363" t="s">
        <v>220</v>
      </c>
      <c r="AE109" s="363" t="s">
        <v>152</v>
      </c>
      <c r="AF109" s="366" t="str">
        <f>VLOOKUP(W109,KEY_Other!$B$37:$C$89,2,FALSE)</f>
        <v>DK</v>
      </c>
      <c r="AG109" s="363"/>
      <c r="AH109" s="363" t="str">
        <f>AC109&amp;VLOOKUP(U109,KEY_FUELS!$C$4:$D$78,2,FALSE)</f>
        <v>RSDELC</v>
      </c>
      <c r="AI109" s="363" t="str">
        <f>IFERROR(AC109&amp;VLOOKUP(V109,KEY_FUELS!$C$4:$D$78,2,FALSE),"")</f>
        <v>RSDAHT</v>
      </c>
      <c r="AJ109" s="363" t="str">
        <f t="shared" ref="AJ109:AJ112" si="35">LEFT(AC109,1)&amp;"H"&amp;AD109</f>
        <v>RHHSC</v>
      </c>
      <c r="AK109" s="363" t="str">
        <f t="shared" si="31"/>
        <v>RWHSC</v>
      </c>
      <c r="AL109" s="363" t="str">
        <f t="shared" si="32"/>
        <v/>
      </c>
      <c r="AM109" s="364">
        <v>31.536000000000001</v>
      </c>
      <c r="AN109" s="363">
        <f t="shared" si="33"/>
        <v>2050</v>
      </c>
      <c r="AO109" s="367"/>
      <c r="AP109" s="368"/>
      <c r="AQ109" s="370"/>
      <c r="AR109" s="370"/>
      <c r="AS109" s="370"/>
      <c r="AT109" s="370"/>
      <c r="AU109" s="371">
        <v>1</v>
      </c>
      <c r="AV109" s="371">
        <v>1</v>
      </c>
      <c r="AW109" s="371"/>
      <c r="AX109" s="372" t="s">
        <v>193</v>
      </c>
      <c r="AY109" s="368">
        <v>4.4000000000000004</v>
      </c>
      <c r="AZ109" s="371">
        <v>4.4000000000000004</v>
      </c>
      <c r="BA109" s="371">
        <v>4.5</v>
      </c>
      <c r="BB109" s="372"/>
      <c r="BC109" s="373"/>
      <c r="BD109" s="373"/>
      <c r="BE109" s="374"/>
      <c r="BF109" s="363"/>
      <c r="BG109" s="363"/>
      <c r="BH109" s="375"/>
      <c r="BI109" s="363">
        <v>18</v>
      </c>
      <c r="BJ109" s="363"/>
      <c r="BK109" s="372">
        <v>8</v>
      </c>
      <c r="BL109" s="376"/>
      <c r="BM109" s="376"/>
      <c r="BN109" s="376"/>
      <c r="BO109" s="376"/>
      <c r="BP109" s="376"/>
      <c r="BQ109" s="376"/>
      <c r="BR109" s="368">
        <v>239</v>
      </c>
      <c r="BS109" s="372">
        <v>0</v>
      </c>
      <c r="BT109" s="364"/>
      <c r="BU109" s="372"/>
      <c r="BV109" s="364"/>
      <c r="BW109" s="364"/>
      <c r="BX109" s="397"/>
    </row>
    <row r="110" spans="1:76" s="226" customFormat="1" x14ac:dyDescent="0.3">
      <c r="A110" s="88"/>
      <c r="B110" s="87"/>
      <c r="C110" s="87"/>
      <c r="D110" s="87"/>
      <c r="E110" s="87"/>
      <c r="F110" s="88"/>
      <c r="G110" s="87"/>
      <c r="H110" s="88"/>
      <c r="I110" s="88"/>
      <c r="J110" s="378" t="s">
        <v>134</v>
      </c>
      <c r="K110" s="379" t="s">
        <v>135</v>
      </c>
      <c r="L110" s="379"/>
      <c r="M110" s="379"/>
      <c r="N110" s="379"/>
      <c r="O110" s="379" t="s">
        <v>136</v>
      </c>
      <c r="P110" s="379">
        <v>2017</v>
      </c>
      <c r="Q110" s="380" t="s">
        <v>187</v>
      </c>
      <c r="R110" s="381" t="s">
        <v>194</v>
      </c>
      <c r="S110" s="379">
        <v>4</v>
      </c>
      <c r="T110" s="379"/>
      <c r="U110" s="379" t="s">
        <v>189</v>
      </c>
      <c r="V110" s="379" t="s">
        <v>190</v>
      </c>
      <c r="W110" s="379" t="s">
        <v>149</v>
      </c>
      <c r="X110" s="379">
        <v>2015</v>
      </c>
      <c r="Y110" s="379"/>
      <c r="Z110" s="379" t="str">
        <f>VLOOKUP(R110,KEY_Processes!$B$4:$E$54,4,FALSE)</f>
        <v>HP_ELC_04</v>
      </c>
      <c r="AA110" s="379" t="str">
        <f>VLOOKUP(R110,KEY_Processes!$B$4:$E$54,2,FALSE)</f>
        <v>Electric heat pumps, Air-to-water</v>
      </c>
      <c r="AB110" s="379" t="str">
        <f>VLOOKUP(U110,KEY_FUELS!$C$4:$D$77,2,FALSE)</f>
        <v>ELC</v>
      </c>
      <c r="AC110" s="379" t="s">
        <v>150</v>
      </c>
      <c r="AD110" s="379" t="s">
        <v>155</v>
      </c>
      <c r="AE110" s="379" t="s">
        <v>152</v>
      </c>
      <c r="AF110" s="382" t="str">
        <f>VLOOKUP(W110,KEY_Other!$B$37:$C$89,2,FALSE)</f>
        <v>DK</v>
      </c>
      <c r="AG110" s="379"/>
      <c r="AH110" s="379" t="str">
        <f>AC110&amp;VLOOKUP(U110,KEY_FUELS!$C$4:$D$78,2,FALSE)</f>
        <v>RSDELC</v>
      </c>
      <c r="AI110" s="379" t="str">
        <f>IFERROR(AC110&amp;VLOOKUP(V110,KEY_FUELS!$C$4:$D$78,2,FALSE),"")</f>
        <v>RSDAHT</v>
      </c>
      <c r="AJ110" s="379" t="str">
        <f t="shared" si="35"/>
        <v>RHHSA</v>
      </c>
      <c r="AK110" s="379" t="str">
        <f t="shared" si="31"/>
        <v>RWHSA</v>
      </c>
      <c r="AL110" s="379" t="str">
        <f t="shared" si="32"/>
        <v/>
      </c>
      <c r="AM110" s="380">
        <v>31.536000000000001</v>
      </c>
      <c r="AN110" s="379">
        <f t="shared" si="33"/>
        <v>2015</v>
      </c>
      <c r="AO110" s="383"/>
      <c r="AP110" s="384"/>
      <c r="AQ110" s="386"/>
      <c r="AR110" s="386"/>
      <c r="AS110" s="386"/>
      <c r="AT110" s="386"/>
      <c r="AU110" s="387">
        <v>1</v>
      </c>
      <c r="AV110" s="387">
        <v>1</v>
      </c>
      <c r="AW110" s="387"/>
      <c r="AX110" s="388" t="s">
        <v>193</v>
      </c>
      <c r="AY110" s="384">
        <v>3.25</v>
      </c>
      <c r="AZ110" s="387">
        <v>3.25</v>
      </c>
      <c r="BA110" s="387">
        <v>3.45</v>
      </c>
      <c r="BB110" s="388"/>
      <c r="BC110" s="389"/>
      <c r="BD110" s="389"/>
      <c r="BE110" s="390"/>
      <c r="BF110" s="379"/>
      <c r="BG110" s="379"/>
      <c r="BH110" s="391"/>
      <c r="BI110" s="379">
        <v>18</v>
      </c>
      <c r="BJ110" s="379"/>
      <c r="BK110" s="388">
        <v>7</v>
      </c>
      <c r="BL110" s="392"/>
      <c r="BM110" s="392"/>
      <c r="BN110" s="392"/>
      <c r="BO110" s="392"/>
      <c r="BP110" s="392"/>
      <c r="BQ110" s="392"/>
      <c r="BR110" s="384">
        <v>291</v>
      </c>
      <c r="BS110" s="388">
        <v>0</v>
      </c>
      <c r="BT110" s="380"/>
      <c r="BU110" s="388"/>
      <c r="BV110" s="380"/>
      <c r="BW110" s="380"/>
      <c r="BX110" s="395"/>
    </row>
    <row r="111" spans="1:76" s="226" customFormat="1" x14ac:dyDescent="0.3">
      <c r="A111" s="88"/>
      <c r="B111" s="87"/>
      <c r="C111" s="87"/>
      <c r="D111" s="87"/>
      <c r="E111" s="87"/>
      <c r="F111" s="88"/>
      <c r="G111" s="87"/>
      <c r="H111" s="88"/>
      <c r="I111" s="88"/>
      <c r="J111" s="362" t="s">
        <v>134</v>
      </c>
      <c r="K111" s="363" t="s">
        <v>135</v>
      </c>
      <c r="L111" s="363"/>
      <c r="M111" s="363"/>
      <c r="N111" s="363"/>
      <c r="O111" s="363" t="s">
        <v>136</v>
      </c>
      <c r="P111" s="363">
        <v>2017</v>
      </c>
      <c r="Q111" s="364" t="s">
        <v>187</v>
      </c>
      <c r="R111" s="365" t="s">
        <v>194</v>
      </c>
      <c r="S111" s="363">
        <v>4</v>
      </c>
      <c r="T111" s="363"/>
      <c r="U111" s="363" t="s">
        <v>189</v>
      </c>
      <c r="V111" s="363" t="s">
        <v>190</v>
      </c>
      <c r="W111" s="363" t="s">
        <v>149</v>
      </c>
      <c r="X111" s="363">
        <v>2020</v>
      </c>
      <c r="Y111" s="363"/>
      <c r="Z111" s="363" t="str">
        <f>VLOOKUP(R111,KEY_Processes!$B$4:$E$54,4,FALSE)</f>
        <v>HP_ELC_04</v>
      </c>
      <c r="AA111" s="363" t="str">
        <f>VLOOKUP(R111,KEY_Processes!$B$4:$E$54,2,FALSE)</f>
        <v>Electric heat pumps, Air-to-water</v>
      </c>
      <c r="AB111" s="363" t="str">
        <f>VLOOKUP(U111,KEY_FUELS!$C$4:$D$77,2,FALSE)</f>
        <v>ELC</v>
      </c>
      <c r="AC111" s="363" t="s">
        <v>150</v>
      </c>
      <c r="AD111" s="363" t="s">
        <v>155</v>
      </c>
      <c r="AE111" s="363" t="s">
        <v>152</v>
      </c>
      <c r="AF111" s="366" t="str">
        <f>VLOOKUP(W111,KEY_Other!$B$37:$C$89,2,FALSE)</f>
        <v>DK</v>
      </c>
      <c r="AG111" s="363"/>
      <c r="AH111" s="363" t="str">
        <f>AC111&amp;VLOOKUP(U111,KEY_FUELS!$C$4:$D$78,2,FALSE)</f>
        <v>RSDELC</v>
      </c>
      <c r="AI111" s="363" t="str">
        <f>IFERROR(AC111&amp;VLOOKUP(V111,KEY_FUELS!$C$4:$D$78,2,FALSE),"")</f>
        <v>RSDAHT</v>
      </c>
      <c r="AJ111" s="363" t="str">
        <f t="shared" ref="AJ111" si="36">LEFT(AC111,1)&amp;"H"&amp;AD111</f>
        <v>RHHSA</v>
      </c>
      <c r="AK111" s="363" t="str">
        <f t="shared" si="31"/>
        <v>RWHSA</v>
      </c>
      <c r="AL111" s="363" t="str">
        <f t="shared" si="32"/>
        <v/>
      </c>
      <c r="AM111" s="364">
        <v>31.536000000000001</v>
      </c>
      <c r="AN111" s="363">
        <f t="shared" si="33"/>
        <v>2020</v>
      </c>
      <c r="AO111" s="367"/>
      <c r="AP111" s="368"/>
      <c r="AQ111" s="370"/>
      <c r="AR111" s="370"/>
      <c r="AS111" s="370"/>
      <c r="AT111" s="370"/>
      <c r="AU111" s="371">
        <v>1</v>
      </c>
      <c r="AV111" s="371">
        <v>1</v>
      </c>
      <c r="AW111" s="371"/>
      <c r="AX111" s="372" t="s">
        <v>193</v>
      </c>
      <c r="AY111" s="368">
        <v>3.35</v>
      </c>
      <c r="AZ111" s="371">
        <v>3.35</v>
      </c>
      <c r="BA111" s="371">
        <v>3.55</v>
      </c>
      <c r="BB111" s="372"/>
      <c r="BC111" s="373"/>
      <c r="BD111" s="373"/>
      <c r="BE111" s="374"/>
      <c r="BF111" s="363"/>
      <c r="BG111" s="363"/>
      <c r="BH111" s="375"/>
      <c r="BI111" s="363">
        <v>18</v>
      </c>
      <c r="BJ111" s="363"/>
      <c r="BK111" s="372">
        <v>7</v>
      </c>
      <c r="BL111" s="376"/>
      <c r="BM111" s="376"/>
      <c r="BN111" s="376"/>
      <c r="BO111" s="376"/>
      <c r="BP111" s="376"/>
      <c r="BQ111" s="376"/>
      <c r="BR111" s="368">
        <v>278</v>
      </c>
      <c r="BS111" s="372">
        <v>0</v>
      </c>
      <c r="BT111" s="364"/>
      <c r="BU111" s="372"/>
      <c r="BV111" s="364"/>
      <c r="BW111" s="364"/>
      <c r="BX111" s="397"/>
    </row>
    <row r="112" spans="1:76" s="226" customFormat="1" x14ac:dyDescent="0.3">
      <c r="A112" s="88"/>
      <c r="B112" s="87"/>
      <c r="C112" s="87"/>
      <c r="D112" s="87"/>
      <c r="E112" s="87"/>
      <c r="F112" s="88"/>
      <c r="G112" s="87"/>
      <c r="H112" s="88"/>
      <c r="I112" s="88"/>
      <c r="J112" s="378" t="s">
        <v>134</v>
      </c>
      <c r="K112" s="379" t="s">
        <v>135</v>
      </c>
      <c r="L112" s="379"/>
      <c r="M112" s="379"/>
      <c r="N112" s="379"/>
      <c r="O112" s="379" t="s">
        <v>136</v>
      </c>
      <c r="P112" s="379">
        <v>2017</v>
      </c>
      <c r="Q112" s="380" t="s">
        <v>187</v>
      </c>
      <c r="R112" s="381" t="s">
        <v>194</v>
      </c>
      <c r="S112" s="379">
        <v>4</v>
      </c>
      <c r="T112" s="379"/>
      <c r="U112" s="379" t="s">
        <v>189</v>
      </c>
      <c r="V112" s="379" t="s">
        <v>190</v>
      </c>
      <c r="W112" s="379" t="s">
        <v>149</v>
      </c>
      <c r="X112" s="379">
        <v>2030</v>
      </c>
      <c r="Y112" s="379"/>
      <c r="Z112" s="379" t="str">
        <f>VLOOKUP(R112,KEY_Processes!$B$4:$E$54,4,FALSE)</f>
        <v>HP_ELC_04</v>
      </c>
      <c r="AA112" s="379" t="str">
        <f>VLOOKUP(R112,KEY_Processes!$B$4:$E$54,2,FALSE)</f>
        <v>Electric heat pumps, Air-to-water</v>
      </c>
      <c r="AB112" s="379" t="str">
        <f>VLOOKUP(U112,KEY_FUELS!$C$4:$D$77,2,FALSE)</f>
        <v>ELC</v>
      </c>
      <c r="AC112" s="379" t="s">
        <v>150</v>
      </c>
      <c r="AD112" s="379" t="s">
        <v>155</v>
      </c>
      <c r="AE112" s="379" t="s">
        <v>152</v>
      </c>
      <c r="AF112" s="382" t="str">
        <f>VLOOKUP(W112,KEY_Other!$B$37:$C$89,2,FALSE)</f>
        <v>DK</v>
      </c>
      <c r="AG112" s="379"/>
      <c r="AH112" s="379" t="str">
        <f>AC112&amp;VLOOKUP(U112,KEY_FUELS!$C$4:$D$78,2,FALSE)</f>
        <v>RSDELC</v>
      </c>
      <c r="AI112" s="379" t="str">
        <f>IFERROR(AC112&amp;VLOOKUP(V112,KEY_FUELS!$C$4:$D$78,2,FALSE),"")</f>
        <v>RSDAHT</v>
      </c>
      <c r="AJ112" s="379" t="str">
        <f t="shared" si="35"/>
        <v>RHHSA</v>
      </c>
      <c r="AK112" s="379" t="str">
        <f t="shared" si="31"/>
        <v>RWHSA</v>
      </c>
      <c r="AL112" s="379" t="str">
        <f t="shared" si="32"/>
        <v/>
      </c>
      <c r="AM112" s="380">
        <v>31.536000000000001</v>
      </c>
      <c r="AN112" s="379">
        <f t="shared" si="33"/>
        <v>2030</v>
      </c>
      <c r="AO112" s="383"/>
      <c r="AP112" s="384"/>
      <c r="AQ112" s="386"/>
      <c r="AR112" s="386"/>
      <c r="AS112" s="386"/>
      <c r="AT112" s="386"/>
      <c r="AU112" s="387">
        <v>1</v>
      </c>
      <c r="AV112" s="387">
        <v>1</v>
      </c>
      <c r="AW112" s="387"/>
      <c r="AX112" s="388" t="s">
        <v>193</v>
      </c>
      <c r="AY112" s="384">
        <v>3.45</v>
      </c>
      <c r="AZ112" s="387">
        <v>3.45</v>
      </c>
      <c r="BA112" s="387">
        <v>3.65</v>
      </c>
      <c r="BB112" s="388"/>
      <c r="BC112" s="389"/>
      <c r="BD112" s="389"/>
      <c r="BE112" s="390"/>
      <c r="BF112" s="379"/>
      <c r="BG112" s="379"/>
      <c r="BH112" s="391"/>
      <c r="BI112" s="379">
        <v>18</v>
      </c>
      <c r="BJ112" s="379"/>
      <c r="BK112" s="388">
        <v>6</v>
      </c>
      <c r="BL112" s="392"/>
      <c r="BM112" s="392"/>
      <c r="BN112" s="392"/>
      <c r="BO112" s="392"/>
      <c r="BP112" s="392"/>
      <c r="BQ112" s="392"/>
      <c r="BR112" s="384">
        <v>255</v>
      </c>
      <c r="BS112" s="388">
        <v>0</v>
      </c>
      <c r="BT112" s="380"/>
      <c r="BU112" s="388"/>
      <c r="BV112" s="380"/>
      <c r="BW112" s="380"/>
      <c r="BX112" s="395"/>
    </row>
    <row r="113" spans="1:76" s="226" customFormat="1" x14ac:dyDescent="0.3">
      <c r="A113" s="88"/>
      <c r="B113" s="87"/>
      <c r="C113" s="87"/>
      <c r="D113" s="87"/>
      <c r="E113" s="87"/>
      <c r="F113" s="88"/>
      <c r="G113" s="87"/>
      <c r="H113" s="88"/>
      <c r="I113" s="88"/>
      <c r="J113" s="362" t="s">
        <v>134</v>
      </c>
      <c r="K113" s="363" t="s">
        <v>135</v>
      </c>
      <c r="L113" s="363"/>
      <c r="M113" s="363"/>
      <c r="N113" s="363"/>
      <c r="O113" s="363" t="s">
        <v>136</v>
      </c>
      <c r="P113" s="363">
        <v>2017</v>
      </c>
      <c r="Q113" s="364" t="s">
        <v>187</v>
      </c>
      <c r="R113" s="365" t="s">
        <v>194</v>
      </c>
      <c r="S113" s="363">
        <v>4</v>
      </c>
      <c r="T113" s="363"/>
      <c r="U113" s="363" t="s">
        <v>189</v>
      </c>
      <c r="V113" s="363" t="s">
        <v>190</v>
      </c>
      <c r="W113" s="363" t="s">
        <v>149</v>
      </c>
      <c r="X113" s="363">
        <v>2050</v>
      </c>
      <c r="Y113" s="363"/>
      <c r="Z113" s="363" t="str">
        <f>VLOOKUP(R113,KEY_Processes!$B$4:$E$54,4,FALSE)</f>
        <v>HP_ELC_04</v>
      </c>
      <c r="AA113" s="363" t="str">
        <f>VLOOKUP(R113,KEY_Processes!$B$4:$E$54,2,FALSE)</f>
        <v>Electric heat pumps, Air-to-water</v>
      </c>
      <c r="AB113" s="363" t="str">
        <f>VLOOKUP(U113,KEY_FUELS!$C$4:$D$77,2,FALSE)</f>
        <v>ELC</v>
      </c>
      <c r="AC113" s="363" t="s">
        <v>150</v>
      </c>
      <c r="AD113" s="363" t="s">
        <v>155</v>
      </c>
      <c r="AE113" s="363" t="s">
        <v>152</v>
      </c>
      <c r="AF113" s="366" t="str">
        <f>VLOOKUP(W113,KEY_Other!$B$37:$C$89,2,FALSE)</f>
        <v>DK</v>
      </c>
      <c r="AG113" s="363"/>
      <c r="AH113" s="363" t="str">
        <f>AC113&amp;VLOOKUP(U113,KEY_FUELS!$C$4:$D$78,2,FALSE)</f>
        <v>RSDELC</v>
      </c>
      <c r="AI113" s="363" t="str">
        <f>IFERROR(AC113&amp;VLOOKUP(V113,KEY_FUELS!$C$4:$D$78,2,FALSE),"")</f>
        <v>RSDAHT</v>
      </c>
      <c r="AJ113" s="363" t="str">
        <f t="shared" si="3"/>
        <v>RHHSA</v>
      </c>
      <c r="AK113" s="363" t="str">
        <f t="shared" si="31"/>
        <v>RWHSA</v>
      </c>
      <c r="AL113" s="363" t="str">
        <f t="shared" si="32"/>
        <v/>
      </c>
      <c r="AM113" s="364">
        <v>31.536000000000001</v>
      </c>
      <c r="AN113" s="363">
        <f t="shared" si="33"/>
        <v>2050</v>
      </c>
      <c r="AO113" s="367"/>
      <c r="AP113" s="368"/>
      <c r="AQ113" s="370"/>
      <c r="AR113" s="370"/>
      <c r="AS113" s="370"/>
      <c r="AT113" s="370"/>
      <c r="AU113" s="371">
        <v>1</v>
      </c>
      <c r="AV113" s="371">
        <v>1</v>
      </c>
      <c r="AW113" s="371"/>
      <c r="AX113" s="372" t="s">
        <v>193</v>
      </c>
      <c r="AY113" s="368">
        <v>3.65</v>
      </c>
      <c r="AZ113" s="371">
        <v>3.65</v>
      </c>
      <c r="BA113" s="371">
        <v>3.8</v>
      </c>
      <c r="BB113" s="372"/>
      <c r="BC113" s="373"/>
      <c r="BD113" s="373"/>
      <c r="BE113" s="374"/>
      <c r="BF113" s="363"/>
      <c r="BG113" s="363"/>
      <c r="BH113" s="375"/>
      <c r="BI113" s="363">
        <v>18</v>
      </c>
      <c r="BJ113" s="363"/>
      <c r="BK113" s="372">
        <v>5</v>
      </c>
      <c r="BL113" s="376"/>
      <c r="BM113" s="376"/>
      <c r="BN113" s="376"/>
      <c r="BO113" s="376"/>
      <c r="BP113" s="376"/>
      <c r="BQ113" s="376"/>
      <c r="BR113" s="368">
        <v>239</v>
      </c>
      <c r="BS113" s="372">
        <v>0</v>
      </c>
      <c r="BT113" s="364"/>
      <c r="BU113" s="372"/>
      <c r="BV113" s="364"/>
      <c r="BW113" s="364"/>
      <c r="BX113" s="397"/>
    </row>
    <row r="114" spans="1:76" s="226" customFormat="1" x14ac:dyDescent="0.3">
      <c r="A114" s="88"/>
      <c r="B114" s="87"/>
      <c r="C114" s="87"/>
      <c r="D114" s="87"/>
      <c r="E114" s="87"/>
      <c r="F114" s="88"/>
      <c r="G114" s="87"/>
      <c r="H114" s="88"/>
      <c r="I114" s="88"/>
      <c r="J114" s="378" t="s">
        <v>134</v>
      </c>
      <c r="K114" s="379" t="s">
        <v>135</v>
      </c>
      <c r="L114" s="379"/>
      <c r="M114" s="379"/>
      <c r="N114" s="379"/>
      <c r="O114" s="379" t="s">
        <v>136</v>
      </c>
      <c r="P114" s="379">
        <v>2017</v>
      </c>
      <c r="Q114" s="380" t="s">
        <v>187</v>
      </c>
      <c r="R114" s="381" t="s">
        <v>195</v>
      </c>
      <c r="S114" s="379">
        <v>400</v>
      </c>
      <c r="T114" s="379"/>
      <c r="U114" s="379" t="s">
        <v>189</v>
      </c>
      <c r="V114" s="379" t="s">
        <v>190</v>
      </c>
      <c r="W114" s="379" t="s">
        <v>149</v>
      </c>
      <c r="X114" s="379">
        <v>2015</v>
      </c>
      <c r="Y114" s="379"/>
      <c r="Z114" s="379" t="str">
        <f>VLOOKUP(R114,KEY_Processes!$B$4:$E$54,4,FALSE)</f>
        <v>HP_ELC_05</v>
      </c>
      <c r="AA114" s="379" t="str">
        <f>VLOOKUP(R114,KEY_Processes!$B$4:$E$54,2,FALSE)</f>
        <v>Electric heat pumps, Air-to-water</v>
      </c>
      <c r="AB114" s="379" t="str">
        <f>VLOOKUP(U114,KEY_FUELS!$C$4:$D$77,2,FALSE)</f>
        <v>ELC</v>
      </c>
      <c r="AC114" s="379" t="s">
        <v>150</v>
      </c>
      <c r="AD114" s="379" t="s">
        <v>158</v>
      </c>
      <c r="AE114" s="379" t="s">
        <v>152</v>
      </c>
      <c r="AF114" s="382" t="str">
        <f>VLOOKUP(W114,KEY_Other!$B$37:$C$89,2,FALSE)</f>
        <v>DK</v>
      </c>
      <c r="AG114" s="379"/>
      <c r="AH114" s="379" t="str">
        <f>AC114&amp;VLOOKUP(U114,KEY_FUELS!$C$4:$D$78,2,FALSE)</f>
        <v>RSDELC</v>
      </c>
      <c r="AI114" s="379" t="str">
        <f>IFERROR(AC114&amp;VLOOKUP(V114,KEY_FUELS!$C$4:$D$78,2,FALSE),"")</f>
        <v>RSDAHT</v>
      </c>
      <c r="AJ114" s="379" t="str">
        <f t="shared" si="3"/>
        <v>RHAPC</v>
      </c>
      <c r="AK114" s="379" t="str">
        <f t="shared" si="31"/>
        <v>RWAPC</v>
      </c>
      <c r="AL114" s="379" t="str">
        <f t="shared" si="32"/>
        <v/>
      </c>
      <c r="AM114" s="380">
        <v>31.536000000000001</v>
      </c>
      <c r="AN114" s="379">
        <f t="shared" si="33"/>
        <v>2015</v>
      </c>
      <c r="AO114" s="383"/>
      <c r="AP114" s="384"/>
      <c r="AQ114" s="386"/>
      <c r="AR114" s="386"/>
      <c r="AS114" s="386"/>
      <c r="AT114" s="386"/>
      <c r="AU114" s="387">
        <v>1</v>
      </c>
      <c r="AV114" s="387">
        <v>1</v>
      </c>
      <c r="AW114" s="387"/>
      <c r="AX114" s="388" t="s">
        <v>193</v>
      </c>
      <c r="AY114" s="384">
        <v>4.0999999999999996</v>
      </c>
      <c r="AZ114" s="387">
        <v>4.0999999999999996</v>
      </c>
      <c r="BA114" s="387">
        <v>4.3</v>
      </c>
      <c r="BB114" s="388"/>
      <c r="BC114" s="389"/>
      <c r="BD114" s="389"/>
      <c r="BE114" s="390"/>
      <c r="BF114" s="379"/>
      <c r="BG114" s="379"/>
      <c r="BH114" s="391"/>
      <c r="BI114" s="379">
        <v>20</v>
      </c>
      <c r="BJ114" s="379"/>
      <c r="BK114" s="388">
        <v>150</v>
      </c>
      <c r="BL114" s="392"/>
      <c r="BM114" s="392"/>
      <c r="BN114" s="392"/>
      <c r="BO114" s="392"/>
      <c r="BP114" s="392"/>
      <c r="BQ114" s="392"/>
      <c r="BR114" s="384">
        <v>1640</v>
      </c>
      <c r="BS114" s="388">
        <v>0.4425</v>
      </c>
      <c r="BT114" s="380"/>
      <c r="BU114" s="388"/>
      <c r="BV114" s="380"/>
      <c r="BW114" s="380"/>
      <c r="BX114" s="395"/>
    </row>
    <row r="115" spans="1:76" s="226" customFormat="1" x14ac:dyDescent="0.3">
      <c r="A115" s="88"/>
      <c r="B115" s="87"/>
      <c r="C115" s="87"/>
      <c r="D115" s="87"/>
      <c r="E115" s="87"/>
      <c r="F115" s="88"/>
      <c r="G115" s="87"/>
      <c r="H115" s="88"/>
      <c r="I115" s="88"/>
      <c r="J115" s="362" t="s">
        <v>134</v>
      </c>
      <c r="K115" s="363" t="s">
        <v>135</v>
      </c>
      <c r="L115" s="363"/>
      <c r="M115" s="363"/>
      <c r="N115" s="363"/>
      <c r="O115" s="363" t="s">
        <v>136</v>
      </c>
      <c r="P115" s="363">
        <v>2017</v>
      </c>
      <c r="Q115" s="364" t="s">
        <v>187</v>
      </c>
      <c r="R115" s="365" t="s">
        <v>195</v>
      </c>
      <c r="S115" s="363">
        <v>400</v>
      </c>
      <c r="T115" s="363"/>
      <c r="U115" s="363" t="s">
        <v>189</v>
      </c>
      <c r="V115" s="363" t="s">
        <v>190</v>
      </c>
      <c r="W115" s="363" t="s">
        <v>149</v>
      </c>
      <c r="X115" s="363">
        <v>2020</v>
      </c>
      <c r="Y115" s="363"/>
      <c r="Z115" s="363" t="str">
        <f>VLOOKUP(R115,KEY_Processes!$B$4:$E$54,4,FALSE)</f>
        <v>HP_ELC_05</v>
      </c>
      <c r="AA115" s="363" t="str">
        <f>VLOOKUP(R115,KEY_Processes!$B$4:$E$54,2,FALSE)</f>
        <v>Electric heat pumps, Air-to-water</v>
      </c>
      <c r="AB115" s="363" t="str">
        <f>VLOOKUP(U115,KEY_FUELS!$C$4:$D$77,2,FALSE)</f>
        <v>ELC</v>
      </c>
      <c r="AC115" s="363" t="s">
        <v>150</v>
      </c>
      <c r="AD115" s="363" t="s">
        <v>158</v>
      </c>
      <c r="AE115" s="363" t="s">
        <v>152</v>
      </c>
      <c r="AF115" s="366" t="str">
        <f>VLOOKUP(W115,KEY_Other!$B$37:$C$89,2,FALSE)</f>
        <v>DK</v>
      </c>
      <c r="AG115" s="363"/>
      <c r="AH115" s="363" t="str">
        <f>AC115&amp;VLOOKUP(U115,KEY_FUELS!$C$4:$D$78,2,FALSE)</f>
        <v>RSDELC</v>
      </c>
      <c r="AI115" s="363" t="str">
        <f>IFERROR(AC115&amp;VLOOKUP(V115,KEY_FUELS!$C$4:$D$78,2,FALSE),"")</f>
        <v>RSDAHT</v>
      </c>
      <c r="AJ115" s="363" t="str">
        <f t="shared" ref="AJ115" si="37">LEFT(AC115,1)&amp;"H"&amp;AD115</f>
        <v>RHAPC</v>
      </c>
      <c r="AK115" s="363" t="str">
        <f t="shared" si="31"/>
        <v>RWAPC</v>
      </c>
      <c r="AL115" s="363" t="str">
        <f t="shared" si="32"/>
        <v/>
      </c>
      <c r="AM115" s="364">
        <v>31.536000000000001</v>
      </c>
      <c r="AN115" s="363">
        <f t="shared" si="33"/>
        <v>2020</v>
      </c>
      <c r="AO115" s="367"/>
      <c r="AP115" s="368"/>
      <c r="AQ115" s="370"/>
      <c r="AR115" s="370"/>
      <c r="AS115" s="370"/>
      <c r="AT115" s="370"/>
      <c r="AU115" s="371">
        <v>1</v>
      </c>
      <c r="AV115" s="371">
        <v>1</v>
      </c>
      <c r="AW115" s="371"/>
      <c r="AX115" s="372" t="s">
        <v>193</v>
      </c>
      <c r="AY115" s="368">
        <v>4.2</v>
      </c>
      <c r="AZ115" s="371">
        <v>4.2</v>
      </c>
      <c r="BA115" s="371">
        <v>4.4000000000000004</v>
      </c>
      <c r="BB115" s="372"/>
      <c r="BC115" s="373"/>
      <c r="BD115" s="373"/>
      <c r="BE115" s="374"/>
      <c r="BF115" s="363"/>
      <c r="BG115" s="363"/>
      <c r="BH115" s="375"/>
      <c r="BI115" s="363">
        <v>20</v>
      </c>
      <c r="BJ115" s="363"/>
      <c r="BK115" s="372">
        <v>141</v>
      </c>
      <c r="BL115" s="376"/>
      <c r="BM115" s="376"/>
      <c r="BN115" s="376"/>
      <c r="BO115" s="376"/>
      <c r="BP115" s="376"/>
      <c r="BQ115" s="376"/>
      <c r="BR115" s="368">
        <v>1650</v>
      </c>
      <c r="BS115" s="372">
        <v>0.4425</v>
      </c>
      <c r="BT115" s="364"/>
      <c r="BU115" s="372"/>
      <c r="BV115" s="364"/>
      <c r="BW115" s="364"/>
      <c r="BX115" s="397"/>
    </row>
    <row r="116" spans="1:76" s="226" customFormat="1" x14ac:dyDescent="0.3">
      <c r="A116" s="88"/>
      <c r="B116" s="87"/>
      <c r="C116" s="87"/>
      <c r="D116" s="87"/>
      <c r="E116" s="87"/>
      <c r="F116" s="88"/>
      <c r="G116" s="87"/>
      <c r="H116" s="88"/>
      <c r="I116" s="88"/>
      <c r="J116" s="378" t="s">
        <v>134</v>
      </c>
      <c r="K116" s="379" t="s">
        <v>135</v>
      </c>
      <c r="L116" s="379"/>
      <c r="M116" s="379"/>
      <c r="N116" s="379"/>
      <c r="O116" s="379" t="s">
        <v>136</v>
      </c>
      <c r="P116" s="379">
        <v>2017</v>
      </c>
      <c r="Q116" s="380" t="s">
        <v>187</v>
      </c>
      <c r="R116" s="381" t="s">
        <v>195</v>
      </c>
      <c r="S116" s="379">
        <v>400</v>
      </c>
      <c r="T116" s="379"/>
      <c r="U116" s="379" t="s">
        <v>189</v>
      </c>
      <c r="V116" s="379" t="s">
        <v>190</v>
      </c>
      <c r="W116" s="379" t="s">
        <v>149</v>
      </c>
      <c r="X116" s="379">
        <v>2030</v>
      </c>
      <c r="Y116" s="379"/>
      <c r="Z116" s="379" t="str">
        <f>VLOOKUP(R116,KEY_Processes!$B$4:$E$54,4,FALSE)</f>
        <v>HP_ELC_05</v>
      </c>
      <c r="AA116" s="379" t="str">
        <f>VLOOKUP(R116,KEY_Processes!$B$4:$E$54,2,FALSE)</f>
        <v>Electric heat pumps, Air-to-water</v>
      </c>
      <c r="AB116" s="379" t="str">
        <f>VLOOKUP(U116,KEY_FUELS!$C$4:$D$77,2,FALSE)</f>
        <v>ELC</v>
      </c>
      <c r="AC116" s="379" t="s">
        <v>150</v>
      </c>
      <c r="AD116" s="379" t="s">
        <v>158</v>
      </c>
      <c r="AE116" s="379" t="s">
        <v>152</v>
      </c>
      <c r="AF116" s="382" t="str">
        <f>VLOOKUP(W116,KEY_Other!$B$37:$C$89,2,FALSE)</f>
        <v>DK</v>
      </c>
      <c r="AG116" s="379"/>
      <c r="AH116" s="379" t="str">
        <f>AC116&amp;VLOOKUP(U116,KEY_FUELS!$C$4:$D$78,2,FALSE)</f>
        <v>RSDELC</v>
      </c>
      <c r="AI116" s="379" t="str">
        <f>IFERROR(AC116&amp;VLOOKUP(V116,KEY_FUELS!$C$4:$D$78,2,FALSE),"")</f>
        <v>RSDAHT</v>
      </c>
      <c r="AJ116" s="379" t="str">
        <f t="shared" si="3"/>
        <v>RHAPC</v>
      </c>
      <c r="AK116" s="379" t="str">
        <f t="shared" si="31"/>
        <v>RWAPC</v>
      </c>
      <c r="AL116" s="379" t="str">
        <f t="shared" si="32"/>
        <v/>
      </c>
      <c r="AM116" s="380">
        <v>31.536000000000001</v>
      </c>
      <c r="AN116" s="379">
        <f t="shared" si="33"/>
        <v>2030</v>
      </c>
      <c r="AO116" s="383"/>
      <c r="AP116" s="384"/>
      <c r="AQ116" s="386"/>
      <c r="AR116" s="386"/>
      <c r="AS116" s="386"/>
      <c r="AT116" s="386"/>
      <c r="AU116" s="387">
        <v>1</v>
      </c>
      <c r="AV116" s="387">
        <v>1</v>
      </c>
      <c r="AW116" s="387"/>
      <c r="AX116" s="388" t="s">
        <v>193</v>
      </c>
      <c r="AY116" s="384">
        <v>4.3</v>
      </c>
      <c r="AZ116" s="387">
        <v>4.3</v>
      </c>
      <c r="BA116" s="387">
        <v>4.5</v>
      </c>
      <c r="BB116" s="388"/>
      <c r="BC116" s="389"/>
      <c r="BD116" s="389"/>
      <c r="BE116" s="390"/>
      <c r="BF116" s="379"/>
      <c r="BG116" s="379"/>
      <c r="BH116" s="391"/>
      <c r="BI116" s="379">
        <v>20</v>
      </c>
      <c r="BJ116" s="379"/>
      <c r="BK116" s="388">
        <v>127</v>
      </c>
      <c r="BL116" s="392"/>
      <c r="BM116" s="392"/>
      <c r="BN116" s="392"/>
      <c r="BO116" s="392"/>
      <c r="BP116" s="392"/>
      <c r="BQ116" s="392"/>
      <c r="BR116" s="384">
        <v>1866</v>
      </c>
      <c r="BS116" s="388">
        <v>0.4425</v>
      </c>
      <c r="BT116" s="380"/>
      <c r="BU116" s="388"/>
      <c r="BV116" s="380"/>
      <c r="BW116" s="380"/>
      <c r="BX116" s="395"/>
    </row>
    <row r="117" spans="1:76" s="226" customFormat="1" x14ac:dyDescent="0.3">
      <c r="A117" s="88"/>
      <c r="B117" s="87"/>
      <c r="C117" s="87"/>
      <c r="D117" s="87"/>
      <c r="E117" s="87"/>
      <c r="F117" s="88"/>
      <c r="G117" s="87"/>
      <c r="H117" s="88"/>
      <c r="I117" s="88"/>
      <c r="J117" s="362" t="s">
        <v>134</v>
      </c>
      <c r="K117" s="363" t="s">
        <v>135</v>
      </c>
      <c r="L117" s="363"/>
      <c r="M117" s="363"/>
      <c r="N117" s="363"/>
      <c r="O117" s="363" t="s">
        <v>136</v>
      </c>
      <c r="P117" s="363">
        <v>2017</v>
      </c>
      <c r="Q117" s="364" t="s">
        <v>187</v>
      </c>
      <c r="R117" s="365" t="s">
        <v>195</v>
      </c>
      <c r="S117" s="363">
        <v>400</v>
      </c>
      <c r="T117" s="363"/>
      <c r="U117" s="363" t="s">
        <v>189</v>
      </c>
      <c r="V117" s="363" t="s">
        <v>190</v>
      </c>
      <c r="W117" s="363" t="s">
        <v>149</v>
      </c>
      <c r="X117" s="363">
        <v>2050</v>
      </c>
      <c r="Y117" s="363"/>
      <c r="Z117" s="363" t="str">
        <f>VLOOKUP(R117,KEY_Processes!$B$4:$E$54,4,FALSE)</f>
        <v>HP_ELC_05</v>
      </c>
      <c r="AA117" s="363" t="str">
        <f>VLOOKUP(R117,KEY_Processes!$B$4:$E$54,2,FALSE)</f>
        <v>Electric heat pumps, Air-to-water</v>
      </c>
      <c r="AB117" s="363" t="str">
        <f>VLOOKUP(U117,KEY_FUELS!$C$4:$D$77,2,FALSE)</f>
        <v>ELC</v>
      </c>
      <c r="AC117" s="363" t="s">
        <v>150</v>
      </c>
      <c r="AD117" s="363" t="s">
        <v>158</v>
      </c>
      <c r="AE117" s="363" t="s">
        <v>152</v>
      </c>
      <c r="AF117" s="366" t="str">
        <f>VLOOKUP(W117,KEY_Other!$B$37:$C$89,2,FALSE)</f>
        <v>DK</v>
      </c>
      <c r="AG117" s="363"/>
      <c r="AH117" s="363" t="str">
        <f>AC117&amp;VLOOKUP(U117,KEY_FUELS!$C$4:$D$78,2,FALSE)</f>
        <v>RSDELC</v>
      </c>
      <c r="AI117" s="363" t="str">
        <f>IFERROR(AC117&amp;VLOOKUP(V117,KEY_FUELS!$C$4:$D$78,2,FALSE),"")</f>
        <v>RSDAHT</v>
      </c>
      <c r="AJ117" s="363" t="str">
        <f t="shared" ref="AJ117" si="38">LEFT(AC117,1)&amp;"H"&amp;AD117</f>
        <v>RHAPC</v>
      </c>
      <c r="AK117" s="363" t="str">
        <f t="shared" si="31"/>
        <v>RWAPC</v>
      </c>
      <c r="AL117" s="363" t="str">
        <f t="shared" si="32"/>
        <v/>
      </c>
      <c r="AM117" s="364">
        <v>31.536000000000001</v>
      </c>
      <c r="AN117" s="363">
        <f t="shared" si="33"/>
        <v>2050</v>
      </c>
      <c r="AO117" s="367"/>
      <c r="AP117" s="368"/>
      <c r="AQ117" s="370"/>
      <c r="AR117" s="370"/>
      <c r="AS117" s="370"/>
      <c r="AT117" s="370"/>
      <c r="AU117" s="371">
        <v>1</v>
      </c>
      <c r="AV117" s="371">
        <v>1</v>
      </c>
      <c r="AW117" s="371"/>
      <c r="AX117" s="372" t="s">
        <v>193</v>
      </c>
      <c r="AY117" s="368">
        <v>4.5999999999999996</v>
      </c>
      <c r="AZ117" s="371">
        <v>4.5999999999999996</v>
      </c>
      <c r="BA117" s="371">
        <v>4.8</v>
      </c>
      <c r="BB117" s="372"/>
      <c r="BC117" s="373"/>
      <c r="BD117" s="373"/>
      <c r="BE117" s="374"/>
      <c r="BF117" s="363"/>
      <c r="BG117" s="363"/>
      <c r="BH117" s="375"/>
      <c r="BI117" s="363">
        <v>20</v>
      </c>
      <c r="BJ117" s="363"/>
      <c r="BK117" s="372">
        <v>114</v>
      </c>
      <c r="BL117" s="376"/>
      <c r="BM117" s="376"/>
      <c r="BN117" s="376"/>
      <c r="BO117" s="376"/>
      <c r="BP117" s="376"/>
      <c r="BQ117" s="376"/>
      <c r="BR117" s="368">
        <v>2411</v>
      </c>
      <c r="BS117" s="372">
        <v>0.4425</v>
      </c>
      <c r="BT117" s="364"/>
      <c r="BU117" s="372"/>
      <c r="BV117" s="364"/>
      <c r="BW117" s="364"/>
      <c r="BX117" s="397"/>
    </row>
    <row r="118" spans="1:76" s="226" customFormat="1" x14ac:dyDescent="0.3">
      <c r="A118" s="88"/>
      <c r="B118" s="87"/>
      <c r="C118" s="87"/>
      <c r="D118" s="87"/>
      <c r="E118" s="87"/>
      <c r="F118" s="88"/>
      <c r="G118" s="87"/>
      <c r="H118" s="88"/>
      <c r="I118" s="88"/>
      <c r="J118" s="378" t="s">
        <v>134</v>
      </c>
      <c r="K118" s="379" t="s">
        <v>135</v>
      </c>
      <c r="L118" s="379"/>
      <c r="M118" s="379"/>
      <c r="N118" s="379"/>
      <c r="O118" s="379" t="s">
        <v>136</v>
      </c>
      <c r="P118" s="379">
        <v>2017</v>
      </c>
      <c r="Q118" s="380" t="s">
        <v>187</v>
      </c>
      <c r="R118" s="381" t="s">
        <v>196</v>
      </c>
      <c r="S118" s="379">
        <v>160</v>
      </c>
      <c r="T118" s="379"/>
      <c r="U118" s="379" t="s">
        <v>189</v>
      </c>
      <c r="V118" s="379" t="s">
        <v>190</v>
      </c>
      <c r="W118" s="379" t="s">
        <v>149</v>
      </c>
      <c r="X118" s="379">
        <v>2015</v>
      </c>
      <c r="Y118" s="379"/>
      <c r="Z118" s="379" t="str">
        <f>VLOOKUP(R118,KEY_Processes!$B$4:$E$54,4,FALSE)</f>
        <v>HP_ELC_06</v>
      </c>
      <c r="AA118" s="379" t="str">
        <f>VLOOKUP(R118,KEY_Processes!$B$4:$E$54,2,FALSE)</f>
        <v>Electric heat pumps, Air-to-water</v>
      </c>
      <c r="AB118" s="379" t="str">
        <f>VLOOKUP(U118,KEY_FUELS!$C$4:$D$77,2,FALSE)</f>
        <v>ELC</v>
      </c>
      <c r="AC118" s="379" t="s">
        <v>150</v>
      </c>
      <c r="AD118" s="379" t="s">
        <v>161</v>
      </c>
      <c r="AE118" s="379" t="s">
        <v>152</v>
      </c>
      <c r="AF118" s="382" t="str">
        <f>VLOOKUP(W118,KEY_Other!$B$37:$C$89,2,FALSE)</f>
        <v>DK</v>
      </c>
      <c r="AG118" s="379"/>
      <c r="AH118" s="379" t="str">
        <f>AC118&amp;VLOOKUP(U118,KEY_FUELS!$C$4:$D$78,2,FALSE)</f>
        <v>RSDELC</v>
      </c>
      <c r="AI118" s="379" t="str">
        <f>IFERROR(AC118&amp;VLOOKUP(V118,KEY_FUELS!$C$4:$D$78,2,FALSE),"")</f>
        <v>RSDAHT</v>
      </c>
      <c r="AJ118" s="379" t="str">
        <f t="shared" si="3"/>
        <v>RHAPA</v>
      </c>
      <c r="AK118" s="379" t="str">
        <f t="shared" si="31"/>
        <v>RWAPA</v>
      </c>
      <c r="AL118" s="379" t="str">
        <f t="shared" si="32"/>
        <v/>
      </c>
      <c r="AM118" s="380">
        <v>31.536000000000001</v>
      </c>
      <c r="AN118" s="379">
        <f t="shared" si="33"/>
        <v>2015</v>
      </c>
      <c r="AO118" s="383"/>
      <c r="AP118" s="384"/>
      <c r="AQ118" s="386"/>
      <c r="AR118" s="386"/>
      <c r="AS118" s="386"/>
      <c r="AT118" s="386"/>
      <c r="AU118" s="387">
        <v>1</v>
      </c>
      <c r="AV118" s="387">
        <v>1</v>
      </c>
      <c r="AW118" s="387"/>
      <c r="AX118" s="388" t="s">
        <v>193</v>
      </c>
      <c r="AY118" s="384">
        <v>3.9</v>
      </c>
      <c r="AZ118" s="387">
        <v>3.9</v>
      </c>
      <c r="BA118" s="387">
        <v>4.4000000000000004</v>
      </c>
      <c r="BB118" s="388"/>
      <c r="BC118" s="389"/>
      <c r="BD118" s="389"/>
      <c r="BE118" s="390"/>
      <c r="BF118" s="379"/>
      <c r="BG118" s="379"/>
      <c r="BH118" s="391"/>
      <c r="BI118" s="379">
        <v>20</v>
      </c>
      <c r="BJ118" s="379"/>
      <c r="BK118" s="388">
        <v>75</v>
      </c>
      <c r="BL118" s="392"/>
      <c r="BM118" s="392"/>
      <c r="BN118" s="392"/>
      <c r="BO118" s="392"/>
      <c r="BP118" s="392"/>
      <c r="BQ118" s="392"/>
      <c r="BR118" s="384">
        <v>1640</v>
      </c>
      <c r="BS118" s="388">
        <v>0.4425</v>
      </c>
      <c r="BT118" s="380"/>
      <c r="BU118" s="388"/>
      <c r="BV118" s="380"/>
      <c r="BW118" s="380"/>
      <c r="BX118" s="395"/>
    </row>
    <row r="119" spans="1:76" s="226" customFormat="1" x14ac:dyDescent="0.3">
      <c r="A119" s="88"/>
      <c r="B119" s="87"/>
      <c r="C119" s="87"/>
      <c r="D119" s="87"/>
      <c r="E119" s="87"/>
      <c r="F119" s="88"/>
      <c r="G119" s="87"/>
      <c r="H119" s="88"/>
      <c r="I119" s="88"/>
      <c r="J119" s="362" t="s">
        <v>134</v>
      </c>
      <c r="K119" s="363" t="s">
        <v>135</v>
      </c>
      <c r="L119" s="363"/>
      <c r="M119" s="363"/>
      <c r="N119" s="363"/>
      <c r="O119" s="363" t="s">
        <v>136</v>
      </c>
      <c r="P119" s="363">
        <v>2017</v>
      </c>
      <c r="Q119" s="364" t="s">
        <v>187</v>
      </c>
      <c r="R119" s="365" t="s">
        <v>196</v>
      </c>
      <c r="S119" s="363">
        <v>160</v>
      </c>
      <c r="T119" s="363"/>
      <c r="U119" s="363" t="s">
        <v>189</v>
      </c>
      <c r="V119" s="363" t="s">
        <v>190</v>
      </c>
      <c r="W119" s="363" t="s">
        <v>149</v>
      </c>
      <c r="X119" s="363">
        <v>2020</v>
      </c>
      <c r="Y119" s="363"/>
      <c r="Z119" s="363" t="str">
        <f>VLOOKUP(R119,KEY_Processes!$B$4:$E$54,4,FALSE)</f>
        <v>HP_ELC_06</v>
      </c>
      <c r="AA119" s="363" t="str">
        <f>VLOOKUP(R119,KEY_Processes!$B$4:$E$54,2,FALSE)</f>
        <v>Electric heat pumps, Air-to-water</v>
      </c>
      <c r="AB119" s="363" t="str">
        <f>VLOOKUP(U119,KEY_FUELS!$C$4:$D$77,2,FALSE)</f>
        <v>ELC</v>
      </c>
      <c r="AC119" s="363" t="s">
        <v>150</v>
      </c>
      <c r="AD119" s="363" t="s">
        <v>161</v>
      </c>
      <c r="AE119" s="363" t="s">
        <v>152</v>
      </c>
      <c r="AF119" s="366" t="str">
        <f>VLOOKUP(W119,KEY_Other!$B$37:$C$89,2,FALSE)</f>
        <v>DK</v>
      </c>
      <c r="AG119" s="363"/>
      <c r="AH119" s="363" t="str">
        <f>AC119&amp;VLOOKUP(U119,KEY_FUELS!$C$4:$D$78,2,FALSE)</f>
        <v>RSDELC</v>
      </c>
      <c r="AI119" s="363" t="str">
        <f>IFERROR(AC119&amp;VLOOKUP(V119,KEY_FUELS!$C$4:$D$78,2,FALSE),"")</f>
        <v>RSDAHT</v>
      </c>
      <c r="AJ119" s="363" t="str">
        <f t="shared" ref="AJ119" si="39">LEFT(AC119,1)&amp;"H"&amp;AD119</f>
        <v>RHAPA</v>
      </c>
      <c r="AK119" s="363" t="str">
        <f t="shared" si="31"/>
        <v>RWAPA</v>
      </c>
      <c r="AL119" s="363" t="str">
        <f t="shared" si="32"/>
        <v/>
      </c>
      <c r="AM119" s="364">
        <v>31.536000000000001</v>
      </c>
      <c r="AN119" s="363">
        <f t="shared" si="33"/>
        <v>2020</v>
      </c>
      <c r="AO119" s="367"/>
      <c r="AP119" s="368"/>
      <c r="AQ119" s="370"/>
      <c r="AR119" s="370"/>
      <c r="AS119" s="370"/>
      <c r="AT119" s="370"/>
      <c r="AU119" s="371">
        <v>1</v>
      </c>
      <c r="AV119" s="371">
        <v>1</v>
      </c>
      <c r="AW119" s="371"/>
      <c r="AX119" s="372" t="s">
        <v>193</v>
      </c>
      <c r="AY119" s="368">
        <v>4</v>
      </c>
      <c r="AZ119" s="371">
        <v>4</v>
      </c>
      <c r="BA119" s="371">
        <v>4.5</v>
      </c>
      <c r="BB119" s="372"/>
      <c r="BC119" s="373"/>
      <c r="BD119" s="373"/>
      <c r="BE119" s="374"/>
      <c r="BF119" s="363"/>
      <c r="BG119" s="363"/>
      <c r="BH119" s="375"/>
      <c r="BI119" s="363">
        <v>20</v>
      </c>
      <c r="BJ119" s="363"/>
      <c r="BK119" s="372">
        <v>71</v>
      </c>
      <c r="BL119" s="376"/>
      <c r="BM119" s="376"/>
      <c r="BN119" s="376"/>
      <c r="BO119" s="376"/>
      <c r="BP119" s="376"/>
      <c r="BQ119" s="376"/>
      <c r="BR119" s="368">
        <v>1650</v>
      </c>
      <c r="BS119" s="372">
        <v>0.4425</v>
      </c>
      <c r="BT119" s="364"/>
      <c r="BU119" s="372"/>
      <c r="BV119" s="364"/>
      <c r="BW119" s="364"/>
      <c r="BX119" s="397"/>
    </row>
    <row r="120" spans="1:76" s="226" customFormat="1" x14ac:dyDescent="0.3">
      <c r="A120" s="88"/>
      <c r="B120" s="87"/>
      <c r="C120" s="87"/>
      <c r="D120" s="87"/>
      <c r="E120" s="87"/>
      <c r="F120" s="88"/>
      <c r="G120" s="87"/>
      <c r="H120" s="88"/>
      <c r="I120" s="88"/>
      <c r="J120" s="378" t="s">
        <v>134</v>
      </c>
      <c r="K120" s="379" t="s">
        <v>135</v>
      </c>
      <c r="L120" s="379"/>
      <c r="M120" s="379"/>
      <c r="N120" s="379"/>
      <c r="O120" s="379" t="s">
        <v>136</v>
      </c>
      <c r="P120" s="379">
        <v>2017</v>
      </c>
      <c r="Q120" s="380" t="s">
        <v>187</v>
      </c>
      <c r="R120" s="381" t="s">
        <v>196</v>
      </c>
      <c r="S120" s="379">
        <v>160</v>
      </c>
      <c r="T120" s="379"/>
      <c r="U120" s="379" t="s">
        <v>189</v>
      </c>
      <c r="V120" s="379" t="s">
        <v>190</v>
      </c>
      <c r="W120" s="379" t="s">
        <v>149</v>
      </c>
      <c r="X120" s="379">
        <v>2030</v>
      </c>
      <c r="Y120" s="379"/>
      <c r="Z120" s="379" t="str">
        <f>VLOOKUP(R120,KEY_Processes!$B$4:$E$54,4,FALSE)</f>
        <v>HP_ELC_06</v>
      </c>
      <c r="AA120" s="379" t="str">
        <f>VLOOKUP(R120,KEY_Processes!$B$4:$E$54,2,FALSE)</f>
        <v>Electric heat pumps, Air-to-water</v>
      </c>
      <c r="AB120" s="379" t="str">
        <f>VLOOKUP(U120,KEY_FUELS!$C$4:$D$77,2,FALSE)</f>
        <v>ELC</v>
      </c>
      <c r="AC120" s="379" t="s">
        <v>150</v>
      </c>
      <c r="AD120" s="379" t="s">
        <v>161</v>
      </c>
      <c r="AE120" s="379" t="s">
        <v>152</v>
      </c>
      <c r="AF120" s="382" t="str">
        <f>VLOOKUP(W120,KEY_Other!$B$37:$C$89,2,FALSE)</f>
        <v>DK</v>
      </c>
      <c r="AG120" s="379"/>
      <c r="AH120" s="379" t="str">
        <f>AC120&amp;VLOOKUP(U120,KEY_FUELS!$C$4:$D$78,2,FALSE)</f>
        <v>RSDELC</v>
      </c>
      <c r="AI120" s="379" t="str">
        <f>IFERROR(AC120&amp;VLOOKUP(V120,KEY_FUELS!$C$4:$D$78,2,FALSE),"")</f>
        <v>RSDAHT</v>
      </c>
      <c r="AJ120" s="379" t="str">
        <f t="shared" si="3"/>
        <v>RHAPA</v>
      </c>
      <c r="AK120" s="379" t="str">
        <f t="shared" si="31"/>
        <v>RWAPA</v>
      </c>
      <c r="AL120" s="379" t="str">
        <f t="shared" si="32"/>
        <v/>
      </c>
      <c r="AM120" s="380">
        <v>31.536000000000001</v>
      </c>
      <c r="AN120" s="379">
        <f t="shared" si="33"/>
        <v>2030</v>
      </c>
      <c r="AO120" s="383"/>
      <c r="AP120" s="384"/>
      <c r="AQ120" s="386"/>
      <c r="AR120" s="386"/>
      <c r="AS120" s="386"/>
      <c r="AT120" s="386"/>
      <c r="AU120" s="387">
        <v>1</v>
      </c>
      <c r="AV120" s="387">
        <v>1</v>
      </c>
      <c r="AW120" s="387"/>
      <c r="AX120" s="388" t="s">
        <v>193</v>
      </c>
      <c r="AY120" s="384">
        <v>4.05</v>
      </c>
      <c r="AZ120" s="387">
        <v>4.05</v>
      </c>
      <c r="BA120" s="387">
        <v>4.5999999999999996</v>
      </c>
      <c r="BB120" s="388"/>
      <c r="BC120" s="389"/>
      <c r="BD120" s="389"/>
      <c r="BE120" s="390"/>
      <c r="BF120" s="379"/>
      <c r="BG120" s="379"/>
      <c r="BH120" s="391"/>
      <c r="BI120" s="379">
        <v>20</v>
      </c>
      <c r="BJ120" s="379"/>
      <c r="BK120" s="388">
        <v>63</v>
      </c>
      <c r="BL120" s="392"/>
      <c r="BM120" s="392"/>
      <c r="BN120" s="392"/>
      <c r="BO120" s="392"/>
      <c r="BP120" s="392"/>
      <c r="BQ120" s="392"/>
      <c r="BR120" s="384">
        <v>1866</v>
      </c>
      <c r="BS120" s="388">
        <v>0.4425</v>
      </c>
      <c r="BT120" s="380"/>
      <c r="BU120" s="388"/>
      <c r="BV120" s="380"/>
      <c r="BW120" s="380"/>
      <c r="BX120" s="395"/>
    </row>
    <row r="121" spans="1:76" s="226" customFormat="1" x14ac:dyDescent="0.3">
      <c r="A121" s="88"/>
      <c r="B121" s="87"/>
      <c r="C121" s="87"/>
      <c r="D121" s="87"/>
      <c r="E121" s="87"/>
      <c r="F121" s="88"/>
      <c r="G121" s="87"/>
      <c r="H121" s="88"/>
      <c r="I121" s="88"/>
      <c r="J121" s="362" t="s">
        <v>134</v>
      </c>
      <c r="K121" s="363" t="s">
        <v>135</v>
      </c>
      <c r="L121" s="363"/>
      <c r="M121" s="363"/>
      <c r="N121" s="363"/>
      <c r="O121" s="363" t="s">
        <v>136</v>
      </c>
      <c r="P121" s="363">
        <v>2017</v>
      </c>
      <c r="Q121" s="364" t="s">
        <v>187</v>
      </c>
      <c r="R121" s="365" t="s">
        <v>196</v>
      </c>
      <c r="S121" s="363">
        <v>160</v>
      </c>
      <c r="T121" s="363"/>
      <c r="U121" s="363" t="s">
        <v>189</v>
      </c>
      <c r="V121" s="363" t="s">
        <v>190</v>
      </c>
      <c r="W121" s="363" t="s">
        <v>149</v>
      </c>
      <c r="X121" s="363">
        <v>2050</v>
      </c>
      <c r="Y121" s="363"/>
      <c r="Z121" s="363" t="str">
        <f>VLOOKUP(R121,KEY_Processes!$B$4:$E$54,4,FALSE)</f>
        <v>HP_ELC_06</v>
      </c>
      <c r="AA121" s="363" t="str">
        <f>VLOOKUP(R121,KEY_Processes!$B$4:$E$54,2,FALSE)</f>
        <v>Electric heat pumps, Air-to-water</v>
      </c>
      <c r="AB121" s="363" t="str">
        <f>VLOOKUP(U121,KEY_FUELS!$C$4:$D$77,2,FALSE)</f>
        <v>ELC</v>
      </c>
      <c r="AC121" s="363" t="s">
        <v>150</v>
      </c>
      <c r="AD121" s="363" t="s">
        <v>161</v>
      </c>
      <c r="AE121" s="363" t="s">
        <v>152</v>
      </c>
      <c r="AF121" s="366" t="str">
        <f>VLOOKUP(W121,KEY_Other!$B$37:$C$89,2,FALSE)</f>
        <v>DK</v>
      </c>
      <c r="AG121" s="363"/>
      <c r="AH121" s="363" t="str">
        <f>AC121&amp;VLOOKUP(U121,KEY_FUELS!$C$4:$D$78,2,FALSE)</f>
        <v>RSDELC</v>
      </c>
      <c r="AI121" s="363" t="str">
        <f>IFERROR(AC121&amp;VLOOKUP(V121,KEY_FUELS!$C$4:$D$78,2,FALSE),"")</f>
        <v>RSDAHT</v>
      </c>
      <c r="AJ121" s="363" t="str">
        <f t="shared" ref="AJ121" si="40">LEFT(AC121,1)&amp;"H"&amp;AD121</f>
        <v>RHAPA</v>
      </c>
      <c r="AK121" s="363" t="str">
        <f t="shared" si="31"/>
        <v>RWAPA</v>
      </c>
      <c r="AL121" s="363" t="str">
        <f t="shared" si="32"/>
        <v/>
      </c>
      <c r="AM121" s="364">
        <v>31.536000000000001</v>
      </c>
      <c r="AN121" s="363">
        <f t="shared" si="33"/>
        <v>2050</v>
      </c>
      <c r="AO121" s="367"/>
      <c r="AP121" s="368"/>
      <c r="AQ121" s="370"/>
      <c r="AR121" s="370"/>
      <c r="AS121" s="370"/>
      <c r="AT121" s="370"/>
      <c r="AU121" s="371">
        <v>1</v>
      </c>
      <c r="AV121" s="371">
        <v>1</v>
      </c>
      <c r="AW121" s="371"/>
      <c r="AX121" s="372" t="s">
        <v>193</v>
      </c>
      <c r="AY121" s="368">
        <v>4.0999999999999996</v>
      </c>
      <c r="AZ121" s="371">
        <v>4.0999999999999996</v>
      </c>
      <c r="BA121" s="371">
        <v>4.8</v>
      </c>
      <c r="BB121" s="372"/>
      <c r="BC121" s="373"/>
      <c r="BD121" s="373"/>
      <c r="BE121" s="374"/>
      <c r="BF121" s="363"/>
      <c r="BG121" s="363"/>
      <c r="BH121" s="375"/>
      <c r="BI121" s="363">
        <v>20</v>
      </c>
      <c r="BJ121" s="363"/>
      <c r="BK121" s="372">
        <v>57</v>
      </c>
      <c r="BL121" s="376"/>
      <c r="BM121" s="376"/>
      <c r="BN121" s="376"/>
      <c r="BO121" s="376"/>
      <c r="BP121" s="376"/>
      <c r="BQ121" s="376"/>
      <c r="BR121" s="368">
        <v>2411</v>
      </c>
      <c r="BS121" s="372">
        <v>0.4425</v>
      </c>
      <c r="BT121" s="364"/>
      <c r="BU121" s="372"/>
      <c r="BV121" s="364"/>
      <c r="BW121" s="364"/>
      <c r="BX121" s="397"/>
    </row>
    <row r="122" spans="1:76" s="226" customFormat="1" x14ac:dyDescent="0.3">
      <c r="A122" s="88"/>
      <c r="B122" s="87"/>
      <c r="C122" s="87"/>
      <c r="D122" s="87"/>
      <c r="E122" s="87"/>
      <c r="F122" s="88"/>
      <c r="G122" s="87"/>
      <c r="H122" s="88"/>
      <c r="I122" s="88"/>
      <c r="J122" s="378" t="s">
        <v>134</v>
      </c>
      <c r="K122" s="379" t="s">
        <v>135</v>
      </c>
      <c r="L122" s="379"/>
      <c r="M122" s="379"/>
      <c r="N122" s="379"/>
      <c r="O122" s="379" t="s">
        <v>136</v>
      </c>
      <c r="P122" s="379">
        <v>2017</v>
      </c>
      <c r="Q122" s="380" t="s">
        <v>187</v>
      </c>
      <c r="R122" s="381" t="s">
        <v>197</v>
      </c>
      <c r="S122" s="379">
        <v>10</v>
      </c>
      <c r="T122" s="379"/>
      <c r="U122" s="379" t="s">
        <v>189</v>
      </c>
      <c r="V122" s="379" t="s">
        <v>198</v>
      </c>
      <c r="W122" s="379" t="s">
        <v>149</v>
      </c>
      <c r="X122" s="379">
        <v>2015</v>
      </c>
      <c r="Y122" s="379"/>
      <c r="Z122" s="379" t="str">
        <f>VLOOKUP(R122,KEY_Processes!$B$4:$E$54,4,FALSE)</f>
        <v>HP_ELC_07</v>
      </c>
      <c r="AA122" s="379" t="str">
        <f>VLOOKUP(R122,KEY_Processes!$B$4:$E$54,2,FALSE)</f>
        <v>Electric heat pumps, Brine-to-water (ground source)</v>
      </c>
      <c r="AB122" s="379" t="str">
        <f>VLOOKUP(U122,KEY_FUELS!$C$4:$D$77,2,FALSE)</f>
        <v>ELC</v>
      </c>
      <c r="AC122" s="379" t="s">
        <v>150</v>
      </c>
      <c r="AD122" s="379" t="s">
        <v>220</v>
      </c>
      <c r="AE122" s="379" t="s">
        <v>152</v>
      </c>
      <c r="AF122" s="382" t="str">
        <f>VLOOKUP(W122,KEY_Other!$B$37:$C$89,2,FALSE)</f>
        <v>DK</v>
      </c>
      <c r="AG122" s="379"/>
      <c r="AH122" s="379" t="str">
        <f>AC122&amp;VLOOKUP(U122,KEY_FUELS!$C$4:$D$78,2,FALSE)</f>
        <v>RSDELC</v>
      </c>
      <c r="AI122" s="379" t="str">
        <f>IFERROR(AC122&amp;VLOOKUP(V122,KEY_FUELS!$C$4:$D$78,2,FALSE),"")</f>
        <v>RSDGEO</v>
      </c>
      <c r="AJ122" s="379" t="str">
        <f t="shared" si="3"/>
        <v>RHHSC</v>
      </c>
      <c r="AK122" s="379" t="str">
        <f t="shared" si="31"/>
        <v>RWHSC</v>
      </c>
      <c r="AL122" s="379" t="str">
        <f t="shared" si="32"/>
        <v/>
      </c>
      <c r="AM122" s="380">
        <v>31.536000000000001</v>
      </c>
      <c r="AN122" s="379">
        <f t="shared" si="33"/>
        <v>2015</v>
      </c>
      <c r="AO122" s="383"/>
      <c r="AP122" s="384"/>
      <c r="AQ122" s="386"/>
      <c r="AR122" s="386"/>
      <c r="AS122" s="386"/>
      <c r="AT122" s="386"/>
      <c r="AU122" s="387">
        <v>1</v>
      </c>
      <c r="AV122" s="387">
        <v>1</v>
      </c>
      <c r="AW122" s="387"/>
      <c r="AX122" s="388" t="s">
        <v>193</v>
      </c>
      <c r="AY122" s="384">
        <v>4.3</v>
      </c>
      <c r="AZ122" s="387">
        <v>4.3</v>
      </c>
      <c r="BA122" s="387">
        <v>4.4000000000000004</v>
      </c>
      <c r="BB122" s="388"/>
      <c r="BC122" s="389"/>
      <c r="BD122" s="389"/>
      <c r="BE122" s="390"/>
      <c r="BF122" s="379"/>
      <c r="BG122" s="379"/>
      <c r="BH122" s="391"/>
      <c r="BI122" s="379">
        <v>20</v>
      </c>
      <c r="BJ122" s="379"/>
      <c r="BK122" s="388">
        <v>16</v>
      </c>
      <c r="BL122" s="392"/>
      <c r="BM122" s="392"/>
      <c r="BN122" s="392"/>
      <c r="BO122" s="392"/>
      <c r="BP122" s="392"/>
      <c r="BQ122" s="392"/>
      <c r="BR122" s="384">
        <v>291</v>
      </c>
      <c r="BS122" s="388">
        <v>0</v>
      </c>
      <c r="BT122" s="380"/>
      <c r="BU122" s="388"/>
      <c r="BV122" s="380"/>
      <c r="BW122" s="380"/>
      <c r="BX122" s="395"/>
    </row>
    <row r="123" spans="1:76" s="226" customFormat="1" x14ac:dyDescent="0.3">
      <c r="A123" s="88"/>
      <c r="B123" s="87"/>
      <c r="C123" s="87"/>
      <c r="D123" s="87"/>
      <c r="E123" s="87"/>
      <c r="F123" s="88"/>
      <c r="G123" s="87"/>
      <c r="H123" s="88"/>
      <c r="I123" s="88"/>
      <c r="J123" s="362" t="s">
        <v>134</v>
      </c>
      <c r="K123" s="363" t="s">
        <v>135</v>
      </c>
      <c r="L123" s="363"/>
      <c r="M123" s="363"/>
      <c r="N123" s="363"/>
      <c r="O123" s="363" t="s">
        <v>136</v>
      </c>
      <c r="P123" s="363">
        <v>2017</v>
      </c>
      <c r="Q123" s="364" t="s">
        <v>187</v>
      </c>
      <c r="R123" s="365" t="s">
        <v>197</v>
      </c>
      <c r="S123" s="363">
        <v>10</v>
      </c>
      <c r="T123" s="363"/>
      <c r="U123" s="363" t="s">
        <v>189</v>
      </c>
      <c r="V123" s="363" t="s">
        <v>198</v>
      </c>
      <c r="W123" s="363" t="s">
        <v>149</v>
      </c>
      <c r="X123" s="363">
        <v>2020</v>
      </c>
      <c r="Y123" s="363"/>
      <c r="Z123" s="363" t="str">
        <f>VLOOKUP(R123,KEY_Processes!$B$4:$E$54,4,FALSE)</f>
        <v>HP_ELC_07</v>
      </c>
      <c r="AA123" s="363" t="str">
        <f>VLOOKUP(R123,KEY_Processes!$B$4:$E$54,2,FALSE)</f>
        <v>Electric heat pumps, Brine-to-water (ground source)</v>
      </c>
      <c r="AB123" s="363" t="str">
        <f>VLOOKUP(U123,KEY_FUELS!$C$4:$D$77,2,FALSE)</f>
        <v>ELC</v>
      </c>
      <c r="AC123" s="363" t="s">
        <v>150</v>
      </c>
      <c r="AD123" s="363" t="s">
        <v>220</v>
      </c>
      <c r="AE123" s="363" t="s">
        <v>152</v>
      </c>
      <c r="AF123" s="366" t="str">
        <f>VLOOKUP(W123,KEY_Other!$B$37:$C$89,2,FALSE)</f>
        <v>DK</v>
      </c>
      <c r="AG123" s="363"/>
      <c r="AH123" s="363" t="str">
        <f>AC123&amp;VLOOKUP(U123,KEY_FUELS!$C$4:$D$78,2,FALSE)</f>
        <v>RSDELC</v>
      </c>
      <c r="AI123" s="363" t="str">
        <f>IFERROR(AC123&amp;VLOOKUP(V123,KEY_FUELS!$C$4:$D$78,2,FALSE),"")</f>
        <v>RSDGEO</v>
      </c>
      <c r="AJ123" s="363" t="str">
        <f t="shared" ref="AJ123" si="41">LEFT(AC123,1)&amp;"H"&amp;AD123</f>
        <v>RHHSC</v>
      </c>
      <c r="AK123" s="363" t="str">
        <f t="shared" si="31"/>
        <v>RWHSC</v>
      </c>
      <c r="AL123" s="363" t="str">
        <f t="shared" si="32"/>
        <v/>
      </c>
      <c r="AM123" s="364">
        <v>31.536000000000001</v>
      </c>
      <c r="AN123" s="363">
        <f t="shared" si="33"/>
        <v>2020</v>
      </c>
      <c r="AO123" s="367"/>
      <c r="AP123" s="368"/>
      <c r="AQ123" s="370"/>
      <c r="AR123" s="370"/>
      <c r="AS123" s="370"/>
      <c r="AT123" s="370"/>
      <c r="AU123" s="371">
        <v>1</v>
      </c>
      <c r="AV123" s="371">
        <v>1</v>
      </c>
      <c r="AW123" s="371"/>
      <c r="AX123" s="372" t="s">
        <v>193</v>
      </c>
      <c r="AY123" s="368">
        <v>4.4000000000000004</v>
      </c>
      <c r="AZ123" s="371">
        <v>4.4000000000000004</v>
      </c>
      <c r="BA123" s="371">
        <v>4.5</v>
      </c>
      <c r="BB123" s="372"/>
      <c r="BC123" s="373"/>
      <c r="BD123" s="373"/>
      <c r="BE123" s="374"/>
      <c r="BF123" s="363"/>
      <c r="BG123" s="363"/>
      <c r="BH123" s="375"/>
      <c r="BI123" s="363">
        <v>20</v>
      </c>
      <c r="BJ123" s="363"/>
      <c r="BK123" s="372">
        <v>15</v>
      </c>
      <c r="BL123" s="376"/>
      <c r="BM123" s="376"/>
      <c r="BN123" s="376"/>
      <c r="BO123" s="376"/>
      <c r="BP123" s="376"/>
      <c r="BQ123" s="376"/>
      <c r="BR123" s="368">
        <v>278</v>
      </c>
      <c r="BS123" s="372">
        <v>0</v>
      </c>
      <c r="BT123" s="364"/>
      <c r="BU123" s="372"/>
      <c r="BV123" s="364"/>
      <c r="BW123" s="364"/>
      <c r="BX123" s="397"/>
    </row>
    <row r="124" spans="1:76" s="226" customFormat="1" x14ac:dyDescent="0.3">
      <c r="A124" s="88"/>
      <c r="B124" s="87"/>
      <c r="C124" s="87"/>
      <c r="D124" s="87"/>
      <c r="E124" s="87"/>
      <c r="F124" s="88"/>
      <c r="G124" s="87"/>
      <c r="H124" s="88"/>
      <c r="I124" s="88"/>
      <c r="J124" s="378" t="s">
        <v>134</v>
      </c>
      <c r="K124" s="379" t="s">
        <v>135</v>
      </c>
      <c r="L124" s="379"/>
      <c r="M124" s="379"/>
      <c r="N124" s="379"/>
      <c r="O124" s="379" t="s">
        <v>136</v>
      </c>
      <c r="P124" s="379">
        <v>2017</v>
      </c>
      <c r="Q124" s="380" t="s">
        <v>187</v>
      </c>
      <c r="R124" s="381" t="s">
        <v>197</v>
      </c>
      <c r="S124" s="379">
        <v>10</v>
      </c>
      <c r="T124" s="379"/>
      <c r="U124" s="379" t="s">
        <v>189</v>
      </c>
      <c r="V124" s="379" t="s">
        <v>198</v>
      </c>
      <c r="W124" s="379" t="s">
        <v>149</v>
      </c>
      <c r="X124" s="379">
        <v>2030</v>
      </c>
      <c r="Y124" s="379"/>
      <c r="Z124" s="379" t="str">
        <f>VLOOKUP(R124,KEY_Processes!$B$4:$E$54,4,FALSE)</f>
        <v>HP_ELC_07</v>
      </c>
      <c r="AA124" s="379" t="str">
        <f>VLOOKUP(R124,KEY_Processes!$B$4:$E$54,2,FALSE)</f>
        <v>Electric heat pumps, Brine-to-water (ground source)</v>
      </c>
      <c r="AB124" s="379" t="str">
        <f>VLOOKUP(U124,KEY_FUELS!$C$4:$D$77,2,FALSE)</f>
        <v>ELC</v>
      </c>
      <c r="AC124" s="379" t="s">
        <v>150</v>
      </c>
      <c r="AD124" s="379" t="s">
        <v>220</v>
      </c>
      <c r="AE124" s="379" t="s">
        <v>152</v>
      </c>
      <c r="AF124" s="382" t="str">
        <f>VLOOKUP(W124,KEY_Other!$B$37:$C$89,2,FALSE)</f>
        <v>DK</v>
      </c>
      <c r="AG124" s="379"/>
      <c r="AH124" s="379" t="str">
        <f>AC124&amp;VLOOKUP(U124,KEY_FUELS!$C$4:$D$78,2,FALSE)</f>
        <v>RSDELC</v>
      </c>
      <c r="AI124" s="379" t="str">
        <f>IFERROR(AC124&amp;VLOOKUP(V124,KEY_FUELS!$C$4:$D$78,2,FALSE),"")</f>
        <v>RSDGEO</v>
      </c>
      <c r="AJ124" s="379" t="str">
        <f t="shared" si="3"/>
        <v>RHHSC</v>
      </c>
      <c r="AK124" s="379" t="str">
        <f t="shared" si="31"/>
        <v>RWHSC</v>
      </c>
      <c r="AL124" s="379" t="str">
        <f t="shared" si="32"/>
        <v/>
      </c>
      <c r="AM124" s="380">
        <v>31.536000000000001</v>
      </c>
      <c r="AN124" s="379">
        <f t="shared" si="33"/>
        <v>2030</v>
      </c>
      <c r="AO124" s="383"/>
      <c r="AP124" s="384"/>
      <c r="AQ124" s="386"/>
      <c r="AR124" s="386"/>
      <c r="AS124" s="386"/>
      <c r="AT124" s="386"/>
      <c r="AU124" s="387">
        <v>1</v>
      </c>
      <c r="AV124" s="387">
        <v>1</v>
      </c>
      <c r="AW124" s="387"/>
      <c r="AX124" s="388" t="s">
        <v>193</v>
      </c>
      <c r="AY124" s="384">
        <v>4.5</v>
      </c>
      <c r="AZ124" s="387">
        <v>4.5</v>
      </c>
      <c r="BA124" s="387">
        <v>4.5999999999999996</v>
      </c>
      <c r="BB124" s="388"/>
      <c r="BC124" s="389"/>
      <c r="BD124" s="389"/>
      <c r="BE124" s="390"/>
      <c r="BF124" s="379"/>
      <c r="BG124" s="379"/>
      <c r="BH124" s="391"/>
      <c r="BI124" s="379">
        <v>20</v>
      </c>
      <c r="BJ124" s="379"/>
      <c r="BK124" s="388">
        <v>14</v>
      </c>
      <c r="BL124" s="392"/>
      <c r="BM124" s="392"/>
      <c r="BN124" s="392"/>
      <c r="BO124" s="392"/>
      <c r="BP124" s="392"/>
      <c r="BQ124" s="392"/>
      <c r="BR124" s="384">
        <v>255</v>
      </c>
      <c r="BS124" s="388">
        <v>0</v>
      </c>
      <c r="BT124" s="380"/>
      <c r="BU124" s="388"/>
      <c r="BV124" s="380"/>
      <c r="BW124" s="380"/>
      <c r="BX124" s="395"/>
    </row>
    <row r="125" spans="1:76" s="226" customFormat="1" x14ac:dyDescent="0.3">
      <c r="A125" s="88"/>
      <c r="B125" s="87"/>
      <c r="C125" s="87"/>
      <c r="D125" s="87"/>
      <c r="E125" s="87"/>
      <c r="F125" s="88"/>
      <c r="G125" s="87"/>
      <c r="H125" s="88"/>
      <c r="I125" s="88"/>
      <c r="J125" s="362" t="s">
        <v>134</v>
      </c>
      <c r="K125" s="363" t="s">
        <v>135</v>
      </c>
      <c r="L125" s="363"/>
      <c r="M125" s="363"/>
      <c r="N125" s="363"/>
      <c r="O125" s="363" t="s">
        <v>136</v>
      </c>
      <c r="P125" s="363">
        <v>2017</v>
      </c>
      <c r="Q125" s="364" t="s">
        <v>187</v>
      </c>
      <c r="R125" s="365" t="s">
        <v>197</v>
      </c>
      <c r="S125" s="363">
        <v>10</v>
      </c>
      <c r="T125" s="363"/>
      <c r="U125" s="363" t="s">
        <v>189</v>
      </c>
      <c r="V125" s="363" t="s">
        <v>198</v>
      </c>
      <c r="W125" s="363" t="s">
        <v>149</v>
      </c>
      <c r="X125" s="363">
        <v>2050</v>
      </c>
      <c r="Y125" s="363"/>
      <c r="Z125" s="363" t="str">
        <f>VLOOKUP(R125,KEY_Processes!$B$4:$E$54,4,FALSE)</f>
        <v>HP_ELC_07</v>
      </c>
      <c r="AA125" s="363" t="str">
        <f>VLOOKUP(R125,KEY_Processes!$B$4:$E$54,2,FALSE)</f>
        <v>Electric heat pumps, Brine-to-water (ground source)</v>
      </c>
      <c r="AB125" s="363" t="str">
        <f>VLOOKUP(U125,KEY_FUELS!$C$4:$D$77,2,FALSE)</f>
        <v>ELC</v>
      </c>
      <c r="AC125" s="363" t="s">
        <v>150</v>
      </c>
      <c r="AD125" s="363" t="s">
        <v>220</v>
      </c>
      <c r="AE125" s="363" t="s">
        <v>152</v>
      </c>
      <c r="AF125" s="366" t="str">
        <f>VLOOKUP(W125,KEY_Other!$B$37:$C$89,2,FALSE)</f>
        <v>DK</v>
      </c>
      <c r="AG125" s="363"/>
      <c r="AH125" s="363" t="str">
        <f>AC125&amp;VLOOKUP(U125,KEY_FUELS!$C$4:$D$78,2,FALSE)</f>
        <v>RSDELC</v>
      </c>
      <c r="AI125" s="363" t="str">
        <f>IFERROR(AC125&amp;VLOOKUP(V125,KEY_FUELS!$C$4:$D$78,2,FALSE),"")</f>
        <v>RSDGEO</v>
      </c>
      <c r="AJ125" s="363" t="str">
        <f t="shared" ref="AJ125" si="42">LEFT(AC125,1)&amp;"H"&amp;AD125</f>
        <v>RHHSC</v>
      </c>
      <c r="AK125" s="363" t="str">
        <f t="shared" si="31"/>
        <v>RWHSC</v>
      </c>
      <c r="AL125" s="363" t="str">
        <f t="shared" si="32"/>
        <v/>
      </c>
      <c r="AM125" s="364">
        <v>31.536000000000001</v>
      </c>
      <c r="AN125" s="363">
        <f t="shared" si="33"/>
        <v>2050</v>
      </c>
      <c r="AO125" s="367"/>
      <c r="AP125" s="368"/>
      <c r="AQ125" s="370"/>
      <c r="AR125" s="370"/>
      <c r="AS125" s="370"/>
      <c r="AT125" s="370"/>
      <c r="AU125" s="371">
        <v>1</v>
      </c>
      <c r="AV125" s="371">
        <v>1</v>
      </c>
      <c r="AW125" s="371"/>
      <c r="AX125" s="372" t="s">
        <v>193</v>
      </c>
      <c r="AY125" s="368">
        <v>4.75</v>
      </c>
      <c r="AZ125" s="371">
        <v>4.75</v>
      </c>
      <c r="BA125" s="371">
        <v>4.8499999999999996</v>
      </c>
      <c r="BB125" s="372"/>
      <c r="BC125" s="373"/>
      <c r="BD125" s="373"/>
      <c r="BE125" s="374"/>
      <c r="BF125" s="363"/>
      <c r="BG125" s="363"/>
      <c r="BH125" s="375"/>
      <c r="BI125" s="363">
        <v>20</v>
      </c>
      <c r="BJ125" s="363"/>
      <c r="BK125" s="372">
        <v>12</v>
      </c>
      <c r="BL125" s="376"/>
      <c r="BM125" s="376"/>
      <c r="BN125" s="376"/>
      <c r="BO125" s="376"/>
      <c r="BP125" s="376"/>
      <c r="BQ125" s="376"/>
      <c r="BR125" s="368">
        <v>239</v>
      </c>
      <c r="BS125" s="372">
        <v>0</v>
      </c>
      <c r="BT125" s="364"/>
      <c r="BU125" s="372"/>
      <c r="BV125" s="364"/>
      <c r="BW125" s="364"/>
      <c r="BX125" s="397"/>
    </row>
    <row r="126" spans="1:76" s="226" customFormat="1" x14ac:dyDescent="0.3">
      <c r="A126" s="88"/>
      <c r="B126" s="87"/>
      <c r="C126" s="87"/>
      <c r="D126" s="87"/>
      <c r="E126" s="87"/>
      <c r="F126" s="88"/>
      <c r="G126" s="87"/>
      <c r="H126" s="88"/>
      <c r="I126" s="88"/>
      <c r="J126" s="378" t="s">
        <v>134</v>
      </c>
      <c r="K126" s="379" t="s">
        <v>135</v>
      </c>
      <c r="L126" s="379"/>
      <c r="M126" s="379"/>
      <c r="N126" s="379"/>
      <c r="O126" s="379" t="s">
        <v>136</v>
      </c>
      <c r="P126" s="379">
        <v>2017</v>
      </c>
      <c r="Q126" s="380" t="s">
        <v>187</v>
      </c>
      <c r="R126" s="381" t="s">
        <v>199</v>
      </c>
      <c r="S126" s="379">
        <v>4</v>
      </c>
      <c r="T126" s="379"/>
      <c r="U126" s="379" t="s">
        <v>189</v>
      </c>
      <c r="V126" s="379" t="s">
        <v>198</v>
      </c>
      <c r="W126" s="379" t="s">
        <v>149</v>
      </c>
      <c r="X126" s="379">
        <v>2015</v>
      </c>
      <c r="Y126" s="379"/>
      <c r="Z126" s="379" t="str">
        <f>VLOOKUP(R126,KEY_Processes!$B$4:$E$54,4,FALSE)</f>
        <v>HP_ELC_08</v>
      </c>
      <c r="AA126" s="379" t="str">
        <f>VLOOKUP(R126,KEY_Processes!$B$4:$E$54,2,FALSE)</f>
        <v>Electric heat pumps, Brine-to-water (ground source)</v>
      </c>
      <c r="AB126" s="379" t="str">
        <f>VLOOKUP(U126,KEY_FUELS!$C$4:$D$77,2,FALSE)</f>
        <v>ELC</v>
      </c>
      <c r="AC126" s="379" t="s">
        <v>150</v>
      </c>
      <c r="AD126" s="379" t="s">
        <v>155</v>
      </c>
      <c r="AE126" s="379" t="s">
        <v>152</v>
      </c>
      <c r="AF126" s="382" t="str">
        <f>VLOOKUP(W126,KEY_Other!$B$37:$C$89,2,FALSE)</f>
        <v>DK</v>
      </c>
      <c r="AG126" s="379"/>
      <c r="AH126" s="379" t="str">
        <f>AC126&amp;VLOOKUP(U126,KEY_FUELS!$C$4:$D$78,2,FALSE)</f>
        <v>RSDELC</v>
      </c>
      <c r="AI126" s="379" t="str">
        <f>IFERROR(AC126&amp;VLOOKUP(V126,KEY_FUELS!$C$4:$D$78,2,FALSE),"")</f>
        <v>RSDGEO</v>
      </c>
      <c r="AJ126" s="379" t="str">
        <f t="shared" si="3"/>
        <v>RHHSA</v>
      </c>
      <c r="AK126" s="379" t="str">
        <f t="shared" si="31"/>
        <v>RWHSA</v>
      </c>
      <c r="AL126" s="379" t="str">
        <f t="shared" si="32"/>
        <v/>
      </c>
      <c r="AM126" s="380">
        <v>31.536000000000001</v>
      </c>
      <c r="AN126" s="379">
        <f t="shared" si="33"/>
        <v>2015</v>
      </c>
      <c r="AO126" s="383"/>
      <c r="AP126" s="384"/>
      <c r="AQ126" s="386"/>
      <c r="AR126" s="386"/>
      <c r="AS126" s="386"/>
      <c r="AT126" s="386"/>
      <c r="AU126" s="387">
        <v>1</v>
      </c>
      <c r="AV126" s="387">
        <v>1</v>
      </c>
      <c r="AW126" s="387"/>
      <c r="AX126" s="388" t="s">
        <v>193</v>
      </c>
      <c r="AY126" s="384">
        <v>3.35</v>
      </c>
      <c r="AZ126" s="387">
        <v>3.35</v>
      </c>
      <c r="BA126" s="387">
        <v>3.55</v>
      </c>
      <c r="BB126" s="388"/>
      <c r="BC126" s="389"/>
      <c r="BD126" s="389"/>
      <c r="BE126" s="390"/>
      <c r="BF126" s="379"/>
      <c r="BG126" s="379"/>
      <c r="BH126" s="391"/>
      <c r="BI126" s="379">
        <v>20</v>
      </c>
      <c r="BJ126" s="379"/>
      <c r="BK126" s="388">
        <v>12</v>
      </c>
      <c r="BL126" s="392"/>
      <c r="BM126" s="392"/>
      <c r="BN126" s="392"/>
      <c r="BO126" s="392"/>
      <c r="BP126" s="392"/>
      <c r="BQ126" s="392"/>
      <c r="BR126" s="384">
        <v>291</v>
      </c>
      <c r="BS126" s="388">
        <v>0</v>
      </c>
      <c r="BT126" s="380"/>
      <c r="BU126" s="388"/>
      <c r="BV126" s="380"/>
      <c r="BW126" s="380"/>
      <c r="BX126" s="395"/>
    </row>
    <row r="127" spans="1:76" s="226" customFormat="1" x14ac:dyDescent="0.3">
      <c r="A127" s="88"/>
      <c r="B127" s="87"/>
      <c r="C127" s="87"/>
      <c r="D127" s="87"/>
      <c r="E127" s="87"/>
      <c r="F127" s="88"/>
      <c r="G127" s="87"/>
      <c r="H127" s="88"/>
      <c r="I127" s="88"/>
      <c r="J127" s="362" t="s">
        <v>134</v>
      </c>
      <c r="K127" s="363" t="s">
        <v>135</v>
      </c>
      <c r="L127" s="363"/>
      <c r="M127" s="363"/>
      <c r="N127" s="363"/>
      <c r="O127" s="363" t="s">
        <v>136</v>
      </c>
      <c r="P127" s="363">
        <v>2017</v>
      </c>
      <c r="Q127" s="364" t="s">
        <v>187</v>
      </c>
      <c r="R127" s="365" t="s">
        <v>199</v>
      </c>
      <c r="S127" s="363">
        <v>4</v>
      </c>
      <c r="T127" s="363"/>
      <c r="U127" s="363" t="s">
        <v>189</v>
      </c>
      <c r="V127" s="363" t="s">
        <v>198</v>
      </c>
      <c r="W127" s="363" t="s">
        <v>149</v>
      </c>
      <c r="X127" s="363">
        <v>2020</v>
      </c>
      <c r="Y127" s="363"/>
      <c r="Z127" s="363" t="str">
        <f>VLOOKUP(R127,KEY_Processes!$B$4:$E$54,4,FALSE)</f>
        <v>HP_ELC_08</v>
      </c>
      <c r="AA127" s="363" t="str">
        <f>VLOOKUP(R127,KEY_Processes!$B$4:$E$54,2,FALSE)</f>
        <v>Electric heat pumps, Brine-to-water (ground source)</v>
      </c>
      <c r="AB127" s="363" t="str">
        <f>VLOOKUP(U127,KEY_FUELS!$C$4:$D$77,2,FALSE)</f>
        <v>ELC</v>
      </c>
      <c r="AC127" s="363" t="s">
        <v>150</v>
      </c>
      <c r="AD127" s="363" t="s">
        <v>155</v>
      </c>
      <c r="AE127" s="363" t="s">
        <v>152</v>
      </c>
      <c r="AF127" s="366" t="str">
        <f>VLOOKUP(W127,KEY_Other!$B$37:$C$89,2,FALSE)</f>
        <v>DK</v>
      </c>
      <c r="AG127" s="363"/>
      <c r="AH127" s="363" t="str">
        <f>AC127&amp;VLOOKUP(U127,KEY_FUELS!$C$4:$D$78,2,FALSE)</f>
        <v>RSDELC</v>
      </c>
      <c r="AI127" s="363" t="str">
        <f>IFERROR(AC127&amp;VLOOKUP(V127,KEY_FUELS!$C$4:$D$78,2,FALSE),"")</f>
        <v>RSDGEO</v>
      </c>
      <c r="AJ127" s="363" t="str">
        <f t="shared" si="3"/>
        <v>RHHSA</v>
      </c>
      <c r="AK127" s="363" t="str">
        <f t="shared" si="31"/>
        <v>RWHSA</v>
      </c>
      <c r="AL127" s="363" t="str">
        <f t="shared" si="32"/>
        <v/>
      </c>
      <c r="AM127" s="364">
        <v>31.536000000000001</v>
      </c>
      <c r="AN127" s="363">
        <f t="shared" si="33"/>
        <v>2020</v>
      </c>
      <c r="AO127" s="367"/>
      <c r="AP127" s="368"/>
      <c r="AQ127" s="370"/>
      <c r="AR127" s="370"/>
      <c r="AS127" s="370"/>
      <c r="AT127" s="370"/>
      <c r="AU127" s="371">
        <v>1</v>
      </c>
      <c r="AV127" s="371">
        <v>1</v>
      </c>
      <c r="AW127" s="371"/>
      <c r="AX127" s="372" t="s">
        <v>193</v>
      </c>
      <c r="AY127" s="368">
        <v>3.45</v>
      </c>
      <c r="AZ127" s="371">
        <v>3.45</v>
      </c>
      <c r="BA127" s="371">
        <v>3.65</v>
      </c>
      <c r="BB127" s="372"/>
      <c r="BC127" s="373"/>
      <c r="BD127" s="373"/>
      <c r="BE127" s="374"/>
      <c r="BF127" s="363"/>
      <c r="BG127" s="363"/>
      <c r="BH127" s="375"/>
      <c r="BI127" s="363">
        <v>20</v>
      </c>
      <c r="BJ127" s="363"/>
      <c r="BK127" s="372">
        <v>11</v>
      </c>
      <c r="BL127" s="376"/>
      <c r="BM127" s="376"/>
      <c r="BN127" s="376"/>
      <c r="BO127" s="376"/>
      <c r="BP127" s="376"/>
      <c r="BQ127" s="376"/>
      <c r="BR127" s="368">
        <v>278</v>
      </c>
      <c r="BS127" s="372">
        <v>0</v>
      </c>
      <c r="BT127" s="364"/>
      <c r="BU127" s="372"/>
      <c r="BV127" s="364"/>
      <c r="BW127" s="364"/>
      <c r="BX127" s="397"/>
    </row>
    <row r="128" spans="1:76" s="226" customFormat="1" x14ac:dyDescent="0.3">
      <c r="A128" s="88"/>
      <c r="B128" s="87"/>
      <c r="C128" s="87"/>
      <c r="D128" s="87"/>
      <c r="E128" s="87"/>
      <c r="F128" s="88"/>
      <c r="G128" s="87"/>
      <c r="H128" s="88"/>
      <c r="I128" s="88"/>
      <c r="J128" s="378" t="s">
        <v>134</v>
      </c>
      <c r="K128" s="379" t="s">
        <v>135</v>
      </c>
      <c r="L128" s="379"/>
      <c r="M128" s="379"/>
      <c r="N128" s="379"/>
      <c r="O128" s="379" t="s">
        <v>136</v>
      </c>
      <c r="P128" s="379">
        <v>2017</v>
      </c>
      <c r="Q128" s="380" t="s">
        <v>187</v>
      </c>
      <c r="R128" s="381" t="s">
        <v>199</v>
      </c>
      <c r="S128" s="379">
        <v>4</v>
      </c>
      <c r="T128" s="379"/>
      <c r="U128" s="379" t="s">
        <v>189</v>
      </c>
      <c r="V128" s="379" t="s">
        <v>198</v>
      </c>
      <c r="W128" s="379" t="s">
        <v>149</v>
      </c>
      <c r="X128" s="379">
        <v>2030</v>
      </c>
      <c r="Y128" s="379"/>
      <c r="Z128" s="379" t="str">
        <f>VLOOKUP(R128,KEY_Processes!$B$4:$E$54,4,FALSE)</f>
        <v>HP_ELC_08</v>
      </c>
      <c r="AA128" s="379" t="str">
        <f>VLOOKUP(R128,KEY_Processes!$B$4:$E$54,2,FALSE)</f>
        <v>Electric heat pumps, Brine-to-water (ground source)</v>
      </c>
      <c r="AB128" s="379" t="str">
        <f>VLOOKUP(U128,KEY_FUELS!$C$4:$D$77,2,FALSE)</f>
        <v>ELC</v>
      </c>
      <c r="AC128" s="379" t="s">
        <v>150</v>
      </c>
      <c r="AD128" s="379" t="s">
        <v>155</v>
      </c>
      <c r="AE128" s="379" t="s">
        <v>152</v>
      </c>
      <c r="AF128" s="382" t="str">
        <f>VLOOKUP(W128,KEY_Other!$B$37:$C$89,2,FALSE)</f>
        <v>DK</v>
      </c>
      <c r="AG128" s="379"/>
      <c r="AH128" s="379" t="str">
        <f>AC128&amp;VLOOKUP(U128,KEY_FUELS!$C$4:$D$78,2,FALSE)</f>
        <v>RSDELC</v>
      </c>
      <c r="AI128" s="379" t="str">
        <f>IFERROR(AC128&amp;VLOOKUP(V128,KEY_FUELS!$C$4:$D$78,2,FALSE),"")</f>
        <v>RSDGEO</v>
      </c>
      <c r="AJ128" s="379" t="str">
        <f t="shared" ref="AJ128" si="43">LEFT(AC128,1)&amp;"H"&amp;AD128</f>
        <v>RHHSA</v>
      </c>
      <c r="AK128" s="379" t="str">
        <f t="shared" si="31"/>
        <v>RWHSA</v>
      </c>
      <c r="AL128" s="379" t="str">
        <f t="shared" si="32"/>
        <v/>
      </c>
      <c r="AM128" s="380">
        <v>31.536000000000001</v>
      </c>
      <c r="AN128" s="379">
        <f t="shared" si="33"/>
        <v>2030</v>
      </c>
      <c r="AO128" s="383"/>
      <c r="AP128" s="384"/>
      <c r="AQ128" s="386"/>
      <c r="AR128" s="386"/>
      <c r="AS128" s="386"/>
      <c r="AT128" s="386"/>
      <c r="AU128" s="387">
        <v>1</v>
      </c>
      <c r="AV128" s="387">
        <v>1</v>
      </c>
      <c r="AW128" s="387"/>
      <c r="AX128" s="388" t="s">
        <v>193</v>
      </c>
      <c r="AY128" s="384">
        <v>3.6</v>
      </c>
      <c r="AZ128" s="387">
        <v>3.6</v>
      </c>
      <c r="BA128" s="387">
        <v>3.75</v>
      </c>
      <c r="BB128" s="388"/>
      <c r="BC128" s="389"/>
      <c r="BD128" s="389"/>
      <c r="BE128" s="390"/>
      <c r="BF128" s="379"/>
      <c r="BG128" s="379"/>
      <c r="BH128" s="391"/>
      <c r="BI128" s="379">
        <v>20</v>
      </c>
      <c r="BJ128" s="379"/>
      <c r="BK128" s="388">
        <v>10</v>
      </c>
      <c r="BL128" s="392"/>
      <c r="BM128" s="392"/>
      <c r="BN128" s="392"/>
      <c r="BO128" s="392"/>
      <c r="BP128" s="392"/>
      <c r="BQ128" s="392"/>
      <c r="BR128" s="384">
        <v>255</v>
      </c>
      <c r="BS128" s="388">
        <v>0</v>
      </c>
      <c r="BT128" s="380"/>
      <c r="BU128" s="388"/>
      <c r="BV128" s="380"/>
      <c r="BW128" s="380"/>
      <c r="BX128" s="395"/>
    </row>
    <row r="129" spans="1:76" s="226" customFormat="1" x14ac:dyDescent="0.3">
      <c r="A129" s="88"/>
      <c r="B129" s="87"/>
      <c r="C129" s="87"/>
      <c r="D129" s="87"/>
      <c r="E129" s="87"/>
      <c r="F129" s="88"/>
      <c r="G129" s="87"/>
      <c r="H129" s="88"/>
      <c r="I129" s="88"/>
      <c r="J129" s="362" t="s">
        <v>134</v>
      </c>
      <c r="K129" s="363" t="s">
        <v>135</v>
      </c>
      <c r="L129" s="363"/>
      <c r="M129" s="363"/>
      <c r="N129" s="363"/>
      <c r="O129" s="363" t="s">
        <v>136</v>
      </c>
      <c r="P129" s="363">
        <v>2017</v>
      </c>
      <c r="Q129" s="364" t="s">
        <v>187</v>
      </c>
      <c r="R129" s="365" t="s">
        <v>199</v>
      </c>
      <c r="S129" s="363">
        <v>4</v>
      </c>
      <c r="T129" s="363"/>
      <c r="U129" s="363" t="s">
        <v>189</v>
      </c>
      <c r="V129" s="363" t="s">
        <v>198</v>
      </c>
      <c r="W129" s="363" t="s">
        <v>149</v>
      </c>
      <c r="X129" s="363">
        <v>2050</v>
      </c>
      <c r="Y129" s="363"/>
      <c r="Z129" s="363" t="str">
        <f>VLOOKUP(R129,KEY_Processes!$B$4:$E$54,4,FALSE)</f>
        <v>HP_ELC_08</v>
      </c>
      <c r="AA129" s="363" t="str">
        <f>VLOOKUP(R129,KEY_Processes!$B$4:$E$54,2,FALSE)</f>
        <v>Electric heat pumps, Brine-to-water (ground source)</v>
      </c>
      <c r="AB129" s="363" t="str">
        <f>VLOOKUP(U129,KEY_FUELS!$C$4:$D$77,2,FALSE)</f>
        <v>ELC</v>
      </c>
      <c r="AC129" s="363" t="s">
        <v>150</v>
      </c>
      <c r="AD129" s="363" t="s">
        <v>155</v>
      </c>
      <c r="AE129" s="363" t="s">
        <v>152</v>
      </c>
      <c r="AF129" s="366" t="str">
        <f>VLOOKUP(W129,KEY_Other!$B$37:$C$89,2,FALSE)</f>
        <v>DK</v>
      </c>
      <c r="AG129" s="363"/>
      <c r="AH129" s="363" t="str">
        <f>AC129&amp;VLOOKUP(U129,KEY_FUELS!$C$4:$D$78,2,FALSE)</f>
        <v>RSDELC</v>
      </c>
      <c r="AI129" s="363" t="str">
        <f>IFERROR(AC129&amp;VLOOKUP(V129,KEY_FUELS!$C$4:$D$78,2,FALSE),"")</f>
        <v>RSDGEO</v>
      </c>
      <c r="AJ129" s="363" t="str">
        <f t="shared" ref="AJ129" si="44">LEFT(AC129,1)&amp;"H"&amp;AD129</f>
        <v>RHHSA</v>
      </c>
      <c r="AK129" s="363" t="str">
        <f t="shared" si="31"/>
        <v>RWHSA</v>
      </c>
      <c r="AL129" s="363" t="str">
        <f t="shared" si="32"/>
        <v/>
      </c>
      <c r="AM129" s="364">
        <v>31.536000000000001</v>
      </c>
      <c r="AN129" s="363">
        <f t="shared" si="33"/>
        <v>2050</v>
      </c>
      <c r="AO129" s="367"/>
      <c r="AP129" s="368"/>
      <c r="AQ129" s="370"/>
      <c r="AR129" s="370"/>
      <c r="AS129" s="370"/>
      <c r="AT129" s="370"/>
      <c r="AU129" s="371">
        <v>1</v>
      </c>
      <c r="AV129" s="371">
        <v>1</v>
      </c>
      <c r="AW129" s="371"/>
      <c r="AX129" s="372" t="s">
        <v>193</v>
      </c>
      <c r="AY129" s="368">
        <v>3.75</v>
      </c>
      <c r="AZ129" s="371">
        <v>3.75</v>
      </c>
      <c r="BA129" s="371">
        <v>3.9</v>
      </c>
      <c r="BB129" s="372"/>
      <c r="BC129" s="373"/>
      <c r="BD129" s="373"/>
      <c r="BE129" s="374"/>
      <c r="BF129" s="363"/>
      <c r="BG129" s="363"/>
      <c r="BH129" s="375"/>
      <c r="BI129" s="363">
        <v>20</v>
      </c>
      <c r="BJ129" s="363"/>
      <c r="BK129" s="372">
        <v>9</v>
      </c>
      <c r="BL129" s="376"/>
      <c r="BM129" s="376"/>
      <c r="BN129" s="376"/>
      <c r="BO129" s="376"/>
      <c r="BP129" s="376"/>
      <c r="BQ129" s="376"/>
      <c r="BR129" s="368">
        <v>239</v>
      </c>
      <c r="BS129" s="372">
        <v>0</v>
      </c>
      <c r="BT129" s="364"/>
      <c r="BU129" s="372"/>
      <c r="BV129" s="364"/>
      <c r="BW129" s="364"/>
      <c r="BX129" s="397"/>
    </row>
    <row r="130" spans="1:76" s="226" customFormat="1" x14ac:dyDescent="0.3">
      <c r="A130" s="88"/>
      <c r="B130" s="87"/>
      <c r="C130" s="87"/>
      <c r="D130" s="87"/>
      <c r="E130" s="87"/>
      <c r="F130" s="88"/>
      <c r="G130" s="87"/>
      <c r="H130" s="88"/>
      <c r="I130" s="88"/>
      <c r="J130" s="378" t="s">
        <v>134</v>
      </c>
      <c r="K130" s="379" t="s">
        <v>135</v>
      </c>
      <c r="L130" s="379"/>
      <c r="M130" s="379"/>
      <c r="N130" s="379"/>
      <c r="O130" s="379" t="s">
        <v>136</v>
      </c>
      <c r="P130" s="379">
        <v>2017</v>
      </c>
      <c r="Q130" s="380" t="s">
        <v>187</v>
      </c>
      <c r="R130" s="381" t="s">
        <v>200</v>
      </c>
      <c r="S130" s="379">
        <v>400</v>
      </c>
      <c r="T130" s="379"/>
      <c r="U130" s="379" t="s">
        <v>189</v>
      </c>
      <c r="V130" s="379" t="s">
        <v>198</v>
      </c>
      <c r="W130" s="379" t="s">
        <v>149</v>
      </c>
      <c r="X130" s="379">
        <v>2015</v>
      </c>
      <c r="Y130" s="379"/>
      <c r="Z130" s="379" t="str">
        <f>VLOOKUP(R130,KEY_Processes!$B$4:$E$54,4,FALSE)</f>
        <v>HP_ELC_09</v>
      </c>
      <c r="AA130" s="379" t="str">
        <f>VLOOKUP(R130,KEY_Processes!$B$4:$E$54,2,FALSE)</f>
        <v>Electric heat pumps, Brine-to-water (ground source)</v>
      </c>
      <c r="AB130" s="379" t="str">
        <f>VLOOKUP(U130,KEY_FUELS!$C$4:$D$77,2,FALSE)</f>
        <v>ELC</v>
      </c>
      <c r="AC130" s="379" t="s">
        <v>150</v>
      </c>
      <c r="AD130" s="379" t="s">
        <v>158</v>
      </c>
      <c r="AE130" s="379" t="s">
        <v>152</v>
      </c>
      <c r="AF130" s="382" t="str">
        <f>VLOOKUP(W130,KEY_Other!$B$37:$C$89,2,FALSE)</f>
        <v>DK</v>
      </c>
      <c r="AG130" s="379"/>
      <c r="AH130" s="379" t="str">
        <f>AC130&amp;VLOOKUP(U130,KEY_FUELS!$C$4:$D$78,2,FALSE)</f>
        <v>RSDELC</v>
      </c>
      <c r="AI130" s="379" t="str">
        <f>IFERROR(AC130&amp;VLOOKUP(V130,KEY_FUELS!$C$4:$D$78,2,FALSE),"")</f>
        <v>RSDGEO</v>
      </c>
      <c r="AJ130" s="379" t="str">
        <f t="shared" si="3"/>
        <v>RHAPC</v>
      </c>
      <c r="AK130" s="379" t="str">
        <f t="shared" si="31"/>
        <v>RWAPC</v>
      </c>
      <c r="AL130" s="379" t="str">
        <f t="shared" si="32"/>
        <v/>
      </c>
      <c r="AM130" s="380">
        <v>31.536000000000001</v>
      </c>
      <c r="AN130" s="379">
        <f t="shared" si="33"/>
        <v>2015</v>
      </c>
      <c r="AO130" s="383"/>
      <c r="AP130" s="384"/>
      <c r="AQ130" s="386"/>
      <c r="AR130" s="386"/>
      <c r="AS130" s="386"/>
      <c r="AT130" s="386"/>
      <c r="AU130" s="387">
        <v>1</v>
      </c>
      <c r="AV130" s="387">
        <v>1</v>
      </c>
      <c r="AW130" s="387"/>
      <c r="AX130" s="388" t="s">
        <v>193</v>
      </c>
      <c r="AY130" s="384">
        <v>4.5</v>
      </c>
      <c r="AZ130" s="387">
        <v>4.5</v>
      </c>
      <c r="BA130" s="387">
        <v>4.7</v>
      </c>
      <c r="BB130" s="388"/>
      <c r="BC130" s="389"/>
      <c r="BD130" s="389"/>
      <c r="BE130" s="390"/>
      <c r="BF130" s="379"/>
      <c r="BG130" s="379"/>
      <c r="BH130" s="391"/>
      <c r="BI130" s="379">
        <v>20</v>
      </c>
      <c r="BJ130" s="379"/>
      <c r="BK130" s="388">
        <v>265</v>
      </c>
      <c r="BL130" s="392"/>
      <c r="BM130" s="392"/>
      <c r="BN130" s="392"/>
      <c r="BO130" s="392"/>
      <c r="BP130" s="392"/>
      <c r="BQ130" s="392"/>
      <c r="BR130" s="384">
        <v>1640</v>
      </c>
      <c r="BS130" s="388">
        <v>0.4425</v>
      </c>
      <c r="BT130" s="380"/>
      <c r="BU130" s="388"/>
      <c r="BV130" s="380"/>
      <c r="BW130" s="380"/>
      <c r="BX130" s="395"/>
    </row>
    <row r="131" spans="1:76" s="226" customFormat="1" x14ac:dyDescent="0.3">
      <c r="A131" s="88"/>
      <c r="B131" s="87"/>
      <c r="C131" s="87"/>
      <c r="D131" s="87"/>
      <c r="E131" s="87"/>
      <c r="F131" s="88"/>
      <c r="G131" s="87"/>
      <c r="H131" s="88"/>
      <c r="I131" s="88"/>
      <c r="J131" s="362" t="s">
        <v>134</v>
      </c>
      <c r="K131" s="363" t="s">
        <v>135</v>
      </c>
      <c r="L131" s="363"/>
      <c r="M131" s="363"/>
      <c r="N131" s="363"/>
      <c r="O131" s="363" t="s">
        <v>136</v>
      </c>
      <c r="P131" s="363">
        <v>2017</v>
      </c>
      <c r="Q131" s="364" t="s">
        <v>187</v>
      </c>
      <c r="R131" s="365" t="s">
        <v>200</v>
      </c>
      <c r="S131" s="363">
        <v>400</v>
      </c>
      <c r="T131" s="363"/>
      <c r="U131" s="363" t="s">
        <v>189</v>
      </c>
      <c r="V131" s="363" t="s">
        <v>198</v>
      </c>
      <c r="W131" s="363" t="s">
        <v>149</v>
      </c>
      <c r="X131" s="363">
        <v>2020</v>
      </c>
      <c r="Y131" s="363"/>
      <c r="Z131" s="363" t="str">
        <f>VLOOKUP(R131,KEY_Processes!$B$4:$E$54,4,FALSE)</f>
        <v>HP_ELC_09</v>
      </c>
      <c r="AA131" s="363" t="str">
        <f>VLOOKUP(R131,KEY_Processes!$B$4:$E$54,2,FALSE)</f>
        <v>Electric heat pumps, Brine-to-water (ground source)</v>
      </c>
      <c r="AB131" s="363" t="str">
        <f>VLOOKUP(U131,KEY_FUELS!$C$4:$D$77,2,FALSE)</f>
        <v>ELC</v>
      </c>
      <c r="AC131" s="363" t="s">
        <v>150</v>
      </c>
      <c r="AD131" s="363" t="s">
        <v>158</v>
      </c>
      <c r="AE131" s="363" t="s">
        <v>152</v>
      </c>
      <c r="AF131" s="366" t="str">
        <f>VLOOKUP(W131,KEY_Other!$B$37:$C$89,2,FALSE)</f>
        <v>DK</v>
      </c>
      <c r="AG131" s="363"/>
      <c r="AH131" s="363" t="str">
        <f>AC131&amp;VLOOKUP(U131,KEY_FUELS!$C$4:$D$78,2,FALSE)</f>
        <v>RSDELC</v>
      </c>
      <c r="AI131" s="363" t="str">
        <f>IFERROR(AC131&amp;VLOOKUP(V131,KEY_FUELS!$C$4:$D$78,2,FALSE),"")</f>
        <v>RSDGEO</v>
      </c>
      <c r="AJ131" s="363" t="str">
        <f t="shared" ref="AJ131" si="45">LEFT(AC131,1)&amp;"H"&amp;AD131</f>
        <v>RHAPC</v>
      </c>
      <c r="AK131" s="363" t="str">
        <f t="shared" si="31"/>
        <v>RWAPC</v>
      </c>
      <c r="AL131" s="363" t="str">
        <f t="shared" si="32"/>
        <v/>
      </c>
      <c r="AM131" s="364">
        <v>31.536000000000001</v>
      </c>
      <c r="AN131" s="363">
        <f t="shared" si="33"/>
        <v>2020</v>
      </c>
      <c r="AO131" s="367"/>
      <c r="AP131" s="368"/>
      <c r="AQ131" s="370"/>
      <c r="AR131" s="370"/>
      <c r="AS131" s="370"/>
      <c r="AT131" s="370"/>
      <c r="AU131" s="371">
        <v>1</v>
      </c>
      <c r="AV131" s="371">
        <v>1</v>
      </c>
      <c r="AW131" s="371"/>
      <c r="AX131" s="372" t="s">
        <v>193</v>
      </c>
      <c r="AY131" s="368">
        <v>4.5999999999999996</v>
      </c>
      <c r="AZ131" s="371">
        <v>4.5999999999999996</v>
      </c>
      <c r="BA131" s="371">
        <v>4.8</v>
      </c>
      <c r="BB131" s="372"/>
      <c r="BC131" s="373"/>
      <c r="BD131" s="373"/>
      <c r="BE131" s="374"/>
      <c r="BF131" s="363"/>
      <c r="BG131" s="363"/>
      <c r="BH131" s="375"/>
      <c r="BI131" s="363">
        <v>20</v>
      </c>
      <c r="BJ131" s="363"/>
      <c r="BK131" s="372">
        <v>249</v>
      </c>
      <c r="BL131" s="376"/>
      <c r="BM131" s="376"/>
      <c r="BN131" s="376"/>
      <c r="BO131" s="376"/>
      <c r="BP131" s="376"/>
      <c r="BQ131" s="376"/>
      <c r="BR131" s="368">
        <v>1650</v>
      </c>
      <c r="BS131" s="372">
        <v>0.4425</v>
      </c>
      <c r="BT131" s="364"/>
      <c r="BU131" s="372"/>
      <c r="BV131" s="364"/>
      <c r="BW131" s="364"/>
      <c r="BX131" s="397"/>
    </row>
    <row r="132" spans="1:76" s="226" customFormat="1" x14ac:dyDescent="0.3">
      <c r="A132" s="88"/>
      <c r="B132" s="87"/>
      <c r="C132" s="87"/>
      <c r="D132" s="87"/>
      <c r="E132" s="87"/>
      <c r="F132" s="88"/>
      <c r="G132" s="87"/>
      <c r="H132" s="88"/>
      <c r="I132" s="88"/>
      <c r="J132" s="378" t="s">
        <v>134</v>
      </c>
      <c r="K132" s="379" t="s">
        <v>135</v>
      </c>
      <c r="L132" s="379"/>
      <c r="M132" s="379"/>
      <c r="N132" s="379"/>
      <c r="O132" s="379" t="s">
        <v>136</v>
      </c>
      <c r="P132" s="379">
        <v>2017</v>
      </c>
      <c r="Q132" s="380" t="s">
        <v>187</v>
      </c>
      <c r="R132" s="381" t="s">
        <v>200</v>
      </c>
      <c r="S132" s="379">
        <v>400</v>
      </c>
      <c r="T132" s="379"/>
      <c r="U132" s="379" t="s">
        <v>189</v>
      </c>
      <c r="V132" s="379" t="s">
        <v>198</v>
      </c>
      <c r="W132" s="379" t="s">
        <v>149</v>
      </c>
      <c r="X132" s="379">
        <v>2030</v>
      </c>
      <c r="Y132" s="379"/>
      <c r="Z132" s="379" t="str">
        <f>VLOOKUP(R132,KEY_Processes!$B$4:$E$54,4,FALSE)</f>
        <v>HP_ELC_09</v>
      </c>
      <c r="AA132" s="379" t="str">
        <f>VLOOKUP(R132,KEY_Processes!$B$4:$E$54,2,FALSE)</f>
        <v>Electric heat pumps, Brine-to-water (ground source)</v>
      </c>
      <c r="AB132" s="379" t="str">
        <f>VLOOKUP(U132,KEY_FUELS!$C$4:$D$77,2,FALSE)</f>
        <v>ELC</v>
      </c>
      <c r="AC132" s="379" t="s">
        <v>150</v>
      </c>
      <c r="AD132" s="379" t="s">
        <v>158</v>
      </c>
      <c r="AE132" s="379" t="s">
        <v>152</v>
      </c>
      <c r="AF132" s="382" t="str">
        <f>VLOOKUP(W132,KEY_Other!$B$37:$C$89,2,FALSE)</f>
        <v>DK</v>
      </c>
      <c r="AG132" s="379"/>
      <c r="AH132" s="379" t="str">
        <f>AC132&amp;VLOOKUP(U132,KEY_FUELS!$C$4:$D$78,2,FALSE)</f>
        <v>RSDELC</v>
      </c>
      <c r="AI132" s="379" t="str">
        <f>IFERROR(AC132&amp;VLOOKUP(V132,KEY_FUELS!$C$4:$D$78,2,FALSE),"")</f>
        <v>RSDGEO</v>
      </c>
      <c r="AJ132" s="379" t="str">
        <f t="shared" si="3"/>
        <v>RHAPC</v>
      </c>
      <c r="AK132" s="379" t="str">
        <f t="shared" si="31"/>
        <v>RWAPC</v>
      </c>
      <c r="AL132" s="379" t="str">
        <f t="shared" si="32"/>
        <v/>
      </c>
      <c r="AM132" s="380">
        <v>31.536000000000001</v>
      </c>
      <c r="AN132" s="379">
        <f t="shared" si="33"/>
        <v>2030</v>
      </c>
      <c r="AO132" s="383"/>
      <c r="AP132" s="384"/>
      <c r="AQ132" s="386"/>
      <c r="AR132" s="386"/>
      <c r="AS132" s="386"/>
      <c r="AT132" s="386"/>
      <c r="AU132" s="387">
        <v>1</v>
      </c>
      <c r="AV132" s="387">
        <v>1</v>
      </c>
      <c r="AW132" s="387"/>
      <c r="AX132" s="388" t="s">
        <v>193</v>
      </c>
      <c r="AY132" s="384">
        <v>4.7</v>
      </c>
      <c r="AZ132" s="387">
        <v>4.7</v>
      </c>
      <c r="BA132" s="387">
        <v>4.9000000000000004</v>
      </c>
      <c r="BB132" s="388"/>
      <c r="BC132" s="389"/>
      <c r="BD132" s="389"/>
      <c r="BE132" s="390"/>
      <c r="BF132" s="379"/>
      <c r="BG132" s="379"/>
      <c r="BH132" s="391"/>
      <c r="BI132" s="379">
        <v>20</v>
      </c>
      <c r="BJ132" s="379"/>
      <c r="BK132" s="388">
        <v>224</v>
      </c>
      <c r="BL132" s="392"/>
      <c r="BM132" s="392"/>
      <c r="BN132" s="392"/>
      <c r="BO132" s="392"/>
      <c r="BP132" s="392"/>
      <c r="BQ132" s="392"/>
      <c r="BR132" s="384">
        <v>1866</v>
      </c>
      <c r="BS132" s="388">
        <v>0.4425</v>
      </c>
      <c r="BT132" s="380"/>
      <c r="BU132" s="388"/>
      <c r="BV132" s="380"/>
      <c r="BW132" s="380"/>
      <c r="BX132" s="395"/>
    </row>
    <row r="133" spans="1:76" s="226" customFormat="1" x14ac:dyDescent="0.3">
      <c r="A133" s="88"/>
      <c r="B133" s="87"/>
      <c r="C133" s="87"/>
      <c r="D133" s="87"/>
      <c r="E133" s="87"/>
      <c r="F133" s="88"/>
      <c r="G133" s="87"/>
      <c r="H133" s="88"/>
      <c r="I133" s="88"/>
      <c r="J133" s="362" t="s">
        <v>134</v>
      </c>
      <c r="K133" s="363" t="s">
        <v>135</v>
      </c>
      <c r="L133" s="363"/>
      <c r="M133" s="363"/>
      <c r="N133" s="363"/>
      <c r="O133" s="363" t="s">
        <v>136</v>
      </c>
      <c r="P133" s="363">
        <v>2017</v>
      </c>
      <c r="Q133" s="364" t="s">
        <v>187</v>
      </c>
      <c r="R133" s="365" t="s">
        <v>200</v>
      </c>
      <c r="S133" s="363">
        <v>400</v>
      </c>
      <c r="T133" s="363"/>
      <c r="U133" s="363" t="s">
        <v>189</v>
      </c>
      <c r="V133" s="363" t="s">
        <v>198</v>
      </c>
      <c r="W133" s="363" t="s">
        <v>149</v>
      </c>
      <c r="X133" s="363">
        <v>2050</v>
      </c>
      <c r="Y133" s="363"/>
      <c r="Z133" s="363" t="str">
        <f>VLOOKUP(R133,KEY_Processes!$B$4:$E$54,4,FALSE)</f>
        <v>HP_ELC_09</v>
      </c>
      <c r="AA133" s="363" t="str">
        <f>VLOOKUP(R133,KEY_Processes!$B$4:$E$54,2,FALSE)</f>
        <v>Electric heat pumps, Brine-to-water (ground source)</v>
      </c>
      <c r="AB133" s="363" t="str">
        <f>VLOOKUP(U133,KEY_FUELS!$C$4:$D$77,2,FALSE)</f>
        <v>ELC</v>
      </c>
      <c r="AC133" s="363" t="s">
        <v>150</v>
      </c>
      <c r="AD133" s="363" t="s">
        <v>158</v>
      </c>
      <c r="AE133" s="363" t="s">
        <v>152</v>
      </c>
      <c r="AF133" s="366" t="str">
        <f>VLOOKUP(W133,KEY_Other!$B$37:$C$89,2,FALSE)</f>
        <v>DK</v>
      </c>
      <c r="AG133" s="363"/>
      <c r="AH133" s="363" t="str">
        <f>AC133&amp;VLOOKUP(U133,KEY_FUELS!$C$4:$D$78,2,FALSE)</f>
        <v>RSDELC</v>
      </c>
      <c r="AI133" s="363" t="str">
        <f>IFERROR(AC133&amp;VLOOKUP(V133,KEY_FUELS!$C$4:$D$78,2,FALSE),"")</f>
        <v>RSDGEO</v>
      </c>
      <c r="AJ133" s="363" t="str">
        <f t="shared" ref="AJ133" si="46">LEFT(AC133,1)&amp;"H"&amp;AD133</f>
        <v>RHAPC</v>
      </c>
      <c r="AK133" s="363" t="str">
        <f t="shared" si="31"/>
        <v>RWAPC</v>
      </c>
      <c r="AL133" s="363" t="str">
        <f t="shared" si="32"/>
        <v/>
      </c>
      <c r="AM133" s="364">
        <v>31.536000000000001</v>
      </c>
      <c r="AN133" s="363">
        <f t="shared" si="33"/>
        <v>2050</v>
      </c>
      <c r="AO133" s="367"/>
      <c r="AP133" s="368"/>
      <c r="AQ133" s="370"/>
      <c r="AR133" s="370"/>
      <c r="AS133" s="370"/>
      <c r="AT133" s="370"/>
      <c r="AU133" s="371">
        <v>1</v>
      </c>
      <c r="AV133" s="371">
        <v>1</v>
      </c>
      <c r="AW133" s="371"/>
      <c r="AX133" s="372" t="s">
        <v>193</v>
      </c>
      <c r="AY133" s="368">
        <v>4.9000000000000004</v>
      </c>
      <c r="AZ133" s="371">
        <v>4.9000000000000004</v>
      </c>
      <c r="BA133" s="371">
        <v>5.0999999999999996</v>
      </c>
      <c r="BB133" s="372"/>
      <c r="BC133" s="373"/>
      <c r="BD133" s="373"/>
      <c r="BE133" s="374"/>
      <c r="BF133" s="363"/>
      <c r="BG133" s="363"/>
      <c r="BH133" s="375"/>
      <c r="BI133" s="363">
        <v>20</v>
      </c>
      <c r="BJ133" s="363"/>
      <c r="BK133" s="372">
        <v>202</v>
      </c>
      <c r="BL133" s="376"/>
      <c r="BM133" s="376"/>
      <c r="BN133" s="376"/>
      <c r="BO133" s="376"/>
      <c r="BP133" s="376"/>
      <c r="BQ133" s="376"/>
      <c r="BR133" s="368">
        <v>2411</v>
      </c>
      <c r="BS133" s="372">
        <v>0.4425</v>
      </c>
      <c r="BT133" s="364"/>
      <c r="BU133" s="372"/>
      <c r="BV133" s="364"/>
      <c r="BW133" s="364"/>
      <c r="BX133" s="397"/>
    </row>
    <row r="134" spans="1:76" s="226" customFormat="1" x14ac:dyDescent="0.3">
      <c r="A134" s="88"/>
      <c r="B134" s="87"/>
      <c r="C134" s="87"/>
      <c r="D134" s="87"/>
      <c r="E134" s="87"/>
      <c r="F134" s="88"/>
      <c r="G134" s="87"/>
      <c r="H134" s="88"/>
      <c r="I134" s="88"/>
      <c r="J134" s="378" t="s">
        <v>134</v>
      </c>
      <c r="K134" s="379" t="s">
        <v>135</v>
      </c>
      <c r="L134" s="379"/>
      <c r="M134" s="379"/>
      <c r="N134" s="379"/>
      <c r="O134" s="379" t="s">
        <v>136</v>
      </c>
      <c r="P134" s="379">
        <v>2017</v>
      </c>
      <c r="Q134" s="380" t="s">
        <v>187</v>
      </c>
      <c r="R134" s="381" t="s">
        <v>201</v>
      </c>
      <c r="S134" s="379">
        <v>160</v>
      </c>
      <c r="T134" s="379"/>
      <c r="U134" s="379" t="s">
        <v>189</v>
      </c>
      <c r="V134" s="379" t="s">
        <v>198</v>
      </c>
      <c r="W134" s="379" t="s">
        <v>149</v>
      </c>
      <c r="X134" s="379">
        <v>2015</v>
      </c>
      <c r="Y134" s="379"/>
      <c r="Z134" s="379" t="str">
        <f>VLOOKUP(R134,KEY_Processes!$B$4:$E$54,4,FALSE)</f>
        <v>HP_ELC_10</v>
      </c>
      <c r="AA134" s="379" t="str">
        <f>VLOOKUP(R134,KEY_Processes!$B$4:$E$54,2,FALSE)</f>
        <v>Electric heat pumps, Brine-to-water (ground source)</v>
      </c>
      <c r="AB134" s="379" t="str">
        <f>VLOOKUP(U134,KEY_FUELS!$C$4:$D$77,2,FALSE)</f>
        <v>ELC</v>
      </c>
      <c r="AC134" s="379" t="s">
        <v>150</v>
      </c>
      <c r="AD134" s="379" t="s">
        <v>161</v>
      </c>
      <c r="AE134" s="379" t="s">
        <v>152</v>
      </c>
      <c r="AF134" s="382" t="str">
        <f>VLOOKUP(W134,KEY_Other!$B$37:$C$89,2,FALSE)</f>
        <v>DK</v>
      </c>
      <c r="AG134" s="379"/>
      <c r="AH134" s="379" t="str">
        <f>AC134&amp;VLOOKUP(U134,KEY_FUELS!$C$4:$D$78,2,FALSE)</f>
        <v>RSDELC</v>
      </c>
      <c r="AI134" s="379" t="str">
        <f>IFERROR(AC134&amp;VLOOKUP(V134,KEY_FUELS!$C$4:$D$78,2,FALSE),"")</f>
        <v>RSDGEO</v>
      </c>
      <c r="AJ134" s="379" t="str">
        <f t="shared" si="3"/>
        <v>RHAPA</v>
      </c>
      <c r="AK134" s="379" t="str">
        <f t="shared" si="31"/>
        <v>RWAPA</v>
      </c>
      <c r="AL134" s="379" t="str">
        <f t="shared" si="32"/>
        <v/>
      </c>
      <c r="AM134" s="380">
        <v>31.536000000000001</v>
      </c>
      <c r="AN134" s="379">
        <f t="shared" si="33"/>
        <v>2015</v>
      </c>
      <c r="AO134" s="383"/>
      <c r="AP134" s="384"/>
      <c r="AQ134" s="386"/>
      <c r="AR134" s="386"/>
      <c r="AS134" s="386"/>
      <c r="AT134" s="386"/>
      <c r="AU134" s="387">
        <v>1</v>
      </c>
      <c r="AV134" s="387">
        <v>1</v>
      </c>
      <c r="AW134" s="387"/>
      <c r="AX134" s="388" t="s">
        <v>193</v>
      </c>
      <c r="AY134" s="384">
        <v>4.3</v>
      </c>
      <c r="AZ134" s="387">
        <v>4.3</v>
      </c>
      <c r="BA134" s="387">
        <v>5</v>
      </c>
      <c r="BB134" s="388"/>
      <c r="BC134" s="389"/>
      <c r="BD134" s="389"/>
      <c r="BE134" s="390"/>
      <c r="BF134" s="379"/>
      <c r="BG134" s="379"/>
      <c r="BH134" s="391"/>
      <c r="BI134" s="379">
        <v>20</v>
      </c>
      <c r="BJ134" s="379"/>
      <c r="BK134" s="388">
        <v>95</v>
      </c>
      <c r="BL134" s="392"/>
      <c r="BM134" s="392"/>
      <c r="BN134" s="392"/>
      <c r="BO134" s="392"/>
      <c r="BP134" s="392"/>
      <c r="BQ134" s="392"/>
      <c r="BR134" s="384">
        <v>1640</v>
      </c>
      <c r="BS134" s="388">
        <v>0.4425</v>
      </c>
      <c r="BT134" s="380"/>
      <c r="BU134" s="388"/>
      <c r="BV134" s="380"/>
      <c r="BW134" s="380"/>
      <c r="BX134" s="395"/>
    </row>
    <row r="135" spans="1:76" s="226" customFormat="1" x14ac:dyDescent="0.3">
      <c r="A135" s="88"/>
      <c r="B135" s="87"/>
      <c r="C135" s="87"/>
      <c r="D135" s="87"/>
      <c r="E135" s="87"/>
      <c r="F135" s="88"/>
      <c r="G135" s="87"/>
      <c r="H135" s="88"/>
      <c r="I135" s="88"/>
      <c r="J135" s="362" t="s">
        <v>134</v>
      </c>
      <c r="K135" s="363" t="s">
        <v>135</v>
      </c>
      <c r="L135" s="363"/>
      <c r="M135" s="363"/>
      <c r="N135" s="363"/>
      <c r="O135" s="363" t="s">
        <v>136</v>
      </c>
      <c r="P135" s="363">
        <v>2017</v>
      </c>
      <c r="Q135" s="364" t="s">
        <v>187</v>
      </c>
      <c r="R135" s="365" t="s">
        <v>201</v>
      </c>
      <c r="S135" s="363">
        <v>160</v>
      </c>
      <c r="T135" s="363"/>
      <c r="U135" s="363" t="s">
        <v>189</v>
      </c>
      <c r="V135" s="363" t="s">
        <v>198</v>
      </c>
      <c r="W135" s="363" t="s">
        <v>149</v>
      </c>
      <c r="X135" s="363">
        <v>2020</v>
      </c>
      <c r="Y135" s="363"/>
      <c r="Z135" s="363" t="str">
        <f>VLOOKUP(R135,KEY_Processes!$B$4:$E$54,4,FALSE)</f>
        <v>HP_ELC_10</v>
      </c>
      <c r="AA135" s="363" t="str">
        <f>VLOOKUP(R135,KEY_Processes!$B$4:$E$54,2,FALSE)</f>
        <v>Electric heat pumps, Brine-to-water (ground source)</v>
      </c>
      <c r="AB135" s="363" t="str">
        <f>VLOOKUP(U135,KEY_FUELS!$C$4:$D$77,2,FALSE)</f>
        <v>ELC</v>
      </c>
      <c r="AC135" s="363" t="s">
        <v>150</v>
      </c>
      <c r="AD135" s="363" t="s">
        <v>161</v>
      </c>
      <c r="AE135" s="363" t="s">
        <v>152</v>
      </c>
      <c r="AF135" s="366" t="str">
        <f>VLOOKUP(W135,KEY_Other!$B$37:$C$89,2,FALSE)</f>
        <v>DK</v>
      </c>
      <c r="AG135" s="363"/>
      <c r="AH135" s="363" t="str">
        <f>AC135&amp;VLOOKUP(U135,KEY_FUELS!$C$4:$D$78,2,FALSE)</f>
        <v>RSDELC</v>
      </c>
      <c r="AI135" s="363" t="str">
        <f>IFERROR(AC135&amp;VLOOKUP(V135,KEY_FUELS!$C$4:$D$78,2,FALSE),"")</f>
        <v>RSDGEO</v>
      </c>
      <c r="AJ135" s="363" t="str">
        <f t="shared" ref="AJ135" si="47">LEFT(AC135,1)&amp;"H"&amp;AD135</f>
        <v>RHAPA</v>
      </c>
      <c r="AK135" s="363" t="str">
        <f t="shared" si="31"/>
        <v>RWAPA</v>
      </c>
      <c r="AL135" s="363" t="str">
        <f t="shared" si="32"/>
        <v/>
      </c>
      <c r="AM135" s="364">
        <v>31.536000000000001</v>
      </c>
      <c r="AN135" s="363">
        <f t="shared" si="33"/>
        <v>2020</v>
      </c>
      <c r="AO135" s="367"/>
      <c r="AP135" s="368"/>
      <c r="AQ135" s="370"/>
      <c r="AR135" s="370"/>
      <c r="AS135" s="370"/>
      <c r="AT135" s="370"/>
      <c r="AU135" s="371">
        <v>1</v>
      </c>
      <c r="AV135" s="371">
        <v>1</v>
      </c>
      <c r="AW135" s="371"/>
      <c r="AX135" s="372" t="s">
        <v>193</v>
      </c>
      <c r="AY135" s="368">
        <v>4.4000000000000004</v>
      </c>
      <c r="AZ135" s="371">
        <v>4.4000000000000004</v>
      </c>
      <c r="BA135" s="371">
        <v>5.0999999999999996</v>
      </c>
      <c r="BB135" s="372"/>
      <c r="BC135" s="373"/>
      <c r="BD135" s="373"/>
      <c r="BE135" s="374"/>
      <c r="BF135" s="363"/>
      <c r="BG135" s="363"/>
      <c r="BH135" s="375"/>
      <c r="BI135" s="363">
        <v>20</v>
      </c>
      <c r="BJ135" s="363"/>
      <c r="BK135" s="372">
        <v>89</v>
      </c>
      <c r="BL135" s="376"/>
      <c r="BM135" s="376"/>
      <c r="BN135" s="376"/>
      <c r="BO135" s="376"/>
      <c r="BP135" s="376"/>
      <c r="BQ135" s="376"/>
      <c r="BR135" s="368">
        <v>1650</v>
      </c>
      <c r="BS135" s="372">
        <v>0.4425</v>
      </c>
      <c r="BT135" s="364"/>
      <c r="BU135" s="372"/>
      <c r="BV135" s="364"/>
      <c r="BW135" s="364"/>
      <c r="BX135" s="397"/>
    </row>
    <row r="136" spans="1:76" s="226" customFormat="1" x14ac:dyDescent="0.3">
      <c r="A136" s="88"/>
      <c r="B136" s="87"/>
      <c r="C136" s="87"/>
      <c r="D136" s="87"/>
      <c r="E136" s="87"/>
      <c r="F136" s="88"/>
      <c r="G136" s="87"/>
      <c r="H136" s="88"/>
      <c r="I136" s="88"/>
      <c r="J136" s="378" t="s">
        <v>134</v>
      </c>
      <c r="K136" s="379" t="s">
        <v>135</v>
      </c>
      <c r="L136" s="379"/>
      <c r="M136" s="379"/>
      <c r="N136" s="379"/>
      <c r="O136" s="379" t="s">
        <v>136</v>
      </c>
      <c r="P136" s="379">
        <v>2017</v>
      </c>
      <c r="Q136" s="380" t="s">
        <v>187</v>
      </c>
      <c r="R136" s="381" t="s">
        <v>201</v>
      </c>
      <c r="S136" s="379">
        <v>160</v>
      </c>
      <c r="T136" s="379"/>
      <c r="U136" s="379" t="s">
        <v>189</v>
      </c>
      <c r="V136" s="379" t="s">
        <v>198</v>
      </c>
      <c r="W136" s="379" t="s">
        <v>149</v>
      </c>
      <c r="X136" s="379">
        <v>2030</v>
      </c>
      <c r="Y136" s="379"/>
      <c r="Z136" s="379" t="str">
        <f>VLOOKUP(R136,KEY_Processes!$B$4:$E$54,4,FALSE)</f>
        <v>HP_ELC_10</v>
      </c>
      <c r="AA136" s="379" t="str">
        <f>VLOOKUP(R136,KEY_Processes!$B$4:$E$54,2,FALSE)</f>
        <v>Electric heat pumps, Brine-to-water (ground source)</v>
      </c>
      <c r="AB136" s="379" t="str">
        <f>VLOOKUP(U136,KEY_FUELS!$C$4:$D$77,2,FALSE)</f>
        <v>ELC</v>
      </c>
      <c r="AC136" s="379" t="s">
        <v>150</v>
      </c>
      <c r="AD136" s="379" t="s">
        <v>161</v>
      </c>
      <c r="AE136" s="379" t="s">
        <v>152</v>
      </c>
      <c r="AF136" s="382" t="str">
        <f>VLOOKUP(W136,KEY_Other!$B$37:$C$89,2,FALSE)</f>
        <v>DK</v>
      </c>
      <c r="AG136" s="379"/>
      <c r="AH136" s="379" t="str">
        <f>AC136&amp;VLOOKUP(U136,KEY_FUELS!$C$4:$D$78,2,FALSE)</f>
        <v>RSDELC</v>
      </c>
      <c r="AI136" s="379" t="str">
        <f>IFERROR(AC136&amp;VLOOKUP(V136,KEY_FUELS!$C$4:$D$78,2,FALSE),"")</f>
        <v>RSDGEO</v>
      </c>
      <c r="AJ136" s="379" t="str">
        <f t="shared" si="3"/>
        <v>RHAPA</v>
      </c>
      <c r="AK136" s="379" t="str">
        <f t="shared" si="31"/>
        <v>RWAPA</v>
      </c>
      <c r="AL136" s="379" t="str">
        <f t="shared" si="32"/>
        <v/>
      </c>
      <c r="AM136" s="380">
        <v>31.536000000000001</v>
      </c>
      <c r="AN136" s="379">
        <f t="shared" si="33"/>
        <v>2030</v>
      </c>
      <c r="AO136" s="383"/>
      <c r="AP136" s="384"/>
      <c r="AQ136" s="386"/>
      <c r="AR136" s="386"/>
      <c r="AS136" s="386"/>
      <c r="AT136" s="386"/>
      <c r="AU136" s="387">
        <v>1</v>
      </c>
      <c r="AV136" s="387">
        <v>1</v>
      </c>
      <c r="AW136" s="387"/>
      <c r="AX136" s="388" t="s">
        <v>193</v>
      </c>
      <c r="AY136" s="384">
        <v>4.5</v>
      </c>
      <c r="AZ136" s="387">
        <v>4.5</v>
      </c>
      <c r="BA136" s="387">
        <v>5.2</v>
      </c>
      <c r="BB136" s="388"/>
      <c r="BC136" s="389"/>
      <c r="BD136" s="389"/>
      <c r="BE136" s="390"/>
      <c r="BF136" s="379"/>
      <c r="BG136" s="379"/>
      <c r="BH136" s="391"/>
      <c r="BI136" s="379">
        <v>20</v>
      </c>
      <c r="BJ136" s="379"/>
      <c r="BK136" s="388">
        <v>80</v>
      </c>
      <c r="BL136" s="392"/>
      <c r="BM136" s="392"/>
      <c r="BN136" s="392"/>
      <c r="BO136" s="392"/>
      <c r="BP136" s="392"/>
      <c r="BQ136" s="392"/>
      <c r="BR136" s="384">
        <v>1866</v>
      </c>
      <c r="BS136" s="388">
        <v>0.4425</v>
      </c>
      <c r="BT136" s="380"/>
      <c r="BU136" s="388"/>
      <c r="BV136" s="380"/>
      <c r="BW136" s="380"/>
      <c r="BX136" s="395"/>
    </row>
    <row r="137" spans="1:76" s="226" customFormat="1" x14ac:dyDescent="0.3">
      <c r="A137" s="88"/>
      <c r="B137" s="87"/>
      <c r="C137" s="87"/>
      <c r="D137" s="87"/>
      <c r="E137" s="87"/>
      <c r="F137" s="88"/>
      <c r="G137" s="87"/>
      <c r="H137" s="88"/>
      <c r="I137" s="88"/>
      <c r="J137" s="362" t="s">
        <v>134</v>
      </c>
      <c r="K137" s="363" t="s">
        <v>135</v>
      </c>
      <c r="L137" s="363"/>
      <c r="M137" s="363"/>
      <c r="N137" s="363"/>
      <c r="O137" s="363" t="s">
        <v>136</v>
      </c>
      <c r="P137" s="363">
        <v>2017</v>
      </c>
      <c r="Q137" s="364" t="s">
        <v>187</v>
      </c>
      <c r="R137" s="365" t="s">
        <v>201</v>
      </c>
      <c r="S137" s="363">
        <v>160</v>
      </c>
      <c r="T137" s="363"/>
      <c r="U137" s="363" t="s">
        <v>189</v>
      </c>
      <c r="V137" s="363" t="s">
        <v>198</v>
      </c>
      <c r="W137" s="363" t="s">
        <v>149</v>
      </c>
      <c r="X137" s="363">
        <v>2050</v>
      </c>
      <c r="Y137" s="363"/>
      <c r="Z137" s="363" t="str">
        <f>VLOOKUP(R137,KEY_Processes!$B$4:$E$54,4,FALSE)</f>
        <v>HP_ELC_10</v>
      </c>
      <c r="AA137" s="363" t="str">
        <f>VLOOKUP(R137,KEY_Processes!$B$4:$E$54,2,FALSE)</f>
        <v>Electric heat pumps, Brine-to-water (ground source)</v>
      </c>
      <c r="AB137" s="363" t="str">
        <f>VLOOKUP(U137,KEY_FUELS!$C$4:$D$77,2,FALSE)</f>
        <v>ELC</v>
      </c>
      <c r="AC137" s="363" t="s">
        <v>150</v>
      </c>
      <c r="AD137" s="363" t="s">
        <v>161</v>
      </c>
      <c r="AE137" s="363" t="s">
        <v>152</v>
      </c>
      <c r="AF137" s="366" t="str">
        <f>VLOOKUP(W137,KEY_Other!$B$37:$C$89,2,FALSE)</f>
        <v>DK</v>
      </c>
      <c r="AG137" s="363"/>
      <c r="AH137" s="363" t="str">
        <f>AC137&amp;VLOOKUP(U137,KEY_FUELS!$C$4:$D$78,2,FALSE)</f>
        <v>RSDELC</v>
      </c>
      <c r="AI137" s="363" t="str">
        <f>IFERROR(AC137&amp;VLOOKUP(V137,KEY_FUELS!$C$4:$D$78,2,FALSE),"")</f>
        <v>RSDGEO</v>
      </c>
      <c r="AJ137" s="363" t="str">
        <f t="shared" ref="AJ137" si="48">LEFT(AC137,1)&amp;"H"&amp;AD137</f>
        <v>RHAPA</v>
      </c>
      <c r="AK137" s="363" t="str">
        <f t="shared" si="31"/>
        <v>RWAPA</v>
      </c>
      <c r="AL137" s="363" t="str">
        <f t="shared" si="32"/>
        <v/>
      </c>
      <c r="AM137" s="364">
        <v>31.536000000000001</v>
      </c>
      <c r="AN137" s="363">
        <f t="shared" si="33"/>
        <v>2050</v>
      </c>
      <c r="AO137" s="367"/>
      <c r="AP137" s="368"/>
      <c r="AQ137" s="370"/>
      <c r="AR137" s="370"/>
      <c r="AS137" s="370"/>
      <c r="AT137" s="370"/>
      <c r="AU137" s="371">
        <v>1</v>
      </c>
      <c r="AV137" s="371">
        <v>1</v>
      </c>
      <c r="AW137" s="371"/>
      <c r="AX137" s="372" t="s">
        <v>193</v>
      </c>
      <c r="AY137" s="368">
        <v>4.5999999999999996</v>
      </c>
      <c r="AZ137" s="371">
        <v>4.5999999999999996</v>
      </c>
      <c r="BA137" s="371">
        <v>5.4</v>
      </c>
      <c r="BB137" s="372"/>
      <c r="BC137" s="373"/>
      <c r="BD137" s="373"/>
      <c r="BE137" s="374"/>
      <c r="BF137" s="363"/>
      <c r="BG137" s="363"/>
      <c r="BH137" s="375"/>
      <c r="BI137" s="363">
        <v>20</v>
      </c>
      <c r="BJ137" s="363"/>
      <c r="BK137" s="372">
        <v>72</v>
      </c>
      <c r="BL137" s="376"/>
      <c r="BM137" s="376"/>
      <c r="BN137" s="376"/>
      <c r="BO137" s="376"/>
      <c r="BP137" s="376"/>
      <c r="BQ137" s="376"/>
      <c r="BR137" s="368">
        <v>2411</v>
      </c>
      <c r="BS137" s="372">
        <v>0.4425</v>
      </c>
      <c r="BT137" s="364"/>
      <c r="BU137" s="372"/>
      <c r="BV137" s="364"/>
      <c r="BW137" s="364"/>
      <c r="BX137" s="397"/>
    </row>
    <row r="138" spans="1:76" s="226" customFormat="1" x14ac:dyDescent="0.3">
      <c r="A138" s="88"/>
      <c r="B138" s="87"/>
      <c r="C138" s="87"/>
      <c r="D138" s="87"/>
      <c r="E138" s="87"/>
      <c r="F138" s="88"/>
      <c r="G138" s="87"/>
      <c r="H138" s="88"/>
      <c r="I138" s="88"/>
      <c r="J138" s="378" t="s">
        <v>134</v>
      </c>
      <c r="K138" s="379" t="s">
        <v>135</v>
      </c>
      <c r="L138" s="379"/>
      <c r="M138" s="379"/>
      <c r="N138" s="379"/>
      <c r="O138" s="379" t="s">
        <v>136</v>
      </c>
      <c r="P138" s="379">
        <v>2017</v>
      </c>
      <c r="Q138" s="380" t="s">
        <v>187</v>
      </c>
      <c r="R138" s="381" t="s">
        <v>192</v>
      </c>
      <c r="S138" s="391">
        <v>10</v>
      </c>
      <c r="T138" s="391"/>
      <c r="U138" s="379" t="s">
        <v>189</v>
      </c>
      <c r="V138" s="379" t="s">
        <v>190</v>
      </c>
      <c r="W138" s="379" t="s">
        <v>149</v>
      </c>
      <c r="X138" s="379">
        <v>2015</v>
      </c>
      <c r="Y138" s="391"/>
      <c r="Z138" s="379" t="str">
        <f>VLOOKUP(R138,KEY_Processes!$B$4:$E$54,4,FALSE)</f>
        <v>HP_ELC_03</v>
      </c>
      <c r="AA138" s="379" t="str">
        <f>VLOOKUP(R138,KEY_Processes!$B$4:$E$54,2,FALSE)</f>
        <v>Electric heat pumps, Air-to-water</v>
      </c>
      <c r="AB138" s="379" t="str">
        <f>VLOOKUP(U138,KEY_FUELS!$C$4:$D$77,2,FALSE)</f>
        <v>ELC</v>
      </c>
      <c r="AC138" s="379" t="s">
        <v>150</v>
      </c>
      <c r="AD138" s="379" t="s">
        <v>220</v>
      </c>
      <c r="AE138" s="379" t="s">
        <v>152</v>
      </c>
      <c r="AF138" s="382" t="str">
        <f>VLOOKUP(W138,KEY_Other!$B$37:$C$89,2,FALSE)</f>
        <v>DK</v>
      </c>
      <c r="AG138" s="379"/>
      <c r="AH138" s="379" t="str">
        <f>AC138&amp;VLOOKUP(U138,KEY_FUELS!$C$4:$D$78,2,FALSE)</f>
        <v>RSDELC</v>
      </c>
      <c r="AI138" s="379" t="str">
        <f>IFERROR(AC138&amp;VLOOKUP(V138,KEY_FUELS!$C$4:$D$78,2,FALSE),"")</f>
        <v>RSDAHT</v>
      </c>
      <c r="AJ138" s="379" t="str">
        <f t="shared" ref="AJ138:AJ169" si="49">LEFT(AC138,1)&amp;"H"&amp;AD138</f>
        <v>RHHSC</v>
      </c>
      <c r="AK138" s="379" t="str">
        <f t="shared" ref="AK138:AK201" si="50">IF(AV138&gt;0,LEFT(AC138,1)&amp;"W"&amp;AD138,"")</f>
        <v>RWHSC</v>
      </c>
      <c r="AL138" s="379" t="str">
        <f t="shared" ref="AL138:AL201" si="51">IF(T138&gt;0,LEFT(AC138,1)&amp;"E"&amp;AD138,"")</f>
        <v/>
      </c>
      <c r="AM138" s="380">
        <v>31.536000000000001</v>
      </c>
      <c r="AN138" s="379">
        <f t="shared" si="33"/>
        <v>2015</v>
      </c>
      <c r="AO138" s="383"/>
      <c r="AP138" s="384"/>
      <c r="AQ138" s="386"/>
      <c r="AR138" s="386"/>
      <c r="AS138" s="386"/>
      <c r="AT138" s="386"/>
      <c r="AU138" s="387">
        <v>1</v>
      </c>
      <c r="AV138" s="387">
        <v>1</v>
      </c>
      <c r="AW138" s="387"/>
      <c r="AX138" s="388" t="s">
        <v>202</v>
      </c>
      <c r="AY138" s="384">
        <v>3.25</v>
      </c>
      <c r="AZ138" s="387">
        <v>3.25</v>
      </c>
      <c r="BA138" s="387">
        <v>3.3</v>
      </c>
      <c r="BB138" s="388"/>
      <c r="BC138" s="389"/>
      <c r="BD138" s="389"/>
      <c r="BE138" s="390"/>
      <c r="BF138" s="379"/>
      <c r="BG138" s="379"/>
      <c r="BH138" s="391"/>
      <c r="BI138" s="379">
        <v>18</v>
      </c>
      <c r="BJ138" s="379"/>
      <c r="BK138" s="388">
        <v>10</v>
      </c>
      <c r="BL138" s="392"/>
      <c r="BM138" s="392"/>
      <c r="BN138" s="392"/>
      <c r="BO138" s="392"/>
      <c r="BP138" s="392"/>
      <c r="BQ138" s="392"/>
      <c r="BR138" s="384">
        <v>291</v>
      </c>
      <c r="BS138" s="388">
        <v>0</v>
      </c>
      <c r="BT138" s="380"/>
      <c r="BU138" s="388"/>
      <c r="BV138" s="380"/>
      <c r="BW138" s="380"/>
      <c r="BX138" s="395"/>
    </row>
    <row r="139" spans="1:76" s="226" customFormat="1" x14ac:dyDescent="0.3">
      <c r="A139" s="88"/>
      <c r="B139" s="87"/>
      <c r="C139" s="87"/>
      <c r="D139" s="87"/>
      <c r="E139" s="87"/>
      <c r="F139" s="88"/>
      <c r="G139" s="87"/>
      <c r="H139" s="88"/>
      <c r="I139" s="88"/>
      <c r="J139" s="362" t="s">
        <v>134</v>
      </c>
      <c r="K139" s="363" t="s">
        <v>135</v>
      </c>
      <c r="L139" s="363"/>
      <c r="M139" s="363"/>
      <c r="N139" s="363"/>
      <c r="O139" s="363" t="s">
        <v>136</v>
      </c>
      <c r="P139" s="363">
        <v>2017</v>
      </c>
      <c r="Q139" s="364" t="s">
        <v>187</v>
      </c>
      <c r="R139" s="365" t="s">
        <v>192</v>
      </c>
      <c r="S139" s="375">
        <v>10</v>
      </c>
      <c r="T139" s="375"/>
      <c r="U139" s="363" t="s">
        <v>189</v>
      </c>
      <c r="V139" s="363" t="s">
        <v>190</v>
      </c>
      <c r="W139" s="363" t="s">
        <v>149</v>
      </c>
      <c r="X139" s="363">
        <v>2020</v>
      </c>
      <c r="Y139" s="375"/>
      <c r="Z139" s="363" t="str">
        <f>VLOOKUP(R139,KEY_Processes!$B$4:$E$54,4,FALSE)</f>
        <v>HP_ELC_03</v>
      </c>
      <c r="AA139" s="363" t="str">
        <f>VLOOKUP(R139,KEY_Processes!$B$4:$E$54,2,FALSE)</f>
        <v>Electric heat pumps, Air-to-water</v>
      </c>
      <c r="AB139" s="363" t="str">
        <f>VLOOKUP(U139,KEY_FUELS!$C$4:$D$77,2,FALSE)</f>
        <v>ELC</v>
      </c>
      <c r="AC139" s="363" t="s">
        <v>150</v>
      </c>
      <c r="AD139" s="363" t="s">
        <v>220</v>
      </c>
      <c r="AE139" s="363" t="s">
        <v>152</v>
      </c>
      <c r="AF139" s="366" t="str">
        <f>VLOOKUP(W139,KEY_Other!$B$37:$C$89,2,FALSE)</f>
        <v>DK</v>
      </c>
      <c r="AG139" s="363"/>
      <c r="AH139" s="363" t="str">
        <f>AC139&amp;VLOOKUP(U139,KEY_FUELS!$C$4:$D$78,2,FALSE)</f>
        <v>RSDELC</v>
      </c>
      <c r="AI139" s="363" t="str">
        <f>IFERROR(AC139&amp;VLOOKUP(V139,KEY_FUELS!$C$4:$D$78,2,FALSE),"")</f>
        <v>RSDAHT</v>
      </c>
      <c r="AJ139" s="363" t="str">
        <f t="shared" ref="AJ139" si="52">LEFT(AC139,1)&amp;"H"&amp;AD139</f>
        <v>RHHSC</v>
      </c>
      <c r="AK139" s="363" t="str">
        <f t="shared" si="50"/>
        <v>RWHSC</v>
      </c>
      <c r="AL139" s="363" t="str">
        <f t="shared" si="51"/>
        <v/>
      </c>
      <c r="AM139" s="364">
        <v>31.536000000000001</v>
      </c>
      <c r="AN139" s="363">
        <f t="shared" ref="AN139:AN202" si="53">IF(ISBLANK(X139),"2015",X139)</f>
        <v>2020</v>
      </c>
      <c r="AO139" s="367"/>
      <c r="AP139" s="368"/>
      <c r="AQ139" s="370"/>
      <c r="AR139" s="370"/>
      <c r="AS139" s="370"/>
      <c r="AT139" s="370"/>
      <c r="AU139" s="371">
        <v>1</v>
      </c>
      <c r="AV139" s="371">
        <v>1</v>
      </c>
      <c r="AW139" s="371"/>
      <c r="AX139" s="372" t="s">
        <v>202</v>
      </c>
      <c r="AY139" s="368">
        <v>3.35</v>
      </c>
      <c r="AZ139" s="371">
        <v>3.35</v>
      </c>
      <c r="BA139" s="371">
        <v>3.4</v>
      </c>
      <c r="BB139" s="372"/>
      <c r="BC139" s="373"/>
      <c r="BD139" s="373"/>
      <c r="BE139" s="374"/>
      <c r="BF139" s="363"/>
      <c r="BG139" s="363"/>
      <c r="BH139" s="375"/>
      <c r="BI139" s="363">
        <v>18</v>
      </c>
      <c r="BJ139" s="363"/>
      <c r="BK139" s="372">
        <v>9</v>
      </c>
      <c r="BL139" s="376"/>
      <c r="BM139" s="376"/>
      <c r="BN139" s="376"/>
      <c r="BO139" s="376"/>
      <c r="BP139" s="376"/>
      <c r="BQ139" s="376"/>
      <c r="BR139" s="368">
        <v>278</v>
      </c>
      <c r="BS139" s="372">
        <v>0</v>
      </c>
      <c r="BT139" s="364"/>
      <c r="BU139" s="372"/>
      <c r="BV139" s="364"/>
      <c r="BW139" s="364"/>
      <c r="BX139" s="397"/>
    </row>
    <row r="140" spans="1:76" s="226" customFormat="1" x14ac:dyDescent="0.3">
      <c r="A140" s="88"/>
      <c r="B140" s="87"/>
      <c r="C140" s="87"/>
      <c r="D140" s="87"/>
      <c r="E140" s="87"/>
      <c r="F140" s="88"/>
      <c r="G140" s="87"/>
      <c r="H140" s="88"/>
      <c r="I140" s="88"/>
      <c r="J140" s="378" t="s">
        <v>134</v>
      </c>
      <c r="K140" s="379" t="s">
        <v>135</v>
      </c>
      <c r="L140" s="379"/>
      <c r="M140" s="379"/>
      <c r="N140" s="379"/>
      <c r="O140" s="379" t="s">
        <v>136</v>
      </c>
      <c r="P140" s="379">
        <v>2017</v>
      </c>
      <c r="Q140" s="380" t="s">
        <v>187</v>
      </c>
      <c r="R140" s="381" t="s">
        <v>192</v>
      </c>
      <c r="S140" s="391">
        <v>10</v>
      </c>
      <c r="T140" s="391"/>
      <c r="U140" s="379" t="s">
        <v>189</v>
      </c>
      <c r="V140" s="379" t="s">
        <v>190</v>
      </c>
      <c r="W140" s="379" t="s">
        <v>149</v>
      </c>
      <c r="X140" s="379">
        <v>2030</v>
      </c>
      <c r="Y140" s="391"/>
      <c r="Z140" s="379" t="str">
        <f>VLOOKUP(R140,KEY_Processes!$B$4:$E$54,4,FALSE)</f>
        <v>HP_ELC_03</v>
      </c>
      <c r="AA140" s="379" t="str">
        <f>VLOOKUP(R140,KEY_Processes!$B$4:$E$54,2,FALSE)</f>
        <v>Electric heat pumps, Air-to-water</v>
      </c>
      <c r="AB140" s="379" t="str">
        <f>VLOOKUP(U140,KEY_FUELS!$C$4:$D$77,2,FALSE)</f>
        <v>ELC</v>
      </c>
      <c r="AC140" s="379" t="s">
        <v>150</v>
      </c>
      <c r="AD140" s="379" t="s">
        <v>220</v>
      </c>
      <c r="AE140" s="379" t="s">
        <v>152</v>
      </c>
      <c r="AF140" s="382" t="str">
        <f>VLOOKUP(W140,KEY_Other!$B$37:$C$89,2,FALSE)</f>
        <v>DK</v>
      </c>
      <c r="AG140" s="379"/>
      <c r="AH140" s="379" t="str">
        <f>AC140&amp;VLOOKUP(U140,KEY_FUELS!$C$4:$D$78,2,FALSE)</f>
        <v>RSDELC</v>
      </c>
      <c r="AI140" s="379" t="str">
        <f>IFERROR(AC140&amp;VLOOKUP(V140,KEY_FUELS!$C$4:$D$78,2,FALSE),"")</f>
        <v>RSDAHT</v>
      </c>
      <c r="AJ140" s="379" t="str">
        <f t="shared" si="49"/>
        <v>RHHSC</v>
      </c>
      <c r="AK140" s="379" t="str">
        <f t="shared" si="50"/>
        <v>RWHSC</v>
      </c>
      <c r="AL140" s="379" t="str">
        <f t="shared" si="51"/>
        <v/>
      </c>
      <c r="AM140" s="380">
        <v>31.536000000000001</v>
      </c>
      <c r="AN140" s="379">
        <f t="shared" si="53"/>
        <v>2030</v>
      </c>
      <c r="AO140" s="383"/>
      <c r="AP140" s="384"/>
      <c r="AQ140" s="386"/>
      <c r="AR140" s="386"/>
      <c r="AS140" s="386"/>
      <c r="AT140" s="386"/>
      <c r="AU140" s="387">
        <v>1</v>
      </c>
      <c r="AV140" s="387">
        <v>1</v>
      </c>
      <c r="AW140" s="387"/>
      <c r="AX140" s="388" t="s">
        <v>202</v>
      </c>
      <c r="AY140" s="384">
        <v>3.55</v>
      </c>
      <c r="AZ140" s="387">
        <v>3.55</v>
      </c>
      <c r="BA140" s="387">
        <v>3.6</v>
      </c>
      <c r="BB140" s="388"/>
      <c r="BC140" s="389"/>
      <c r="BD140" s="389"/>
      <c r="BE140" s="390"/>
      <c r="BF140" s="379"/>
      <c r="BG140" s="379"/>
      <c r="BH140" s="391"/>
      <c r="BI140" s="379">
        <v>18</v>
      </c>
      <c r="BJ140" s="379"/>
      <c r="BK140" s="388">
        <v>9</v>
      </c>
      <c r="BL140" s="392"/>
      <c r="BM140" s="392"/>
      <c r="BN140" s="392"/>
      <c r="BO140" s="392"/>
      <c r="BP140" s="392"/>
      <c r="BQ140" s="392"/>
      <c r="BR140" s="384">
        <v>255</v>
      </c>
      <c r="BS140" s="388">
        <v>0</v>
      </c>
      <c r="BT140" s="380"/>
      <c r="BU140" s="388"/>
      <c r="BV140" s="380"/>
      <c r="BW140" s="380"/>
      <c r="BX140" s="395"/>
    </row>
    <row r="141" spans="1:76" s="226" customFormat="1" x14ac:dyDescent="0.3">
      <c r="A141" s="88"/>
      <c r="B141" s="87"/>
      <c r="C141" s="87"/>
      <c r="D141" s="87"/>
      <c r="E141" s="87"/>
      <c r="F141" s="88"/>
      <c r="G141" s="87"/>
      <c r="H141" s="88"/>
      <c r="I141" s="88"/>
      <c r="J141" s="362" t="s">
        <v>134</v>
      </c>
      <c r="K141" s="363" t="s">
        <v>135</v>
      </c>
      <c r="L141" s="363"/>
      <c r="M141" s="363"/>
      <c r="N141" s="363"/>
      <c r="O141" s="363" t="s">
        <v>136</v>
      </c>
      <c r="P141" s="363">
        <v>2017</v>
      </c>
      <c r="Q141" s="364" t="s">
        <v>187</v>
      </c>
      <c r="R141" s="365" t="s">
        <v>192</v>
      </c>
      <c r="S141" s="375">
        <v>10</v>
      </c>
      <c r="T141" s="375"/>
      <c r="U141" s="363" t="s">
        <v>189</v>
      </c>
      <c r="V141" s="363" t="s">
        <v>190</v>
      </c>
      <c r="W141" s="363" t="s">
        <v>149</v>
      </c>
      <c r="X141" s="363">
        <v>2050</v>
      </c>
      <c r="Y141" s="375"/>
      <c r="Z141" s="363" t="str">
        <f>VLOOKUP(R141,KEY_Processes!$B$4:$E$54,4,FALSE)</f>
        <v>HP_ELC_03</v>
      </c>
      <c r="AA141" s="363" t="str">
        <f>VLOOKUP(R141,KEY_Processes!$B$4:$E$54,2,FALSE)</f>
        <v>Electric heat pumps, Air-to-water</v>
      </c>
      <c r="AB141" s="363" t="str">
        <f>VLOOKUP(U141,KEY_FUELS!$C$4:$D$77,2,FALSE)</f>
        <v>ELC</v>
      </c>
      <c r="AC141" s="363" t="s">
        <v>150</v>
      </c>
      <c r="AD141" s="363" t="s">
        <v>220</v>
      </c>
      <c r="AE141" s="363" t="s">
        <v>152</v>
      </c>
      <c r="AF141" s="366" t="str">
        <f>VLOOKUP(W141,KEY_Other!$B$37:$C$89,2,FALSE)</f>
        <v>DK</v>
      </c>
      <c r="AG141" s="363"/>
      <c r="AH141" s="363" t="str">
        <f>AC141&amp;VLOOKUP(U141,KEY_FUELS!$C$4:$D$78,2,FALSE)</f>
        <v>RSDELC</v>
      </c>
      <c r="AI141" s="363" t="str">
        <f>IFERROR(AC141&amp;VLOOKUP(V141,KEY_FUELS!$C$4:$D$78,2,FALSE),"")</f>
        <v>RSDAHT</v>
      </c>
      <c r="AJ141" s="363" t="str">
        <f t="shared" ref="AJ141" si="54">LEFT(AC141,1)&amp;"H"&amp;AD141</f>
        <v>RHHSC</v>
      </c>
      <c r="AK141" s="363" t="str">
        <f t="shared" si="50"/>
        <v>RWHSC</v>
      </c>
      <c r="AL141" s="363" t="str">
        <f t="shared" si="51"/>
        <v/>
      </c>
      <c r="AM141" s="364">
        <v>31.536000000000001</v>
      </c>
      <c r="AN141" s="363">
        <f t="shared" si="53"/>
        <v>2050</v>
      </c>
      <c r="AO141" s="367"/>
      <c r="AP141" s="368"/>
      <c r="AQ141" s="370"/>
      <c r="AR141" s="370"/>
      <c r="AS141" s="370"/>
      <c r="AT141" s="370"/>
      <c r="AU141" s="371">
        <v>1</v>
      </c>
      <c r="AV141" s="371">
        <v>1</v>
      </c>
      <c r="AW141" s="371"/>
      <c r="AX141" s="372" t="s">
        <v>202</v>
      </c>
      <c r="AY141" s="368">
        <v>3.7</v>
      </c>
      <c r="AZ141" s="371">
        <v>3.7</v>
      </c>
      <c r="BA141" s="371">
        <v>3.8</v>
      </c>
      <c r="BB141" s="372"/>
      <c r="BC141" s="373"/>
      <c r="BD141" s="373"/>
      <c r="BE141" s="374"/>
      <c r="BF141" s="363"/>
      <c r="BG141" s="363"/>
      <c r="BH141" s="375"/>
      <c r="BI141" s="363">
        <v>18</v>
      </c>
      <c r="BJ141" s="363"/>
      <c r="BK141" s="372">
        <v>8</v>
      </c>
      <c r="BL141" s="376"/>
      <c r="BM141" s="376"/>
      <c r="BN141" s="376"/>
      <c r="BO141" s="376"/>
      <c r="BP141" s="376"/>
      <c r="BQ141" s="376"/>
      <c r="BR141" s="368">
        <v>239</v>
      </c>
      <c r="BS141" s="372">
        <v>0</v>
      </c>
      <c r="BT141" s="364"/>
      <c r="BU141" s="372"/>
      <c r="BV141" s="364"/>
      <c r="BW141" s="364"/>
      <c r="BX141" s="397"/>
    </row>
    <row r="142" spans="1:76" s="226" customFormat="1" x14ac:dyDescent="0.3">
      <c r="A142" s="88"/>
      <c r="B142" s="87"/>
      <c r="C142" s="87"/>
      <c r="D142" s="87"/>
      <c r="E142" s="87"/>
      <c r="F142" s="88"/>
      <c r="G142" s="87"/>
      <c r="H142" s="88"/>
      <c r="I142" s="88"/>
      <c r="J142" s="378" t="s">
        <v>134</v>
      </c>
      <c r="K142" s="379" t="s">
        <v>135</v>
      </c>
      <c r="L142" s="379"/>
      <c r="M142" s="379"/>
      <c r="N142" s="379"/>
      <c r="O142" s="379" t="s">
        <v>136</v>
      </c>
      <c r="P142" s="379">
        <v>2017</v>
      </c>
      <c r="Q142" s="380" t="s">
        <v>187</v>
      </c>
      <c r="R142" s="381" t="s">
        <v>194</v>
      </c>
      <c r="S142" s="379">
        <v>4</v>
      </c>
      <c r="T142" s="379"/>
      <c r="U142" s="379" t="s">
        <v>189</v>
      </c>
      <c r="V142" s="379" t="s">
        <v>190</v>
      </c>
      <c r="W142" s="379" t="s">
        <v>149</v>
      </c>
      <c r="X142" s="379">
        <v>2015</v>
      </c>
      <c r="Y142" s="379"/>
      <c r="Z142" s="379" t="str">
        <f>VLOOKUP(R142,KEY_Processes!$B$4:$E$54,4,FALSE)</f>
        <v>HP_ELC_04</v>
      </c>
      <c r="AA142" s="379" t="str">
        <f>VLOOKUP(R142,KEY_Processes!$B$4:$E$54,2,FALSE)</f>
        <v>Electric heat pumps, Air-to-water</v>
      </c>
      <c r="AB142" s="379" t="str">
        <f>VLOOKUP(U142,KEY_FUELS!$C$4:$D$77,2,FALSE)</f>
        <v>ELC</v>
      </c>
      <c r="AC142" s="379" t="s">
        <v>150</v>
      </c>
      <c r="AD142" s="379" t="s">
        <v>155</v>
      </c>
      <c r="AE142" s="379" t="s">
        <v>152</v>
      </c>
      <c r="AF142" s="382" t="str">
        <f>VLOOKUP(W142,KEY_Other!$B$37:$C$89,2,FALSE)</f>
        <v>DK</v>
      </c>
      <c r="AG142" s="379"/>
      <c r="AH142" s="379" t="str">
        <f>AC142&amp;VLOOKUP(U142,KEY_FUELS!$C$4:$D$78,2,FALSE)</f>
        <v>RSDELC</v>
      </c>
      <c r="AI142" s="379" t="str">
        <f>IFERROR(AC142&amp;VLOOKUP(V142,KEY_FUELS!$C$4:$D$78,2,FALSE),"")</f>
        <v>RSDAHT</v>
      </c>
      <c r="AJ142" s="379" t="str">
        <f t="shared" si="49"/>
        <v>RHHSA</v>
      </c>
      <c r="AK142" s="379" t="str">
        <f t="shared" si="50"/>
        <v>RWHSA</v>
      </c>
      <c r="AL142" s="379" t="str">
        <f t="shared" si="51"/>
        <v/>
      </c>
      <c r="AM142" s="380">
        <v>31.536000000000001</v>
      </c>
      <c r="AN142" s="379">
        <f t="shared" si="53"/>
        <v>2015</v>
      </c>
      <c r="AO142" s="383"/>
      <c r="AP142" s="384"/>
      <c r="AQ142" s="386"/>
      <c r="AR142" s="386"/>
      <c r="AS142" s="386"/>
      <c r="AT142" s="386"/>
      <c r="AU142" s="387">
        <v>1</v>
      </c>
      <c r="AV142" s="387">
        <v>1</v>
      </c>
      <c r="AW142" s="387"/>
      <c r="AX142" s="388" t="s">
        <v>202</v>
      </c>
      <c r="AY142" s="384">
        <v>2.85</v>
      </c>
      <c r="AZ142" s="387">
        <v>2.85</v>
      </c>
      <c r="BA142" s="387">
        <v>3</v>
      </c>
      <c r="BB142" s="388"/>
      <c r="BC142" s="389"/>
      <c r="BD142" s="389"/>
      <c r="BE142" s="390"/>
      <c r="BF142" s="379"/>
      <c r="BG142" s="379"/>
      <c r="BH142" s="391"/>
      <c r="BI142" s="379">
        <v>18</v>
      </c>
      <c r="BJ142" s="379"/>
      <c r="BK142" s="388">
        <v>7</v>
      </c>
      <c r="BL142" s="392"/>
      <c r="BM142" s="392"/>
      <c r="BN142" s="392"/>
      <c r="BO142" s="392"/>
      <c r="BP142" s="392"/>
      <c r="BQ142" s="392"/>
      <c r="BR142" s="384">
        <v>291</v>
      </c>
      <c r="BS142" s="388">
        <v>0</v>
      </c>
      <c r="BT142" s="380"/>
      <c r="BU142" s="388"/>
      <c r="BV142" s="380"/>
      <c r="BW142" s="380"/>
      <c r="BX142" s="395"/>
    </row>
    <row r="143" spans="1:76" s="226" customFormat="1" x14ac:dyDescent="0.3">
      <c r="A143" s="88"/>
      <c r="B143" s="87"/>
      <c r="C143" s="87"/>
      <c r="D143" s="87"/>
      <c r="E143" s="87"/>
      <c r="F143" s="88"/>
      <c r="G143" s="87"/>
      <c r="H143" s="88"/>
      <c r="I143" s="88"/>
      <c r="J143" s="362" t="s">
        <v>134</v>
      </c>
      <c r="K143" s="363" t="s">
        <v>135</v>
      </c>
      <c r="L143" s="363"/>
      <c r="M143" s="363"/>
      <c r="N143" s="363"/>
      <c r="O143" s="363" t="s">
        <v>136</v>
      </c>
      <c r="P143" s="363">
        <v>2017</v>
      </c>
      <c r="Q143" s="364" t="s">
        <v>187</v>
      </c>
      <c r="R143" s="365" t="s">
        <v>194</v>
      </c>
      <c r="S143" s="363">
        <v>4</v>
      </c>
      <c r="T143" s="363"/>
      <c r="U143" s="363" t="s">
        <v>189</v>
      </c>
      <c r="V143" s="363" t="s">
        <v>190</v>
      </c>
      <c r="W143" s="363" t="s">
        <v>149</v>
      </c>
      <c r="X143" s="363">
        <v>2020</v>
      </c>
      <c r="Y143" s="363"/>
      <c r="Z143" s="363" t="str">
        <f>VLOOKUP(R143,KEY_Processes!$B$4:$E$54,4,FALSE)</f>
        <v>HP_ELC_04</v>
      </c>
      <c r="AA143" s="363" t="str">
        <f>VLOOKUP(R143,KEY_Processes!$B$4:$E$54,2,FALSE)</f>
        <v>Electric heat pumps, Air-to-water</v>
      </c>
      <c r="AB143" s="363" t="str">
        <f>VLOOKUP(U143,KEY_FUELS!$C$4:$D$77,2,FALSE)</f>
        <v>ELC</v>
      </c>
      <c r="AC143" s="363" t="s">
        <v>150</v>
      </c>
      <c r="AD143" s="363" t="s">
        <v>155</v>
      </c>
      <c r="AE143" s="363" t="s">
        <v>152</v>
      </c>
      <c r="AF143" s="366" t="str">
        <f>VLOOKUP(W143,KEY_Other!$B$37:$C$89,2,FALSE)</f>
        <v>DK</v>
      </c>
      <c r="AG143" s="363"/>
      <c r="AH143" s="363" t="str">
        <f>AC143&amp;VLOOKUP(U143,KEY_FUELS!$C$4:$D$78,2,FALSE)</f>
        <v>RSDELC</v>
      </c>
      <c r="AI143" s="363" t="str">
        <f>IFERROR(AC143&amp;VLOOKUP(V143,KEY_FUELS!$C$4:$D$78,2,FALSE),"")</f>
        <v>RSDAHT</v>
      </c>
      <c r="AJ143" s="363" t="str">
        <f t="shared" ref="AJ143" si="55">LEFT(AC143,1)&amp;"H"&amp;AD143</f>
        <v>RHHSA</v>
      </c>
      <c r="AK143" s="363" t="str">
        <f t="shared" si="50"/>
        <v>RWHSA</v>
      </c>
      <c r="AL143" s="363" t="str">
        <f t="shared" si="51"/>
        <v/>
      </c>
      <c r="AM143" s="364">
        <v>31.536000000000001</v>
      </c>
      <c r="AN143" s="363">
        <f t="shared" si="53"/>
        <v>2020</v>
      </c>
      <c r="AO143" s="367"/>
      <c r="AP143" s="368"/>
      <c r="AQ143" s="370"/>
      <c r="AR143" s="370"/>
      <c r="AS143" s="370"/>
      <c r="AT143" s="370"/>
      <c r="AU143" s="371">
        <v>1</v>
      </c>
      <c r="AV143" s="371">
        <v>1</v>
      </c>
      <c r="AW143" s="371"/>
      <c r="AX143" s="372" t="s">
        <v>202</v>
      </c>
      <c r="AY143" s="368">
        <v>3.05</v>
      </c>
      <c r="AZ143" s="371">
        <v>3.05</v>
      </c>
      <c r="BA143" s="371">
        <v>3.2</v>
      </c>
      <c r="BB143" s="372"/>
      <c r="BC143" s="373"/>
      <c r="BD143" s="373"/>
      <c r="BE143" s="374"/>
      <c r="BF143" s="363"/>
      <c r="BG143" s="363"/>
      <c r="BH143" s="375"/>
      <c r="BI143" s="363">
        <v>18</v>
      </c>
      <c r="BJ143" s="363"/>
      <c r="BK143" s="372">
        <v>7</v>
      </c>
      <c r="BL143" s="376"/>
      <c r="BM143" s="376"/>
      <c r="BN143" s="376"/>
      <c r="BO143" s="376"/>
      <c r="BP143" s="376"/>
      <c r="BQ143" s="376"/>
      <c r="BR143" s="368">
        <v>278</v>
      </c>
      <c r="BS143" s="372">
        <v>0</v>
      </c>
      <c r="BT143" s="364"/>
      <c r="BU143" s="372"/>
      <c r="BV143" s="364"/>
      <c r="BW143" s="364"/>
      <c r="BX143" s="397"/>
    </row>
    <row r="144" spans="1:76" s="226" customFormat="1" x14ac:dyDescent="0.3">
      <c r="A144" s="88"/>
      <c r="B144" s="87"/>
      <c r="C144" s="87"/>
      <c r="D144" s="87"/>
      <c r="E144" s="87"/>
      <c r="F144" s="88"/>
      <c r="G144" s="87"/>
      <c r="H144" s="88"/>
      <c r="I144" s="88"/>
      <c r="J144" s="378" t="s">
        <v>134</v>
      </c>
      <c r="K144" s="379" t="s">
        <v>135</v>
      </c>
      <c r="L144" s="379"/>
      <c r="M144" s="379"/>
      <c r="N144" s="379"/>
      <c r="O144" s="379" t="s">
        <v>136</v>
      </c>
      <c r="P144" s="379">
        <v>2017</v>
      </c>
      <c r="Q144" s="380" t="s">
        <v>187</v>
      </c>
      <c r="R144" s="381" t="s">
        <v>194</v>
      </c>
      <c r="S144" s="379">
        <v>4</v>
      </c>
      <c r="T144" s="379"/>
      <c r="U144" s="379" t="s">
        <v>189</v>
      </c>
      <c r="V144" s="379" t="s">
        <v>190</v>
      </c>
      <c r="W144" s="379" t="s">
        <v>149</v>
      </c>
      <c r="X144" s="379">
        <v>2030</v>
      </c>
      <c r="Y144" s="379"/>
      <c r="Z144" s="379" t="str">
        <f>VLOOKUP(R144,KEY_Processes!$B$4:$E$54,4,FALSE)</f>
        <v>HP_ELC_04</v>
      </c>
      <c r="AA144" s="379" t="str">
        <f>VLOOKUP(R144,KEY_Processes!$B$4:$E$54,2,FALSE)</f>
        <v>Electric heat pumps, Air-to-water</v>
      </c>
      <c r="AB144" s="379" t="str">
        <f>VLOOKUP(U144,KEY_FUELS!$C$4:$D$77,2,FALSE)</f>
        <v>ELC</v>
      </c>
      <c r="AC144" s="379" t="s">
        <v>150</v>
      </c>
      <c r="AD144" s="379" t="s">
        <v>155</v>
      </c>
      <c r="AE144" s="379" t="s">
        <v>152</v>
      </c>
      <c r="AF144" s="382" t="str">
        <f>VLOOKUP(W144,KEY_Other!$B$37:$C$89,2,FALSE)</f>
        <v>DK</v>
      </c>
      <c r="AG144" s="379"/>
      <c r="AH144" s="379" t="str">
        <f>AC144&amp;VLOOKUP(U144,KEY_FUELS!$C$4:$D$78,2,FALSE)</f>
        <v>RSDELC</v>
      </c>
      <c r="AI144" s="379" t="str">
        <f>IFERROR(AC144&amp;VLOOKUP(V144,KEY_FUELS!$C$4:$D$78,2,FALSE),"")</f>
        <v>RSDAHT</v>
      </c>
      <c r="AJ144" s="379" t="str">
        <f t="shared" si="49"/>
        <v>RHHSA</v>
      </c>
      <c r="AK144" s="379" t="str">
        <f t="shared" si="50"/>
        <v>RWHSA</v>
      </c>
      <c r="AL144" s="379" t="str">
        <f t="shared" si="51"/>
        <v/>
      </c>
      <c r="AM144" s="380">
        <v>31.536000000000001</v>
      </c>
      <c r="AN144" s="379">
        <f t="shared" si="53"/>
        <v>2030</v>
      </c>
      <c r="AO144" s="383"/>
      <c r="AP144" s="384"/>
      <c r="AQ144" s="386"/>
      <c r="AR144" s="386"/>
      <c r="AS144" s="386"/>
      <c r="AT144" s="386"/>
      <c r="AU144" s="387">
        <v>1</v>
      </c>
      <c r="AV144" s="387">
        <v>1</v>
      </c>
      <c r="AW144" s="387"/>
      <c r="AX144" s="388" t="s">
        <v>202</v>
      </c>
      <c r="AY144" s="384">
        <v>3.2</v>
      </c>
      <c r="AZ144" s="387">
        <v>3.2</v>
      </c>
      <c r="BA144" s="387">
        <v>3.4</v>
      </c>
      <c r="BB144" s="388"/>
      <c r="BC144" s="389"/>
      <c r="BD144" s="389"/>
      <c r="BE144" s="390"/>
      <c r="BF144" s="379"/>
      <c r="BG144" s="379"/>
      <c r="BH144" s="391"/>
      <c r="BI144" s="379">
        <v>18</v>
      </c>
      <c r="BJ144" s="379"/>
      <c r="BK144" s="388">
        <v>6</v>
      </c>
      <c r="BL144" s="392"/>
      <c r="BM144" s="392"/>
      <c r="BN144" s="392"/>
      <c r="BO144" s="392"/>
      <c r="BP144" s="392"/>
      <c r="BQ144" s="392"/>
      <c r="BR144" s="384">
        <v>255</v>
      </c>
      <c r="BS144" s="388">
        <v>0</v>
      </c>
      <c r="BT144" s="380"/>
      <c r="BU144" s="388"/>
      <c r="BV144" s="380"/>
      <c r="BW144" s="380"/>
      <c r="BX144" s="395"/>
    </row>
    <row r="145" spans="1:76" s="226" customFormat="1" x14ac:dyDescent="0.3">
      <c r="A145" s="88"/>
      <c r="B145" s="87"/>
      <c r="C145" s="87"/>
      <c r="D145" s="87"/>
      <c r="E145" s="87"/>
      <c r="F145" s="88"/>
      <c r="G145" s="87"/>
      <c r="H145" s="88"/>
      <c r="I145" s="88"/>
      <c r="J145" s="362" t="s">
        <v>134</v>
      </c>
      <c r="K145" s="363" t="s">
        <v>135</v>
      </c>
      <c r="L145" s="363"/>
      <c r="M145" s="363"/>
      <c r="N145" s="363"/>
      <c r="O145" s="363" t="s">
        <v>136</v>
      </c>
      <c r="P145" s="363">
        <v>2017</v>
      </c>
      <c r="Q145" s="364" t="s">
        <v>187</v>
      </c>
      <c r="R145" s="365" t="s">
        <v>194</v>
      </c>
      <c r="S145" s="363">
        <v>4</v>
      </c>
      <c r="T145" s="363"/>
      <c r="U145" s="363" t="s">
        <v>189</v>
      </c>
      <c r="V145" s="363" t="s">
        <v>190</v>
      </c>
      <c r="W145" s="363" t="s">
        <v>149</v>
      </c>
      <c r="X145" s="363">
        <v>2050</v>
      </c>
      <c r="Y145" s="363"/>
      <c r="Z145" s="363" t="str">
        <f>VLOOKUP(R145,KEY_Processes!$B$4:$E$54,4,FALSE)</f>
        <v>HP_ELC_04</v>
      </c>
      <c r="AA145" s="363" t="str">
        <f>VLOOKUP(R145,KEY_Processes!$B$4:$E$54,2,FALSE)</f>
        <v>Electric heat pumps, Air-to-water</v>
      </c>
      <c r="AB145" s="363" t="str">
        <f>VLOOKUP(U145,KEY_FUELS!$C$4:$D$77,2,FALSE)</f>
        <v>ELC</v>
      </c>
      <c r="AC145" s="363" t="s">
        <v>150</v>
      </c>
      <c r="AD145" s="363" t="s">
        <v>155</v>
      </c>
      <c r="AE145" s="363" t="s">
        <v>152</v>
      </c>
      <c r="AF145" s="366" t="str">
        <f>VLOOKUP(W145,KEY_Other!$B$37:$C$89,2,FALSE)</f>
        <v>DK</v>
      </c>
      <c r="AG145" s="363"/>
      <c r="AH145" s="363" t="str">
        <f>AC145&amp;VLOOKUP(U145,KEY_FUELS!$C$4:$D$78,2,FALSE)</f>
        <v>RSDELC</v>
      </c>
      <c r="AI145" s="363" t="str">
        <f>IFERROR(AC145&amp;VLOOKUP(V145,KEY_FUELS!$C$4:$D$78,2,FALSE),"")</f>
        <v>RSDAHT</v>
      </c>
      <c r="AJ145" s="363" t="str">
        <f t="shared" ref="AJ145" si="56">LEFT(AC145,1)&amp;"H"&amp;AD145</f>
        <v>RHHSA</v>
      </c>
      <c r="AK145" s="363" t="str">
        <f t="shared" si="50"/>
        <v>RWHSA</v>
      </c>
      <c r="AL145" s="363" t="str">
        <f t="shared" si="51"/>
        <v/>
      </c>
      <c r="AM145" s="364">
        <v>31.536000000000001</v>
      </c>
      <c r="AN145" s="363">
        <f t="shared" si="53"/>
        <v>2050</v>
      </c>
      <c r="AO145" s="367"/>
      <c r="AP145" s="368"/>
      <c r="AQ145" s="370"/>
      <c r="AR145" s="370"/>
      <c r="AS145" s="370"/>
      <c r="AT145" s="370"/>
      <c r="AU145" s="371">
        <v>1</v>
      </c>
      <c r="AV145" s="371">
        <v>1</v>
      </c>
      <c r="AW145" s="371"/>
      <c r="AX145" s="372" t="s">
        <v>202</v>
      </c>
      <c r="AY145" s="368">
        <v>3.35</v>
      </c>
      <c r="AZ145" s="371">
        <v>3.35</v>
      </c>
      <c r="BA145" s="371">
        <v>3.55</v>
      </c>
      <c r="BB145" s="372"/>
      <c r="BC145" s="373"/>
      <c r="BD145" s="373"/>
      <c r="BE145" s="374"/>
      <c r="BF145" s="363"/>
      <c r="BG145" s="363"/>
      <c r="BH145" s="375"/>
      <c r="BI145" s="363">
        <v>18</v>
      </c>
      <c r="BJ145" s="363"/>
      <c r="BK145" s="372">
        <v>5</v>
      </c>
      <c r="BL145" s="376"/>
      <c r="BM145" s="376"/>
      <c r="BN145" s="376"/>
      <c r="BO145" s="376"/>
      <c r="BP145" s="376"/>
      <c r="BQ145" s="376"/>
      <c r="BR145" s="368">
        <v>239</v>
      </c>
      <c r="BS145" s="372">
        <v>0</v>
      </c>
      <c r="BT145" s="364"/>
      <c r="BU145" s="372"/>
      <c r="BV145" s="364"/>
      <c r="BW145" s="364"/>
      <c r="BX145" s="397"/>
    </row>
    <row r="146" spans="1:76" s="226" customFormat="1" x14ac:dyDescent="0.3">
      <c r="A146" s="88"/>
      <c r="B146" s="87"/>
      <c r="C146" s="87"/>
      <c r="D146" s="87"/>
      <c r="E146" s="87"/>
      <c r="F146" s="88"/>
      <c r="G146" s="87"/>
      <c r="H146" s="88"/>
      <c r="I146" s="88"/>
      <c r="J146" s="378" t="s">
        <v>134</v>
      </c>
      <c r="K146" s="379" t="s">
        <v>135</v>
      </c>
      <c r="L146" s="379"/>
      <c r="M146" s="379"/>
      <c r="N146" s="379"/>
      <c r="O146" s="379" t="s">
        <v>136</v>
      </c>
      <c r="P146" s="379">
        <v>2017</v>
      </c>
      <c r="Q146" s="380" t="s">
        <v>187</v>
      </c>
      <c r="R146" s="381" t="s">
        <v>195</v>
      </c>
      <c r="S146" s="379">
        <v>400</v>
      </c>
      <c r="T146" s="379"/>
      <c r="U146" s="379" t="s">
        <v>189</v>
      </c>
      <c r="V146" s="379" t="s">
        <v>190</v>
      </c>
      <c r="W146" s="379" t="s">
        <v>149</v>
      </c>
      <c r="X146" s="379">
        <v>2015</v>
      </c>
      <c r="Y146" s="379"/>
      <c r="Z146" s="379" t="str">
        <f>VLOOKUP(R146,KEY_Processes!$B$4:$E$54,4,FALSE)</f>
        <v>HP_ELC_05</v>
      </c>
      <c r="AA146" s="379" t="str">
        <f>VLOOKUP(R146,KEY_Processes!$B$4:$E$54,2,FALSE)</f>
        <v>Electric heat pumps, Air-to-water</v>
      </c>
      <c r="AB146" s="379" t="str">
        <f>VLOOKUP(U146,KEY_FUELS!$C$4:$D$77,2,FALSE)</f>
        <v>ELC</v>
      </c>
      <c r="AC146" s="379" t="s">
        <v>150</v>
      </c>
      <c r="AD146" s="379" t="s">
        <v>158</v>
      </c>
      <c r="AE146" s="379" t="s">
        <v>152</v>
      </c>
      <c r="AF146" s="382" t="str">
        <f>VLOOKUP(W146,KEY_Other!$B$37:$C$89,2,FALSE)</f>
        <v>DK</v>
      </c>
      <c r="AG146" s="379"/>
      <c r="AH146" s="379" t="str">
        <f>AC146&amp;VLOOKUP(U146,KEY_FUELS!$C$4:$D$78,2,FALSE)</f>
        <v>RSDELC</v>
      </c>
      <c r="AI146" s="379" t="str">
        <f>IFERROR(AC146&amp;VLOOKUP(V146,KEY_FUELS!$C$4:$D$78,2,FALSE),"")</f>
        <v>RSDAHT</v>
      </c>
      <c r="AJ146" s="379" t="str">
        <f t="shared" si="49"/>
        <v>RHAPC</v>
      </c>
      <c r="AK146" s="379" t="str">
        <f t="shared" si="50"/>
        <v>RWAPC</v>
      </c>
      <c r="AL146" s="379" t="str">
        <f t="shared" si="51"/>
        <v/>
      </c>
      <c r="AM146" s="380">
        <v>31.536000000000001</v>
      </c>
      <c r="AN146" s="379">
        <f t="shared" si="53"/>
        <v>2015</v>
      </c>
      <c r="AO146" s="383"/>
      <c r="AP146" s="384"/>
      <c r="AQ146" s="386"/>
      <c r="AR146" s="386"/>
      <c r="AS146" s="386"/>
      <c r="AT146" s="386"/>
      <c r="AU146" s="387">
        <v>1</v>
      </c>
      <c r="AV146" s="387">
        <v>1</v>
      </c>
      <c r="AW146" s="387"/>
      <c r="AX146" s="388" t="s">
        <v>202</v>
      </c>
      <c r="AY146" s="384">
        <v>3.65</v>
      </c>
      <c r="AZ146" s="387">
        <v>3.65</v>
      </c>
      <c r="BA146" s="387">
        <v>3.8</v>
      </c>
      <c r="BB146" s="388"/>
      <c r="BC146" s="389"/>
      <c r="BD146" s="389"/>
      <c r="BE146" s="390"/>
      <c r="BF146" s="379"/>
      <c r="BG146" s="379"/>
      <c r="BH146" s="391"/>
      <c r="BI146" s="379">
        <v>20</v>
      </c>
      <c r="BJ146" s="379"/>
      <c r="BK146" s="388">
        <v>150</v>
      </c>
      <c r="BL146" s="392"/>
      <c r="BM146" s="392"/>
      <c r="BN146" s="392"/>
      <c r="BO146" s="392"/>
      <c r="BP146" s="392"/>
      <c r="BQ146" s="392"/>
      <c r="BR146" s="384">
        <v>1640</v>
      </c>
      <c r="BS146" s="388">
        <v>0.4425</v>
      </c>
      <c r="BT146" s="380"/>
      <c r="BU146" s="388"/>
      <c r="BV146" s="380"/>
      <c r="BW146" s="380"/>
      <c r="BX146" s="395"/>
    </row>
    <row r="147" spans="1:76" s="226" customFormat="1" x14ac:dyDescent="0.3">
      <c r="A147" s="88"/>
      <c r="B147" s="87"/>
      <c r="C147" s="87"/>
      <c r="D147" s="87"/>
      <c r="E147" s="87"/>
      <c r="F147" s="88"/>
      <c r="G147" s="87"/>
      <c r="H147" s="88"/>
      <c r="I147" s="88"/>
      <c r="J147" s="362" t="s">
        <v>134</v>
      </c>
      <c r="K147" s="363" t="s">
        <v>135</v>
      </c>
      <c r="L147" s="363"/>
      <c r="M147" s="363"/>
      <c r="N147" s="363"/>
      <c r="O147" s="363" t="s">
        <v>136</v>
      </c>
      <c r="P147" s="363">
        <v>2017</v>
      </c>
      <c r="Q147" s="364" t="s">
        <v>187</v>
      </c>
      <c r="R147" s="365" t="s">
        <v>195</v>
      </c>
      <c r="S147" s="363">
        <v>400</v>
      </c>
      <c r="T147" s="363"/>
      <c r="U147" s="363" t="s">
        <v>189</v>
      </c>
      <c r="V147" s="363" t="s">
        <v>190</v>
      </c>
      <c r="W147" s="363" t="s">
        <v>149</v>
      </c>
      <c r="X147" s="363">
        <v>2020</v>
      </c>
      <c r="Y147" s="363"/>
      <c r="Z147" s="363" t="str">
        <f>VLOOKUP(R147,KEY_Processes!$B$4:$E$54,4,FALSE)</f>
        <v>HP_ELC_05</v>
      </c>
      <c r="AA147" s="363" t="str">
        <f>VLOOKUP(R147,KEY_Processes!$B$4:$E$54,2,FALSE)</f>
        <v>Electric heat pumps, Air-to-water</v>
      </c>
      <c r="AB147" s="363" t="str">
        <f>VLOOKUP(U147,KEY_FUELS!$C$4:$D$77,2,FALSE)</f>
        <v>ELC</v>
      </c>
      <c r="AC147" s="363" t="s">
        <v>150</v>
      </c>
      <c r="AD147" s="363" t="s">
        <v>158</v>
      </c>
      <c r="AE147" s="363" t="s">
        <v>152</v>
      </c>
      <c r="AF147" s="366" t="str">
        <f>VLOOKUP(W147,KEY_Other!$B$37:$C$89,2,FALSE)</f>
        <v>DK</v>
      </c>
      <c r="AG147" s="363"/>
      <c r="AH147" s="363" t="str">
        <f>AC147&amp;VLOOKUP(U147,KEY_FUELS!$C$4:$D$78,2,FALSE)</f>
        <v>RSDELC</v>
      </c>
      <c r="AI147" s="363" t="str">
        <f>IFERROR(AC147&amp;VLOOKUP(V147,KEY_FUELS!$C$4:$D$78,2,FALSE),"")</f>
        <v>RSDAHT</v>
      </c>
      <c r="AJ147" s="363" t="str">
        <f t="shared" ref="AJ147" si="57">LEFT(AC147,1)&amp;"H"&amp;AD147</f>
        <v>RHAPC</v>
      </c>
      <c r="AK147" s="363" t="str">
        <f t="shared" si="50"/>
        <v>RWAPC</v>
      </c>
      <c r="AL147" s="363" t="str">
        <f t="shared" si="51"/>
        <v/>
      </c>
      <c r="AM147" s="364">
        <v>31.536000000000001</v>
      </c>
      <c r="AN147" s="363">
        <f t="shared" si="53"/>
        <v>2020</v>
      </c>
      <c r="AO147" s="367"/>
      <c r="AP147" s="368"/>
      <c r="AQ147" s="370"/>
      <c r="AR147" s="370"/>
      <c r="AS147" s="370"/>
      <c r="AT147" s="370"/>
      <c r="AU147" s="371">
        <v>1</v>
      </c>
      <c r="AV147" s="371">
        <v>1</v>
      </c>
      <c r="AW147" s="371"/>
      <c r="AX147" s="372" t="s">
        <v>202</v>
      </c>
      <c r="AY147" s="368">
        <v>3.75</v>
      </c>
      <c r="AZ147" s="371">
        <v>3.75</v>
      </c>
      <c r="BA147" s="371">
        <v>3.9</v>
      </c>
      <c r="BB147" s="372"/>
      <c r="BC147" s="373"/>
      <c r="BD147" s="373"/>
      <c r="BE147" s="374"/>
      <c r="BF147" s="363"/>
      <c r="BG147" s="363"/>
      <c r="BH147" s="375"/>
      <c r="BI147" s="363">
        <v>20</v>
      </c>
      <c r="BJ147" s="363"/>
      <c r="BK147" s="372">
        <v>141</v>
      </c>
      <c r="BL147" s="376"/>
      <c r="BM147" s="376"/>
      <c r="BN147" s="376"/>
      <c r="BO147" s="376"/>
      <c r="BP147" s="376"/>
      <c r="BQ147" s="376"/>
      <c r="BR147" s="368">
        <v>1650</v>
      </c>
      <c r="BS147" s="372">
        <v>0.4425</v>
      </c>
      <c r="BT147" s="364"/>
      <c r="BU147" s="372"/>
      <c r="BV147" s="364"/>
      <c r="BW147" s="364"/>
      <c r="BX147" s="397"/>
    </row>
    <row r="148" spans="1:76" s="226" customFormat="1" x14ac:dyDescent="0.3">
      <c r="A148" s="88"/>
      <c r="B148" s="87"/>
      <c r="C148" s="87"/>
      <c r="D148" s="87"/>
      <c r="E148" s="87"/>
      <c r="F148" s="88"/>
      <c r="G148" s="87"/>
      <c r="H148" s="88"/>
      <c r="I148" s="88"/>
      <c r="J148" s="378" t="s">
        <v>134</v>
      </c>
      <c r="K148" s="379" t="s">
        <v>135</v>
      </c>
      <c r="L148" s="379"/>
      <c r="M148" s="379"/>
      <c r="N148" s="379"/>
      <c r="O148" s="379" t="s">
        <v>136</v>
      </c>
      <c r="P148" s="379">
        <v>2017</v>
      </c>
      <c r="Q148" s="380" t="s">
        <v>187</v>
      </c>
      <c r="R148" s="381" t="s">
        <v>195</v>
      </c>
      <c r="S148" s="379">
        <v>400</v>
      </c>
      <c r="T148" s="379"/>
      <c r="U148" s="379" t="s">
        <v>189</v>
      </c>
      <c r="V148" s="379" t="s">
        <v>190</v>
      </c>
      <c r="W148" s="379" t="s">
        <v>149</v>
      </c>
      <c r="X148" s="379">
        <v>2030</v>
      </c>
      <c r="Y148" s="379"/>
      <c r="Z148" s="379" t="str">
        <f>VLOOKUP(R148,KEY_Processes!$B$4:$E$54,4,FALSE)</f>
        <v>HP_ELC_05</v>
      </c>
      <c r="AA148" s="379" t="str">
        <f>VLOOKUP(R148,KEY_Processes!$B$4:$E$54,2,FALSE)</f>
        <v>Electric heat pumps, Air-to-water</v>
      </c>
      <c r="AB148" s="379" t="str">
        <f>VLOOKUP(U148,KEY_FUELS!$C$4:$D$77,2,FALSE)</f>
        <v>ELC</v>
      </c>
      <c r="AC148" s="379" t="s">
        <v>150</v>
      </c>
      <c r="AD148" s="379" t="s">
        <v>158</v>
      </c>
      <c r="AE148" s="379" t="s">
        <v>152</v>
      </c>
      <c r="AF148" s="382" t="str">
        <f>VLOOKUP(W148,KEY_Other!$B$37:$C$89,2,FALSE)</f>
        <v>DK</v>
      </c>
      <c r="AG148" s="379"/>
      <c r="AH148" s="379" t="str">
        <f>AC148&amp;VLOOKUP(U148,KEY_FUELS!$C$4:$D$78,2,FALSE)</f>
        <v>RSDELC</v>
      </c>
      <c r="AI148" s="379" t="str">
        <f>IFERROR(AC148&amp;VLOOKUP(V148,KEY_FUELS!$C$4:$D$78,2,FALSE),"")</f>
        <v>RSDAHT</v>
      </c>
      <c r="AJ148" s="379" t="str">
        <f t="shared" si="49"/>
        <v>RHAPC</v>
      </c>
      <c r="AK148" s="379" t="str">
        <f t="shared" si="50"/>
        <v>RWAPC</v>
      </c>
      <c r="AL148" s="379" t="str">
        <f t="shared" si="51"/>
        <v/>
      </c>
      <c r="AM148" s="380">
        <v>31.536000000000001</v>
      </c>
      <c r="AN148" s="379">
        <f t="shared" si="53"/>
        <v>2030</v>
      </c>
      <c r="AO148" s="383"/>
      <c r="AP148" s="384"/>
      <c r="AQ148" s="386"/>
      <c r="AR148" s="386"/>
      <c r="AS148" s="386"/>
      <c r="AT148" s="386"/>
      <c r="AU148" s="387">
        <v>1</v>
      </c>
      <c r="AV148" s="387">
        <v>1</v>
      </c>
      <c r="AW148" s="387"/>
      <c r="AX148" s="388" t="s">
        <v>202</v>
      </c>
      <c r="AY148" s="384">
        <v>3.9</v>
      </c>
      <c r="AZ148" s="387">
        <v>3.9</v>
      </c>
      <c r="BA148" s="387">
        <v>4</v>
      </c>
      <c r="BB148" s="388"/>
      <c r="BC148" s="389"/>
      <c r="BD148" s="389"/>
      <c r="BE148" s="390"/>
      <c r="BF148" s="379"/>
      <c r="BG148" s="379"/>
      <c r="BH148" s="391"/>
      <c r="BI148" s="379">
        <v>20</v>
      </c>
      <c r="BJ148" s="379"/>
      <c r="BK148" s="388">
        <v>127</v>
      </c>
      <c r="BL148" s="392"/>
      <c r="BM148" s="392"/>
      <c r="BN148" s="392"/>
      <c r="BO148" s="392"/>
      <c r="BP148" s="392"/>
      <c r="BQ148" s="392"/>
      <c r="BR148" s="384">
        <v>1866</v>
      </c>
      <c r="BS148" s="388">
        <v>0.4425</v>
      </c>
      <c r="BT148" s="380"/>
      <c r="BU148" s="388"/>
      <c r="BV148" s="380"/>
      <c r="BW148" s="380"/>
      <c r="BX148" s="395"/>
    </row>
    <row r="149" spans="1:76" s="226" customFormat="1" x14ac:dyDescent="0.3">
      <c r="A149" s="88"/>
      <c r="B149" s="87"/>
      <c r="C149" s="87"/>
      <c r="D149" s="87"/>
      <c r="E149" s="87"/>
      <c r="F149" s="88"/>
      <c r="G149" s="87"/>
      <c r="H149" s="88"/>
      <c r="I149" s="88"/>
      <c r="J149" s="362" t="s">
        <v>134</v>
      </c>
      <c r="K149" s="363" t="s">
        <v>135</v>
      </c>
      <c r="L149" s="363"/>
      <c r="M149" s="363"/>
      <c r="N149" s="363"/>
      <c r="O149" s="363" t="s">
        <v>136</v>
      </c>
      <c r="P149" s="363">
        <v>2017</v>
      </c>
      <c r="Q149" s="364" t="s">
        <v>187</v>
      </c>
      <c r="R149" s="365" t="s">
        <v>195</v>
      </c>
      <c r="S149" s="363">
        <v>400</v>
      </c>
      <c r="T149" s="363"/>
      <c r="U149" s="363" t="s">
        <v>189</v>
      </c>
      <c r="V149" s="363" t="s">
        <v>190</v>
      </c>
      <c r="W149" s="363" t="s">
        <v>149</v>
      </c>
      <c r="X149" s="363">
        <v>2050</v>
      </c>
      <c r="Y149" s="363"/>
      <c r="Z149" s="363" t="str">
        <f>VLOOKUP(R149,KEY_Processes!$B$4:$E$54,4,FALSE)</f>
        <v>HP_ELC_05</v>
      </c>
      <c r="AA149" s="363" t="str">
        <f>VLOOKUP(R149,KEY_Processes!$B$4:$E$54,2,FALSE)</f>
        <v>Electric heat pumps, Air-to-water</v>
      </c>
      <c r="AB149" s="363" t="str">
        <f>VLOOKUP(U149,KEY_FUELS!$C$4:$D$77,2,FALSE)</f>
        <v>ELC</v>
      </c>
      <c r="AC149" s="363" t="s">
        <v>150</v>
      </c>
      <c r="AD149" s="363" t="s">
        <v>158</v>
      </c>
      <c r="AE149" s="363" t="s">
        <v>152</v>
      </c>
      <c r="AF149" s="366" t="str">
        <f>VLOOKUP(W149,KEY_Other!$B$37:$C$89,2,FALSE)</f>
        <v>DK</v>
      </c>
      <c r="AG149" s="363"/>
      <c r="AH149" s="363" t="str">
        <f>AC149&amp;VLOOKUP(U149,KEY_FUELS!$C$4:$D$78,2,FALSE)</f>
        <v>RSDELC</v>
      </c>
      <c r="AI149" s="363" t="str">
        <f>IFERROR(AC149&amp;VLOOKUP(V149,KEY_FUELS!$C$4:$D$78,2,FALSE),"")</f>
        <v>RSDAHT</v>
      </c>
      <c r="AJ149" s="363" t="str">
        <f t="shared" ref="AJ149:AJ152" si="58">LEFT(AC149,1)&amp;"H"&amp;AD149</f>
        <v>RHAPC</v>
      </c>
      <c r="AK149" s="363" t="str">
        <f t="shared" si="50"/>
        <v>RWAPC</v>
      </c>
      <c r="AL149" s="363" t="str">
        <f t="shared" si="51"/>
        <v/>
      </c>
      <c r="AM149" s="364">
        <v>31.536000000000001</v>
      </c>
      <c r="AN149" s="363">
        <f t="shared" si="53"/>
        <v>2050</v>
      </c>
      <c r="AO149" s="367"/>
      <c r="AP149" s="368"/>
      <c r="AQ149" s="370"/>
      <c r="AR149" s="370"/>
      <c r="AS149" s="370"/>
      <c r="AT149" s="370"/>
      <c r="AU149" s="371">
        <v>1</v>
      </c>
      <c r="AV149" s="371">
        <v>1</v>
      </c>
      <c r="AW149" s="371"/>
      <c r="AX149" s="372" t="s">
        <v>202</v>
      </c>
      <c r="AY149" s="368">
        <v>4.05</v>
      </c>
      <c r="AZ149" s="371">
        <v>4.05</v>
      </c>
      <c r="BA149" s="371">
        <v>4.1500000000000004</v>
      </c>
      <c r="BB149" s="372"/>
      <c r="BC149" s="373"/>
      <c r="BD149" s="373"/>
      <c r="BE149" s="374"/>
      <c r="BF149" s="363"/>
      <c r="BG149" s="363"/>
      <c r="BH149" s="375"/>
      <c r="BI149" s="363">
        <v>20</v>
      </c>
      <c r="BJ149" s="363"/>
      <c r="BK149" s="372">
        <v>114</v>
      </c>
      <c r="BL149" s="376"/>
      <c r="BM149" s="376"/>
      <c r="BN149" s="376"/>
      <c r="BO149" s="376"/>
      <c r="BP149" s="376"/>
      <c r="BQ149" s="376"/>
      <c r="BR149" s="368">
        <v>2411</v>
      </c>
      <c r="BS149" s="372">
        <v>0.4425</v>
      </c>
      <c r="BT149" s="364"/>
      <c r="BU149" s="372"/>
      <c r="BV149" s="364"/>
      <c r="BW149" s="364"/>
      <c r="BX149" s="397"/>
    </row>
    <row r="150" spans="1:76" s="226" customFormat="1" x14ac:dyDescent="0.3">
      <c r="A150" s="88"/>
      <c r="B150" s="87"/>
      <c r="C150" s="87"/>
      <c r="D150" s="87"/>
      <c r="E150" s="87"/>
      <c r="F150" s="88"/>
      <c r="G150" s="87"/>
      <c r="H150" s="88"/>
      <c r="I150" s="88"/>
      <c r="J150" s="378" t="s">
        <v>134</v>
      </c>
      <c r="K150" s="379" t="s">
        <v>135</v>
      </c>
      <c r="L150" s="379"/>
      <c r="M150" s="379"/>
      <c r="N150" s="379"/>
      <c r="O150" s="379" t="s">
        <v>136</v>
      </c>
      <c r="P150" s="379">
        <v>2017</v>
      </c>
      <c r="Q150" s="380" t="s">
        <v>187</v>
      </c>
      <c r="R150" s="381" t="s">
        <v>196</v>
      </c>
      <c r="S150" s="379">
        <v>160</v>
      </c>
      <c r="T150" s="379"/>
      <c r="U150" s="379" t="s">
        <v>189</v>
      </c>
      <c r="V150" s="379" t="s">
        <v>190</v>
      </c>
      <c r="W150" s="379" t="s">
        <v>149</v>
      </c>
      <c r="X150" s="379">
        <v>2015</v>
      </c>
      <c r="Y150" s="379"/>
      <c r="Z150" s="379" t="str">
        <f>VLOOKUP(R150,KEY_Processes!$B$4:$E$54,4,FALSE)</f>
        <v>HP_ELC_06</v>
      </c>
      <c r="AA150" s="379" t="str">
        <f>VLOOKUP(R150,KEY_Processes!$B$4:$E$54,2,FALSE)</f>
        <v>Electric heat pumps, Air-to-water</v>
      </c>
      <c r="AB150" s="379" t="str">
        <f>VLOOKUP(U150,KEY_FUELS!$C$4:$D$77,2,FALSE)</f>
        <v>ELC</v>
      </c>
      <c r="AC150" s="379" t="s">
        <v>150</v>
      </c>
      <c r="AD150" s="379" t="s">
        <v>161</v>
      </c>
      <c r="AE150" s="379" t="s">
        <v>152</v>
      </c>
      <c r="AF150" s="382" t="str">
        <f>VLOOKUP(W150,KEY_Other!$B$37:$C$89,2,FALSE)</f>
        <v>DK</v>
      </c>
      <c r="AG150" s="379"/>
      <c r="AH150" s="379" t="str">
        <f>AC150&amp;VLOOKUP(U150,KEY_FUELS!$C$4:$D$78,2,FALSE)</f>
        <v>RSDELC</v>
      </c>
      <c r="AI150" s="379" t="str">
        <f>IFERROR(AC150&amp;VLOOKUP(V150,KEY_FUELS!$C$4:$D$78,2,FALSE),"")</f>
        <v>RSDAHT</v>
      </c>
      <c r="AJ150" s="379" t="str">
        <f t="shared" si="58"/>
        <v>RHAPA</v>
      </c>
      <c r="AK150" s="379" t="str">
        <f t="shared" si="50"/>
        <v>RWAPA</v>
      </c>
      <c r="AL150" s="379" t="str">
        <f t="shared" si="51"/>
        <v/>
      </c>
      <c r="AM150" s="380">
        <v>31.536000000000001</v>
      </c>
      <c r="AN150" s="379">
        <f t="shared" si="53"/>
        <v>2015</v>
      </c>
      <c r="AO150" s="383"/>
      <c r="AP150" s="384"/>
      <c r="AQ150" s="386"/>
      <c r="AR150" s="386"/>
      <c r="AS150" s="386"/>
      <c r="AT150" s="386"/>
      <c r="AU150" s="387">
        <v>1</v>
      </c>
      <c r="AV150" s="387">
        <v>1</v>
      </c>
      <c r="AW150" s="387"/>
      <c r="AX150" s="388" t="s">
        <v>202</v>
      </c>
      <c r="AY150" s="384">
        <v>3.7</v>
      </c>
      <c r="AZ150" s="387">
        <v>3.7</v>
      </c>
      <c r="BA150" s="387">
        <v>4.2</v>
      </c>
      <c r="BB150" s="388"/>
      <c r="BC150" s="389"/>
      <c r="BD150" s="389"/>
      <c r="BE150" s="390"/>
      <c r="BF150" s="379"/>
      <c r="BG150" s="379"/>
      <c r="BH150" s="391"/>
      <c r="BI150" s="379">
        <v>20</v>
      </c>
      <c r="BJ150" s="379"/>
      <c r="BK150" s="388">
        <v>75</v>
      </c>
      <c r="BL150" s="392"/>
      <c r="BM150" s="392"/>
      <c r="BN150" s="392"/>
      <c r="BO150" s="392"/>
      <c r="BP150" s="392"/>
      <c r="BQ150" s="392"/>
      <c r="BR150" s="384">
        <v>1640</v>
      </c>
      <c r="BS150" s="388">
        <v>0.4425</v>
      </c>
      <c r="BT150" s="380"/>
      <c r="BU150" s="388"/>
      <c r="BV150" s="380"/>
      <c r="BW150" s="380"/>
      <c r="BX150" s="395"/>
    </row>
    <row r="151" spans="1:76" s="226" customFormat="1" x14ac:dyDescent="0.3">
      <c r="A151" s="88"/>
      <c r="B151" s="87"/>
      <c r="C151" s="87"/>
      <c r="D151" s="87"/>
      <c r="E151" s="87"/>
      <c r="F151" s="88"/>
      <c r="G151" s="87"/>
      <c r="H151" s="88"/>
      <c r="I151" s="88"/>
      <c r="J151" s="362" t="s">
        <v>134</v>
      </c>
      <c r="K151" s="363" t="s">
        <v>135</v>
      </c>
      <c r="L151" s="363"/>
      <c r="M151" s="363"/>
      <c r="N151" s="363"/>
      <c r="O151" s="363" t="s">
        <v>136</v>
      </c>
      <c r="P151" s="363">
        <v>2017</v>
      </c>
      <c r="Q151" s="364" t="s">
        <v>187</v>
      </c>
      <c r="R151" s="365" t="s">
        <v>196</v>
      </c>
      <c r="S151" s="363">
        <v>160</v>
      </c>
      <c r="T151" s="363"/>
      <c r="U151" s="363" t="s">
        <v>189</v>
      </c>
      <c r="V151" s="363" t="s">
        <v>190</v>
      </c>
      <c r="W151" s="363" t="s">
        <v>149</v>
      </c>
      <c r="X151" s="363">
        <v>2020</v>
      </c>
      <c r="Y151" s="363"/>
      <c r="Z151" s="363" t="str">
        <f>VLOOKUP(R151,KEY_Processes!$B$4:$E$54,4,FALSE)</f>
        <v>HP_ELC_06</v>
      </c>
      <c r="AA151" s="363" t="str">
        <f>VLOOKUP(R151,KEY_Processes!$B$4:$E$54,2,FALSE)</f>
        <v>Electric heat pumps, Air-to-water</v>
      </c>
      <c r="AB151" s="363" t="str">
        <f>VLOOKUP(U151,KEY_FUELS!$C$4:$D$77,2,FALSE)</f>
        <v>ELC</v>
      </c>
      <c r="AC151" s="363" t="s">
        <v>150</v>
      </c>
      <c r="AD151" s="363" t="s">
        <v>161</v>
      </c>
      <c r="AE151" s="363" t="s">
        <v>152</v>
      </c>
      <c r="AF151" s="366" t="str">
        <f>VLOOKUP(W151,KEY_Other!$B$37:$C$89,2,FALSE)</f>
        <v>DK</v>
      </c>
      <c r="AG151" s="363"/>
      <c r="AH151" s="363" t="str">
        <f>AC151&amp;VLOOKUP(U151,KEY_FUELS!$C$4:$D$78,2,FALSE)</f>
        <v>RSDELC</v>
      </c>
      <c r="AI151" s="363" t="str">
        <f>IFERROR(AC151&amp;VLOOKUP(V151,KEY_FUELS!$C$4:$D$78,2,FALSE),"")</f>
        <v>RSDAHT</v>
      </c>
      <c r="AJ151" s="363" t="str">
        <f t="shared" ref="AJ151" si="59">LEFT(AC151,1)&amp;"H"&amp;AD151</f>
        <v>RHAPA</v>
      </c>
      <c r="AK151" s="363" t="str">
        <f t="shared" si="50"/>
        <v>RWAPA</v>
      </c>
      <c r="AL151" s="363" t="str">
        <f t="shared" si="51"/>
        <v/>
      </c>
      <c r="AM151" s="364">
        <v>31.536000000000001</v>
      </c>
      <c r="AN151" s="363">
        <f t="shared" si="53"/>
        <v>2020</v>
      </c>
      <c r="AO151" s="367"/>
      <c r="AP151" s="368"/>
      <c r="AQ151" s="370"/>
      <c r="AR151" s="370"/>
      <c r="AS151" s="370"/>
      <c r="AT151" s="370"/>
      <c r="AU151" s="371">
        <v>1</v>
      </c>
      <c r="AV151" s="371">
        <v>1</v>
      </c>
      <c r="AW151" s="371"/>
      <c r="AX151" s="372" t="s">
        <v>202</v>
      </c>
      <c r="AY151" s="368">
        <v>3.8</v>
      </c>
      <c r="AZ151" s="371">
        <v>3.8</v>
      </c>
      <c r="BA151" s="371">
        <v>4.3</v>
      </c>
      <c r="BB151" s="372"/>
      <c r="BC151" s="373"/>
      <c r="BD151" s="373"/>
      <c r="BE151" s="374"/>
      <c r="BF151" s="363"/>
      <c r="BG151" s="363"/>
      <c r="BH151" s="375"/>
      <c r="BI151" s="363">
        <v>20</v>
      </c>
      <c r="BJ151" s="363"/>
      <c r="BK151" s="372">
        <v>71</v>
      </c>
      <c r="BL151" s="376"/>
      <c r="BM151" s="376"/>
      <c r="BN151" s="376"/>
      <c r="BO151" s="376"/>
      <c r="BP151" s="376"/>
      <c r="BQ151" s="376"/>
      <c r="BR151" s="368">
        <v>1650</v>
      </c>
      <c r="BS151" s="372">
        <v>0.4425</v>
      </c>
      <c r="BT151" s="364"/>
      <c r="BU151" s="372"/>
      <c r="BV151" s="364"/>
      <c r="BW151" s="364"/>
      <c r="BX151" s="397"/>
    </row>
    <row r="152" spans="1:76" s="226" customFormat="1" x14ac:dyDescent="0.3">
      <c r="A152" s="88"/>
      <c r="B152" s="87"/>
      <c r="C152" s="87"/>
      <c r="D152" s="87"/>
      <c r="E152" s="87"/>
      <c r="F152" s="88"/>
      <c r="G152" s="87"/>
      <c r="H152" s="88"/>
      <c r="I152" s="88"/>
      <c r="J152" s="378" t="s">
        <v>134</v>
      </c>
      <c r="K152" s="379" t="s">
        <v>135</v>
      </c>
      <c r="L152" s="379"/>
      <c r="M152" s="379"/>
      <c r="N152" s="379"/>
      <c r="O152" s="379" t="s">
        <v>136</v>
      </c>
      <c r="P152" s="379">
        <v>2017</v>
      </c>
      <c r="Q152" s="380" t="s">
        <v>187</v>
      </c>
      <c r="R152" s="381" t="s">
        <v>196</v>
      </c>
      <c r="S152" s="379">
        <v>160</v>
      </c>
      <c r="T152" s="379"/>
      <c r="U152" s="379" t="s">
        <v>189</v>
      </c>
      <c r="V152" s="379" t="s">
        <v>190</v>
      </c>
      <c r="W152" s="379" t="s">
        <v>149</v>
      </c>
      <c r="X152" s="379">
        <v>2030</v>
      </c>
      <c r="Y152" s="379"/>
      <c r="Z152" s="379" t="str">
        <f>VLOOKUP(R152,KEY_Processes!$B$4:$E$54,4,FALSE)</f>
        <v>HP_ELC_06</v>
      </c>
      <c r="AA152" s="379" t="str">
        <f>VLOOKUP(R152,KEY_Processes!$B$4:$E$54,2,FALSE)</f>
        <v>Electric heat pumps, Air-to-water</v>
      </c>
      <c r="AB152" s="379" t="str">
        <f>VLOOKUP(U152,KEY_FUELS!$C$4:$D$77,2,FALSE)</f>
        <v>ELC</v>
      </c>
      <c r="AC152" s="379" t="s">
        <v>150</v>
      </c>
      <c r="AD152" s="379" t="s">
        <v>161</v>
      </c>
      <c r="AE152" s="379" t="s">
        <v>152</v>
      </c>
      <c r="AF152" s="382" t="str">
        <f>VLOOKUP(W152,KEY_Other!$B$37:$C$89,2,FALSE)</f>
        <v>DK</v>
      </c>
      <c r="AG152" s="379"/>
      <c r="AH152" s="379" t="str">
        <f>AC152&amp;VLOOKUP(U152,KEY_FUELS!$C$4:$D$78,2,FALSE)</f>
        <v>RSDELC</v>
      </c>
      <c r="AI152" s="379" t="str">
        <f>IFERROR(AC152&amp;VLOOKUP(V152,KEY_FUELS!$C$4:$D$78,2,FALSE),"")</f>
        <v>RSDAHT</v>
      </c>
      <c r="AJ152" s="379" t="str">
        <f t="shared" si="58"/>
        <v>RHAPA</v>
      </c>
      <c r="AK152" s="379" t="str">
        <f t="shared" si="50"/>
        <v>RWAPA</v>
      </c>
      <c r="AL152" s="379" t="str">
        <f t="shared" si="51"/>
        <v/>
      </c>
      <c r="AM152" s="380">
        <v>31.536000000000001</v>
      </c>
      <c r="AN152" s="379">
        <f t="shared" si="53"/>
        <v>2030</v>
      </c>
      <c r="AO152" s="383"/>
      <c r="AP152" s="384"/>
      <c r="AQ152" s="386"/>
      <c r="AR152" s="386"/>
      <c r="AS152" s="386"/>
      <c r="AT152" s="386"/>
      <c r="AU152" s="387">
        <v>1</v>
      </c>
      <c r="AV152" s="387">
        <v>1</v>
      </c>
      <c r="AW152" s="387"/>
      <c r="AX152" s="388" t="s">
        <v>202</v>
      </c>
      <c r="AY152" s="384">
        <v>3.9</v>
      </c>
      <c r="AZ152" s="387">
        <v>3.9</v>
      </c>
      <c r="BA152" s="387">
        <v>4.4000000000000004</v>
      </c>
      <c r="BB152" s="388"/>
      <c r="BC152" s="389"/>
      <c r="BD152" s="389"/>
      <c r="BE152" s="390"/>
      <c r="BF152" s="379"/>
      <c r="BG152" s="379"/>
      <c r="BH152" s="391"/>
      <c r="BI152" s="379">
        <v>20</v>
      </c>
      <c r="BJ152" s="379"/>
      <c r="BK152" s="388">
        <v>63</v>
      </c>
      <c r="BL152" s="392"/>
      <c r="BM152" s="392"/>
      <c r="BN152" s="392"/>
      <c r="BO152" s="392"/>
      <c r="BP152" s="392"/>
      <c r="BQ152" s="392"/>
      <c r="BR152" s="384">
        <v>1866</v>
      </c>
      <c r="BS152" s="388">
        <v>0.4425</v>
      </c>
      <c r="BT152" s="380"/>
      <c r="BU152" s="388"/>
      <c r="BV152" s="380"/>
      <c r="BW152" s="380"/>
      <c r="BX152" s="395"/>
    </row>
    <row r="153" spans="1:76" s="226" customFormat="1" x14ac:dyDescent="0.3">
      <c r="A153" s="88"/>
      <c r="B153" s="87"/>
      <c r="C153" s="87"/>
      <c r="D153" s="87"/>
      <c r="E153" s="87"/>
      <c r="F153" s="88"/>
      <c r="G153" s="87"/>
      <c r="H153" s="88"/>
      <c r="I153" s="88"/>
      <c r="J153" s="362" t="s">
        <v>134</v>
      </c>
      <c r="K153" s="363" t="s">
        <v>135</v>
      </c>
      <c r="L153" s="363"/>
      <c r="M153" s="363"/>
      <c r="N153" s="363"/>
      <c r="O153" s="363" t="s">
        <v>136</v>
      </c>
      <c r="P153" s="363">
        <v>2017</v>
      </c>
      <c r="Q153" s="364" t="s">
        <v>187</v>
      </c>
      <c r="R153" s="365" t="s">
        <v>196</v>
      </c>
      <c r="S153" s="363">
        <v>160</v>
      </c>
      <c r="T153" s="363"/>
      <c r="U153" s="363" t="s">
        <v>189</v>
      </c>
      <c r="V153" s="363" t="s">
        <v>190</v>
      </c>
      <c r="W153" s="363" t="s">
        <v>149</v>
      </c>
      <c r="X153" s="363">
        <v>2050</v>
      </c>
      <c r="Y153" s="363"/>
      <c r="Z153" s="363" t="str">
        <f>VLOOKUP(R153,KEY_Processes!$B$4:$E$54,4,FALSE)</f>
        <v>HP_ELC_06</v>
      </c>
      <c r="AA153" s="363" t="str">
        <f>VLOOKUP(R153,KEY_Processes!$B$4:$E$54,2,FALSE)</f>
        <v>Electric heat pumps, Air-to-water</v>
      </c>
      <c r="AB153" s="363" t="str">
        <f>VLOOKUP(U153,KEY_FUELS!$C$4:$D$77,2,FALSE)</f>
        <v>ELC</v>
      </c>
      <c r="AC153" s="363" t="s">
        <v>150</v>
      </c>
      <c r="AD153" s="363" t="s">
        <v>161</v>
      </c>
      <c r="AE153" s="363" t="s">
        <v>152</v>
      </c>
      <c r="AF153" s="366" t="str">
        <f>VLOOKUP(W153,KEY_Other!$B$37:$C$89,2,FALSE)</f>
        <v>DK</v>
      </c>
      <c r="AG153" s="363"/>
      <c r="AH153" s="363" t="str">
        <f>AC153&amp;VLOOKUP(U153,KEY_FUELS!$C$4:$D$78,2,FALSE)</f>
        <v>RSDELC</v>
      </c>
      <c r="AI153" s="363" t="str">
        <f>IFERROR(AC153&amp;VLOOKUP(V153,KEY_FUELS!$C$4:$D$78,2,FALSE),"")</f>
        <v>RSDAHT</v>
      </c>
      <c r="AJ153" s="363" t="str">
        <f t="shared" si="49"/>
        <v>RHAPA</v>
      </c>
      <c r="AK153" s="363" t="str">
        <f t="shared" si="50"/>
        <v>RWAPA</v>
      </c>
      <c r="AL153" s="363" t="str">
        <f t="shared" si="51"/>
        <v/>
      </c>
      <c r="AM153" s="364">
        <v>31.536000000000001</v>
      </c>
      <c r="AN153" s="363">
        <f t="shared" si="53"/>
        <v>2050</v>
      </c>
      <c r="AO153" s="367"/>
      <c r="AP153" s="368"/>
      <c r="AQ153" s="370"/>
      <c r="AR153" s="370"/>
      <c r="AS153" s="370"/>
      <c r="AT153" s="370"/>
      <c r="AU153" s="371">
        <v>1</v>
      </c>
      <c r="AV153" s="371">
        <v>1</v>
      </c>
      <c r="AW153" s="371"/>
      <c r="AX153" s="372" t="s">
        <v>202</v>
      </c>
      <c r="AY153" s="368">
        <v>4.05</v>
      </c>
      <c r="AZ153" s="371">
        <v>4.05</v>
      </c>
      <c r="BA153" s="371">
        <v>4.5999999999999996</v>
      </c>
      <c r="BB153" s="372"/>
      <c r="BC153" s="373"/>
      <c r="BD153" s="373"/>
      <c r="BE153" s="374"/>
      <c r="BF153" s="363"/>
      <c r="BG153" s="363"/>
      <c r="BH153" s="375"/>
      <c r="BI153" s="363">
        <v>20</v>
      </c>
      <c r="BJ153" s="363"/>
      <c r="BK153" s="372">
        <v>57</v>
      </c>
      <c r="BL153" s="376"/>
      <c r="BM153" s="376"/>
      <c r="BN153" s="376"/>
      <c r="BO153" s="376"/>
      <c r="BP153" s="376"/>
      <c r="BQ153" s="376"/>
      <c r="BR153" s="368">
        <v>2411</v>
      </c>
      <c r="BS153" s="372">
        <v>0.4425</v>
      </c>
      <c r="BT153" s="364"/>
      <c r="BU153" s="372"/>
      <c r="BV153" s="364"/>
      <c r="BW153" s="364"/>
      <c r="BX153" s="397"/>
    </row>
    <row r="154" spans="1:76" s="226" customFormat="1" x14ac:dyDescent="0.3">
      <c r="A154" s="88"/>
      <c r="B154" s="87"/>
      <c r="C154" s="87"/>
      <c r="D154" s="87"/>
      <c r="E154" s="87"/>
      <c r="F154" s="88"/>
      <c r="G154" s="87"/>
      <c r="H154" s="88"/>
      <c r="I154" s="88"/>
      <c r="J154" s="378" t="s">
        <v>134</v>
      </c>
      <c r="K154" s="379" t="s">
        <v>135</v>
      </c>
      <c r="L154" s="379"/>
      <c r="M154" s="379"/>
      <c r="N154" s="379"/>
      <c r="O154" s="379" t="s">
        <v>136</v>
      </c>
      <c r="P154" s="379">
        <v>2017</v>
      </c>
      <c r="Q154" s="380" t="s">
        <v>187</v>
      </c>
      <c r="R154" s="381" t="s">
        <v>197</v>
      </c>
      <c r="S154" s="379">
        <v>10</v>
      </c>
      <c r="T154" s="379"/>
      <c r="U154" s="379" t="s">
        <v>189</v>
      </c>
      <c r="V154" s="379" t="s">
        <v>198</v>
      </c>
      <c r="W154" s="379" t="s">
        <v>149</v>
      </c>
      <c r="X154" s="379">
        <v>2015</v>
      </c>
      <c r="Y154" s="379"/>
      <c r="Z154" s="379" t="str">
        <f>VLOOKUP(R154,KEY_Processes!$B$4:$E$54,4,FALSE)</f>
        <v>HP_ELC_07</v>
      </c>
      <c r="AA154" s="379" t="str">
        <f>VLOOKUP(R154,KEY_Processes!$B$4:$E$54,2,FALSE)</f>
        <v>Electric heat pumps, Brine-to-water (ground source)</v>
      </c>
      <c r="AB154" s="379" t="str">
        <f>VLOOKUP(U154,KEY_FUELS!$C$4:$D$77,2,FALSE)</f>
        <v>ELC</v>
      </c>
      <c r="AC154" s="379" t="s">
        <v>150</v>
      </c>
      <c r="AD154" s="379" t="s">
        <v>220</v>
      </c>
      <c r="AE154" s="379" t="s">
        <v>152</v>
      </c>
      <c r="AF154" s="382" t="str">
        <f>VLOOKUP(W154,KEY_Other!$B$37:$C$89,2,FALSE)</f>
        <v>DK</v>
      </c>
      <c r="AG154" s="379"/>
      <c r="AH154" s="379" t="str">
        <f>AC154&amp;VLOOKUP(U154,KEY_FUELS!$C$4:$D$78,2,FALSE)</f>
        <v>RSDELC</v>
      </c>
      <c r="AI154" s="379" t="str">
        <f>IFERROR(AC154&amp;VLOOKUP(V154,KEY_FUELS!$C$4:$D$78,2,FALSE),"")</f>
        <v>RSDGEO</v>
      </c>
      <c r="AJ154" s="379" t="str">
        <f t="shared" ref="AJ154" si="60">LEFT(AC154,1)&amp;"H"&amp;AD154</f>
        <v>RHHSC</v>
      </c>
      <c r="AK154" s="379" t="str">
        <f t="shared" si="50"/>
        <v>RWHSC</v>
      </c>
      <c r="AL154" s="379" t="str">
        <f t="shared" si="51"/>
        <v/>
      </c>
      <c r="AM154" s="380">
        <v>31.536000000000001</v>
      </c>
      <c r="AN154" s="379">
        <f t="shared" si="53"/>
        <v>2015</v>
      </c>
      <c r="AO154" s="383"/>
      <c r="AP154" s="384"/>
      <c r="AQ154" s="386"/>
      <c r="AR154" s="386"/>
      <c r="AS154" s="386"/>
      <c r="AT154" s="386"/>
      <c r="AU154" s="387">
        <v>1</v>
      </c>
      <c r="AV154" s="387">
        <v>1</v>
      </c>
      <c r="AW154" s="387"/>
      <c r="AX154" s="388" t="s">
        <v>202</v>
      </c>
      <c r="AY154" s="384">
        <v>3.6</v>
      </c>
      <c r="AZ154" s="387">
        <v>3.6</v>
      </c>
      <c r="BA154" s="387">
        <v>3.7</v>
      </c>
      <c r="BB154" s="388"/>
      <c r="BC154" s="389"/>
      <c r="BD154" s="389"/>
      <c r="BE154" s="390"/>
      <c r="BF154" s="379"/>
      <c r="BG154" s="379"/>
      <c r="BH154" s="391"/>
      <c r="BI154" s="379">
        <v>20</v>
      </c>
      <c r="BJ154" s="379"/>
      <c r="BK154" s="388">
        <v>16</v>
      </c>
      <c r="BL154" s="392"/>
      <c r="BM154" s="392"/>
      <c r="BN154" s="392"/>
      <c r="BO154" s="392"/>
      <c r="BP154" s="392"/>
      <c r="BQ154" s="392"/>
      <c r="BR154" s="384">
        <v>291</v>
      </c>
      <c r="BS154" s="388">
        <v>0</v>
      </c>
      <c r="BT154" s="380"/>
      <c r="BU154" s="388"/>
      <c r="BV154" s="380"/>
      <c r="BW154" s="380"/>
      <c r="BX154" s="395"/>
    </row>
    <row r="155" spans="1:76" s="226" customFormat="1" x14ac:dyDescent="0.3">
      <c r="A155" s="88"/>
      <c r="B155" s="87"/>
      <c r="C155" s="87"/>
      <c r="D155" s="87"/>
      <c r="E155" s="87"/>
      <c r="F155" s="88"/>
      <c r="G155" s="87"/>
      <c r="H155" s="88"/>
      <c r="I155" s="88"/>
      <c r="J155" s="362" t="s">
        <v>134</v>
      </c>
      <c r="K155" s="363" t="s">
        <v>135</v>
      </c>
      <c r="L155" s="363"/>
      <c r="M155" s="363"/>
      <c r="N155" s="363"/>
      <c r="O155" s="363" t="s">
        <v>136</v>
      </c>
      <c r="P155" s="363">
        <v>2017</v>
      </c>
      <c r="Q155" s="364" t="s">
        <v>187</v>
      </c>
      <c r="R155" s="365" t="s">
        <v>197</v>
      </c>
      <c r="S155" s="363">
        <v>10</v>
      </c>
      <c r="T155" s="363"/>
      <c r="U155" s="363" t="s">
        <v>189</v>
      </c>
      <c r="V155" s="363" t="s">
        <v>198</v>
      </c>
      <c r="W155" s="363" t="s">
        <v>149</v>
      </c>
      <c r="X155" s="363">
        <v>2020</v>
      </c>
      <c r="Y155" s="363"/>
      <c r="Z155" s="363" t="str">
        <f>VLOOKUP(R155,KEY_Processes!$B$4:$E$54,4,FALSE)</f>
        <v>HP_ELC_07</v>
      </c>
      <c r="AA155" s="363" t="str">
        <f>VLOOKUP(R155,KEY_Processes!$B$4:$E$54,2,FALSE)</f>
        <v>Electric heat pumps, Brine-to-water (ground source)</v>
      </c>
      <c r="AB155" s="363" t="str">
        <f>VLOOKUP(U155,KEY_FUELS!$C$4:$D$77,2,FALSE)</f>
        <v>ELC</v>
      </c>
      <c r="AC155" s="363" t="s">
        <v>150</v>
      </c>
      <c r="AD155" s="363" t="s">
        <v>220</v>
      </c>
      <c r="AE155" s="363" t="s">
        <v>152</v>
      </c>
      <c r="AF155" s="366" t="str">
        <f>VLOOKUP(W155,KEY_Other!$B$37:$C$89,2,FALSE)</f>
        <v>DK</v>
      </c>
      <c r="AG155" s="363"/>
      <c r="AH155" s="363" t="str">
        <f>AC155&amp;VLOOKUP(U155,KEY_FUELS!$C$4:$D$78,2,FALSE)</f>
        <v>RSDELC</v>
      </c>
      <c r="AI155" s="363" t="str">
        <f>IFERROR(AC155&amp;VLOOKUP(V155,KEY_FUELS!$C$4:$D$78,2,FALSE),"")</f>
        <v>RSDGEO</v>
      </c>
      <c r="AJ155" s="363" t="str">
        <f t="shared" si="49"/>
        <v>RHHSC</v>
      </c>
      <c r="AK155" s="363" t="str">
        <f t="shared" si="50"/>
        <v>RWHSC</v>
      </c>
      <c r="AL155" s="363" t="str">
        <f t="shared" si="51"/>
        <v/>
      </c>
      <c r="AM155" s="364">
        <v>31.536000000000001</v>
      </c>
      <c r="AN155" s="363">
        <f t="shared" si="53"/>
        <v>2020</v>
      </c>
      <c r="AO155" s="367"/>
      <c r="AP155" s="368"/>
      <c r="AQ155" s="370"/>
      <c r="AR155" s="370"/>
      <c r="AS155" s="370"/>
      <c r="AT155" s="370"/>
      <c r="AU155" s="371">
        <v>1</v>
      </c>
      <c r="AV155" s="371">
        <v>1</v>
      </c>
      <c r="AW155" s="371"/>
      <c r="AX155" s="372" t="s">
        <v>202</v>
      </c>
      <c r="AY155" s="368">
        <v>3.7</v>
      </c>
      <c r="AZ155" s="371">
        <v>3.7</v>
      </c>
      <c r="BA155" s="371">
        <v>3.8</v>
      </c>
      <c r="BB155" s="372"/>
      <c r="BC155" s="373"/>
      <c r="BD155" s="373"/>
      <c r="BE155" s="374"/>
      <c r="BF155" s="363"/>
      <c r="BG155" s="363"/>
      <c r="BH155" s="375"/>
      <c r="BI155" s="363">
        <v>20</v>
      </c>
      <c r="BJ155" s="363"/>
      <c r="BK155" s="372">
        <v>15</v>
      </c>
      <c r="BL155" s="376"/>
      <c r="BM155" s="376"/>
      <c r="BN155" s="376"/>
      <c r="BO155" s="376"/>
      <c r="BP155" s="376"/>
      <c r="BQ155" s="376"/>
      <c r="BR155" s="368">
        <v>278</v>
      </c>
      <c r="BS155" s="372">
        <v>0</v>
      </c>
      <c r="BT155" s="364"/>
      <c r="BU155" s="372"/>
      <c r="BV155" s="364"/>
      <c r="BW155" s="364"/>
      <c r="BX155" s="397"/>
    </row>
    <row r="156" spans="1:76" s="226" customFormat="1" x14ac:dyDescent="0.3">
      <c r="A156" s="88"/>
      <c r="B156" s="87"/>
      <c r="C156" s="87"/>
      <c r="D156" s="87"/>
      <c r="E156" s="87"/>
      <c r="F156" s="88"/>
      <c r="G156" s="87"/>
      <c r="H156" s="88"/>
      <c r="I156" s="88"/>
      <c r="J156" s="378" t="s">
        <v>134</v>
      </c>
      <c r="K156" s="379" t="s">
        <v>135</v>
      </c>
      <c r="L156" s="379"/>
      <c r="M156" s="379"/>
      <c r="N156" s="379"/>
      <c r="O156" s="379" t="s">
        <v>136</v>
      </c>
      <c r="P156" s="379">
        <v>2017</v>
      </c>
      <c r="Q156" s="380" t="s">
        <v>187</v>
      </c>
      <c r="R156" s="381" t="s">
        <v>197</v>
      </c>
      <c r="S156" s="379">
        <v>10</v>
      </c>
      <c r="T156" s="379"/>
      <c r="U156" s="379" t="s">
        <v>189</v>
      </c>
      <c r="V156" s="379" t="s">
        <v>198</v>
      </c>
      <c r="W156" s="379" t="s">
        <v>149</v>
      </c>
      <c r="X156" s="379">
        <v>2030</v>
      </c>
      <c r="Y156" s="379"/>
      <c r="Z156" s="379" t="str">
        <f>VLOOKUP(R156,KEY_Processes!$B$4:$E$54,4,FALSE)</f>
        <v>HP_ELC_07</v>
      </c>
      <c r="AA156" s="379" t="str">
        <f>VLOOKUP(R156,KEY_Processes!$B$4:$E$54,2,FALSE)</f>
        <v>Electric heat pumps, Brine-to-water (ground source)</v>
      </c>
      <c r="AB156" s="379" t="str">
        <f>VLOOKUP(U156,KEY_FUELS!$C$4:$D$77,2,FALSE)</f>
        <v>ELC</v>
      </c>
      <c r="AC156" s="379" t="s">
        <v>150</v>
      </c>
      <c r="AD156" s="379" t="s">
        <v>220</v>
      </c>
      <c r="AE156" s="379" t="s">
        <v>152</v>
      </c>
      <c r="AF156" s="382" t="str">
        <f>VLOOKUP(W156,KEY_Other!$B$37:$C$89,2,FALSE)</f>
        <v>DK</v>
      </c>
      <c r="AG156" s="379"/>
      <c r="AH156" s="379" t="str">
        <f>AC156&amp;VLOOKUP(U156,KEY_FUELS!$C$4:$D$78,2,FALSE)</f>
        <v>RSDELC</v>
      </c>
      <c r="AI156" s="379" t="str">
        <f>IFERROR(AC156&amp;VLOOKUP(V156,KEY_FUELS!$C$4:$D$78,2,FALSE),"")</f>
        <v>RSDGEO</v>
      </c>
      <c r="AJ156" s="379" t="str">
        <f t="shared" ref="AJ156" si="61">LEFT(AC156,1)&amp;"H"&amp;AD156</f>
        <v>RHHSC</v>
      </c>
      <c r="AK156" s="379" t="str">
        <f t="shared" si="50"/>
        <v>RWHSC</v>
      </c>
      <c r="AL156" s="379" t="str">
        <f t="shared" si="51"/>
        <v/>
      </c>
      <c r="AM156" s="380">
        <v>31.536000000000001</v>
      </c>
      <c r="AN156" s="379">
        <f t="shared" si="53"/>
        <v>2030</v>
      </c>
      <c r="AO156" s="383"/>
      <c r="AP156" s="384"/>
      <c r="AQ156" s="386"/>
      <c r="AR156" s="386"/>
      <c r="AS156" s="386"/>
      <c r="AT156" s="386"/>
      <c r="AU156" s="387">
        <v>1</v>
      </c>
      <c r="AV156" s="387">
        <v>1</v>
      </c>
      <c r="AW156" s="387"/>
      <c r="AX156" s="388" t="s">
        <v>202</v>
      </c>
      <c r="AY156" s="384">
        <v>3.8</v>
      </c>
      <c r="AZ156" s="387">
        <v>3.8</v>
      </c>
      <c r="BA156" s="387">
        <v>3.9</v>
      </c>
      <c r="BB156" s="388"/>
      <c r="BC156" s="389"/>
      <c r="BD156" s="389"/>
      <c r="BE156" s="390"/>
      <c r="BF156" s="379"/>
      <c r="BG156" s="379"/>
      <c r="BH156" s="391"/>
      <c r="BI156" s="379">
        <v>20</v>
      </c>
      <c r="BJ156" s="379"/>
      <c r="BK156" s="388">
        <v>14</v>
      </c>
      <c r="BL156" s="392"/>
      <c r="BM156" s="392"/>
      <c r="BN156" s="392"/>
      <c r="BO156" s="392"/>
      <c r="BP156" s="392"/>
      <c r="BQ156" s="392"/>
      <c r="BR156" s="384">
        <v>255</v>
      </c>
      <c r="BS156" s="388">
        <v>0</v>
      </c>
      <c r="BT156" s="380"/>
      <c r="BU156" s="388"/>
      <c r="BV156" s="380"/>
      <c r="BW156" s="380"/>
      <c r="BX156" s="395"/>
    </row>
    <row r="157" spans="1:76" s="226" customFormat="1" x14ac:dyDescent="0.3">
      <c r="A157" s="88"/>
      <c r="B157" s="87"/>
      <c r="C157" s="87"/>
      <c r="D157" s="87"/>
      <c r="E157" s="87"/>
      <c r="F157" s="88"/>
      <c r="G157" s="87"/>
      <c r="H157" s="88"/>
      <c r="I157" s="88"/>
      <c r="J157" s="362" t="s">
        <v>134</v>
      </c>
      <c r="K157" s="363" t="s">
        <v>135</v>
      </c>
      <c r="L157" s="363"/>
      <c r="M157" s="363"/>
      <c r="N157" s="363"/>
      <c r="O157" s="363" t="s">
        <v>136</v>
      </c>
      <c r="P157" s="363">
        <v>2017</v>
      </c>
      <c r="Q157" s="364" t="s">
        <v>187</v>
      </c>
      <c r="R157" s="365" t="s">
        <v>197</v>
      </c>
      <c r="S157" s="363">
        <v>10</v>
      </c>
      <c r="T157" s="363"/>
      <c r="U157" s="363" t="s">
        <v>189</v>
      </c>
      <c r="V157" s="363" t="s">
        <v>198</v>
      </c>
      <c r="W157" s="363" t="s">
        <v>149</v>
      </c>
      <c r="X157" s="363">
        <v>2050</v>
      </c>
      <c r="Y157" s="363"/>
      <c r="Z157" s="363" t="str">
        <f>VLOOKUP(R157,KEY_Processes!$B$4:$E$54,4,FALSE)</f>
        <v>HP_ELC_07</v>
      </c>
      <c r="AA157" s="363" t="str">
        <f>VLOOKUP(R157,KEY_Processes!$B$4:$E$54,2,FALSE)</f>
        <v>Electric heat pumps, Brine-to-water (ground source)</v>
      </c>
      <c r="AB157" s="363" t="str">
        <f>VLOOKUP(U157,KEY_FUELS!$C$4:$D$77,2,FALSE)</f>
        <v>ELC</v>
      </c>
      <c r="AC157" s="363" t="s">
        <v>150</v>
      </c>
      <c r="AD157" s="363" t="s">
        <v>220</v>
      </c>
      <c r="AE157" s="363" t="s">
        <v>152</v>
      </c>
      <c r="AF157" s="366" t="str">
        <f>VLOOKUP(W157,KEY_Other!$B$37:$C$89,2,FALSE)</f>
        <v>DK</v>
      </c>
      <c r="AG157" s="363"/>
      <c r="AH157" s="363" t="str">
        <f>AC157&amp;VLOOKUP(U157,KEY_FUELS!$C$4:$D$78,2,FALSE)</f>
        <v>RSDELC</v>
      </c>
      <c r="AI157" s="363" t="str">
        <f>IFERROR(AC157&amp;VLOOKUP(V157,KEY_FUELS!$C$4:$D$78,2,FALSE),"")</f>
        <v>RSDGEO</v>
      </c>
      <c r="AJ157" s="363" t="str">
        <f t="shared" si="49"/>
        <v>RHHSC</v>
      </c>
      <c r="AK157" s="363" t="str">
        <f t="shared" si="50"/>
        <v>RWHSC</v>
      </c>
      <c r="AL157" s="363" t="str">
        <f t="shared" si="51"/>
        <v/>
      </c>
      <c r="AM157" s="364">
        <v>31.536000000000001</v>
      </c>
      <c r="AN157" s="363">
        <f t="shared" si="53"/>
        <v>2050</v>
      </c>
      <c r="AO157" s="367"/>
      <c r="AP157" s="368"/>
      <c r="AQ157" s="370"/>
      <c r="AR157" s="370"/>
      <c r="AS157" s="370"/>
      <c r="AT157" s="370"/>
      <c r="AU157" s="371">
        <v>1</v>
      </c>
      <c r="AV157" s="371">
        <v>1</v>
      </c>
      <c r="AW157" s="371"/>
      <c r="AX157" s="372" t="s">
        <v>202</v>
      </c>
      <c r="AY157" s="368">
        <v>3.95</v>
      </c>
      <c r="AZ157" s="371">
        <v>3.95</v>
      </c>
      <c r="BA157" s="371">
        <v>4.05</v>
      </c>
      <c r="BB157" s="372"/>
      <c r="BC157" s="373"/>
      <c r="BD157" s="373"/>
      <c r="BE157" s="374"/>
      <c r="BF157" s="363"/>
      <c r="BG157" s="363"/>
      <c r="BH157" s="375"/>
      <c r="BI157" s="363">
        <v>20</v>
      </c>
      <c r="BJ157" s="363"/>
      <c r="BK157" s="372">
        <v>12</v>
      </c>
      <c r="BL157" s="376"/>
      <c r="BM157" s="376"/>
      <c r="BN157" s="376"/>
      <c r="BO157" s="376"/>
      <c r="BP157" s="376"/>
      <c r="BQ157" s="376"/>
      <c r="BR157" s="368">
        <v>239</v>
      </c>
      <c r="BS157" s="372">
        <v>0</v>
      </c>
      <c r="BT157" s="364"/>
      <c r="BU157" s="372"/>
      <c r="BV157" s="364"/>
      <c r="BW157" s="364"/>
      <c r="BX157" s="397"/>
    </row>
    <row r="158" spans="1:76" s="226" customFormat="1" x14ac:dyDescent="0.3">
      <c r="A158" s="88"/>
      <c r="B158" s="87"/>
      <c r="C158" s="87"/>
      <c r="D158" s="87"/>
      <c r="E158" s="87"/>
      <c r="F158" s="88"/>
      <c r="G158" s="87"/>
      <c r="H158" s="88"/>
      <c r="I158" s="88"/>
      <c r="J158" s="378" t="s">
        <v>134</v>
      </c>
      <c r="K158" s="379" t="s">
        <v>135</v>
      </c>
      <c r="L158" s="379"/>
      <c r="M158" s="379"/>
      <c r="N158" s="379"/>
      <c r="O158" s="379" t="s">
        <v>136</v>
      </c>
      <c r="P158" s="379">
        <v>2017</v>
      </c>
      <c r="Q158" s="380" t="s">
        <v>187</v>
      </c>
      <c r="R158" s="381" t="s">
        <v>199</v>
      </c>
      <c r="S158" s="379">
        <v>4</v>
      </c>
      <c r="T158" s="379"/>
      <c r="U158" s="379" t="s">
        <v>189</v>
      </c>
      <c r="V158" s="379" t="s">
        <v>198</v>
      </c>
      <c r="W158" s="379" t="s">
        <v>149</v>
      </c>
      <c r="X158" s="379">
        <v>2015</v>
      </c>
      <c r="Y158" s="379"/>
      <c r="Z158" s="379" t="str">
        <f>VLOOKUP(R158,KEY_Processes!$B$4:$E$54,4,FALSE)</f>
        <v>HP_ELC_08</v>
      </c>
      <c r="AA158" s="379" t="str">
        <f>VLOOKUP(R158,KEY_Processes!$B$4:$E$54,2,FALSE)</f>
        <v>Electric heat pumps, Brine-to-water (ground source)</v>
      </c>
      <c r="AB158" s="379" t="str">
        <f>VLOOKUP(U158,KEY_FUELS!$C$4:$D$77,2,FALSE)</f>
        <v>ELC</v>
      </c>
      <c r="AC158" s="379" t="s">
        <v>150</v>
      </c>
      <c r="AD158" s="379" t="s">
        <v>155</v>
      </c>
      <c r="AE158" s="379" t="s">
        <v>152</v>
      </c>
      <c r="AF158" s="382" t="str">
        <f>VLOOKUP(W158,KEY_Other!$B$37:$C$89,2,FALSE)</f>
        <v>DK</v>
      </c>
      <c r="AG158" s="379"/>
      <c r="AH158" s="379" t="str">
        <f>AC158&amp;VLOOKUP(U158,KEY_FUELS!$C$4:$D$78,2,FALSE)</f>
        <v>RSDELC</v>
      </c>
      <c r="AI158" s="379" t="str">
        <f>IFERROR(AC158&amp;VLOOKUP(V158,KEY_FUELS!$C$4:$D$78,2,FALSE),"")</f>
        <v>RSDGEO</v>
      </c>
      <c r="AJ158" s="379" t="str">
        <f t="shared" ref="AJ158" si="62">LEFT(AC158,1)&amp;"H"&amp;AD158</f>
        <v>RHHSA</v>
      </c>
      <c r="AK158" s="379" t="str">
        <f t="shared" si="50"/>
        <v>RWHSA</v>
      </c>
      <c r="AL158" s="379" t="str">
        <f t="shared" si="51"/>
        <v/>
      </c>
      <c r="AM158" s="380">
        <v>31.536000000000001</v>
      </c>
      <c r="AN158" s="379">
        <f t="shared" si="53"/>
        <v>2015</v>
      </c>
      <c r="AO158" s="383"/>
      <c r="AP158" s="384"/>
      <c r="AQ158" s="386"/>
      <c r="AR158" s="386"/>
      <c r="AS158" s="386"/>
      <c r="AT158" s="386"/>
      <c r="AU158" s="387">
        <v>1</v>
      </c>
      <c r="AV158" s="387">
        <v>1</v>
      </c>
      <c r="AW158" s="387"/>
      <c r="AX158" s="388" t="s">
        <v>202</v>
      </c>
      <c r="AY158" s="384">
        <v>2.95</v>
      </c>
      <c r="AZ158" s="387">
        <v>2.95</v>
      </c>
      <c r="BA158" s="387">
        <v>3.1</v>
      </c>
      <c r="BB158" s="388"/>
      <c r="BC158" s="389"/>
      <c r="BD158" s="389"/>
      <c r="BE158" s="390"/>
      <c r="BF158" s="379"/>
      <c r="BG158" s="379"/>
      <c r="BH158" s="391"/>
      <c r="BI158" s="379">
        <v>20</v>
      </c>
      <c r="BJ158" s="379"/>
      <c r="BK158" s="388">
        <v>12</v>
      </c>
      <c r="BL158" s="392"/>
      <c r="BM158" s="392"/>
      <c r="BN158" s="392"/>
      <c r="BO158" s="392"/>
      <c r="BP158" s="392"/>
      <c r="BQ158" s="392"/>
      <c r="BR158" s="384">
        <v>291</v>
      </c>
      <c r="BS158" s="388">
        <v>0</v>
      </c>
      <c r="BT158" s="380"/>
      <c r="BU158" s="388"/>
      <c r="BV158" s="380"/>
      <c r="BW158" s="380"/>
      <c r="BX158" s="395"/>
    </row>
    <row r="159" spans="1:76" s="226" customFormat="1" x14ac:dyDescent="0.3">
      <c r="A159" s="88"/>
      <c r="B159" s="87"/>
      <c r="C159" s="87"/>
      <c r="D159" s="87"/>
      <c r="E159" s="87"/>
      <c r="F159" s="88"/>
      <c r="G159" s="87"/>
      <c r="H159" s="88"/>
      <c r="I159" s="88"/>
      <c r="J159" s="362" t="s">
        <v>134</v>
      </c>
      <c r="K159" s="363" t="s">
        <v>135</v>
      </c>
      <c r="L159" s="363"/>
      <c r="M159" s="363"/>
      <c r="N159" s="363"/>
      <c r="O159" s="363" t="s">
        <v>136</v>
      </c>
      <c r="P159" s="363">
        <v>2017</v>
      </c>
      <c r="Q159" s="364" t="s">
        <v>187</v>
      </c>
      <c r="R159" s="365" t="s">
        <v>199</v>
      </c>
      <c r="S159" s="363">
        <v>4</v>
      </c>
      <c r="T159" s="363"/>
      <c r="U159" s="363" t="s">
        <v>189</v>
      </c>
      <c r="V159" s="363" t="s">
        <v>198</v>
      </c>
      <c r="W159" s="363" t="s">
        <v>149</v>
      </c>
      <c r="X159" s="363">
        <v>2020</v>
      </c>
      <c r="Y159" s="363"/>
      <c r="Z159" s="363" t="str">
        <f>VLOOKUP(R159,KEY_Processes!$B$4:$E$54,4,FALSE)</f>
        <v>HP_ELC_08</v>
      </c>
      <c r="AA159" s="363" t="str">
        <f>VLOOKUP(R159,KEY_Processes!$B$4:$E$54,2,FALSE)</f>
        <v>Electric heat pumps, Brine-to-water (ground source)</v>
      </c>
      <c r="AB159" s="363" t="str">
        <f>VLOOKUP(U159,KEY_FUELS!$C$4:$D$77,2,FALSE)</f>
        <v>ELC</v>
      </c>
      <c r="AC159" s="363" t="s">
        <v>150</v>
      </c>
      <c r="AD159" s="363" t="s">
        <v>155</v>
      </c>
      <c r="AE159" s="363" t="s">
        <v>152</v>
      </c>
      <c r="AF159" s="366" t="str">
        <f>VLOOKUP(W159,KEY_Other!$B$37:$C$89,2,FALSE)</f>
        <v>DK</v>
      </c>
      <c r="AG159" s="363"/>
      <c r="AH159" s="363" t="str">
        <f>AC159&amp;VLOOKUP(U159,KEY_FUELS!$C$4:$D$78,2,FALSE)</f>
        <v>RSDELC</v>
      </c>
      <c r="AI159" s="363" t="str">
        <f>IFERROR(AC159&amp;VLOOKUP(V159,KEY_FUELS!$C$4:$D$78,2,FALSE),"")</f>
        <v>RSDGEO</v>
      </c>
      <c r="AJ159" s="363" t="str">
        <f t="shared" si="49"/>
        <v>RHHSA</v>
      </c>
      <c r="AK159" s="363" t="str">
        <f t="shared" si="50"/>
        <v>RWHSA</v>
      </c>
      <c r="AL159" s="363" t="str">
        <f t="shared" si="51"/>
        <v/>
      </c>
      <c r="AM159" s="364">
        <v>31.536000000000001</v>
      </c>
      <c r="AN159" s="363">
        <f t="shared" si="53"/>
        <v>2020</v>
      </c>
      <c r="AO159" s="367"/>
      <c r="AP159" s="368"/>
      <c r="AQ159" s="370"/>
      <c r="AR159" s="370"/>
      <c r="AS159" s="370"/>
      <c r="AT159" s="370"/>
      <c r="AU159" s="371">
        <v>1</v>
      </c>
      <c r="AV159" s="371">
        <v>1</v>
      </c>
      <c r="AW159" s="371"/>
      <c r="AX159" s="372" t="s">
        <v>202</v>
      </c>
      <c r="AY159" s="368">
        <v>3.05</v>
      </c>
      <c r="AZ159" s="371">
        <v>3.05</v>
      </c>
      <c r="BA159" s="371">
        <v>3.2</v>
      </c>
      <c r="BB159" s="372"/>
      <c r="BC159" s="373"/>
      <c r="BD159" s="373"/>
      <c r="BE159" s="374"/>
      <c r="BF159" s="363"/>
      <c r="BG159" s="363"/>
      <c r="BH159" s="375"/>
      <c r="BI159" s="363">
        <v>20</v>
      </c>
      <c r="BJ159" s="363"/>
      <c r="BK159" s="372">
        <v>11</v>
      </c>
      <c r="BL159" s="376"/>
      <c r="BM159" s="376"/>
      <c r="BN159" s="376"/>
      <c r="BO159" s="376"/>
      <c r="BP159" s="376"/>
      <c r="BQ159" s="376"/>
      <c r="BR159" s="368">
        <v>278</v>
      </c>
      <c r="BS159" s="372">
        <v>0</v>
      </c>
      <c r="BT159" s="364"/>
      <c r="BU159" s="372"/>
      <c r="BV159" s="364"/>
      <c r="BW159" s="364"/>
      <c r="BX159" s="397"/>
    </row>
    <row r="160" spans="1:76" s="226" customFormat="1" x14ac:dyDescent="0.3">
      <c r="A160" s="88"/>
      <c r="B160" s="87"/>
      <c r="C160" s="87"/>
      <c r="D160" s="87"/>
      <c r="E160" s="87"/>
      <c r="F160" s="88"/>
      <c r="G160" s="87"/>
      <c r="H160" s="88"/>
      <c r="I160" s="88"/>
      <c r="J160" s="378" t="s">
        <v>134</v>
      </c>
      <c r="K160" s="379" t="s">
        <v>135</v>
      </c>
      <c r="L160" s="379"/>
      <c r="M160" s="379"/>
      <c r="N160" s="379"/>
      <c r="O160" s="379" t="s">
        <v>136</v>
      </c>
      <c r="P160" s="379">
        <v>2017</v>
      </c>
      <c r="Q160" s="380" t="s">
        <v>187</v>
      </c>
      <c r="R160" s="381" t="s">
        <v>199</v>
      </c>
      <c r="S160" s="379">
        <v>4</v>
      </c>
      <c r="T160" s="379"/>
      <c r="U160" s="379" t="s">
        <v>189</v>
      </c>
      <c r="V160" s="379" t="s">
        <v>198</v>
      </c>
      <c r="W160" s="379" t="s">
        <v>149</v>
      </c>
      <c r="X160" s="379">
        <v>2030</v>
      </c>
      <c r="Y160" s="379"/>
      <c r="Z160" s="379" t="str">
        <f>VLOOKUP(R160,KEY_Processes!$B$4:$E$54,4,FALSE)</f>
        <v>HP_ELC_08</v>
      </c>
      <c r="AA160" s="379" t="str">
        <f>VLOOKUP(R160,KEY_Processes!$B$4:$E$54,2,FALSE)</f>
        <v>Electric heat pumps, Brine-to-water (ground source)</v>
      </c>
      <c r="AB160" s="379" t="str">
        <f>VLOOKUP(U160,KEY_FUELS!$C$4:$D$77,2,FALSE)</f>
        <v>ELC</v>
      </c>
      <c r="AC160" s="379" t="s">
        <v>150</v>
      </c>
      <c r="AD160" s="379" t="s">
        <v>155</v>
      </c>
      <c r="AE160" s="379" t="s">
        <v>152</v>
      </c>
      <c r="AF160" s="382" t="str">
        <f>VLOOKUP(W160,KEY_Other!$B$37:$C$89,2,FALSE)</f>
        <v>DK</v>
      </c>
      <c r="AG160" s="379"/>
      <c r="AH160" s="379" t="str">
        <f>AC160&amp;VLOOKUP(U160,KEY_FUELS!$C$4:$D$78,2,FALSE)</f>
        <v>RSDELC</v>
      </c>
      <c r="AI160" s="379" t="str">
        <f>IFERROR(AC160&amp;VLOOKUP(V160,KEY_FUELS!$C$4:$D$78,2,FALSE),"")</f>
        <v>RSDGEO</v>
      </c>
      <c r="AJ160" s="379" t="str">
        <f t="shared" ref="AJ160" si="63">LEFT(AC160,1)&amp;"H"&amp;AD160</f>
        <v>RHHSA</v>
      </c>
      <c r="AK160" s="379" t="str">
        <f t="shared" si="50"/>
        <v>RWHSA</v>
      </c>
      <c r="AL160" s="379" t="str">
        <f t="shared" si="51"/>
        <v/>
      </c>
      <c r="AM160" s="380">
        <v>31.536000000000001</v>
      </c>
      <c r="AN160" s="379">
        <f t="shared" si="53"/>
        <v>2030</v>
      </c>
      <c r="AO160" s="383"/>
      <c r="AP160" s="384"/>
      <c r="AQ160" s="386"/>
      <c r="AR160" s="386"/>
      <c r="AS160" s="386"/>
      <c r="AT160" s="386"/>
      <c r="AU160" s="387">
        <v>1</v>
      </c>
      <c r="AV160" s="387">
        <v>1</v>
      </c>
      <c r="AW160" s="387"/>
      <c r="AX160" s="388" t="s">
        <v>202</v>
      </c>
      <c r="AY160" s="384">
        <v>3.15</v>
      </c>
      <c r="AZ160" s="387">
        <v>3.15</v>
      </c>
      <c r="BA160" s="387">
        <v>3.3</v>
      </c>
      <c r="BB160" s="388"/>
      <c r="BC160" s="389"/>
      <c r="BD160" s="389"/>
      <c r="BE160" s="390"/>
      <c r="BF160" s="379"/>
      <c r="BG160" s="379"/>
      <c r="BH160" s="391"/>
      <c r="BI160" s="379">
        <v>20</v>
      </c>
      <c r="BJ160" s="379"/>
      <c r="BK160" s="388">
        <v>10</v>
      </c>
      <c r="BL160" s="392"/>
      <c r="BM160" s="392"/>
      <c r="BN160" s="392"/>
      <c r="BO160" s="392"/>
      <c r="BP160" s="392"/>
      <c r="BQ160" s="392"/>
      <c r="BR160" s="384">
        <v>255</v>
      </c>
      <c r="BS160" s="388">
        <v>0</v>
      </c>
      <c r="BT160" s="380"/>
      <c r="BU160" s="388"/>
      <c r="BV160" s="380"/>
      <c r="BW160" s="380"/>
      <c r="BX160" s="395"/>
    </row>
    <row r="161" spans="1:76" s="226" customFormat="1" x14ac:dyDescent="0.3">
      <c r="A161" s="88"/>
      <c r="B161" s="87"/>
      <c r="C161" s="87"/>
      <c r="D161" s="87"/>
      <c r="E161" s="87"/>
      <c r="F161" s="88"/>
      <c r="G161" s="87"/>
      <c r="H161" s="88"/>
      <c r="I161" s="88"/>
      <c r="J161" s="362" t="s">
        <v>134</v>
      </c>
      <c r="K161" s="363" t="s">
        <v>135</v>
      </c>
      <c r="L161" s="363"/>
      <c r="M161" s="363"/>
      <c r="N161" s="363"/>
      <c r="O161" s="363" t="s">
        <v>136</v>
      </c>
      <c r="P161" s="363">
        <v>2017</v>
      </c>
      <c r="Q161" s="364" t="s">
        <v>187</v>
      </c>
      <c r="R161" s="365" t="s">
        <v>199</v>
      </c>
      <c r="S161" s="363">
        <v>4</v>
      </c>
      <c r="T161" s="363"/>
      <c r="U161" s="363" t="s">
        <v>189</v>
      </c>
      <c r="V161" s="363" t="s">
        <v>198</v>
      </c>
      <c r="W161" s="363" t="s">
        <v>149</v>
      </c>
      <c r="X161" s="363">
        <v>2050</v>
      </c>
      <c r="Y161" s="363"/>
      <c r="Z161" s="363" t="str">
        <f>VLOOKUP(R161,KEY_Processes!$B$4:$E$54,4,FALSE)</f>
        <v>HP_ELC_08</v>
      </c>
      <c r="AA161" s="363" t="str">
        <f>VLOOKUP(R161,KEY_Processes!$B$4:$E$54,2,FALSE)</f>
        <v>Electric heat pumps, Brine-to-water (ground source)</v>
      </c>
      <c r="AB161" s="363" t="str">
        <f>VLOOKUP(U161,KEY_FUELS!$C$4:$D$77,2,FALSE)</f>
        <v>ELC</v>
      </c>
      <c r="AC161" s="363" t="s">
        <v>150</v>
      </c>
      <c r="AD161" s="363" t="s">
        <v>155</v>
      </c>
      <c r="AE161" s="363" t="s">
        <v>152</v>
      </c>
      <c r="AF161" s="366" t="str">
        <f>VLOOKUP(W161,KEY_Other!$B$37:$C$89,2,FALSE)</f>
        <v>DK</v>
      </c>
      <c r="AG161" s="363"/>
      <c r="AH161" s="363" t="str">
        <f>AC161&amp;VLOOKUP(U161,KEY_FUELS!$C$4:$D$78,2,FALSE)</f>
        <v>RSDELC</v>
      </c>
      <c r="AI161" s="363" t="str">
        <f>IFERROR(AC161&amp;VLOOKUP(V161,KEY_FUELS!$C$4:$D$78,2,FALSE),"")</f>
        <v>RSDGEO</v>
      </c>
      <c r="AJ161" s="363" t="str">
        <f t="shared" si="49"/>
        <v>RHHSA</v>
      </c>
      <c r="AK161" s="363" t="str">
        <f t="shared" si="50"/>
        <v>RWHSA</v>
      </c>
      <c r="AL161" s="363" t="str">
        <f t="shared" si="51"/>
        <v/>
      </c>
      <c r="AM161" s="364">
        <v>31.536000000000001</v>
      </c>
      <c r="AN161" s="363">
        <f t="shared" si="53"/>
        <v>2050</v>
      </c>
      <c r="AO161" s="367"/>
      <c r="AP161" s="368"/>
      <c r="AQ161" s="370"/>
      <c r="AR161" s="370"/>
      <c r="AS161" s="370"/>
      <c r="AT161" s="370"/>
      <c r="AU161" s="371">
        <v>1</v>
      </c>
      <c r="AV161" s="371">
        <v>1</v>
      </c>
      <c r="AW161" s="371"/>
      <c r="AX161" s="372" t="s">
        <v>202</v>
      </c>
      <c r="AY161" s="368">
        <v>3.3</v>
      </c>
      <c r="AZ161" s="371">
        <v>3.3</v>
      </c>
      <c r="BA161" s="371">
        <v>3.45</v>
      </c>
      <c r="BB161" s="372"/>
      <c r="BC161" s="373"/>
      <c r="BD161" s="373"/>
      <c r="BE161" s="374"/>
      <c r="BF161" s="363"/>
      <c r="BG161" s="363"/>
      <c r="BH161" s="375"/>
      <c r="BI161" s="363">
        <v>20</v>
      </c>
      <c r="BJ161" s="363"/>
      <c r="BK161" s="372">
        <v>9</v>
      </c>
      <c r="BL161" s="376"/>
      <c r="BM161" s="376"/>
      <c r="BN161" s="376"/>
      <c r="BO161" s="376"/>
      <c r="BP161" s="376"/>
      <c r="BQ161" s="376"/>
      <c r="BR161" s="368">
        <v>239</v>
      </c>
      <c r="BS161" s="372">
        <v>0</v>
      </c>
      <c r="BT161" s="364"/>
      <c r="BU161" s="372"/>
      <c r="BV161" s="364"/>
      <c r="BW161" s="364"/>
      <c r="BX161" s="397"/>
    </row>
    <row r="162" spans="1:76" s="226" customFormat="1" x14ac:dyDescent="0.3">
      <c r="A162" s="88"/>
      <c r="B162" s="87"/>
      <c r="C162" s="87"/>
      <c r="D162" s="87"/>
      <c r="E162" s="87"/>
      <c r="F162" s="88"/>
      <c r="G162" s="87"/>
      <c r="H162" s="88"/>
      <c r="I162" s="88"/>
      <c r="J162" s="378" t="s">
        <v>134</v>
      </c>
      <c r="K162" s="379" t="s">
        <v>135</v>
      </c>
      <c r="L162" s="379"/>
      <c r="M162" s="379"/>
      <c r="N162" s="379"/>
      <c r="O162" s="379" t="s">
        <v>136</v>
      </c>
      <c r="P162" s="379">
        <v>2017</v>
      </c>
      <c r="Q162" s="380" t="s">
        <v>187</v>
      </c>
      <c r="R162" s="381" t="s">
        <v>200</v>
      </c>
      <c r="S162" s="379">
        <v>400</v>
      </c>
      <c r="T162" s="379"/>
      <c r="U162" s="379" t="s">
        <v>189</v>
      </c>
      <c r="V162" s="379" t="s">
        <v>198</v>
      </c>
      <c r="W162" s="379" t="s">
        <v>149</v>
      </c>
      <c r="X162" s="379">
        <v>2015</v>
      </c>
      <c r="Y162" s="379"/>
      <c r="Z162" s="379" t="str">
        <f>VLOOKUP(R162,KEY_Processes!$B$4:$E$54,4,FALSE)</f>
        <v>HP_ELC_09</v>
      </c>
      <c r="AA162" s="379" t="str">
        <f>VLOOKUP(R162,KEY_Processes!$B$4:$E$54,2,FALSE)</f>
        <v>Electric heat pumps, Brine-to-water (ground source)</v>
      </c>
      <c r="AB162" s="379" t="str">
        <f>VLOOKUP(U162,KEY_FUELS!$C$4:$D$77,2,FALSE)</f>
        <v>ELC</v>
      </c>
      <c r="AC162" s="379" t="s">
        <v>150</v>
      </c>
      <c r="AD162" s="379" t="s">
        <v>158</v>
      </c>
      <c r="AE162" s="379" t="s">
        <v>152</v>
      </c>
      <c r="AF162" s="382" t="str">
        <f>VLOOKUP(W162,KEY_Other!$B$37:$C$89,2,FALSE)</f>
        <v>DK</v>
      </c>
      <c r="AG162" s="379"/>
      <c r="AH162" s="379" t="str">
        <f>AC162&amp;VLOOKUP(U162,KEY_FUELS!$C$4:$D$78,2,FALSE)</f>
        <v>RSDELC</v>
      </c>
      <c r="AI162" s="379" t="str">
        <f>IFERROR(AC162&amp;VLOOKUP(V162,KEY_FUELS!$C$4:$D$78,2,FALSE),"")</f>
        <v>RSDGEO</v>
      </c>
      <c r="AJ162" s="379" t="str">
        <f t="shared" si="49"/>
        <v>RHAPC</v>
      </c>
      <c r="AK162" s="379" t="str">
        <f t="shared" si="50"/>
        <v>RWAPC</v>
      </c>
      <c r="AL162" s="379" t="str">
        <f t="shared" si="51"/>
        <v/>
      </c>
      <c r="AM162" s="380">
        <v>31.536000000000001</v>
      </c>
      <c r="AN162" s="379">
        <f t="shared" si="53"/>
        <v>2015</v>
      </c>
      <c r="AO162" s="383"/>
      <c r="AP162" s="384"/>
      <c r="AQ162" s="386"/>
      <c r="AR162" s="386"/>
      <c r="AS162" s="386"/>
      <c r="AT162" s="386"/>
      <c r="AU162" s="387">
        <v>1</v>
      </c>
      <c r="AV162" s="387">
        <v>1</v>
      </c>
      <c r="AW162" s="387"/>
      <c r="AX162" s="388" t="s">
        <v>202</v>
      </c>
      <c r="AY162" s="384">
        <v>4</v>
      </c>
      <c r="AZ162" s="387">
        <v>4</v>
      </c>
      <c r="BA162" s="387">
        <v>4.2</v>
      </c>
      <c r="BB162" s="388"/>
      <c r="BC162" s="389"/>
      <c r="BD162" s="389"/>
      <c r="BE162" s="390"/>
      <c r="BF162" s="379"/>
      <c r="BG162" s="379"/>
      <c r="BH162" s="391"/>
      <c r="BI162" s="379">
        <v>20</v>
      </c>
      <c r="BJ162" s="379"/>
      <c r="BK162" s="388">
        <v>265</v>
      </c>
      <c r="BL162" s="392"/>
      <c r="BM162" s="392"/>
      <c r="BN162" s="392"/>
      <c r="BO162" s="392"/>
      <c r="BP162" s="392"/>
      <c r="BQ162" s="392"/>
      <c r="BR162" s="384">
        <v>1640</v>
      </c>
      <c r="BS162" s="388">
        <v>0.4425</v>
      </c>
      <c r="BT162" s="380"/>
      <c r="BU162" s="388"/>
      <c r="BV162" s="380"/>
      <c r="BW162" s="380"/>
      <c r="BX162" s="395"/>
    </row>
    <row r="163" spans="1:76" s="226" customFormat="1" x14ac:dyDescent="0.3">
      <c r="A163" s="88"/>
      <c r="B163" s="87"/>
      <c r="C163" s="87"/>
      <c r="D163" s="87"/>
      <c r="E163" s="87"/>
      <c r="F163" s="88"/>
      <c r="G163" s="87"/>
      <c r="H163" s="88"/>
      <c r="I163" s="88"/>
      <c r="J163" s="362" t="s">
        <v>134</v>
      </c>
      <c r="K163" s="363" t="s">
        <v>135</v>
      </c>
      <c r="L163" s="363"/>
      <c r="M163" s="363"/>
      <c r="N163" s="363"/>
      <c r="O163" s="363" t="s">
        <v>136</v>
      </c>
      <c r="P163" s="363">
        <v>2017</v>
      </c>
      <c r="Q163" s="364" t="s">
        <v>187</v>
      </c>
      <c r="R163" s="365" t="s">
        <v>200</v>
      </c>
      <c r="S163" s="363">
        <v>400</v>
      </c>
      <c r="T163" s="363"/>
      <c r="U163" s="363" t="s">
        <v>189</v>
      </c>
      <c r="V163" s="363" t="s">
        <v>198</v>
      </c>
      <c r="W163" s="363" t="s">
        <v>149</v>
      </c>
      <c r="X163" s="363">
        <v>2020</v>
      </c>
      <c r="Y163" s="363"/>
      <c r="Z163" s="363" t="str">
        <f>VLOOKUP(R163,KEY_Processes!$B$4:$E$54,4,FALSE)</f>
        <v>HP_ELC_09</v>
      </c>
      <c r="AA163" s="363" t="str">
        <f>VLOOKUP(R163,KEY_Processes!$B$4:$E$54,2,FALSE)</f>
        <v>Electric heat pumps, Brine-to-water (ground source)</v>
      </c>
      <c r="AB163" s="363" t="str">
        <f>VLOOKUP(U163,KEY_FUELS!$C$4:$D$77,2,FALSE)</f>
        <v>ELC</v>
      </c>
      <c r="AC163" s="363" t="s">
        <v>150</v>
      </c>
      <c r="AD163" s="363" t="s">
        <v>158</v>
      </c>
      <c r="AE163" s="363" t="s">
        <v>152</v>
      </c>
      <c r="AF163" s="366" t="str">
        <f>VLOOKUP(W163,KEY_Other!$B$37:$C$89,2,FALSE)</f>
        <v>DK</v>
      </c>
      <c r="AG163" s="363"/>
      <c r="AH163" s="363" t="str">
        <f>AC163&amp;VLOOKUP(U163,KEY_FUELS!$C$4:$D$78,2,FALSE)</f>
        <v>RSDELC</v>
      </c>
      <c r="AI163" s="363" t="str">
        <f>IFERROR(AC163&amp;VLOOKUP(V163,KEY_FUELS!$C$4:$D$78,2,FALSE),"")</f>
        <v>RSDGEO</v>
      </c>
      <c r="AJ163" s="363" t="str">
        <f t="shared" ref="AJ163" si="64">LEFT(AC163,1)&amp;"H"&amp;AD163</f>
        <v>RHAPC</v>
      </c>
      <c r="AK163" s="363" t="str">
        <f t="shared" si="50"/>
        <v>RWAPC</v>
      </c>
      <c r="AL163" s="363" t="str">
        <f t="shared" si="51"/>
        <v/>
      </c>
      <c r="AM163" s="364">
        <v>31.536000000000001</v>
      </c>
      <c r="AN163" s="363">
        <f t="shared" si="53"/>
        <v>2020</v>
      </c>
      <c r="AO163" s="367"/>
      <c r="AP163" s="368"/>
      <c r="AQ163" s="370"/>
      <c r="AR163" s="370"/>
      <c r="AS163" s="370"/>
      <c r="AT163" s="370"/>
      <c r="AU163" s="371">
        <v>1</v>
      </c>
      <c r="AV163" s="371">
        <v>1</v>
      </c>
      <c r="AW163" s="371"/>
      <c r="AX163" s="372" t="s">
        <v>202</v>
      </c>
      <c r="AY163" s="368">
        <v>4.0999999999999996</v>
      </c>
      <c r="AZ163" s="371">
        <v>4.0999999999999996</v>
      </c>
      <c r="BA163" s="371">
        <v>4.3</v>
      </c>
      <c r="BB163" s="372"/>
      <c r="BC163" s="373"/>
      <c r="BD163" s="373"/>
      <c r="BE163" s="374"/>
      <c r="BF163" s="363"/>
      <c r="BG163" s="363"/>
      <c r="BH163" s="375"/>
      <c r="BI163" s="363">
        <v>20</v>
      </c>
      <c r="BJ163" s="363"/>
      <c r="BK163" s="372">
        <v>249</v>
      </c>
      <c r="BL163" s="376"/>
      <c r="BM163" s="376"/>
      <c r="BN163" s="376"/>
      <c r="BO163" s="376"/>
      <c r="BP163" s="376"/>
      <c r="BQ163" s="376"/>
      <c r="BR163" s="368">
        <v>1650</v>
      </c>
      <c r="BS163" s="372">
        <v>0.4425</v>
      </c>
      <c r="BT163" s="364"/>
      <c r="BU163" s="372"/>
      <c r="BV163" s="364"/>
      <c r="BW163" s="364"/>
      <c r="BX163" s="397"/>
    </row>
    <row r="164" spans="1:76" s="226" customFormat="1" x14ac:dyDescent="0.3">
      <c r="A164" s="88"/>
      <c r="B164" s="87"/>
      <c r="C164" s="87"/>
      <c r="D164" s="87"/>
      <c r="E164" s="87"/>
      <c r="F164" s="88"/>
      <c r="G164" s="87"/>
      <c r="H164" s="88"/>
      <c r="I164" s="88"/>
      <c r="J164" s="378" t="s">
        <v>134</v>
      </c>
      <c r="K164" s="379" t="s">
        <v>135</v>
      </c>
      <c r="L164" s="379"/>
      <c r="M164" s="379"/>
      <c r="N164" s="379"/>
      <c r="O164" s="379" t="s">
        <v>136</v>
      </c>
      <c r="P164" s="379">
        <v>2017</v>
      </c>
      <c r="Q164" s="380" t="s">
        <v>187</v>
      </c>
      <c r="R164" s="381" t="s">
        <v>200</v>
      </c>
      <c r="S164" s="379">
        <v>400</v>
      </c>
      <c r="T164" s="379"/>
      <c r="U164" s="379" t="s">
        <v>189</v>
      </c>
      <c r="V164" s="379" t="s">
        <v>198</v>
      </c>
      <c r="W164" s="379" t="s">
        <v>149</v>
      </c>
      <c r="X164" s="379">
        <v>2030</v>
      </c>
      <c r="Y164" s="379"/>
      <c r="Z164" s="379" t="str">
        <f>VLOOKUP(R164,KEY_Processes!$B$4:$E$54,4,FALSE)</f>
        <v>HP_ELC_09</v>
      </c>
      <c r="AA164" s="379" t="str">
        <f>VLOOKUP(R164,KEY_Processes!$B$4:$E$54,2,FALSE)</f>
        <v>Electric heat pumps, Brine-to-water (ground source)</v>
      </c>
      <c r="AB164" s="379" t="str">
        <f>VLOOKUP(U164,KEY_FUELS!$C$4:$D$77,2,FALSE)</f>
        <v>ELC</v>
      </c>
      <c r="AC164" s="379" t="s">
        <v>150</v>
      </c>
      <c r="AD164" s="379" t="s">
        <v>158</v>
      </c>
      <c r="AE164" s="379" t="s">
        <v>152</v>
      </c>
      <c r="AF164" s="382" t="str">
        <f>VLOOKUP(W164,KEY_Other!$B$37:$C$89,2,FALSE)</f>
        <v>DK</v>
      </c>
      <c r="AG164" s="379"/>
      <c r="AH164" s="379" t="str">
        <f>AC164&amp;VLOOKUP(U164,KEY_FUELS!$C$4:$D$78,2,FALSE)</f>
        <v>RSDELC</v>
      </c>
      <c r="AI164" s="379" t="str">
        <f>IFERROR(AC164&amp;VLOOKUP(V164,KEY_FUELS!$C$4:$D$78,2,FALSE),"")</f>
        <v>RSDGEO</v>
      </c>
      <c r="AJ164" s="379" t="str">
        <f t="shared" si="49"/>
        <v>RHAPC</v>
      </c>
      <c r="AK164" s="379" t="str">
        <f t="shared" si="50"/>
        <v>RWAPC</v>
      </c>
      <c r="AL164" s="379" t="str">
        <f t="shared" si="51"/>
        <v/>
      </c>
      <c r="AM164" s="380">
        <v>31.536000000000001</v>
      </c>
      <c r="AN164" s="379">
        <f t="shared" si="53"/>
        <v>2030</v>
      </c>
      <c r="AO164" s="383"/>
      <c r="AP164" s="384"/>
      <c r="AQ164" s="386"/>
      <c r="AR164" s="386"/>
      <c r="AS164" s="386"/>
      <c r="AT164" s="386"/>
      <c r="AU164" s="387">
        <v>1</v>
      </c>
      <c r="AV164" s="387">
        <v>1</v>
      </c>
      <c r="AW164" s="387"/>
      <c r="AX164" s="388" t="s">
        <v>202</v>
      </c>
      <c r="AY164" s="384">
        <v>4.2</v>
      </c>
      <c r="AZ164" s="387">
        <v>4.2</v>
      </c>
      <c r="BA164" s="387">
        <v>4.4000000000000004</v>
      </c>
      <c r="BB164" s="388"/>
      <c r="BC164" s="389"/>
      <c r="BD164" s="389"/>
      <c r="BE164" s="390"/>
      <c r="BF164" s="379"/>
      <c r="BG164" s="379"/>
      <c r="BH164" s="391"/>
      <c r="BI164" s="379">
        <v>20</v>
      </c>
      <c r="BJ164" s="379"/>
      <c r="BK164" s="388">
        <v>224</v>
      </c>
      <c r="BL164" s="392"/>
      <c r="BM164" s="392"/>
      <c r="BN164" s="392"/>
      <c r="BO164" s="392"/>
      <c r="BP164" s="392"/>
      <c r="BQ164" s="392"/>
      <c r="BR164" s="384">
        <v>1866</v>
      </c>
      <c r="BS164" s="388">
        <v>0.4425</v>
      </c>
      <c r="BT164" s="380"/>
      <c r="BU164" s="388"/>
      <c r="BV164" s="380"/>
      <c r="BW164" s="380"/>
      <c r="BX164" s="395"/>
    </row>
    <row r="165" spans="1:76" s="226" customFormat="1" x14ac:dyDescent="0.3">
      <c r="A165" s="88"/>
      <c r="B165" s="87"/>
      <c r="C165" s="87"/>
      <c r="D165" s="87"/>
      <c r="E165" s="87"/>
      <c r="F165" s="88"/>
      <c r="G165" s="87"/>
      <c r="H165" s="88"/>
      <c r="I165" s="88"/>
      <c r="J165" s="362" t="s">
        <v>134</v>
      </c>
      <c r="K165" s="363" t="s">
        <v>135</v>
      </c>
      <c r="L165" s="363"/>
      <c r="M165" s="363"/>
      <c r="N165" s="363"/>
      <c r="O165" s="363" t="s">
        <v>136</v>
      </c>
      <c r="P165" s="363">
        <v>2017</v>
      </c>
      <c r="Q165" s="364" t="s">
        <v>187</v>
      </c>
      <c r="R165" s="365" t="s">
        <v>200</v>
      </c>
      <c r="S165" s="363">
        <v>400</v>
      </c>
      <c r="T165" s="363"/>
      <c r="U165" s="363" t="s">
        <v>189</v>
      </c>
      <c r="V165" s="363" t="s">
        <v>198</v>
      </c>
      <c r="W165" s="363" t="s">
        <v>149</v>
      </c>
      <c r="X165" s="363">
        <v>2050</v>
      </c>
      <c r="Y165" s="363"/>
      <c r="Z165" s="363" t="str">
        <f>VLOOKUP(R165,KEY_Processes!$B$4:$E$54,4,FALSE)</f>
        <v>HP_ELC_09</v>
      </c>
      <c r="AA165" s="363" t="str">
        <f>VLOOKUP(R165,KEY_Processes!$B$4:$E$54,2,FALSE)</f>
        <v>Electric heat pumps, Brine-to-water (ground source)</v>
      </c>
      <c r="AB165" s="363" t="str">
        <f>VLOOKUP(U165,KEY_FUELS!$C$4:$D$77,2,FALSE)</f>
        <v>ELC</v>
      </c>
      <c r="AC165" s="363" t="s">
        <v>150</v>
      </c>
      <c r="AD165" s="363" t="s">
        <v>158</v>
      </c>
      <c r="AE165" s="363" t="s">
        <v>152</v>
      </c>
      <c r="AF165" s="366" t="str">
        <f>VLOOKUP(W165,KEY_Other!$B$37:$C$89,2,FALSE)</f>
        <v>DK</v>
      </c>
      <c r="AG165" s="363"/>
      <c r="AH165" s="363" t="str">
        <f>AC165&amp;VLOOKUP(U165,KEY_FUELS!$C$4:$D$78,2,FALSE)</f>
        <v>RSDELC</v>
      </c>
      <c r="AI165" s="363" t="str">
        <f>IFERROR(AC165&amp;VLOOKUP(V165,KEY_FUELS!$C$4:$D$78,2,FALSE),"")</f>
        <v>RSDGEO</v>
      </c>
      <c r="AJ165" s="363" t="str">
        <f t="shared" ref="AJ165:AJ168" si="65">LEFT(AC165,1)&amp;"H"&amp;AD165</f>
        <v>RHAPC</v>
      </c>
      <c r="AK165" s="363" t="str">
        <f t="shared" si="50"/>
        <v>RWAPC</v>
      </c>
      <c r="AL165" s="363" t="str">
        <f t="shared" si="51"/>
        <v/>
      </c>
      <c r="AM165" s="364">
        <v>31.536000000000001</v>
      </c>
      <c r="AN165" s="363">
        <f t="shared" si="53"/>
        <v>2050</v>
      </c>
      <c r="AO165" s="367"/>
      <c r="AP165" s="368"/>
      <c r="AQ165" s="370"/>
      <c r="AR165" s="370"/>
      <c r="AS165" s="370"/>
      <c r="AT165" s="370"/>
      <c r="AU165" s="371">
        <v>1</v>
      </c>
      <c r="AV165" s="371">
        <v>1</v>
      </c>
      <c r="AW165" s="371"/>
      <c r="AX165" s="372" t="s">
        <v>202</v>
      </c>
      <c r="AY165" s="368">
        <v>4.4000000000000004</v>
      </c>
      <c r="AZ165" s="371">
        <v>4.4000000000000004</v>
      </c>
      <c r="BA165" s="371">
        <v>4.5999999999999996</v>
      </c>
      <c r="BB165" s="372"/>
      <c r="BC165" s="373"/>
      <c r="BD165" s="373"/>
      <c r="BE165" s="374"/>
      <c r="BF165" s="363"/>
      <c r="BG165" s="363"/>
      <c r="BH165" s="375"/>
      <c r="BI165" s="363">
        <v>20</v>
      </c>
      <c r="BJ165" s="363"/>
      <c r="BK165" s="372">
        <v>202</v>
      </c>
      <c r="BL165" s="376"/>
      <c r="BM165" s="376"/>
      <c r="BN165" s="376"/>
      <c r="BO165" s="376"/>
      <c r="BP165" s="376"/>
      <c r="BQ165" s="376"/>
      <c r="BR165" s="368">
        <v>2411</v>
      </c>
      <c r="BS165" s="372">
        <v>0.4425</v>
      </c>
      <c r="BT165" s="364"/>
      <c r="BU165" s="372"/>
      <c r="BV165" s="364"/>
      <c r="BW165" s="364"/>
      <c r="BX165" s="397"/>
    </row>
    <row r="166" spans="1:76" s="226" customFormat="1" x14ac:dyDescent="0.3">
      <c r="A166" s="88"/>
      <c r="B166" s="87"/>
      <c r="C166" s="87"/>
      <c r="D166" s="87"/>
      <c r="E166" s="87"/>
      <c r="F166" s="88"/>
      <c r="G166" s="87"/>
      <c r="H166" s="88"/>
      <c r="I166" s="88"/>
      <c r="J166" s="378" t="s">
        <v>134</v>
      </c>
      <c r="K166" s="379" t="s">
        <v>135</v>
      </c>
      <c r="L166" s="379"/>
      <c r="M166" s="379"/>
      <c r="N166" s="379"/>
      <c r="O166" s="379" t="s">
        <v>136</v>
      </c>
      <c r="P166" s="379">
        <v>2017</v>
      </c>
      <c r="Q166" s="380" t="s">
        <v>187</v>
      </c>
      <c r="R166" s="381" t="s">
        <v>201</v>
      </c>
      <c r="S166" s="379">
        <v>160</v>
      </c>
      <c r="T166" s="379"/>
      <c r="U166" s="379" t="s">
        <v>189</v>
      </c>
      <c r="V166" s="379" t="s">
        <v>198</v>
      </c>
      <c r="W166" s="379" t="s">
        <v>149</v>
      </c>
      <c r="X166" s="379">
        <v>2015</v>
      </c>
      <c r="Y166" s="379"/>
      <c r="Z166" s="379" t="str">
        <f>VLOOKUP(R166,KEY_Processes!$B$4:$E$54,4,FALSE)</f>
        <v>HP_ELC_10</v>
      </c>
      <c r="AA166" s="379" t="str">
        <f>VLOOKUP(R166,KEY_Processes!$B$4:$E$54,2,FALSE)</f>
        <v>Electric heat pumps, Brine-to-water (ground source)</v>
      </c>
      <c r="AB166" s="379" t="str">
        <f>VLOOKUP(U166,KEY_FUELS!$C$4:$D$77,2,FALSE)</f>
        <v>ELC</v>
      </c>
      <c r="AC166" s="379" t="s">
        <v>150</v>
      </c>
      <c r="AD166" s="379" t="s">
        <v>161</v>
      </c>
      <c r="AE166" s="379" t="s">
        <v>152</v>
      </c>
      <c r="AF166" s="382" t="str">
        <f>VLOOKUP(W166,KEY_Other!$B$37:$C$89,2,FALSE)</f>
        <v>DK</v>
      </c>
      <c r="AG166" s="379"/>
      <c r="AH166" s="379" t="str">
        <f>AC166&amp;VLOOKUP(U166,KEY_FUELS!$C$4:$D$78,2,FALSE)</f>
        <v>RSDELC</v>
      </c>
      <c r="AI166" s="379" t="str">
        <f>IFERROR(AC166&amp;VLOOKUP(V166,KEY_FUELS!$C$4:$D$78,2,FALSE),"")</f>
        <v>RSDGEO</v>
      </c>
      <c r="AJ166" s="379" t="str">
        <f t="shared" si="65"/>
        <v>RHAPA</v>
      </c>
      <c r="AK166" s="379" t="str">
        <f t="shared" si="50"/>
        <v>RWAPA</v>
      </c>
      <c r="AL166" s="379" t="str">
        <f t="shared" si="51"/>
        <v/>
      </c>
      <c r="AM166" s="380">
        <v>31.536000000000001</v>
      </c>
      <c r="AN166" s="379">
        <f t="shared" si="53"/>
        <v>2015</v>
      </c>
      <c r="AO166" s="383"/>
      <c r="AP166" s="384"/>
      <c r="AQ166" s="386"/>
      <c r="AR166" s="386"/>
      <c r="AS166" s="386"/>
      <c r="AT166" s="386"/>
      <c r="AU166" s="387">
        <v>1</v>
      </c>
      <c r="AV166" s="387">
        <v>1</v>
      </c>
      <c r="AW166" s="387"/>
      <c r="AX166" s="388" t="s">
        <v>202</v>
      </c>
      <c r="AY166" s="384">
        <v>4.2</v>
      </c>
      <c r="AZ166" s="387">
        <v>4.2</v>
      </c>
      <c r="BA166" s="387">
        <v>4.8</v>
      </c>
      <c r="BB166" s="388"/>
      <c r="BC166" s="389"/>
      <c r="BD166" s="389"/>
      <c r="BE166" s="390"/>
      <c r="BF166" s="379"/>
      <c r="BG166" s="379"/>
      <c r="BH166" s="391"/>
      <c r="BI166" s="379">
        <v>20</v>
      </c>
      <c r="BJ166" s="379"/>
      <c r="BK166" s="388">
        <v>95</v>
      </c>
      <c r="BL166" s="392"/>
      <c r="BM166" s="392"/>
      <c r="BN166" s="392"/>
      <c r="BO166" s="392"/>
      <c r="BP166" s="392"/>
      <c r="BQ166" s="392"/>
      <c r="BR166" s="384">
        <v>1640</v>
      </c>
      <c r="BS166" s="388">
        <v>0.4425</v>
      </c>
      <c r="BT166" s="380"/>
      <c r="BU166" s="388"/>
      <c r="BV166" s="380"/>
      <c r="BW166" s="380"/>
      <c r="BX166" s="395"/>
    </row>
    <row r="167" spans="1:76" s="226" customFormat="1" x14ac:dyDescent="0.3">
      <c r="A167" s="88"/>
      <c r="B167" s="87"/>
      <c r="C167" s="87"/>
      <c r="D167" s="87"/>
      <c r="E167" s="87"/>
      <c r="F167" s="88"/>
      <c r="G167" s="87"/>
      <c r="H167" s="88"/>
      <c r="I167" s="88"/>
      <c r="J167" s="362" t="s">
        <v>134</v>
      </c>
      <c r="K167" s="363" t="s">
        <v>135</v>
      </c>
      <c r="L167" s="363"/>
      <c r="M167" s="363"/>
      <c r="N167" s="363"/>
      <c r="O167" s="363" t="s">
        <v>136</v>
      </c>
      <c r="P167" s="363">
        <v>2017</v>
      </c>
      <c r="Q167" s="364" t="s">
        <v>187</v>
      </c>
      <c r="R167" s="365" t="s">
        <v>201</v>
      </c>
      <c r="S167" s="363">
        <v>160</v>
      </c>
      <c r="T167" s="363"/>
      <c r="U167" s="363" t="s">
        <v>189</v>
      </c>
      <c r="V167" s="363" t="s">
        <v>198</v>
      </c>
      <c r="W167" s="363" t="s">
        <v>149</v>
      </c>
      <c r="X167" s="363">
        <v>2020</v>
      </c>
      <c r="Y167" s="363"/>
      <c r="Z167" s="363" t="str">
        <f>VLOOKUP(R167,KEY_Processes!$B$4:$E$54,4,FALSE)</f>
        <v>HP_ELC_10</v>
      </c>
      <c r="AA167" s="363" t="str">
        <f>VLOOKUP(R167,KEY_Processes!$B$4:$E$54,2,FALSE)</f>
        <v>Electric heat pumps, Brine-to-water (ground source)</v>
      </c>
      <c r="AB167" s="363" t="str">
        <f>VLOOKUP(U167,KEY_FUELS!$C$4:$D$77,2,FALSE)</f>
        <v>ELC</v>
      </c>
      <c r="AC167" s="363" t="s">
        <v>150</v>
      </c>
      <c r="AD167" s="363" t="s">
        <v>161</v>
      </c>
      <c r="AE167" s="363" t="s">
        <v>152</v>
      </c>
      <c r="AF167" s="366" t="str">
        <f>VLOOKUP(W167,KEY_Other!$B$37:$C$89,2,FALSE)</f>
        <v>DK</v>
      </c>
      <c r="AG167" s="363"/>
      <c r="AH167" s="363" t="str">
        <f>AC167&amp;VLOOKUP(U167,KEY_FUELS!$C$4:$D$78,2,FALSE)</f>
        <v>RSDELC</v>
      </c>
      <c r="AI167" s="363" t="str">
        <f>IFERROR(AC167&amp;VLOOKUP(V167,KEY_FUELS!$C$4:$D$78,2,FALSE),"")</f>
        <v>RSDGEO</v>
      </c>
      <c r="AJ167" s="363" t="str">
        <f t="shared" ref="AJ167" si="66">LEFT(AC167,1)&amp;"H"&amp;AD167</f>
        <v>RHAPA</v>
      </c>
      <c r="AK167" s="363" t="str">
        <f t="shared" si="50"/>
        <v>RWAPA</v>
      </c>
      <c r="AL167" s="363" t="str">
        <f t="shared" si="51"/>
        <v/>
      </c>
      <c r="AM167" s="364">
        <v>31.536000000000001</v>
      </c>
      <c r="AN167" s="363">
        <f t="shared" si="53"/>
        <v>2020</v>
      </c>
      <c r="AO167" s="367"/>
      <c r="AP167" s="368"/>
      <c r="AQ167" s="370"/>
      <c r="AR167" s="370"/>
      <c r="AS167" s="370"/>
      <c r="AT167" s="370"/>
      <c r="AU167" s="371">
        <v>1</v>
      </c>
      <c r="AV167" s="371">
        <v>1</v>
      </c>
      <c r="AW167" s="371"/>
      <c r="AX167" s="372" t="s">
        <v>202</v>
      </c>
      <c r="AY167" s="368">
        <v>4.3</v>
      </c>
      <c r="AZ167" s="371">
        <v>4.3</v>
      </c>
      <c r="BA167" s="371">
        <v>4.9000000000000004</v>
      </c>
      <c r="BB167" s="372"/>
      <c r="BC167" s="373"/>
      <c r="BD167" s="373"/>
      <c r="BE167" s="374"/>
      <c r="BF167" s="363"/>
      <c r="BG167" s="363"/>
      <c r="BH167" s="375"/>
      <c r="BI167" s="363">
        <v>20</v>
      </c>
      <c r="BJ167" s="363"/>
      <c r="BK167" s="372">
        <v>89</v>
      </c>
      <c r="BL167" s="376"/>
      <c r="BM167" s="376"/>
      <c r="BN167" s="376"/>
      <c r="BO167" s="376"/>
      <c r="BP167" s="376"/>
      <c r="BQ167" s="376"/>
      <c r="BR167" s="368">
        <v>1650</v>
      </c>
      <c r="BS167" s="372">
        <v>0.4425</v>
      </c>
      <c r="BT167" s="364"/>
      <c r="BU167" s="372"/>
      <c r="BV167" s="364"/>
      <c r="BW167" s="364"/>
      <c r="BX167" s="397"/>
    </row>
    <row r="168" spans="1:76" s="226" customFormat="1" x14ac:dyDescent="0.3">
      <c r="A168" s="88"/>
      <c r="B168" s="87"/>
      <c r="C168" s="87"/>
      <c r="D168" s="87"/>
      <c r="E168" s="87"/>
      <c r="F168" s="88"/>
      <c r="G168" s="87"/>
      <c r="H168" s="88"/>
      <c r="I168" s="88"/>
      <c r="J168" s="378" t="s">
        <v>134</v>
      </c>
      <c r="K168" s="379" t="s">
        <v>135</v>
      </c>
      <c r="L168" s="379"/>
      <c r="M168" s="379"/>
      <c r="N168" s="379"/>
      <c r="O168" s="379" t="s">
        <v>136</v>
      </c>
      <c r="P168" s="379">
        <v>2017</v>
      </c>
      <c r="Q168" s="380" t="s">
        <v>187</v>
      </c>
      <c r="R168" s="381" t="s">
        <v>201</v>
      </c>
      <c r="S168" s="379">
        <v>160</v>
      </c>
      <c r="T168" s="379"/>
      <c r="U168" s="379" t="s">
        <v>189</v>
      </c>
      <c r="V168" s="379" t="s">
        <v>198</v>
      </c>
      <c r="W168" s="379" t="s">
        <v>149</v>
      </c>
      <c r="X168" s="379">
        <v>2030</v>
      </c>
      <c r="Y168" s="379"/>
      <c r="Z168" s="379" t="str">
        <f>VLOOKUP(R168,KEY_Processes!$B$4:$E$54,4,FALSE)</f>
        <v>HP_ELC_10</v>
      </c>
      <c r="AA168" s="379" t="str">
        <f>VLOOKUP(R168,KEY_Processes!$B$4:$E$54,2,FALSE)</f>
        <v>Electric heat pumps, Brine-to-water (ground source)</v>
      </c>
      <c r="AB168" s="379" t="str">
        <f>VLOOKUP(U168,KEY_FUELS!$C$4:$D$77,2,FALSE)</f>
        <v>ELC</v>
      </c>
      <c r="AC168" s="379" t="s">
        <v>150</v>
      </c>
      <c r="AD168" s="379" t="s">
        <v>161</v>
      </c>
      <c r="AE168" s="379" t="s">
        <v>152</v>
      </c>
      <c r="AF168" s="382" t="str">
        <f>VLOOKUP(W168,KEY_Other!$B$37:$C$89,2,FALSE)</f>
        <v>DK</v>
      </c>
      <c r="AG168" s="379"/>
      <c r="AH168" s="379" t="str">
        <f>AC168&amp;VLOOKUP(U168,KEY_FUELS!$C$4:$D$78,2,FALSE)</f>
        <v>RSDELC</v>
      </c>
      <c r="AI168" s="379" t="str">
        <f>IFERROR(AC168&amp;VLOOKUP(V168,KEY_FUELS!$C$4:$D$78,2,FALSE),"")</f>
        <v>RSDGEO</v>
      </c>
      <c r="AJ168" s="379" t="str">
        <f t="shared" si="65"/>
        <v>RHAPA</v>
      </c>
      <c r="AK168" s="379" t="str">
        <f t="shared" si="50"/>
        <v>RWAPA</v>
      </c>
      <c r="AL168" s="379" t="str">
        <f t="shared" si="51"/>
        <v/>
      </c>
      <c r="AM168" s="380">
        <v>31.536000000000001</v>
      </c>
      <c r="AN168" s="379">
        <f t="shared" si="53"/>
        <v>2030</v>
      </c>
      <c r="AO168" s="383"/>
      <c r="AP168" s="384"/>
      <c r="AQ168" s="386"/>
      <c r="AR168" s="386"/>
      <c r="AS168" s="386"/>
      <c r="AT168" s="386"/>
      <c r="AU168" s="387">
        <v>1</v>
      </c>
      <c r="AV168" s="387">
        <v>1</v>
      </c>
      <c r="AW168" s="387"/>
      <c r="AX168" s="388" t="s">
        <v>202</v>
      </c>
      <c r="AY168" s="384">
        <v>4.4000000000000004</v>
      </c>
      <c r="AZ168" s="387">
        <v>4.4000000000000004</v>
      </c>
      <c r="BA168" s="387">
        <v>5</v>
      </c>
      <c r="BB168" s="388"/>
      <c r="BC168" s="389"/>
      <c r="BD168" s="389"/>
      <c r="BE168" s="390"/>
      <c r="BF168" s="379"/>
      <c r="BG168" s="379"/>
      <c r="BH168" s="391"/>
      <c r="BI168" s="379">
        <v>20</v>
      </c>
      <c r="BJ168" s="379"/>
      <c r="BK168" s="388">
        <v>80</v>
      </c>
      <c r="BL168" s="392"/>
      <c r="BM168" s="392"/>
      <c r="BN168" s="392"/>
      <c r="BO168" s="392"/>
      <c r="BP168" s="392"/>
      <c r="BQ168" s="392"/>
      <c r="BR168" s="384">
        <v>1866</v>
      </c>
      <c r="BS168" s="388">
        <v>0.4425</v>
      </c>
      <c r="BT168" s="380"/>
      <c r="BU168" s="388"/>
      <c r="BV168" s="380"/>
      <c r="BW168" s="380"/>
      <c r="BX168" s="395"/>
    </row>
    <row r="169" spans="1:76" s="226" customFormat="1" x14ac:dyDescent="0.3">
      <c r="A169" s="88"/>
      <c r="B169" s="87"/>
      <c r="C169" s="87"/>
      <c r="D169" s="87"/>
      <c r="E169" s="87"/>
      <c r="F169" s="88"/>
      <c r="G169" s="87"/>
      <c r="H169" s="88"/>
      <c r="I169" s="88"/>
      <c r="J169" s="362" t="s">
        <v>134</v>
      </c>
      <c r="K169" s="363" t="s">
        <v>135</v>
      </c>
      <c r="L169" s="363"/>
      <c r="M169" s="363"/>
      <c r="N169" s="363"/>
      <c r="O169" s="363" t="s">
        <v>136</v>
      </c>
      <c r="P169" s="363">
        <v>2017</v>
      </c>
      <c r="Q169" s="364" t="s">
        <v>187</v>
      </c>
      <c r="R169" s="365" t="s">
        <v>201</v>
      </c>
      <c r="S169" s="363">
        <v>160</v>
      </c>
      <c r="T169" s="363"/>
      <c r="U169" s="363" t="s">
        <v>189</v>
      </c>
      <c r="V169" s="363" t="s">
        <v>198</v>
      </c>
      <c r="W169" s="363" t="s">
        <v>149</v>
      </c>
      <c r="X169" s="363">
        <v>2050</v>
      </c>
      <c r="Y169" s="363"/>
      <c r="Z169" s="363" t="str">
        <f>VLOOKUP(R169,KEY_Processes!$B$4:$E$54,4,FALSE)</f>
        <v>HP_ELC_10</v>
      </c>
      <c r="AA169" s="363" t="str">
        <f>VLOOKUP(R169,KEY_Processes!$B$4:$E$54,2,FALSE)</f>
        <v>Electric heat pumps, Brine-to-water (ground source)</v>
      </c>
      <c r="AB169" s="363" t="str">
        <f>VLOOKUP(U169,KEY_FUELS!$C$4:$D$77,2,FALSE)</f>
        <v>ELC</v>
      </c>
      <c r="AC169" s="363" t="s">
        <v>150</v>
      </c>
      <c r="AD169" s="363" t="s">
        <v>161</v>
      </c>
      <c r="AE169" s="363" t="s">
        <v>152</v>
      </c>
      <c r="AF169" s="366" t="str">
        <f>VLOOKUP(W169,KEY_Other!$B$37:$C$89,2,FALSE)</f>
        <v>DK</v>
      </c>
      <c r="AG169" s="363"/>
      <c r="AH169" s="363" t="str">
        <f>AC169&amp;VLOOKUP(U169,KEY_FUELS!$C$4:$D$78,2,FALSE)</f>
        <v>RSDELC</v>
      </c>
      <c r="AI169" s="363" t="str">
        <f>IFERROR(AC169&amp;VLOOKUP(V169,KEY_FUELS!$C$4:$D$78,2,FALSE),"")</f>
        <v>RSDGEO</v>
      </c>
      <c r="AJ169" s="363" t="str">
        <f t="shared" si="49"/>
        <v>RHAPA</v>
      </c>
      <c r="AK169" s="363" t="str">
        <f t="shared" si="50"/>
        <v>RWAPA</v>
      </c>
      <c r="AL169" s="363" t="str">
        <f t="shared" si="51"/>
        <v/>
      </c>
      <c r="AM169" s="364">
        <v>31.536000000000001</v>
      </c>
      <c r="AN169" s="363">
        <f t="shared" si="53"/>
        <v>2050</v>
      </c>
      <c r="AO169" s="367"/>
      <c r="AP169" s="368"/>
      <c r="AQ169" s="370"/>
      <c r="AR169" s="370"/>
      <c r="AS169" s="370"/>
      <c r="AT169" s="370"/>
      <c r="AU169" s="371">
        <v>1</v>
      </c>
      <c r="AV169" s="371">
        <v>1</v>
      </c>
      <c r="AW169" s="371"/>
      <c r="AX169" s="372" t="s">
        <v>202</v>
      </c>
      <c r="AY169" s="368">
        <v>4.55</v>
      </c>
      <c r="AZ169" s="371">
        <v>4.55</v>
      </c>
      <c r="BA169" s="371">
        <v>5.2</v>
      </c>
      <c r="BB169" s="372"/>
      <c r="BC169" s="373"/>
      <c r="BD169" s="373"/>
      <c r="BE169" s="374"/>
      <c r="BF169" s="363"/>
      <c r="BG169" s="363"/>
      <c r="BH169" s="375"/>
      <c r="BI169" s="363">
        <v>20</v>
      </c>
      <c r="BJ169" s="363"/>
      <c r="BK169" s="372">
        <v>72</v>
      </c>
      <c r="BL169" s="376"/>
      <c r="BM169" s="376"/>
      <c r="BN169" s="376"/>
      <c r="BO169" s="376"/>
      <c r="BP169" s="376"/>
      <c r="BQ169" s="376"/>
      <c r="BR169" s="368">
        <v>2411</v>
      </c>
      <c r="BS169" s="372">
        <v>0.4425</v>
      </c>
      <c r="BT169" s="364"/>
      <c r="BU169" s="372"/>
      <c r="BV169" s="364"/>
      <c r="BW169" s="364"/>
      <c r="BX169" s="397"/>
    </row>
    <row r="170" spans="1:76" s="226" customFormat="1" x14ac:dyDescent="0.3">
      <c r="A170" s="88"/>
      <c r="B170" s="87"/>
      <c r="C170" s="87"/>
      <c r="D170" s="87"/>
      <c r="E170" s="87"/>
      <c r="F170" s="88"/>
      <c r="G170" s="87"/>
      <c r="H170" s="88"/>
      <c r="I170" s="88"/>
      <c r="J170" s="378" t="s">
        <v>134</v>
      </c>
      <c r="K170" s="379" t="s">
        <v>135</v>
      </c>
      <c r="L170" s="379"/>
      <c r="M170" s="379"/>
      <c r="N170" s="379"/>
      <c r="O170" s="379" t="s">
        <v>136</v>
      </c>
      <c r="P170" s="379">
        <v>2017</v>
      </c>
      <c r="Q170" s="380" t="s">
        <v>187</v>
      </c>
      <c r="R170" s="381" t="s">
        <v>203</v>
      </c>
      <c r="S170" s="379">
        <v>2</v>
      </c>
      <c r="T170" s="379"/>
      <c r="U170" s="379" t="s">
        <v>189</v>
      </c>
      <c r="V170" s="379" t="s">
        <v>190</v>
      </c>
      <c r="W170" s="379" t="s">
        <v>149</v>
      </c>
      <c r="X170" s="379">
        <v>2015</v>
      </c>
      <c r="Y170" s="379"/>
      <c r="Z170" s="379" t="str">
        <f>VLOOKUP(R170,KEY_Processes!$B$4:$E$54,4,FALSE)</f>
        <v>HP_ELC_11</v>
      </c>
      <c r="AA170" s="379" t="str">
        <f>VLOOKUP(R170,KEY_Processes!$B$4:$E$54,2,FALSE)</f>
        <v>Electric heat pumps, Ventilation</v>
      </c>
      <c r="AB170" s="379" t="str">
        <f>VLOOKUP(U170,KEY_FUELS!$C$4:$D$77,2,FALSE)</f>
        <v>ELC</v>
      </c>
      <c r="AC170" s="379" t="s">
        <v>150</v>
      </c>
      <c r="AD170" s="379" t="s">
        <v>155</v>
      </c>
      <c r="AE170" s="379" t="s">
        <v>152</v>
      </c>
      <c r="AF170" s="382" t="str">
        <f>VLOOKUP(W170,KEY_Other!$B$37:$C$89,2,FALSE)</f>
        <v>DK</v>
      </c>
      <c r="AG170" s="379"/>
      <c r="AH170" s="379" t="str">
        <f>AC170&amp;VLOOKUP(U170,KEY_FUELS!$C$4:$D$78,2,FALSE)</f>
        <v>RSDELC</v>
      </c>
      <c r="AI170" s="379" t="str">
        <f>IFERROR(AC170&amp;VLOOKUP(V170,KEY_FUELS!$C$4:$D$78,2,FALSE),"")</f>
        <v>RSDAHT</v>
      </c>
      <c r="AJ170" s="379" t="str">
        <f t="shared" si="3"/>
        <v>RHHSA</v>
      </c>
      <c r="AK170" s="379" t="str">
        <f t="shared" si="50"/>
        <v>RWHSA</v>
      </c>
      <c r="AL170" s="379" t="str">
        <f t="shared" si="51"/>
        <v/>
      </c>
      <c r="AM170" s="380">
        <v>31.536000000000001</v>
      </c>
      <c r="AN170" s="379">
        <f t="shared" si="53"/>
        <v>2015</v>
      </c>
      <c r="AO170" s="383"/>
      <c r="AP170" s="384"/>
      <c r="AQ170" s="386"/>
      <c r="AR170" s="386"/>
      <c r="AS170" s="386"/>
      <c r="AT170" s="386"/>
      <c r="AU170" s="387">
        <v>0.7</v>
      </c>
      <c r="AV170" s="387">
        <v>0.9</v>
      </c>
      <c r="AW170" s="387"/>
      <c r="AX170" s="388"/>
      <c r="AY170" s="384">
        <v>3.15</v>
      </c>
      <c r="AZ170" s="387">
        <v>3.15</v>
      </c>
      <c r="BA170" s="387">
        <v>3.2</v>
      </c>
      <c r="BB170" s="388"/>
      <c r="BC170" s="389"/>
      <c r="BD170" s="389"/>
      <c r="BE170" s="390"/>
      <c r="BF170" s="379"/>
      <c r="BG170" s="379"/>
      <c r="BH170" s="391"/>
      <c r="BI170" s="379">
        <v>20</v>
      </c>
      <c r="BJ170" s="379"/>
      <c r="BK170" s="388">
        <v>2</v>
      </c>
      <c r="BL170" s="392"/>
      <c r="BM170" s="392"/>
      <c r="BN170" s="392"/>
      <c r="BO170" s="392"/>
      <c r="BP170" s="392"/>
      <c r="BQ170" s="392"/>
      <c r="BR170" s="384">
        <v>202</v>
      </c>
      <c r="BS170" s="388">
        <v>0</v>
      </c>
      <c r="BT170" s="380"/>
      <c r="BU170" s="388"/>
      <c r="BV170" s="380"/>
      <c r="BW170" s="380"/>
      <c r="BX170" s="395"/>
    </row>
    <row r="171" spans="1:76" s="226" customFormat="1" x14ac:dyDescent="0.3">
      <c r="A171" s="88"/>
      <c r="B171" s="87"/>
      <c r="C171" s="87"/>
      <c r="D171" s="87"/>
      <c r="E171" s="87"/>
      <c r="F171" s="88"/>
      <c r="G171" s="87"/>
      <c r="H171" s="88"/>
      <c r="I171" s="88"/>
      <c r="J171" s="362" t="s">
        <v>134</v>
      </c>
      <c r="K171" s="363" t="s">
        <v>135</v>
      </c>
      <c r="L171" s="363"/>
      <c r="M171" s="363"/>
      <c r="N171" s="363"/>
      <c r="O171" s="363" t="s">
        <v>136</v>
      </c>
      <c r="P171" s="363">
        <v>2017</v>
      </c>
      <c r="Q171" s="364" t="s">
        <v>187</v>
      </c>
      <c r="R171" s="365" t="s">
        <v>203</v>
      </c>
      <c r="S171" s="363">
        <v>2</v>
      </c>
      <c r="T171" s="363"/>
      <c r="U171" s="363" t="s">
        <v>189</v>
      </c>
      <c r="V171" s="363" t="s">
        <v>190</v>
      </c>
      <c r="W171" s="363" t="s">
        <v>149</v>
      </c>
      <c r="X171" s="363">
        <v>2020</v>
      </c>
      <c r="Y171" s="363"/>
      <c r="Z171" s="363" t="str">
        <f>VLOOKUP(R171,KEY_Processes!$B$4:$E$54,4,FALSE)</f>
        <v>HP_ELC_11</v>
      </c>
      <c r="AA171" s="363" t="str">
        <f>VLOOKUP(R171,KEY_Processes!$B$4:$E$54,2,FALSE)</f>
        <v>Electric heat pumps, Ventilation</v>
      </c>
      <c r="AB171" s="363" t="str">
        <f>VLOOKUP(U171,KEY_FUELS!$C$4:$D$77,2,FALSE)</f>
        <v>ELC</v>
      </c>
      <c r="AC171" s="363" t="s">
        <v>150</v>
      </c>
      <c r="AD171" s="363" t="s">
        <v>155</v>
      </c>
      <c r="AE171" s="363" t="s">
        <v>152</v>
      </c>
      <c r="AF171" s="366" t="str">
        <f>VLOOKUP(W171,KEY_Other!$B$37:$C$89,2,FALSE)</f>
        <v>DK</v>
      </c>
      <c r="AG171" s="363"/>
      <c r="AH171" s="363" t="str">
        <f>AC171&amp;VLOOKUP(U171,KEY_FUELS!$C$4:$D$78,2,FALSE)</f>
        <v>RSDELC</v>
      </c>
      <c r="AI171" s="363" t="str">
        <f>IFERROR(AC171&amp;VLOOKUP(V171,KEY_FUELS!$C$4:$D$78,2,FALSE),"")</f>
        <v>RSDAHT</v>
      </c>
      <c r="AJ171" s="363" t="str">
        <f t="shared" si="3"/>
        <v>RHHSA</v>
      </c>
      <c r="AK171" s="363" t="str">
        <f t="shared" si="50"/>
        <v>RWHSA</v>
      </c>
      <c r="AL171" s="363" t="str">
        <f t="shared" si="51"/>
        <v/>
      </c>
      <c r="AM171" s="364">
        <v>31.536000000000001</v>
      </c>
      <c r="AN171" s="363">
        <f t="shared" si="53"/>
        <v>2020</v>
      </c>
      <c r="AO171" s="367"/>
      <c r="AP171" s="368"/>
      <c r="AQ171" s="370"/>
      <c r="AR171" s="370"/>
      <c r="AS171" s="370"/>
      <c r="AT171" s="370"/>
      <c r="AU171" s="371">
        <v>0.8</v>
      </c>
      <c r="AV171" s="371">
        <v>0.9</v>
      </c>
      <c r="AW171" s="371"/>
      <c r="AX171" s="372"/>
      <c r="AY171" s="368">
        <v>3.25</v>
      </c>
      <c r="AZ171" s="371">
        <v>3.25</v>
      </c>
      <c r="BA171" s="371">
        <v>3.3</v>
      </c>
      <c r="BB171" s="372"/>
      <c r="BC171" s="373"/>
      <c r="BD171" s="373"/>
      <c r="BE171" s="374"/>
      <c r="BF171" s="363"/>
      <c r="BG171" s="363"/>
      <c r="BH171" s="375"/>
      <c r="BI171" s="363">
        <v>20</v>
      </c>
      <c r="BJ171" s="363"/>
      <c r="BK171" s="372">
        <v>2</v>
      </c>
      <c r="BL171" s="376"/>
      <c r="BM171" s="376"/>
      <c r="BN171" s="376"/>
      <c r="BO171" s="376"/>
      <c r="BP171" s="376"/>
      <c r="BQ171" s="376"/>
      <c r="BR171" s="368">
        <v>190</v>
      </c>
      <c r="BS171" s="372">
        <v>0</v>
      </c>
      <c r="BT171" s="364"/>
      <c r="BU171" s="372"/>
      <c r="BV171" s="364"/>
      <c r="BW171" s="364"/>
      <c r="BX171" s="397"/>
    </row>
    <row r="172" spans="1:76" s="226" customFormat="1" x14ac:dyDescent="0.3">
      <c r="A172" s="88"/>
      <c r="B172" s="87"/>
      <c r="C172" s="87"/>
      <c r="D172" s="87"/>
      <c r="E172" s="87"/>
      <c r="F172" s="88"/>
      <c r="G172" s="87"/>
      <c r="H172" s="88"/>
      <c r="I172" s="88"/>
      <c r="J172" s="378" t="s">
        <v>134</v>
      </c>
      <c r="K172" s="379" t="s">
        <v>135</v>
      </c>
      <c r="L172" s="379"/>
      <c r="M172" s="379"/>
      <c r="N172" s="379"/>
      <c r="O172" s="379" t="s">
        <v>136</v>
      </c>
      <c r="P172" s="379">
        <v>2017</v>
      </c>
      <c r="Q172" s="380" t="s">
        <v>187</v>
      </c>
      <c r="R172" s="381" t="s">
        <v>203</v>
      </c>
      <c r="S172" s="379">
        <v>3</v>
      </c>
      <c r="T172" s="379"/>
      <c r="U172" s="379" t="s">
        <v>189</v>
      </c>
      <c r="V172" s="379" t="s">
        <v>190</v>
      </c>
      <c r="W172" s="379" t="s">
        <v>149</v>
      </c>
      <c r="X172" s="379">
        <v>2030</v>
      </c>
      <c r="Y172" s="379"/>
      <c r="Z172" s="379" t="str">
        <f>VLOOKUP(R172,KEY_Processes!$B$4:$E$54,4,FALSE)</f>
        <v>HP_ELC_11</v>
      </c>
      <c r="AA172" s="379" t="str">
        <f>VLOOKUP(R172,KEY_Processes!$B$4:$E$54,2,FALSE)</f>
        <v>Electric heat pumps, Ventilation</v>
      </c>
      <c r="AB172" s="379" t="str">
        <f>VLOOKUP(U172,KEY_FUELS!$C$4:$D$77,2,FALSE)</f>
        <v>ELC</v>
      </c>
      <c r="AC172" s="379" t="s">
        <v>150</v>
      </c>
      <c r="AD172" s="379" t="s">
        <v>155</v>
      </c>
      <c r="AE172" s="379" t="s">
        <v>152</v>
      </c>
      <c r="AF172" s="382" t="str">
        <f>VLOOKUP(W172,KEY_Other!$B$37:$C$89,2,FALSE)</f>
        <v>DK</v>
      </c>
      <c r="AG172" s="379"/>
      <c r="AH172" s="379" t="str">
        <f>AC172&amp;VLOOKUP(U172,KEY_FUELS!$C$4:$D$78,2,FALSE)</f>
        <v>RSDELC</v>
      </c>
      <c r="AI172" s="379" t="str">
        <f>IFERROR(AC172&amp;VLOOKUP(V172,KEY_FUELS!$C$4:$D$78,2,FALSE),"")</f>
        <v>RSDAHT</v>
      </c>
      <c r="AJ172" s="379" t="str">
        <f t="shared" si="3"/>
        <v>RHHSA</v>
      </c>
      <c r="AK172" s="379" t="str">
        <f t="shared" si="50"/>
        <v>RWHSA</v>
      </c>
      <c r="AL172" s="379" t="str">
        <f t="shared" si="51"/>
        <v/>
      </c>
      <c r="AM172" s="380">
        <v>31.536000000000001</v>
      </c>
      <c r="AN172" s="379">
        <f t="shared" si="53"/>
        <v>2030</v>
      </c>
      <c r="AO172" s="383"/>
      <c r="AP172" s="384"/>
      <c r="AQ172" s="386"/>
      <c r="AR172" s="386"/>
      <c r="AS172" s="386"/>
      <c r="AT172" s="386"/>
      <c r="AU172" s="387">
        <v>0.85</v>
      </c>
      <c r="AV172" s="387">
        <v>1</v>
      </c>
      <c r="AW172" s="387"/>
      <c r="AX172" s="388"/>
      <c r="AY172" s="384">
        <v>3.45</v>
      </c>
      <c r="AZ172" s="387">
        <v>3.45</v>
      </c>
      <c r="BA172" s="387">
        <v>3.5</v>
      </c>
      <c r="BB172" s="388"/>
      <c r="BC172" s="389"/>
      <c r="BD172" s="389"/>
      <c r="BE172" s="390"/>
      <c r="BF172" s="379"/>
      <c r="BG172" s="379"/>
      <c r="BH172" s="391"/>
      <c r="BI172" s="379">
        <v>20</v>
      </c>
      <c r="BJ172" s="379"/>
      <c r="BK172" s="388">
        <v>2</v>
      </c>
      <c r="BL172" s="392"/>
      <c r="BM172" s="392"/>
      <c r="BN172" s="392"/>
      <c r="BO172" s="392"/>
      <c r="BP172" s="392"/>
      <c r="BQ172" s="392"/>
      <c r="BR172" s="384">
        <v>172</v>
      </c>
      <c r="BS172" s="388">
        <v>0</v>
      </c>
      <c r="BT172" s="380"/>
      <c r="BU172" s="388"/>
      <c r="BV172" s="380"/>
      <c r="BW172" s="380"/>
      <c r="BX172" s="395"/>
    </row>
    <row r="173" spans="1:76" s="226" customFormat="1" x14ac:dyDescent="0.3">
      <c r="A173" s="88"/>
      <c r="B173" s="87"/>
      <c r="C173" s="87"/>
      <c r="D173" s="87"/>
      <c r="E173" s="87"/>
      <c r="F173" s="88"/>
      <c r="G173" s="87"/>
      <c r="H173" s="88"/>
      <c r="I173" s="88"/>
      <c r="J173" s="362" t="s">
        <v>134</v>
      </c>
      <c r="K173" s="363" t="s">
        <v>135</v>
      </c>
      <c r="L173" s="363"/>
      <c r="M173" s="363"/>
      <c r="N173" s="363"/>
      <c r="O173" s="363" t="s">
        <v>136</v>
      </c>
      <c r="P173" s="363">
        <v>2017</v>
      </c>
      <c r="Q173" s="364" t="s">
        <v>187</v>
      </c>
      <c r="R173" s="365" t="s">
        <v>203</v>
      </c>
      <c r="S173" s="363">
        <v>3</v>
      </c>
      <c r="T173" s="363"/>
      <c r="U173" s="363" t="s">
        <v>189</v>
      </c>
      <c r="V173" s="363" t="s">
        <v>190</v>
      </c>
      <c r="W173" s="363" t="s">
        <v>149</v>
      </c>
      <c r="X173" s="363">
        <v>2050</v>
      </c>
      <c r="Y173" s="363"/>
      <c r="Z173" s="363" t="str">
        <f>VLOOKUP(R173,KEY_Processes!$B$4:$E$54,4,FALSE)</f>
        <v>HP_ELC_11</v>
      </c>
      <c r="AA173" s="363" t="str">
        <f>VLOOKUP(R173,KEY_Processes!$B$4:$E$54,2,FALSE)</f>
        <v>Electric heat pumps, Ventilation</v>
      </c>
      <c r="AB173" s="363" t="str">
        <f>VLOOKUP(U173,KEY_FUELS!$C$4:$D$77,2,FALSE)</f>
        <v>ELC</v>
      </c>
      <c r="AC173" s="363" t="s">
        <v>150</v>
      </c>
      <c r="AD173" s="363" t="s">
        <v>155</v>
      </c>
      <c r="AE173" s="363" t="s">
        <v>152</v>
      </c>
      <c r="AF173" s="366" t="str">
        <f>VLOOKUP(W173,KEY_Other!$B$37:$C$89,2,FALSE)</f>
        <v>DK</v>
      </c>
      <c r="AG173" s="363"/>
      <c r="AH173" s="363" t="str">
        <f>AC173&amp;VLOOKUP(U173,KEY_FUELS!$C$4:$D$78,2,FALSE)</f>
        <v>RSDELC</v>
      </c>
      <c r="AI173" s="363" t="str">
        <f>IFERROR(AC173&amp;VLOOKUP(V173,KEY_FUELS!$C$4:$D$78,2,FALSE),"")</f>
        <v>RSDAHT</v>
      </c>
      <c r="AJ173" s="363" t="str">
        <f t="shared" si="3"/>
        <v>RHHSA</v>
      </c>
      <c r="AK173" s="363" t="str">
        <f t="shared" si="50"/>
        <v>RWHSA</v>
      </c>
      <c r="AL173" s="363" t="str">
        <f t="shared" si="51"/>
        <v/>
      </c>
      <c r="AM173" s="364">
        <v>31.536000000000001</v>
      </c>
      <c r="AN173" s="363">
        <f t="shared" si="53"/>
        <v>2050</v>
      </c>
      <c r="AO173" s="367"/>
      <c r="AP173" s="368"/>
      <c r="AQ173" s="370"/>
      <c r="AR173" s="370"/>
      <c r="AS173" s="370"/>
      <c r="AT173" s="370"/>
      <c r="AU173" s="371">
        <v>1</v>
      </c>
      <c r="AV173" s="371">
        <v>1</v>
      </c>
      <c r="AW173" s="371"/>
      <c r="AX173" s="372"/>
      <c r="AY173" s="368">
        <v>3.65</v>
      </c>
      <c r="AZ173" s="371">
        <v>3.65</v>
      </c>
      <c r="BA173" s="371">
        <v>3.7</v>
      </c>
      <c r="BB173" s="372"/>
      <c r="BC173" s="373"/>
      <c r="BD173" s="373"/>
      <c r="BE173" s="374"/>
      <c r="BF173" s="363"/>
      <c r="BG173" s="363"/>
      <c r="BH173" s="375"/>
      <c r="BI173" s="363">
        <v>20</v>
      </c>
      <c r="BJ173" s="363"/>
      <c r="BK173" s="372">
        <v>2</v>
      </c>
      <c r="BL173" s="376"/>
      <c r="BM173" s="376"/>
      <c r="BN173" s="376"/>
      <c r="BO173" s="376"/>
      <c r="BP173" s="376"/>
      <c r="BQ173" s="376"/>
      <c r="BR173" s="368">
        <v>157</v>
      </c>
      <c r="BS173" s="372">
        <v>0</v>
      </c>
      <c r="BT173" s="364"/>
      <c r="BU173" s="372"/>
      <c r="BV173" s="364"/>
      <c r="BW173" s="364"/>
      <c r="BX173" s="397"/>
    </row>
    <row r="174" spans="1:76" s="226" customFormat="1" x14ac:dyDescent="0.3">
      <c r="A174" s="88"/>
      <c r="B174" s="87"/>
      <c r="C174" s="87"/>
      <c r="D174" s="87"/>
      <c r="E174" s="87"/>
      <c r="F174" s="88"/>
      <c r="G174" s="87"/>
      <c r="H174" s="88"/>
      <c r="I174" s="88"/>
      <c r="J174" s="378" t="s">
        <v>134</v>
      </c>
      <c r="K174" s="379" t="s">
        <v>135</v>
      </c>
      <c r="L174" s="379"/>
      <c r="M174" s="379"/>
      <c r="N174" s="379"/>
      <c r="O174" s="379" t="s">
        <v>136</v>
      </c>
      <c r="P174" s="379">
        <v>2017</v>
      </c>
      <c r="Q174" s="380" t="s">
        <v>187</v>
      </c>
      <c r="R174" s="381" t="s">
        <v>204</v>
      </c>
      <c r="S174" s="379">
        <v>160</v>
      </c>
      <c r="T174" s="379"/>
      <c r="U174" s="379" t="s">
        <v>189</v>
      </c>
      <c r="V174" s="379" t="s">
        <v>190</v>
      </c>
      <c r="W174" s="379" t="s">
        <v>149</v>
      </c>
      <c r="X174" s="379">
        <v>2015</v>
      </c>
      <c r="Y174" s="379"/>
      <c r="Z174" s="379" t="str">
        <f>VLOOKUP(R174,KEY_Processes!$B$4:$E$54,4,FALSE)</f>
        <v>HP_ELC_12</v>
      </c>
      <c r="AA174" s="379" t="str">
        <f>VLOOKUP(R174,KEY_Processes!$B$4:$E$54,2,FALSE)</f>
        <v>Electric heat pumps, Ventilation</v>
      </c>
      <c r="AB174" s="379" t="str">
        <f>VLOOKUP(U174,KEY_FUELS!$C$4:$D$77,2,FALSE)</f>
        <v>ELC</v>
      </c>
      <c r="AC174" s="379" t="s">
        <v>150</v>
      </c>
      <c r="AD174" s="379" t="s">
        <v>161</v>
      </c>
      <c r="AE174" s="379" t="s">
        <v>152</v>
      </c>
      <c r="AF174" s="382" t="str">
        <f>VLOOKUP(W174,KEY_Other!$B$37:$C$89,2,FALSE)</f>
        <v>DK</v>
      </c>
      <c r="AG174" s="379"/>
      <c r="AH174" s="379" t="str">
        <f>AC174&amp;VLOOKUP(U174,KEY_FUELS!$C$4:$D$78,2,FALSE)</f>
        <v>RSDELC</v>
      </c>
      <c r="AI174" s="379" t="str">
        <f>IFERROR(AC174&amp;VLOOKUP(V174,KEY_FUELS!$C$4:$D$78,2,FALSE),"")</f>
        <v>RSDAHT</v>
      </c>
      <c r="AJ174" s="379" t="str">
        <f t="shared" si="3"/>
        <v>RHAPA</v>
      </c>
      <c r="AK174" s="379" t="str">
        <f t="shared" si="50"/>
        <v>RWAPA</v>
      </c>
      <c r="AL174" s="379" t="str">
        <f t="shared" si="51"/>
        <v/>
      </c>
      <c r="AM174" s="380">
        <v>31.536000000000001</v>
      </c>
      <c r="AN174" s="379">
        <f t="shared" si="53"/>
        <v>2015</v>
      </c>
      <c r="AO174" s="383"/>
      <c r="AP174" s="384"/>
      <c r="AQ174" s="386"/>
      <c r="AR174" s="386"/>
      <c r="AS174" s="386"/>
      <c r="AT174" s="386"/>
      <c r="AU174" s="387">
        <v>1</v>
      </c>
      <c r="AV174" s="387">
        <v>1</v>
      </c>
      <c r="AW174" s="387"/>
      <c r="AX174" s="388"/>
      <c r="AY174" s="384">
        <v>5.3</v>
      </c>
      <c r="AZ174" s="387">
        <v>5.3</v>
      </c>
      <c r="BA174" s="387">
        <v>5.5</v>
      </c>
      <c r="BB174" s="388"/>
      <c r="BC174" s="389"/>
      <c r="BD174" s="389"/>
      <c r="BE174" s="390"/>
      <c r="BF174" s="379"/>
      <c r="BG174" s="379"/>
      <c r="BH174" s="391"/>
      <c r="BI174" s="379">
        <v>20</v>
      </c>
      <c r="BJ174" s="379"/>
      <c r="BK174" s="388">
        <v>75</v>
      </c>
      <c r="BL174" s="392"/>
      <c r="BM174" s="392"/>
      <c r="BN174" s="392"/>
      <c r="BO174" s="392"/>
      <c r="BP174" s="392"/>
      <c r="BQ174" s="392"/>
      <c r="BR174" s="384">
        <v>1195</v>
      </c>
      <c r="BS174" s="388">
        <v>0.4425</v>
      </c>
      <c r="BT174" s="380"/>
      <c r="BU174" s="388"/>
      <c r="BV174" s="380"/>
      <c r="BW174" s="380"/>
      <c r="BX174" s="395"/>
    </row>
    <row r="175" spans="1:76" s="226" customFormat="1" x14ac:dyDescent="0.3">
      <c r="A175" s="88"/>
      <c r="B175" s="87"/>
      <c r="C175" s="87"/>
      <c r="D175" s="87"/>
      <c r="E175" s="87"/>
      <c r="F175" s="88"/>
      <c r="G175" s="87"/>
      <c r="H175" s="88"/>
      <c r="I175" s="88"/>
      <c r="J175" s="362" t="s">
        <v>134</v>
      </c>
      <c r="K175" s="363" t="s">
        <v>135</v>
      </c>
      <c r="L175" s="363"/>
      <c r="M175" s="363"/>
      <c r="N175" s="363"/>
      <c r="O175" s="363" t="s">
        <v>136</v>
      </c>
      <c r="P175" s="363">
        <v>2017</v>
      </c>
      <c r="Q175" s="364" t="s">
        <v>187</v>
      </c>
      <c r="R175" s="365" t="s">
        <v>204</v>
      </c>
      <c r="S175" s="363">
        <v>160</v>
      </c>
      <c r="T175" s="363"/>
      <c r="U175" s="363" t="s">
        <v>189</v>
      </c>
      <c r="V175" s="363" t="s">
        <v>190</v>
      </c>
      <c r="W175" s="363" t="s">
        <v>149</v>
      </c>
      <c r="X175" s="363">
        <v>2020</v>
      </c>
      <c r="Y175" s="363"/>
      <c r="Z175" s="363" t="str">
        <f>VLOOKUP(R175,KEY_Processes!$B$4:$E$54,4,FALSE)</f>
        <v>HP_ELC_12</v>
      </c>
      <c r="AA175" s="363" t="str">
        <f>VLOOKUP(R175,KEY_Processes!$B$4:$E$54,2,FALSE)</f>
        <v>Electric heat pumps, Ventilation</v>
      </c>
      <c r="AB175" s="363" t="str">
        <f>VLOOKUP(U175,KEY_FUELS!$C$4:$D$77,2,FALSE)</f>
        <v>ELC</v>
      </c>
      <c r="AC175" s="363" t="s">
        <v>150</v>
      </c>
      <c r="AD175" s="363" t="s">
        <v>161</v>
      </c>
      <c r="AE175" s="363" t="s">
        <v>152</v>
      </c>
      <c r="AF175" s="366" t="str">
        <f>VLOOKUP(W175,KEY_Other!$B$37:$C$89,2,FALSE)</f>
        <v>DK</v>
      </c>
      <c r="AG175" s="363"/>
      <c r="AH175" s="363" t="str">
        <f>AC175&amp;VLOOKUP(U175,KEY_FUELS!$C$4:$D$78,2,FALSE)</f>
        <v>RSDELC</v>
      </c>
      <c r="AI175" s="363" t="str">
        <f>IFERROR(AC175&amp;VLOOKUP(V175,KEY_FUELS!$C$4:$D$78,2,FALSE),"")</f>
        <v>RSDAHT</v>
      </c>
      <c r="AJ175" s="363" t="str">
        <f t="shared" ref="AJ175" si="67">LEFT(AC175,1)&amp;"H"&amp;AD175</f>
        <v>RHAPA</v>
      </c>
      <c r="AK175" s="363" t="str">
        <f t="shared" si="50"/>
        <v>RWAPA</v>
      </c>
      <c r="AL175" s="363" t="str">
        <f t="shared" si="51"/>
        <v/>
      </c>
      <c r="AM175" s="364">
        <v>31.536000000000001</v>
      </c>
      <c r="AN175" s="363">
        <f t="shared" si="53"/>
        <v>2020</v>
      </c>
      <c r="AO175" s="367"/>
      <c r="AP175" s="368"/>
      <c r="AQ175" s="370"/>
      <c r="AR175" s="370"/>
      <c r="AS175" s="370"/>
      <c r="AT175" s="370"/>
      <c r="AU175" s="371">
        <v>1</v>
      </c>
      <c r="AV175" s="371">
        <v>1</v>
      </c>
      <c r="AW175" s="371"/>
      <c r="AX175" s="372"/>
      <c r="AY175" s="368">
        <v>5.4</v>
      </c>
      <c r="AZ175" s="371">
        <v>5.4</v>
      </c>
      <c r="BA175" s="371">
        <v>5.6</v>
      </c>
      <c r="BB175" s="372"/>
      <c r="BC175" s="373"/>
      <c r="BD175" s="373"/>
      <c r="BE175" s="374"/>
      <c r="BF175" s="363"/>
      <c r="BG175" s="363"/>
      <c r="BH175" s="375"/>
      <c r="BI175" s="363">
        <v>20</v>
      </c>
      <c r="BJ175" s="363"/>
      <c r="BK175" s="372">
        <v>71</v>
      </c>
      <c r="BL175" s="376"/>
      <c r="BM175" s="376"/>
      <c r="BN175" s="376"/>
      <c r="BO175" s="376"/>
      <c r="BP175" s="376"/>
      <c r="BQ175" s="376"/>
      <c r="BR175" s="368">
        <v>1150</v>
      </c>
      <c r="BS175" s="372">
        <v>0.4425</v>
      </c>
      <c r="BT175" s="364"/>
      <c r="BU175" s="372"/>
      <c r="BV175" s="364"/>
      <c r="BW175" s="364"/>
      <c r="BX175" s="397"/>
    </row>
    <row r="176" spans="1:76" s="226" customFormat="1" x14ac:dyDescent="0.3">
      <c r="A176" s="88"/>
      <c r="B176" s="87"/>
      <c r="C176" s="87"/>
      <c r="D176" s="87"/>
      <c r="E176" s="87"/>
      <c r="F176" s="88"/>
      <c r="G176" s="87"/>
      <c r="H176" s="88"/>
      <c r="I176" s="88"/>
      <c r="J176" s="378" t="s">
        <v>134</v>
      </c>
      <c r="K176" s="379" t="s">
        <v>135</v>
      </c>
      <c r="L176" s="379"/>
      <c r="M176" s="379"/>
      <c r="N176" s="379"/>
      <c r="O176" s="379" t="s">
        <v>136</v>
      </c>
      <c r="P176" s="379">
        <v>2017</v>
      </c>
      <c r="Q176" s="380" t="s">
        <v>187</v>
      </c>
      <c r="R176" s="381" t="s">
        <v>204</v>
      </c>
      <c r="S176" s="379">
        <v>160</v>
      </c>
      <c r="T176" s="379"/>
      <c r="U176" s="379" t="s">
        <v>189</v>
      </c>
      <c r="V176" s="379" t="s">
        <v>190</v>
      </c>
      <c r="W176" s="379" t="s">
        <v>149</v>
      </c>
      <c r="X176" s="379">
        <v>2030</v>
      </c>
      <c r="Y176" s="379"/>
      <c r="Z176" s="379" t="str">
        <f>VLOOKUP(R176,KEY_Processes!$B$4:$E$54,4,FALSE)</f>
        <v>HP_ELC_12</v>
      </c>
      <c r="AA176" s="379" t="str">
        <f>VLOOKUP(R176,KEY_Processes!$B$4:$E$54,2,FALSE)</f>
        <v>Electric heat pumps, Ventilation</v>
      </c>
      <c r="AB176" s="379" t="str">
        <f>VLOOKUP(U176,KEY_FUELS!$C$4:$D$77,2,FALSE)</f>
        <v>ELC</v>
      </c>
      <c r="AC176" s="379" t="s">
        <v>150</v>
      </c>
      <c r="AD176" s="379" t="s">
        <v>161</v>
      </c>
      <c r="AE176" s="379" t="s">
        <v>152</v>
      </c>
      <c r="AF176" s="382" t="str">
        <f>VLOOKUP(W176,KEY_Other!$B$37:$C$89,2,FALSE)</f>
        <v>DK</v>
      </c>
      <c r="AG176" s="379"/>
      <c r="AH176" s="379" t="str">
        <f>AC176&amp;VLOOKUP(U176,KEY_FUELS!$C$4:$D$78,2,FALSE)</f>
        <v>RSDELC</v>
      </c>
      <c r="AI176" s="379" t="str">
        <f>IFERROR(AC176&amp;VLOOKUP(V176,KEY_FUELS!$C$4:$D$78,2,FALSE),"")</f>
        <v>RSDAHT</v>
      </c>
      <c r="AJ176" s="379" t="str">
        <f t="shared" si="3"/>
        <v>RHAPA</v>
      </c>
      <c r="AK176" s="379" t="str">
        <f t="shared" si="50"/>
        <v>RWAPA</v>
      </c>
      <c r="AL176" s="379" t="str">
        <f t="shared" si="51"/>
        <v/>
      </c>
      <c r="AM176" s="380">
        <v>31.536000000000001</v>
      </c>
      <c r="AN176" s="379">
        <f t="shared" si="53"/>
        <v>2030</v>
      </c>
      <c r="AO176" s="383"/>
      <c r="AP176" s="384"/>
      <c r="AQ176" s="386"/>
      <c r="AR176" s="386"/>
      <c r="AS176" s="386"/>
      <c r="AT176" s="386"/>
      <c r="AU176" s="387">
        <v>1</v>
      </c>
      <c r="AV176" s="387">
        <v>1</v>
      </c>
      <c r="AW176" s="387"/>
      <c r="AX176" s="388"/>
      <c r="AY176" s="384">
        <v>5.5</v>
      </c>
      <c r="AZ176" s="387">
        <v>5.5</v>
      </c>
      <c r="BA176" s="387">
        <v>5.7</v>
      </c>
      <c r="BB176" s="388"/>
      <c r="BC176" s="389"/>
      <c r="BD176" s="389"/>
      <c r="BE176" s="390"/>
      <c r="BF176" s="379"/>
      <c r="BG176" s="379"/>
      <c r="BH176" s="391"/>
      <c r="BI176" s="379">
        <v>20</v>
      </c>
      <c r="BJ176" s="379"/>
      <c r="BK176" s="388">
        <v>63</v>
      </c>
      <c r="BL176" s="392"/>
      <c r="BM176" s="392"/>
      <c r="BN176" s="392"/>
      <c r="BO176" s="392"/>
      <c r="BP176" s="392"/>
      <c r="BQ176" s="392"/>
      <c r="BR176" s="384">
        <v>1151</v>
      </c>
      <c r="BS176" s="388">
        <v>0.4425</v>
      </c>
      <c r="BT176" s="380"/>
      <c r="BU176" s="388"/>
      <c r="BV176" s="380"/>
      <c r="BW176" s="380"/>
      <c r="BX176" s="395"/>
    </row>
    <row r="177" spans="1:76" s="226" customFormat="1" x14ac:dyDescent="0.3">
      <c r="A177" s="88"/>
      <c r="B177" s="87"/>
      <c r="C177" s="87"/>
      <c r="D177" s="87"/>
      <c r="E177" s="87"/>
      <c r="F177" s="88"/>
      <c r="G177" s="87"/>
      <c r="H177" s="88"/>
      <c r="I177" s="88"/>
      <c r="J177" s="362" t="s">
        <v>134</v>
      </c>
      <c r="K177" s="363" t="s">
        <v>135</v>
      </c>
      <c r="L177" s="363"/>
      <c r="M177" s="363"/>
      <c r="N177" s="363"/>
      <c r="O177" s="363" t="s">
        <v>136</v>
      </c>
      <c r="P177" s="363">
        <v>2017</v>
      </c>
      <c r="Q177" s="364" t="s">
        <v>187</v>
      </c>
      <c r="R177" s="365" t="s">
        <v>204</v>
      </c>
      <c r="S177" s="363">
        <v>160</v>
      </c>
      <c r="T177" s="363"/>
      <c r="U177" s="363" t="s">
        <v>189</v>
      </c>
      <c r="V177" s="363" t="s">
        <v>190</v>
      </c>
      <c r="W177" s="363" t="s">
        <v>149</v>
      </c>
      <c r="X177" s="363">
        <v>2050</v>
      </c>
      <c r="Y177" s="363"/>
      <c r="Z177" s="363" t="str">
        <f>VLOOKUP(R177,KEY_Processes!$B$4:$E$54,4,FALSE)</f>
        <v>HP_ELC_12</v>
      </c>
      <c r="AA177" s="363" t="str">
        <f>VLOOKUP(R177,KEY_Processes!$B$4:$E$54,2,FALSE)</f>
        <v>Electric heat pumps, Ventilation</v>
      </c>
      <c r="AB177" s="363" t="str">
        <f>VLOOKUP(U177,KEY_FUELS!$C$4:$D$77,2,FALSE)</f>
        <v>ELC</v>
      </c>
      <c r="AC177" s="363" t="s">
        <v>150</v>
      </c>
      <c r="AD177" s="363" t="s">
        <v>161</v>
      </c>
      <c r="AE177" s="363" t="s">
        <v>152</v>
      </c>
      <c r="AF177" s="366" t="str">
        <f>VLOOKUP(W177,KEY_Other!$B$37:$C$89,2,FALSE)</f>
        <v>DK</v>
      </c>
      <c r="AG177" s="363"/>
      <c r="AH177" s="363" t="str">
        <f>AC177&amp;VLOOKUP(U177,KEY_FUELS!$C$4:$D$78,2,FALSE)</f>
        <v>RSDELC</v>
      </c>
      <c r="AI177" s="363" t="str">
        <f>IFERROR(AC177&amp;VLOOKUP(V177,KEY_FUELS!$C$4:$D$78,2,FALSE),"")</f>
        <v>RSDAHT</v>
      </c>
      <c r="AJ177" s="363" t="str">
        <f t="shared" ref="AJ177" si="68">LEFT(AC177,1)&amp;"H"&amp;AD177</f>
        <v>RHAPA</v>
      </c>
      <c r="AK177" s="363" t="str">
        <f t="shared" si="50"/>
        <v>RWAPA</v>
      </c>
      <c r="AL177" s="363" t="str">
        <f t="shared" si="51"/>
        <v/>
      </c>
      <c r="AM177" s="364">
        <v>31.536000000000001</v>
      </c>
      <c r="AN177" s="363">
        <f t="shared" si="53"/>
        <v>2050</v>
      </c>
      <c r="AO177" s="367"/>
      <c r="AP177" s="368"/>
      <c r="AQ177" s="370"/>
      <c r="AR177" s="370"/>
      <c r="AS177" s="370"/>
      <c r="AT177" s="370"/>
      <c r="AU177" s="371">
        <v>1</v>
      </c>
      <c r="AV177" s="371">
        <v>1</v>
      </c>
      <c r="AW177" s="371"/>
      <c r="AX177" s="372"/>
      <c r="AY177" s="368">
        <v>5.7</v>
      </c>
      <c r="AZ177" s="371">
        <v>5.7</v>
      </c>
      <c r="BA177" s="371">
        <v>5.9</v>
      </c>
      <c r="BB177" s="372"/>
      <c r="BC177" s="373"/>
      <c r="BD177" s="373"/>
      <c r="BE177" s="374"/>
      <c r="BF177" s="363"/>
      <c r="BG177" s="363"/>
      <c r="BH177" s="375"/>
      <c r="BI177" s="363">
        <v>20</v>
      </c>
      <c r="BJ177" s="363"/>
      <c r="BK177" s="372">
        <v>57</v>
      </c>
      <c r="BL177" s="376"/>
      <c r="BM177" s="376"/>
      <c r="BN177" s="376"/>
      <c r="BO177" s="376"/>
      <c r="BP177" s="376"/>
      <c r="BQ177" s="376"/>
      <c r="BR177" s="368">
        <v>1256</v>
      </c>
      <c r="BS177" s="372">
        <v>0.4425</v>
      </c>
      <c r="BT177" s="364"/>
      <c r="BU177" s="372"/>
      <c r="BV177" s="364"/>
      <c r="BW177" s="364"/>
      <c r="BX177" s="397"/>
    </row>
    <row r="178" spans="1:76" s="226" customFormat="1" x14ac:dyDescent="0.3">
      <c r="A178" s="88"/>
      <c r="B178" s="87"/>
      <c r="C178" s="87"/>
      <c r="D178" s="87"/>
      <c r="E178" s="87"/>
      <c r="F178" s="88"/>
      <c r="G178" s="87"/>
      <c r="H178" s="88"/>
      <c r="I178" s="88"/>
      <c r="J178" s="378" t="s">
        <v>134</v>
      </c>
      <c r="K178" s="379" t="s">
        <v>135</v>
      </c>
      <c r="L178" s="379"/>
      <c r="M178" s="379"/>
      <c r="N178" s="379"/>
      <c r="O178" s="379" t="s">
        <v>136</v>
      </c>
      <c r="P178" s="379">
        <v>2017</v>
      </c>
      <c r="Q178" s="380" t="s">
        <v>205</v>
      </c>
      <c r="R178" s="381" t="s">
        <v>206</v>
      </c>
      <c r="S178" s="379">
        <v>18</v>
      </c>
      <c r="T178" s="379"/>
      <c r="U178" s="379" t="s">
        <v>207</v>
      </c>
      <c r="V178" s="379" t="s">
        <v>190</v>
      </c>
      <c r="W178" s="379" t="s">
        <v>149</v>
      </c>
      <c r="X178" s="379">
        <v>2015</v>
      </c>
      <c r="Y178" s="379"/>
      <c r="Z178" s="379" t="str">
        <f>VLOOKUP(R178,KEY_Processes!$B$4:$E$54,4,FALSE)</f>
        <v>HP_GAS_01</v>
      </c>
      <c r="AA178" s="379" t="str">
        <f>VLOOKUP(R178,KEY_Processes!$B$4:$E$54,2,FALSE)</f>
        <v>Gas driven absorption heat pumps, air-to-water</v>
      </c>
      <c r="AB178" s="379" t="str">
        <f>VLOOKUP(U178,KEY_FUELS!$C$4:$D$77,2,FALSE)</f>
        <v>GAS</v>
      </c>
      <c r="AC178" s="379" t="s">
        <v>150</v>
      </c>
      <c r="AD178" s="379" t="s">
        <v>220</v>
      </c>
      <c r="AE178" s="379" t="s">
        <v>152</v>
      </c>
      <c r="AF178" s="382" t="str">
        <f>VLOOKUP(W178,KEY_Other!$B$37:$C$89,2,FALSE)</f>
        <v>DK</v>
      </c>
      <c r="AG178" s="379"/>
      <c r="AH178" s="379" t="str">
        <f>AC178&amp;VLOOKUP(U178,KEY_FUELS!$C$4:$D$78,2,FALSE)</f>
        <v>RSDGAS</v>
      </c>
      <c r="AI178" s="379" t="str">
        <f>IFERROR(AC178&amp;VLOOKUP(V178,KEY_FUELS!$C$4:$D$78,2,FALSE),"")</f>
        <v>RSDAHT</v>
      </c>
      <c r="AJ178" s="379" t="str">
        <f t="shared" si="3"/>
        <v>RHHSC</v>
      </c>
      <c r="AK178" s="379" t="str">
        <f t="shared" si="50"/>
        <v>RWHSC</v>
      </c>
      <c r="AL178" s="379" t="str">
        <f t="shared" si="51"/>
        <v/>
      </c>
      <c r="AM178" s="380">
        <v>31.536000000000001</v>
      </c>
      <c r="AN178" s="379">
        <f t="shared" si="53"/>
        <v>2015</v>
      </c>
      <c r="AO178" s="383"/>
      <c r="AP178" s="384"/>
      <c r="AQ178" s="386"/>
      <c r="AR178" s="386"/>
      <c r="AS178" s="386"/>
      <c r="AT178" s="386"/>
      <c r="AU178" s="387">
        <v>1</v>
      </c>
      <c r="AV178" s="387">
        <v>1</v>
      </c>
      <c r="AW178" s="387"/>
      <c r="AX178" s="388"/>
      <c r="AY178" s="384">
        <v>1.35</v>
      </c>
      <c r="AZ178" s="387">
        <v>1.35</v>
      </c>
      <c r="BA178" s="387">
        <v>0</v>
      </c>
      <c r="BB178" s="388"/>
      <c r="BC178" s="389"/>
      <c r="BD178" s="389"/>
      <c r="BE178" s="390"/>
      <c r="BF178" s="379"/>
      <c r="BG178" s="379"/>
      <c r="BH178" s="391"/>
      <c r="BI178" s="379">
        <v>20</v>
      </c>
      <c r="BJ178" s="379"/>
      <c r="BK178" s="388">
        <v>15</v>
      </c>
      <c r="BL178" s="392"/>
      <c r="BM178" s="392"/>
      <c r="BN178" s="392"/>
      <c r="BO178" s="392"/>
      <c r="BP178" s="392"/>
      <c r="BQ178" s="392"/>
      <c r="BR178" s="384">
        <v>235</v>
      </c>
      <c r="BS178" s="388">
        <v>0</v>
      </c>
      <c r="BT178" s="380"/>
      <c r="BU178" s="388">
        <v>15</v>
      </c>
      <c r="BV178" s="380">
        <v>2</v>
      </c>
      <c r="BW178" s="380">
        <v>0</v>
      </c>
      <c r="BX178" s="395">
        <v>0</v>
      </c>
    </row>
    <row r="179" spans="1:76" s="226" customFormat="1" x14ac:dyDescent="0.3">
      <c r="A179" s="88"/>
      <c r="B179" s="87"/>
      <c r="C179" s="87"/>
      <c r="D179" s="87"/>
      <c r="E179" s="87"/>
      <c r="F179" s="88"/>
      <c r="G179" s="87"/>
      <c r="H179" s="88"/>
      <c r="I179" s="88"/>
      <c r="J179" s="362" t="s">
        <v>134</v>
      </c>
      <c r="K179" s="363" t="s">
        <v>135</v>
      </c>
      <c r="L179" s="363"/>
      <c r="M179" s="363"/>
      <c r="N179" s="363"/>
      <c r="O179" s="363" t="s">
        <v>136</v>
      </c>
      <c r="P179" s="363">
        <v>2017</v>
      </c>
      <c r="Q179" s="364" t="s">
        <v>205</v>
      </c>
      <c r="R179" s="365" t="s">
        <v>206</v>
      </c>
      <c r="S179" s="363">
        <v>30</v>
      </c>
      <c r="T179" s="363"/>
      <c r="U179" s="363" t="s">
        <v>207</v>
      </c>
      <c r="V179" s="363" t="s">
        <v>190</v>
      </c>
      <c r="W179" s="363" t="s">
        <v>149</v>
      </c>
      <c r="X179" s="363">
        <v>2020</v>
      </c>
      <c r="Y179" s="363"/>
      <c r="Z179" s="363" t="str">
        <f>VLOOKUP(R179,KEY_Processes!$B$4:$E$54,4,FALSE)</f>
        <v>HP_GAS_01</v>
      </c>
      <c r="AA179" s="363" t="str">
        <f>VLOOKUP(R179,KEY_Processes!$B$4:$E$54,2,FALSE)</f>
        <v>Gas driven absorption heat pumps, air-to-water</v>
      </c>
      <c r="AB179" s="363" t="str">
        <f>VLOOKUP(U179,KEY_FUELS!$C$4:$D$77,2,FALSE)</f>
        <v>GAS</v>
      </c>
      <c r="AC179" s="363" t="s">
        <v>150</v>
      </c>
      <c r="AD179" s="363" t="s">
        <v>220</v>
      </c>
      <c r="AE179" s="363" t="s">
        <v>152</v>
      </c>
      <c r="AF179" s="366" t="str">
        <f>VLOOKUP(W179,KEY_Other!$B$37:$C$89,2,FALSE)</f>
        <v>DK</v>
      </c>
      <c r="AG179" s="363"/>
      <c r="AH179" s="363" t="str">
        <f>AC179&amp;VLOOKUP(U179,KEY_FUELS!$C$4:$D$78,2,FALSE)</f>
        <v>RSDGAS</v>
      </c>
      <c r="AI179" s="363" t="str">
        <f>IFERROR(AC179&amp;VLOOKUP(V179,KEY_FUELS!$C$4:$D$78,2,FALSE),"")</f>
        <v>RSDAHT</v>
      </c>
      <c r="AJ179" s="363" t="str">
        <f t="shared" si="3"/>
        <v>RHHSC</v>
      </c>
      <c r="AK179" s="363" t="str">
        <f t="shared" si="50"/>
        <v>RWHSC</v>
      </c>
      <c r="AL179" s="363" t="str">
        <f t="shared" si="51"/>
        <v/>
      </c>
      <c r="AM179" s="364">
        <v>31.536000000000001</v>
      </c>
      <c r="AN179" s="363">
        <f t="shared" si="53"/>
        <v>2020</v>
      </c>
      <c r="AO179" s="367"/>
      <c r="AP179" s="368"/>
      <c r="AQ179" s="370"/>
      <c r="AR179" s="370"/>
      <c r="AS179" s="370"/>
      <c r="AT179" s="370"/>
      <c r="AU179" s="371">
        <v>1</v>
      </c>
      <c r="AV179" s="371">
        <v>1</v>
      </c>
      <c r="AW179" s="371"/>
      <c r="AX179" s="372"/>
      <c r="AY179" s="368">
        <v>1.45</v>
      </c>
      <c r="AZ179" s="371">
        <v>1.45</v>
      </c>
      <c r="BA179" s="371">
        <v>0</v>
      </c>
      <c r="BB179" s="372"/>
      <c r="BC179" s="373"/>
      <c r="BD179" s="373"/>
      <c r="BE179" s="374"/>
      <c r="BF179" s="363"/>
      <c r="BG179" s="363"/>
      <c r="BH179" s="375"/>
      <c r="BI179" s="363">
        <v>20</v>
      </c>
      <c r="BJ179" s="363"/>
      <c r="BK179" s="372">
        <v>14</v>
      </c>
      <c r="BL179" s="376"/>
      <c r="BM179" s="376"/>
      <c r="BN179" s="376"/>
      <c r="BO179" s="376"/>
      <c r="BP179" s="376"/>
      <c r="BQ179" s="376"/>
      <c r="BR179" s="368">
        <v>235</v>
      </c>
      <c r="BS179" s="372">
        <v>0</v>
      </c>
      <c r="BT179" s="364"/>
      <c r="BU179" s="372">
        <v>10</v>
      </c>
      <c r="BV179" s="364">
        <v>1</v>
      </c>
      <c r="BW179" s="364">
        <v>0</v>
      </c>
      <c r="BX179" s="397">
        <v>0</v>
      </c>
    </row>
    <row r="180" spans="1:76" s="226" customFormat="1" x14ac:dyDescent="0.3">
      <c r="A180" s="88"/>
      <c r="B180" s="87"/>
      <c r="C180" s="87"/>
      <c r="D180" s="87"/>
      <c r="E180" s="87"/>
      <c r="F180" s="88"/>
      <c r="G180" s="87"/>
      <c r="H180" s="88"/>
      <c r="I180" s="88"/>
      <c r="J180" s="378" t="s">
        <v>134</v>
      </c>
      <c r="K180" s="379" t="s">
        <v>135</v>
      </c>
      <c r="L180" s="379"/>
      <c r="M180" s="379"/>
      <c r="N180" s="379"/>
      <c r="O180" s="379" t="s">
        <v>136</v>
      </c>
      <c r="P180" s="379">
        <v>2017</v>
      </c>
      <c r="Q180" s="380" t="s">
        <v>205</v>
      </c>
      <c r="R180" s="381" t="s">
        <v>206</v>
      </c>
      <c r="S180" s="379">
        <v>30</v>
      </c>
      <c r="T180" s="379"/>
      <c r="U180" s="379" t="s">
        <v>207</v>
      </c>
      <c r="V180" s="379" t="s">
        <v>190</v>
      </c>
      <c r="W180" s="379" t="s">
        <v>149</v>
      </c>
      <c r="X180" s="379">
        <v>2030</v>
      </c>
      <c r="Y180" s="379"/>
      <c r="Z180" s="379" t="str">
        <f>VLOOKUP(R180,KEY_Processes!$B$4:$E$54,4,FALSE)</f>
        <v>HP_GAS_01</v>
      </c>
      <c r="AA180" s="379" t="str">
        <f>VLOOKUP(R180,KEY_Processes!$B$4:$E$54,2,FALSE)</f>
        <v>Gas driven absorption heat pumps, air-to-water</v>
      </c>
      <c r="AB180" s="379" t="str">
        <f>VLOOKUP(U180,KEY_FUELS!$C$4:$D$77,2,FALSE)</f>
        <v>GAS</v>
      </c>
      <c r="AC180" s="379" t="s">
        <v>150</v>
      </c>
      <c r="AD180" s="379" t="s">
        <v>220</v>
      </c>
      <c r="AE180" s="379" t="s">
        <v>152</v>
      </c>
      <c r="AF180" s="382" t="str">
        <f>VLOOKUP(W180,KEY_Other!$B$37:$C$89,2,FALSE)</f>
        <v>DK</v>
      </c>
      <c r="AG180" s="379"/>
      <c r="AH180" s="379" t="str">
        <f>AC180&amp;VLOOKUP(U180,KEY_FUELS!$C$4:$D$78,2,FALSE)</f>
        <v>RSDGAS</v>
      </c>
      <c r="AI180" s="379" t="str">
        <f>IFERROR(AC180&amp;VLOOKUP(V180,KEY_FUELS!$C$4:$D$78,2,FALSE),"")</f>
        <v>RSDAHT</v>
      </c>
      <c r="AJ180" s="379" t="str">
        <f t="shared" si="3"/>
        <v>RHHSC</v>
      </c>
      <c r="AK180" s="379" t="str">
        <f t="shared" si="50"/>
        <v>RWHSC</v>
      </c>
      <c r="AL180" s="379" t="str">
        <f t="shared" si="51"/>
        <v/>
      </c>
      <c r="AM180" s="380">
        <v>31.536000000000001</v>
      </c>
      <c r="AN180" s="379">
        <f t="shared" si="53"/>
        <v>2030</v>
      </c>
      <c r="AO180" s="383"/>
      <c r="AP180" s="384"/>
      <c r="AQ180" s="386"/>
      <c r="AR180" s="386"/>
      <c r="AS180" s="386"/>
      <c r="AT180" s="386"/>
      <c r="AU180" s="387">
        <v>1</v>
      </c>
      <c r="AV180" s="387">
        <v>1</v>
      </c>
      <c r="AW180" s="387"/>
      <c r="AX180" s="388"/>
      <c r="AY180" s="384">
        <v>1.7</v>
      </c>
      <c r="AZ180" s="387">
        <v>1.7</v>
      </c>
      <c r="BA180" s="387">
        <v>0</v>
      </c>
      <c r="BB180" s="388"/>
      <c r="BC180" s="389"/>
      <c r="BD180" s="389"/>
      <c r="BE180" s="390"/>
      <c r="BF180" s="379"/>
      <c r="BG180" s="379"/>
      <c r="BH180" s="391"/>
      <c r="BI180" s="379">
        <v>20</v>
      </c>
      <c r="BJ180" s="379"/>
      <c r="BK180" s="388">
        <v>13</v>
      </c>
      <c r="BL180" s="392"/>
      <c r="BM180" s="392"/>
      <c r="BN180" s="392"/>
      <c r="BO180" s="392"/>
      <c r="BP180" s="392"/>
      <c r="BQ180" s="392"/>
      <c r="BR180" s="384">
        <v>235</v>
      </c>
      <c r="BS180" s="388">
        <v>0</v>
      </c>
      <c r="BT180" s="380"/>
      <c r="BU180" s="388">
        <v>5</v>
      </c>
      <c r="BV180" s="380">
        <v>0.5</v>
      </c>
      <c r="BW180" s="380">
        <v>0</v>
      </c>
      <c r="BX180" s="395">
        <v>0</v>
      </c>
    </row>
    <row r="181" spans="1:76" s="226" customFormat="1" x14ac:dyDescent="0.3">
      <c r="A181" s="88"/>
      <c r="B181" s="87"/>
      <c r="C181" s="87"/>
      <c r="D181" s="87"/>
      <c r="E181" s="87"/>
      <c r="F181" s="88"/>
      <c r="G181" s="87"/>
      <c r="H181" s="88"/>
      <c r="I181" s="88"/>
      <c r="J181" s="362" t="s">
        <v>134</v>
      </c>
      <c r="K181" s="363" t="s">
        <v>135</v>
      </c>
      <c r="L181" s="363"/>
      <c r="M181" s="363"/>
      <c r="N181" s="363"/>
      <c r="O181" s="363" t="s">
        <v>136</v>
      </c>
      <c r="P181" s="363">
        <v>2017</v>
      </c>
      <c r="Q181" s="364" t="s">
        <v>205</v>
      </c>
      <c r="R181" s="365" t="s">
        <v>206</v>
      </c>
      <c r="S181" s="363">
        <v>30</v>
      </c>
      <c r="T181" s="363"/>
      <c r="U181" s="363" t="s">
        <v>207</v>
      </c>
      <c r="V181" s="363" t="s">
        <v>190</v>
      </c>
      <c r="W181" s="363" t="s">
        <v>149</v>
      </c>
      <c r="X181" s="363">
        <v>2050</v>
      </c>
      <c r="Y181" s="363"/>
      <c r="Z181" s="363" t="str">
        <f>VLOOKUP(R181,KEY_Processes!$B$4:$E$54,4,FALSE)</f>
        <v>HP_GAS_01</v>
      </c>
      <c r="AA181" s="363" t="str">
        <f>VLOOKUP(R181,KEY_Processes!$B$4:$E$54,2,FALSE)</f>
        <v>Gas driven absorption heat pumps, air-to-water</v>
      </c>
      <c r="AB181" s="363" t="str">
        <f>VLOOKUP(U181,KEY_FUELS!$C$4:$D$77,2,FALSE)</f>
        <v>GAS</v>
      </c>
      <c r="AC181" s="363" t="s">
        <v>150</v>
      </c>
      <c r="AD181" s="363" t="s">
        <v>220</v>
      </c>
      <c r="AE181" s="363" t="s">
        <v>152</v>
      </c>
      <c r="AF181" s="366" t="str">
        <f>VLOOKUP(W181,KEY_Other!$B$37:$C$89,2,FALSE)</f>
        <v>DK</v>
      </c>
      <c r="AG181" s="363"/>
      <c r="AH181" s="363" t="str">
        <f>AC181&amp;VLOOKUP(U181,KEY_FUELS!$C$4:$D$78,2,FALSE)</f>
        <v>RSDGAS</v>
      </c>
      <c r="AI181" s="363" t="str">
        <f>IFERROR(AC181&amp;VLOOKUP(V181,KEY_FUELS!$C$4:$D$78,2,FALSE),"")</f>
        <v>RSDAHT</v>
      </c>
      <c r="AJ181" s="363" t="str">
        <f t="shared" si="3"/>
        <v>RHHSC</v>
      </c>
      <c r="AK181" s="363" t="str">
        <f t="shared" si="50"/>
        <v>RWHSC</v>
      </c>
      <c r="AL181" s="363" t="str">
        <f t="shared" si="51"/>
        <v/>
      </c>
      <c r="AM181" s="364">
        <v>31.536000000000001</v>
      </c>
      <c r="AN181" s="363">
        <f t="shared" si="53"/>
        <v>2050</v>
      </c>
      <c r="AO181" s="367"/>
      <c r="AP181" s="368"/>
      <c r="AQ181" s="370"/>
      <c r="AR181" s="370"/>
      <c r="AS181" s="370"/>
      <c r="AT181" s="370"/>
      <c r="AU181" s="371">
        <v>1</v>
      </c>
      <c r="AV181" s="371">
        <v>1</v>
      </c>
      <c r="AW181" s="371"/>
      <c r="AX181" s="372"/>
      <c r="AY181" s="368">
        <v>1.7</v>
      </c>
      <c r="AZ181" s="371">
        <v>1.7</v>
      </c>
      <c r="BA181" s="371">
        <v>0</v>
      </c>
      <c r="BB181" s="372"/>
      <c r="BC181" s="373"/>
      <c r="BD181" s="373"/>
      <c r="BE181" s="374"/>
      <c r="BF181" s="363"/>
      <c r="BG181" s="363"/>
      <c r="BH181" s="375"/>
      <c r="BI181" s="363">
        <v>20</v>
      </c>
      <c r="BJ181" s="363"/>
      <c r="BK181" s="372">
        <v>12</v>
      </c>
      <c r="BL181" s="376"/>
      <c r="BM181" s="376"/>
      <c r="BN181" s="376"/>
      <c r="BO181" s="376"/>
      <c r="BP181" s="376"/>
      <c r="BQ181" s="376"/>
      <c r="BR181" s="368">
        <v>235</v>
      </c>
      <c r="BS181" s="372">
        <v>0</v>
      </c>
      <c r="BT181" s="364"/>
      <c r="BU181" s="372">
        <v>5</v>
      </c>
      <c r="BV181" s="364">
        <v>0.5</v>
      </c>
      <c r="BW181" s="364">
        <v>0</v>
      </c>
      <c r="BX181" s="397">
        <v>0</v>
      </c>
    </row>
    <row r="182" spans="1:76" s="226" customFormat="1" x14ac:dyDescent="0.3">
      <c r="A182" s="88"/>
      <c r="B182" s="87"/>
      <c r="C182" s="87"/>
      <c r="D182" s="87"/>
      <c r="E182" s="87"/>
      <c r="F182" s="88"/>
      <c r="G182" s="87"/>
      <c r="H182" s="88"/>
      <c r="I182" s="88"/>
      <c r="J182" s="378" t="s">
        <v>134</v>
      </c>
      <c r="K182" s="379" t="s">
        <v>135</v>
      </c>
      <c r="L182" s="379"/>
      <c r="M182" s="379"/>
      <c r="N182" s="379"/>
      <c r="O182" s="379" t="s">
        <v>136</v>
      </c>
      <c r="P182" s="379">
        <v>2017</v>
      </c>
      <c r="Q182" s="380" t="s">
        <v>205</v>
      </c>
      <c r="R182" s="381" t="s">
        <v>208</v>
      </c>
      <c r="S182" s="379">
        <v>18</v>
      </c>
      <c r="T182" s="379"/>
      <c r="U182" s="379" t="s">
        <v>207</v>
      </c>
      <c r="V182" s="379" t="s">
        <v>209</v>
      </c>
      <c r="W182" s="379" t="s">
        <v>149</v>
      </c>
      <c r="X182" s="379">
        <v>2015</v>
      </c>
      <c r="Y182" s="379"/>
      <c r="Z182" s="379" t="str">
        <f>VLOOKUP(R182,KEY_Processes!$B$4:$E$54,4,FALSE)</f>
        <v>HP_GAS_02</v>
      </c>
      <c r="AA182" s="379" t="str">
        <f>VLOOKUP(R182,KEY_Processes!$B$4:$E$54,2,FALSE)</f>
        <v>Gas driven absorption heat pumps, brine-to-water</v>
      </c>
      <c r="AB182" s="379" t="str">
        <f>VLOOKUP(U182,KEY_FUELS!$C$4:$D$77,2,FALSE)</f>
        <v>GAS</v>
      </c>
      <c r="AC182" s="379" t="s">
        <v>150</v>
      </c>
      <c r="AD182" s="379" t="s">
        <v>220</v>
      </c>
      <c r="AE182" s="379" t="s">
        <v>152</v>
      </c>
      <c r="AF182" s="382" t="str">
        <f>VLOOKUP(W182,KEY_Other!$B$37:$C$89,2,FALSE)</f>
        <v>DK</v>
      </c>
      <c r="AG182" s="379"/>
      <c r="AH182" s="379" t="str">
        <f>AC182&amp;VLOOKUP(U182,KEY_FUELS!$C$4:$D$78,2,FALSE)</f>
        <v>RSDGAS</v>
      </c>
      <c r="AI182" s="379" t="str">
        <f>IFERROR(AC182&amp;VLOOKUP(V182,KEY_FUELS!$C$4:$D$78,2,FALSE),"")</f>
        <v>RSDAHT</v>
      </c>
      <c r="AJ182" s="379" t="str">
        <f t="shared" si="3"/>
        <v>RHHSC</v>
      </c>
      <c r="AK182" s="379" t="str">
        <f t="shared" si="50"/>
        <v>RWHSC</v>
      </c>
      <c r="AL182" s="379" t="str">
        <f t="shared" si="51"/>
        <v/>
      </c>
      <c r="AM182" s="380">
        <v>31.536000000000001</v>
      </c>
      <c r="AN182" s="379">
        <f t="shared" si="53"/>
        <v>2015</v>
      </c>
      <c r="AO182" s="383"/>
      <c r="AP182" s="384"/>
      <c r="AQ182" s="386"/>
      <c r="AR182" s="386"/>
      <c r="AS182" s="386"/>
      <c r="AT182" s="386"/>
      <c r="AU182" s="387">
        <v>1</v>
      </c>
      <c r="AV182" s="387">
        <v>1</v>
      </c>
      <c r="AW182" s="387"/>
      <c r="AX182" s="388"/>
      <c r="AY182" s="384">
        <v>1.35</v>
      </c>
      <c r="AZ182" s="387">
        <v>1.35</v>
      </c>
      <c r="BA182" s="387">
        <v>0</v>
      </c>
      <c r="BB182" s="388"/>
      <c r="BC182" s="389"/>
      <c r="BD182" s="389"/>
      <c r="BE182" s="390"/>
      <c r="BF182" s="379"/>
      <c r="BG182" s="379"/>
      <c r="BH182" s="391"/>
      <c r="BI182" s="379">
        <v>20</v>
      </c>
      <c r="BJ182" s="379"/>
      <c r="BK182" s="388">
        <v>22</v>
      </c>
      <c r="BL182" s="392"/>
      <c r="BM182" s="392"/>
      <c r="BN182" s="392"/>
      <c r="BO182" s="392"/>
      <c r="BP182" s="392"/>
      <c r="BQ182" s="392"/>
      <c r="BR182" s="384">
        <v>235</v>
      </c>
      <c r="BS182" s="388">
        <v>0</v>
      </c>
      <c r="BT182" s="380"/>
      <c r="BU182" s="388">
        <v>15</v>
      </c>
      <c r="BV182" s="380">
        <v>2</v>
      </c>
      <c r="BW182" s="380">
        <v>0</v>
      </c>
      <c r="BX182" s="395">
        <v>0</v>
      </c>
    </row>
    <row r="183" spans="1:76" s="226" customFormat="1" x14ac:dyDescent="0.3">
      <c r="A183" s="88"/>
      <c r="B183" s="87"/>
      <c r="C183" s="87"/>
      <c r="D183" s="87"/>
      <c r="E183" s="87"/>
      <c r="F183" s="88"/>
      <c r="G183" s="87"/>
      <c r="H183" s="88"/>
      <c r="I183" s="88"/>
      <c r="J183" s="362" t="s">
        <v>134</v>
      </c>
      <c r="K183" s="363" t="s">
        <v>135</v>
      </c>
      <c r="L183" s="363"/>
      <c r="M183" s="363"/>
      <c r="N183" s="363"/>
      <c r="O183" s="363" t="s">
        <v>136</v>
      </c>
      <c r="P183" s="363">
        <v>2017</v>
      </c>
      <c r="Q183" s="364" t="s">
        <v>205</v>
      </c>
      <c r="R183" s="365" t="s">
        <v>208</v>
      </c>
      <c r="S183" s="363">
        <v>30</v>
      </c>
      <c r="T183" s="363"/>
      <c r="U183" s="363" t="s">
        <v>207</v>
      </c>
      <c r="V183" s="363" t="s">
        <v>209</v>
      </c>
      <c r="W183" s="363" t="s">
        <v>149</v>
      </c>
      <c r="X183" s="363">
        <v>2020</v>
      </c>
      <c r="Y183" s="363"/>
      <c r="Z183" s="363" t="str">
        <f>VLOOKUP(R183,KEY_Processes!$B$4:$E$54,4,FALSE)</f>
        <v>HP_GAS_02</v>
      </c>
      <c r="AA183" s="363" t="str">
        <f>VLOOKUP(R183,KEY_Processes!$B$4:$E$54,2,FALSE)</f>
        <v>Gas driven absorption heat pumps, brine-to-water</v>
      </c>
      <c r="AB183" s="363" t="str">
        <f>VLOOKUP(U183,KEY_FUELS!$C$4:$D$77,2,FALSE)</f>
        <v>GAS</v>
      </c>
      <c r="AC183" s="363" t="s">
        <v>150</v>
      </c>
      <c r="AD183" s="363" t="s">
        <v>220</v>
      </c>
      <c r="AE183" s="363" t="s">
        <v>152</v>
      </c>
      <c r="AF183" s="366" t="str">
        <f>VLOOKUP(W183,KEY_Other!$B$37:$C$89,2,FALSE)</f>
        <v>DK</v>
      </c>
      <c r="AG183" s="363"/>
      <c r="AH183" s="363" t="str">
        <f>AC183&amp;VLOOKUP(U183,KEY_FUELS!$C$4:$D$78,2,FALSE)</f>
        <v>RSDGAS</v>
      </c>
      <c r="AI183" s="363" t="str">
        <f>IFERROR(AC183&amp;VLOOKUP(V183,KEY_FUELS!$C$4:$D$78,2,FALSE),"")</f>
        <v>RSDAHT</v>
      </c>
      <c r="AJ183" s="363" t="str">
        <f t="shared" si="3"/>
        <v>RHHSC</v>
      </c>
      <c r="AK183" s="363" t="str">
        <f t="shared" si="50"/>
        <v>RWHSC</v>
      </c>
      <c r="AL183" s="363" t="str">
        <f t="shared" si="51"/>
        <v/>
      </c>
      <c r="AM183" s="364">
        <v>31.536000000000001</v>
      </c>
      <c r="AN183" s="363">
        <f t="shared" si="53"/>
        <v>2020</v>
      </c>
      <c r="AO183" s="367"/>
      <c r="AP183" s="368"/>
      <c r="AQ183" s="370"/>
      <c r="AR183" s="370"/>
      <c r="AS183" s="370"/>
      <c r="AT183" s="370"/>
      <c r="AU183" s="371">
        <v>1</v>
      </c>
      <c r="AV183" s="371">
        <v>1</v>
      </c>
      <c r="AW183" s="371"/>
      <c r="AX183" s="372"/>
      <c r="AY183" s="368">
        <v>1.45</v>
      </c>
      <c r="AZ183" s="371">
        <v>1.45</v>
      </c>
      <c r="BA183" s="371">
        <v>0</v>
      </c>
      <c r="BB183" s="372"/>
      <c r="BC183" s="373"/>
      <c r="BD183" s="373"/>
      <c r="BE183" s="374"/>
      <c r="BF183" s="363"/>
      <c r="BG183" s="363"/>
      <c r="BH183" s="375"/>
      <c r="BI183" s="363">
        <v>20</v>
      </c>
      <c r="BJ183" s="363"/>
      <c r="BK183" s="372">
        <v>21</v>
      </c>
      <c r="BL183" s="376"/>
      <c r="BM183" s="376"/>
      <c r="BN183" s="376"/>
      <c r="BO183" s="376"/>
      <c r="BP183" s="376"/>
      <c r="BQ183" s="376"/>
      <c r="BR183" s="368">
        <v>235</v>
      </c>
      <c r="BS183" s="372">
        <v>0</v>
      </c>
      <c r="BT183" s="364"/>
      <c r="BU183" s="372">
        <v>10</v>
      </c>
      <c r="BV183" s="364">
        <v>1</v>
      </c>
      <c r="BW183" s="364">
        <v>0</v>
      </c>
      <c r="BX183" s="397">
        <v>0</v>
      </c>
    </row>
    <row r="184" spans="1:76" s="226" customFormat="1" x14ac:dyDescent="0.3">
      <c r="A184" s="88"/>
      <c r="B184" s="87"/>
      <c r="C184" s="87"/>
      <c r="D184" s="87"/>
      <c r="E184" s="87"/>
      <c r="F184" s="88"/>
      <c r="G184" s="87"/>
      <c r="H184" s="88"/>
      <c r="I184" s="88"/>
      <c r="J184" s="378" t="s">
        <v>134</v>
      </c>
      <c r="K184" s="379" t="s">
        <v>135</v>
      </c>
      <c r="L184" s="379"/>
      <c r="M184" s="379"/>
      <c r="N184" s="379"/>
      <c r="O184" s="379" t="s">
        <v>136</v>
      </c>
      <c r="P184" s="379">
        <v>2017</v>
      </c>
      <c r="Q184" s="380" t="s">
        <v>205</v>
      </c>
      <c r="R184" s="381" t="s">
        <v>208</v>
      </c>
      <c r="S184" s="379">
        <v>30</v>
      </c>
      <c r="T184" s="379"/>
      <c r="U184" s="379" t="s">
        <v>207</v>
      </c>
      <c r="V184" s="379" t="s">
        <v>209</v>
      </c>
      <c r="W184" s="379" t="s">
        <v>149</v>
      </c>
      <c r="X184" s="379">
        <v>2030</v>
      </c>
      <c r="Y184" s="379"/>
      <c r="Z184" s="379" t="str">
        <f>VLOOKUP(R184,KEY_Processes!$B$4:$E$54,4,FALSE)</f>
        <v>HP_GAS_02</v>
      </c>
      <c r="AA184" s="379" t="str">
        <f>VLOOKUP(R184,KEY_Processes!$B$4:$E$54,2,FALSE)</f>
        <v>Gas driven absorption heat pumps, brine-to-water</v>
      </c>
      <c r="AB184" s="379" t="str">
        <f>VLOOKUP(U184,KEY_FUELS!$C$4:$D$77,2,FALSE)</f>
        <v>GAS</v>
      </c>
      <c r="AC184" s="379" t="s">
        <v>150</v>
      </c>
      <c r="AD184" s="379" t="s">
        <v>220</v>
      </c>
      <c r="AE184" s="379" t="s">
        <v>152</v>
      </c>
      <c r="AF184" s="382" t="str">
        <f>VLOOKUP(W184,KEY_Other!$B$37:$C$89,2,FALSE)</f>
        <v>DK</v>
      </c>
      <c r="AG184" s="379"/>
      <c r="AH184" s="379" t="str">
        <f>AC184&amp;VLOOKUP(U184,KEY_FUELS!$C$4:$D$78,2,FALSE)</f>
        <v>RSDGAS</v>
      </c>
      <c r="AI184" s="379" t="str">
        <f>IFERROR(AC184&amp;VLOOKUP(V184,KEY_FUELS!$C$4:$D$78,2,FALSE),"")</f>
        <v>RSDAHT</v>
      </c>
      <c r="AJ184" s="379" t="str">
        <f t="shared" si="3"/>
        <v>RHHSC</v>
      </c>
      <c r="AK184" s="379" t="str">
        <f t="shared" si="50"/>
        <v>RWHSC</v>
      </c>
      <c r="AL184" s="379" t="str">
        <f t="shared" si="51"/>
        <v/>
      </c>
      <c r="AM184" s="380">
        <v>31.536000000000001</v>
      </c>
      <c r="AN184" s="379">
        <f t="shared" si="53"/>
        <v>2030</v>
      </c>
      <c r="AO184" s="383"/>
      <c r="AP184" s="384"/>
      <c r="AQ184" s="386"/>
      <c r="AR184" s="386"/>
      <c r="AS184" s="386"/>
      <c r="AT184" s="386"/>
      <c r="AU184" s="387">
        <v>1</v>
      </c>
      <c r="AV184" s="387">
        <v>1</v>
      </c>
      <c r="AW184" s="387"/>
      <c r="AX184" s="388"/>
      <c r="AY184" s="384">
        <v>1.7</v>
      </c>
      <c r="AZ184" s="387">
        <v>1.7</v>
      </c>
      <c r="BA184" s="387">
        <v>0</v>
      </c>
      <c r="BB184" s="388"/>
      <c r="BC184" s="389"/>
      <c r="BD184" s="389"/>
      <c r="BE184" s="390"/>
      <c r="BF184" s="379"/>
      <c r="BG184" s="379"/>
      <c r="BH184" s="391"/>
      <c r="BI184" s="379">
        <v>20</v>
      </c>
      <c r="BJ184" s="379"/>
      <c r="BK184" s="388">
        <v>20</v>
      </c>
      <c r="BL184" s="392"/>
      <c r="BM184" s="392"/>
      <c r="BN184" s="392"/>
      <c r="BO184" s="392"/>
      <c r="BP184" s="392"/>
      <c r="BQ184" s="392"/>
      <c r="BR184" s="384">
        <v>235</v>
      </c>
      <c r="BS184" s="388">
        <v>0</v>
      </c>
      <c r="BT184" s="380"/>
      <c r="BU184" s="388">
        <v>5</v>
      </c>
      <c r="BV184" s="380">
        <v>0.5</v>
      </c>
      <c r="BW184" s="380">
        <v>0</v>
      </c>
      <c r="BX184" s="395">
        <v>0</v>
      </c>
    </row>
    <row r="185" spans="1:76" s="226" customFormat="1" x14ac:dyDescent="0.3">
      <c r="A185" s="88"/>
      <c r="B185" s="87"/>
      <c r="C185" s="87"/>
      <c r="D185" s="87"/>
      <c r="E185" s="87"/>
      <c r="F185" s="88"/>
      <c r="G185" s="87"/>
      <c r="H185" s="88"/>
      <c r="I185" s="88"/>
      <c r="J185" s="362" t="s">
        <v>134</v>
      </c>
      <c r="K185" s="363" t="s">
        <v>135</v>
      </c>
      <c r="L185" s="363"/>
      <c r="M185" s="363"/>
      <c r="N185" s="363"/>
      <c r="O185" s="363" t="s">
        <v>136</v>
      </c>
      <c r="P185" s="363">
        <v>2017</v>
      </c>
      <c r="Q185" s="364" t="s">
        <v>205</v>
      </c>
      <c r="R185" s="365" t="s">
        <v>208</v>
      </c>
      <c r="S185" s="363">
        <v>30</v>
      </c>
      <c r="T185" s="363"/>
      <c r="U185" s="363" t="s">
        <v>207</v>
      </c>
      <c r="V185" s="363" t="s">
        <v>209</v>
      </c>
      <c r="W185" s="363" t="s">
        <v>149</v>
      </c>
      <c r="X185" s="363">
        <v>2050</v>
      </c>
      <c r="Y185" s="363"/>
      <c r="Z185" s="363" t="str">
        <f>VLOOKUP(R185,KEY_Processes!$B$4:$E$54,4,FALSE)</f>
        <v>HP_GAS_02</v>
      </c>
      <c r="AA185" s="363" t="str">
        <f>VLOOKUP(R185,KEY_Processes!$B$4:$E$54,2,FALSE)</f>
        <v>Gas driven absorption heat pumps, brine-to-water</v>
      </c>
      <c r="AB185" s="363" t="str">
        <f>VLOOKUP(U185,KEY_FUELS!$C$4:$D$77,2,FALSE)</f>
        <v>GAS</v>
      </c>
      <c r="AC185" s="363" t="s">
        <v>150</v>
      </c>
      <c r="AD185" s="363" t="s">
        <v>220</v>
      </c>
      <c r="AE185" s="363" t="s">
        <v>152</v>
      </c>
      <c r="AF185" s="366" t="str">
        <f>VLOOKUP(W185,KEY_Other!$B$37:$C$89,2,FALSE)</f>
        <v>DK</v>
      </c>
      <c r="AG185" s="363"/>
      <c r="AH185" s="363" t="str">
        <f>AC185&amp;VLOOKUP(U185,KEY_FUELS!$C$4:$D$78,2,FALSE)</f>
        <v>RSDGAS</v>
      </c>
      <c r="AI185" s="363" t="str">
        <f>IFERROR(AC185&amp;VLOOKUP(V185,KEY_FUELS!$C$4:$D$78,2,FALSE),"")</f>
        <v>RSDAHT</v>
      </c>
      <c r="AJ185" s="363" t="str">
        <f t="shared" ref="AJ185:AJ242" si="69">LEFT(AC185,1)&amp;"H"&amp;AD185</f>
        <v>RHHSC</v>
      </c>
      <c r="AK185" s="363" t="str">
        <f t="shared" si="50"/>
        <v>RWHSC</v>
      </c>
      <c r="AL185" s="363" t="str">
        <f t="shared" si="51"/>
        <v/>
      </c>
      <c r="AM185" s="364">
        <v>31.536000000000001</v>
      </c>
      <c r="AN185" s="363">
        <f t="shared" si="53"/>
        <v>2050</v>
      </c>
      <c r="AO185" s="367"/>
      <c r="AP185" s="368"/>
      <c r="AQ185" s="370"/>
      <c r="AR185" s="370"/>
      <c r="AS185" s="370"/>
      <c r="AT185" s="370"/>
      <c r="AU185" s="371">
        <v>1</v>
      </c>
      <c r="AV185" s="371">
        <v>1</v>
      </c>
      <c r="AW185" s="371"/>
      <c r="AX185" s="372"/>
      <c r="AY185" s="368">
        <v>1.7</v>
      </c>
      <c r="AZ185" s="371">
        <v>1.7</v>
      </c>
      <c r="BA185" s="371">
        <v>0</v>
      </c>
      <c r="BB185" s="372"/>
      <c r="BC185" s="373"/>
      <c r="BD185" s="373"/>
      <c r="BE185" s="374"/>
      <c r="BF185" s="363"/>
      <c r="BG185" s="363"/>
      <c r="BH185" s="375"/>
      <c r="BI185" s="363">
        <v>20</v>
      </c>
      <c r="BJ185" s="363"/>
      <c r="BK185" s="372">
        <v>18</v>
      </c>
      <c r="BL185" s="376"/>
      <c r="BM185" s="376"/>
      <c r="BN185" s="376"/>
      <c r="BO185" s="376"/>
      <c r="BP185" s="376"/>
      <c r="BQ185" s="376"/>
      <c r="BR185" s="368">
        <v>235</v>
      </c>
      <c r="BS185" s="372">
        <v>0</v>
      </c>
      <c r="BT185" s="364"/>
      <c r="BU185" s="372">
        <v>5</v>
      </c>
      <c r="BV185" s="364">
        <v>0.5</v>
      </c>
      <c r="BW185" s="364">
        <v>0</v>
      </c>
      <c r="BX185" s="397">
        <v>0</v>
      </c>
    </row>
    <row r="186" spans="1:76" s="226" customFormat="1" x14ac:dyDescent="0.3">
      <c r="A186" s="88"/>
      <c r="B186" s="87"/>
      <c r="C186" s="87"/>
      <c r="D186" s="87"/>
      <c r="E186" s="87"/>
      <c r="F186" s="88"/>
      <c r="G186" s="87"/>
      <c r="H186" s="88"/>
      <c r="I186" s="88"/>
      <c r="J186" s="378" t="s">
        <v>134</v>
      </c>
      <c r="K186" s="379" t="s">
        <v>135</v>
      </c>
      <c r="L186" s="379"/>
      <c r="M186" s="379"/>
      <c r="N186" s="379"/>
      <c r="O186" s="379" t="s">
        <v>136</v>
      </c>
      <c r="P186" s="379">
        <v>2017</v>
      </c>
      <c r="Q186" s="380" t="s">
        <v>205</v>
      </c>
      <c r="R186" s="381" t="s">
        <v>210</v>
      </c>
      <c r="S186" s="379">
        <v>44</v>
      </c>
      <c r="T186" s="379"/>
      <c r="U186" s="379" t="s">
        <v>207</v>
      </c>
      <c r="V186" s="379" t="s">
        <v>190</v>
      </c>
      <c r="W186" s="379" t="s">
        <v>149</v>
      </c>
      <c r="X186" s="379">
        <v>2015</v>
      </c>
      <c r="Y186" s="379"/>
      <c r="Z186" s="379" t="str">
        <f>VLOOKUP(R186,KEY_Processes!$B$4:$E$54,4,FALSE)</f>
        <v>HP_GAS_03</v>
      </c>
      <c r="AA186" s="379" t="str">
        <f>VLOOKUP(R186,KEY_Processes!$B$4:$E$54,2,FALSE)</f>
        <v>Gas driven absorption heat pumps, air-to-water</v>
      </c>
      <c r="AB186" s="379" t="str">
        <f>VLOOKUP(U186,KEY_FUELS!$C$4:$D$77,2,FALSE)</f>
        <v>GAS</v>
      </c>
      <c r="AC186" s="379" t="s">
        <v>150</v>
      </c>
      <c r="AD186" s="379" t="s">
        <v>158</v>
      </c>
      <c r="AE186" s="379" t="s">
        <v>152</v>
      </c>
      <c r="AF186" s="382" t="str">
        <f>VLOOKUP(W186,KEY_Other!$B$37:$C$89,2,FALSE)</f>
        <v>DK</v>
      </c>
      <c r="AG186" s="379"/>
      <c r="AH186" s="379" t="str">
        <f>AC186&amp;VLOOKUP(U186,KEY_FUELS!$C$4:$D$78,2,FALSE)</f>
        <v>RSDGAS</v>
      </c>
      <c r="AI186" s="379" t="str">
        <f>IFERROR(AC186&amp;VLOOKUP(V186,KEY_FUELS!$C$4:$D$78,2,FALSE),"")</f>
        <v>RSDAHT</v>
      </c>
      <c r="AJ186" s="379" t="str">
        <f t="shared" si="69"/>
        <v>RHAPC</v>
      </c>
      <c r="AK186" s="379" t="str">
        <f t="shared" si="50"/>
        <v>RWAPC</v>
      </c>
      <c r="AL186" s="379" t="str">
        <f t="shared" si="51"/>
        <v/>
      </c>
      <c r="AM186" s="380">
        <v>31.536000000000001</v>
      </c>
      <c r="AN186" s="379">
        <f t="shared" si="53"/>
        <v>2015</v>
      </c>
      <c r="AO186" s="383"/>
      <c r="AP186" s="384"/>
      <c r="AQ186" s="386"/>
      <c r="AR186" s="386"/>
      <c r="AS186" s="386"/>
      <c r="AT186" s="386"/>
      <c r="AU186" s="387">
        <v>1</v>
      </c>
      <c r="AV186" s="387">
        <v>1</v>
      </c>
      <c r="AW186" s="387"/>
      <c r="AX186" s="388"/>
      <c r="AY186" s="384">
        <v>1.35</v>
      </c>
      <c r="AZ186" s="387">
        <v>1.35</v>
      </c>
      <c r="BA186" s="387">
        <v>0</v>
      </c>
      <c r="BB186" s="388"/>
      <c r="BC186" s="389"/>
      <c r="BD186" s="389"/>
      <c r="BE186" s="390"/>
      <c r="BF186" s="379"/>
      <c r="BG186" s="379"/>
      <c r="BH186" s="391"/>
      <c r="BI186" s="379">
        <v>20</v>
      </c>
      <c r="BJ186" s="379"/>
      <c r="BK186" s="388">
        <v>19.600000000000001</v>
      </c>
      <c r="BL186" s="392"/>
      <c r="BM186" s="392"/>
      <c r="BN186" s="392"/>
      <c r="BO186" s="392"/>
      <c r="BP186" s="392"/>
      <c r="BQ186" s="392"/>
      <c r="BR186" s="384">
        <v>235</v>
      </c>
      <c r="BS186" s="388">
        <v>0</v>
      </c>
      <c r="BT186" s="380"/>
      <c r="BU186" s="388">
        <v>15</v>
      </c>
      <c r="BV186" s="380">
        <v>2</v>
      </c>
      <c r="BW186" s="380">
        <v>0</v>
      </c>
      <c r="BX186" s="395">
        <v>0</v>
      </c>
    </row>
    <row r="187" spans="1:76" s="226" customFormat="1" x14ac:dyDescent="0.3">
      <c r="A187" s="88"/>
      <c r="B187" s="87"/>
      <c r="C187" s="87"/>
      <c r="D187" s="87"/>
      <c r="E187" s="87"/>
      <c r="F187" s="88"/>
      <c r="G187" s="87"/>
      <c r="H187" s="88"/>
      <c r="I187" s="88"/>
      <c r="J187" s="362" t="s">
        <v>134</v>
      </c>
      <c r="K187" s="363" t="s">
        <v>135</v>
      </c>
      <c r="L187" s="363"/>
      <c r="M187" s="363"/>
      <c r="N187" s="363"/>
      <c r="O187" s="363" t="s">
        <v>136</v>
      </c>
      <c r="P187" s="363">
        <v>2017</v>
      </c>
      <c r="Q187" s="364" t="s">
        <v>205</v>
      </c>
      <c r="R187" s="365" t="s">
        <v>210</v>
      </c>
      <c r="S187" s="363">
        <v>80</v>
      </c>
      <c r="T187" s="363"/>
      <c r="U187" s="363" t="s">
        <v>207</v>
      </c>
      <c r="V187" s="363" t="s">
        <v>190</v>
      </c>
      <c r="W187" s="363" t="s">
        <v>149</v>
      </c>
      <c r="X187" s="363">
        <v>2020</v>
      </c>
      <c r="Y187" s="363"/>
      <c r="Z187" s="363" t="str">
        <f>VLOOKUP(R187,KEY_Processes!$B$4:$E$54,4,FALSE)</f>
        <v>HP_GAS_03</v>
      </c>
      <c r="AA187" s="363" t="str">
        <f>VLOOKUP(R187,KEY_Processes!$B$4:$E$54,2,FALSE)</f>
        <v>Gas driven absorption heat pumps, air-to-water</v>
      </c>
      <c r="AB187" s="363" t="str">
        <f>VLOOKUP(U187,KEY_FUELS!$C$4:$D$77,2,FALSE)</f>
        <v>GAS</v>
      </c>
      <c r="AC187" s="363" t="s">
        <v>150</v>
      </c>
      <c r="AD187" s="363" t="s">
        <v>158</v>
      </c>
      <c r="AE187" s="363" t="s">
        <v>152</v>
      </c>
      <c r="AF187" s="366" t="str">
        <f>VLOOKUP(W187,KEY_Other!$B$37:$C$89,2,FALSE)</f>
        <v>DK</v>
      </c>
      <c r="AG187" s="363"/>
      <c r="AH187" s="363" t="str">
        <f>AC187&amp;VLOOKUP(U187,KEY_FUELS!$C$4:$D$78,2,FALSE)</f>
        <v>RSDGAS</v>
      </c>
      <c r="AI187" s="363" t="str">
        <f>IFERROR(AC187&amp;VLOOKUP(V187,KEY_FUELS!$C$4:$D$78,2,FALSE),"")</f>
        <v>RSDAHT</v>
      </c>
      <c r="AJ187" s="363" t="str">
        <f t="shared" si="69"/>
        <v>RHAPC</v>
      </c>
      <c r="AK187" s="363" t="str">
        <f t="shared" si="50"/>
        <v>RWAPC</v>
      </c>
      <c r="AL187" s="363" t="str">
        <f t="shared" si="51"/>
        <v/>
      </c>
      <c r="AM187" s="364">
        <v>31.536000000000001</v>
      </c>
      <c r="AN187" s="363">
        <f t="shared" si="53"/>
        <v>2020</v>
      </c>
      <c r="AO187" s="367"/>
      <c r="AP187" s="368"/>
      <c r="AQ187" s="370"/>
      <c r="AR187" s="370"/>
      <c r="AS187" s="370"/>
      <c r="AT187" s="370"/>
      <c r="AU187" s="371">
        <v>1</v>
      </c>
      <c r="AV187" s="371">
        <v>1</v>
      </c>
      <c r="AW187" s="371"/>
      <c r="AX187" s="372"/>
      <c r="AY187" s="368">
        <v>1.45</v>
      </c>
      <c r="AZ187" s="371">
        <v>1.45</v>
      </c>
      <c r="BA187" s="371">
        <v>0</v>
      </c>
      <c r="BB187" s="372"/>
      <c r="BC187" s="373"/>
      <c r="BD187" s="373"/>
      <c r="BE187" s="374"/>
      <c r="BF187" s="363"/>
      <c r="BG187" s="363"/>
      <c r="BH187" s="375"/>
      <c r="BI187" s="363">
        <v>20</v>
      </c>
      <c r="BJ187" s="363"/>
      <c r="BK187" s="372">
        <v>19</v>
      </c>
      <c r="BL187" s="376"/>
      <c r="BM187" s="376"/>
      <c r="BN187" s="376"/>
      <c r="BO187" s="376"/>
      <c r="BP187" s="376"/>
      <c r="BQ187" s="376"/>
      <c r="BR187" s="368">
        <v>235</v>
      </c>
      <c r="BS187" s="372">
        <v>0</v>
      </c>
      <c r="BT187" s="364"/>
      <c r="BU187" s="372">
        <v>10</v>
      </c>
      <c r="BV187" s="364">
        <v>1</v>
      </c>
      <c r="BW187" s="364">
        <v>0</v>
      </c>
      <c r="BX187" s="397">
        <v>0</v>
      </c>
    </row>
    <row r="188" spans="1:76" s="226" customFormat="1" x14ac:dyDescent="0.3">
      <c r="A188" s="88"/>
      <c r="B188" s="87"/>
      <c r="C188" s="87"/>
      <c r="D188" s="87"/>
      <c r="E188" s="87"/>
      <c r="F188" s="88"/>
      <c r="G188" s="87"/>
      <c r="H188" s="88"/>
      <c r="I188" s="88"/>
      <c r="J188" s="378" t="s">
        <v>134</v>
      </c>
      <c r="K188" s="379" t="s">
        <v>135</v>
      </c>
      <c r="L188" s="379"/>
      <c r="M188" s="379"/>
      <c r="N188" s="379"/>
      <c r="O188" s="379" t="s">
        <v>136</v>
      </c>
      <c r="P188" s="379">
        <v>2017</v>
      </c>
      <c r="Q188" s="380" t="s">
        <v>205</v>
      </c>
      <c r="R188" s="381" t="s">
        <v>210</v>
      </c>
      <c r="S188" s="379">
        <v>80</v>
      </c>
      <c r="T188" s="379"/>
      <c r="U188" s="379" t="s">
        <v>207</v>
      </c>
      <c r="V188" s="379" t="s">
        <v>190</v>
      </c>
      <c r="W188" s="379" t="s">
        <v>149</v>
      </c>
      <c r="X188" s="379">
        <v>2030</v>
      </c>
      <c r="Y188" s="379"/>
      <c r="Z188" s="379" t="str">
        <f>VLOOKUP(R188,KEY_Processes!$B$4:$E$54,4,FALSE)</f>
        <v>HP_GAS_03</v>
      </c>
      <c r="AA188" s="379" t="str">
        <f>VLOOKUP(R188,KEY_Processes!$B$4:$E$54,2,FALSE)</f>
        <v>Gas driven absorption heat pumps, air-to-water</v>
      </c>
      <c r="AB188" s="379" t="str">
        <f>VLOOKUP(U188,KEY_FUELS!$C$4:$D$77,2,FALSE)</f>
        <v>GAS</v>
      </c>
      <c r="AC188" s="379" t="s">
        <v>150</v>
      </c>
      <c r="AD188" s="379" t="s">
        <v>158</v>
      </c>
      <c r="AE188" s="379" t="s">
        <v>152</v>
      </c>
      <c r="AF188" s="382" t="str">
        <f>VLOOKUP(W188,KEY_Other!$B$37:$C$89,2,FALSE)</f>
        <v>DK</v>
      </c>
      <c r="AG188" s="379"/>
      <c r="AH188" s="379" t="str">
        <f>AC188&amp;VLOOKUP(U188,KEY_FUELS!$C$4:$D$78,2,FALSE)</f>
        <v>RSDGAS</v>
      </c>
      <c r="AI188" s="379" t="str">
        <f>IFERROR(AC188&amp;VLOOKUP(V188,KEY_FUELS!$C$4:$D$78,2,FALSE),"")</f>
        <v>RSDAHT</v>
      </c>
      <c r="AJ188" s="379" t="str">
        <f t="shared" si="69"/>
        <v>RHAPC</v>
      </c>
      <c r="AK188" s="379" t="str">
        <f t="shared" si="50"/>
        <v>RWAPC</v>
      </c>
      <c r="AL188" s="379" t="str">
        <f t="shared" si="51"/>
        <v/>
      </c>
      <c r="AM188" s="380">
        <v>31.536000000000001</v>
      </c>
      <c r="AN188" s="379">
        <f t="shared" si="53"/>
        <v>2030</v>
      </c>
      <c r="AO188" s="383"/>
      <c r="AP188" s="384"/>
      <c r="AQ188" s="386"/>
      <c r="AR188" s="386"/>
      <c r="AS188" s="386"/>
      <c r="AT188" s="386"/>
      <c r="AU188" s="387">
        <v>1</v>
      </c>
      <c r="AV188" s="387">
        <v>1</v>
      </c>
      <c r="AW188" s="387"/>
      <c r="AX188" s="388"/>
      <c r="AY188" s="384">
        <v>1.7</v>
      </c>
      <c r="AZ188" s="387">
        <v>1.7</v>
      </c>
      <c r="BA188" s="387">
        <v>0</v>
      </c>
      <c r="BB188" s="388"/>
      <c r="BC188" s="389"/>
      <c r="BD188" s="389"/>
      <c r="BE188" s="390"/>
      <c r="BF188" s="379"/>
      <c r="BG188" s="379"/>
      <c r="BH188" s="391"/>
      <c r="BI188" s="379">
        <v>20</v>
      </c>
      <c r="BJ188" s="379"/>
      <c r="BK188" s="388">
        <v>17</v>
      </c>
      <c r="BL188" s="392"/>
      <c r="BM188" s="392"/>
      <c r="BN188" s="392"/>
      <c r="BO188" s="392"/>
      <c r="BP188" s="392"/>
      <c r="BQ188" s="392"/>
      <c r="BR188" s="384">
        <v>235</v>
      </c>
      <c r="BS188" s="388">
        <v>0</v>
      </c>
      <c r="BT188" s="380"/>
      <c r="BU188" s="388">
        <v>5</v>
      </c>
      <c r="BV188" s="380">
        <v>0.5</v>
      </c>
      <c r="BW188" s="380">
        <v>0</v>
      </c>
      <c r="BX188" s="395">
        <v>0</v>
      </c>
    </row>
    <row r="189" spans="1:76" s="226" customFormat="1" x14ac:dyDescent="0.3">
      <c r="A189" s="88"/>
      <c r="B189" s="87"/>
      <c r="C189" s="87"/>
      <c r="D189" s="87"/>
      <c r="E189" s="87"/>
      <c r="F189" s="88"/>
      <c r="G189" s="87"/>
      <c r="H189" s="88"/>
      <c r="I189" s="88"/>
      <c r="J189" s="362" t="s">
        <v>134</v>
      </c>
      <c r="K189" s="363" t="s">
        <v>135</v>
      </c>
      <c r="L189" s="363"/>
      <c r="M189" s="363"/>
      <c r="N189" s="363"/>
      <c r="O189" s="363" t="s">
        <v>136</v>
      </c>
      <c r="P189" s="363">
        <v>2017</v>
      </c>
      <c r="Q189" s="364" t="s">
        <v>205</v>
      </c>
      <c r="R189" s="365" t="s">
        <v>210</v>
      </c>
      <c r="S189" s="363">
        <v>80</v>
      </c>
      <c r="T189" s="363"/>
      <c r="U189" s="363" t="s">
        <v>207</v>
      </c>
      <c r="V189" s="363" t="s">
        <v>190</v>
      </c>
      <c r="W189" s="363" t="s">
        <v>149</v>
      </c>
      <c r="X189" s="363">
        <v>2050</v>
      </c>
      <c r="Y189" s="363"/>
      <c r="Z189" s="363" t="str">
        <f>VLOOKUP(R189,KEY_Processes!$B$4:$E$54,4,FALSE)</f>
        <v>HP_GAS_03</v>
      </c>
      <c r="AA189" s="363" t="str">
        <f>VLOOKUP(R189,KEY_Processes!$B$4:$E$54,2,FALSE)</f>
        <v>Gas driven absorption heat pumps, air-to-water</v>
      </c>
      <c r="AB189" s="363" t="str">
        <f>VLOOKUP(U189,KEY_FUELS!$C$4:$D$77,2,FALSE)</f>
        <v>GAS</v>
      </c>
      <c r="AC189" s="363" t="s">
        <v>150</v>
      </c>
      <c r="AD189" s="363" t="s">
        <v>158</v>
      </c>
      <c r="AE189" s="363" t="s">
        <v>152</v>
      </c>
      <c r="AF189" s="366" t="str">
        <f>VLOOKUP(W189,KEY_Other!$B$37:$C$89,2,FALSE)</f>
        <v>DK</v>
      </c>
      <c r="AG189" s="363"/>
      <c r="AH189" s="363" t="str">
        <f>AC189&amp;VLOOKUP(U189,KEY_FUELS!$C$4:$D$78,2,FALSE)</f>
        <v>RSDGAS</v>
      </c>
      <c r="AI189" s="363" t="str">
        <f>IFERROR(AC189&amp;VLOOKUP(V189,KEY_FUELS!$C$4:$D$78,2,FALSE),"")</f>
        <v>RSDAHT</v>
      </c>
      <c r="AJ189" s="363" t="str">
        <f t="shared" si="69"/>
        <v>RHAPC</v>
      </c>
      <c r="AK189" s="363" t="str">
        <f t="shared" si="50"/>
        <v>RWAPC</v>
      </c>
      <c r="AL189" s="363" t="str">
        <f t="shared" si="51"/>
        <v/>
      </c>
      <c r="AM189" s="364">
        <v>31.536000000000001</v>
      </c>
      <c r="AN189" s="363">
        <f t="shared" si="53"/>
        <v>2050</v>
      </c>
      <c r="AO189" s="367"/>
      <c r="AP189" s="368"/>
      <c r="AQ189" s="370"/>
      <c r="AR189" s="370"/>
      <c r="AS189" s="370"/>
      <c r="AT189" s="370"/>
      <c r="AU189" s="371">
        <v>1</v>
      </c>
      <c r="AV189" s="371">
        <v>1</v>
      </c>
      <c r="AW189" s="371"/>
      <c r="AX189" s="372"/>
      <c r="AY189" s="368">
        <v>1.7</v>
      </c>
      <c r="AZ189" s="371">
        <v>1.7</v>
      </c>
      <c r="BA189" s="371">
        <v>0</v>
      </c>
      <c r="BB189" s="372"/>
      <c r="BC189" s="373"/>
      <c r="BD189" s="373"/>
      <c r="BE189" s="374"/>
      <c r="BF189" s="363"/>
      <c r="BG189" s="363"/>
      <c r="BH189" s="375"/>
      <c r="BI189" s="363">
        <v>20</v>
      </c>
      <c r="BJ189" s="363"/>
      <c r="BK189" s="372">
        <v>16</v>
      </c>
      <c r="BL189" s="376"/>
      <c r="BM189" s="376"/>
      <c r="BN189" s="376"/>
      <c r="BO189" s="376"/>
      <c r="BP189" s="376"/>
      <c r="BQ189" s="376"/>
      <c r="BR189" s="368">
        <v>235</v>
      </c>
      <c r="BS189" s="372">
        <v>0</v>
      </c>
      <c r="BT189" s="364"/>
      <c r="BU189" s="372">
        <v>5</v>
      </c>
      <c r="BV189" s="364">
        <v>0.5</v>
      </c>
      <c r="BW189" s="364">
        <v>0</v>
      </c>
      <c r="BX189" s="397">
        <v>0</v>
      </c>
    </row>
    <row r="190" spans="1:76" s="226" customFormat="1" x14ac:dyDescent="0.3">
      <c r="A190" s="88"/>
      <c r="B190" s="87"/>
      <c r="C190" s="87"/>
      <c r="D190" s="87"/>
      <c r="E190" s="87"/>
      <c r="F190" s="88"/>
      <c r="G190" s="87"/>
      <c r="H190" s="88"/>
      <c r="I190" s="88"/>
      <c r="J190" s="378" t="s">
        <v>134</v>
      </c>
      <c r="K190" s="379" t="s">
        <v>135</v>
      </c>
      <c r="L190" s="379"/>
      <c r="M190" s="379"/>
      <c r="N190" s="379"/>
      <c r="O190" s="379" t="s">
        <v>136</v>
      </c>
      <c r="P190" s="379">
        <v>2017</v>
      </c>
      <c r="Q190" s="380" t="s">
        <v>205</v>
      </c>
      <c r="R190" s="381" t="s">
        <v>211</v>
      </c>
      <c r="S190" s="379">
        <v>44</v>
      </c>
      <c r="T190" s="379"/>
      <c r="U190" s="379" t="s">
        <v>207</v>
      </c>
      <c r="V190" s="379" t="s">
        <v>209</v>
      </c>
      <c r="W190" s="379" t="s">
        <v>149</v>
      </c>
      <c r="X190" s="379">
        <v>2015</v>
      </c>
      <c r="Y190" s="379"/>
      <c r="Z190" s="379" t="str">
        <f>VLOOKUP(R190,KEY_Processes!$B$4:$E$54,4,FALSE)</f>
        <v>HP_GAS_04</v>
      </c>
      <c r="AA190" s="379" t="str">
        <f>VLOOKUP(R190,KEY_Processes!$B$4:$E$54,2,FALSE)</f>
        <v>Gas driven absorption heat pumps, brine-to-water</v>
      </c>
      <c r="AB190" s="379" t="str">
        <f>VLOOKUP(U190,KEY_FUELS!$C$4:$D$77,2,FALSE)</f>
        <v>GAS</v>
      </c>
      <c r="AC190" s="379" t="s">
        <v>150</v>
      </c>
      <c r="AD190" s="379" t="s">
        <v>158</v>
      </c>
      <c r="AE190" s="379" t="s">
        <v>152</v>
      </c>
      <c r="AF190" s="382" t="str">
        <f>VLOOKUP(W190,KEY_Other!$B$37:$C$89,2,FALSE)</f>
        <v>DK</v>
      </c>
      <c r="AG190" s="379"/>
      <c r="AH190" s="379" t="str">
        <f>AC190&amp;VLOOKUP(U190,KEY_FUELS!$C$4:$D$78,2,FALSE)</f>
        <v>RSDGAS</v>
      </c>
      <c r="AI190" s="379" t="str">
        <f>IFERROR(AC190&amp;VLOOKUP(V190,KEY_FUELS!$C$4:$D$78,2,FALSE),"")</f>
        <v>RSDAHT</v>
      </c>
      <c r="AJ190" s="379" t="str">
        <f t="shared" si="69"/>
        <v>RHAPC</v>
      </c>
      <c r="AK190" s="379" t="str">
        <f t="shared" si="50"/>
        <v>RWAPC</v>
      </c>
      <c r="AL190" s="379" t="str">
        <f t="shared" si="51"/>
        <v/>
      </c>
      <c r="AM190" s="380">
        <v>31.536000000000001</v>
      </c>
      <c r="AN190" s="379">
        <f t="shared" si="53"/>
        <v>2015</v>
      </c>
      <c r="AO190" s="383"/>
      <c r="AP190" s="384"/>
      <c r="AQ190" s="386"/>
      <c r="AR190" s="386"/>
      <c r="AS190" s="386"/>
      <c r="AT190" s="386"/>
      <c r="AU190" s="387">
        <v>1</v>
      </c>
      <c r="AV190" s="387">
        <v>1</v>
      </c>
      <c r="AW190" s="387"/>
      <c r="AX190" s="388"/>
      <c r="AY190" s="384">
        <v>1.35</v>
      </c>
      <c r="AZ190" s="387">
        <v>1.35</v>
      </c>
      <c r="BA190" s="387">
        <v>0</v>
      </c>
      <c r="BB190" s="388"/>
      <c r="BC190" s="389"/>
      <c r="BD190" s="389"/>
      <c r="BE190" s="390"/>
      <c r="BF190" s="379"/>
      <c r="BG190" s="379"/>
      <c r="BH190" s="391"/>
      <c r="BI190" s="379">
        <v>20</v>
      </c>
      <c r="BJ190" s="379"/>
      <c r="BK190" s="388">
        <v>57.6</v>
      </c>
      <c r="BL190" s="392"/>
      <c r="BM190" s="392"/>
      <c r="BN190" s="392"/>
      <c r="BO190" s="392"/>
      <c r="BP190" s="392"/>
      <c r="BQ190" s="392"/>
      <c r="BR190" s="384">
        <v>235</v>
      </c>
      <c r="BS190" s="388">
        <v>0</v>
      </c>
      <c r="BT190" s="380"/>
      <c r="BU190" s="388">
        <v>15</v>
      </c>
      <c r="BV190" s="380">
        <v>2</v>
      </c>
      <c r="BW190" s="380">
        <v>0</v>
      </c>
      <c r="BX190" s="395">
        <v>0</v>
      </c>
    </row>
    <row r="191" spans="1:76" s="226" customFormat="1" x14ac:dyDescent="0.3">
      <c r="A191" s="88"/>
      <c r="B191" s="87"/>
      <c r="C191" s="87"/>
      <c r="D191" s="87"/>
      <c r="E191" s="87"/>
      <c r="F191" s="88"/>
      <c r="G191" s="87"/>
      <c r="H191" s="88"/>
      <c r="I191" s="88"/>
      <c r="J191" s="362" t="s">
        <v>134</v>
      </c>
      <c r="K191" s="363" t="s">
        <v>135</v>
      </c>
      <c r="L191" s="363"/>
      <c r="M191" s="363"/>
      <c r="N191" s="363"/>
      <c r="O191" s="363" t="s">
        <v>136</v>
      </c>
      <c r="P191" s="363">
        <v>2017</v>
      </c>
      <c r="Q191" s="364" t="s">
        <v>205</v>
      </c>
      <c r="R191" s="365" t="s">
        <v>211</v>
      </c>
      <c r="S191" s="363">
        <v>80</v>
      </c>
      <c r="T191" s="363"/>
      <c r="U191" s="363" t="s">
        <v>207</v>
      </c>
      <c r="V191" s="363" t="s">
        <v>209</v>
      </c>
      <c r="W191" s="363" t="s">
        <v>149</v>
      </c>
      <c r="X191" s="363">
        <v>2020</v>
      </c>
      <c r="Y191" s="363"/>
      <c r="Z191" s="363" t="str">
        <f>VLOOKUP(R191,KEY_Processes!$B$4:$E$54,4,FALSE)</f>
        <v>HP_GAS_04</v>
      </c>
      <c r="AA191" s="363" t="str">
        <f>VLOOKUP(R191,KEY_Processes!$B$4:$E$54,2,FALSE)</f>
        <v>Gas driven absorption heat pumps, brine-to-water</v>
      </c>
      <c r="AB191" s="363" t="str">
        <f>VLOOKUP(U191,KEY_FUELS!$C$4:$D$77,2,FALSE)</f>
        <v>GAS</v>
      </c>
      <c r="AC191" s="363" t="s">
        <v>150</v>
      </c>
      <c r="AD191" s="363" t="s">
        <v>158</v>
      </c>
      <c r="AE191" s="363" t="s">
        <v>152</v>
      </c>
      <c r="AF191" s="366" t="str">
        <f>VLOOKUP(W191,KEY_Other!$B$37:$C$89,2,FALSE)</f>
        <v>DK</v>
      </c>
      <c r="AG191" s="363"/>
      <c r="AH191" s="363" t="str">
        <f>AC191&amp;VLOOKUP(U191,KEY_FUELS!$C$4:$D$78,2,FALSE)</f>
        <v>RSDGAS</v>
      </c>
      <c r="AI191" s="363" t="str">
        <f>IFERROR(AC191&amp;VLOOKUP(V191,KEY_FUELS!$C$4:$D$78,2,FALSE),"")</f>
        <v>RSDAHT</v>
      </c>
      <c r="AJ191" s="363" t="str">
        <f t="shared" si="69"/>
        <v>RHAPC</v>
      </c>
      <c r="AK191" s="363" t="str">
        <f t="shared" si="50"/>
        <v>RWAPC</v>
      </c>
      <c r="AL191" s="363" t="str">
        <f t="shared" si="51"/>
        <v/>
      </c>
      <c r="AM191" s="364">
        <v>31.536000000000001</v>
      </c>
      <c r="AN191" s="363">
        <f t="shared" si="53"/>
        <v>2020</v>
      </c>
      <c r="AO191" s="367"/>
      <c r="AP191" s="368"/>
      <c r="AQ191" s="370"/>
      <c r="AR191" s="370"/>
      <c r="AS191" s="370"/>
      <c r="AT191" s="370"/>
      <c r="AU191" s="371">
        <v>1</v>
      </c>
      <c r="AV191" s="371">
        <v>1</v>
      </c>
      <c r="AW191" s="371"/>
      <c r="AX191" s="372"/>
      <c r="AY191" s="368">
        <v>1.45</v>
      </c>
      <c r="AZ191" s="371">
        <v>1.45</v>
      </c>
      <c r="BA191" s="371">
        <v>0</v>
      </c>
      <c r="BB191" s="372"/>
      <c r="BC191" s="373"/>
      <c r="BD191" s="373"/>
      <c r="BE191" s="374"/>
      <c r="BF191" s="363"/>
      <c r="BG191" s="363"/>
      <c r="BH191" s="375"/>
      <c r="BI191" s="363">
        <v>20</v>
      </c>
      <c r="BJ191" s="363"/>
      <c r="BK191" s="372">
        <v>56</v>
      </c>
      <c r="BL191" s="376"/>
      <c r="BM191" s="376"/>
      <c r="BN191" s="376"/>
      <c r="BO191" s="376"/>
      <c r="BP191" s="376"/>
      <c r="BQ191" s="376"/>
      <c r="BR191" s="368">
        <v>235</v>
      </c>
      <c r="BS191" s="372">
        <v>0</v>
      </c>
      <c r="BT191" s="364"/>
      <c r="BU191" s="372">
        <v>10</v>
      </c>
      <c r="BV191" s="364">
        <v>1</v>
      </c>
      <c r="BW191" s="364">
        <v>0</v>
      </c>
      <c r="BX191" s="397">
        <v>0</v>
      </c>
    </row>
    <row r="192" spans="1:76" s="226" customFormat="1" x14ac:dyDescent="0.3">
      <c r="A192" s="88"/>
      <c r="B192" s="87"/>
      <c r="C192" s="87"/>
      <c r="D192" s="87"/>
      <c r="E192" s="87"/>
      <c r="F192" s="88"/>
      <c r="G192" s="87"/>
      <c r="H192" s="88"/>
      <c r="I192" s="88"/>
      <c r="J192" s="378" t="s">
        <v>134</v>
      </c>
      <c r="K192" s="379" t="s">
        <v>135</v>
      </c>
      <c r="L192" s="379"/>
      <c r="M192" s="379"/>
      <c r="N192" s="379"/>
      <c r="O192" s="379" t="s">
        <v>136</v>
      </c>
      <c r="P192" s="379">
        <v>2017</v>
      </c>
      <c r="Q192" s="380" t="s">
        <v>205</v>
      </c>
      <c r="R192" s="381" t="s">
        <v>211</v>
      </c>
      <c r="S192" s="379">
        <v>80</v>
      </c>
      <c r="T192" s="379"/>
      <c r="U192" s="379" t="s">
        <v>207</v>
      </c>
      <c r="V192" s="379" t="s">
        <v>209</v>
      </c>
      <c r="W192" s="379" t="s">
        <v>149</v>
      </c>
      <c r="X192" s="379">
        <v>2030</v>
      </c>
      <c r="Y192" s="379"/>
      <c r="Z192" s="379" t="str">
        <f>VLOOKUP(R192,KEY_Processes!$B$4:$E$54,4,FALSE)</f>
        <v>HP_GAS_04</v>
      </c>
      <c r="AA192" s="379" t="str">
        <f>VLOOKUP(R192,KEY_Processes!$B$4:$E$54,2,FALSE)</f>
        <v>Gas driven absorption heat pumps, brine-to-water</v>
      </c>
      <c r="AB192" s="379" t="str">
        <f>VLOOKUP(U192,KEY_FUELS!$C$4:$D$77,2,FALSE)</f>
        <v>GAS</v>
      </c>
      <c r="AC192" s="379" t="s">
        <v>150</v>
      </c>
      <c r="AD192" s="379" t="s">
        <v>158</v>
      </c>
      <c r="AE192" s="379" t="s">
        <v>152</v>
      </c>
      <c r="AF192" s="382" t="str">
        <f>VLOOKUP(W192,KEY_Other!$B$37:$C$89,2,FALSE)</f>
        <v>DK</v>
      </c>
      <c r="AG192" s="379"/>
      <c r="AH192" s="379" t="str">
        <f>AC192&amp;VLOOKUP(U192,KEY_FUELS!$C$4:$D$78,2,FALSE)</f>
        <v>RSDGAS</v>
      </c>
      <c r="AI192" s="379" t="str">
        <f>IFERROR(AC192&amp;VLOOKUP(V192,KEY_FUELS!$C$4:$D$78,2,FALSE),"")</f>
        <v>RSDAHT</v>
      </c>
      <c r="AJ192" s="379" t="str">
        <f t="shared" si="69"/>
        <v>RHAPC</v>
      </c>
      <c r="AK192" s="379" t="str">
        <f t="shared" si="50"/>
        <v>RWAPC</v>
      </c>
      <c r="AL192" s="379" t="str">
        <f t="shared" si="51"/>
        <v/>
      </c>
      <c r="AM192" s="380">
        <v>31.536000000000001</v>
      </c>
      <c r="AN192" s="379">
        <f t="shared" si="53"/>
        <v>2030</v>
      </c>
      <c r="AO192" s="383"/>
      <c r="AP192" s="384"/>
      <c r="AQ192" s="386"/>
      <c r="AR192" s="386"/>
      <c r="AS192" s="386"/>
      <c r="AT192" s="386"/>
      <c r="AU192" s="387">
        <v>1</v>
      </c>
      <c r="AV192" s="387">
        <v>1</v>
      </c>
      <c r="AW192" s="387"/>
      <c r="AX192" s="388"/>
      <c r="AY192" s="384">
        <v>1.7</v>
      </c>
      <c r="AZ192" s="387">
        <v>1.7</v>
      </c>
      <c r="BA192" s="387">
        <v>0</v>
      </c>
      <c r="BB192" s="388"/>
      <c r="BC192" s="389"/>
      <c r="BD192" s="389"/>
      <c r="BE192" s="390"/>
      <c r="BF192" s="379"/>
      <c r="BG192" s="379"/>
      <c r="BH192" s="391"/>
      <c r="BI192" s="379">
        <v>20</v>
      </c>
      <c r="BJ192" s="379"/>
      <c r="BK192" s="388">
        <v>53</v>
      </c>
      <c r="BL192" s="392"/>
      <c r="BM192" s="392"/>
      <c r="BN192" s="392"/>
      <c r="BO192" s="392"/>
      <c r="BP192" s="392"/>
      <c r="BQ192" s="392"/>
      <c r="BR192" s="384">
        <v>235</v>
      </c>
      <c r="BS192" s="388">
        <v>0</v>
      </c>
      <c r="BT192" s="380"/>
      <c r="BU192" s="388">
        <v>5</v>
      </c>
      <c r="BV192" s="380">
        <v>0.5</v>
      </c>
      <c r="BW192" s="380">
        <v>0</v>
      </c>
      <c r="BX192" s="395">
        <v>0</v>
      </c>
    </row>
    <row r="193" spans="1:76" s="226" customFormat="1" x14ac:dyDescent="0.3">
      <c r="A193" s="88"/>
      <c r="B193" s="87"/>
      <c r="C193" s="87"/>
      <c r="D193" s="87"/>
      <c r="E193" s="87"/>
      <c r="F193" s="88"/>
      <c r="G193" s="87"/>
      <c r="H193" s="88"/>
      <c r="I193" s="88"/>
      <c r="J193" s="362" t="s">
        <v>134</v>
      </c>
      <c r="K193" s="363" t="s">
        <v>135</v>
      </c>
      <c r="L193" s="363"/>
      <c r="M193" s="363"/>
      <c r="N193" s="363"/>
      <c r="O193" s="363" t="s">
        <v>136</v>
      </c>
      <c r="P193" s="363">
        <v>2017</v>
      </c>
      <c r="Q193" s="364" t="s">
        <v>205</v>
      </c>
      <c r="R193" s="365" t="s">
        <v>211</v>
      </c>
      <c r="S193" s="363">
        <v>80</v>
      </c>
      <c r="T193" s="363"/>
      <c r="U193" s="363" t="s">
        <v>207</v>
      </c>
      <c r="V193" s="363" t="s">
        <v>209</v>
      </c>
      <c r="W193" s="363" t="s">
        <v>149</v>
      </c>
      <c r="X193" s="363">
        <v>2050</v>
      </c>
      <c r="Y193" s="363"/>
      <c r="Z193" s="363" t="str">
        <f>VLOOKUP(R193,KEY_Processes!$B$4:$E$54,4,FALSE)</f>
        <v>HP_GAS_04</v>
      </c>
      <c r="AA193" s="363" t="str">
        <f>VLOOKUP(R193,KEY_Processes!$B$4:$E$54,2,FALSE)</f>
        <v>Gas driven absorption heat pumps, brine-to-water</v>
      </c>
      <c r="AB193" s="363" t="str">
        <f>VLOOKUP(U193,KEY_FUELS!$C$4:$D$77,2,FALSE)</f>
        <v>GAS</v>
      </c>
      <c r="AC193" s="363" t="s">
        <v>150</v>
      </c>
      <c r="AD193" s="363" t="s">
        <v>158</v>
      </c>
      <c r="AE193" s="363" t="s">
        <v>152</v>
      </c>
      <c r="AF193" s="366" t="str">
        <f>VLOOKUP(W193,KEY_Other!$B$37:$C$89,2,FALSE)</f>
        <v>DK</v>
      </c>
      <c r="AG193" s="363"/>
      <c r="AH193" s="363" t="str">
        <f>AC193&amp;VLOOKUP(U193,KEY_FUELS!$C$4:$D$78,2,FALSE)</f>
        <v>RSDGAS</v>
      </c>
      <c r="AI193" s="363" t="str">
        <f>IFERROR(AC193&amp;VLOOKUP(V193,KEY_FUELS!$C$4:$D$78,2,FALSE),"")</f>
        <v>RSDAHT</v>
      </c>
      <c r="AJ193" s="363" t="str">
        <f t="shared" si="69"/>
        <v>RHAPC</v>
      </c>
      <c r="AK193" s="363" t="str">
        <f t="shared" si="50"/>
        <v>RWAPC</v>
      </c>
      <c r="AL193" s="363" t="str">
        <f t="shared" si="51"/>
        <v/>
      </c>
      <c r="AM193" s="364">
        <v>31.536000000000001</v>
      </c>
      <c r="AN193" s="363">
        <f t="shared" si="53"/>
        <v>2050</v>
      </c>
      <c r="AO193" s="367"/>
      <c r="AP193" s="368"/>
      <c r="AQ193" s="370"/>
      <c r="AR193" s="370"/>
      <c r="AS193" s="370"/>
      <c r="AT193" s="370"/>
      <c r="AU193" s="371">
        <v>1</v>
      </c>
      <c r="AV193" s="371">
        <v>1</v>
      </c>
      <c r="AW193" s="371"/>
      <c r="AX193" s="372"/>
      <c r="AY193" s="368">
        <v>1.7</v>
      </c>
      <c r="AZ193" s="371">
        <v>1.7</v>
      </c>
      <c r="BA193" s="371">
        <v>0</v>
      </c>
      <c r="BB193" s="372"/>
      <c r="BC193" s="373"/>
      <c r="BD193" s="373"/>
      <c r="BE193" s="374"/>
      <c r="BF193" s="363"/>
      <c r="BG193" s="363"/>
      <c r="BH193" s="375"/>
      <c r="BI193" s="363">
        <v>20</v>
      </c>
      <c r="BJ193" s="363"/>
      <c r="BK193" s="372">
        <v>50</v>
      </c>
      <c r="BL193" s="376"/>
      <c r="BM193" s="376"/>
      <c r="BN193" s="376"/>
      <c r="BO193" s="376"/>
      <c r="BP193" s="376"/>
      <c r="BQ193" s="376"/>
      <c r="BR193" s="368">
        <v>235</v>
      </c>
      <c r="BS193" s="372">
        <v>0</v>
      </c>
      <c r="BT193" s="364"/>
      <c r="BU193" s="372">
        <v>5</v>
      </c>
      <c r="BV193" s="364">
        <v>0.5</v>
      </c>
      <c r="BW193" s="364">
        <v>0</v>
      </c>
      <c r="BX193" s="397">
        <v>0</v>
      </c>
    </row>
    <row r="194" spans="1:76" s="226" customFormat="1" x14ac:dyDescent="0.3">
      <c r="A194" s="88"/>
      <c r="B194" s="87"/>
      <c r="C194" s="87"/>
      <c r="D194" s="87"/>
      <c r="E194" s="87"/>
      <c r="F194" s="88"/>
      <c r="G194" s="87"/>
      <c r="H194" s="88"/>
      <c r="I194" s="88"/>
      <c r="J194" s="378" t="s">
        <v>134</v>
      </c>
      <c r="K194" s="379" t="s">
        <v>135</v>
      </c>
      <c r="L194" s="379"/>
      <c r="M194" s="379"/>
      <c r="N194" s="379"/>
      <c r="O194" s="379" t="s">
        <v>136</v>
      </c>
      <c r="P194" s="379">
        <v>2017</v>
      </c>
      <c r="Q194" s="380" t="s">
        <v>212</v>
      </c>
      <c r="R194" s="381" t="s">
        <v>213</v>
      </c>
      <c r="S194" s="379">
        <v>50</v>
      </c>
      <c r="T194" s="379"/>
      <c r="U194" s="379" t="s">
        <v>207</v>
      </c>
      <c r="V194" s="379" t="s">
        <v>190</v>
      </c>
      <c r="W194" s="379" t="s">
        <v>149</v>
      </c>
      <c r="X194" s="379">
        <v>2015</v>
      </c>
      <c r="Y194" s="379"/>
      <c r="Z194" s="379" t="str">
        <f>VLOOKUP(R194,KEY_Processes!$B$4:$E$54,4,FALSE)</f>
        <v>HP_GAS_05</v>
      </c>
      <c r="AA194" s="379" t="str">
        <f>VLOOKUP(R194,KEY_Processes!$B$4:$E$54,2,FALSE)</f>
        <v>Gas engine driven heat pump, air-to-water</v>
      </c>
      <c r="AB194" s="379" t="str">
        <f>VLOOKUP(U194,KEY_FUELS!$C$4:$D$77,2,FALSE)</f>
        <v>GAS</v>
      </c>
      <c r="AC194" s="379" t="s">
        <v>150</v>
      </c>
      <c r="AD194" s="379" t="s">
        <v>158</v>
      </c>
      <c r="AE194" s="379" t="s">
        <v>152</v>
      </c>
      <c r="AF194" s="382" t="str">
        <f>VLOOKUP(W194,KEY_Other!$B$37:$C$89,2,FALSE)</f>
        <v>DK</v>
      </c>
      <c r="AG194" s="379"/>
      <c r="AH194" s="379" t="str">
        <f>AC194&amp;VLOOKUP(U194,KEY_FUELS!$C$4:$D$78,2,FALSE)</f>
        <v>RSDGAS</v>
      </c>
      <c r="AI194" s="379" t="str">
        <f>IFERROR(AC194&amp;VLOOKUP(V194,KEY_FUELS!$C$4:$D$78,2,FALSE),"")</f>
        <v>RSDAHT</v>
      </c>
      <c r="AJ194" s="379" t="str">
        <f t="shared" si="69"/>
        <v>RHAPC</v>
      </c>
      <c r="AK194" s="379" t="str">
        <f t="shared" si="50"/>
        <v>RWAPC</v>
      </c>
      <c r="AL194" s="379" t="str">
        <f t="shared" si="51"/>
        <v/>
      </c>
      <c r="AM194" s="380">
        <v>31.536000000000001</v>
      </c>
      <c r="AN194" s="379">
        <f t="shared" si="53"/>
        <v>2015</v>
      </c>
      <c r="AO194" s="383"/>
      <c r="AP194" s="384"/>
      <c r="AQ194" s="386"/>
      <c r="AR194" s="386"/>
      <c r="AS194" s="386"/>
      <c r="AT194" s="386"/>
      <c r="AU194" s="387">
        <v>1</v>
      </c>
      <c r="AV194" s="387">
        <v>1</v>
      </c>
      <c r="AW194" s="387"/>
      <c r="AX194" s="388"/>
      <c r="AY194" s="384">
        <v>1.5</v>
      </c>
      <c r="AZ194" s="387">
        <v>1.5</v>
      </c>
      <c r="BA194" s="387">
        <v>0</v>
      </c>
      <c r="BB194" s="388"/>
      <c r="BC194" s="389"/>
      <c r="BD194" s="389"/>
      <c r="BE194" s="390"/>
      <c r="BF194" s="379"/>
      <c r="BG194" s="379"/>
      <c r="BH194" s="391"/>
      <c r="BI194" s="379">
        <v>15</v>
      </c>
      <c r="BJ194" s="379"/>
      <c r="BK194" s="388">
        <v>5.6</v>
      </c>
      <c r="BL194" s="392"/>
      <c r="BM194" s="392"/>
      <c r="BN194" s="392"/>
      <c r="BO194" s="392"/>
      <c r="BP194" s="392"/>
      <c r="BQ194" s="392"/>
      <c r="BR194" s="384">
        <v>235</v>
      </c>
      <c r="BS194" s="388">
        <v>0</v>
      </c>
      <c r="BT194" s="380">
        <v>0</v>
      </c>
      <c r="BU194" s="388">
        <v>120</v>
      </c>
      <c r="BV194" s="380">
        <v>5</v>
      </c>
      <c r="BW194" s="380"/>
      <c r="BX194" s="395"/>
    </row>
    <row r="195" spans="1:76" s="226" customFormat="1" x14ac:dyDescent="0.3">
      <c r="A195" s="88"/>
      <c r="B195" s="87"/>
      <c r="C195" s="87"/>
      <c r="D195" s="87"/>
      <c r="E195" s="87"/>
      <c r="F195" s="88"/>
      <c r="G195" s="87"/>
      <c r="H195" s="88"/>
      <c r="I195" s="88"/>
      <c r="J195" s="362" t="s">
        <v>134</v>
      </c>
      <c r="K195" s="363" t="s">
        <v>135</v>
      </c>
      <c r="L195" s="363"/>
      <c r="M195" s="363"/>
      <c r="N195" s="363"/>
      <c r="O195" s="363" t="s">
        <v>136</v>
      </c>
      <c r="P195" s="363">
        <v>2017</v>
      </c>
      <c r="Q195" s="364" t="s">
        <v>212</v>
      </c>
      <c r="R195" s="365" t="s">
        <v>213</v>
      </c>
      <c r="S195" s="363">
        <v>50</v>
      </c>
      <c r="T195" s="363"/>
      <c r="U195" s="363" t="s">
        <v>207</v>
      </c>
      <c r="V195" s="363" t="s">
        <v>190</v>
      </c>
      <c r="W195" s="363" t="s">
        <v>149</v>
      </c>
      <c r="X195" s="363">
        <v>2020</v>
      </c>
      <c r="Y195" s="363"/>
      <c r="Z195" s="363" t="str">
        <f>VLOOKUP(R195,KEY_Processes!$B$4:$E$54,4,FALSE)</f>
        <v>HP_GAS_05</v>
      </c>
      <c r="AA195" s="363" t="str">
        <f>VLOOKUP(R195,KEY_Processes!$B$4:$E$54,2,FALSE)</f>
        <v>Gas engine driven heat pump, air-to-water</v>
      </c>
      <c r="AB195" s="363" t="str">
        <f>VLOOKUP(U195,KEY_FUELS!$C$4:$D$77,2,FALSE)</f>
        <v>GAS</v>
      </c>
      <c r="AC195" s="363" t="s">
        <v>150</v>
      </c>
      <c r="AD195" s="363" t="s">
        <v>158</v>
      </c>
      <c r="AE195" s="363" t="s">
        <v>152</v>
      </c>
      <c r="AF195" s="366" t="str">
        <f>VLOOKUP(W195,KEY_Other!$B$37:$C$89,2,FALSE)</f>
        <v>DK</v>
      </c>
      <c r="AG195" s="363"/>
      <c r="AH195" s="363" t="str">
        <f>AC195&amp;VLOOKUP(U195,KEY_FUELS!$C$4:$D$78,2,FALSE)</f>
        <v>RSDGAS</v>
      </c>
      <c r="AI195" s="363" t="str">
        <f>IFERROR(AC195&amp;VLOOKUP(V195,KEY_FUELS!$C$4:$D$78,2,FALSE),"")</f>
        <v>RSDAHT</v>
      </c>
      <c r="AJ195" s="363" t="str">
        <f t="shared" si="69"/>
        <v>RHAPC</v>
      </c>
      <c r="AK195" s="363" t="str">
        <f t="shared" si="50"/>
        <v>RWAPC</v>
      </c>
      <c r="AL195" s="363" t="str">
        <f t="shared" si="51"/>
        <v/>
      </c>
      <c r="AM195" s="364">
        <v>31.536000000000001</v>
      </c>
      <c r="AN195" s="363">
        <f t="shared" si="53"/>
        <v>2020</v>
      </c>
      <c r="AO195" s="367"/>
      <c r="AP195" s="368"/>
      <c r="AQ195" s="370"/>
      <c r="AR195" s="370"/>
      <c r="AS195" s="370"/>
      <c r="AT195" s="370"/>
      <c r="AU195" s="371">
        <v>1</v>
      </c>
      <c r="AV195" s="371">
        <v>1</v>
      </c>
      <c r="AW195" s="371"/>
      <c r="AX195" s="372"/>
      <c r="AY195" s="368">
        <v>1.55</v>
      </c>
      <c r="AZ195" s="371">
        <v>1.55</v>
      </c>
      <c r="BA195" s="371">
        <v>0</v>
      </c>
      <c r="BB195" s="372"/>
      <c r="BC195" s="373"/>
      <c r="BD195" s="373"/>
      <c r="BE195" s="374"/>
      <c r="BF195" s="363"/>
      <c r="BG195" s="363"/>
      <c r="BH195" s="375"/>
      <c r="BI195" s="363">
        <v>20</v>
      </c>
      <c r="BJ195" s="363"/>
      <c r="BK195" s="372">
        <v>5.6</v>
      </c>
      <c r="BL195" s="376"/>
      <c r="BM195" s="376"/>
      <c r="BN195" s="376"/>
      <c r="BO195" s="376"/>
      <c r="BP195" s="376"/>
      <c r="BQ195" s="376"/>
      <c r="BR195" s="368">
        <v>235</v>
      </c>
      <c r="BS195" s="372">
        <v>0</v>
      </c>
      <c r="BT195" s="364">
        <v>0</v>
      </c>
      <c r="BU195" s="372">
        <v>80</v>
      </c>
      <c r="BV195" s="364">
        <v>5</v>
      </c>
      <c r="BW195" s="364"/>
      <c r="BX195" s="397"/>
    </row>
    <row r="196" spans="1:76" s="226" customFormat="1" x14ac:dyDescent="0.3">
      <c r="A196" s="88"/>
      <c r="B196" s="87"/>
      <c r="C196" s="87"/>
      <c r="D196" s="87"/>
      <c r="E196" s="87"/>
      <c r="F196" s="88"/>
      <c r="G196" s="87"/>
      <c r="H196" s="88"/>
      <c r="I196" s="88"/>
      <c r="J196" s="378" t="s">
        <v>134</v>
      </c>
      <c r="K196" s="379" t="s">
        <v>135</v>
      </c>
      <c r="L196" s="379"/>
      <c r="M196" s="379"/>
      <c r="N196" s="379"/>
      <c r="O196" s="379" t="s">
        <v>136</v>
      </c>
      <c r="P196" s="379">
        <v>2017</v>
      </c>
      <c r="Q196" s="380" t="s">
        <v>212</v>
      </c>
      <c r="R196" s="381" t="s">
        <v>213</v>
      </c>
      <c r="S196" s="379">
        <v>50</v>
      </c>
      <c r="T196" s="379"/>
      <c r="U196" s="379" t="s">
        <v>207</v>
      </c>
      <c r="V196" s="379" t="s">
        <v>190</v>
      </c>
      <c r="W196" s="379" t="s">
        <v>149</v>
      </c>
      <c r="X196" s="379">
        <v>2030</v>
      </c>
      <c r="Y196" s="379"/>
      <c r="Z196" s="379" t="str">
        <f>VLOOKUP(R196,KEY_Processes!$B$4:$E$54,4,FALSE)</f>
        <v>HP_GAS_05</v>
      </c>
      <c r="AA196" s="379" t="str">
        <f>VLOOKUP(R196,KEY_Processes!$B$4:$E$54,2,FALSE)</f>
        <v>Gas engine driven heat pump, air-to-water</v>
      </c>
      <c r="AB196" s="379" t="str">
        <f>VLOOKUP(U196,KEY_FUELS!$C$4:$D$77,2,FALSE)</f>
        <v>GAS</v>
      </c>
      <c r="AC196" s="379" t="s">
        <v>150</v>
      </c>
      <c r="AD196" s="379" t="s">
        <v>158</v>
      </c>
      <c r="AE196" s="379" t="s">
        <v>152</v>
      </c>
      <c r="AF196" s="382" t="str">
        <f>VLOOKUP(W196,KEY_Other!$B$37:$C$89,2,FALSE)</f>
        <v>DK</v>
      </c>
      <c r="AG196" s="379"/>
      <c r="AH196" s="379" t="str">
        <f>AC196&amp;VLOOKUP(U196,KEY_FUELS!$C$4:$D$78,2,FALSE)</f>
        <v>RSDGAS</v>
      </c>
      <c r="AI196" s="379" t="str">
        <f>IFERROR(AC196&amp;VLOOKUP(V196,KEY_FUELS!$C$4:$D$78,2,FALSE),"")</f>
        <v>RSDAHT</v>
      </c>
      <c r="AJ196" s="379" t="str">
        <f t="shared" si="69"/>
        <v>RHAPC</v>
      </c>
      <c r="AK196" s="379" t="str">
        <f t="shared" si="50"/>
        <v>RWAPC</v>
      </c>
      <c r="AL196" s="379" t="str">
        <f t="shared" si="51"/>
        <v/>
      </c>
      <c r="AM196" s="380">
        <v>31.536000000000001</v>
      </c>
      <c r="AN196" s="379">
        <f t="shared" si="53"/>
        <v>2030</v>
      </c>
      <c r="AO196" s="383"/>
      <c r="AP196" s="384"/>
      <c r="AQ196" s="386"/>
      <c r="AR196" s="386"/>
      <c r="AS196" s="386"/>
      <c r="AT196" s="386"/>
      <c r="AU196" s="387">
        <v>1</v>
      </c>
      <c r="AV196" s="387">
        <v>1</v>
      </c>
      <c r="AW196" s="387"/>
      <c r="AX196" s="388"/>
      <c r="AY196" s="384">
        <v>1.55</v>
      </c>
      <c r="AZ196" s="387">
        <v>1.55</v>
      </c>
      <c r="BA196" s="387">
        <v>0</v>
      </c>
      <c r="BB196" s="388"/>
      <c r="BC196" s="389"/>
      <c r="BD196" s="389"/>
      <c r="BE196" s="390"/>
      <c r="BF196" s="379"/>
      <c r="BG196" s="379"/>
      <c r="BH196" s="391"/>
      <c r="BI196" s="379">
        <v>20</v>
      </c>
      <c r="BJ196" s="379"/>
      <c r="BK196" s="388">
        <v>5</v>
      </c>
      <c r="BL196" s="392"/>
      <c r="BM196" s="392"/>
      <c r="BN196" s="392"/>
      <c r="BO196" s="392"/>
      <c r="BP196" s="392"/>
      <c r="BQ196" s="392"/>
      <c r="BR196" s="384">
        <v>235</v>
      </c>
      <c r="BS196" s="388">
        <v>0</v>
      </c>
      <c r="BT196" s="380">
        <v>0</v>
      </c>
      <c r="BU196" s="388">
        <v>50</v>
      </c>
      <c r="BV196" s="380">
        <v>5</v>
      </c>
      <c r="BW196" s="380"/>
      <c r="BX196" s="395"/>
    </row>
    <row r="197" spans="1:76" s="226" customFormat="1" x14ac:dyDescent="0.3">
      <c r="A197" s="88"/>
      <c r="B197" s="87"/>
      <c r="C197" s="87"/>
      <c r="D197" s="87"/>
      <c r="E197" s="87"/>
      <c r="F197" s="88"/>
      <c r="G197" s="87"/>
      <c r="H197" s="88"/>
      <c r="I197" s="88"/>
      <c r="J197" s="362" t="s">
        <v>134</v>
      </c>
      <c r="K197" s="363" t="s">
        <v>135</v>
      </c>
      <c r="L197" s="363"/>
      <c r="M197" s="363"/>
      <c r="N197" s="363"/>
      <c r="O197" s="363" t="s">
        <v>136</v>
      </c>
      <c r="P197" s="363">
        <v>2017</v>
      </c>
      <c r="Q197" s="364" t="s">
        <v>212</v>
      </c>
      <c r="R197" s="365" t="s">
        <v>213</v>
      </c>
      <c r="S197" s="363">
        <v>50</v>
      </c>
      <c r="T197" s="363"/>
      <c r="U197" s="363" t="s">
        <v>207</v>
      </c>
      <c r="V197" s="363" t="s">
        <v>190</v>
      </c>
      <c r="W197" s="363" t="s">
        <v>149</v>
      </c>
      <c r="X197" s="363">
        <v>2050</v>
      </c>
      <c r="Y197" s="363"/>
      <c r="Z197" s="363" t="str">
        <f>VLOOKUP(R197,KEY_Processes!$B$4:$E$54,4,FALSE)</f>
        <v>HP_GAS_05</v>
      </c>
      <c r="AA197" s="363" t="str">
        <f>VLOOKUP(R197,KEY_Processes!$B$4:$E$54,2,FALSE)</f>
        <v>Gas engine driven heat pump, air-to-water</v>
      </c>
      <c r="AB197" s="363" t="str">
        <f>VLOOKUP(U197,KEY_FUELS!$C$4:$D$77,2,FALSE)</f>
        <v>GAS</v>
      </c>
      <c r="AC197" s="363" t="s">
        <v>150</v>
      </c>
      <c r="AD197" s="363" t="s">
        <v>158</v>
      </c>
      <c r="AE197" s="363" t="s">
        <v>152</v>
      </c>
      <c r="AF197" s="366" t="str">
        <f>VLOOKUP(W197,KEY_Other!$B$37:$C$89,2,FALSE)</f>
        <v>DK</v>
      </c>
      <c r="AG197" s="363"/>
      <c r="AH197" s="363" t="str">
        <f>AC197&amp;VLOOKUP(U197,KEY_FUELS!$C$4:$D$78,2,FALSE)</f>
        <v>RSDGAS</v>
      </c>
      <c r="AI197" s="363" t="str">
        <f>IFERROR(AC197&amp;VLOOKUP(V197,KEY_FUELS!$C$4:$D$78,2,FALSE),"")</f>
        <v>RSDAHT</v>
      </c>
      <c r="AJ197" s="363" t="str">
        <f t="shared" si="69"/>
        <v>RHAPC</v>
      </c>
      <c r="AK197" s="363" t="str">
        <f t="shared" si="50"/>
        <v>RWAPC</v>
      </c>
      <c r="AL197" s="363" t="str">
        <f t="shared" si="51"/>
        <v/>
      </c>
      <c r="AM197" s="364">
        <v>31.536000000000001</v>
      </c>
      <c r="AN197" s="363">
        <f t="shared" si="53"/>
        <v>2050</v>
      </c>
      <c r="AO197" s="367"/>
      <c r="AP197" s="368"/>
      <c r="AQ197" s="370"/>
      <c r="AR197" s="370"/>
      <c r="AS197" s="370"/>
      <c r="AT197" s="370"/>
      <c r="AU197" s="371">
        <v>1</v>
      </c>
      <c r="AV197" s="371">
        <v>1</v>
      </c>
      <c r="AW197" s="371"/>
      <c r="AX197" s="372"/>
      <c r="AY197" s="368">
        <v>1.6</v>
      </c>
      <c r="AZ197" s="371">
        <v>1.6</v>
      </c>
      <c r="BA197" s="371">
        <v>0</v>
      </c>
      <c r="BB197" s="372"/>
      <c r="BC197" s="373"/>
      <c r="BD197" s="373"/>
      <c r="BE197" s="374"/>
      <c r="BF197" s="363"/>
      <c r="BG197" s="363"/>
      <c r="BH197" s="375"/>
      <c r="BI197" s="363">
        <v>20</v>
      </c>
      <c r="BJ197" s="363"/>
      <c r="BK197" s="372">
        <v>5</v>
      </c>
      <c r="BL197" s="376"/>
      <c r="BM197" s="376"/>
      <c r="BN197" s="376"/>
      <c r="BO197" s="376"/>
      <c r="BP197" s="376"/>
      <c r="BQ197" s="376"/>
      <c r="BR197" s="368">
        <v>235</v>
      </c>
      <c r="BS197" s="372">
        <v>0</v>
      </c>
      <c r="BT197" s="364">
        <v>0</v>
      </c>
      <c r="BU197" s="372">
        <v>50</v>
      </c>
      <c r="BV197" s="364">
        <v>5</v>
      </c>
      <c r="BW197" s="364"/>
      <c r="BX197" s="397"/>
    </row>
    <row r="198" spans="1:76" s="226" customFormat="1" x14ac:dyDescent="0.3">
      <c r="A198" s="88"/>
      <c r="B198" s="87"/>
      <c r="C198" s="87"/>
      <c r="D198" s="87"/>
      <c r="E198" s="87"/>
      <c r="F198" s="88"/>
      <c r="G198" s="87"/>
      <c r="H198" s="88"/>
      <c r="I198" s="88"/>
      <c r="J198" s="378" t="s">
        <v>134</v>
      </c>
      <c r="K198" s="379" t="s">
        <v>135</v>
      </c>
      <c r="L198" s="379"/>
      <c r="M198" s="379"/>
      <c r="N198" s="379"/>
      <c r="O198" s="379" t="s">
        <v>136</v>
      </c>
      <c r="P198" s="379">
        <v>2017</v>
      </c>
      <c r="Q198" s="380" t="s">
        <v>212</v>
      </c>
      <c r="R198" s="381" t="s">
        <v>214</v>
      </c>
      <c r="S198" s="379">
        <v>50</v>
      </c>
      <c r="T198" s="379"/>
      <c r="U198" s="379" t="s">
        <v>207</v>
      </c>
      <c r="V198" s="379" t="s">
        <v>209</v>
      </c>
      <c r="W198" s="379" t="s">
        <v>149</v>
      </c>
      <c r="X198" s="379">
        <v>2015</v>
      </c>
      <c r="Y198" s="379"/>
      <c r="Z198" s="379" t="str">
        <f>VLOOKUP(R198,KEY_Processes!$B$4:$E$54,4,FALSE)</f>
        <v>HP_GAS_06</v>
      </c>
      <c r="AA198" s="379" t="str">
        <f>VLOOKUP(R198,KEY_Processes!$B$4:$E$54,2,FALSE)</f>
        <v>Gas engine driven heat pump, brine-to-water</v>
      </c>
      <c r="AB198" s="379" t="str">
        <f>VLOOKUP(U198,KEY_FUELS!$C$4:$D$77,2,FALSE)</f>
        <v>GAS</v>
      </c>
      <c r="AC198" s="379" t="s">
        <v>150</v>
      </c>
      <c r="AD198" s="379" t="s">
        <v>158</v>
      </c>
      <c r="AE198" s="379" t="s">
        <v>152</v>
      </c>
      <c r="AF198" s="382" t="str">
        <f>VLOOKUP(W198,KEY_Other!$B$37:$C$89,2,FALSE)</f>
        <v>DK</v>
      </c>
      <c r="AG198" s="379"/>
      <c r="AH198" s="379" t="str">
        <f>AC198&amp;VLOOKUP(U198,KEY_FUELS!$C$4:$D$78,2,FALSE)</f>
        <v>RSDGAS</v>
      </c>
      <c r="AI198" s="379" t="str">
        <f>IFERROR(AC198&amp;VLOOKUP(V198,KEY_FUELS!$C$4:$D$78,2,FALSE),"")</f>
        <v>RSDAHT</v>
      </c>
      <c r="AJ198" s="379" t="str">
        <f t="shared" si="69"/>
        <v>RHAPC</v>
      </c>
      <c r="AK198" s="379" t="str">
        <f t="shared" si="50"/>
        <v>RWAPC</v>
      </c>
      <c r="AL198" s="379" t="str">
        <f t="shared" si="51"/>
        <v/>
      </c>
      <c r="AM198" s="380">
        <v>31.536000000000001</v>
      </c>
      <c r="AN198" s="379">
        <f t="shared" si="53"/>
        <v>2015</v>
      </c>
      <c r="AO198" s="383"/>
      <c r="AP198" s="384"/>
      <c r="AQ198" s="386"/>
      <c r="AR198" s="386"/>
      <c r="AS198" s="386"/>
      <c r="AT198" s="386"/>
      <c r="AU198" s="387">
        <v>1</v>
      </c>
      <c r="AV198" s="387">
        <v>1</v>
      </c>
      <c r="AW198" s="387"/>
      <c r="AX198" s="388"/>
      <c r="AY198" s="384">
        <v>1.5</v>
      </c>
      <c r="AZ198" s="387">
        <v>1.5</v>
      </c>
      <c r="BA198" s="387">
        <v>0</v>
      </c>
      <c r="BB198" s="388"/>
      <c r="BC198" s="389"/>
      <c r="BD198" s="389"/>
      <c r="BE198" s="390"/>
      <c r="BF198" s="379"/>
      <c r="BG198" s="379"/>
      <c r="BH198" s="391"/>
      <c r="BI198" s="379">
        <v>15</v>
      </c>
      <c r="BJ198" s="379"/>
      <c r="BK198" s="388">
        <v>43.6</v>
      </c>
      <c r="BL198" s="392"/>
      <c r="BM198" s="392"/>
      <c r="BN198" s="392"/>
      <c r="BO198" s="392"/>
      <c r="BP198" s="392"/>
      <c r="BQ198" s="392"/>
      <c r="BR198" s="384">
        <v>235</v>
      </c>
      <c r="BS198" s="388">
        <v>0</v>
      </c>
      <c r="BT198" s="380">
        <v>0</v>
      </c>
      <c r="BU198" s="388">
        <v>120</v>
      </c>
      <c r="BV198" s="380">
        <v>5</v>
      </c>
      <c r="BW198" s="380"/>
      <c r="BX198" s="395"/>
    </row>
    <row r="199" spans="1:76" s="226" customFormat="1" x14ac:dyDescent="0.3">
      <c r="A199" s="88"/>
      <c r="B199" s="87"/>
      <c r="C199" s="87"/>
      <c r="D199" s="87"/>
      <c r="E199" s="87"/>
      <c r="F199" s="88"/>
      <c r="G199" s="87"/>
      <c r="H199" s="88"/>
      <c r="I199" s="88"/>
      <c r="J199" s="362" t="s">
        <v>134</v>
      </c>
      <c r="K199" s="363" t="s">
        <v>135</v>
      </c>
      <c r="L199" s="363"/>
      <c r="M199" s="363"/>
      <c r="N199" s="363"/>
      <c r="O199" s="363" t="s">
        <v>136</v>
      </c>
      <c r="P199" s="363">
        <v>2017</v>
      </c>
      <c r="Q199" s="364" t="s">
        <v>212</v>
      </c>
      <c r="R199" s="365" t="s">
        <v>214</v>
      </c>
      <c r="S199" s="363">
        <v>50</v>
      </c>
      <c r="T199" s="363"/>
      <c r="U199" s="363" t="s">
        <v>207</v>
      </c>
      <c r="V199" s="363" t="s">
        <v>209</v>
      </c>
      <c r="W199" s="363" t="s">
        <v>149</v>
      </c>
      <c r="X199" s="363">
        <v>2020</v>
      </c>
      <c r="Y199" s="363"/>
      <c r="Z199" s="363" t="str">
        <f>VLOOKUP(R199,KEY_Processes!$B$4:$E$54,4,FALSE)</f>
        <v>HP_GAS_06</v>
      </c>
      <c r="AA199" s="363" t="str">
        <f>VLOOKUP(R199,KEY_Processes!$B$4:$E$54,2,FALSE)</f>
        <v>Gas engine driven heat pump, brine-to-water</v>
      </c>
      <c r="AB199" s="363" t="str">
        <f>VLOOKUP(U199,KEY_FUELS!$C$4:$D$77,2,FALSE)</f>
        <v>GAS</v>
      </c>
      <c r="AC199" s="363" t="s">
        <v>150</v>
      </c>
      <c r="AD199" s="363" t="s">
        <v>158</v>
      </c>
      <c r="AE199" s="363" t="s">
        <v>152</v>
      </c>
      <c r="AF199" s="366" t="str">
        <f>VLOOKUP(W199,KEY_Other!$B$37:$C$89,2,FALSE)</f>
        <v>DK</v>
      </c>
      <c r="AG199" s="363"/>
      <c r="AH199" s="363" t="str">
        <f>AC199&amp;VLOOKUP(U199,KEY_FUELS!$C$4:$D$78,2,FALSE)</f>
        <v>RSDGAS</v>
      </c>
      <c r="AI199" s="363" t="str">
        <f>IFERROR(AC199&amp;VLOOKUP(V199,KEY_FUELS!$C$4:$D$78,2,FALSE),"")</f>
        <v>RSDAHT</v>
      </c>
      <c r="AJ199" s="363" t="str">
        <f t="shared" si="69"/>
        <v>RHAPC</v>
      </c>
      <c r="AK199" s="363" t="str">
        <f t="shared" si="50"/>
        <v>RWAPC</v>
      </c>
      <c r="AL199" s="363" t="str">
        <f t="shared" si="51"/>
        <v/>
      </c>
      <c r="AM199" s="364">
        <v>31.536000000000001</v>
      </c>
      <c r="AN199" s="363">
        <f t="shared" si="53"/>
        <v>2020</v>
      </c>
      <c r="AO199" s="367"/>
      <c r="AP199" s="368"/>
      <c r="AQ199" s="370"/>
      <c r="AR199" s="370"/>
      <c r="AS199" s="370"/>
      <c r="AT199" s="370"/>
      <c r="AU199" s="371">
        <v>1</v>
      </c>
      <c r="AV199" s="371">
        <v>1</v>
      </c>
      <c r="AW199" s="371"/>
      <c r="AX199" s="372"/>
      <c r="AY199" s="368">
        <v>1.55</v>
      </c>
      <c r="AZ199" s="371">
        <v>1.55</v>
      </c>
      <c r="BA199" s="371">
        <v>0</v>
      </c>
      <c r="BB199" s="372"/>
      <c r="BC199" s="373"/>
      <c r="BD199" s="373"/>
      <c r="BE199" s="374"/>
      <c r="BF199" s="363"/>
      <c r="BG199" s="363"/>
      <c r="BH199" s="375"/>
      <c r="BI199" s="363">
        <v>20</v>
      </c>
      <c r="BJ199" s="363"/>
      <c r="BK199" s="372">
        <v>42</v>
      </c>
      <c r="BL199" s="376"/>
      <c r="BM199" s="376"/>
      <c r="BN199" s="376"/>
      <c r="BO199" s="376"/>
      <c r="BP199" s="376"/>
      <c r="BQ199" s="376"/>
      <c r="BR199" s="368">
        <v>235</v>
      </c>
      <c r="BS199" s="372">
        <v>0</v>
      </c>
      <c r="BT199" s="364">
        <v>0</v>
      </c>
      <c r="BU199" s="372">
        <v>80</v>
      </c>
      <c r="BV199" s="364">
        <v>5</v>
      </c>
      <c r="BW199" s="364"/>
      <c r="BX199" s="397"/>
    </row>
    <row r="200" spans="1:76" s="226" customFormat="1" x14ac:dyDescent="0.3">
      <c r="A200" s="88"/>
      <c r="B200" s="87"/>
      <c r="C200" s="87"/>
      <c r="D200" s="87"/>
      <c r="E200" s="87"/>
      <c r="F200" s="88"/>
      <c r="G200" s="87"/>
      <c r="H200" s="88"/>
      <c r="I200" s="88"/>
      <c r="J200" s="378" t="s">
        <v>134</v>
      </c>
      <c r="K200" s="379" t="s">
        <v>135</v>
      </c>
      <c r="L200" s="379"/>
      <c r="M200" s="379"/>
      <c r="N200" s="379"/>
      <c r="O200" s="379" t="s">
        <v>136</v>
      </c>
      <c r="P200" s="379">
        <v>2017</v>
      </c>
      <c r="Q200" s="380" t="s">
        <v>212</v>
      </c>
      <c r="R200" s="381" t="s">
        <v>214</v>
      </c>
      <c r="S200" s="379">
        <v>50</v>
      </c>
      <c r="T200" s="379"/>
      <c r="U200" s="379" t="s">
        <v>207</v>
      </c>
      <c r="V200" s="379" t="s">
        <v>209</v>
      </c>
      <c r="W200" s="379" t="s">
        <v>149</v>
      </c>
      <c r="X200" s="379">
        <v>2030</v>
      </c>
      <c r="Y200" s="379"/>
      <c r="Z200" s="379" t="str">
        <f>VLOOKUP(R200,KEY_Processes!$B$4:$E$54,4,FALSE)</f>
        <v>HP_GAS_06</v>
      </c>
      <c r="AA200" s="379" t="str">
        <f>VLOOKUP(R200,KEY_Processes!$B$4:$E$54,2,FALSE)</f>
        <v>Gas engine driven heat pump, brine-to-water</v>
      </c>
      <c r="AB200" s="379" t="str">
        <f>VLOOKUP(U200,KEY_FUELS!$C$4:$D$77,2,FALSE)</f>
        <v>GAS</v>
      </c>
      <c r="AC200" s="379" t="s">
        <v>150</v>
      </c>
      <c r="AD200" s="379" t="s">
        <v>158</v>
      </c>
      <c r="AE200" s="379" t="s">
        <v>152</v>
      </c>
      <c r="AF200" s="382" t="str">
        <f>VLOOKUP(W200,KEY_Other!$B$37:$C$89,2,FALSE)</f>
        <v>DK</v>
      </c>
      <c r="AG200" s="379"/>
      <c r="AH200" s="379" t="str">
        <f>AC200&amp;VLOOKUP(U200,KEY_FUELS!$C$4:$D$78,2,FALSE)</f>
        <v>RSDGAS</v>
      </c>
      <c r="AI200" s="379" t="str">
        <f>IFERROR(AC200&amp;VLOOKUP(V200,KEY_FUELS!$C$4:$D$78,2,FALSE),"")</f>
        <v>RSDAHT</v>
      </c>
      <c r="AJ200" s="379" t="str">
        <f t="shared" si="69"/>
        <v>RHAPC</v>
      </c>
      <c r="AK200" s="379" t="str">
        <f t="shared" si="50"/>
        <v>RWAPC</v>
      </c>
      <c r="AL200" s="379" t="str">
        <f t="shared" si="51"/>
        <v/>
      </c>
      <c r="AM200" s="380">
        <v>31.536000000000001</v>
      </c>
      <c r="AN200" s="379">
        <f t="shared" si="53"/>
        <v>2030</v>
      </c>
      <c r="AO200" s="383"/>
      <c r="AP200" s="384"/>
      <c r="AQ200" s="386"/>
      <c r="AR200" s="386"/>
      <c r="AS200" s="386"/>
      <c r="AT200" s="386"/>
      <c r="AU200" s="387">
        <v>1</v>
      </c>
      <c r="AV200" s="387">
        <v>1</v>
      </c>
      <c r="AW200" s="387"/>
      <c r="AX200" s="388"/>
      <c r="AY200" s="384">
        <v>1.55</v>
      </c>
      <c r="AZ200" s="387">
        <v>1.55</v>
      </c>
      <c r="BA200" s="387">
        <v>0</v>
      </c>
      <c r="BB200" s="388"/>
      <c r="BC200" s="389"/>
      <c r="BD200" s="389"/>
      <c r="BE200" s="390"/>
      <c r="BF200" s="379"/>
      <c r="BG200" s="379"/>
      <c r="BH200" s="391"/>
      <c r="BI200" s="379">
        <v>20</v>
      </c>
      <c r="BJ200" s="379"/>
      <c r="BK200" s="388">
        <v>41</v>
      </c>
      <c r="BL200" s="392"/>
      <c r="BM200" s="392"/>
      <c r="BN200" s="392"/>
      <c r="BO200" s="392"/>
      <c r="BP200" s="392"/>
      <c r="BQ200" s="392"/>
      <c r="BR200" s="384">
        <v>235</v>
      </c>
      <c r="BS200" s="388">
        <v>0</v>
      </c>
      <c r="BT200" s="380">
        <v>0</v>
      </c>
      <c r="BU200" s="388">
        <v>50</v>
      </c>
      <c r="BV200" s="380">
        <v>5</v>
      </c>
      <c r="BW200" s="380"/>
      <c r="BX200" s="395"/>
    </row>
    <row r="201" spans="1:76" s="226" customFormat="1" x14ac:dyDescent="0.3">
      <c r="A201" s="88"/>
      <c r="B201" s="87"/>
      <c r="C201" s="87"/>
      <c r="D201" s="87"/>
      <c r="E201" s="87"/>
      <c r="F201" s="88"/>
      <c r="G201" s="87"/>
      <c r="H201" s="88"/>
      <c r="I201" s="88"/>
      <c r="J201" s="362" t="s">
        <v>134</v>
      </c>
      <c r="K201" s="363" t="s">
        <v>135</v>
      </c>
      <c r="L201" s="363"/>
      <c r="M201" s="363"/>
      <c r="N201" s="363"/>
      <c r="O201" s="363" t="s">
        <v>136</v>
      </c>
      <c r="P201" s="363">
        <v>2017</v>
      </c>
      <c r="Q201" s="364" t="s">
        <v>212</v>
      </c>
      <c r="R201" s="365" t="s">
        <v>214</v>
      </c>
      <c r="S201" s="363">
        <v>50</v>
      </c>
      <c r="T201" s="363"/>
      <c r="U201" s="363" t="s">
        <v>207</v>
      </c>
      <c r="V201" s="363" t="s">
        <v>209</v>
      </c>
      <c r="W201" s="363" t="s">
        <v>149</v>
      </c>
      <c r="X201" s="363">
        <v>2050</v>
      </c>
      <c r="Y201" s="363"/>
      <c r="Z201" s="363" t="str">
        <f>VLOOKUP(R201,KEY_Processes!$B$4:$E$54,4,FALSE)</f>
        <v>HP_GAS_06</v>
      </c>
      <c r="AA201" s="363" t="str">
        <f>VLOOKUP(R201,KEY_Processes!$B$4:$E$54,2,FALSE)</f>
        <v>Gas engine driven heat pump, brine-to-water</v>
      </c>
      <c r="AB201" s="363" t="str">
        <f>VLOOKUP(U201,KEY_FUELS!$C$4:$D$77,2,FALSE)</f>
        <v>GAS</v>
      </c>
      <c r="AC201" s="363" t="s">
        <v>150</v>
      </c>
      <c r="AD201" s="363" t="s">
        <v>158</v>
      </c>
      <c r="AE201" s="363" t="s">
        <v>152</v>
      </c>
      <c r="AF201" s="366" t="str">
        <f>VLOOKUP(W201,KEY_Other!$B$37:$C$89,2,FALSE)</f>
        <v>DK</v>
      </c>
      <c r="AG201" s="363"/>
      <c r="AH201" s="363" t="str">
        <f>AC201&amp;VLOOKUP(U201,KEY_FUELS!$C$4:$D$78,2,FALSE)</f>
        <v>RSDGAS</v>
      </c>
      <c r="AI201" s="363" t="str">
        <f>IFERROR(AC201&amp;VLOOKUP(V201,KEY_FUELS!$C$4:$D$78,2,FALSE),"")</f>
        <v>RSDAHT</v>
      </c>
      <c r="AJ201" s="363" t="str">
        <f t="shared" si="69"/>
        <v>RHAPC</v>
      </c>
      <c r="AK201" s="363" t="str">
        <f t="shared" si="50"/>
        <v>RWAPC</v>
      </c>
      <c r="AL201" s="363" t="str">
        <f t="shared" si="51"/>
        <v/>
      </c>
      <c r="AM201" s="364">
        <v>31.536000000000001</v>
      </c>
      <c r="AN201" s="363">
        <f t="shared" si="53"/>
        <v>2050</v>
      </c>
      <c r="AO201" s="367"/>
      <c r="AP201" s="368"/>
      <c r="AQ201" s="370"/>
      <c r="AR201" s="370"/>
      <c r="AS201" s="370"/>
      <c r="AT201" s="370"/>
      <c r="AU201" s="371">
        <v>1</v>
      </c>
      <c r="AV201" s="371">
        <v>1</v>
      </c>
      <c r="AW201" s="371"/>
      <c r="AX201" s="372"/>
      <c r="AY201" s="368">
        <v>1.6</v>
      </c>
      <c r="AZ201" s="371">
        <v>1.6</v>
      </c>
      <c r="BA201" s="371">
        <v>0</v>
      </c>
      <c r="BB201" s="372"/>
      <c r="BC201" s="373"/>
      <c r="BD201" s="373"/>
      <c r="BE201" s="374"/>
      <c r="BF201" s="363"/>
      <c r="BG201" s="363"/>
      <c r="BH201" s="375"/>
      <c r="BI201" s="363">
        <v>20</v>
      </c>
      <c r="BJ201" s="363"/>
      <c r="BK201" s="372">
        <v>39</v>
      </c>
      <c r="BL201" s="376"/>
      <c r="BM201" s="376"/>
      <c r="BN201" s="376"/>
      <c r="BO201" s="376"/>
      <c r="BP201" s="376"/>
      <c r="BQ201" s="376"/>
      <c r="BR201" s="368">
        <v>235</v>
      </c>
      <c r="BS201" s="372">
        <v>0</v>
      </c>
      <c r="BT201" s="364">
        <v>0</v>
      </c>
      <c r="BU201" s="372">
        <v>50</v>
      </c>
      <c r="BV201" s="364">
        <v>5</v>
      </c>
      <c r="BW201" s="364"/>
      <c r="BX201" s="397"/>
    </row>
    <row r="202" spans="1:76" s="226" customFormat="1" x14ac:dyDescent="0.3">
      <c r="A202" s="88"/>
      <c r="B202" s="87"/>
      <c r="C202" s="87"/>
      <c r="D202" s="87"/>
      <c r="E202" s="87"/>
      <c r="F202" s="88"/>
      <c r="G202" s="87"/>
      <c r="H202" s="88"/>
      <c r="I202" s="88"/>
      <c r="J202" s="378" t="s">
        <v>134</v>
      </c>
      <c r="K202" s="379" t="s">
        <v>135</v>
      </c>
      <c r="L202" s="379"/>
      <c r="M202" s="379"/>
      <c r="N202" s="379"/>
      <c r="O202" s="379" t="s">
        <v>136</v>
      </c>
      <c r="P202" s="379">
        <v>2017</v>
      </c>
      <c r="Q202" s="380" t="s">
        <v>215</v>
      </c>
      <c r="R202" s="381" t="s">
        <v>216</v>
      </c>
      <c r="S202" s="379">
        <v>10</v>
      </c>
      <c r="T202" s="379"/>
      <c r="U202" s="379" t="s">
        <v>207</v>
      </c>
      <c r="V202" s="379" t="s">
        <v>209</v>
      </c>
      <c r="W202" s="379" t="s">
        <v>149</v>
      </c>
      <c r="X202" s="379">
        <v>2015</v>
      </c>
      <c r="Y202" s="379"/>
      <c r="Z202" s="379" t="str">
        <f>VLOOKUP(R202,KEY_Processes!$B$4:$E$54,4,FALSE)</f>
        <v>HP_GAS_07</v>
      </c>
      <c r="AA202" s="379" t="str">
        <f>VLOOKUP(R202,KEY_Processes!$B$4:$E$54,2,FALSE)</f>
        <v>Gas driven adsorption heat pumps, brine-to-water</v>
      </c>
      <c r="AB202" s="379" t="str">
        <f>VLOOKUP(U202,KEY_FUELS!$C$4:$D$77,2,FALSE)</f>
        <v>GAS</v>
      </c>
      <c r="AC202" s="379" t="s">
        <v>150</v>
      </c>
      <c r="AD202" s="379" t="s">
        <v>220</v>
      </c>
      <c r="AE202" s="379" t="s">
        <v>152</v>
      </c>
      <c r="AF202" s="382" t="str">
        <f>VLOOKUP(W202,KEY_Other!$B$37:$C$89,2,FALSE)</f>
        <v>DK</v>
      </c>
      <c r="AG202" s="379"/>
      <c r="AH202" s="379" t="str">
        <f>AC202&amp;VLOOKUP(U202,KEY_FUELS!$C$4:$D$78,2,FALSE)</f>
        <v>RSDGAS</v>
      </c>
      <c r="AI202" s="379" t="str">
        <f>IFERROR(AC202&amp;VLOOKUP(V202,KEY_FUELS!$C$4:$D$78,2,FALSE),"")</f>
        <v>RSDAHT</v>
      </c>
      <c r="AJ202" s="379" t="str">
        <f t="shared" si="69"/>
        <v>RHHSC</v>
      </c>
      <c r="AK202" s="379" t="str">
        <f t="shared" ref="AK202:AK242" si="70">IF(AV202&gt;0,LEFT(AC202,1)&amp;"W"&amp;AD202,"")</f>
        <v>RWHSC</v>
      </c>
      <c r="AL202" s="379" t="str">
        <f t="shared" ref="AL202:AL242" si="71">IF(T202&gt;0,LEFT(AC202,1)&amp;"E"&amp;AD202,"")</f>
        <v/>
      </c>
      <c r="AM202" s="380">
        <v>31.536000000000001</v>
      </c>
      <c r="AN202" s="379">
        <f t="shared" si="53"/>
        <v>2015</v>
      </c>
      <c r="AO202" s="383"/>
      <c r="AP202" s="384"/>
      <c r="AQ202" s="386"/>
      <c r="AR202" s="386"/>
      <c r="AS202" s="386"/>
      <c r="AT202" s="386"/>
      <c r="AU202" s="387">
        <v>1</v>
      </c>
      <c r="AV202" s="387">
        <v>1</v>
      </c>
      <c r="AW202" s="387"/>
      <c r="AX202" s="388"/>
      <c r="AY202" s="384">
        <v>1.35</v>
      </c>
      <c r="AZ202" s="387">
        <v>1.35</v>
      </c>
      <c r="BA202" s="387">
        <v>0</v>
      </c>
      <c r="BB202" s="388"/>
      <c r="BC202" s="389"/>
      <c r="BD202" s="389"/>
      <c r="BE202" s="390"/>
      <c r="BF202" s="379"/>
      <c r="BG202" s="379"/>
      <c r="BH202" s="391"/>
      <c r="BI202" s="379">
        <v>20</v>
      </c>
      <c r="BJ202" s="379"/>
      <c r="BK202" s="388">
        <v>15.6</v>
      </c>
      <c r="BL202" s="392"/>
      <c r="BM202" s="392"/>
      <c r="BN202" s="392"/>
      <c r="BO202" s="392"/>
      <c r="BP202" s="392"/>
      <c r="BQ202" s="392"/>
      <c r="BR202" s="384">
        <v>235</v>
      </c>
      <c r="BS202" s="388">
        <v>0</v>
      </c>
      <c r="BT202" s="380">
        <v>0</v>
      </c>
      <c r="BU202" s="388">
        <v>20</v>
      </c>
      <c r="BV202" s="380">
        <v>2</v>
      </c>
      <c r="BW202" s="380">
        <v>0</v>
      </c>
      <c r="BX202" s="395">
        <v>0</v>
      </c>
    </row>
    <row r="203" spans="1:76" s="226" customFormat="1" x14ac:dyDescent="0.3">
      <c r="A203" s="88"/>
      <c r="B203" s="87"/>
      <c r="C203" s="87"/>
      <c r="D203" s="87"/>
      <c r="E203" s="87"/>
      <c r="F203" s="88"/>
      <c r="G203" s="87"/>
      <c r="H203" s="88"/>
      <c r="I203" s="88"/>
      <c r="J203" s="362" t="s">
        <v>134</v>
      </c>
      <c r="K203" s="363" t="s">
        <v>135</v>
      </c>
      <c r="L203" s="363"/>
      <c r="M203" s="363"/>
      <c r="N203" s="363"/>
      <c r="O203" s="363" t="s">
        <v>136</v>
      </c>
      <c r="P203" s="363">
        <v>2017</v>
      </c>
      <c r="Q203" s="364" t="s">
        <v>215</v>
      </c>
      <c r="R203" s="365" t="s">
        <v>216</v>
      </c>
      <c r="S203" s="363">
        <v>10</v>
      </c>
      <c r="T203" s="363"/>
      <c r="U203" s="363" t="s">
        <v>207</v>
      </c>
      <c r="V203" s="363" t="s">
        <v>209</v>
      </c>
      <c r="W203" s="363" t="s">
        <v>149</v>
      </c>
      <c r="X203" s="363">
        <v>2020</v>
      </c>
      <c r="Y203" s="363"/>
      <c r="Z203" s="363" t="str">
        <f>VLOOKUP(R203,KEY_Processes!$B$4:$E$54,4,FALSE)</f>
        <v>HP_GAS_07</v>
      </c>
      <c r="AA203" s="363" t="str">
        <f>VLOOKUP(R203,KEY_Processes!$B$4:$E$54,2,FALSE)</f>
        <v>Gas driven adsorption heat pumps, brine-to-water</v>
      </c>
      <c r="AB203" s="363" t="str">
        <f>VLOOKUP(U203,KEY_FUELS!$C$4:$D$77,2,FALSE)</f>
        <v>GAS</v>
      </c>
      <c r="AC203" s="363" t="s">
        <v>150</v>
      </c>
      <c r="AD203" s="363" t="s">
        <v>220</v>
      </c>
      <c r="AE203" s="363" t="s">
        <v>152</v>
      </c>
      <c r="AF203" s="366" t="str">
        <f>VLOOKUP(W203,KEY_Other!$B$37:$C$89,2,FALSE)</f>
        <v>DK</v>
      </c>
      <c r="AG203" s="363"/>
      <c r="AH203" s="363" t="str">
        <f>AC203&amp;VLOOKUP(U203,KEY_FUELS!$C$4:$D$78,2,FALSE)</f>
        <v>RSDGAS</v>
      </c>
      <c r="AI203" s="363" t="str">
        <f>IFERROR(AC203&amp;VLOOKUP(V203,KEY_FUELS!$C$4:$D$78,2,FALSE),"")</f>
        <v>RSDAHT</v>
      </c>
      <c r="AJ203" s="363" t="str">
        <f t="shared" ref="AJ203" si="72">LEFT(AC203,1)&amp;"H"&amp;AD203</f>
        <v>RHHSC</v>
      </c>
      <c r="AK203" s="363" t="str">
        <f t="shared" si="70"/>
        <v>RWHSC</v>
      </c>
      <c r="AL203" s="363" t="str">
        <f t="shared" si="71"/>
        <v/>
      </c>
      <c r="AM203" s="364">
        <v>31.536000000000001</v>
      </c>
      <c r="AN203" s="363">
        <f t="shared" ref="AN203:AN242" si="73">IF(ISBLANK(X203),"2015",X203)</f>
        <v>2020</v>
      </c>
      <c r="AO203" s="367"/>
      <c r="AP203" s="368"/>
      <c r="AQ203" s="370"/>
      <c r="AR203" s="370"/>
      <c r="AS203" s="370"/>
      <c r="AT203" s="370"/>
      <c r="AU203" s="371">
        <v>1</v>
      </c>
      <c r="AV203" s="371">
        <v>1</v>
      </c>
      <c r="AW203" s="371"/>
      <c r="AX203" s="372"/>
      <c r="AY203" s="368">
        <v>1.35</v>
      </c>
      <c r="AZ203" s="371">
        <v>1.35</v>
      </c>
      <c r="BA203" s="371">
        <v>0</v>
      </c>
      <c r="BB203" s="372"/>
      <c r="BC203" s="373"/>
      <c r="BD203" s="373"/>
      <c r="BE203" s="374"/>
      <c r="BF203" s="363"/>
      <c r="BG203" s="363"/>
      <c r="BH203" s="375"/>
      <c r="BI203" s="363">
        <v>20</v>
      </c>
      <c r="BJ203" s="363"/>
      <c r="BK203" s="372">
        <v>15</v>
      </c>
      <c r="BL203" s="376"/>
      <c r="BM203" s="376"/>
      <c r="BN203" s="376"/>
      <c r="BO203" s="376"/>
      <c r="BP203" s="376"/>
      <c r="BQ203" s="376"/>
      <c r="BR203" s="368">
        <v>235</v>
      </c>
      <c r="BS203" s="372">
        <v>0</v>
      </c>
      <c r="BT203" s="364">
        <v>0</v>
      </c>
      <c r="BU203" s="372">
        <v>10</v>
      </c>
      <c r="BV203" s="364">
        <v>1</v>
      </c>
      <c r="BW203" s="364">
        <v>0</v>
      </c>
      <c r="BX203" s="397">
        <v>0</v>
      </c>
    </row>
    <row r="204" spans="1:76" s="226" customFormat="1" x14ac:dyDescent="0.3">
      <c r="A204" s="88"/>
      <c r="B204" s="87"/>
      <c r="C204" s="87"/>
      <c r="D204" s="87"/>
      <c r="E204" s="87"/>
      <c r="F204" s="88"/>
      <c r="G204" s="87"/>
      <c r="H204" s="88"/>
      <c r="I204" s="88"/>
      <c r="J204" s="378" t="s">
        <v>134</v>
      </c>
      <c r="K204" s="379" t="s">
        <v>135</v>
      </c>
      <c r="L204" s="379"/>
      <c r="M204" s="379"/>
      <c r="N204" s="379"/>
      <c r="O204" s="379" t="s">
        <v>136</v>
      </c>
      <c r="P204" s="379">
        <v>2017</v>
      </c>
      <c r="Q204" s="380" t="s">
        <v>215</v>
      </c>
      <c r="R204" s="381" t="s">
        <v>216</v>
      </c>
      <c r="S204" s="379">
        <v>10</v>
      </c>
      <c r="T204" s="379"/>
      <c r="U204" s="379" t="s">
        <v>207</v>
      </c>
      <c r="V204" s="379" t="s">
        <v>209</v>
      </c>
      <c r="W204" s="379" t="s">
        <v>149</v>
      </c>
      <c r="X204" s="379">
        <v>2030</v>
      </c>
      <c r="Y204" s="379"/>
      <c r="Z204" s="379" t="str">
        <f>VLOOKUP(R204,KEY_Processes!$B$4:$E$54,4,FALSE)</f>
        <v>HP_GAS_07</v>
      </c>
      <c r="AA204" s="379" t="str">
        <f>VLOOKUP(R204,KEY_Processes!$B$4:$E$54,2,FALSE)</f>
        <v>Gas driven adsorption heat pumps, brine-to-water</v>
      </c>
      <c r="AB204" s="379" t="str">
        <f>VLOOKUP(U204,KEY_FUELS!$C$4:$D$77,2,FALSE)</f>
        <v>GAS</v>
      </c>
      <c r="AC204" s="379" t="s">
        <v>150</v>
      </c>
      <c r="AD204" s="379" t="s">
        <v>220</v>
      </c>
      <c r="AE204" s="379" t="s">
        <v>152</v>
      </c>
      <c r="AF204" s="382" t="str">
        <f>VLOOKUP(W204,KEY_Other!$B$37:$C$89,2,FALSE)</f>
        <v>DK</v>
      </c>
      <c r="AG204" s="379"/>
      <c r="AH204" s="379" t="str">
        <f>AC204&amp;VLOOKUP(U204,KEY_FUELS!$C$4:$D$78,2,FALSE)</f>
        <v>RSDGAS</v>
      </c>
      <c r="AI204" s="379" t="str">
        <f>IFERROR(AC204&amp;VLOOKUP(V204,KEY_FUELS!$C$4:$D$78,2,FALSE),"")</f>
        <v>RSDAHT</v>
      </c>
      <c r="AJ204" s="379" t="str">
        <f t="shared" si="69"/>
        <v>RHHSC</v>
      </c>
      <c r="AK204" s="379" t="str">
        <f t="shared" si="70"/>
        <v>RWHSC</v>
      </c>
      <c r="AL204" s="379" t="str">
        <f t="shared" si="71"/>
        <v/>
      </c>
      <c r="AM204" s="380">
        <v>31.536000000000001</v>
      </c>
      <c r="AN204" s="379">
        <f t="shared" si="73"/>
        <v>2030</v>
      </c>
      <c r="AO204" s="383"/>
      <c r="AP204" s="384"/>
      <c r="AQ204" s="386"/>
      <c r="AR204" s="386"/>
      <c r="AS204" s="386"/>
      <c r="AT204" s="386"/>
      <c r="AU204" s="387">
        <v>1</v>
      </c>
      <c r="AV204" s="387">
        <v>1</v>
      </c>
      <c r="AW204" s="387"/>
      <c r="AX204" s="388"/>
      <c r="AY204" s="384">
        <v>1.35</v>
      </c>
      <c r="AZ204" s="387">
        <v>1.35</v>
      </c>
      <c r="BA204" s="387">
        <v>0</v>
      </c>
      <c r="BB204" s="388"/>
      <c r="BC204" s="389"/>
      <c r="BD204" s="389"/>
      <c r="BE204" s="390"/>
      <c r="BF204" s="379"/>
      <c r="BG204" s="379"/>
      <c r="BH204" s="391"/>
      <c r="BI204" s="379">
        <v>20</v>
      </c>
      <c r="BJ204" s="379"/>
      <c r="BK204" s="388">
        <v>13</v>
      </c>
      <c r="BL204" s="392"/>
      <c r="BM204" s="392"/>
      <c r="BN204" s="392"/>
      <c r="BO204" s="392"/>
      <c r="BP204" s="392"/>
      <c r="BQ204" s="392"/>
      <c r="BR204" s="384">
        <v>235</v>
      </c>
      <c r="BS204" s="388">
        <v>0</v>
      </c>
      <c r="BT204" s="380">
        <v>0</v>
      </c>
      <c r="BU204" s="388">
        <v>5</v>
      </c>
      <c r="BV204" s="380">
        <v>0.5</v>
      </c>
      <c r="BW204" s="380">
        <v>0</v>
      </c>
      <c r="BX204" s="395">
        <v>0</v>
      </c>
    </row>
    <row r="205" spans="1:76" s="226" customFormat="1" x14ac:dyDescent="0.3">
      <c r="A205" s="88"/>
      <c r="B205" s="87"/>
      <c r="C205" s="87"/>
      <c r="D205" s="87"/>
      <c r="E205" s="87"/>
      <c r="F205" s="88"/>
      <c r="G205" s="87"/>
      <c r="H205" s="88"/>
      <c r="I205" s="88"/>
      <c r="J205" s="362" t="s">
        <v>134</v>
      </c>
      <c r="K205" s="363" t="s">
        <v>135</v>
      </c>
      <c r="L205" s="363"/>
      <c r="M205" s="363"/>
      <c r="N205" s="363"/>
      <c r="O205" s="363" t="s">
        <v>136</v>
      </c>
      <c r="P205" s="363">
        <v>2017</v>
      </c>
      <c r="Q205" s="364" t="s">
        <v>215</v>
      </c>
      <c r="R205" s="365" t="s">
        <v>216</v>
      </c>
      <c r="S205" s="363">
        <v>10</v>
      </c>
      <c r="T205" s="363"/>
      <c r="U205" s="363" t="s">
        <v>207</v>
      </c>
      <c r="V205" s="363" t="s">
        <v>209</v>
      </c>
      <c r="W205" s="363" t="s">
        <v>149</v>
      </c>
      <c r="X205" s="363">
        <v>2050</v>
      </c>
      <c r="Y205" s="363"/>
      <c r="Z205" s="363" t="str">
        <f>VLOOKUP(R205,KEY_Processes!$B$4:$E$54,4,FALSE)</f>
        <v>HP_GAS_07</v>
      </c>
      <c r="AA205" s="363" t="str">
        <f>VLOOKUP(R205,KEY_Processes!$B$4:$E$54,2,FALSE)</f>
        <v>Gas driven adsorption heat pumps, brine-to-water</v>
      </c>
      <c r="AB205" s="363" t="str">
        <f>VLOOKUP(U205,KEY_FUELS!$C$4:$D$77,2,FALSE)</f>
        <v>GAS</v>
      </c>
      <c r="AC205" s="363" t="s">
        <v>150</v>
      </c>
      <c r="AD205" s="363" t="s">
        <v>220</v>
      </c>
      <c r="AE205" s="363" t="s">
        <v>152</v>
      </c>
      <c r="AF205" s="366" t="str">
        <f>VLOOKUP(W205,KEY_Other!$B$37:$C$89,2,FALSE)</f>
        <v>DK</v>
      </c>
      <c r="AG205" s="363"/>
      <c r="AH205" s="363" t="str">
        <f>AC205&amp;VLOOKUP(U205,KEY_FUELS!$C$4:$D$78,2,FALSE)</f>
        <v>RSDGAS</v>
      </c>
      <c r="AI205" s="363" t="str">
        <f>IFERROR(AC205&amp;VLOOKUP(V205,KEY_FUELS!$C$4:$D$78,2,FALSE),"")</f>
        <v>RSDAHT</v>
      </c>
      <c r="AJ205" s="363" t="str">
        <f t="shared" ref="AJ205" si="74">LEFT(AC205,1)&amp;"H"&amp;AD205</f>
        <v>RHHSC</v>
      </c>
      <c r="AK205" s="363" t="str">
        <f t="shared" si="70"/>
        <v>RWHSC</v>
      </c>
      <c r="AL205" s="363" t="str">
        <f t="shared" si="71"/>
        <v/>
      </c>
      <c r="AM205" s="364">
        <v>31.536000000000001</v>
      </c>
      <c r="AN205" s="363">
        <f t="shared" si="73"/>
        <v>2050</v>
      </c>
      <c r="AO205" s="367"/>
      <c r="AP205" s="368"/>
      <c r="AQ205" s="370"/>
      <c r="AR205" s="370"/>
      <c r="AS205" s="370"/>
      <c r="AT205" s="370"/>
      <c r="AU205" s="371">
        <v>1</v>
      </c>
      <c r="AV205" s="371">
        <v>1</v>
      </c>
      <c r="AW205" s="371"/>
      <c r="AX205" s="372"/>
      <c r="AY205" s="368">
        <v>1.35</v>
      </c>
      <c r="AZ205" s="371">
        <v>1.35</v>
      </c>
      <c r="BA205" s="371">
        <v>0</v>
      </c>
      <c r="BB205" s="372"/>
      <c r="BC205" s="373"/>
      <c r="BD205" s="373"/>
      <c r="BE205" s="374"/>
      <c r="BF205" s="363"/>
      <c r="BG205" s="363"/>
      <c r="BH205" s="375"/>
      <c r="BI205" s="363">
        <v>20</v>
      </c>
      <c r="BJ205" s="363"/>
      <c r="BK205" s="372">
        <v>12</v>
      </c>
      <c r="BL205" s="376"/>
      <c r="BM205" s="376"/>
      <c r="BN205" s="376"/>
      <c r="BO205" s="376"/>
      <c r="BP205" s="376"/>
      <c r="BQ205" s="376"/>
      <c r="BR205" s="368">
        <v>235</v>
      </c>
      <c r="BS205" s="372">
        <v>0</v>
      </c>
      <c r="BT205" s="364">
        <v>0</v>
      </c>
      <c r="BU205" s="372">
        <v>5</v>
      </c>
      <c r="BV205" s="364">
        <v>0.5</v>
      </c>
      <c r="BW205" s="364">
        <v>0</v>
      </c>
      <c r="BX205" s="397">
        <v>0</v>
      </c>
    </row>
    <row r="206" spans="1:76" s="226" customFormat="1" x14ac:dyDescent="0.3">
      <c r="A206" s="88"/>
      <c r="B206" s="87"/>
      <c r="C206" s="87"/>
      <c r="D206" s="87"/>
      <c r="E206" s="87"/>
      <c r="F206" s="88"/>
      <c r="G206" s="87"/>
      <c r="H206" s="88"/>
      <c r="I206" s="88"/>
      <c r="J206" s="378" t="s">
        <v>134</v>
      </c>
      <c r="K206" s="379" t="s">
        <v>135</v>
      </c>
      <c r="L206" s="379"/>
      <c r="M206" s="379"/>
      <c r="N206" s="379"/>
      <c r="O206" s="379" t="s">
        <v>136</v>
      </c>
      <c r="P206" s="379">
        <v>2017</v>
      </c>
      <c r="Q206" s="380" t="s">
        <v>217</v>
      </c>
      <c r="R206" s="381" t="s">
        <v>218</v>
      </c>
      <c r="S206" s="379">
        <v>4.2</v>
      </c>
      <c r="T206" s="379"/>
      <c r="U206" s="379" t="s">
        <v>219</v>
      </c>
      <c r="V206" s="379"/>
      <c r="W206" s="379" t="s">
        <v>149</v>
      </c>
      <c r="X206" s="379">
        <v>2015</v>
      </c>
      <c r="Y206" s="379"/>
      <c r="Z206" s="379" t="str">
        <f>VLOOKUP(R206,KEY_Processes!$B$4:$E$54,4,FALSE)</f>
        <v>T_SOL_01</v>
      </c>
      <c r="AA206" s="379" t="str">
        <f>VLOOKUP(R206,KEY_Processes!$B$4:$E$54,2,FALSE)</f>
        <v>Solar heating</v>
      </c>
      <c r="AB206" s="379" t="str">
        <f>VLOOKUP(U206,KEY_FUELS!$C$4:$D$77,2,FALSE)</f>
        <v>SOL</v>
      </c>
      <c r="AC206" s="379" t="s">
        <v>150</v>
      </c>
      <c r="AD206" s="379" t="s">
        <v>220</v>
      </c>
      <c r="AE206" s="379" t="s">
        <v>152</v>
      </c>
      <c r="AF206" s="382" t="str">
        <f>VLOOKUP(W206,KEY_Other!$B$37:$C$89,2,FALSE)</f>
        <v>DK</v>
      </c>
      <c r="AG206" s="379"/>
      <c r="AH206" s="379" t="str">
        <f>AC206&amp;VLOOKUP(U206,KEY_FUELS!$C$4:$D$78,2,FALSE)</f>
        <v>RSDSOL</v>
      </c>
      <c r="AI206" s="379" t="str">
        <f>IFERROR(AC206&amp;VLOOKUP(V206,KEY_FUELS!$C$4:$D$78,2,FALSE),"")</f>
        <v/>
      </c>
      <c r="AJ206" s="379" t="str">
        <f t="shared" si="69"/>
        <v>RHHSC</v>
      </c>
      <c r="AK206" s="379" t="str">
        <f t="shared" si="70"/>
        <v>RWHSC</v>
      </c>
      <c r="AL206" s="379" t="str">
        <f t="shared" si="71"/>
        <v/>
      </c>
      <c r="AM206" s="380">
        <v>31.536000000000001</v>
      </c>
      <c r="AN206" s="379">
        <f t="shared" si="73"/>
        <v>2015</v>
      </c>
      <c r="AO206" s="383"/>
      <c r="AP206" s="384"/>
      <c r="AQ206" s="386"/>
      <c r="AR206" s="386"/>
      <c r="AS206" s="386"/>
      <c r="AT206" s="386"/>
      <c r="AU206" s="387">
        <v>0.05</v>
      </c>
      <c r="AV206" s="387">
        <v>0.65</v>
      </c>
      <c r="AW206" s="387"/>
      <c r="AX206" s="388"/>
      <c r="AY206" s="384"/>
      <c r="AZ206" s="388"/>
      <c r="BA206" s="388"/>
      <c r="BB206" s="388"/>
      <c r="BC206" s="392"/>
      <c r="BD206" s="390"/>
      <c r="BE206" s="390"/>
      <c r="BF206" s="379"/>
      <c r="BG206" s="379"/>
      <c r="BH206" s="391"/>
      <c r="BI206" s="379">
        <v>20</v>
      </c>
      <c r="BJ206" s="379"/>
      <c r="BK206" s="388">
        <v>4.0268456375838921</v>
      </c>
      <c r="BL206" s="392"/>
      <c r="BM206" s="392"/>
      <c r="BN206" s="392"/>
      <c r="BO206" s="392"/>
      <c r="BP206" s="392"/>
      <c r="BQ206" s="392"/>
      <c r="BR206" s="384">
        <v>69.45</v>
      </c>
      <c r="BS206" s="388">
        <v>0</v>
      </c>
      <c r="BT206" s="380">
        <v>0</v>
      </c>
      <c r="BU206" s="388">
        <v>0</v>
      </c>
      <c r="BV206" s="380">
        <v>0</v>
      </c>
      <c r="BW206" s="380">
        <v>0</v>
      </c>
      <c r="BX206" s="395">
        <v>0</v>
      </c>
    </row>
    <row r="207" spans="1:76" s="226" customFormat="1" x14ac:dyDescent="0.3">
      <c r="A207" s="88"/>
      <c r="B207" s="87"/>
      <c r="C207" s="87"/>
      <c r="D207" s="87"/>
      <c r="E207" s="87"/>
      <c r="F207" s="88"/>
      <c r="G207" s="87"/>
      <c r="H207" s="88"/>
      <c r="I207" s="88"/>
      <c r="J207" s="362" t="s">
        <v>134</v>
      </c>
      <c r="K207" s="363" t="s">
        <v>135</v>
      </c>
      <c r="L207" s="363"/>
      <c r="M207" s="363"/>
      <c r="N207" s="363"/>
      <c r="O207" s="363" t="s">
        <v>136</v>
      </c>
      <c r="P207" s="363">
        <v>2017</v>
      </c>
      <c r="Q207" s="364" t="s">
        <v>217</v>
      </c>
      <c r="R207" s="365" t="s">
        <v>218</v>
      </c>
      <c r="S207" s="363">
        <v>4.2</v>
      </c>
      <c r="T207" s="363"/>
      <c r="U207" s="363" t="s">
        <v>219</v>
      </c>
      <c r="V207" s="363"/>
      <c r="W207" s="363" t="s">
        <v>149</v>
      </c>
      <c r="X207" s="363">
        <v>2020</v>
      </c>
      <c r="Y207" s="363"/>
      <c r="Z207" s="363" t="str">
        <f>VLOOKUP(R207,KEY_Processes!$B$4:$E$54,4,FALSE)</f>
        <v>T_SOL_01</v>
      </c>
      <c r="AA207" s="363" t="str">
        <f>VLOOKUP(R207,KEY_Processes!$B$4:$E$54,2,FALSE)</f>
        <v>Solar heating</v>
      </c>
      <c r="AB207" s="363" t="str">
        <f>VLOOKUP(U207,KEY_FUELS!$C$4:$D$77,2,FALSE)</f>
        <v>SOL</v>
      </c>
      <c r="AC207" s="363" t="s">
        <v>150</v>
      </c>
      <c r="AD207" s="363" t="s">
        <v>220</v>
      </c>
      <c r="AE207" s="363" t="s">
        <v>152</v>
      </c>
      <c r="AF207" s="366" t="str">
        <f>VLOOKUP(W207,KEY_Other!$B$37:$C$89,2,FALSE)</f>
        <v>DK</v>
      </c>
      <c r="AG207" s="363"/>
      <c r="AH207" s="363" t="str">
        <f>AC207&amp;VLOOKUP(U207,KEY_FUELS!$C$4:$D$78,2,FALSE)</f>
        <v>RSDSOL</v>
      </c>
      <c r="AI207" s="363" t="str">
        <f>IFERROR(AC207&amp;VLOOKUP(V207,KEY_FUELS!$C$4:$D$78,2,FALSE),"")</f>
        <v/>
      </c>
      <c r="AJ207" s="363" t="str">
        <f t="shared" si="69"/>
        <v>RHHSC</v>
      </c>
      <c r="AK207" s="363" t="str">
        <f t="shared" si="70"/>
        <v>RWHSC</v>
      </c>
      <c r="AL207" s="363" t="str">
        <f t="shared" si="71"/>
        <v/>
      </c>
      <c r="AM207" s="364">
        <v>31.536000000000001</v>
      </c>
      <c r="AN207" s="363">
        <f t="shared" si="73"/>
        <v>2020</v>
      </c>
      <c r="AO207" s="367"/>
      <c r="AP207" s="368"/>
      <c r="AQ207" s="370"/>
      <c r="AR207" s="370"/>
      <c r="AS207" s="370"/>
      <c r="AT207" s="370"/>
      <c r="AU207" s="371">
        <v>0.05</v>
      </c>
      <c r="AV207" s="371">
        <v>0.65</v>
      </c>
      <c r="AW207" s="371"/>
      <c r="AX207" s="372"/>
      <c r="AY207" s="368"/>
      <c r="AZ207" s="372"/>
      <c r="BA207" s="372"/>
      <c r="BB207" s="372"/>
      <c r="BC207" s="376"/>
      <c r="BD207" s="374"/>
      <c r="BE207" s="374"/>
      <c r="BF207" s="363"/>
      <c r="BG207" s="363"/>
      <c r="BH207" s="375"/>
      <c r="BI207" s="363">
        <v>25</v>
      </c>
      <c r="BJ207" s="363"/>
      <c r="BK207" s="372">
        <v>4.0268456375838921</v>
      </c>
      <c r="BL207" s="376"/>
      <c r="BM207" s="376"/>
      <c r="BN207" s="376"/>
      <c r="BO207" s="376"/>
      <c r="BP207" s="376"/>
      <c r="BQ207" s="376"/>
      <c r="BR207" s="368">
        <v>68</v>
      </c>
      <c r="BS207" s="372">
        <v>0</v>
      </c>
      <c r="BT207" s="364">
        <v>0</v>
      </c>
      <c r="BU207" s="372">
        <v>0</v>
      </c>
      <c r="BV207" s="364">
        <v>0</v>
      </c>
      <c r="BW207" s="364">
        <v>0</v>
      </c>
      <c r="BX207" s="397">
        <v>0</v>
      </c>
    </row>
    <row r="208" spans="1:76" s="226" customFormat="1" x14ac:dyDescent="0.3">
      <c r="A208" s="88"/>
      <c r="B208" s="87"/>
      <c r="C208" s="87"/>
      <c r="D208" s="87"/>
      <c r="E208" s="87"/>
      <c r="F208" s="88"/>
      <c r="G208" s="87"/>
      <c r="H208" s="88"/>
      <c r="I208" s="88"/>
      <c r="J208" s="378" t="s">
        <v>134</v>
      </c>
      <c r="K208" s="379" t="s">
        <v>135</v>
      </c>
      <c r="L208" s="379"/>
      <c r="M208" s="379"/>
      <c r="N208" s="379"/>
      <c r="O208" s="379" t="s">
        <v>136</v>
      </c>
      <c r="P208" s="379">
        <v>2017</v>
      </c>
      <c r="Q208" s="380" t="s">
        <v>217</v>
      </c>
      <c r="R208" s="381" t="s">
        <v>218</v>
      </c>
      <c r="S208" s="379">
        <v>4.2</v>
      </c>
      <c r="T208" s="379"/>
      <c r="U208" s="379" t="s">
        <v>219</v>
      </c>
      <c r="V208" s="379"/>
      <c r="W208" s="379" t="s">
        <v>149</v>
      </c>
      <c r="X208" s="379">
        <v>2030</v>
      </c>
      <c r="Y208" s="379"/>
      <c r="Z208" s="379" t="str">
        <f>VLOOKUP(R208,KEY_Processes!$B$4:$E$54,4,FALSE)</f>
        <v>T_SOL_01</v>
      </c>
      <c r="AA208" s="379" t="str">
        <f>VLOOKUP(R208,KEY_Processes!$B$4:$E$54,2,FALSE)</f>
        <v>Solar heating</v>
      </c>
      <c r="AB208" s="379" t="str">
        <f>VLOOKUP(U208,KEY_FUELS!$C$4:$D$77,2,FALSE)</f>
        <v>SOL</v>
      </c>
      <c r="AC208" s="379" t="s">
        <v>150</v>
      </c>
      <c r="AD208" s="379" t="s">
        <v>220</v>
      </c>
      <c r="AE208" s="379" t="s">
        <v>152</v>
      </c>
      <c r="AF208" s="382" t="str">
        <f>VLOOKUP(W208,KEY_Other!$B$37:$C$89,2,FALSE)</f>
        <v>DK</v>
      </c>
      <c r="AG208" s="379"/>
      <c r="AH208" s="379" t="str">
        <f>AC208&amp;VLOOKUP(U208,KEY_FUELS!$C$4:$D$78,2,FALSE)</f>
        <v>RSDSOL</v>
      </c>
      <c r="AI208" s="379" t="str">
        <f>IFERROR(AC208&amp;VLOOKUP(V208,KEY_FUELS!$C$4:$D$78,2,FALSE),"")</f>
        <v/>
      </c>
      <c r="AJ208" s="379" t="str">
        <f t="shared" si="69"/>
        <v>RHHSC</v>
      </c>
      <c r="AK208" s="379" t="str">
        <f t="shared" si="70"/>
        <v>RWHSC</v>
      </c>
      <c r="AL208" s="379" t="str">
        <f t="shared" si="71"/>
        <v/>
      </c>
      <c r="AM208" s="380">
        <v>31.536000000000001</v>
      </c>
      <c r="AN208" s="379">
        <f t="shared" si="73"/>
        <v>2030</v>
      </c>
      <c r="AO208" s="383"/>
      <c r="AP208" s="384"/>
      <c r="AQ208" s="386"/>
      <c r="AR208" s="386"/>
      <c r="AS208" s="386"/>
      <c r="AT208" s="386"/>
      <c r="AU208" s="387">
        <v>0.05</v>
      </c>
      <c r="AV208" s="387">
        <v>0.65</v>
      </c>
      <c r="AW208" s="387"/>
      <c r="AX208" s="388"/>
      <c r="AY208" s="384"/>
      <c r="AZ208" s="388"/>
      <c r="BA208" s="388"/>
      <c r="BB208" s="388"/>
      <c r="BC208" s="392"/>
      <c r="BD208" s="390"/>
      <c r="BE208" s="390"/>
      <c r="BF208" s="379"/>
      <c r="BG208" s="379"/>
      <c r="BH208" s="391"/>
      <c r="BI208" s="379">
        <v>30</v>
      </c>
      <c r="BJ208" s="379"/>
      <c r="BK208" s="388">
        <v>3</v>
      </c>
      <c r="BL208" s="392"/>
      <c r="BM208" s="392"/>
      <c r="BN208" s="392"/>
      <c r="BO208" s="392"/>
      <c r="BP208" s="392"/>
      <c r="BQ208" s="392"/>
      <c r="BR208" s="384">
        <v>69.45</v>
      </c>
      <c r="BS208" s="388">
        <v>0</v>
      </c>
      <c r="BT208" s="380">
        <v>0</v>
      </c>
      <c r="BU208" s="388">
        <v>0</v>
      </c>
      <c r="BV208" s="380">
        <v>0</v>
      </c>
      <c r="BW208" s="380">
        <v>0</v>
      </c>
      <c r="BX208" s="395">
        <v>0</v>
      </c>
    </row>
    <row r="209" spans="1:76" s="226" customFormat="1" x14ac:dyDescent="0.3">
      <c r="A209" s="88"/>
      <c r="B209" s="87"/>
      <c r="C209" s="87"/>
      <c r="D209" s="87"/>
      <c r="E209" s="87"/>
      <c r="F209" s="88"/>
      <c r="G209" s="87"/>
      <c r="H209" s="88"/>
      <c r="I209" s="88"/>
      <c r="J209" s="362" t="s">
        <v>134</v>
      </c>
      <c r="K209" s="363" t="s">
        <v>135</v>
      </c>
      <c r="L209" s="363"/>
      <c r="M209" s="363"/>
      <c r="N209" s="363"/>
      <c r="O209" s="363" t="s">
        <v>136</v>
      </c>
      <c r="P209" s="363">
        <v>2017</v>
      </c>
      <c r="Q209" s="364" t="s">
        <v>217</v>
      </c>
      <c r="R209" s="365" t="s">
        <v>218</v>
      </c>
      <c r="S209" s="363">
        <v>4.2</v>
      </c>
      <c r="T209" s="363"/>
      <c r="U209" s="363" t="s">
        <v>219</v>
      </c>
      <c r="V209" s="363"/>
      <c r="W209" s="363" t="s">
        <v>149</v>
      </c>
      <c r="X209" s="363">
        <v>2050</v>
      </c>
      <c r="Y209" s="363"/>
      <c r="Z209" s="363" t="str">
        <f>VLOOKUP(R209,KEY_Processes!$B$4:$E$54,4,FALSE)</f>
        <v>T_SOL_01</v>
      </c>
      <c r="AA209" s="363" t="str">
        <f>VLOOKUP(R209,KEY_Processes!$B$4:$E$54,2,FALSE)</f>
        <v>Solar heating</v>
      </c>
      <c r="AB209" s="363" t="str">
        <f>VLOOKUP(U209,KEY_FUELS!$C$4:$D$77,2,FALSE)</f>
        <v>SOL</v>
      </c>
      <c r="AC209" s="363" t="s">
        <v>150</v>
      </c>
      <c r="AD209" s="363" t="s">
        <v>220</v>
      </c>
      <c r="AE209" s="363" t="s">
        <v>152</v>
      </c>
      <c r="AF209" s="366" t="str">
        <f>VLOOKUP(W209,KEY_Other!$B$37:$C$89,2,FALSE)</f>
        <v>DK</v>
      </c>
      <c r="AG209" s="363"/>
      <c r="AH209" s="363" t="str">
        <f>AC209&amp;VLOOKUP(U209,KEY_FUELS!$C$4:$D$78,2,FALSE)</f>
        <v>RSDSOL</v>
      </c>
      <c r="AI209" s="363" t="str">
        <f>IFERROR(AC209&amp;VLOOKUP(V209,KEY_FUELS!$C$4:$D$78,2,FALSE),"")</f>
        <v/>
      </c>
      <c r="AJ209" s="363" t="str">
        <f t="shared" si="69"/>
        <v>RHHSC</v>
      </c>
      <c r="AK209" s="363" t="str">
        <f t="shared" si="70"/>
        <v>RWHSC</v>
      </c>
      <c r="AL209" s="363" t="str">
        <f t="shared" si="71"/>
        <v/>
      </c>
      <c r="AM209" s="364">
        <v>31.536000000000001</v>
      </c>
      <c r="AN209" s="363">
        <f t="shared" si="73"/>
        <v>2050</v>
      </c>
      <c r="AO209" s="367"/>
      <c r="AP209" s="368"/>
      <c r="AQ209" s="370"/>
      <c r="AR209" s="370"/>
      <c r="AS209" s="370"/>
      <c r="AT209" s="370"/>
      <c r="AU209" s="371">
        <v>0.05</v>
      </c>
      <c r="AV209" s="371">
        <v>0.65</v>
      </c>
      <c r="AW209" s="371"/>
      <c r="AX209" s="372"/>
      <c r="AY209" s="368"/>
      <c r="AZ209" s="372"/>
      <c r="BA209" s="372"/>
      <c r="BB209" s="372"/>
      <c r="BC209" s="376"/>
      <c r="BD209" s="374"/>
      <c r="BE209" s="374"/>
      <c r="BF209" s="363"/>
      <c r="BG209" s="363"/>
      <c r="BH209" s="375"/>
      <c r="BI209" s="363">
        <v>30</v>
      </c>
      <c r="BJ209" s="363"/>
      <c r="BK209" s="372">
        <v>3</v>
      </c>
      <c r="BL209" s="376"/>
      <c r="BM209" s="376"/>
      <c r="BN209" s="376"/>
      <c r="BO209" s="376"/>
      <c r="BP209" s="376"/>
      <c r="BQ209" s="376"/>
      <c r="BR209" s="368">
        <v>63</v>
      </c>
      <c r="BS209" s="372">
        <v>0</v>
      </c>
      <c r="BT209" s="364">
        <v>0</v>
      </c>
      <c r="BU209" s="372">
        <v>0</v>
      </c>
      <c r="BV209" s="364">
        <v>0</v>
      </c>
      <c r="BW209" s="364">
        <v>0</v>
      </c>
      <c r="BX209" s="397">
        <v>0</v>
      </c>
    </row>
    <row r="210" spans="1:76" s="226" customFormat="1" x14ac:dyDescent="0.3">
      <c r="A210" s="88"/>
      <c r="B210" s="87"/>
      <c r="C210" s="87"/>
      <c r="D210" s="87"/>
      <c r="E210" s="87"/>
      <c r="F210" s="88"/>
      <c r="G210" s="87"/>
      <c r="H210" s="88"/>
      <c r="I210" s="88"/>
      <c r="J210" s="378" t="s">
        <v>134</v>
      </c>
      <c r="K210" s="379" t="s">
        <v>135</v>
      </c>
      <c r="L210" s="379"/>
      <c r="M210" s="379"/>
      <c r="N210" s="379"/>
      <c r="O210" s="379" t="s">
        <v>136</v>
      </c>
      <c r="P210" s="379">
        <v>2017</v>
      </c>
      <c r="Q210" s="380" t="s">
        <v>217</v>
      </c>
      <c r="R210" s="381" t="s">
        <v>221</v>
      </c>
      <c r="S210" s="379">
        <v>4.2</v>
      </c>
      <c r="T210" s="379"/>
      <c r="U210" s="379" t="s">
        <v>219</v>
      </c>
      <c r="V210" s="379"/>
      <c r="W210" s="379" t="s">
        <v>149</v>
      </c>
      <c r="X210" s="379">
        <v>2015</v>
      </c>
      <c r="Y210" s="379"/>
      <c r="Z210" s="379" t="str">
        <f>VLOOKUP(R210,KEY_Processes!$B$4:$E$54,4,FALSE)</f>
        <v>T_SOL_02</v>
      </c>
      <c r="AA210" s="379" t="str">
        <f>VLOOKUP(R210,KEY_Processes!$B$4:$E$54,2,FALSE)</f>
        <v>Solar heating</v>
      </c>
      <c r="AB210" s="379" t="str">
        <f>VLOOKUP(U210,KEY_FUELS!$C$4:$D$77,2,FALSE)</f>
        <v>SOL</v>
      </c>
      <c r="AC210" s="379" t="s">
        <v>150</v>
      </c>
      <c r="AD210" s="379" t="s">
        <v>151</v>
      </c>
      <c r="AE210" s="379" t="s">
        <v>152</v>
      </c>
      <c r="AF210" s="382" t="str">
        <f>VLOOKUP(W210,KEY_Other!$B$37:$C$89,2,FALSE)</f>
        <v>DK</v>
      </c>
      <c r="AG210" s="379"/>
      <c r="AH210" s="379" t="str">
        <f>AC210&amp;VLOOKUP(U210,KEY_FUELS!$C$4:$D$78,2,FALSE)</f>
        <v>RSDSOL</v>
      </c>
      <c r="AI210" s="379" t="str">
        <f>IFERROR(AC210&amp;VLOOKUP(V210,KEY_FUELS!$C$4:$D$78,2,FALSE),"")</f>
        <v/>
      </c>
      <c r="AJ210" s="379" t="str">
        <f t="shared" si="69"/>
        <v>RHHSB</v>
      </c>
      <c r="AK210" s="379" t="str">
        <f t="shared" si="70"/>
        <v>RWHSB</v>
      </c>
      <c r="AL210" s="379" t="str">
        <f t="shared" si="71"/>
        <v/>
      </c>
      <c r="AM210" s="380">
        <v>31.536000000000001</v>
      </c>
      <c r="AN210" s="379">
        <f t="shared" si="73"/>
        <v>2015</v>
      </c>
      <c r="AO210" s="383"/>
      <c r="AP210" s="384"/>
      <c r="AQ210" s="386"/>
      <c r="AR210" s="386"/>
      <c r="AS210" s="386"/>
      <c r="AT210" s="386"/>
      <c r="AU210" s="387">
        <v>0.1</v>
      </c>
      <c r="AV210" s="387">
        <v>0.65</v>
      </c>
      <c r="AW210" s="387"/>
      <c r="AX210" s="388"/>
      <c r="AY210" s="384"/>
      <c r="AZ210" s="388"/>
      <c r="BA210" s="388"/>
      <c r="BB210" s="388"/>
      <c r="BC210" s="392"/>
      <c r="BD210" s="390"/>
      <c r="BE210" s="390"/>
      <c r="BF210" s="379"/>
      <c r="BG210" s="379"/>
      <c r="BH210" s="391"/>
      <c r="BI210" s="379">
        <v>20</v>
      </c>
      <c r="BJ210" s="379"/>
      <c r="BK210" s="388">
        <v>3.3557046979865772</v>
      </c>
      <c r="BL210" s="392"/>
      <c r="BM210" s="392"/>
      <c r="BN210" s="392"/>
      <c r="BO210" s="392"/>
      <c r="BP210" s="392"/>
      <c r="BQ210" s="392"/>
      <c r="BR210" s="384">
        <v>69.45</v>
      </c>
      <c r="BS210" s="388">
        <v>0</v>
      </c>
      <c r="BT210" s="380">
        <v>0</v>
      </c>
      <c r="BU210" s="388">
        <v>0</v>
      </c>
      <c r="BV210" s="380">
        <v>0</v>
      </c>
      <c r="BW210" s="380">
        <v>0</v>
      </c>
      <c r="BX210" s="395">
        <v>0</v>
      </c>
    </row>
    <row r="211" spans="1:76" s="226" customFormat="1" x14ac:dyDescent="0.3">
      <c r="A211" s="88"/>
      <c r="B211" s="87"/>
      <c r="C211" s="87"/>
      <c r="D211" s="87"/>
      <c r="E211" s="87"/>
      <c r="F211" s="88"/>
      <c r="G211" s="87"/>
      <c r="H211" s="88"/>
      <c r="I211" s="88"/>
      <c r="J211" s="362" t="s">
        <v>134</v>
      </c>
      <c r="K211" s="363" t="s">
        <v>135</v>
      </c>
      <c r="L211" s="363"/>
      <c r="M211" s="363"/>
      <c r="N211" s="363"/>
      <c r="O211" s="363" t="s">
        <v>136</v>
      </c>
      <c r="P211" s="363">
        <v>2017</v>
      </c>
      <c r="Q211" s="364" t="s">
        <v>217</v>
      </c>
      <c r="R211" s="365" t="s">
        <v>221</v>
      </c>
      <c r="S211" s="363">
        <v>4.2</v>
      </c>
      <c r="T211" s="363"/>
      <c r="U211" s="363" t="s">
        <v>219</v>
      </c>
      <c r="V211" s="363"/>
      <c r="W211" s="363" t="s">
        <v>149</v>
      </c>
      <c r="X211" s="363">
        <v>2020</v>
      </c>
      <c r="Y211" s="363"/>
      <c r="Z211" s="363" t="str">
        <f>VLOOKUP(R211,KEY_Processes!$B$4:$E$54,4,FALSE)</f>
        <v>T_SOL_02</v>
      </c>
      <c r="AA211" s="363" t="str">
        <f>VLOOKUP(R211,KEY_Processes!$B$4:$E$54,2,FALSE)</f>
        <v>Solar heating</v>
      </c>
      <c r="AB211" s="363" t="str">
        <f>VLOOKUP(U211,KEY_FUELS!$C$4:$D$77,2,FALSE)</f>
        <v>SOL</v>
      </c>
      <c r="AC211" s="363" t="s">
        <v>150</v>
      </c>
      <c r="AD211" s="363" t="s">
        <v>151</v>
      </c>
      <c r="AE211" s="363" t="s">
        <v>152</v>
      </c>
      <c r="AF211" s="366" t="str">
        <f>VLOOKUP(W211,KEY_Other!$B$37:$C$89,2,FALSE)</f>
        <v>DK</v>
      </c>
      <c r="AG211" s="363"/>
      <c r="AH211" s="363" t="str">
        <f>AC211&amp;VLOOKUP(U211,KEY_FUELS!$C$4:$D$78,2,FALSE)</f>
        <v>RSDSOL</v>
      </c>
      <c r="AI211" s="363" t="str">
        <f>IFERROR(AC211&amp;VLOOKUP(V211,KEY_FUELS!$C$4:$D$78,2,FALSE),"")</f>
        <v/>
      </c>
      <c r="AJ211" s="363" t="str">
        <f t="shared" si="69"/>
        <v>RHHSB</v>
      </c>
      <c r="AK211" s="363" t="str">
        <f t="shared" si="70"/>
        <v>RWHSB</v>
      </c>
      <c r="AL211" s="363" t="str">
        <f t="shared" si="71"/>
        <v/>
      </c>
      <c r="AM211" s="364">
        <v>31.536000000000001</v>
      </c>
      <c r="AN211" s="363">
        <f t="shared" si="73"/>
        <v>2020</v>
      </c>
      <c r="AO211" s="367"/>
      <c r="AP211" s="368"/>
      <c r="AQ211" s="370"/>
      <c r="AR211" s="370"/>
      <c r="AS211" s="370"/>
      <c r="AT211" s="370"/>
      <c r="AU211" s="371">
        <v>0.1</v>
      </c>
      <c r="AV211" s="371">
        <v>0.65</v>
      </c>
      <c r="AW211" s="371"/>
      <c r="AX211" s="372"/>
      <c r="AY211" s="368"/>
      <c r="AZ211" s="372"/>
      <c r="BA211" s="372"/>
      <c r="BB211" s="372"/>
      <c r="BC211" s="376"/>
      <c r="BD211" s="374"/>
      <c r="BE211" s="374"/>
      <c r="BF211" s="363"/>
      <c r="BG211" s="363"/>
      <c r="BH211" s="375"/>
      <c r="BI211" s="363">
        <v>25</v>
      </c>
      <c r="BJ211" s="363"/>
      <c r="BK211" s="372">
        <v>3.3557046979865772</v>
      </c>
      <c r="BL211" s="376"/>
      <c r="BM211" s="376"/>
      <c r="BN211" s="376"/>
      <c r="BO211" s="376"/>
      <c r="BP211" s="376"/>
      <c r="BQ211" s="376"/>
      <c r="BR211" s="368">
        <v>68</v>
      </c>
      <c r="BS211" s="372">
        <v>0</v>
      </c>
      <c r="BT211" s="364">
        <v>0</v>
      </c>
      <c r="BU211" s="372">
        <v>0</v>
      </c>
      <c r="BV211" s="364">
        <v>0</v>
      </c>
      <c r="BW211" s="364">
        <v>0</v>
      </c>
      <c r="BX211" s="397">
        <v>0</v>
      </c>
    </row>
    <row r="212" spans="1:76" s="226" customFormat="1" x14ac:dyDescent="0.3">
      <c r="A212" s="88"/>
      <c r="B212" s="87"/>
      <c r="C212" s="87"/>
      <c r="D212" s="87"/>
      <c r="E212" s="87"/>
      <c r="F212" s="88"/>
      <c r="G212" s="87"/>
      <c r="H212" s="88"/>
      <c r="I212" s="88"/>
      <c r="J212" s="378" t="s">
        <v>134</v>
      </c>
      <c r="K212" s="379" t="s">
        <v>135</v>
      </c>
      <c r="L212" s="379"/>
      <c r="M212" s="379"/>
      <c r="N212" s="379"/>
      <c r="O212" s="379" t="s">
        <v>136</v>
      </c>
      <c r="P212" s="379">
        <v>2017</v>
      </c>
      <c r="Q212" s="380" t="s">
        <v>217</v>
      </c>
      <c r="R212" s="381" t="s">
        <v>221</v>
      </c>
      <c r="S212" s="379">
        <v>4.2</v>
      </c>
      <c r="T212" s="379"/>
      <c r="U212" s="379" t="s">
        <v>219</v>
      </c>
      <c r="V212" s="379"/>
      <c r="W212" s="379" t="s">
        <v>149</v>
      </c>
      <c r="X212" s="379">
        <v>2030</v>
      </c>
      <c r="Y212" s="379"/>
      <c r="Z212" s="379" t="str">
        <f>VLOOKUP(R212,KEY_Processes!$B$4:$E$54,4,FALSE)</f>
        <v>T_SOL_02</v>
      </c>
      <c r="AA212" s="379" t="str">
        <f>VLOOKUP(R212,KEY_Processes!$B$4:$E$54,2,FALSE)</f>
        <v>Solar heating</v>
      </c>
      <c r="AB212" s="379" t="str">
        <f>VLOOKUP(U212,KEY_FUELS!$C$4:$D$77,2,FALSE)</f>
        <v>SOL</v>
      </c>
      <c r="AC212" s="379" t="s">
        <v>150</v>
      </c>
      <c r="AD212" s="379" t="s">
        <v>151</v>
      </c>
      <c r="AE212" s="379" t="s">
        <v>152</v>
      </c>
      <c r="AF212" s="382" t="str">
        <f>VLOOKUP(W212,KEY_Other!$B$37:$C$89,2,FALSE)</f>
        <v>DK</v>
      </c>
      <c r="AG212" s="379"/>
      <c r="AH212" s="379" t="str">
        <f>AC212&amp;VLOOKUP(U212,KEY_FUELS!$C$4:$D$78,2,FALSE)</f>
        <v>RSDSOL</v>
      </c>
      <c r="AI212" s="379" t="str">
        <f>IFERROR(AC212&amp;VLOOKUP(V212,KEY_FUELS!$C$4:$D$78,2,FALSE),"")</f>
        <v/>
      </c>
      <c r="AJ212" s="379" t="str">
        <f t="shared" si="69"/>
        <v>RHHSB</v>
      </c>
      <c r="AK212" s="379" t="str">
        <f t="shared" si="70"/>
        <v>RWHSB</v>
      </c>
      <c r="AL212" s="379" t="str">
        <f t="shared" si="71"/>
        <v/>
      </c>
      <c r="AM212" s="380">
        <v>31.536000000000001</v>
      </c>
      <c r="AN212" s="379">
        <f t="shared" si="73"/>
        <v>2030</v>
      </c>
      <c r="AO212" s="383"/>
      <c r="AP212" s="384"/>
      <c r="AQ212" s="386"/>
      <c r="AR212" s="386"/>
      <c r="AS212" s="386"/>
      <c r="AT212" s="386"/>
      <c r="AU212" s="387">
        <v>0.1</v>
      </c>
      <c r="AV212" s="387">
        <v>0.65</v>
      </c>
      <c r="AW212" s="387"/>
      <c r="AX212" s="388"/>
      <c r="AY212" s="384"/>
      <c r="AZ212" s="388"/>
      <c r="BA212" s="388"/>
      <c r="BB212" s="388"/>
      <c r="BC212" s="392"/>
      <c r="BD212" s="390"/>
      <c r="BE212" s="390"/>
      <c r="BF212" s="379"/>
      <c r="BG212" s="379"/>
      <c r="BH212" s="391"/>
      <c r="BI212" s="379">
        <v>30</v>
      </c>
      <c r="BJ212" s="379"/>
      <c r="BK212" s="388">
        <v>3.3557046979865772</v>
      </c>
      <c r="BL212" s="392"/>
      <c r="BM212" s="392"/>
      <c r="BN212" s="392"/>
      <c r="BO212" s="392"/>
      <c r="BP212" s="392"/>
      <c r="BQ212" s="392"/>
      <c r="BR212" s="384">
        <v>69.45</v>
      </c>
      <c r="BS212" s="388">
        <v>0</v>
      </c>
      <c r="BT212" s="380">
        <v>0</v>
      </c>
      <c r="BU212" s="388">
        <v>0</v>
      </c>
      <c r="BV212" s="380">
        <v>0</v>
      </c>
      <c r="BW212" s="380">
        <v>0</v>
      </c>
      <c r="BX212" s="395">
        <v>0</v>
      </c>
    </row>
    <row r="213" spans="1:76" s="226" customFormat="1" x14ac:dyDescent="0.3">
      <c r="A213" s="88"/>
      <c r="B213" s="87"/>
      <c r="C213" s="87"/>
      <c r="D213" s="87"/>
      <c r="E213" s="87"/>
      <c r="F213" s="88"/>
      <c r="G213" s="87"/>
      <c r="H213" s="88"/>
      <c r="I213" s="88"/>
      <c r="J213" s="362" t="s">
        <v>134</v>
      </c>
      <c r="K213" s="363" t="s">
        <v>135</v>
      </c>
      <c r="L213" s="363"/>
      <c r="M213" s="363"/>
      <c r="N213" s="363"/>
      <c r="O213" s="363" t="s">
        <v>136</v>
      </c>
      <c r="P213" s="363">
        <v>2017</v>
      </c>
      <c r="Q213" s="364" t="s">
        <v>217</v>
      </c>
      <c r="R213" s="365" t="s">
        <v>221</v>
      </c>
      <c r="S213" s="363">
        <v>4.2</v>
      </c>
      <c r="T213" s="363"/>
      <c r="U213" s="363" t="s">
        <v>219</v>
      </c>
      <c r="V213" s="363"/>
      <c r="W213" s="363" t="s">
        <v>149</v>
      </c>
      <c r="X213" s="363">
        <v>2050</v>
      </c>
      <c r="Y213" s="363"/>
      <c r="Z213" s="363" t="str">
        <f>VLOOKUP(R213,KEY_Processes!$B$4:$E$54,4,FALSE)</f>
        <v>T_SOL_02</v>
      </c>
      <c r="AA213" s="363" t="str">
        <f>VLOOKUP(R213,KEY_Processes!$B$4:$E$54,2,FALSE)</f>
        <v>Solar heating</v>
      </c>
      <c r="AB213" s="363" t="str">
        <f>VLOOKUP(U213,KEY_FUELS!$C$4:$D$77,2,FALSE)</f>
        <v>SOL</v>
      </c>
      <c r="AC213" s="363" t="s">
        <v>150</v>
      </c>
      <c r="AD213" s="363" t="s">
        <v>151</v>
      </c>
      <c r="AE213" s="363" t="s">
        <v>152</v>
      </c>
      <c r="AF213" s="366" t="str">
        <f>VLOOKUP(W213,KEY_Other!$B$37:$C$89,2,FALSE)</f>
        <v>DK</v>
      </c>
      <c r="AG213" s="363"/>
      <c r="AH213" s="363" t="str">
        <f>AC213&amp;VLOOKUP(U213,KEY_FUELS!$C$4:$D$78,2,FALSE)</f>
        <v>RSDSOL</v>
      </c>
      <c r="AI213" s="363" t="str">
        <f>IFERROR(AC213&amp;VLOOKUP(V213,KEY_FUELS!$C$4:$D$78,2,FALSE),"")</f>
        <v/>
      </c>
      <c r="AJ213" s="363" t="str">
        <f t="shared" si="69"/>
        <v>RHHSB</v>
      </c>
      <c r="AK213" s="363" t="str">
        <f t="shared" si="70"/>
        <v>RWHSB</v>
      </c>
      <c r="AL213" s="363" t="str">
        <f t="shared" si="71"/>
        <v/>
      </c>
      <c r="AM213" s="364">
        <v>31.536000000000001</v>
      </c>
      <c r="AN213" s="363">
        <f t="shared" si="73"/>
        <v>2050</v>
      </c>
      <c r="AO213" s="367"/>
      <c r="AP213" s="368"/>
      <c r="AQ213" s="370"/>
      <c r="AR213" s="370"/>
      <c r="AS213" s="370"/>
      <c r="AT213" s="370"/>
      <c r="AU213" s="371">
        <v>0.1</v>
      </c>
      <c r="AV213" s="371">
        <v>0.65</v>
      </c>
      <c r="AW213" s="371"/>
      <c r="AX213" s="372"/>
      <c r="AY213" s="368"/>
      <c r="AZ213" s="372"/>
      <c r="BA213" s="372"/>
      <c r="BB213" s="372"/>
      <c r="BC213" s="376"/>
      <c r="BD213" s="374"/>
      <c r="BE213" s="374"/>
      <c r="BF213" s="363"/>
      <c r="BG213" s="363"/>
      <c r="BH213" s="375"/>
      <c r="BI213" s="363">
        <v>30</v>
      </c>
      <c r="BJ213" s="363"/>
      <c r="BK213" s="372">
        <v>2</v>
      </c>
      <c r="BL213" s="376"/>
      <c r="BM213" s="376"/>
      <c r="BN213" s="376"/>
      <c r="BO213" s="376"/>
      <c r="BP213" s="376"/>
      <c r="BQ213" s="376"/>
      <c r="BR213" s="368">
        <v>63</v>
      </c>
      <c r="BS213" s="372">
        <v>0</v>
      </c>
      <c r="BT213" s="364">
        <v>0</v>
      </c>
      <c r="BU213" s="372">
        <v>0</v>
      </c>
      <c r="BV213" s="364">
        <v>0</v>
      </c>
      <c r="BW213" s="364">
        <v>0</v>
      </c>
      <c r="BX213" s="397">
        <v>0</v>
      </c>
    </row>
    <row r="214" spans="1:76" s="226" customFormat="1" x14ac:dyDescent="0.3">
      <c r="A214" s="88"/>
      <c r="B214" s="87"/>
      <c r="C214" s="87"/>
      <c r="D214" s="87"/>
      <c r="E214" s="87"/>
      <c r="F214" s="88"/>
      <c r="G214" s="87"/>
      <c r="H214" s="88"/>
      <c r="I214" s="88"/>
      <c r="J214" s="378" t="s">
        <v>134</v>
      </c>
      <c r="K214" s="379" t="s">
        <v>135</v>
      </c>
      <c r="L214" s="379"/>
      <c r="M214" s="379"/>
      <c r="N214" s="379"/>
      <c r="O214" s="379" t="s">
        <v>136</v>
      </c>
      <c r="P214" s="379">
        <v>2017</v>
      </c>
      <c r="Q214" s="380" t="s">
        <v>217</v>
      </c>
      <c r="R214" s="381" t="s">
        <v>222</v>
      </c>
      <c r="S214" s="379">
        <v>4.2</v>
      </c>
      <c r="T214" s="379"/>
      <c r="U214" s="379" t="s">
        <v>219</v>
      </c>
      <c r="V214" s="379"/>
      <c r="W214" s="379" t="s">
        <v>149</v>
      </c>
      <c r="X214" s="379">
        <v>2015</v>
      </c>
      <c r="Y214" s="379"/>
      <c r="Z214" s="379" t="str">
        <f>VLOOKUP(R214,KEY_Processes!$B$4:$E$54,4,FALSE)</f>
        <v>T_SOL_03</v>
      </c>
      <c r="AA214" s="379" t="str">
        <f>VLOOKUP(R214,KEY_Processes!$B$4:$E$54,2,FALSE)</f>
        <v>Solar heating</v>
      </c>
      <c r="AB214" s="379" t="str">
        <f>VLOOKUP(U214,KEY_FUELS!$C$4:$D$77,2,FALSE)</f>
        <v>SOL</v>
      </c>
      <c r="AC214" s="379" t="s">
        <v>150</v>
      </c>
      <c r="AD214" s="379" t="s">
        <v>155</v>
      </c>
      <c r="AE214" s="379" t="s">
        <v>152</v>
      </c>
      <c r="AF214" s="382" t="str">
        <f>VLOOKUP(W214,KEY_Other!$B$37:$C$89,2,FALSE)</f>
        <v>DK</v>
      </c>
      <c r="AG214" s="379"/>
      <c r="AH214" s="379" t="str">
        <f>AC214&amp;VLOOKUP(U214,KEY_FUELS!$C$4:$D$78,2,FALSE)</f>
        <v>RSDSOL</v>
      </c>
      <c r="AI214" s="379" t="str">
        <f>IFERROR(AC214&amp;VLOOKUP(V214,KEY_FUELS!$C$4:$D$78,2,FALSE),"")</f>
        <v/>
      </c>
      <c r="AJ214" s="379" t="str">
        <f t="shared" si="69"/>
        <v>RHHSA</v>
      </c>
      <c r="AK214" s="379" t="str">
        <f t="shared" si="70"/>
        <v>RWHSA</v>
      </c>
      <c r="AL214" s="379" t="str">
        <f t="shared" si="71"/>
        <v/>
      </c>
      <c r="AM214" s="380">
        <v>31.536000000000001</v>
      </c>
      <c r="AN214" s="379">
        <f t="shared" si="73"/>
        <v>2015</v>
      </c>
      <c r="AO214" s="383"/>
      <c r="AP214" s="384"/>
      <c r="AQ214" s="386"/>
      <c r="AR214" s="386"/>
      <c r="AS214" s="386"/>
      <c r="AT214" s="386"/>
      <c r="AU214" s="387">
        <v>0</v>
      </c>
      <c r="AV214" s="387">
        <v>0.65</v>
      </c>
      <c r="AW214" s="387"/>
      <c r="AX214" s="388"/>
      <c r="AY214" s="384"/>
      <c r="AZ214" s="388"/>
      <c r="BA214" s="388"/>
      <c r="BB214" s="388"/>
      <c r="BC214" s="392"/>
      <c r="BD214" s="390"/>
      <c r="BE214" s="390"/>
      <c r="BF214" s="379"/>
      <c r="BG214" s="379"/>
      <c r="BH214" s="391"/>
      <c r="BI214" s="379">
        <v>20</v>
      </c>
      <c r="BJ214" s="379"/>
      <c r="BK214" s="388">
        <v>2.6845637583892619</v>
      </c>
      <c r="BL214" s="392"/>
      <c r="BM214" s="392"/>
      <c r="BN214" s="392"/>
      <c r="BO214" s="392"/>
      <c r="BP214" s="392"/>
      <c r="BQ214" s="392"/>
      <c r="BR214" s="384">
        <v>69.45</v>
      </c>
      <c r="BS214" s="388">
        <v>0</v>
      </c>
      <c r="BT214" s="380">
        <v>0</v>
      </c>
      <c r="BU214" s="388">
        <v>0</v>
      </c>
      <c r="BV214" s="380">
        <v>0</v>
      </c>
      <c r="BW214" s="380">
        <v>0</v>
      </c>
      <c r="BX214" s="395">
        <v>0</v>
      </c>
    </row>
    <row r="215" spans="1:76" s="226" customFormat="1" x14ac:dyDescent="0.3">
      <c r="A215" s="88"/>
      <c r="B215" s="87"/>
      <c r="C215" s="87"/>
      <c r="D215" s="87"/>
      <c r="E215" s="87"/>
      <c r="F215" s="88"/>
      <c r="G215" s="87"/>
      <c r="H215" s="88"/>
      <c r="I215" s="88"/>
      <c r="J215" s="362" t="s">
        <v>134</v>
      </c>
      <c r="K215" s="363" t="s">
        <v>135</v>
      </c>
      <c r="L215" s="363"/>
      <c r="M215" s="363"/>
      <c r="N215" s="363"/>
      <c r="O215" s="363" t="s">
        <v>136</v>
      </c>
      <c r="P215" s="363">
        <v>2017</v>
      </c>
      <c r="Q215" s="364" t="s">
        <v>217</v>
      </c>
      <c r="R215" s="365" t="s">
        <v>222</v>
      </c>
      <c r="S215" s="363">
        <v>4.2</v>
      </c>
      <c r="T215" s="363"/>
      <c r="U215" s="363" t="s">
        <v>219</v>
      </c>
      <c r="V215" s="363"/>
      <c r="W215" s="363" t="s">
        <v>149</v>
      </c>
      <c r="X215" s="363">
        <v>2020</v>
      </c>
      <c r="Y215" s="363"/>
      <c r="Z215" s="363" t="str">
        <f>VLOOKUP(R215,KEY_Processes!$B$4:$E$54,4,FALSE)</f>
        <v>T_SOL_03</v>
      </c>
      <c r="AA215" s="363" t="str">
        <f>VLOOKUP(R215,KEY_Processes!$B$4:$E$54,2,FALSE)</f>
        <v>Solar heating</v>
      </c>
      <c r="AB215" s="363" t="str">
        <f>VLOOKUP(U215,KEY_FUELS!$C$4:$D$77,2,FALSE)</f>
        <v>SOL</v>
      </c>
      <c r="AC215" s="363" t="s">
        <v>150</v>
      </c>
      <c r="AD215" s="363" t="s">
        <v>155</v>
      </c>
      <c r="AE215" s="363" t="s">
        <v>152</v>
      </c>
      <c r="AF215" s="366" t="str">
        <f>VLOOKUP(W215,KEY_Other!$B$37:$C$89,2,FALSE)</f>
        <v>DK</v>
      </c>
      <c r="AG215" s="363"/>
      <c r="AH215" s="363" t="str">
        <f>AC215&amp;VLOOKUP(U215,KEY_FUELS!$C$4:$D$78,2,FALSE)</f>
        <v>RSDSOL</v>
      </c>
      <c r="AI215" s="363" t="str">
        <f>IFERROR(AC215&amp;VLOOKUP(V215,KEY_FUELS!$C$4:$D$78,2,FALSE),"")</f>
        <v/>
      </c>
      <c r="AJ215" s="363" t="str">
        <f t="shared" si="69"/>
        <v>RHHSA</v>
      </c>
      <c r="AK215" s="363" t="str">
        <f t="shared" si="70"/>
        <v>RWHSA</v>
      </c>
      <c r="AL215" s="363" t="str">
        <f t="shared" si="71"/>
        <v/>
      </c>
      <c r="AM215" s="364">
        <v>31.536000000000001</v>
      </c>
      <c r="AN215" s="363">
        <f t="shared" si="73"/>
        <v>2020</v>
      </c>
      <c r="AO215" s="367"/>
      <c r="AP215" s="368"/>
      <c r="AQ215" s="370"/>
      <c r="AR215" s="370"/>
      <c r="AS215" s="370"/>
      <c r="AT215" s="370"/>
      <c r="AU215" s="371">
        <v>0</v>
      </c>
      <c r="AV215" s="371">
        <v>0.65</v>
      </c>
      <c r="AW215" s="371"/>
      <c r="AX215" s="372"/>
      <c r="AY215" s="368"/>
      <c r="AZ215" s="372"/>
      <c r="BA215" s="372"/>
      <c r="BB215" s="372"/>
      <c r="BC215" s="376"/>
      <c r="BD215" s="374"/>
      <c r="BE215" s="374"/>
      <c r="BF215" s="363"/>
      <c r="BG215" s="363"/>
      <c r="BH215" s="375"/>
      <c r="BI215" s="363">
        <v>25</v>
      </c>
      <c r="BJ215" s="363"/>
      <c r="BK215" s="372">
        <v>2</v>
      </c>
      <c r="BL215" s="376"/>
      <c r="BM215" s="376"/>
      <c r="BN215" s="376"/>
      <c r="BO215" s="376"/>
      <c r="BP215" s="376"/>
      <c r="BQ215" s="376"/>
      <c r="BR215" s="368">
        <v>68</v>
      </c>
      <c r="BS215" s="372">
        <v>0</v>
      </c>
      <c r="BT215" s="364">
        <v>0</v>
      </c>
      <c r="BU215" s="372">
        <v>0</v>
      </c>
      <c r="BV215" s="364">
        <v>0</v>
      </c>
      <c r="BW215" s="364">
        <v>0</v>
      </c>
      <c r="BX215" s="397">
        <v>0</v>
      </c>
    </row>
    <row r="216" spans="1:76" s="226" customFormat="1" x14ac:dyDescent="0.3">
      <c r="A216" s="88"/>
      <c r="B216" s="87"/>
      <c r="C216" s="87"/>
      <c r="D216" s="87"/>
      <c r="E216" s="87"/>
      <c r="F216" s="88"/>
      <c r="G216" s="87"/>
      <c r="H216" s="88"/>
      <c r="I216" s="88"/>
      <c r="J216" s="378" t="s">
        <v>134</v>
      </c>
      <c r="K216" s="379" t="s">
        <v>135</v>
      </c>
      <c r="L216" s="379"/>
      <c r="M216" s="379"/>
      <c r="N216" s="379"/>
      <c r="O216" s="379" t="s">
        <v>136</v>
      </c>
      <c r="P216" s="379">
        <v>2017</v>
      </c>
      <c r="Q216" s="380" t="s">
        <v>217</v>
      </c>
      <c r="R216" s="381" t="s">
        <v>222</v>
      </c>
      <c r="S216" s="379">
        <v>4.2</v>
      </c>
      <c r="T216" s="379"/>
      <c r="U216" s="379" t="s">
        <v>219</v>
      </c>
      <c r="V216" s="379"/>
      <c r="W216" s="379" t="s">
        <v>149</v>
      </c>
      <c r="X216" s="379">
        <v>2030</v>
      </c>
      <c r="Y216" s="379"/>
      <c r="Z216" s="379" t="str">
        <f>VLOOKUP(R216,KEY_Processes!$B$4:$E$54,4,FALSE)</f>
        <v>T_SOL_03</v>
      </c>
      <c r="AA216" s="379" t="str">
        <f>VLOOKUP(R216,KEY_Processes!$B$4:$E$54,2,FALSE)</f>
        <v>Solar heating</v>
      </c>
      <c r="AB216" s="379" t="str">
        <f>VLOOKUP(U216,KEY_FUELS!$C$4:$D$77,2,FALSE)</f>
        <v>SOL</v>
      </c>
      <c r="AC216" s="379" t="s">
        <v>150</v>
      </c>
      <c r="AD216" s="379" t="s">
        <v>155</v>
      </c>
      <c r="AE216" s="379" t="s">
        <v>152</v>
      </c>
      <c r="AF216" s="382" t="str">
        <f>VLOOKUP(W216,KEY_Other!$B$37:$C$89,2,FALSE)</f>
        <v>DK</v>
      </c>
      <c r="AG216" s="379"/>
      <c r="AH216" s="379" t="str">
        <f>AC216&amp;VLOOKUP(U216,KEY_FUELS!$C$4:$D$78,2,FALSE)</f>
        <v>RSDSOL</v>
      </c>
      <c r="AI216" s="379" t="str">
        <f>IFERROR(AC216&amp;VLOOKUP(V216,KEY_FUELS!$C$4:$D$78,2,FALSE),"")</f>
        <v/>
      </c>
      <c r="AJ216" s="379" t="str">
        <f t="shared" si="69"/>
        <v>RHHSA</v>
      </c>
      <c r="AK216" s="379" t="str">
        <f t="shared" si="70"/>
        <v>RWHSA</v>
      </c>
      <c r="AL216" s="379" t="str">
        <f t="shared" si="71"/>
        <v/>
      </c>
      <c r="AM216" s="380">
        <v>31.536000000000001</v>
      </c>
      <c r="AN216" s="379">
        <f t="shared" si="73"/>
        <v>2030</v>
      </c>
      <c r="AO216" s="383"/>
      <c r="AP216" s="384"/>
      <c r="AQ216" s="386"/>
      <c r="AR216" s="386"/>
      <c r="AS216" s="386"/>
      <c r="AT216" s="386"/>
      <c r="AU216" s="387">
        <v>0</v>
      </c>
      <c r="AV216" s="387">
        <v>0.65</v>
      </c>
      <c r="AW216" s="387"/>
      <c r="AX216" s="388"/>
      <c r="AY216" s="384"/>
      <c r="AZ216" s="388"/>
      <c r="BA216" s="388"/>
      <c r="BB216" s="388"/>
      <c r="BC216" s="392"/>
      <c r="BD216" s="390"/>
      <c r="BE216" s="390"/>
      <c r="BF216" s="379"/>
      <c r="BG216" s="379"/>
      <c r="BH216" s="391"/>
      <c r="BI216" s="379">
        <v>30</v>
      </c>
      <c r="BJ216" s="379"/>
      <c r="BK216" s="388">
        <v>2</v>
      </c>
      <c r="BL216" s="392"/>
      <c r="BM216" s="392"/>
      <c r="BN216" s="392"/>
      <c r="BO216" s="392"/>
      <c r="BP216" s="392"/>
      <c r="BQ216" s="392"/>
      <c r="BR216" s="384">
        <v>69.45</v>
      </c>
      <c r="BS216" s="388">
        <v>0</v>
      </c>
      <c r="BT216" s="380">
        <v>0</v>
      </c>
      <c r="BU216" s="388">
        <v>0</v>
      </c>
      <c r="BV216" s="380">
        <v>0</v>
      </c>
      <c r="BW216" s="380">
        <v>0</v>
      </c>
      <c r="BX216" s="395">
        <v>0</v>
      </c>
    </row>
    <row r="217" spans="1:76" s="226" customFormat="1" x14ac:dyDescent="0.3">
      <c r="A217" s="88"/>
      <c r="B217" s="87"/>
      <c r="C217" s="87"/>
      <c r="D217" s="87"/>
      <c r="E217" s="87"/>
      <c r="F217" s="88"/>
      <c r="G217" s="87"/>
      <c r="H217" s="88"/>
      <c r="I217" s="88"/>
      <c r="J217" s="362" t="s">
        <v>134</v>
      </c>
      <c r="K217" s="363" t="s">
        <v>135</v>
      </c>
      <c r="L217" s="363"/>
      <c r="M217" s="363"/>
      <c r="N217" s="363"/>
      <c r="O217" s="363" t="s">
        <v>136</v>
      </c>
      <c r="P217" s="363">
        <v>2017</v>
      </c>
      <c r="Q217" s="364" t="s">
        <v>217</v>
      </c>
      <c r="R217" s="365" t="s">
        <v>222</v>
      </c>
      <c r="S217" s="363">
        <v>4.2</v>
      </c>
      <c r="T217" s="363"/>
      <c r="U217" s="363" t="s">
        <v>219</v>
      </c>
      <c r="V217" s="363"/>
      <c r="W217" s="363" t="s">
        <v>149</v>
      </c>
      <c r="X217" s="363">
        <v>2050</v>
      </c>
      <c r="Y217" s="363"/>
      <c r="Z217" s="363" t="str">
        <f>VLOOKUP(R217,KEY_Processes!$B$4:$E$54,4,FALSE)</f>
        <v>T_SOL_03</v>
      </c>
      <c r="AA217" s="363" t="str">
        <f>VLOOKUP(R217,KEY_Processes!$B$4:$E$54,2,FALSE)</f>
        <v>Solar heating</v>
      </c>
      <c r="AB217" s="363" t="str">
        <f>VLOOKUP(U217,KEY_FUELS!$C$4:$D$77,2,FALSE)</f>
        <v>SOL</v>
      </c>
      <c r="AC217" s="363" t="s">
        <v>150</v>
      </c>
      <c r="AD217" s="363" t="s">
        <v>155</v>
      </c>
      <c r="AE217" s="363" t="s">
        <v>152</v>
      </c>
      <c r="AF217" s="366" t="str">
        <f>VLOOKUP(W217,KEY_Other!$B$37:$C$89,2,FALSE)</f>
        <v>DK</v>
      </c>
      <c r="AG217" s="363"/>
      <c r="AH217" s="363" t="str">
        <f>AC217&amp;VLOOKUP(U217,KEY_FUELS!$C$4:$D$78,2,FALSE)</f>
        <v>RSDSOL</v>
      </c>
      <c r="AI217" s="363" t="str">
        <f>IFERROR(AC217&amp;VLOOKUP(V217,KEY_FUELS!$C$4:$D$78,2,FALSE),"")</f>
        <v/>
      </c>
      <c r="AJ217" s="363" t="str">
        <f t="shared" si="69"/>
        <v>RHHSA</v>
      </c>
      <c r="AK217" s="363" t="str">
        <f t="shared" si="70"/>
        <v>RWHSA</v>
      </c>
      <c r="AL217" s="363" t="str">
        <f t="shared" si="71"/>
        <v/>
      </c>
      <c r="AM217" s="364">
        <v>31.536000000000001</v>
      </c>
      <c r="AN217" s="363">
        <f t="shared" si="73"/>
        <v>2050</v>
      </c>
      <c r="AO217" s="367"/>
      <c r="AP217" s="368"/>
      <c r="AQ217" s="370"/>
      <c r="AR217" s="370"/>
      <c r="AS217" s="370"/>
      <c r="AT217" s="370"/>
      <c r="AU217" s="371">
        <v>0</v>
      </c>
      <c r="AV217" s="371">
        <v>0.65</v>
      </c>
      <c r="AW217" s="371"/>
      <c r="AX217" s="372"/>
      <c r="AY217" s="368"/>
      <c r="AZ217" s="372"/>
      <c r="BA217" s="372"/>
      <c r="BB217" s="372"/>
      <c r="BC217" s="376"/>
      <c r="BD217" s="374"/>
      <c r="BE217" s="374"/>
      <c r="BF217" s="363"/>
      <c r="BG217" s="363"/>
      <c r="BH217" s="375"/>
      <c r="BI217" s="363">
        <v>30</v>
      </c>
      <c r="BJ217" s="363"/>
      <c r="BK217" s="372">
        <v>2</v>
      </c>
      <c r="BL217" s="376"/>
      <c r="BM217" s="376"/>
      <c r="BN217" s="376"/>
      <c r="BO217" s="376"/>
      <c r="BP217" s="376"/>
      <c r="BQ217" s="376"/>
      <c r="BR217" s="368">
        <v>63</v>
      </c>
      <c r="BS217" s="372">
        <v>0</v>
      </c>
      <c r="BT217" s="364">
        <v>0</v>
      </c>
      <c r="BU217" s="372">
        <v>0</v>
      </c>
      <c r="BV217" s="364">
        <v>0</v>
      </c>
      <c r="BW217" s="364">
        <v>0</v>
      </c>
      <c r="BX217" s="397">
        <v>0</v>
      </c>
    </row>
    <row r="218" spans="1:76" s="226" customFormat="1" x14ac:dyDescent="0.3">
      <c r="A218" s="88"/>
      <c r="B218" s="87"/>
      <c r="C218" s="87"/>
      <c r="D218" s="87"/>
      <c r="E218" s="87"/>
      <c r="F218" s="88"/>
      <c r="G218" s="87"/>
      <c r="H218" s="88"/>
      <c r="I218" s="88"/>
      <c r="J218" s="378" t="s">
        <v>134</v>
      </c>
      <c r="K218" s="379" t="s">
        <v>135</v>
      </c>
      <c r="L218" s="379"/>
      <c r="M218" s="379"/>
      <c r="N218" s="379"/>
      <c r="O218" s="379" t="s">
        <v>136</v>
      </c>
      <c r="P218" s="379">
        <v>2017</v>
      </c>
      <c r="Q218" s="380" t="s">
        <v>217</v>
      </c>
      <c r="R218" s="381" t="s">
        <v>223</v>
      </c>
      <c r="S218" s="379">
        <v>140</v>
      </c>
      <c r="T218" s="379"/>
      <c r="U218" s="379" t="s">
        <v>219</v>
      </c>
      <c r="V218" s="379"/>
      <c r="W218" s="379" t="s">
        <v>149</v>
      </c>
      <c r="X218" s="379">
        <v>2015</v>
      </c>
      <c r="Y218" s="379"/>
      <c r="Z218" s="379" t="str">
        <f>VLOOKUP(R218,KEY_Processes!$B$4:$E$54,4,FALSE)</f>
        <v>T_SOL_04</v>
      </c>
      <c r="AA218" s="379" t="str">
        <f>VLOOKUP(R218,KEY_Processes!$B$4:$E$54,2,FALSE)</f>
        <v>Solar heating</v>
      </c>
      <c r="AB218" s="379" t="str">
        <f>VLOOKUP(U218,KEY_FUELS!$C$4:$D$77,2,FALSE)</f>
        <v>SOL</v>
      </c>
      <c r="AC218" s="379" t="s">
        <v>150</v>
      </c>
      <c r="AD218" s="379" t="s">
        <v>158</v>
      </c>
      <c r="AE218" s="379" t="s">
        <v>152</v>
      </c>
      <c r="AF218" s="382" t="str">
        <f>VLOOKUP(W218,KEY_Other!$B$37:$C$89,2,FALSE)</f>
        <v>DK</v>
      </c>
      <c r="AG218" s="379"/>
      <c r="AH218" s="379" t="str">
        <f>AC218&amp;VLOOKUP(U218,KEY_FUELS!$C$4:$D$78,2,FALSE)</f>
        <v>RSDSOL</v>
      </c>
      <c r="AI218" s="379" t="str">
        <f>IFERROR(AC218&amp;VLOOKUP(V218,KEY_FUELS!$C$4:$D$78,2,FALSE),"")</f>
        <v/>
      </c>
      <c r="AJ218" s="379" t="str">
        <f t="shared" si="69"/>
        <v>RHAPC</v>
      </c>
      <c r="AK218" s="379" t="str">
        <f t="shared" si="70"/>
        <v>RWAPC</v>
      </c>
      <c r="AL218" s="379" t="str">
        <f t="shared" si="71"/>
        <v/>
      </c>
      <c r="AM218" s="380">
        <v>31.536000000000001</v>
      </c>
      <c r="AN218" s="379">
        <f t="shared" si="73"/>
        <v>2015</v>
      </c>
      <c r="AO218" s="383"/>
      <c r="AP218" s="384"/>
      <c r="AQ218" s="386"/>
      <c r="AR218" s="386"/>
      <c r="AS218" s="386"/>
      <c r="AT218" s="386"/>
      <c r="AU218" s="387">
        <v>0</v>
      </c>
      <c r="AV218" s="387">
        <v>0.65</v>
      </c>
      <c r="AW218" s="387"/>
      <c r="AX218" s="388"/>
      <c r="AY218" s="384"/>
      <c r="AZ218" s="388"/>
      <c r="BA218" s="388"/>
      <c r="BB218" s="388"/>
      <c r="BC218" s="392"/>
      <c r="BD218" s="390"/>
      <c r="BE218" s="390"/>
      <c r="BF218" s="379"/>
      <c r="BG218" s="379"/>
      <c r="BH218" s="391"/>
      <c r="BI218" s="379">
        <v>20</v>
      </c>
      <c r="BJ218" s="379"/>
      <c r="BK218" s="388">
        <v>85.90604026845638</v>
      </c>
      <c r="BL218" s="392"/>
      <c r="BM218" s="392"/>
      <c r="BN218" s="392"/>
      <c r="BO218" s="392"/>
      <c r="BP218" s="392"/>
      <c r="BQ218" s="392"/>
      <c r="BR218" s="384">
        <v>389</v>
      </c>
      <c r="BS218" s="388">
        <v>0</v>
      </c>
      <c r="BT218" s="380">
        <v>0</v>
      </c>
      <c r="BU218" s="388">
        <v>0</v>
      </c>
      <c r="BV218" s="380">
        <v>0</v>
      </c>
      <c r="BW218" s="380">
        <v>0</v>
      </c>
      <c r="BX218" s="395">
        <v>0</v>
      </c>
    </row>
    <row r="219" spans="1:76" s="226" customFormat="1" x14ac:dyDescent="0.3">
      <c r="A219" s="88"/>
      <c r="B219" s="87"/>
      <c r="C219" s="87"/>
      <c r="D219" s="87"/>
      <c r="E219" s="87"/>
      <c r="F219" s="88"/>
      <c r="G219" s="87"/>
      <c r="H219" s="88"/>
      <c r="I219" s="88"/>
      <c r="J219" s="362" t="s">
        <v>134</v>
      </c>
      <c r="K219" s="363" t="s">
        <v>135</v>
      </c>
      <c r="L219" s="363"/>
      <c r="M219" s="363"/>
      <c r="N219" s="363"/>
      <c r="O219" s="363" t="s">
        <v>136</v>
      </c>
      <c r="P219" s="363">
        <v>2017</v>
      </c>
      <c r="Q219" s="364" t="s">
        <v>217</v>
      </c>
      <c r="R219" s="365" t="s">
        <v>223</v>
      </c>
      <c r="S219" s="363">
        <v>140</v>
      </c>
      <c r="T219" s="363"/>
      <c r="U219" s="363" t="s">
        <v>219</v>
      </c>
      <c r="V219" s="363"/>
      <c r="W219" s="363" t="s">
        <v>149</v>
      </c>
      <c r="X219" s="363">
        <v>2020</v>
      </c>
      <c r="Y219" s="363"/>
      <c r="Z219" s="363" t="str">
        <f>VLOOKUP(R219,KEY_Processes!$B$4:$E$54,4,FALSE)</f>
        <v>T_SOL_04</v>
      </c>
      <c r="AA219" s="363" t="str">
        <f>VLOOKUP(R219,KEY_Processes!$B$4:$E$54,2,FALSE)</f>
        <v>Solar heating</v>
      </c>
      <c r="AB219" s="363" t="str">
        <f>VLOOKUP(U219,KEY_FUELS!$C$4:$D$77,2,FALSE)</f>
        <v>SOL</v>
      </c>
      <c r="AC219" s="363" t="s">
        <v>150</v>
      </c>
      <c r="AD219" s="363" t="s">
        <v>158</v>
      </c>
      <c r="AE219" s="363" t="s">
        <v>152</v>
      </c>
      <c r="AF219" s="366" t="str">
        <f>VLOOKUP(W219,KEY_Other!$B$37:$C$89,2,FALSE)</f>
        <v>DK</v>
      </c>
      <c r="AG219" s="363"/>
      <c r="AH219" s="363" t="str">
        <f>AC219&amp;VLOOKUP(U219,KEY_FUELS!$C$4:$D$78,2,FALSE)</f>
        <v>RSDSOL</v>
      </c>
      <c r="AI219" s="363" t="str">
        <f>IFERROR(AC219&amp;VLOOKUP(V219,KEY_FUELS!$C$4:$D$78,2,FALSE),"")</f>
        <v/>
      </c>
      <c r="AJ219" s="363" t="str">
        <f t="shared" si="69"/>
        <v>RHAPC</v>
      </c>
      <c r="AK219" s="363" t="str">
        <f t="shared" si="70"/>
        <v>RWAPC</v>
      </c>
      <c r="AL219" s="363" t="str">
        <f t="shared" si="71"/>
        <v/>
      </c>
      <c r="AM219" s="364">
        <v>31.536000000000001</v>
      </c>
      <c r="AN219" s="363">
        <f t="shared" si="73"/>
        <v>2020</v>
      </c>
      <c r="AO219" s="367"/>
      <c r="AP219" s="368"/>
      <c r="AQ219" s="370"/>
      <c r="AR219" s="370"/>
      <c r="AS219" s="370"/>
      <c r="AT219" s="370"/>
      <c r="AU219" s="371">
        <v>0</v>
      </c>
      <c r="AV219" s="371">
        <v>0.65</v>
      </c>
      <c r="AW219" s="371"/>
      <c r="AX219" s="372"/>
      <c r="AY219" s="368"/>
      <c r="AZ219" s="372"/>
      <c r="BA219" s="372"/>
      <c r="BB219" s="372"/>
      <c r="BC219" s="376"/>
      <c r="BD219" s="374"/>
      <c r="BE219" s="374"/>
      <c r="BF219" s="363"/>
      <c r="BG219" s="363"/>
      <c r="BH219" s="375"/>
      <c r="BI219" s="363">
        <v>25</v>
      </c>
      <c r="BJ219" s="363"/>
      <c r="BK219" s="372">
        <v>81</v>
      </c>
      <c r="BL219" s="376"/>
      <c r="BM219" s="376"/>
      <c r="BN219" s="376"/>
      <c r="BO219" s="376"/>
      <c r="BP219" s="376"/>
      <c r="BQ219" s="376"/>
      <c r="BR219" s="368">
        <v>388</v>
      </c>
      <c r="BS219" s="372">
        <v>0</v>
      </c>
      <c r="BT219" s="364">
        <v>0</v>
      </c>
      <c r="BU219" s="372">
        <v>0</v>
      </c>
      <c r="BV219" s="364">
        <v>0</v>
      </c>
      <c r="BW219" s="364">
        <v>0</v>
      </c>
      <c r="BX219" s="397">
        <v>0</v>
      </c>
    </row>
    <row r="220" spans="1:76" s="226" customFormat="1" x14ac:dyDescent="0.3">
      <c r="A220" s="88"/>
      <c r="B220" s="87"/>
      <c r="C220" s="87"/>
      <c r="D220" s="87"/>
      <c r="E220" s="87"/>
      <c r="F220" s="88"/>
      <c r="G220" s="87"/>
      <c r="H220" s="88"/>
      <c r="I220" s="88"/>
      <c r="J220" s="378" t="s">
        <v>134</v>
      </c>
      <c r="K220" s="379" t="s">
        <v>135</v>
      </c>
      <c r="L220" s="379"/>
      <c r="M220" s="379"/>
      <c r="N220" s="379"/>
      <c r="O220" s="379" t="s">
        <v>136</v>
      </c>
      <c r="P220" s="379">
        <v>2017</v>
      </c>
      <c r="Q220" s="380" t="s">
        <v>217</v>
      </c>
      <c r="R220" s="381" t="s">
        <v>223</v>
      </c>
      <c r="S220" s="379">
        <v>140</v>
      </c>
      <c r="T220" s="379"/>
      <c r="U220" s="379" t="s">
        <v>219</v>
      </c>
      <c r="V220" s="379"/>
      <c r="W220" s="379" t="s">
        <v>149</v>
      </c>
      <c r="X220" s="379">
        <v>2030</v>
      </c>
      <c r="Y220" s="379"/>
      <c r="Z220" s="379" t="str">
        <f>VLOOKUP(R220,KEY_Processes!$B$4:$E$54,4,FALSE)</f>
        <v>T_SOL_04</v>
      </c>
      <c r="AA220" s="379" t="str">
        <f>VLOOKUP(R220,KEY_Processes!$B$4:$E$54,2,FALSE)</f>
        <v>Solar heating</v>
      </c>
      <c r="AB220" s="379" t="str">
        <f>VLOOKUP(U220,KEY_FUELS!$C$4:$D$77,2,FALSE)</f>
        <v>SOL</v>
      </c>
      <c r="AC220" s="379" t="s">
        <v>150</v>
      </c>
      <c r="AD220" s="379" t="s">
        <v>158</v>
      </c>
      <c r="AE220" s="379" t="s">
        <v>152</v>
      </c>
      <c r="AF220" s="382" t="str">
        <f>VLOOKUP(W220,KEY_Other!$B$37:$C$89,2,FALSE)</f>
        <v>DK</v>
      </c>
      <c r="AG220" s="379"/>
      <c r="AH220" s="379" t="str">
        <f>AC220&amp;VLOOKUP(U220,KEY_FUELS!$C$4:$D$78,2,FALSE)</f>
        <v>RSDSOL</v>
      </c>
      <c r="AI220" s="379" t="str">
        <f>IFERROR(AC220&amp;VLOOKUP(V220,KEY_FUELS!$C$4:$D$78,2,FALSE),"")</f>
        <v/>
      </c>
      <c r="AJ220" s="379" t="str">
        <f t="shared" si="69"/>
        <v>RHAPC</v>
      </c>
      <c r="AK220" s="379" t="str">
        <f t="shared" si="70"/>
        <v>RWAPC</v>
      </c>
      <c r="AL220" s="379" t="str">
        <f t="shared" si="71"/>
        <v/>
      </c>
      <c r="AM220" s="380">
        <v>31.536000000000001</v>
      </c>
      <c r="AN220" s="379">
        <f t="shared" si="73"/>
        <v>2030</v>
      </c>
      <c r="AO220" s="383"/>
      <c r="AP220" s="384"/>
      <c r="AQ220" s="386"/>
      <c r="AR220" s="386"/>
      <c r="AS220" s="386"/>
      <c r="AT220" s="386"/>
      <c r="AU220" s="387">
        <v>0</v>
      </c>
      <c r="AV220" s="387">
        <v>0.65</v>
      </c>
      <c r="AW220" s="387"/>
      <c r="AX220" s="388"/>
      <c r="AY220" s="384"/>
      <c r="AZ220" s="388"/>
      <c r="BA220" s="388"/>
      <c r="BB220" s="388"/>
      <c r="BC220" s="392"/>
      <c r="BD220" s="390"/>
      <c r="BE220" s="390"/>
      <c r="BF220" s="379"/>
      <c r="BG220" s="379"/>
      <c r="BH220" s="391"/>
      <c r="BI220" s="379">
        <v>30</v>
      </c>
      <c r="BJ220" s="379"/>
      <c r="BK220" s="388">
        <v>74</v>
      </c>
      <c r="BL220" s="392"/>
      <c r="BM220" s="392"/>
      <c r="BN220" s="392"/>
      <c r="BO220" s="392"/>
      <c r="BP220" s="392"/>
      <c r="BQ220" s="392"/>
      <c r="BR220" s="384">
        <v>438</v>
      </c>
      <c r="BS220" s="388">
        <v>0</v>
      </c>
      <c r="BT220" s="380">
        <v>0</v>
      </c>
      <c r="BU220" s="388">
        <v>0</v>
      </c>
      <c r="BV220" s="380">
        <v>0</v>
      </c>
      <c r="BW220" s="380">
        <v>0</v>
      </c>
      <c r="BX220" s="395">
        <v>0</v>
      </c>
    </row>
    <row r="221" spans="1:76" s="226" customFormat="1" x14ac:dyDescent="0.3">
      <c r="A221" s="88"/>
      <c r="B221" s="87"/>
      <c r="C221" s="87"/>
      <c r="D221" s="87"/>
      <c r="E221" s="87"/>
      <c r="F221" s="88"/>
      <c r="G221" s="87"/>
      <c r="H221" s="88"/>
      <c r="I221" s="88"/>
      <c r="J221" s="362" t="s">
        <v>134</v>
      </c>
      <c r="K221" s="363" t="s">
        <v>135</v>
      </c>
      <c r="L221" s="363"/>
      <c r="M221" s="363"/>
      <c r="N221" s="363"/>
      <c r="O221" s="363" t="s">
        <v>136</v>
      </c>
      <c r="P221" s="363">
        <v>2017</v>
      </c>
      <c r="Q221" s="364" t="s">
        <v>217</v>
      </c>
      <c r="R221" s="365" t="s">
        <v>223</v>
      </c>
      <c r="S221" s="363">
        <v>140</v>
      </c>
      <c r="T221" s="363"/>
      <c r="U221" s="363" t="s">
        <v>219</v>
      </c>
      <c r="V221" s="363"/>
      <c r="W221" s="363" t="s">
        <v>149</v>
      </c>
      <c r="X221" s="363">
        <v>2050</v>
      </c>
      <c r="Y221" s="363"/>
      <c r="Z221" s="363" t="str">
        <f>VLOOKUP(R221,KEY_Processes!$B$4:$E$54,4,FALSE)</f>
        <v>T_SOL_04</v>
      </c>
      <c r="AA221" s="363" t="str">
        <f>VLOOKUP(R221,KEY_Processes!$B$4:$E$54,2,FALSE)</f>
        <v>Solar heating</v>
      </c>
      <c r="AB221" s="363" t="str">
        <f>VLOOKUP(U221,KEY_FUELS!$C$4:$D$77,2,FALSE)</f>
        <v>SOL</v>
      </c>
      <c r="AC221" s="363" t="s">
        <v>150</v>
      </c>
      <c r="AD221" s="363" t="s">
        <v>158</v>
      </c>
      <c r="AE221" s="363" t="s">
        <v>152</v>
      </c>
      <c r="AF221" s="366" t="str">
        <f>VLOOKUP(W221,KEY_Other!$B$37:$C$89,2,FALSE)</f>
        <v>DK</v>
      </c>
      <c r="AG221" s="363"/>
      <c r="AH221" s="363" t="str">
        <f>AC221&amp;VLOOKUP(U221,KEY_FUELS!$C$4:$D$78,2,FALSE)</f>
        <v>RSDSOL</v>
      </c>
      <c r="AI221" s="363" t="str">
        <f>IFERROR(AC221&amp;VLOOKUP(V221,KEY_FUELS!$C$4:$D$78,2,FALSE),"")</f>
        <v/>
      </c>
      <c r="AJ221" s="363" t="str">
        <f t="shared" si="69"/>
        <v>RHAPC</v>
      </c>
      <c r="AK221" s="363" t="str">
        <f t="shared" si="70"/>
        <v>RWAPC</v>
      </c>
      <c r="AL221" s="363" t="str">
        <f t="shared" si="71"/>
        <v/>
      </c>
      <c r="AM221" s="364">
        <v>31.536000000000001</v>
      </c>
      <c r="AN221" s="363">
        <f t="shared" si="73"/>
        <v>2050</v>
      </c>
      <c r="AO221" s="367"/>
      <c r="AP221" s="368"/>
      <c r="AQ221" s="370"/>
      <c r="AR221" s="370"/>
      <c r="AS221" s="370"/>
      <c r="AT221" s="370"/>
      <c r="AU221" s="371">
        <v>0</v>
      </c>
      <c r="AV221" s="371">
        <v>0.65</v>
      </c>
      <c r="AW221" s="371"/>
      <c r="AX221" s="372"/>
      <c r="AY221" s="368"/>
      <c r="AZ221" s="372"/>
      <c r="BA221" s="372"/>
      <c r="BB221" s="372"/>
      <c r="BC221" s="376"/>
      <c r="BD221" s="374"/>
      <c r="BE221" s="374"/>
      <c r="BF221" s="363"/>
      <c r="BG221" s="363"/>
      <c r="BH221" s="375"/>
      <c r="BI221" s="363">
        <v>30</v>
      </c>
      <c r="BJ221" s="363"/>
      <c r="BK221" s="372">
        <v>67</v>
      </c>
      <c r="BL221" s="376"/>
      <c r="BM221" s="376"/>
      <c r="BN221" s="376"/>
      <c r="BO221" s="376"/>
      <c r="BP221" s="376"/>
      <c r="BQ221" s="376"/>
      <c r="BR221" s="368">
        <v>404</v>
      </c>
      <c r="BS221" s="372">
        <v>0</v>
      </c>
      <c r="BT221" s="364">
        <v>0</v>
      </c>
      <c r="BU221" s="372">
        <v>0</v>
      </c>
      <c r="BV221" s="364">
        <v>0</v>
      </c>
      <c r="BW221" s="364">
        <v>0</v>
      </c>
      <c r="BX221" s="397">
        <v>0</v>
      </c>
    </row>
    <row r="222" spans="1:76" s="226" customFormat="1" x14ac:dyDescent="0.3">
      <c r="A222" s="88"/>
      <c r="B222" s="87"/>
      <c r="C222" s="87"/>
      <c r="D222" s="87"/>
      <c r="E222" s="87"/>
      <c r="F222" s="88"/>
      <c r="G222" s="87"/>
      <c r="H222" s="88"/>
      <c r="I222" s="88"/>
      <c r="J222" s="378" t="s">
        <v>134</v>
      </c>
      <c r="K222" s="379" t="s">
        <v>135</v>
      </c>
      <c r="L222" s="379"/>
      <c r="M222" s="379"/>
      <c r="N222" s="379"/>
      <c r="O222" s="379" t="s">
        <v>136</v>
      </c>
      <c r="P222" s="379">
        <v>2017</v>
      </c>
      <c r="Q222" s="380" t="s">
        <v>217</v>
      </c>
      <c r="R222" s="381" t="s">
        <v>224</v>
      </c>
      <c r="S222" s="379">
        <v>140</v>
      </c>
      <c r="T222" s="379"/>
      <c r="U222" s="379" t="s">
        <v>219</v>
      </c>
      <c r="V222" s="379"/>
      <c r="W222" s="379" t="s">
        <v>149</v>
      </c>
      <c r="X222" s="379">
        <v>2015</v>
      </c>
      <c r="Y222" s="379"/>
      <c r="Z222" s="379" t="str">
        <f>VLOOKUP(R222,KEY_Processes!$B$4:$E$54,4,FALSE)</f>
        <v>T_SOL_05</v>
      </c>
      <c r="AA222" s="379" t="str">
        <f>VLOOKUP(R222,KEY_Processes!$B$4:$E$54,2,FALSE)</f>
        <v>Solar heating</v>
      </c>
      <c r="AB222" s="379" t="str">
        <f>VLOOKUP(U222,KEY_FUELS!$C$4:$D$77,2,FALSE)</f>
        <v>SOL</v>
      </c>
      <c r="AC222" s="379" t="s">
        <v>150</v>
      </c>
      <c r="AD222" s="379" t="s">
        <v>161</v>
      </c>
      <c r="AE222" s="379" t="s">
        <v>152</v>
      </c>
      <c r="AF222" s="382" t="str">
        <f>VLOOKUP(W222,KEY_Other!$B$37:$C$89,2,FALSE)</f>
        <v>DK</v>
      </c>
      <c r="AG222" s="379"/>
      <c r="AH222" s="379" t="str">
        <f>AC222&amp;VLOOKUP(U222,KEY_FUELS!$C$4:$D$78,2,FALSE)</f>
        <v>RSDSOL</v>
      </c>
      <c r="AI222" s="379" t="str">
        <f>IFERROR(AC222&amp;VLOOKUP(V222,KEY_FUELS!$C$4:$D$78,2,FALSE),"")</f>
        <v/>
      </c>
      <c r="AJ222" s="379" t="str">
        <f t="shared" si="69"/>
        <v>RHAPA</v>
      </c>
      <c r="AK222" s="379" t="str">
        <f t="shared" si="70"/>
        <v>RWAPA</v>
      </c>
      <c r="AL222" s="379" t="str">
        <f t="shared" si="71"/>
        <v/>
      </c>
      <c r="AM222" s="380">
        <v>31.536000000000001</v>
      </c>
      <c r="AN222" s="379">
        <f t="shared" si="73"/>
        <v>2015</v>
      </c>
      <c r="AO222" s="383"/>
      <c r="AP222" s="384"/>
      <c r="AQ222" s="386"/>
      <c r="AR222" s="386"/>
      <c r="AS222" s="386"/>
      <c r="AT222" s="386"/>
      <c r="AU222" s="387">
        <v>0</v>
      </c>
      <c r="AV222" s="387">
        <v>0.65</v>
      </c>
      <c r="AW222" s="387"/>
      <c r="AX222" s="388"/>
      <c r="AY222" s="384"/>
      <c r="AZ222" s="388"/>
      <c r="BA222" s="388"/>
      <c r="BB222" s="388"/>
      <c r="BC222" s="392"/>
      <c r="BD222" s="390"/>
      <c r="BE222" s="390"/>
      <c r="BF222" s="379"/>
      <c r="BG222" s="379"/>
      <c r="BH222" s="391"/>
      <c r="BI222" s="379">
        <v>20</v>
      </c>
      <c r="BJ222" s="379"/>
      <c r="BK222" s="388">
        <v>80.53691275167786</v>
      </c>
      <c r="BL222" s="392"/>
      <c r="BM222" s="392"/>
      <c r="BN222" s="392"/>
      <c r="BO222" s="392"/>
      <c r="BP222" s="392"/>
      <c r="BQ222" s="392"/>
      <c r="BR222" s="384">
        <v>389</v>
      </c>
      <c r="BS222" s="388">
        <v>0</v>
      </c>
      <c r="BT222" s="380">
        <v>0</v>
      </c>
      <c r="BU222" s="388">
        <v>0</v>
      </c>
      <c r="BV222" s="380">
        <v>0</v>
      </c>
      <c r="BW222" s="380">
        <v>0</v>
      </c>
      <c r="BX222" s="395">
        <v>0</v>
      </c>
    </row>
    <row r="223" spans="1:76" s="226" customFormat="1" x14ac:dyDescent="0.3">
      <c r="A223" s="88"/>
      <c r="B223" s="87"/>
      <c r="C223" s="87"/>
      <c r="D223" s="87"/>
      <c r="E223" s="87"/>
      <c r="F223" s="88"/>
      <c r="G223" s="87"/>
      <c r="H223" s="88"/>
      <c r="I223" s="88"/>
      <c r="J223" s="362" t="s">
        <v>134</v>
      </c>
      <c r="K223" s="363" t="s">
        <v>135</v>
      </c>
      <c r="L223" s="363"/>
      <c r="M223" s="363"/>
      <c r="N223" s="363"/>
      <c r="O223" s="363" t="s">
        <v>136</v>
      </c>
      <c r="P223" s="363">
        <v>2017</v>
      </c>
      <c r="Q223" s="364" t="s">
        <v>217</v>
      </c>
      <c r="R223" s="365" t="s">
        <v>224</v>
      </c>
      <c r="S223" s="363">
        <v>140</v>
      </c>
      <c r="T223" s="363"/>
      <c r="U223" s="363" t="s">
        <v>219</v>
      </c>
      <c r="V223" s="363"/>
      <c r="W223" s="363" t="s">
        <v>149</v>
      </c>
      <c r="X223" s="363">
        <v>2020</v>
      </c>
      <c r="Y223" s="363"/>
      <c r="Z223" s="363" t="str">
        <f>VLOOKUP(R223,KEY_Processes!$B$4:$E$54,4,FALSE)</f>
        <v>T_SOL_05</v>
      </c>
      <c r="AA223" s="363" t="str">
        <f>VLOOKUP(R223,KEY_Processes!$B$4:$E$54,2,FALSE)</f>
        <v>Solar heating</v>
      </c>
      <c r="AB223" s="363" t="str">
        <f>VLOOKUP(U223,KEY_FUELS!$C$4:$D$77,2,FALSE)</f>
        <v>SOL</v>
      </c>
      <c r="AC223" s="363" t="s">
        <v>150</v>
      </c>
      <c r="AD223" s="363" t="s">
        <v>161</v>
      </c>
      <c r="AE223" s="363" t="s">
        <v>152</v>
      </c>
      <c r="AF223" s="366" t="str">
        <f>VLOOKUP(W223,KEY_Other!$B$37:$C$89,2,FALSE)</f>
        <v>DK</v>
      </c>
      <c r="AG223" s="363"/>
      <c r="AH223" s="363" t="str">
        <f>AC223&amp;VLOOKUP(U223,KEY_FUELS!$C$4:$D$78,2,FALSE)</f>
        <v>RSDSOL</v>
      </c>
      <c r="AI223" s="363" t="str">
        <f>IFERROR(AC223&amp;VLOOKUP(V223,KEY_FUELS!$C$4:$D$78,2,FALSE),"")</f>
        <v/>
      </c>
      <c r="AJ223" s="363" t="str">
        <f t="shared" si="69"/>
        <v>RHAPA</v>
      </c>
      <c r="AK223" s="363" t="str">
        <f t="shared" si="70"/>
        <v>RWAPA</v>
      </c>
      <c r="AL223" s="363" t="str">
        <f t="shared" si="71"/>
        <v/>
      </c>
      <c r="AM223" s="364">
        <v>31.536000000000001</v>
      </c>
      <c r="AN223" s="363">
        <f t="shared" si="73"/>
        <v>2020</v>
      </c>
      <c r="AO223" s="367"/>
      <c r="AP223" s="368"/>
      <c r="AQ223" s="370"/>
      <c r="AR223" s="370"/>
      <c r="AS223" s="370"/>
      <c r="AT223" s="370"/>
      <c r="AU223" s="371">
        <v>0</v>
      </c>
      <c r="AV223" s="371">
        <v>0.65</v>
      </c>
      <c r="AW223" s="371"/>
      <c r="AX223" s="372"/>
      <c r="AY223" s="368"/>
      <c r="AZ223" s="372"/>
      <c r="BA223" s="372"/>
      <c r="BB223" s="372"/>
      <c r="BC223" s="376"/>
      <c r="BD223" s="374"/>
      <c r="BE223" s="374"/>
      <c r="BF223" s="363"/>
      <c r="BG223" s="363"/>
      <c r="BH223" s="375"/>
      <c r="BI223" s="363">
        <v>25</v>
      </c>
      <c r="BJ223" s="363"/>
      <c r="BK223" s="372">
        <v>74</v>
      </c>
      <c r="BL223" s="376"/>
      <c r="BM223" s="376"/>
      <c r="BN223" s="376"/>
      <c r="BO223" s="376"/>
      <c r="BP223" s="376"/>
      <c r="BQ223" s="376"/>
      <c r="BR223" s="368">
        <v>388</v>
      </c>
      <c r="BS223" s="372">
        <v>0</v>
      </c>
      <c r="BT223" s="364">
        <v>0</v>
      </c>
      <c r="BU223" s="372">
        <v>0</v>
      </c>
      <c r="BV223" s="364">
        <v>0</v>
      </c>
      <c r="BW223" s="364">
        <v>0</v>
      </c>
      <c r="BX223" s="397">
        <v>0</v>
      </c>
    </row>
    <row r="224" spans="1:76" s="226" customFormat="1" x14ac:dyDescent="0.3">
      <c r="A224" s="88"/>
      <c r="B224" s="87"/>
      <c r="C224" s="87"/>
      <c r="D224" s="87"/>
      <c r="E224" s="87"/>
      <c r="F224" s="88"/>
      <c r="G224" s="87"/>
      <c r="H224" s="88"/>
      <c r="I224" s="88"/>
      <c r="J224" s="378" t="s">
        <v>134</v>
      </c>
      <c r="K224" s="379" t="s">
        <v>135</v>
      </c>
      <c r="L224" s="379"/>
      <c r="M224" s="379"/>
      <c r="N224" s="379"/>
      <c r="O224" s="379" t="s">
        <v>136</v>
      </c>
      <c r="P224" s="379">
        <v>2017</v>
      </c>
      <c r="Q224" s="380" t="s">
        <v>217</v>
      </c>
      <c r="R224" s="381" t="s">
        <v>224</v>
      </c>
      <c r="S224" s="379">
        <v>140</v>
      </c>
      <c r="T224" s="379"/>
      <c r="U224" s="379" t="s">
        <v>219</v>
      </c>
      <c r="V224" s="379"/>
      <c r="W224" s="379" t="s">
        <v>149</v>
      </c>
      <c r="X224" s="379">
        <v>2030</v>
      </c>
      <c r="Y224" s="379"/>
      <c r="Z224" s="379" t="str">
        <f>VLOOKUP(R224,KEY_Processes!$B$4:$E$54,4,FALSE)</f>
        <v>T_SOL_05</v>
      </c>
      <c r="AA224" s="379" t="str">
        <f>VLOOKUP(R224,KEY_Processes!$B$4:$E$54,2,FALSE)</f>
        <v>Solar heating</v>
      </c>
      <c r="AB224" s="379" t="str">
        <f>VLOOKUP(U224,KEY_FUELS!$C$4:$D$77,2,FALSE)</f>
        <v>SOL</v>
      </c>
      <c r="AC224" s="379" t="s">
        <v>150</v>
      </c>
      <c r="AD224" s="379" t="s">
        <v>161</v>
      </c>
      <c r="AE224" s="379" t="s">
        <v>152</v>
      </c>
      <c r="AF224" s="382" t="str">
        <f>VLOOKUP(W224,KEY_Other!$B$37:$C$89,2,FALSE)</f>
        <v>DK</v>
      </c>
      <c r="AG224" s="379"/>
      <c r="AH224" s="379" t="str">
        <f>AC224&amp;VLOOKUP(U224,KEY_FUELS!$C$4:$D$78,2,FALSE)</f>
        <v>RSDSOL</v>
      </c>
      <c r="AI224" s="379" t="str">
        <f>IFERROR(AC224&amp;VLOOKUP(V224,KEY_FUELS!$C$4:$D$78,2,FALSE),"")</f>
        <v/>
      </c>
      <c r="AJ224" s="379" t="str">
        <f t="shared" si="69"/>
        <v>RHAPA</v>
      </c>
      <c r="AK224" s="379" t="str">
        <f t="shared" si="70"/>
        <v>RWAPA</v>
      </c>
      <c r="AL224" s="379" t="str">
        <f t="shared" si="71"/>
        <v/>
      </c>
      <c r="AM224" s="380">
        <v>31.536000000000001</v>
      </c>
      <c r="AN224" s="379">
        <f t="shared" si="73"/>
        <v>2030</v>
      </c>
      <c r="AO224" s="383"/>
      <c r="AP224" s="384"/>
      <c r="AQ224" s="386"/>
      <c r="AR224" s="386"/>
      <c r="AS224" s="386"/>
      <c r="AT224" s="386"/>
      <c r="AU224" s="387">
        <v>0</v>
      </c>
      <c r="AV224" s="387">
        <v>0.65</v>
      </c>
      <c r="AW224" s="387"/>
      <c r="AX224" s="388"/>
      <c r="AY224" s="384"/>
      <c r="AZ224" s="388"/>
      <c r="BA224" s="388"/>
      <c r="BB224" s="388"/>
      <c r="BC224" s="392"/>
      <c r="BD224" s="390"/>
      <c r="BE224" s="390"/>
      <c r="BF224" s="379"/>
      <c r="BG224" s="379"/>
      <c r="BH224" s="391"/>
      <c r="BI224" s="379">
        <v>30</v>
      </c>
      <c r="BJ224" s="379"/>
      <c r="BK224" s="388">
        <v>67</v>
      </c>
      <c r="BL224" s="392"/>
      <c r="BM224" s="392"/>
      <c r="BN224" s="392"/>
      <c r="BO224" s="392"/>
      <c r="BP224" s="392"/>
      <c r="BQ224" s="392"/>
      <c r="BR224" s="384">
        <v>438</v>
      </c>
      <c r="BS224" s="388">
        <v>0</v>
      </c>
      <c r="BT224" s="380">
        <v>0</v>
      </c>
      <c r="BU224" s="388">
        <v>0</v>
      </c>
      <c r="BV224" s="380">
        <v>0</v>
      </c>
      <c r="BW224" s="380">
        <v>0</v>
      </c>
      <c r="BX224" s="395">
        <v>0</v>
      </c>
    </row>
    <row r="225" spans="1:76" s="226" customFormat="1" x14ac:dyDescent="0.3">
      <c r="A225" s="88"/>
      <c r="B225" s="87"/>
      <c r="C225" s="87"/>
      <c r="D225" s="87"/>
      <c r="E225" s="87"/>
      <c r="F225" s="88"/>
      <c r="G225" s="87"/>
      <c r="H225" s="88"/>
      <c r="I225" s="88"/>
      <c r="J225" s="362" t="s">
        <v>134</v>
      </c>
      <c r="K225" s="363" t="s">
        <v>135</v>
      </c>
      <c r="L225" s="363"/>
      <c r="M225" s="363"/>
      <c r="N225" s="363"/>
      <c r="O225" s="363" t="s">
        <v>136</v>
      </c>
      <c r="P225" s="363">
        <v>2017</v>
      </c>
      <c r="Q225" s="364" t="s">
        <v>217</v>
      </c>
      <c r="R225" s="365" t="s">
        <v>224</v>
      </c>
      <c r="S225" s="363">
        <v>140</v>
      </c>
      <c r="T225" s="363"/>
      <c r="U225" s="363" t="s">
        <v>219</v>
      </c>
      <c r="V225" s="363"/>
      <c r="W225" s="363" t="s">
        <v>149</v>
      </c>
      <c r="X225" s="363">
        <v>2050</v>
      </c>
      <c r="Y225" s="363"/>
      <c r="Z225" s="363" t="str">
        <f>VLOOKUP(R225,KEY_Processes!$B$4:$E$54,4,FALSE)</f>
        <v>T_SOL_05</v>
      </c>
      <c r="AA225" s="363" t="str">
        <f>VLOOKUP(R225,KEY_Processes!$B$4:$E$54,2,FALSE)</f>
        <v>Solar heating</v>
      </c>
      <c r="AB225" s="363" t="str">
        <f>VLOOKUP(U225,KEY_FUELS!$C$4:$D$77,2,FALSE)</f>
        <v>SOL</v>
      </c>
      <c r="AC225" s="363" t="s">
        <v>150</v>
      </c>
      <c r="AD225" s="363" t="s">
        <v>161</v>
      </c>
      <c r="AE225" s="363" t="s">
        <v>152</v>
      </c>
      <c r="AF225" s="366" t="str">
        <f>VLOOKUP(W225,KEY_Other!$B$37:$C$89,2,FALSE)</f>
        <v>DK</v>
      </c>
      <c r="AG225" s="363"/>
      <c r="AH225" s="363" t="str">
        <f>AC225&amp;VLOOKUP(U225,KEY_FUELS!$C$4:$D$78,2,FALSE)</f>
        <v>RSDSOL</v>
      </c>
      <c r="AI225" s="363" t="str">
        <f>IFERROR(AC225&amp;VLOOKUP(V225,KEY_FUELS!$C$4:$D$78,2,FALSE),"")</f>
        <v/>
      </c>
      <c r="AJ225" s="363" t="str">
        <f t="shared" si="69"/>
        <v>RHAPA</v>
      </c>
      <c r="AK225" s="363" t="str">
        <f t="shared" si="70"/>
        <v>RWAPA</v>
      </c>
      <c r="AL225" s="363" t="str">
        <f t="shared" si="71"/>
        <v/>
      </c>
      <c r="AM225" s="364">
        <v>31.536000000000001</v>
      </c>
      <c r="AN225" s="363">
        <f t="shared" si="73"/>
        <v>2050</v>
      </c>
      <c r="AO225" s="367"/>
      <c r="AP225" s="368"/>
      <c r="AQ225" s="370"/>
      <c r="AR225" s="370"/>
      <c r="AS225" s="370"/>
      <c r="AT225" s="370"/>
      <c r="AU225" s="371">
        <v>0</v>
      </c>
      <c r="AV225" s="371">
        <v>0.65</v>
      </c>
      <c r="AW225" s="371"/>
      <c r="AX225" s="372"/>
      <c r="AY225" s="368"/>
      <c r="AZ225" s="372"/>
      <c r="BA225" s="372"/>
      <c r="BB225" s="372"/>
      <c r="BC225" s="376"/>
      <c r="BD225" s="374"/>
      <c r="BE225" s="374"/>
      <c r="BF225" s="363"/>
      <c r="BG225" s="363"/>
      <c r="BH225" s="375"/>
      <c r="BI225" s="363">
        <v>30</v>
      </c>
      <c r="BJ225" s="363"/>
      <c r="BK225" s="372">
        <v>60</v>
      </c>
      <c r="BL225" s="376"/>
      <c r="BM225" s="376"/>
      <c r="BN225" s="376"/>
      <c r="BO225" s="376"/>
      <c r="BP225" s="376"/>
      <c r="BQ225" s="376"/>
      <c r="BR225" s="368">
        <v>404</v>
      </c>
      <c r="BS225" s="372">
        <v>0</v>
      </c>
      <c r="BT225" s="364">
        <v>0</v>
      </c>
      <c r="BU225" s="372">
        <v>0</v>
      </c>
      <c r="BV225" s="364">
        <v>0</v>
      </c>
      <c r="BW225" s="364">
        <v>0</v>
      </c>
      <c r="BX225" s="397">
        <v>0</v>
      </c>
    </row>
    <row r="226" spans="1:76" s="226" customFormat="1" x14ac:dyDescent="0.3">
      <c r="A226" s="88"/>
      <c r="B226" s="87"/>
      <c r="C226" s="87"/>
      <c r="D226" s="87"/>
      <c r="E226" s="87"/>
      <c r="F226" s="88"/>
      <c r="G226" s="87"/>
      <c r="H226" s="88"/>
      <c r="I226" s="88"/>
      <c r="J226" s="378" t="s">
        <v>134</v>
      </c>
      <c r="K226" s="379" t="s">
        <v>135</v>
      </c>
      <c r="L226" s="379"/>
      <c r="M226" s="379"/>
      <c r="N226" s="379"/>
      <c r="O226" s="379" t="s">
        <v>136</v>
      </c>
      <c r="P226" s="379">
        <v>2017</v>
      </c>
      <c r="Q226" s="380" t="s">
        <v>225</v>
      </c>
      <c r="R226" s="381" t="s">
        <v>226</v>
      </c>
      <c r="S226" s="379">
        <v>3</v>
      </c>
      <c r="T226" s="379"/>
      <c r="U226" s="379" t="s">
        <v>189</v>
      </c>
      <c r="V226" s="379"/>
      <c r="W226" s="379" t="s">
        <v>149</v>
      </c>
      <c r="X226" s="379">
        <v>2015</v>
      </c>
      <c r="Y226" s="379"/>
      <c r="Z226" s="379" t="str">
        <f>VLOOKUP(R226,KEY_Processes!$B$4:$E$54,4,FALSE)</f>
        <v>R_ELC_01</v>
      </c>
      <c r="AA226" s="379" t="str">
        <f>VLOOKUP(R226,KEY_Processes!$B$4:$E$54,2,FALSE)</f>
        <v>Electric heating</v>
      </c>
      <c r="AB226" s="379" t="str">
        <f>VLOOKUP(U226,KEY_FUELS!$C$4:$D$77,2,FALSE)</f>
        <v>ELC</v>
      </c>
      <c r="AC226" s="379" t="s">
        <v>150</v>
      </c>
      <c r="AD226" s="379" t="s">
        <v>155</v>
      </c>
      <c r="AE226" s="379" t="s">
        <v>152</v>
      </c>
      <c r="AF226" s="382" t="str">
        <f>VLOOKUP(W226,KEY_Other!$B$37:$C$89,2,FALSE)</f>
        <v>DK</v>
      </c>
      <c r="AG226" s="379"/>
      <c r="AH226" s="379" t="str">
        <f>AC226&amp;VLOOKUP(U226,KEY_FUELS!$C$4:$D$78,2,FALSE)</f>
        <v>RSDELC</v>
      </c>
      <c r="AI226" s="379" t="str">
        <f>IFERROR(AC226&amp;VLOOKUP(V226,KEY_FUELS!$C$4:$D$78,2,FALSE),"")</f>
        <v/>
      </c>
      <c r="AJ226" s="379" t="str">
        <f t="shared" si="69"/>
        <v>RHHSA</v>
      </c>
      <c r="AK226" s="379" t="str">
        <f t="shared" si="70"/>
        <v>RWHSA</v>
      </c>
      <c r="AL226" s="379" t="str">
        <f t="shared" si="71"/>
        <v/>
      </c>
      <c r="AM226" s="380">
        <v>31.536000000000001</v>
      </c>
      <c r="AN226" s="379">
        <f t="shared" si="73"/>
        <v>2015</v>
      </c>
      <c r="AO226" s="383"/>
      <c r="AP226" s="384"/>
      <c r="AQ226" s="386"/>
      <c r="AR226" s="386"/>
      <c r="AS226" s="386"/>
      <c r="AT226" s="386"/>
      <c r="AU226" s="387">
        <v>1</v>
      </c>
      <c r="AV226" s="387">
        <v>1</v>
      </c>
      <c r="AW226" s="387"/>
      <c r="AX226" s="388"/>
      <c r="AY226" s="384"/>
      <c r="AZ226" s="387">
        <v>1</v>
      </c>
      <c r="BA226" s="387">
        <v>1</v>
      </c>
      <c r="BB226" s="387"/>
      <c r="BC226" s="392"/>
      <c r="BD226" s="392"/>
      <c r="BE226" s="390"/>
      <c r="BF226" s="379"/>
      <c r="BG226" s="379"/>
      <c r="BH226" s="391"/>
      <c r="BI226" s="379">
        <v>30</v>
      </c>
      <c r="BJ226" s="379"/>
      <c r="BK226" s="388">
        <v>3</v>
      </c>
      <c r="BL226" s="392"/>
      <c r="BM226" s="392"/>
      <c r="BN226" s="392"/>
      <c r="BO226" s="392"/>
      <c r="BP226" s="392"/>
      <c r="BQ226" s="392"/>
      <c r="BR226" s="384">
        <v>25</v>
      </c>
      <c r="BS226" s="388">
        <v>0</v>
      </c>
      <c r="BT226" s="380"/>
      <c r="BU226" s="388"/>
      <c r="BV226" s="380"/>
      <c r="BW226" s="380"/>
      <c r="BX226" s="395"/>
    </row>
    <row r="227" spans="1:76" s="226" customFormat="1" x14ac:dyDescent="0.3">
      <c r="A227" s="88"/>
      <c r="B227" s="87"/>
      <c r="C227" s="87"/>
      <c r="D227" s="87"/>
      <c r="E227" s="87"/>
      <c r="F227" s="88"/>
      <c r="G227" s="87"/>
      <c r="H227" s="88"/>
      <c r="I227" s="88"/>
      <c r="J227" s="362" t="s">
        <v>134</v>
      </c>
      <c r="K227" s="363" t="s">
        <v>135</v>
      </c>
      <c r="L227" s="363"/>
      <c r="M227" s="363"/>
      <c r="N227" s="363"/>
      <c r="O227" s="363" t="s">
        <v>136</v>
      </c>
      <c r="P227" s="363">
        <v>2017</v>
      </c>
      <c r="Q227" s="364" t="s">
        <v>225</v>
      </c>
      <c r="R227" s="365" t="s">
        <v>227</v>
      </c>
      <c r="S227" s="363">
        <v>160</v>
      </c>
      <c r="T227" s="363"/>
      <c r="U227" s="363" t="s">
        <v>189</v>
      </c>
      <c r="V227" s="363"/>
      <c r="W227" s="363" t="s">
        <v>149</v>
      </c>
      <c r="X227" s="363">
        <v>2015</v>
      </c>
      <c r="Y227" s="363"/>
      <c r="Z227" s="363" t="str">
        <f>VLOOKUP(R227,KEY_Processes!$B$4:$E$54,4,FALSE)</f>
        <v>R_ELC_02</v>
      </c>
      <c r="AA227" s="363" t="str">
        <f>VLOOKUP(R227,KEY_Processes!$B$4:$E$54,2,FALSE)</f>
        <v>Electric heating</v>
      </c>
      <c r="AB227" s="363" t="str">
        <f>VLOOKUP(U227,KEY_FUELS!$C$4:$D$77,2,FALSE)</f>
        <v>ELC</v>
      </c>
      <c r="AC227" s="363" t="s">
        <v>150</v>
      </c>
      <c r="AD227" s="363" t="s">
        <v>161</v>
      </c>
      <c r="AE227" s="363" t="s">
        <v>152</v>
      </c>
      <c r="AF227" s="366" t="str">
        <f>VLOOKUP(W227,KEY_Other!$B$37:$C$89,2,FALSE)</f>
        <v>DK</v>
      </c>
      <c r="AG227" s="363"/>
      <c r="AH227" s="363" t="str">
        <f>AC227&amp;VLOOKUP(U227,KEY_FUELS!$C$4:$D$78,2,FALSE)</f>
        <v>RSDELC</v>
      </c>
      <c r="AI227" s="363" t="str">
        <f>IFERROR(AC227&amp;VLOOKUP(V227,KEY_FUELS!$C$4:$D$78,2,FALSE),"")</f>
        <v/>
      </c>
      <c r="AJ227" s="363" t="str">
        <f t="shared" si="69"/>
        <v>RHAPA</v>
      </c>
      <c r="AK227" s="363" t="str">
        <f t="shared" si="70"/>
        <v>RWAPA</v>
      </c>
      <c r="AL227" s="363" t="str">
        <f t="shared" si="71"/>
        <v/>
      </c>
      <c r="AM227" s="364">
        <v>31.536000000000001</v>
      </c>
      <c r="AN227" s="363">
        <f t="shared" si="73"/>
        <v>2015</v>
      </c>
      <c r="AO227" s="367"/>
      <c r="AP227" s="368"/>
      <c r="AQ227" s="370"/>
      <c r="AR227" s="370"/>
      <c r="AS227" s="370"/>
      <c r="AT227" s="370"/>
      <c r="AU227" s="371">
        <v>1</v>
      </c>
      <c r="AV227" s="371">
        <v>1</v>
      </c>
      <c r="AW227" s="371"/>
      <c r="AX227" s="372"/>
      <c r="AY227" s="368"/>
      <c r="AZ227" s="371">
        <v>1</v>
      </c>
      <c r="BA227" s="371">
        <v>1</v>
      </c>
      <c r="BB227" s="371"/>
      <c r="BC227" s="376"/>
      <c r="BD227" s="376"/>
      <c r="BE227" s="374"/>
      <c r="BF227" s="363"/>
      <c r="BG227" s="363"/>
      <c r="BH227" s="375"/>
      <c r="BI227" s="363">
        <v>30</v>
      </c>
      <c r="BJ227" s="363"/>
      <c r="BK227" s="372">
        <v>106</v>
      </c>
      <c r="BL227" s="376"/>
      <c r="BM227" s="376"/>
      <c r="BN227" s="376"/>
      <c r="BO227" s="376"/>
      <c r="BP227" s="376"/>
      <c r="BQ227" s="376"/>
      <c r="BR227" s="368">
        <v>50</v>
      </c>
      <c r="BS227" s="372">
        <v>0</v>
      </c>
      <c r="BT227" s="364"/>
      <c r="BU227" s="372"/>
      <c r="BV227" s="364"/>
      <c r="BW227" s="364"/>
      <c r="BX227" s="397"/>
    </row>
    <row r="228" spans="1:76" s="226" customFormat="1" x14ac:dyDescent="0.3">
      <c r="A228" s="88"/>
      <c r="B228" s="87"/>
      <c r="C228" s="87"/>
      <c r="D228" s="87"/>
      <c r="E228" s="87"/>
      <c r="F228" s="88"/>
      <c r="G228" s="87"/>
      <c r="H228" s="88"/>
      <c r="I228" s="88"/>
      <c r="J228" s="378" t="s">
        <v>134</v>
      </c>
      <c r="K228" s="379" t="s">
        <v>135</v>
      </c>
      <c r="L228" s="379"/>
      <c r="M228" s="379"/>
      <c r="N228" s="379"/>
      <c r="O228" s="379" t="s">
        <v>136</v>
      </c>
      <c r="P228" s="379">
        <v>2017</v>
      </c>
      <c r="Q228" s="380" t="s">
        <v>225</v>
      </c>
      <c r="R228" s="381" t="s">
        <v>227</v>
      </c>
      <c r="S228" s="379">
        <v>160</v>
      </c>
      <c r="T228" s="379"/>
      <c r="U228" s="379" t="s">
        <v>189</v>
      </c>
      <c r="V228" s="379"/>
      <c r="W228" s="379" t="s">
        <v>149</v>
      </c>
      <c r="X228" s="379">
        <v>2020</v>
      </c>
      <c r="Y228" s="379"/>
      <c r="Z228" s="379" t="str">
        <f>VLOOKUP(R228,KEY_Processes!$B$4:$E$54,4,FALSE)</f>
        <v>R_ELC_02</v>
      </c>
      <c r="AA228" s="379" t="str">
        <f>VLOOKUP(R228,KEY_Processes!$B$4:$E$54,2,FALSE)</f>
        <v>Electric heating</v>
      </c>
      <c r="AB228" s="379" t="str">
        <f>VLOOKUP(U228,KEY_FUELS!$C$4:$D$77,2,FALSE)</f>
        <v>ELC</v>
      </c>
      <c r="AC228" s="379" t="s">
        <v>150</v>
      </c>
      <c r="AD228" s="379" t="s">
        <v>161</v>
      </c>
      <c r="AE228" s="379" t="s">
        <v>152</v>
      </c>
      <c r="AF228" s="382" t="str">
        <f>VLOOKUP(W228,KEY_Other!$B$37:$C$89,2,FALSE)</f>
        <v>DK</v>
      </c>
      <c r="AG228" s="379"/>
      <c r="AH228" s="379" t="str">
        <f>AC228&amp;VLOOKUP(U228,KEY_FUELS!$C$4:$D$78,2,FALSE)</f>
        <v>RSDELC</v>
      </c>
      <c r="AI228" s="379" t="str">
        <f>IFERROR(AC228&amp;VLOOKUP(V228,KEY_FUELS!$C$4:$D$78,2,FALSE),"")</f>
        <v/>
      </c>
      <c r="AJ228" s="379" t="str">
        <f t="shared" ref="AJ228" si="75">LEFT(AC228,1)&amp;"H"&amp;AD228</f>
        <v>RHAPA</v>
      </c>
      <c r="AK228" s="379" t="str">
        <f t="shared" si="70"/>
        <v>RWAPA</v>
      </c>
      <c r="AL228" s="379" t="str">
        <f t="shared" si="71"/>
        <v/>
      </c>
      <c r="AM228" s="380">
        <v>31.536000000000001</v>
      </c>
      <c r="AN228" s="379">
        <f t="shared" si="73"/>
        <v>2020</v>
      </c>
      <c r="AO228" s="383"/>
      <c r="AP228" s="384"/>
      <c r="AQ228" s="386"/>
      <c r="AR228" s="386"/>
      <c r="AS228" s="386"/>
      <c r="AT228" s="386"/>
      <c r="AU228" s="387">
        <v>1</v>
      </c>
      <c r="AV228" s="387">
        <v>1</v>
      </c>
      <c r="AW228" s="387"/>
      <c r="AX228" s="388"/>
      <c r="AY228" s="384"/>
      <c r="AZ228" s="387">
        <v>1</v>
      </c>
      <c r="BA228" s="387">
        <v>1</v>
      </c>
      <c r="BB228" s="387"/>
      <c r="BC228" s="392"/>
      <c r="BD228" s="392"/>
      <c r="BE228" s="390"/>
      <c r="BF228" s="379"/>
      <c r="BG228" s="379"/>
      <c r="BH228" s="391"/>
      <c r="BI228" s="379">
        <v>30</v>
      </c>
      <c r="BJ228" s="379"/>
      <c r="BK228" s="388">
        <v>103</v>
      </c>
      <c r="BL228" s="392"/>
      <c r="BM228" s="392"/>
      <c r="BN228" s="392"/>
      <c r="BO228" s="392"/>
      <c r="BP228" s="392"/>
      <c r="BQ228" s="392"/>
      <c r="BR228" s="384">
        <v>49</v>
      </c>
      <c r="BS228" s="388">
        <v>0</v>
      </c>
      <c r="BT228" s="380"/>
      <c r="BU228" s="388"/>
      <c r="BV228" s="380"/>
      <c r="BW228" s="380"/>
      <c r="BX228" s="395"/>
    </row>
    <row r="229" spans="1:76" s="226" customFormat="1" x14ac:dyDescent="0.3">
      <c r="A229" s="88"/>
      <c r="B229" s="87"/>
      <c r="C229" s="87"/>
      <c r="D229" s="87"/>
      <c r="E229" s="87"/>
      <c r="F229" s="88"/>
      <c r="G229" s="87"/>
      <c r="H229" s="88"/>
      <c r="I229" s="88"/>
      <c r="J229" s="362" t="s">
        <v>134</v>
      </c>
      <c r="K229" s="363" t="s">
        <v>135</v>
      </c>
      <c r="L229" s="363"/>
      <c r="M229" s="363"/>
      <c r="N229" s="363"/>
      <c r="O229" s="363" t="s">
        <v>136</v>
      </c>
      <c r="P229" s="363">
        <v>2017</v>
      </c>
      <c r="Q229" s="364" t="s">
        <v>225</v>
      </c>
      <c r="R229" s="365" t="s">
        <v>227</v>
      </c>
      <c r="S229" s="363">
        <v>160</v>
      </c>
      <c r="T229" s="363"/>
      <c r="U229" s="363" t="s">
        <v>189</v>
      </c>
      <c r="V229" s="363"/>
      <c r="W229" s="363" t="s">
        <v>149</v>
      </c>
      <c r="X229" s="363">
        <v>2030</v>
      </c>
      <c r="Y229" s="363"/>
      <c r="Z229" s="363" t="str">
        <f>VLOOKUP(R229,KEY_Processes!$B$4:$E$54,4,FALSE)</f>
        <v>R_ELC_02</v>
      </c>
      <c r="AA229" s="363" t="str">
        <f>VLOOKUP(R229,KEY_Processes!$B$4:$E$54,2,FALSE)</f>
        <v>Electric heating</v>
      </c>
      <c r="AB229" s="363" t="str">
        <f>VLOOKUP(U229,KEY_FUELS!$C$4:$D$77,2,FALSE)</f>
        <v>ELC</v>
      </c>
      <c r="AC229" s="363" t="s">
        <v>150</v>
      </c>
      <c r="AD229" s="363" t="s">
        <v>161</v>
      </c>
      <c r="AE229" s="363" t="s">
        <v>152</v>
      </c>
      <c r="AF229" s="366" t="str">
        <f>VLOOKUP(W229,KEY_Other!$B$37:$C$89,2,FALSE)</f>
        <v>DK</v>
      </c>
      <c r="AG229" s="363"/>
      <c r="AH229" s="363" t="str">
        <f>AC229&amp;VLOOKUP(U229,KEY_FUELS!$C$4:$D$78,2,FALSE)</f>
        <v>RSDELC</v>
      </c>
      <c r="AI229" s="363" t="str">
        <f>IFERROR(AC229&amp;VLOOKUP(V229,KEY_FUELS!$C$4:$D$78,2,FALSE),"")</f>
        <v/>
      </c>
      <c r="AJ229" s="363" t="str">
        <f t="shared" si="69"/>
        <v>RHAPA</v>
      </c>
      <c r="AK229" s="363" t="str">
        <f t="shared" si="70"/>
        <v>RWAPA</v>
      </c>
      <c r="AL229" s="363" t="str">
        <f t="shared" si="71"/>
        <v/>
      </c>
      <c r="AM229" s="364">
        <v>31.536000000000001</v>
      </c>
      <c r="AN229" s="363">
        <f t="shared" si="73"/>
        <v>2030</v>
      </c>
      <c r="AO229" s="367"/>
      <c r="AP229" s="368"/>
      <c r="AQ229" s="370"/>
      <c r="AR229" s="370"/>
      <c r="AS229" s="370"/>
      <c r="AT229" s="370"/>
      <c r="AU229" s="371">
        <v>1</v>
      </c>
      <c r="AV229" s="371">
        <v>1</v>
      </c>
      <c r="AW229" s="371"/>
      <c r="AX229" s="372"/>
      <c r="AY229" s="368"/>
      <c r="AZ229" s="371">
        <v>1</v>
      </c>
      <c r="BA229" s="371">
        <v>1</v>
      </c>
      <c r="BB229" s="371"/>
      <c r="BC229" s="376"/>
      <c r="BD229" s="376"/>
      <c r="BE229" s="374"/>
      <c r="BF229" s="363"/>
      <c r="BG229" s="363"/>
      <c r="BH229" s="375"/>
      <c r="BI229" s="363">
        <v>30</v>
      </c>
      <c r="BJ229" s="363"/>
      <c r="BK229" s="372">
        <v>98</v>
      </c>
      <c r="BL229" s="376"/>
      <c r="BM229" s="376"/>
      <c r="BN229" s="376"/>
      <c r="BO229" s="376"/>
      <c r="BP229" s="376"/>
      <c r="BQ229" s="376"/>
      <c r="BR229" s="368">
        <v>46</v>
      </c>
      <c r="BS229" s="372">
        <v>0</v>
      </c>
      <c r="BT229" s="364"/>
      <c r="BU229" s="372"/>
      <c r="BV229" s="364"/>
      <c r="BW229" s="364"/>
      <c r="BX229" s="397"/>
    </row>
    <row r="230" spans="1:76" s="226" customFormat="1" x14ac:dyDescent="0.3">
      <c r="A230" s="88"/>
      <c r="B230" s="87"/>
      <c r="C230" s="87"/>
      <c r="D230" s="87"/>
      <c r="E230" s="87"/>
      <c r="F230" s="88"/>
      <c r="G230" s="87"/>
      <c r="H230" s="88"/>
      <c r="I230" s="88"/>
      <c r="J230" s="378" t="s">
        <v>134</v>
      </c>
      <c r="K230" s="379" t="s">
        <v>135</v>
      </c>
      <c r="L230" s="379"/>
      <c r="M230" s="379"/>
      <c r="N230" s="379"/>
      <c r="O230" s="379" t="s">
        <v>136</v>
      </c>
      <c r="P230" s="379">
        <v>2017</v>
      </c>
      <c r="Q230" s="380" t="s">
        <v>225</v>
      </c>
      <c r="R230" s="381" t="s">
        <v>227</v>
      </c>
      <c r="S230" s="379">
        <v>160</v>
      </c>
      <c r="T230" s="379"/>
      <c r="U230" s="379" t="s">
        <v>189</v>
      </c>
      <c r="V230" s="379"/>
      <c r="W230" s="379" t="s">
        <v>149</v>
      </c>
      <c r="X230" s="379">
        <v>2050</v>
      </c>
      <c r="Y230" s="379"/>
      <c r="Z230" s="379" t="str">
        <f>VLOOKUP(R230,KEY_Processes!$B$4:$E$54,4,FALSE)</f>
        <v>R_ELC_02</v>
      </c>
      <c r="AA230" s="379" t="str">
        <f>VLOOKUP(R230,KEY_Processes!$B$4:$E$54,2,FALSE)</f>
        <v>Electric heating</v>
      </c>
      <c r="AB230" s="379" t="str">
        <f>VLOOKUP(U230,KEY_FUELS!$C$4:$D$77,2,FALSE)</f>
        <v>ELC</v>
      </c>
      <c r="AC230" s="379" t="s">
        <v>150</v>
      </c>
      <c r="AD230" s="379" t="s">
        <v>161</v>
      </c>
      <c r="AE230" s="379" t="s">
        <v>152</v>
      </c>
      <c r="AF230" s="382" t="str">
        <f>VLOOKUP(W230,KEY_Other!$B$37:$C$89,2,FALSE)</f>
        <v>DK</v>
      </c>
      <c r="AG230" s="379"/>
      <c r="AH230" s="379" t="str">
        <f>AC230&amp;VLOOKUP(U230,KEY_FUELS!$C$4:$D$78,2,FALSE)</f>
        <v>RSDELC</v>
      </c>
      <c r="AI230" s="379" t="str">
        <f>IFERROR(AC230&amp;VLOOKUP(V230,KEY_FUELS!$C$4:$D$78,2,FALSE),"")</f>
        <v/>
      </c>
      <c r="AJ230" s="379" t="str">
        <f t="shared" ref="AJ230" si="76">LEFT(AC230,1)&amp;"H"&amp;AD230</f>
        <v>RHAPA</v>
      </c>
      <c r="AK230" s="379" t="str">
        <f t="shared" si="70"/>
        <v>RWAPA</v>
      </c>
      <c r="AL230" s="379" t="str">
        <f t="shared" si="71"/>
        <v/>
      </c>
      <c r="AM230" s="380">
        <v>31.536000000000001</v>
      </c>
      <c r="AN230" s="379">
        <f t="shared" si="73"/>
        <v>2050</v>
      </c>
      <c r="AO230" s="383"/>
      <c r="AP230" s="384"/>
      <c r="AQ230" s="386"/>
      <c r="AR230" s="386"/>
      <c r="AS230" s="386"/>
      <c r="AT230" s="386"/>
      <c r="AU230" s="387">
        <v>1</v>
      </c>
      <c r="AV230" s="387">
        <v>1</v>
      </c>
      <c r="AW230" s="387"/>
      <c r="AX230" s="388"/>
      <c r="AY230" s="384"/>
      <c r="AZ230" s="387">
        <v>1</v>
      </c>
      <c r="BA230" s="387">
        <v>1</v>
      </c>
      <c r="BB230" s="387"/>
      <c r="BC230" s="392"/>
      <c r="BD230" s="392"/>
      <c r="BE230" s="390"/>
      <c r="BF230" s="379"/>
      <c r="BG230" s="379"/>
      <c r="BH230" s="391"/>
      <c r="BI230" s="379">
        <v>30</v>
      </c>
      <c r="BJ230" s="379"/>
      <c r="BK230" s="388">
        <v>89</v>
      </c>
      <c r="BL230" s="392"/>
      <c r="BM230" s="392"/>
      <c r="BN230" s="392"/>
      <c r="BO230" s="392"/>
      <c r="BP230" s="392"/>
      <c r="BQ230" s="392"/>
      <c r="BR230" s="384">
        <v>42</v>
      </c>
      <c r="BS230" s="388">
        <v>0</v>
      </c>
      <c r="BT230" s="380"/>
      <c r="BU230" s="388"/>
      <c r="BV230" s="380"/>
      <c r="BW230" s="380"/>
      <c r="BX230" s="395"/>
    </row>
    <row r="231" spans="1:76" s="226" customFormat="1" x14ac:dyDescent="0.3">
      <c r="A231" s="88"/>
      <c r="B231" s="87"/>
      <c r="C231" s="87"/>
      <c r="D231" s="87"/>
      <c r="E231" s="87"/>
      <c r="F231" s="88"/>
      <c r="G231" s="87"/>
      <c r="H231" s="88"/>
      <c r="I231" s="88"/>
      <c r="J231" s="362" t="s">
        <v>134</v>
      </c>
      <c r="K231" s="363" t="s">
        <v>135</v>
      </c>
      <c r="L231" s="363"/>
      <c r="M231" s="363"/>
      <c r="N231" s="363"/>
      <c r="O231" s="363" t="s">
        <v>136</v>
      </c>
      <c r="P231" s="363">
        <v>2017</v>
      </c>
      <c r="Q231" s="364" t="s">
        <v>228</v>
      </c>
      <c r="R231" s="365" t="s">
        <v>229</v>
      </c>
      <c r="S231" s="374">
        <v>0.66956521739130426</v>
      </c>
      <c r="T231" s="374">
        <v>0.7</v>
      </c>
      <c r="U231" s="374" t="s">
        <v>230</v>
      </c>
      <c r="V231" s="374"/>
      <c r="W231" s="363" t="s">
        <v>149</v>
      </c>
      <c r="X231" s="363">
        <v>2015</v>
      </c>
      <c r="Y231" s="374"/>
      <c r="Z231" s="363" t="str">
        <f>VLOOKUP(R231,KEY_Processes!$B$4:$E$54,4,FALSE)</f>
        <v>FC_mCHP_01</v>
      </c>
      <c r="AA231" s="363" t="str">
        <f>VLOOKUP(R231,KEY_Processes!$B$4:$E$54,2,FALSE)</f>
        <v>SOFC mCHP</v>
      </c>
      <c r="AB231" s="363" t="str">
        <f>VLOOKUP(U231,KEY_FUELS!$C$4:$D$77,2,FALSE)</f>
        <v>GAS</v>
      </c>
      <c r="AC231" s="363" t="s">
        <v>150</v>
      </c>
      <c r="AD231" s="363" t="s">
        <v>220</v>
      </c>
      <c r="AE231" s="363" t="s">
        <v>152</v>
      </c>
      <c r="AF231" s="366" t="str">
        <f>VLOOKUP(W231,KEY_Other!$B$37:$C$89,2,FALSE)</f>
        <v>DK</v>
      </c>
      <c r="AG231" s="363"/>
      <c r="AH231" s="363" t="str">
        <f>AC231&amp;VLOOKUP(U231,KEY_FUELS!$C$4:$D$78,2,FALSE)</f>
        <v>RSDGAS</v>
      </c>
      <c r="AI231" s="363" t="str">
        <f>IFERROR(AC231&amp;VLOOKUP(V231,KEY_FUELS!$C$4:$D$78,2,FALSE),"")</f>
        <v/>
      </c>
      <c r="AJ231" s="363" t="str">
        <f t="shared" si="69"/>
        <v>RHHSC</v>
      </c>
      <c r="AK231" s="363" t="str">
        <f t="shared" si="70"/>
        <v>RWHSC</v>
      </c>
      <c r="AL231" s="363" t="str">
        <f t="shared" si="71"/>
        <v>REHSC</v>
      </c>
      <c r="AM231" s="364">
        <v>31.536000000000001</v>
      </c>
      <c r="AN231" s="363">
        <f t="shared" si="73"/>
        <v>2015</v>
      </c>
      <c r="AO231" s="367"/>
      <c r="AP231" s="368"/>
      <c r="AQ231" s="370"/>
      <c r="AR231" s="370"/>
      <c r="AS231" s="370"/>
      <c r="AT231" s="370"/>
      <c r="AU231" s="400">
        <v>1.1000000000000001E-3</v>
      </c>
      <c r="AV231" s="371">
        <v>0.01</v>
      </c>
      <c r="AW231" s="371"/>
      <c r="AX231" s="372"/>
      <c r="AY231" s="368"/>
      <c r="AZ231" s="371">
        <v>0.9</v>
      </c>
      <c r="BA231" s="371">
        <v>0.44</v>
      </c>
      <c r="BB231" s="371">
        <f>AZ231-BA231</f>
        <v>0.46</v>
      </c>
      <c r="BC231" s="376"/>
      <c r="BD231" s="376"/>
      <c r="BE231" s="374"/>
      <c r="BF231" s="363"/>
      <c r="BG231" s="363"/>
      <c r="BH231" s="375"/>
      <c r="BI231" s="363">
        <v>10</v>
      </c>
      <c r="BJ231" s="363"/>
      <c r="BK231" s="372">
        <v>27</v>
      </c>
      <c r="BL231" s="376"/>
      <c r="BM231" s="376"/>
      <c r="BN231" s="376"/>
      <c r="BO231" s="376"/>
      <c r="BP231" s="376"/>
      <c r="BQ231" s="376"/>
      <c r="BR231" s="368">
        <v>1350</v>
      </c>
      <c r="BS231" s="372">
        <v>0</v>
      </c>
      <c r="BT231" s="364">
        <v>0</v>
      </c>
      <c r="BU231" s="372"/>
      <c r="BV231" s="364"/>
      <c r="BW231" s="364"/>
      <c r="BX231" s="397">
        <v>0</v>
      </c>
    </row>
    <row r="232" spans="1:76" s="226" customFormat="1" x14ac:dyDescent="0.3">
      <c r="A232" s="88"/>
      <c r="B232" s="87"/>
      <c r="C232" s="87"/>
      <c r="D232" s="87"/>
      <c r="E232" s="87"/>
      <c r="F232" s="88"/>
      <c r="G232" s="87"/>
      <c r="H232" s="88"/>
      <c r="I232" s="88"/>
      <c r="J232" s="378" t="s">
        <v>134</v>
      </c>
      <c r="K232" s="379" t="s">
        <v>135</v>
      </c>
      <c r="L232" s="379"/>
      <c r="M232" s="379"/>
      <c r="N232" s="379"/>
      <c r="O232" s="379" t="s">
        <v>136</v>
      </c>
      <c r="P232" s="379">
        <v>2017</v>
      </c>
      <c r="Q232" s="380" t="s">
        <v>228</v>
      </c>
      <c r="R232" s="381" t="s">
        <v>229</v>
      </c>
      <c r="S232" s="390">
        <v>0.56000000000000005</v>
      </c>
      <c r="T232" s="390">
        <v>0.7</v>
      </c>
      <c r="U232" s="390" t="s">
        <v>230</v>
      </c>
      <c r="V232" s="390"/>
      <c r="W232" s="379" t="s">
        <v>149</v>
      </c>
      <c r="X232" s="379">
        <v>2020</v>
      </c>
      <c r="Y232" s="390"/>
      <c r="Z232" s="379" t="str">
        <f>VLOOKUP(R232,KEY_Processes!$B$4:$E$54,4,FALSE)</f>
        <v>FC_mCHP_01</v>
      </c>
      <c r="AA232" s="379" t="str">
        <f>VLOOKUP(R232,KEY_Processes!$B$4:$E$54,2,FALSE)</f>
        <v>SOFC mCHP</v>
      </c>
      <c r="AB232" s="379" t="str">
        <f>VLOOKUP(U232,KEY_FUELS!$C$4:$D$77,2,FALSE)</f>
        <v>GAS</v>
      </c>
      <c r="AC232" s="379" t="s">
        <v>150</v>
      </c>
      <c r="AD232" s="379" t="s">
        <v>220</v>
      </c>
      <c r="AE232" s="379" t="s">
        <v>152</v>
      </c>
      <c r="AF232" s="382" t="str">
        <f>VLOOKUP(W232,KEY_Other!$B$37:$C$89,2,FALSE)</f>
        <v>DK</v>
      </c>
      <c r="AG232" s="379"/>
      <c r="AH232" s="379" t="str">
        <f>AC232&amp;VLOOKUP(U232,KEY_FUELS!$C$4:$D$78,2,FALSE)</f>
        <v>RSDGAS</v>
      </c>
      <c r="AI232" s="379" t="str">
        <f>IFERROR(AC232&amp;VLOOKUP(V232,KEY_FUELS!$C$4:$D$78,2,FALSE),"")</f>
        <v/>
      </c>
      <c r="AJ232" s="379" t="str">
        <f t="shared" si="69"/>
        <v>RHHSC</v>
      </c>
      <c r="AK232" s="379" t="str">
        <f t="shared" si="70"/>
        <v>RWHSC</v>
      </c>
      <c r="AL232" s="379" t="str">
        <f t="shared" si="71"/>
        <v>REHSC</v>
      </c>
      <c r="AM232" s="380">
        <v>31.536000000000001</v>
      </c>
      <c r="AN232" s="379">
        <f t="shared" si="73"/>
        <v>2020</v>
      </c>
      <c r="AO232" s="383"/>
      <c r="AP232" s="384"/>
      <c r="AQ232" s="386"/>
      <c r="AR232" s="386"/>
      <c r="AS232" s="386"/>
      <c r="AT232" s="386"/>
      <c r="AU232" s="401">
        <v>8.0000000000000004E-4</v>
      </c>
      <c r="AV232" s="387">
        <v>0.01</v>
      </c>
      <c r="AW232" s="387"/>
      <c r="AX232" s="388"/>
      <c r="AY232" s="384"/>
      <c r="AZ232" s="387">
        <v>0.9</v>
      </c>
      <c r="BA232" s="387">
        <v>0.4</v>
      </c>
      <c r="BB232" s="387">
        <f t="shared" ref="BB232:BB234" si="77">AZ232-BA232</f>
        <v>0.5</v>
      </c>
      <c r="BC232" s="392"/>
      <c r="BD232" s="392"/>
      <c r="BE232" s="390"/>
      <c r="BF232" s="379"/>
      <c r="BG232" s="379"/>
      <c r="BH232" s="391"/>
      <c r="BI232" s="379">
        <v>20</v>
      </c>
      <c r="BJ232" s="379"/>
      <c r="BK232" s="388">
        <v>21</v>
      </c>
      <c r="BL232" s="392"/>
      <c r="BM232" s="392"/>
      <c r="BN232" s="392"/>
      <c r="BO232" s="392"/>
      <c r="BP232" s="392"/>
      <c r="BQ232" s="392"/>
      <c r="BR232" s="384">
        <v>1050</v>
      </c>
      <c r="BS232" s="388">
        <v>0</v>
      </c>
      <c r="BT232" s="380">
        <v>0</v>
      </c>
      <c r="BU232" s="388">
        <v>2</v>
      </c>
      <c r="BV232" s="380">
        <v>1.25</v>
      </c>
      <c r="BW232" s="380"/>
      <c r="BX232" s="395">
        <v>0</v>
      </c>
    </row>
    <row r="233" spans="1:76" s="226" customFormat="1" x14ac:dyDescent="0.3">
      <c r="A233" s="88"/>
      <c r="B233" s="87"/>
      <c r="C233" s="87"/>
      <c r="D233" s="87"/>
      <c r="E233" s="87"/>
      <c r="F233" s="88"/>
      <c r="G233" s="87"/>
      <c r="H233" s="88"/>
      <c r="I233" s="88"/>
      <c r="J233" s="362" t="s">
        <v>134</v>
      </c>
      <c r="K233" s="363" t="s">
        <v>135</v>
      </c>
      <c r="L233" s="363"/>
      <c r="M233" s="363"/>
      <c r="N233" s="363"/>
      <c r="O233" s="363" t="s">
        <v>136</v>
      </c>
      <c r="P233" s="363">
        <v>2017</v>
      </c>
      <c r="Q233" s="364" t="s">
        <v>228</v>
      </c>
      <c r="R233" s="365" t="s">
        <v>229</v>
      </c>
      <c r="S233" s="374">
        <v>0.56000000000000005</v>
      </c>
      <c r="T233" s="374">
        <v>0.7</v>
      </c>
      <c r="U233" s="374" t="s">
        <v>230</v>
      </c>
      <c r="V233" s="374"/>
      <c r="W233" s="363" t="s">
        <v>149</v>
      </c>
      <c r="X233" s="363">
        <v>2030</v>
      </c>
      <c r="Y233" s="374"/>
      <c r="Z233" s="363" t="str">
        <f>VLOOKUP(R233,KEY_Processes!$B$4:$E$54,4,FALSE)</f>
        <v>FC_mCHP_01</v>
      </c>
      <c r="AA233" s="363" t="str">
        <f>VLOOKUP(R233,KEY_Processes!$B$4:$E$54,2,FALSE)</f>
        <v>SOFC mCHP</v>
      </c>
      <c r="AB233" s="363" t="str">
        <f>VLOOKUP(U233,KEY_FUELS!$C$4:$D$77,2,FALSE)</f>
        <v>GAS</v>
      </c>
      <c r="AC233" s="363" t="s">
        <v>150</v>
      </c>
      <c r="AD233" s="363" t="s">
        <v>220</v>
      </c>
      <c r="AE233" s="363" t="s">
        <v>152</v>
      </c>
      <c r="AF233" s="366" t="str">
        <f>VLOOKUP(W233,KEY_Other!$B$37:$C$89,2,FALSE)</f>
        <v>DK</v>
      </c>
      <c r="AG233" s="363"/>
      <c r="AH233" s="363" t="str">
        <f>AC233&amp;VLOOKUP(U233,KEY_FUELS!$C$4:$D$78,2,FALSE)</f>
        <v>RSDGAS</v>
      </c>
      <c r="AI233" s="363" t="str">
        <f>IFERROR(AC233&amp;VLOOKUP(V233,KEY_FUELS!$C$4:$D$78,2,FALSE),"")</f>
        <v/>
      </c>
      <c r="AJ233" s="363" t="str">
        <f t="shared" si="69"/>
        <v>RHHSC</v>
      </c>
      <c r="AK233" s="363" t="str">
        <f t="shared" si="70"/>
        <v>RWHSC</v>
      </c>
      <c r="AL233" s="363" t="str">
        <f t="shared" si="71"/>
        <v>REHSC</v>
      </c>
      <c r="AM233" s="364">
        <v>31.536000000000001</v>
      </c>
      <c r="AN233" s="363">
        <f t="shared" si="73"/>
        <v>2030</v>
      </c>
      <c r="AO233" s="367"/>
      <c r="AP233" s="368"/>
      <c r="AQ233" s="370"/>
      <c r="AR233" s="370"/>
      <c r="AS233" s="370"/>
      <c r="AT233" s="370"/>
      <c r="AU233" s="400">
        <v>8.0000000000000004E-4</v>
      </c>
      <c r="AV233" s="371">
        <v>0.01</v>
      </c>
      <c r="AW233" s="371"/>
      <c r="AX233" s="372"/>
      <c r="AY233" s="368"/>
      <c r="AZ233" s="371">
        <v>0.9</v>
      </c>
      <c r="BA233" s="371">
        <v>0.4</v>
      </c>
      <c r="BB233" s="371">
        <f t="shared" si="77"/>
        <v>0.5</v>
      </c>
      <c r="BC233" s="376"/>
      <c r="BD233" s="376"/>
      <c r="BE233" s="374"/>
      <c r="BF233" s="363"/>
      <c r="BG233" s="363"/>
      <c r="BH233" s="375"/>
      <c r="BI233" s="363">
        <v>20</v>
      </c>
      <c r="BJ233" s="363"/>
      <c r="BK233" s="372">
        <v>16</v>
      </c>
      <c r="BL233" s="376"/>
      <c r="BM233" s="376"/>
      <c r="BN233" s="376"/>
      <c r="BO233" s="376"/>
      <c r="BP233" s="376"/>
      <c r="BQ233" s="376"/>
      <c r="BR233" s="368">
        <v>800</v>
      </c>
      <c r="BS233" s="372">
        <v>0</v>
      </c>
      <c r="BT233" s="364">
        <v>0</v>
      </c>
      <c r="BU233" s="372">
        <v>2</v>
      </c>
      <c r="BV233" s="364">
        <v>1.25</v>
      </c>
      <c r="BW233" s="364"/>
      <c r="BX233" s="397">
        <v>0</v>
      </c>
    </row>
    <row r="234" spans="1:76" s="226" customFormat="1" x14ac:dyDescent="0.3">
      <c r="A234" s="88"/>
      <c r="B234" s="87"/>
      <c r="C234" s="87"/>
      <c r="D234" s="87"/>
      <c r="E234" s="87"/>
      <c r="F234" s="88"/>
      <c r="G234" s="87"/>
      <c r="H234" s="88"/>
      <c r="I234" s="88"/>
      <c r="J234" s="378" t="s">
        <v>134</v>
      </c>
      <c r="K234" s="379" t="s">
        <v>135</v>
      </c>
      <c r="L234" s="379"/>
      <c r="M234" s="379"/>
      <c r="N234" s="379"/>
      <c r="O234" s="379" t="s">
        <v>136</v>
      </c>
      <c r="P234" s="379">
        <v>2017</v>
      </c>
      <c r="Q234" s="380" t="s">
        <v>228</v>
      </c>
      <c r="R234" s="381" t="s">
        <v>229</v>
      </c>
      <c r="S234" s="390">
        <v>0.56000000000000005</v>
      </c>
      <c r="T234" s="390">
        <v>0.7</v>
      </c>
      <c r="U234" s="390" t="s">
        <v>230</v>
      </c>
      <c r="V234" s="390"/>
      <c r="W234" s="379" t="s">
        <v>149</v>
      </c>
      <c r="X234" s="379">
        <v>2050</v>
      </c>
      <c r="Y234" s="390"/>
      <c r="Z234" s="379" t="str">
        <f>VLOOKUP(R234,KEY_Processes!$B$4:$E$54,4,FALSE)</f>
        <v>FC_mCHP_01</v>
      </c>
      <c r="AA234" s="379" t="str">
        <f>VLOOKUP(R234,KEY_Processes!$B$4:$E$54,2,FALSE)</f>
        <v>SOFC mCHP</v>
      </c>
      <c r="AB234" s="379" t="str">
        <f>VLOOKUP(U234,KEY_FUELS!$C$4:$D$77,2,FALSE)</f>
        <v>GAS</v>
      </c>
      <c r="AC234" s="379" t="s">
        <v>150</v>
      </c>
      <c r="AD234" s="379" t="s">
        <v>220</v>
      </c>
      <c r="AE234" s="379" t="s">
        <v>152</v>
      </c>
      <c r="AF234" s="382" t="str">
        <f>VLOOKUP(W234,KEY_Other!$B$37:$C$89,2,FALSE)</f>
        <v>DK</v>
      </c>
      <c r="AG234" s="379"/>
      <c r="AH234" s="379" t="str">
        <f>AC234&amp;VLOOKUP(U234,KEY_FUELS!$C$4:$D$78,2,FALSE)</f>
        <v>RSDGAS</v>
      </c>
      <c r="AI234" s="379" t="str">
        <f>IFERROR(AC234&amp;VLOOKUP(V234,KEY_FUELS!$C$4:$D$78,2,FALSE),"")</f>
        <v/>
      </c>
      <c r="AJ234" s="379" t="str">
        <f t="shared" si="69"/>
        <v>RHHSC</v>
      </c>
      <c r="AK234" s="379" t="str">
        <f t="shared" si="70"/>
        <v>RWHSC</v>
      </c>
      <c r="AL234" s="379" t="str">
        <f t="shared" si="71"/>
        <v>REHSC</v>
      </c>
      <c r="AM234" s="380">
        <v>31.536000000000001</v>
      </c>
      <c r="AN234" s="379">
        <f t="shared" si="73"/>
        <v>2050</v>
      </c>
      <c r="AO234" s="383"/>
      <c r="AP234" s="384"/>
      <c r="AQ234" s="386"/>
      <c r="AR234" s="386"/>
      <c r="AS234" s="386"/>
      <c r="AT234" s="386"/>
      <c r="AU234" s="401">
        <v>8.0000000000000004E-4</v>
      </c>
      <c r="AV234" s="387">
        <v>0.01</v>
      </c>
      <c r="AW234" s="387"/>
      <c r="AX234" s="388"/>
      <c r="AY234" s="384"/>
      <c r="AZ234" s="387">
        <v>0.9</v>
      </c>
      <c r="BA234" s="387">
        <v>0.4</v>
      </c>
      <c r="BB234" s="387">
        <f t="shared" si="77"/>
        <v>0.5</v>
      </c>
      <c r="BC234" s="392"/>
      <c r="BD234" s="392"/>
      <c r="BE234" s="390"/>
      <c r="BF234" s="379"/>
      <c r="BG234" s="379"/>
      <c r="BH234" s="391"/>
      <c r="BI234" s="379">
        <v>20</v>
      </c>
      <c r="BJ234" s="379"/>
      <c r="BK234" s="388">
        <v>11</v>
      </c>
      <c r="BL234" s="392"/>
      <c r="BM234" s="392"/>
      <c r="BN234" s="392"/>
      <c r="BO234" s="392"/>
      <c r="BP234" s="392"/>
      <c r="BQ234" s="392"/>
      <c r="BR234" s="384">
        <v>550</v>
      </c>
      <c r="BS234" s="388">
        <v>0</v>
      </c>
      <c r="BT234" s="380">
        <v>0</v>
      </c>
      <c r="BU234" s="388">
        <v>2</v>
      </c>
      <c r="BV234" s="380">
        <v>1.25</v>
      </c>
      <c r="BW234" s="380"/>
      <c r="BX234" s="395">
        <v>0</v>
      </c>
    </row>
    <row r="235" spans="1:76" s="226" customFormat="1" x14ac:dyDescent="0.3">
      <c r="A235" s="88"/>
      <c r="B235" s="87"/>
      <c r="C235" s="87"/>
      <c r="D235" s="87"/>
      <c r="E235" s="87"/>
      <c r="F235" s="88"/>
      <c r="G235" s="87"/>
      <c r="H235" s="88"/>
      <c r="I235" s="88"/>
      <c r="J235" s="362" t="s">
        <v>134</v>
      </c>
      <c r="K235" s="363" t="s">
        <v>135</v>
      </c>
      <c r="L235" s="363"/>
      <c r="M235" s="363"/>
      <c r="N235" s="363"/>
      <c r="O235" s="363" t="s">
        <v>136</v>
      </c>
      <c r="P235" s="363">
        <v>2017</v>
      </c>
      <c r="Q235" s="364" t="s">
        <v>231</v>
      </c>
      <c r="R235" s="365" t="s">
        <v>232</v>
      </c>
      <c r="S235" s="374">
        <v>0.77777777777777779</v>
      </c>
      <c r="T235" s="374">
        <v>0.7</v>
      </c>
      <c r="U235" s="374" t="s">
        <v>233</v>
      </c>
      <c r="V235" s="374"/>
      <c r="W235" s="363" t="s">
        <v>149</v>
      </c>
      <c r="X235" s="363">
        <v>2015</v>
      </c>
      <c r="Y235" s="374"/>
      <c r="Z235" s="363" t="str">
        <f>VLOOKUP(R235,KEY_Processes!$B$4:$E$54,4,FALSE)</f>
        <v>FC_mCHP_02</v>
      </c>
      <c r="AA235" s="363" t="str">
        <f>VLOOKUP(R235,KEY_Processes!$B$4:$E$54,2,FALSE)</f>
        <v>LT-PEMFC (microCHP)</v>
      </c>
      <c r="AB235" s="363" t="str">
        <f>VLOOKUP(U235,KEY_FUELS!$C$4:$D$77,2,FALSE)</f>
        <v>H2G</v>
      </c>
      <c r="AC235" s="363" t="s">
        <v>150</v>
      </c>
      <c r="AD235" s="363" t="s">
        <v>234</v>
      </c>
      <c r="AE235" s="363" t="s">
        <v>152</v>
      </c>
      <c r="AF235" s="366" t="str">
        <f>VLOOKUP(W235,KEY_Other!$B$37:$C$89,2,FALSE)</f>
        <v>DK</v>
      </c>
      <c r="AG235" s="363"/>
      <c r="AH235" s="363" t="str">
        <f>AC235&amp;VLOOKUP(U235,KEY_FUELS!$C$4:$D$78,2,FALSE)</f>
        <v>RSDH2G</v>
      </c>
      <c r="AI235" s="363" t="str">
        <f>IFERROR(AC235&amp;VLOOKUP(V235,KEY_FUELS!$C$4:$D$78,2,FALSE),"")</f>
        <v/>
      </c>
      <c r="AJ235" s="363" t="str">
        <f t="shared" si="69"/>
        <v>RH</v>
      </c>
      <c r="AK235" s="363" t="str">
        <f t="shared" si="70"/>
        <v>RW</v>
      </c>
      <c r="AL235" s="363" t="str">
        <f t="shared" si="71"/>
        <v>RE</v>
      </c>
      <c r="AM235" s="364">
        <v>31.536000000000001</v>
      </c>
      <c r="AN235" s="363">
        <f t="shared" si="73"/>
        <v>2015</v>
      </c>
      <c r="AO235" s="367"/>
      <c r="AP235" s="368"/>
      <c r="AQ235" s="370"/>
      <c r="AR235" s="370"/>
      <c r="AS235" s="370"/>
      <c r="AT235" s="370"/>
      <c r="AU235" s="400">
        <v>1.5E-3</v>
      </c>
      <c r="AV235" s="371">
        <v>0.01</v>
      </c>
      <c r="AW235" s="371"/>
      <c r="AX235" s="372"/>
      <c r="AY235" s="368"/>
      <c r="AZ235" s="371">
        <v>0.94</v>
      </c>
      <c r="BA235" s="371">
        <v>0.5</v>
      </c>
      <c r="BB235" s="371">
        <v>0.45</v>
      </c>
      <c r="BC235" s="376"/>
      <c r="BD235" s="376"/>
      <c r="BE235" s="376"/>
      <c r="BF235" s="363"/>
      <c r="BG235" s="363"/>
      <c r="BH235" s="375"/>
      <c r="BI235" s="363">
        <v>7</v>
      </c>
      <c r="BJ235" s="363"/>
      <c r="BK235" s="372">
        <v>11.7</v>
      </c>
      <c r="BL235" s="376"/>
      <c r="BM235" s="376"/>
      <c r="BN235" s="376"/>
      <c r="BO235" s="376"/>
      <c r="BP235" s="376"/>
      <c r="BQ235" s="376"/>
      <c r="BR235" s="368">
        <v>700</v>
      </c>
      <c r="BS235" s="372">
        <v>0</v>
      </c>
      <c r="BT235" s="364">
        <v>0</v>
      </c>
      <c r="BU235" s="372">
        <v>0</v>
      </c>
      <c r="BV235" s="364">
        <v>0</v>
      </c>
      <c r="BW235" s="364">
        <v>0</v>
      </c>
      <c r="BX235" s="397">
        <v>0</v>
      </c>
    </row>
    <row r="236" spans="1:76" s="226" customFormat="1" x14ac:dyDescent="0.3">
      <c r="A236" s="88"/>
      <c r="B236" s="87"/>
      <c r="C236" s="87"/>
      <c r="D236" s="87"/>
      <c r="E236" s="87"/>
      <c r="F236" s="88"/>
      <c r="G236" s="87"/>
      <c r="H236" s="88"/>
      <c r="I236" s="88"/>
      <c r="J236" s="378" t="s">
        <v>134</v>
      </c>
      <c r="K236" s="379" t="s">
        <v>135</v>
      </c>
      <c r="L236" s="379"/>
      <c r="M236" s="379"/>
      <c r="N236" s="379"/>
      <c r="O236" s="379" t="s">
        <v>136</v>
      </c>
      <c r="P236" s="379">
        <v>2017</v>
      </c>
      <c r="Q236" s="380" t="s">
        <v>231</v>
      </c>
      <c r="R236" s="381" t="s">
        <v>232</v>
      </c>
      <c r="S236" s="390">
        <v>0.7</v>
      </c>
      <c r="T236" s="390">
        <v>0.7</v>
      </c>
      <c r="U236" s="390" t="s">
        <v>233</v>
      </c>
      <c r="V236" s="390"/>
      <c r="W236" s="379" t="s">
        <v>149</v>
      </c>
      <c r="X236" s="379">
        <v>2020</v>
      </c>
      <c r="Y236" s="390"/>
      <c r="Z236" s="379" t="str">
        <f>VLOOKUP(R236,KEY_Processes!$B$4:$E$54,4,FALSE)</f>
        <v>FC_mCHP_02</v>
      </c>
      <c r="AA236" s="379" t="str">
        <f>VLOOKUP(R236,KEY_Processes!$B$4:$E$54,2,FALSE)</f>
        <v>LT-PEMFC (microCHP)</v>
      </c>
      <c r="AB236" s="379" t="str">
        <f>VLOOKUP(U236,KEY_FUELS!$C$4:$D$77,2,FALSE)</f>
        <v>H2G</v>
      </c>
      <c r="AC236" s="379" t="s">
        <v>150</v>
      </c>
      <c r="AD236" s="379" t="s">
        <v>234</v>
      </c>
      <c r="AE236" s="379" t="s">
        <v>152</v>
      </c>
      <c r="AF236" s="382" t="str">
        <f>VLOOKUP(W236,KEY_Other!$B$37:$C$89,2,FALSE)</f>
        <v>DK</v>
      </c>
      <c r="AG236" s="379"/>
      <c r="AH236" s="379" t="str">
        <f>AC236&amp;VLOOKUP(U236,KEY_FUELS!$C$4:$D$78,2,FALSE)</f>
        <v>RSDH2G</v>
      </c>
      <c r="AI236" s="379" t="str">
        <f>IFERROR(AC236&amp;VLOOKUP(V236,KEY_FUELS!$C$4:$D$78,2,FALSE),"")</f>
        <v/>
      </c>
      <c r="AJ236" s="379" t="str">
        <f t="shared" si="69"/>
        <v>RH</v>
      </c>
      <c r="AK236" s="379" t="str">
        <f t="shared" si="70"/>
        <v>RW</v>
      </c>
      <c r="AL236" s="379" t="str">
        <f t="shared" si="71"/>
        <v>RE</v>
      </c>
      <c r="AM236" s="380">
        <v>31.536000000000001</v>
      </c>
      <c r="AN236" s="379">
        <f t="shared" si="73"/>
        <v>2020</v>
      </c>
      <c r="AO236" s="383"/>
      <c r="AP236" s="384"/>
      <c r="AQ236" s="386"/>
      <c r="AR236" s="386"/>
      <c r="AS236" s="386"/>
      <c r="AT236" s="386"/>
      <c r="AU236" s="401">
        <v>1.1999999999999999E-3</v>
      </c>
      <c r="AV236" s="387">
        <v>0.01</v>
      </c>
      <c r="AW236" s="387"/>
      <c r="AX236" s="388"/>
      <c r="AY236" s="384"/>
      <c r="AZ236" s="387">
        <v>0.94</v>
      </c>
      <c r="BA236" s="387">
        <v>0.47</v>
      </c>
      <c r="BB236" s="387">
        <v>0.47</v>
      </c>
      <c r="BC236" s="392"/>
      <c r="BD236" s="392"/>
      <c r="BE236" s="392"/>
      <c r="BF236" s="379"/>
      <c r="BG236" s="379"/>
      <c r="BH236" s="391"/>
      <c r="BI236" s="379">
        <v>10</v>
      </c>
      <c r="BJ236" s="379"/>
      <c r="BK236" s="388">
        <v>11</v>
      </c>
      <c r="BL236" s="392"/>
      <c r="BM236" s="392"/>
      <c r="BN236" s="392"/>
      <c r="BO236" s="392"/>
      <c r="BP236" s="392"/>
      <c r="BQ236" s="392"/>
      <c r="BR236" s="384">
        <v>700</v>
      </c>
      <c r="BS236" s="388">
        <v>0</v>
      </c>
      <c r="BT236" s="380">
        <v>0</v>
      </c>
      <c r="BU236" s="388">
        <v>0</v>
      </c>
      <c r="BV236" s="380">
        <v>0</v>
      </c>
      <c r="BW236" s="380">
        <v>0</v>
      </c>
      <c r="BX236" s="395">
        <v>0</v>
      </c>
    </row>
    <row r="237" spans="1:76" s="226" customFormat="1" x14ac:dyDescent="0.3">
      <c r="A237" s="88"/>
      <c r="B237" s="87"/>
      <c r="C237" s="87"/>
      <c r="D237" s="87"/>
      <c r="E237" s="87"/>
      <c r="F237" s="88"/>
      <c r="G237" s="87"/>
      <c r="H237" s="88"/>
      <c r="I237" s="88"/>
      <c r="J237" s="362" t="s">
        <v>134</v>
      </c>
      <c r="K237" s="363" t="s">
        <v>135</v>
      </c>
      <c r="L237" s="363"/>
      <c r="M237" s="363"/>
      <c r="N237" s="363"/>
      <c r="O237" s="363" t="s">
        <v>136</v>
      </c>
      <c r="P237" s="363">
        <v>2017</v>
      </c>
      <c r="Q237" s="364" t="s">
        <v>231</v>
      </c>
      <c r="R237" s="365" t="s">
        <v>232</v>
      </c>
      <c r="S237" s="374">
        <v>0.7</v>
      </c>
      <c r="T237" s="374">
        <v>0.7</v>
      </c>
      <c r="U237" s="374" t="s">
        <v>233</v>
      </c>
      <c r="V237" s="374"/>
      <c r="W237" s="363" t="s">
        <v>149</v>
      </c>
      <c r="X237" s="363">
        <v>2030</v>
      </c>
      <c r="Y237" s="374"/>
      <c r="Z237" s="363" t="str">
        <f>VLOOKUP(R237,KEY_Processes!$B$4:$E$54,4,FALSE)</f>
        <v>FC_mCHP_02</v>
      </c>
      <c r="AA237" s="363" t="str">
        <f>VLOOKUP(R237,KEY_Processes!$B$4:$E$54,2,FALSE)</f>
        <v>LT-PEMFC (microCHP)</v>
      </c>
      <c r="AB237" s="363" t="str">
        <f>VLOOKUP(U237,KEY_FUELS!$C$4:$D$77,2,FALSE)</f>
        <v>H2G</v>
      </c>
      <c r="AC237" s="363" t="s">
        <v>150</v>
      </c>
      <c r="AD237" s="363" t="s">
        <v>234</v>
      </c>
      <c r="AE237" s="363" t="s">
        <v>152</v>
      </c>
      <c r="AF237" s="366" t="str">
        <f>VLOOKUP(W237,KEY_Other!$B$37:$C$89,2,FALSE)</f>
        <v>DK</v>
      </c>
      <c r="AG237" s="363"/>
      <c r="AH237" s="363" t="str">
        <f>AC237&amp;VLOOKUP(U237,KEY_FUELS!$C$4:$D$78,2,FALSE)</f>
        <v>RSDH2G</v>
      </c>
      <c r="AI237" s="363" t="str">
        <f>IFERROR(AC237&amp;VLOOKUP(V237,KEY_FUELS!$C$4:$D$78,2,FALSE),"")</f>
        <v/>
      </c>
      <c r="AJ237" s="363" t="str">
        <f t="shared" si="69"/>
        <v>RH</v>
      </c>
      <c r="AK237" s="363" t="str">
        <f t="shared" si="70"/>
        <v>RW</v>
      </c>
      <c r="AL237" s="363" t="str">
        <f t="shared" si="71"/>
        <v>RE</v>
      </c>
      <c r="AM237" s="364">
        <v>31.536000000000001</v>
      </c>
      <c r="AN237" s="363">
        <f t="shared" si="73"/>
        <v>2030</v>
      </c>
      <c r="AO237" s="367"/>
      <c r="AP237" s="368"/>
      <c r="AQ237" s="370"/>
      <c r="AR237" s="370"/>
      <c r="AS237" s="370"/>
      <c r="AT237" s="370"/>
      <c r="AU237" s="400">
        <v>1.1999999999999999E-3</v>
      </c>
      <c r="AV237" s="371">
        <v>0.01</v>
      </c>
      <c r="AW237" s="371"/>
      <c r="AX237" s="372"/>
      <c r="AY237" s="368"/>
      <c r="AZ237" s="371">
        <v>0.96</v>
      </c>
      <c r="BA237" s="371">
        <v>0.46</v>
      </c>
      <c r="BB237" s="371">
        <v>0.5</v>
      </c>
      <c r="BC237" s="376"/>
      <c r="BD237" s="376"/>
      <c r="BE237" s="376"/>
      <c r="BF237" s="363"/>
      <c r="BG237" s="363"/>
      <c r="BH237" s="375"/>
      <c r="BI237" s="363">
        <v>20</v>
      </c>
      <c r="BJ237" s="363"/>
      <c r="BK237" s="372">
        <v>8</v>
      </c>
      <c r="BL237" s="376"/>
      <c r="BM237" s="376"/>
      <c r="BN237" s="376"/>
      <c r="BO237" s="376"/>
      <c r="BP237" s="376"/>
      <c r="BQ237" s="376"/>
      <c r="BR237" s="368">
        <v>500</v>
      </c>
      <c r="BS237" s="372">
        <v>0</v>
      </c>
      <c r="BT237" s="364">
        <v>0</v>
      </c>
      <c r="BU237" s="372">
        <v>0</v>
      </c>
      <c r="BV237" s="364">
        <v>0</v>
      </c>
      <c r="BW237" s="364">
        <v>0</v>
      </c>
      <c r="BX237" s="397">
        <v>0</v>
      </c>
    </row>
    <row r="238" spans="1:76" s="226" customFormat="1" x14ac:dyDescent="0.3">
      <c r="A238" s="88"/>
      <c r="B238" s="87"/>
      <c r="C238" s="87"/>
      <c r="D238" s="87"/>
      <c r="E238" s="87"/>
      <c r="F238" s="88"/>
      <c r="G238" s="87"/>
      <c r="H238" s="88"/>
      <c r="I238" s="88"/>
      <c r="J238" s="378" t="s">
        <v>134</v>
      </c>
      <c r="K238" s="379" t="s">
        <v>135</v>
      </c>
      <c r="L238" s="379"/>
      <c r="M238" s="379"/>
      <c r="N238" s="379"/>
      <c r="O238" s="379" t="s">
        <v>136</v>
      </c>
      <c r="P238" s="379">
        <v>2017</v>
      </c>
      <c r="Q238" s="380" t="s">
        <v>231</v>
      </c>
      <c r="R238" s="381" t="s">
        <v>232</v>
      </c>
      <c r="S238" s="390">
        <v>0.7</v>
      </c>
      <c r="T238" s="390">
        <v>0.7</v>
      </c>
      <c r="U238" s="390" t="s">
        <v>233</v>
      </c>
      <c r="V238" s="390"/>
      <c r="W238" s="379" t="s">
        <v>149</v>
      </c>
      <c r="X238" s="379">
        <v>2050</v>
      </c>
      <c r="Y238" s="390"/>
      <c r="Z238" s="379" t="str">
        <f>VLOOKUP(R238,KEY_Processes!$B$4:$E$54,4,FALSE)</f>
        <v>FC_mCHP_02</v>
      </c>
      <c r="AA238" s="379" t="str">
        <f>VLOOKUP(R238,KEY_Processes!$B$4:$E$54,2,FALSE)</f>
        <v>LT-PEMFC (microCHP)</v>
      </c>
      <c r="AB238" s="379" t="str">
        <f>VLOOKUP(U238,KEY_FUELS!$C$4:$D$77,2,FALSE)</f>
        <v>H2G</v>
      </c>
      <c r="AC238" s="379" t="s">
        <v>150</v>
      </c>
      <c r="AD238" s="379" t="s">
        <v>234</v>
      </c>
      <c r="AE238" s="379" t="s">
        <v>152</v>
      </c>
      <c r="AF238" s="382" t="str">
        <f>VLOOKUP(W238,KEY_Other!$B$37:$C$89,2,FALSE)</f>
        <v>DK</v>
      </c>
      <c r="AG238" s="379"/>
      <c r="AH238" s="379" t="str">
        <f>AC238&amp;VLOOKUP(U238,KEY_FUELS!$C$4:$D$78,2,FALSE)</f>
        <v>RSDH2G</v>
      </c>
      <c r="AI238" s="379" t="str">
        <f>IFERROR(AC238&amp;VLOOKUP(V238,KEY_FUELS!$C$4:$D$78,2,FALSE),"")</f>
        <v/>
      </c>
      <c r="AJ238" s="379" t="str">
        <f t="shared" si="69"/>
        <v>RH</v>
      </c>
      <c r="AK238" s="379" t="str">
        <f t="shared" si="70"/>
        <v>RW</v>
      </c>
      <c r="AL238" s="379" t="str">
        <f t="shared" si="71"/>
        <v>RE</v>
      </c>
      <c r="AM238" s="380">
        <v>31.536000000000001</v>
      </c>
      <c r="AN238" s="379">
        <f t="shared" si="73"/>
        <v>2050</v>
      </c>
      <c r="AO238" s="383"/>
      <c r="AP238" s="384"/>
      <c r="AQ238" s="386"/>
      <c r="AR238" s="386"/>
      <c r="AS238" s="386"/>
      <c r="AT238" s="386"/>
      <c r="AU238" s="401">
        <v>1.1999999999999999E-3</v>
      </c>
      <c r="AV238" s="387">
        <v>0.01</v>
      </c>
      <c r="AW238" s="387"/>
      <c r="AX238" s="388"/>
      <c r="AY238" s="384"/>
      <c r="AZ238" s="387">
        <v>0.98</v>
      </c>
      <c r="BA238" s="387">
        <v>0.48</v>
      </c>
      <c r="BB238" s="387">
        <v>0.5</v>
      </c>
      <c r="BC238" s="392"/>
      <c r="BD238" s="392"/>
      <c r="BE238" s="392"/>
      <c r="BF238" s="379"/>
      <c r="BG238" s="379"/>
      <c r="BH238" s="391"/>
      <c r="BI238" s="379">
        <v>20</v>
      </c>
      <c r="BJ238" s="379"/>
      <c r="BK238" s="388">
        <v>6</v>
      </c>
      <c r="BL238" s="392"/>
      <c r="BM238" s="392"/>
      <c r="BN238" s="392"/>
      <c r="BO238" s="392"/>
      <c r="BP238" s="392"/>
      <c r="BQ238" s="392"/>
      <c r="BR238" s="384">
        <v>400</v>
      </c>
      <c r="BS238" s="388">
        <v>0</v>
      </c>
      <c r="BT238" s="380">
        <v>0</v>
      </c>
      <c r="BU238" s="388">
        <v>0</v>
      </c>
      <c r="BV238" s="380">
        <v>0</v>
      </c>
      <c r="BW238" s="380">
        <v>0</v>
      </c>
      <c r="BX238" s="395">
        <v>0</v>
      </c>
    </row>
    <row r="239" spans="1:76" s="226" customFormat="1" x14ac:dyDescent="0.3">
      <c r="A239" s="88"/>
      <c r="B239" s="87"/>
      <c r="C239" s="87"/>
      <c r="D239" s="87"/>
      <c r="E239" s="87"/>
      <c r="F239" s="88"/>
      <c r="G239" s="87"/>
      <c r="H239" s="88"/>
      <c r="I239" s="88"/>
      <c r="J239" s="362" t="s">
        <v>134</v>
      </c>
      <c r="K239" s="363" t="s">
        <v>135</v>
      </c>
      <c r="L239" s="363"/>
      <c r="M239" s="363"/>
      <c r="N239" s="363"/>
      <c r="O239" s="363" t="s">
        <v>136</v>
      </c>
      <c r="P239" s="363">
        <v>2017</v>
      </c>
      <c r="Q239" s="364" t="s">
        <v>235</v>
      </c>
      <c r="R239" s="365" t="s">
        <v>236</v>
      </c>
      <c r="S239" s="374">
        <v>1.2035087719298243</v>
      </c>
      <c r="T239" s="374">
        <v>0.7</v>
      </c>
      <c r="U239" s="374" t="s">
        <v>237</v>
      </c>
      <c r="V239" s="374"/>
      <c r="W239" s="363" t="s">
        <v>149</v>
      </c>
      <c r="X239" s="363">
        <v>2015</v>
      </c>
      <c r="Y239" s="374"/>
      <c r="Z239" s="363" t="str">
        <f>VLOOKUP(R239,KEY_Processes!$B$4:$E$54,4,FALSE)</f>
        <v>FC_mCHP_03</v>
      </c>
      <c r="AA239" s="363" t="str">
        <f>VLOOKUP(R239,KEY_Processes!$B$4:$E$54,2,FALSE)</f>
        <v>LT-PEMFC (mCHP)</v>
      </c>
      <c r="AB239" s="363" t="str">
        <f>VLOOKUP(U239,KEY_FUELS!$C$4:$D$77,2,FALSE)</f>
        <v>GAS</v>
      </c>
      <c r="AC239" s="363" t="s">
        <v>150</v>
      </c>
      <c r="AD239" s="363" t="s">
        <v>234</v>
      </c>
      <c r="AE239" s="363" t="s">
        <v>152</v>
      </c>
      <c r="AF239" s="366" t="str">
        <f>VLOOKUP(W239,KEY_Other!$B$37:$C$89,2,FALSE)</f>
        <v>DK</v>
      </c>
      <c r="AG239" s="363"/>
      <c r="AH239" s="363" t="str">
        <f>AC239&amp;VLOOKUP(U239,KEY_FUELS!$C$4:$D$78,2,FALSE)</f>
        <v>RSDGAS</v>
      </c>
      <c r="AI239" s="363" t="str">
        <f>IFERROR(AC239&amp;VLOOKUP(V239,KEY_FUELS!$C$4:$D$78,2,FALSE),"")</f>
        <v/>
      </c>
      <c r="AJ239" s="363" t="str">
        <f t="shared" si="69"/>
        <v>RH</v>
      </c>
      <c r="AK239" s="363" t="str">
        <f t="shared" si="70"/>
        <v>RW</v>
      </c>
      <c r="AL239" s="363" t="str">
        <f t="shared" si="71"/>
        <v>RE</v>
      </c>
      <c r="AM239" s="364">
        <v>31.536000000000001</v>
      </c>
      <c r="AN239" s="363">
        <f t="shared" si="73"/>
        <v>2015</v>
      </c>
      <c r="AO239" s="367"/>
      <c r="AP239" s="368"/>
      <c r="AQ239" s="370"/>
      <c r="AR239" s="370"/>
      <c r="AS239" s="370"/>
      <c r="AT239" s="370"/>
      <c r="AU239" s="400">
        <v>2.8999999999999998E-3</v>
      </c>
      <c r="AV239" s="371">
        <v>0.01</v>
      </c>
      <c r="AW239" s="371"/>
      <c r="AX239" s="372"/>
      <c r="AY239" s="368"/>
      <c r="AZ239" s="371">
        <v>0.93</v>
      </c>
      <c r="BA239" s="371">
        <v>0.58799999999999997</v>
      </c>
      <c r="BB239" s="371">
        <v>0.34200000000000003</v>
      </c>
      <c r="BC239" s="376"/>
      <c r="BD239" s="376"/>
      <c r="BE239" s="376"/>
      <c r="BF239" s="363"/>
      <c r="BG239" s="363"/>
      <c r="BH239" s="375"/>
      <c r="BI239" s="363">
        <v>20</v>
      </c>
      <c r="BJ239" s="363"/>
      <c r="BK239" s="372">
        <v>13.7</v>
      </c>
      <c r="BL239" s="376"/>
      <c r="BM239" s="376"/>
      <c r="BN239" s="376"/>
      <c r="BO239" s="376"/>
      <c r="BP239" s="376"/>
      <c r="BQ239" s="376"/>
      <c r="BR239" s="368">
        <v>800</v>
      </c>
      <c r="BS239" s="376"/>
      <c r="BT239" s="364">
        <v>0</v>
      </c>
      <c r="BU239" s="372">
        <v>2</v>
      </c>
      <c r="BV239" s="364">
        <v>2</v>
      </c>
      <c r="BW239" s="364">
        <v>0</v>
      </c>
      <c r="BX239" s="397">
        <v>0</v>
      </c>
    </row>
    <row r="240" spans="1:76" s="226" customFormat="1" x14ac:dyDescent="0.3">
      <c r="A240" s="88"/>
      <c r="B240" s="87"/>
      <c r="C240" s="87"/>
      <c r="D240" s="87"/>
      <c r="E240" s="87"/>
      <c r="F240" s="88"/>
      <c r="G240" s="87"/>
      <c r="H240" s="88"/>
      <c r="I240" s="88"/>
      <c r="J240" s="378" t="s">
        <v>134</v>
      </c>
      <c r="K240" s="379" t="s">
        <v>135</v>
      </c>
      <c r="L240" s="379"/>
      <c r="M240" s="379"/>
      <c r="N240" s="379"/>
      <c r="O240" s="379" t="s">
        <v>136</v>
      </c>
      <c r="P240" s="379">
        <v>2017</v>
      </c>
      <c r="Q240" s="380" t="s">
        <v>235</v>
      </c>
      <c r="R240" s="381" t="s">
        <v>236</v>
      </c>
      <c r="S240" s="390">
        <v>1.19</v>
      </c>
      <c r="T240" s="390">
        <v>0.7</v>
      </c>
      <c r="U240" s="390" t="s">
        <v>237</v>
      </c>
      <c r="V240" s="390"/>
      <c r="W240" s="379" t="s">
        <v>149</v>
      </c>
      <c r="X240" s="379">
        <v>2020</v>
      </c>
      <c r="Y240" s="390"/>
      <c r="Z240" s="379" t="str">
        <f>VLOOKUP(R240,KEY_Processes!$B$4:$E$54,4,FALSE)</f>
        <v>FC_mCHP_03</v>
      </c>
      <c r="AA240" s="379" t="str">
        <f>VLOOKUP(R240,KEY_Processes!$B$4:$E$54,2,FALSE)</f>
        <v>LT-PEMFC (mCHP)</v>
      </c>
      <c r="AB240" s="379" t="str">
        <f>VLOOKUP(U240,KEY_FUELS!$C$4:$D$77,2,FALSE)</f>
        <v>GAS</v>
      </c>
      <c r="AC240" s="379" t="s">
        <v>150</v>
      </c>
      <c r="AD240" s="379" t="s">
        <v>234</v>
      </c>
      <c r="AE240" s="379" t="s">
        <v>152</v>
      </c>
      <c r="AF240" s="382" t="str">
        <f>VLOOKUP(W240,KEY_Other!$B$37:$C$89,2,FALSE)</f>
        <v>DK</v>
      </c>
      <c r="AG240" s="379"/>
      <c r="AH240" s="379" t="str">
        <f>AC240&amp;VLOOKUP(U240,KEY_FUELS!$C$4:$D$78,2,FALSE)</f>
        <v>RSDGAS</v>
      </c>
      <c r="AI240" s="379" t="str">
        <f>IFERROR(AC240&amp;VLOOKUP(V240,KEY_FUELS!$C$4:$D$78,2,FALSE),"")</f>
        <v/>
      </c>
      <c r="AJ240" s="379" t="str">
        <f t="shared" si="69"/>
        <v>RH</v>
      </c>
      <c r="AK240" s="379" t="str">
        <f t="shared" si="70"/>
        <v>RW</v>
      </c>
      <c r="AL240" s="379" t="str">
        <f t="shared" si="71"/>
        <v>RE</v>
      </c>
      <c r="AM240" s="380">
        <v>31.536000000000001</v>
      </c>
      <c r="AN240" s="379">
        <f t="shared" si="73"/>
        <v>2020</v>
      </c>
      <c r="AO240" s="383"/>
      <c r="AP240" s="384"/>
      <c r="AQ240" s="386"/>
      <c r="AR240" s="386"/>
      <c r="AS240" s="386"/>
      <c r="AT240" s="386"/>
      <c r="AU240" s="401">
        <v>2.8999999999999998E-3</v>
      </c>
      <c r="AV240" s="387">
        <v>0.01</v>
      </c>
      <c r="AW240" s="387"/>
      <c r="AX240" s="388"/>
      <c r="AY240" s="384"/>
      <c r="AZ240" s="387">
        <v>0.95</v>
      </c>
      <c r="BA240" s="387">
        <v>0.6</v>
      </c>
      <c r="BB240" s="387">
        <v>0.35</v>
      </c>
      <c r="BC240" s="392"/>
      <c r="BD240" s="392"/>
      <c r="BE240" s="392"/>
      <c r="BF240" s="379"/>
      <c r="BG240" s="379"/>
      <c r="BH240" s="391"/>
      <c r="BI240" s="379">
        <v>20</v>
      </c>
      <c r="BJ240" s="379"/>
      <c r="BK240" s="388">
        <v>12</v>
      </c>
      <c r="BL240" s="392"/>
      <c r="BM240" s="392"/>
      <c r="BN240" s="392"/>
      <c r="BO240" s="392"/>
      <c r="BP240" s="392"/>
      <c r="BQ240" s="392"/>
      <c r="BR240" s="384">
        <v>800</v>
      </c>
      <c r="BS240" s="392"/>
      <c r="BT240" s="380">
        <v>0</v>
      </c>
      <c r="BU240" s="388">
        <v>2</v>
      </c>
      <c r="BV240" s="380">
        <v>2</v>
      </c>
      <c r="BW240" s="380">
        <v>0</v>
      </c>
      <c r="BX240" s="395">
        <v>0</v>
      </c>
    </row>
    <row r="241" spans="1:76" s="226" customFormat="1" x14ac:dyDescent="0.3">
      <c r="A241" s="88"/>
      <c r="B241" s="87"/>
      <c r="C241" s="87"/>
      <c r="D241" s="87"/>
      <c r="E241" s="87"/>
      <c r="F241" s="88"/>
      <c r="G241" s="87"/>
      <c r="H241" s="88"/>
      <c r="I241" s="88"/>
      <c r="J241" s="362" t="s">
        <v>134</v>
      </c>
      <c r="K241" s="363" t="s">
        <v>135</v>
      </c>
      <c r="L241" s="363"/>
      <c r="M241" s="363"/>
      <c r="N241" s="363"/>
      <c r="O241" s="363" t="s">
        <v>136</v>
      </c>
      <c r="P241" s="363">
        <v>2017</v>
      </c>
      <c r="Q241" s="364" t="s">
        <v>235</v>
      </c>
      <c r="R241" s="365" t="s">
        <v>236</v>
      </c>
      <c r="S241" s="374">
        <v>1.21</v>
      </c>
      <c r="T241" s="374">
        <v>0.7</v>
      </c>
      <c r="U241" s="374" t="s">
        <v>237</v>
      </c>
      <c r="V241" s="374"/>
      <c r="W241" s="363" t="s">
        <v>149</v>
      </c>
      <c r="X241" s="363">
        <v>2030</v>
      </c>
      <c r="Y241" s="374"/>
      <c r="Z241" s="363" t="str">
        <f>VLOOKUP(R241,KEY_Processes!$B$4:$E$54,4,FALSE)</f>
        <v>FC_mCHP_03</v>
      </c>
      <c r="AA241" s="363" t="str">
        <f>VLOOKUP(R241,KEY_Processes!$B$4:$E$54,2,FALSE)</f>
        <v>LT-PEMFC (mCHP)</v>
      </c>
      <c r="AB241" s="363" t="str">
        <f>VLOOKUP(U241,KEY_FUELS!$C$4:$D$77,2,FALSE)</f>
        <v>GAS</v>
      </c>
      <c r="AC241" s="363" t="s">
        <v>150</v>
      </c>
      <c r="AD241" s="363" t="s">
        <v>234</v>
      </c>
      <c r="AE241" s="363" t="s">
        <v>152</v>
      </c>
      <c r="AF241" s="366" t="str">
        <f>VLOOKUP(W241,KEY_Other!$B$37:$C$89,2,FALSE)</f>
        <v>DK</v>
      </c>
      <c r="AG241" s="363"/>
      <c r="AH241" s="363" t="str">
        <f>AC241&amp;VLOOKUP(U241,KEY_FUELS!$C$4:$D$78,2,FALSE)</f>
        <v>RSDGAS</v>
      </c>
      <c r="AI241" s="363" t="str">
        <f>IFERROR(AC241&amp;VLOOKUP(V241,KEY_FUELS!$C$4:$D$78,2,FALSE),"")</f>
        <v/>
      </c>
      <c r="AJ241" s="363" t="str">
        <f t="shared" si="69"/>
        <v>RH</v>
      </c>
      <c r="AK241" s="363" t="str">
        <f t="shared" si="70"/>
        <v>RW</v>
      </c>
      <c r="AL241" s="363" t="str">
        <f t="shared" si="71"/>
        <v>RE</v>
      </c>
      <c r="AM241" s="364">
        <v>31.536000000000001</v>
      </c>
      <c r="AN241" s="363">
        <f t="shared" si="73"/>
        <v>2030</v>
      </c>
      <c r="AO241" s="367"/>
      <c r="AP241" s="368"/>
      <c r="AQ241" s="370"/>
      <c r="AR241" s="370"/>
      <c r="AS241" s="370"/>
      <c r="AT241" s="370"/>
      <c r="AU241" s="400">
        <v>2.8999999999999998E-3</v>
      </c>
      <c r="AV241" s="371">
        <v>0.01</v>
      </c>
      <c r="AW241" s="371"/>
      <c r="AX241" s="372"/>
      <c r="AY241" s="368"/>
      <c r="AZ241" s="371">
        <v>0.96</v>
      </c>
      <c r="BA241" s="371">
        <v>0.61</v>
      </c>
      <c r="BB241" s="371">
        <v>0.35</v>
      </c>
      <c r="BC241" s="376"/>
      <c r="BD241" s="376"/>
      <c r="BE241" s="376"/>
      <c r="BF241" s="363"/>
      <c r="BG241" s="363"/>
      <c r="BH241" s="375"/>
      <c r="BI241" s="363">
        <v>20</v>
      </c>
      <c r="BJ241" s="363"/>
      <c r="BK241" s="372">
        <v>9</v>
      </c>
      <c r="BL241" s="376"/>
      <c r="BM241" s="376"/>
      <c r="BN241" s="376"/>
      <c r="BO241" s="376"/>
      <c r="BP241" s="376"/>
      <c r="BQ241" s="376"/>
      <c r="BR241" s="368">
        <v>550</v>
      </c>
      <c r="BS241" s="376"/>
      <c r="BT241" s="364">
        <v>0</v>
      </c>
      <c r="BU241" s="372">
        <v>2</v>
      </c>
      <c r="BV241" s="364">
        <v>2</v>
      </c>
      <c r="BW241" s="364">
        <v>0</v>
      </c>
      <c r="BX241" s="397">
        <v>0</v>
      </c>
    </row>
    <row r="242" spans="1:76" s="226" customFormat="1" x14ac:dyDescent="0.3">
      <c r="A242" s="88"/>
      <c r="B242" s="87"/>
      <c r="C242" s="87"/>
      <c r="D242" s="87"/>
      <c r="E242" s="87"/>
      <c r="F242" s="88"/>
      <c r="G242" s="87"/>
      <c r="H242" s="88"/>
      <c r="I242" s="88"/>
      <c r="J242" s="378" t="s">
        <v>134</v>
      </c>
      <c r="K242" s="379" t="s">
        <v>135</v>
      </c>
      <c r="L242" s="379"/>
      <c r="M242" s="379"/>
      <c r="N242" s="379"/>
      <c r="O242" s="379" t="s">
        <v>136</v>
      </c>
      <c r="P242" s="379">
        <v>2017</v>
      </c>
      <c r="Q242" s="380" t="s">
        <v>235</v>
      </c>
      <c r="R242" s="381" t="s">
        <v>236</v>
      </c>
      <c r="S242" s="390">
        <v>1.21</v>
      </c>
      <c r="T242" s="390">
        <v>0.7</v>
      </c>
      <c r="U242" s="390" t="s">
        <v>237</v>
      </c>
      <c r="V242" s="390"/>
      <c r="W242" s="379" t="s">
        <v>149</v>
      </c>
      <c r="X242" s="379">
        <v>2050</v>
      </c>
      <c r="Y242" s="390"/>
      <c r="Z242" s="379" t="str">
        <f>VLOOKUP(R242,KEY_Processes!$B$4:$E$54,4,FALSE)</f>
        <v>FC_mCHP_03</v>
      </c>
      <c r="AA242" s="379" t="str">
        <f>VLOOKUP(R242,KEY_Processes!$B$4:$E$54,2,FALSE)</f>
        <v>LT-PEMFC (mCHP)</v>
      </c>
      <c r="AB242" s="379" t="str">
        <f>VLOOKUP(U242,KEY_FUELS!$C$4:$D$77,2,FALSE)</f>
        <v>GAS</v>
      </c>
      <c r="AC242" s="379" t="s">
        <v>150</v>
      </c>
      <c r="AD242" s="379" t="s">
        <v>234</v>
      </c>
      <c r="AE242" s="379" t="s">
        <v>152</v>
      </c>
      <c r="AF242" s="382" t="str">
        <f>VLOOKUP(W242,KEY_Other!$B$37:$C$89,2,FALSE)</f>
        <v>DK</v>
      </c>
      <c r="AG242" s="379"/>
      <c r="AH242" s="379" t="str">
        <f>AC242&amp;VLOOKUP(U242,KEY_FUELS!$C$4:$D$78,2,FALSE)</f>
        <v>RSDGAS</v>
      </c>
      <c r="AI242" s="379" t="str">
        <f>IFERROR(AC242&amp;VLOOKUP(V242,KEY_FUELS!$C$4:$D$78,2,FALSE),"")</f>
        <v/>
      </c>
      <c r="AJ242" s="379" t="str">
        <f t="shared" si="69"/>
        <v>RH</v>
      </c>
      <c r="AK242" s="379" t="str">
        <f t="shared" si="70"/>
        <v>RW</v>
      </c>
      <c r="AL242" s="379" t="str">
        <f t="shared" si="71"/>
        <v>RE</v>
      </c>
      <c r="AM242" s="380">
        <v>31.536000000000001</v>
      </c>
      <c r="AN242" s="379">
        <f t="shared" si="73"/>
        <v>2050</v>
      </c>
      <c r="AO242" s="383"/>
      <c r="AP242" s="384"/>
      <c r="AQ242" s="386"/>
      <c r="AR242" s="386"/>
      <c r="AS242" s="386"/>
      <c r="AT242" s="386"/>
      <c r="AU242" s="401">
        <v>2.8999999999999998E-3</v>
      </c>
      <c r="AV242" s="387">
        <v>0.01</v>
      </c>
      <c r="AW242" s="387"/>
      <c r="AX242" s="388"/>
      <c r="AY242" s="384"/>
      <c r="AZ242" s="387">
        <v>0.96</v>
      </c>
      <c r="BA242" s="387">
        <v>0.61</v>
      </c>
      <c r="BB242" s="387">
        <v>0.35</v>
      </c>
      <c r="BC242" s="392"/>
      <c r="BD242" s="392"/>
      <c r="BE242" s="392"/>
      <c r="BF242" s="379"/>
      <c r="BG242" s="379"/>
      <c r="BH242" s="391"/>
      <c r="BI242" s="379">
        <v>20</v>
      </c>
      <c r="BJ242" s="379"/>
      <c r="BK242" s="388">
        <v>7</v>
      </c>
      <c r="BL242" s="392"/>
      <c r="BM242" s="392"/>
      <c r="BN242" s="392"/>
      <c r="BO242" s="392"/>
      <c r="BP242" s="392"/>
      <c r="BQ242" s="392"/>
      <c r="BR242" s="384">
        <v>450</v>
      </c>
      <c r="BS242" s="392"/>
      <c r="BT242" s="380">
        <v>0</v>
      </c>
      <c r="BU242" s="388">
        <v>2</v>
      </c>
      <c r="BV242" s="380">
        <v>2</v>
      </c>
      <c r="BW242" s="380">
        <v>0</v>
      </c>
      <c r="BX242" s="395">
        <v>0</v>
      </c>
    </row>
    <row r="243" spans="1:76" s="321" customFormat="1" x14ac:dyDescent="0.3">
      <c r="A243" s="319"/>
      <c r="B243" s="320"/>
      <c r="C243" s="320"/>
      <c r="D243" s="320"/>
      <c r="E243" s="320"/>
      <c r="F243" s="319"/>
      <c r="G243" s="320"/>
      <c r="H243" s="319"/>
      <c r="I243" s="319"/>
      <c r="J243" s="402" t="s">
        <v>238</v>
      </c>
      <c r="K243" s="403" t="s">
        <v>135</v>
      </c>
      <c r="L243" s="403"/>
      <c r="M243" s="403" t="s">
        <v>239</v>
      </c>
      <c r="N243" s="403" t="s">
        <v>240</v>
      </c>
      <c r="O243" s="403" t="s">
        <v>136</v>
      </c>
      <c r="P243" s="403">
        <v>2018</v>
      </c>
      <c r="Q243" s="404" t="s">
        <v>241</v>
      </c>
      <c r="R243" s="405" t="s">
        <v>242</v>
      </c>
      <c r="S243" s="403"/>
      <c r="T243" s="403"/>
      <c r="U243" s="403" t="s">
        <v>189</v>
      </c>
      <c r="V243" s="403" t="s">
        <v>190</v>
      </c>
      <c r="W243" s="403" t="s">
        <v>243</v>
      </c>
      <c r="X243" s="403">
        <v>2019</v>
      </c>
      <c r="Y243" s="403"/>
      <c r="Z243" s="403" t="str">
        <f>VLOOKUP(R243,KEY_Processes!$C$55:$E$130,3,FALSE)</f>
        <v>C_CAL_ELC01</v>
      </c>
      <c r="AA243" s="403" t="str">
        <f>VLOOKUP(R243,KEY_Processes!$C$55:$E$130,2,FALSE)</f>
        <v>C_AirChiller_ELC_LARGE</v>
      </c>
      <c r="AB243" s="403" t="str">
        <f>VLOOKUP(U243,KEY_FUELS!$C$4:$D$77,2,FALSE)</f>
        <v>ELC</v>
      </c>
      <c r="AC243" s="403" t="s">
        <v>150</v>
      </c>
      <c r="AD243" s="403" t="s">
        <v>244</v>
      </c>
      <c r="AE243" s="403" t="s">
        <v>152</v>
      </c>
      <c r="AF243" s="406" t="str">
        <f>VLOOKUP(W243,KEY_Other!$B$37:$C$89,2,FALSE)</f>
        <v>EUR</v>
      </c>
      <c r="AG243" s="403"/>
      <c r="AH243" s="403" t="str">
        <f>AC243&amp;VLOOKUP(U243,KEY_FUELS!$C$4:$D$78,2,FALSE)</f>
        <v>RSDELC</v>
      </c>
      <c r="AI243" s="403" t="str">
        <f>IFERROR(AC243&amp;VLOOKUP(V243,KEY_FUELS!$C$4:$D$78,2,FALSE),"")</f>
        <v>RSDAHT</v>
      </c>
      <c r="AJ243" s="403" t="str">
        <f>LEFT(AC243,1)&amp;LEFT(AA243,1)&amp;AD243</f>
        <v>RCAP</v>
      </c>
      <c r="AK243" s="403" t="str">
        <f>IF(FIND("_",Z243)=3,LEFT(AC243,1)&amp;MID(Z243,2,1)&amp;AD243,IF(FIND("_",Z243)=3,LEFT(AC243,1)&amp;MID(Z243,2,1)&amp;AD243,""))</f>
        <v/>
      </c>
      <c r="AL243" s="403" t="str">
        <f>IF(FIND("_",Z243)=4,LEFT(AC243,1)&amp;MID(Z243,3,1)&amp;AD243,"")</f>
        <v/>
      </c>
      <c r="AM243" s="407">
        <v>31.536000000000001</v>
      </c>
      <c r="AN243" s="403">
        <v>2019</v>
      </c>
      <c r="AO243" s="408"/>
      <c r="AP243" s="409"/>
      <c r="AQ243" s="410"/>
      <c r="AR243" s="410"/>
      <c r="AS243" s="410"/>
      <c r="AT243" s="410"/>
      <c r="AU243" s="411"/>
      <c r="AV243" s="411"/>
      <c r="AW243" s="411"/>
      <c r="AX243" s="412"/>
      <c r="AY243" s="413"/>
      <c r="AZ243" s="411">
        <v>4.5</v>
      </c>
      <c r="BA243" s="411"/>
      <c r="BB243" s="411"/>
      <c r="BC243" s="414"/>
      <c r="BD243" s="415"/>
      <c r="BE243" s="415"/>
      <c r="BF243" s="403"/>
      <c r="BG243" s="403"/>
      <c r="BH243" s="414"/>
      <c r="BI243" s="403">
        <v>20</v>
      </c>
      <c r="BJ243" s="403"/>
      <c r="BK243" s="416">
        <v>120</v>
      </c>
      <c r="BL243" s="403"/>
      <c r="BM243" s="403"/>
      <c r="BN243" s="403"/>
      <c r="BO243" s="403"/>
      <c r="BP243" s="403"/>
      <c r="BQ243" s="403"/>
      <c r="BR243" s="417">
        <v>2.2139534883720935</v>
      </c>
      <c r="BS243" s="403"/>
      <c r="BT243" s="418"/>
      <c r="BU243" s="418"/>
      <c r="BV243" s="418"/>
      <c r="BW243" s="418"/>
      <c r="BX243" s="419"/>
    </row>
    <row r="244" spans="1:76" x14ac:dyDescent="0.3">
      <c r="A244" s="88"/>
      <c r="B244" s="5"/>
      <c r="C244" s="5"/>
      <c r="D244" s="5"/>
      <c r="E244" s="5"/>
      <c r="F244" s="88"/>
      <c r="G244" s="5"/>
      <c r="H244" s="88"/>
      <c r="I244" s="88"/>
      <c r="J244" s="378" t="s">
        <v>238</v>
      </c>
      <c r="K244" s="379" t="s">
        <v>135</v>
      </c>
      <c r="L244" s="379"/>
      <c r="M244" s="379" t="s">
        <v>239</v>
      </c>
      <c r="N244" s="379" t="s">
        <v>240</v>
      </c>
      <c r="O244" s="379" t="s">
        <v>136</v>
      </c>
      <c r="P244" s="379">
        <v>2018</v>
      </c>
      <c r="Q244" s="420" t="s">
        <v>241</v>
      </c>
      <c r="R244" s="421" t="s">
        <v>242</v>
      </c>
      <c r="S244" s="379"/>
      <c r="T244" s="379"/>
      <c r="U244" s="379" t="s">
        <v>189</v>
      </c>
      <c r="V244" s="379" t="s">
        <v>190</v>
      </c>
      <c r="W244" s="379" t="s">
        <v>243</v>
      </c>
      <c r="X244" s="379">
        <v>2030</v>
      </c>
      <c r="Y244" s="379"/>
      <c r="Z244" s="379" t="str">
        <f>VLOOKUP(R244,KEY_Processes!$C$55:$E$130,3,FALSE)</f>
        <v>C_CAL_ELC01</v>
      </c>
      <c r="AA244" s="379" t="str">
        <f>VLOOKUP(R244,KEY_Processes!$C$55:$E$130,2,FALSE)</f>
        <v>C_AirChiller_ELC_LARGE</v>
      </c>
      <c r="AB244" s="379" t="str">
        <f>VLOOKUP(U244,KEY_FUELS!$C$4:$D$77,2,FALSE)</f>
        <v>ELC</v>
      </c>
      <c r="AC244" s="379" t="s">
        <v>150</v>
      </c>
      <c r="AD244" s="379" t="s">
        <v>244</v>
      </c>
      <c r="AE244" s="379" t="s">
        <v>152</v>
      </c>
      <c r="AF244" s="382" t="str">
        <f>VLOOKUP(W244,KEY_Other!$B$37:$C$89,2,FALSE)</f>
        <v>EUR</v>
      </c>
      <c r="AG244" s="379"/>
      <c r="AH244" s="379" t="str">
        <f>AC244&amp;VLOOKUP(U244,KEY_FUELS!$C$4:$D$78,2,FALSE)</f>
        <v>RSDELC</v>
      </c>
      <c r="AI244" s="379" t="str">
        <f>IFERROR(AC244&amp;VLOOKUP(V244,KEY_FUELS!$C$4:$D$78,2,FALSE),"")</f>
        <v>RSDAHT</v>
      </c>
      <c r="AJ244" s="379" t="str">
        <f t="shared" ref="AJ244:AJ346" si="78">LEFT(AC244,1)&amp;LEFT(AA244,1)&amp;AD244</f>
        <v>RCAP</v>
      </c>
      <c r="AK244" s="379" t="str">
        <f t="shared" ref="AK244:AK307" si="79">IF(FIND("_",Z244)=3,LEFT(AC244,1)&amp;MID(Z244,2,1)&amp;AD244,IF(FIND("_",Z244)=3,LEFT(AC244,1)&amp;MID(Z244,2,1)&amp;AD244,""))</f>
        <v/>
      </c>
      <c r="AL244" s="379" t="str">
        <f t="shared" ref="AL244:AL307" si="80">IF(FIND("_",Z244)=4,LEFT(AC244,1)&amp;MID(Z244,3,1)&amp;AD244,"")</f>
        <v/>
      </c>
      <c r="AM244" s="380">
        <v>31.536000000000001</v>
      </c>
      <c r="AN244" s="379">
        <v>2030</v>
      </c>
      <c r="AO244" s="422"/>
      <c r="AP244" s="423"/>
      <c r="AQ244" s="424"/>
      <c r="AR244" s="424"/>
      <c r="AS244" s="424"/>
      <c r="AT244" s="424"/>
      <c r="AU244" s="425"/>
      <c r="AV244" s="425"/>
      <c r="AW244" s="425"/>
      <c r="AX244" s="426"/>
      <c r="AY244" s="392"/>
      <c r="AZ244" s="425">
        <v>6</v>
      </c>
      <c r="BA244" s="425"/>
      <c r="BB244" s="425"/>
      <c r="BC244" s="427"/>
      <c r="BD244" s="390"/>
      <c r="BE244" s="390"/>
      <c r="BF244" s="379"/>
      <c r="BG244" s="379"/>
      <c r="BH244" s="427"/>
      <c r="BI244" s="379">
        <v>20</v>
      </c>
      <c r="BJ244" s="379"/>
      <c r="BK244" s="428">
        <v>297</v>
      </c>
      <c r="BL244" s="379"/>
      <c r="BM244" s="379"/>
      <c r="BN244" s="379"/>
      <c r="BO244" s="379"/>
      <c r="BP244" s="379"/>
      <c r="BQ244" s="379"/>
      <c r="BR244" s="429">
        <v>2.2139534883720935</v>
      </c>
      <c r="BS244" s="379"/>
      <c r="BT244" s="430"/>
      <c r="BU244" s="430"/>
      <c r="BV244" s="430"/>
      <c r="BW244" s="430"/>
      <c r="BX244" s="431"/>
    </row>
    <row r="245" spans="1:76" x14ac:dyDescent="0.3">
      <c r="A245" s="88"/>
      <c r="B245" s="5"/>
      <c r="C245" s="5"/>
      <c r="D245" s="5"/>
      <c r="E245" s="5"/>
      <c r="F245" s="88"/>
      <c r="G245" s="5"/>
      <c r="H245" s="88"/>
      <c r="I245" s="88"/>
      <c r="J245" s="362" t="s">
        <v>238</v>
      </c>
      <c r="K245" s="363" t="s">
        <v>135</v>
      </c>
      <c r="L245" s="363"/>
      <c r="M245" s="363" t="s">
        <v>239</v>
      </c>
      <c r="N245" s="363" t="s">
        <v>240</v>
      </c>
      <c r="O245" s="363" t="s">
        <v>136</v>
      </c>
      <c r="P245" s="363">
        <v>2018</v>
      </c>
      <c r="Q245" s="432" t="s">
        <v>245</v>
      </c>
      <c r="R245" s="433" t="s">
        <v>246</v>
      </c>
      <c r="S245" s="363"/>
      <c r="T245" s="363"/>
      <c r="U245" s="363" t="s">
        <v>189</v>
      </c>
      <c r="V245" s="363" t="s">
        <v>190</v>
      </c>
      <c r="W245" s="363" t="s">
        <v>243</v>
      </c>
      <c r="X245" s="363">
        <v>2019</v>
      </c>
      <c r="Y245" s="363"/>
      <c r="Z245" s="363" t="str">
        <f>VLOOKUP(R245,KEY_Processes!$C$55:$E$130,3,FALSE)</f>
        <v>H_AHPL_ELC01</v>
      </c>
      <c r="AA245" s="363" t="str">
        <f>VLOOKUP(R245,KEY_Processes!$C$55:$E$130,2,FALSE)</f>
        <v>H_AirHeatPump_ELC_LARGE</v>
      </c>
      <c r="AB245" s="363" t="str">
        <f>VLOOKUP(U245,KEY_FUELS!$C$4:$D$77,2,FALSE)</f>
        <v>ELC</v>
      </c>
      <c r="AC245" s="363" t="s">
        <v>150</v>
      </c>
      <c r="AD245" s="363" t="s">
        <v>244</v>
      </c>
      <c r="AE245" s="363" t="s">
        <v>152</v>
      </c>
      <c r="AF245" s="366" t="str">
        <f>VLOOKUP(W245,KEY_Other!$B$37:$C$89,2,FALSE)</f>
        <v>EUR</v>
      </c>
      <c r="AG245" s="363"/>
      <c r="AH245" s="363" t="str">
        <f>AC245&amp;VLOOKUP(U245,KEY_FUELS!$C$4:$D$78,2,FALSE)</f>
        <v>RSDELC</v>
      </c>
      <c r="AI245" s="363" t="str">
        <f>IFERROR(AC245&amp;VLOOKUP(V245,KEY_FUELS!$C$4:$D$78,2,FALSE),"")</f>
        <v>RSDAHT</v>
      </c>
      <c r="AJ245" s="363" t="str">
        <f t="shared" si="78"/>
        <v>RHAP</v>
      </c>
      <c r="AK245" s="363" t="str">
        <f t="shared" si="79"/>
        <v/>
      </c>
      <c r="AL245" s="363" t="str">
        <f t="shared" si="80"/>
        <v/>
      </c>
      <c r="AM245" s="364">
        <v>31.536000000000001</v>
      </c>
      <c r="AN245" s="363">
        <v>2019</v>
      </c>
      <c r="AO245" s="434"/>
      <c r="AP245" s="435"/>
      <c r="AQ245" s="436"/>
      <c r="AR245" s="436"/>
      <c r="AS245" s="436"/>
      <c r="AT245" s="436"/>
      <c r="AU245" s="437"/>
      <c r="AV245" s="437"/>
      <c r="AW245" s="437"/>
      <c r="AX245" s="438"/>
      <c r="AY245" s="376">
        <v>3.84</v>
      </c>
      <c r="AZ245" s="437">
        <v>3.84</v>
      </c>
      <c r="BA245" s="437"/>
      <c r="BB245" s="437"/>
      <c r="BC245" s="439"/>
      <c r="BD245" s="374"/>
      <c r="BE245" s="374"/>
      <c r="BF245" s="363"/>
      <c r="BG245" s="363"/>
      <c r="BH245" s="439"/>
      <c r="BI245" s="363">
        <v>20</v>
      </c>
      <c r="BJ245" s="363"/>
      <c r="BK245" s="440">
        <v>130</v>
      </c>
      <c r="BL245" s="363"/>
      <c r="BM245" s="363"/>
      <c r="BN245" s="363"/>
      <c r="BO245" s="363"/>
      <c r="BP245" s="363"/>
      <c r="BQ245" s="363"/>
      <c r="BR245" s="441">
        <v>2.2139534883720935</v>
      </c>
      <c r="BS245" s="363"/>
      <c r="BT245" s="442"/>
      <c r="BU245" s="442"/>
      <c r="BV245" s="442"/>
      <c r="BW245" s="442"/>
      <c r="BX245" s="443"/>
    </row>
    <row r="246" spans="1:76" x14ac:dyDescent="0.3">
      <c r="A246" s="88"/>
      <c r="B246" s="5"/>
      <c r="C246" s="5"/>
      <c r="D246" s="5"/>
      <c r="E246" s="5"/>
      <c r="F246" s="88"/>
      <c r="G246" s="5"/>
      <c r="H246" s="88"/>
      <c r="I246" s="88"/>
      <c r="J246" s="378" t="s">
        <v>238</v>
      </c>
      <c r="K246" s="379" t="s">
        <v>135</v>
      </c>
      <c r="L246" s="379"/>
      <c r="M246" s="379" t="s">
        <v>239</v>
      </c>
      <c r="N246" s="379" t="s">
        <v>240</v>
      </c>
      <c r="O246" s="379" t="s">
        <v>136</v>
      </c>
      <c r="P246" s="379">
        <v>2018</v>
      </c>
      <c r="Q246" s="420" t="s">
        <v>245</v>
      </c>
      <c r="R246" s="421" t="s">
        <v>246</v>
      </c>
      <c r="S246" s="379"/>
      <c r="T246" s="379"/>
      <c r="U246" s="379" t="s">
        <v>189</v>
      </c>
      <c r="V246" s="379" t="s">
        <v>190</v>
      </c>
      <c r="W246" s="379" t="s">
        <v>243</v>
      </c>
      <c r="X246" s="379">
        <v>2030</v>
      </c>
      <c r="Y246" s="379"/>
      <c r="Z246" s="379" t="str">
        <f>VLOOKUP(R246,KEY_Processes!$C$55:$E$130,3,FALSE)</f>
        <v>H_AHPL_ELC01</v>
      </c>
      <c r="AA246" s="379" t="str">
        <f>VLOOKUP(R246,KEY_Processes!$C$55:$E$130,2,FALSE)</f>
        <v>H_AirHeatPump_ELC_LARGE</v>
      </c>
      <c r="AB246" s="379" t="str">
        <f>VLOOKUP(U246,KEY_FUELS!$C$4:$D$77,2,FALSE)</f>
        <v>ELC</v>
      </c>
      <c r="AC246" s="379" t="s">
        <v>150</v>
      </c>
      <c r="AD246" s="379" t="s">
        <v>244</v>
      </c>
      <c r="AE246" s="379" t="s">
        <v>152</v>
      </c>
      <c r="AF246" s="382" t="str">
        <f>VLOOKUP(W246,KEY_Other!$B$37:$C$89,2,FALSE)</f>
        <v>EUR</v>
      </c>
      <c r="AG246" s="379"/>
      <c r="AH246" s="379" t="str">
        <f>AC246&amp;VLOOKUP(U246,KEY_FUELS!$C$4:$D$78,2,FALSE)</f>
        <v>RSDELC</v>
      </c>
      <c r="AI246" s="379" t="str">
        <f>IFERROR(AC246&amp;VLOOKUP(V246,KEY_FUELS!$C$4:$D$78,2,FALSE),"")</f>
        <v>RSDAHT</v>
      </c>
      <c r="AJ246" s="379" t="str">
        <f t="shared" si="78"/>
        <v>RHAP</v>
      </c>
      <c r="AK246" s="379" t="str">
        <f t="shared" si="79"/>
        <v/>
      </c>
      <c r="AL246" s="379" t="str">
        <f t="shared" si="80"/>
        <v/>
      </c>
      <c r="AM246" s="380">
        <v>31.536000000000001</v>
      </c>
      <c r="AN246" s="379">
        <v>2030</v>
      </c>
      <c r="AO246" s="422"/>
      <c r="AP246" s="423"/>
      <c r="AQ246" s="424"/>
      <c r="AR246" s="424"/>
      <c r="AS246" s="424"/>
      <c r="AT246" s="424"/>
      <c r="AU246" s="425"/>
      <c r="AV246" s="425"/>
      <c r="AW246" s="425"/>
      <c r="AX246" s="423"/>
      <c r="AY246" s="379">
        <v>6.12</v>
      </c>
      <c r="AZ246" s="425">
        <v>6.12</v>
      </c>
      <c r="BA246" s="425"/>
      <c r="BB246" s="425"/>
      <c r="BC246" s="427"/>
      <c r="BD246" s="390"/>
      <c r="BE246" s="390"/>
      <c r="BF246" s="379"/>
      <c r="BG246" s="379"/>
      <c r="BH246" s="427"/>
      <c r="BI246" s="379">
        <v>20</v>
      </c>
      <c r="BJ246" s="379"/>
      <c r="BK246" s="428">
        <v>180</v>
      </c>
      <c r="BL246" s="379"/>
      <c r="BM246" s="379"/>
      <c r="BN246" s="379"/>
      <c r="BO246" s="379"/>
      <c r="BP246" s="379"/>
      <c r="BQ246" s="379"/>
      <c r="BR246" s="429">
        <v>2.2139534883720935</v>
      </c>
      <c r="BS246" s="379"/>
      <c r="BT246" s="430"/>
      <c r="BU246" s="430"/>
      <c r="BV246" s="430"/>
      <c r="BW246" s="430"/>
      <c r="BX246" s="431"/>
    </row>
    <row r="247" spans="1:76" x14ac:dyDescent="0.3">
      <c r="A247" s="88"/>
      <c r="B247" s="5"/>
      <c r="C247" s="5"/>
      <c r="D247" s="5"/>
      <c r="E247" s="5"/>
      <c r="F247" s="88"/>
      <c r="G247" s="5"/>
      <c r="H247" s="88"/>
      <c r="I247" s="88"/>
      <c r="J247" s="362" t="s">
        <v>238</v>
      </c>
      <c r="K247" s="363" t="s">
        <v>135</v>
      </c>
      <c r="L247" s="363"/>
      <c r="M247" s="363" t="s">
        <v>239</v>
      </c>
      <c r="N247" s="363" t="s">
        <v>240</v>
      </c>
      <c r="O247" s="363" t="s">
        <v>136</v>
      </c>
      <c r="P247" s="363">
        <v>2018</v>
      </c>
      <c r="Q247" s="432" t="s">
        <v>245</v>
      </c>
      <c r="R247" s="433" t="s">
        <v>247</v>
      </c>
      <c r="S247" s="363"/>
      <c r="T247" s="363"/>
      <c r="U247" s="363" t="s">
        <v>189</v>
      </c>
      <c r="V247" s="363" t="s">
        <v>190</v>
      </c>
      <c r="W247" s="363" t="s">
        <v>243</v>
      </c>
      <c r="X247" s="363">
        <v>2019</v>
      </c>
      <c r="Y247" s="363"/>
      <c r="Z247" s="363" t="str">
        <f>VLOOKUP(R247,KEY_Processes!$C$55:$E$130,3,FALSE)</f>
        <v>HW_AHPL_ELC01</v>
      </c>
      <c r="AA247" s="363" t="str">
        <f>VLOOKUP(R247,KEY_Processes!$C$55:$E$130,2,FALSE)</f>
        <v>HW_AirHeatPump_ELC_LARGE</v>
      </c>
      <c r="AB247" s="363" t="str">
        <f>VLOOKUP(U247,KEY_FUELS!$C$4:$D$77,2,FALSE)</f>
        <v>ELC</v>
      </c>
      <c r="AC247" s="363" t="s">
        <v>150</v>
      </c>
      <c r="AD247" s="363" t="s">
        <v>244</v>
      </c>
      <c r="AE247" s="363" t="s">
        <v>152</v>
      </c>
      <c r="AF247" s="366" t="str">
        <f>VLOOKUP(W247,KEY_Other!$B$37:$C$89,2,FALSE)</f>
        <v>EUR</v>
      </c>
      <c r="AG247" s="363"/>
      <c r="AH247" s="363" t="str">
        <f>AC247&amp;VLOOKUP(U247,KEY_FUELS!$C$4:$D$78,2,FALSE)</f>
        <v>RSDELC</v>
      </c>
      <c r="AI247" s="363" t="str">
        <f>IFERROR(AC247&amp;VLOOKUP(V247,KEY_FUELS!$C$4:$D$78,2,FALSE),"")</f>
        <v>RSDAHT</v>
      </c>
      <c r="AJ247" s="363" t="str">
        <f t="shared" si="78"/>
        <v>RHAP</v>
      </c>
      <c r="AK247" s="363" t="str">
        <f t="shared" si="79"/>
        <v>RWAP</v>
      </c>
      <c r="AL247" s="363" t="str">
        <f t="shared" si="80"/>
        <v/>
      </c>
      <c r="AM247" s="364">
        <v>31.536000000000001</v>
      </c>
      <c r="AN247" s="363">
        <v>2019</v>
      </c>
      <c r="AO247" s="434">
        <v>1</v>
      </c>
      <c r="AP247" s="435"/>
      <c r="AQ247" s="436"/>
      <c r="AR247" s="436"/>
      <c r="AS247" s="436"/>
      <c r="AT247" s="436" t="s">
        <v>161</v>
      </c>
      <c r="AU247" s="370">
        <v>0.48</v>
      </c>
      <c r="AV247" s="444"/>
      <c r="AW247" s="444"/>
      <c r="AX247" s="435"/>
      <c r="AY247" s="363">
        <v>3.3719999999999999</v>
      </c>
      <c r="AZ247" s="437">
        <v>3.3719999999999999</v>
      </c>
      <c r="BA247" s="437"/>
      <c r="BB247" s="437"/>
      <c r="BC247" s="439"/>
      <c r="BD247" s="374"/>
      <c r="BE247" s="374"/>
      <c r="BF247" s="363"/>
      <c r="BG247" s="363"/>
      <c r="BH247" s="439"/>
      <c r="BI247" s="363">
        <v>20</v>
      </c>
      <c r="BJ247" s="363"/>
      <c r="BK247" s="440">
        <v>246</v>
      </c>
      <c r="BL247" s="363"/>
      <c r="BM247" s="363"/>
      <c r="BN247" s="363"/>
      <c r="BO247" s="363"/>
      <c r="BP247" s="363"/>
      <c r="BQ247" s="363"/>
      <c r="BR247" s="441">
        <v>2.2139534883720935</v>
      </c>
      <c r="BS247" s="363"/>
      <c r="BT247" s="442"/>
      <c r="BU247" s="442"/>
      <c r="BV247" s="442"/>
      <c r="BW247" s="442"/>
      <c r="BX247" s="443"/>
    </row>
    <row r="248" spans="1:76" x14ac:dyDescent="0.3">
      <c r="A248" s="88"/>
      <c r="B248" s="5"/>
      <c r="C248" s="5"/>
      <c r="D248" s="5"/>
      <c r="E248" s="5"/>
      <c r="F248" s="88"/>
      <c r="G248" s="5"/>
      <c r="H248" s="88"/>
      <c r="I248" s="88"/>
      <c r="J248" s="378" t="s">
        <v>238</v>
      </c>
      <c r="K248" s="379" t="s">
        <v>135</v>
      </c>
      <c r="L248" s="379"/>
      <c r="M248" s="379" t="s">
        <v>239</v>
      </c>
      <c r="N248" s="379" t="s">
        <v>240</v>
      </c>
      <c r="O248" s="379" t="s">
        <v>136</v>
      </c>
      <c r="P248" s="379">
        <v>2018</v>
      </c>
      <c r="Q248" s="420" t="s">
        <v>245</v>
      </c>
      <c r="R248" s="421" t="s">
        <v>247</v>
      </c>
      <c r="S248" s="379"/>
      <c r="T248" s="379"/>
      <c r="U248" s="379" t="s">
        <v>189</v>
      </c>
      <c r="V248" s="379" t="s">
        <v>190</v>
      </c>
      <c r="W248" s="379" t="s">
        <v>243</v>
      </c>
      <c r="X248" s="379">
        <v>2019</v>
      </c>
      <c r="Y248" s="379"/>
      <c r="Z248" s="379" t="str">
        <f>VLOOKUP(R248,KEY_Processes!$C$55:$E$130,3,FALSE)</f>
        <v>HW_AHPL_ELC01</v>
      </c>
      <c r="AA248" s="379" t="str">
        <f>VLOOKUP(R248,KEY_Processes!$C$55:$E$130,2,FALSE)</f>
        <v>HW_AirHeatPump_ELC_LARGE</v>
      </c>
      <c r="AB248" s="379" t="str">
        <f>VLOOKUP(U248,KEY_FUELS!$C$4:$D$77,2,FALSE)</f>
        <v>ELC</v>
      </c>
      <c r="AC248" s="379" t="s">
        <v>150</v>
      </c>
      <c r="AD248" s="379" t="s">
        <v>244</v>
      </c>
      <c r="AE248" s="379" t="s">
        <v>152</v>
      </c>
      <c r="AF248" s="382" t="str">
        <f>VLOOKUP(W248,KEY_Other!$B$37:$C$89,2,FALSE)</f>
        <v>EUR</v>
      </c>
      <c r="AG248" s="379"/>
      <c r="AH248" s="379" t="str">
        <f>AC248&amp;VLOOKUP(U248,KEY_FUELS!$C$4:$D$78,2,FALSE)</f>
        <v>RSDELC</v>
      </c>
      <c r="AI248" s="379" t="str">
        <f>IFERROR(AC248&amp;VLOOKUP(V248,KEY_FUELS!$C$4:$D$78,2,FALSE),"")</f>
        <v>RSDAHT</v>
      </c>
      <c r="AJ248" s="379" t="str">
        <f t="shared" ref="AJ248" si="81">LEFT(AC248,1)&amp;LEFT(AA248,1)&amp;AD248</f>
        <v>RHAP</v>
      </c>
      <c r="AK248" s="379" t="str">
        <f t="shared" si="79"/>
        <v>RWAP</v>
      </c>
      <c r="AL248" s="379" t="str">
        <f t="shared" si="80"/>
        <v/>
      </c>
      <c r="AM248" s="380">
        <v>31.536000000000001</v>
      </c>
      <c r="AN248" s="379">
        <v>2019</v>
      </c>
      <c r="AO248" s="422">
        <v>1</v>
      </c>
      <c r="AP248" s="423"/>
      <c r="AQ248" s="424"/>
      <c r="AR248" s="424"/>
      <c r="AS248" s="424"/>
      <c r="AT248" s="424" t="s">
        <v>248</v>
      </c>
      <c r="AU248" s="386">
        <v>0.55000000000000004</v>
      </c>
      <c r="AV248" s="386"/>
      <c r="AW248" s="386"/>
      <c r="AX248" s="423"/>
      <c r="AY248" s="379">
        <v>3.3719999999999999</v>
      </c>
      <c r="AZ248" s="425">
        <v>3.3719999999999999</v>
      </c>
      <c r="BA248" s="425"/>
      <c r="BB248" s="425"/>
      <c r="BC248" s="427"/>
      <c r="BD248" s="390"/>
      <c r="BE248" s="390"/>
      <c r="BF248" s="379"/>
      <c r="BG248" s="379"/>
      <c r="BH248" s="427"/>
      <c r="BI248" s="379">
        <v>20</v>
      </c>
      <c r="BJ248" s="379"/>
      <c r="BK248" s="428">
        <v>246</v>
      </c>
      <c r="BL248" s="379"/>
      <c r="BM248" s="379"/>
      <c r="BN248" s="379"/>
      <c r="BO248" s="379"/>
      <c r="BP248" s="379"/>
      <c r="BQ248" s="379"/>
      <c r="BR248" s="429">
        <v>2.2139534883720935</v>
      </c>
      <c r="BS248" s="379"/>
      <c r="BT248" s="430"/>
      <c r="BU248" s="430"/>
      <c r="BV248" s="430"/>
      <c r="BW248" s="430"/>
      <c r="BX248" s="431"/>
    </row>
    <row r="249" spans="1:76" x14ac:dyDescent="0.3">
      <c r="A249" s="88"/>
      <c r="B249" s="5"/>
      <c r="C249" s="5"/>
      <c r="D249" s="5"/>
      <c r="E249" s="5"/>
      <c r="F249" s="88"/>
      <c r="G249" s="5"/>
      <c r="H249" s="88"/>
      <c r="I249" s="88"/>
      <c r="J249" s="362" t="s">
        <v>238</v>
      </c>
      <c r="K249" s="363" t="s">
        <v>135</v>
      </c>
      <c r="L249" s="363"/>
      <c r="M249" s="363" t="s">
        <v>239</v>
      </c>
      <c r="N249" s="363" t="s">
        <v>240</v>
      </c>
      <c r="O249" s="363" t="s">
        <v>136</v>
      </c>
      <c r="P249" s="363">
        <v>2018</v>
      </c>
      <c r="Q249" s="432" t="s">
        <v>245</v>
      </c>
      <c r="R249" s="433" t="s">
        <v>247</v>
      </c>
      <c r="S249" s="363"/>
      <c r="T249" s="363"/>
      <c r="U249" s="363" t="s">
        <v>189</v>
      </c>
      <c r="V249" s="363" t="s">
        <v>190</v>
      </c>
      <c r="W249" s="363" t="s">
        <v>243</v>
      </c>
      <c r="X249" s="363">
        <v>2019</v>
      </c>
      <c r="Y249" s="363"/>
      <c r="Z249" s="363" t="str">
        <f>VLOOKUP(R249,KEY_Processes!$C$55:$E$130,3,FALSE)</f>
        <v>HW_AHPL_ELC01</v>
      </c>
      <c r="AA249" s="363" t="str">
        <f>VLOOKUP(R249,KEY_Processes!$C$55:$E$130,2,FALSE)</f>
        <v>HW_AirHeatPump_ELC_LARGE</v>
      </c>
      <c r="AB249" s="363" t="str">
        <f>VLOOKUP(U249,KEY_FUELS!$C$4:$D$77,2,FALSE)</f>
        <v>ELC</v>
      </c>
      <c r="AC249" s="363" t="s">
        <v>150</v>
      </c>
      <c r="AD249" s="363" t="s">
        <v>244</v>
      </c>
      <c r="AE249" s="363" t="s">
        <v>152</v>
      </c>
      <c r="AF249" s="366" t="str">
        <f>VLOOKUP(W249,KEY_Other!$B$37:$C$89,2,FALSE)</f>
        <v>EUR</v>
      </c>
      <c r="AG249" s="363"/>
      <c r="AH249" s="363" t="str">
        <f>AC249&amp;VLOOKUP(U249,KEY_FUELS!$C$4:$D$78,2,FALSE)</f>
        <v>RSDELC</v>
      </c>
      <c r="AI249" s="363" t="str">
        <f>IFERROR(AC249&amp;VLOOKUP(V249,KEY_FUELS!$C$4:$D$78,2,FALSE),"")</f>
        <v>RSDAHT</v>
      </c>
      <c r="AJ249" s="363" t="str">
        <f t="shared" si="78"/>
        <v>RHAP</v>
      </c>
      <c r="AK249" s="363" t="str">
        <f t="shared" si="79"/>
        <v>RWAP</v>
      </c>
      <c r="AL249" s="363" t="str">
        <f t="shared" si="80"/>
        <v/>
      </c>
      <c r="AM249" s="364">
        <v>31.536000000000001</v>
      </c>
      <c r="AN249" s="363">
        <v>2019</v>
      </c>
      <c r="AO249" s="434">
        <v>1</v>
      </c>
      <c r="AP249" s="435"/>
      <c r="AQ249" s="436"/>
      <c r="AR249" s="436"/>
      <c r="AS249" s="436"/>
      <c r="AT249" s="436" t="s">
        <v>158</v>
      </c>
      <c r="AU249" s="370">
        <v>0.63</v>
      </c>
      <c r="AV249" s="370"/>
      <c r="AW249" s="370"/>
      <c r="AX249" s="435"/>
      <c r="AY249" s="363">
        <v>3.3719999999999999</v>
      </c>
      <c r="AZ249" s="437">
        <v>3.3719999999999999</v>
      </c>
      <c r="BA249" s="437"/>
      <c r="BB249" s="437"/>
      <c r="BC249" s="439"/>
      <c r="BD249" s="374"/>
      <c r="BE249" s="374"/>
      <c r="BF249" s="363"/>
      <c r="BG249" s="363"/>
      <c r="BH249" s="439"/>
      <c r="BI249" s="363">
        <v>20</v>
      </c>
      <c r="BJ249" s="363"/>
      <c r="BK249" s="440">
        <v>246</v>
      </c>
      <c r="BL249" s="363"/>
      <c r="BM249" s="363"/>
      <c r="BN249" s="363"/>
      <c r="BO249" s="363"/>
      <c r="BP249" s="363"/>
      <c r="BQ249" s="363"/>
      <c r="BR249" s="441">
        <v>2.2139534883720935</v>
      </c>
      <c r="BS249" s="363"/>
      <c r="BT249" s="442"/>
      <c r="BU249" s="442"/>
      <c r="BV249" s="442"/>
      <c r="BW249" s="442"/>
      <c r="BX249" s="443"/>
    </row>
    <row r="250" spans="1:76" x14ac:dyDescent="0.3">
      <c r="A250" s="88"/>
      <c r="B250" s="5"/>
      <c r="C250" s="5"/>
      <c r="D250" s="5"/>
      <c r="E250" s="5"/>
      <c r="F250" s="88"/>
      <c r="G250" s="5"/>
      <c r="H250" s="88"/>
      <c r="I250" s="88"/>
      <c r="J250" s="378" t="s">
        <v>238</v>
      </c>
      <c r="K250" s="379" t="s">
        <v>135</v>
      </c>
      <c r="L250" s="379"/>
      <c r="M250" s="379" t="s">
        <v>239</v>
      </c>
      <c r="N250" s="379" t="s">
        <v>240</v>
      </c>
      <c r="O250" s="379" t="s">
        <v>136</v>
      </c>
      <c r="P250" s="379">
        <v>2018</v>
      </c>
      <c r="Q250" s="420" t="s">
        <v>245</v>
      </c>
      <c r="R250" s="421" t="s">
        <v>247</v>
      </c>
      <c r="S250" s="379"/>
      <c r="T250" s="379"/>
      <c r="U250" s="379" t="s">
        <v>189</v>
      </c>
      <c r="V250" s="379" t="s">
        <v>190</v>
      </c>
      <c r="W250" s="379" t="s">
        <v>243</v>
      </c>
      <c r="X250" s="379">
        <v>2019</v>
      </c>
      <c r="Y250" s="379"/>
      <c r="Z250" s="379" t="str">
        <f>VLOOKUP(R250,KEY_Processes!$C$55:$E$130,3,FALSE)</f>
        <v>HW_AHPL_ELC01</v>
      </c>
      <c r="AA250" s="379" t="str">
        <f>VLOOKUP(R250,KEY_Processes!$C$55:$E$130,2,FALSE)</f>
        <v>HW_AirHeatPump_ELC_LARGE</v>
      </c>
      <c r="AB250" s="379" t="str">
        <f>VLOOKUP(U250,KEY_FUELS!$C$4:$D$77,2,FALSE)</f>
        <v>ELC</v>
      </c>
      <c r="AC250" s="379" t="s">
        <v>150</v>
      </c>
      <c r="AD250" s="379" t="s">
        <v>244</v>
      </c>
      <c r="AE250" s="379" t="s">
        <v>152</v>
      </c>
      <c r="AF250" s="382" t="str">
        <f>VLOOKUP(W250,KEY_Other!$B$37:$C$89,2,FALSE)</f>
        <v>EUR</v>
      </c>
      <c r="AG250" s="379"/>
      <c r="AH250" s="379" t="str">
        <f>AC250&amp;VLOOKUP(U250,KEY_FUELS!$C$4:$D$78,2,FALSE)</f>
        <v>RSDELC</v>
      </c>
      <c r="AI250" s="379" t="str">
        <f>IFERROR(AC250&amp;VLOOKUP(V250,KEY_FUELS!$C$4:$D$78,2,FALSE),"")</f>
        <v>RSDAHT</v>
      </c>
      <c r="AJ250" s="379" t="str">
        <f t="shared" ref="AJ250" si="82">LEFT(AC250,1)&amp;LEFT(AA250,1)&amp;AD250</f>
        <v>RHAP</v>
      </c>
      <c r="AK250" s="379" t="str">
        <f t="shared" si="79"/>
        <v>RWAP</v>
      </c>
      <c r="AL250" s="379" t="str">
        <f t="shared" si="80"/>
        <v/>
      </c>
      <c r="AM250" s="380">
        <v>31.536000000000001</v>
      </c>
      <c r="AN250" s="379">
        <v>2019</v>
      </c>
      <c r="AO250" s="422">
        <v>1</v>
      </c>
      <c r="AP250" s="423"/>
      <c r="AQ250" s="424"/>
      <c r="AR250" s="424"/>
      <c r="AS250" s="424"/>
      <c r="AT250" s="424" t="s">
        <v>249</v>
      </c>
      <c r="AU250" s="425">
        <v>0.72</v>
      </c>
      <c r="AV250" s="386"/>
      <c r="AW250" s="386"/>
      <c r="AX250" s="423"/>
      <c r="AY250" s="379">
        <v>3.3719999999999999</v>
      </c>
      <c r="AZ250" s="425">
        <v>3.3719999999999999</v>
      </c>
      <c r="BA250" s="425"/>
      <c r="BB250" s="425"/>
      <c r="BC250" s="427"/>
      <c r="BD250" s="390"/>
      <c r="BE250" s="390"/>
      <c r="BF250" s="379"/>
      <c r="BG250" s="379"/>
      <c r="BH250" s="427"/>
      <c r="BI250" s="379">
        <v>20</v>
      </c>
      <c r="BJ250" s="379"/>
      <c r="BK250" s="428">
        <v>246</v>
      </c>
      <c r="BL250" s="379"/>
      <c r="BM250" s="379"/>
      <c r="BN250" s="379"/>
      <c r="BO250" s="379"/>
      <c r="BP250" s="379"/>
      <c r="BQ250" s="379"/>
      <c r="BR250" s="429">
        <v>2.2139534883720935</v>
      </c>
      <c r="BS250" s="379"/>
      <c r="BT250" s="430"/>
      <c r="BU250" s="430"/>
      <c r="BV250" s="430"/>
      <c r="BW250" s="430"/>
      <c r="BX250" s="431"/>
    </row>
    <row r="251" spans="1:76" x14ac:dyDescent="0.3">
      <c r="A251" s="88"/>
      <c r="B251" s="5"/>
      <c r="C251" s="5"/>
      <c r="D251" s="5"/>
      <c r="E251" s="5"/>
      <c r="F251" s="88"/>
      <c r="G251" s="5"/>
      <c r="H251" s="88"/>
      <c r="I251" s="88"/>
      <c r="J251" s="362" t="s">
        <v>238</v>
      </c>
      <c r="K251" s="363" t="s">
        <v>135</v>
      </c>
      <c r="L251" s="363"/>
      <c r="M251" s="363" t="s">
        <v>239</v>
      </c>
      <c r="N251" s="363" t="s">
        <v>240</v>
      </c>
      <c r="O251" s="363" t="s">
        <v>136</v>
      </c>
      <c r="P251" s="363">
        <v>2018</v>
      </c>
      <c r="Q251" s="432" t="s">
        <v>245</v>
      </c>
      <c r="R251" s="433" t="s">
        <v>247</v>
      </c>
      <c r="S251" s="363"/>
      <c r="T251" s="363"/>
      <c r="U251" s="363" t="s">
        <v>189</v>
      </c>
      <c r="V251" s="363" t="s">
        <v>190</v>
      </c>
      <c r="W251" s="363" t="s">
        <v>243</v>
      </c>
      <c r="X251" s="363">
        <v>2030</v>
      </c>
      <c r="Y251" s="363"/>
      <c r="Z251" s="363" t="str">
        <f>VLOOKUP(R251,KEY_Processes!$C$55:$E$130,3,FALSE)</f>
        <v>HW_AHPL_ELC01</v>
      </c>
      <c r="AA251" s="363" t="str">
        <f>VLOOKUP(R251,KEY_Processes!$C$55:$E$130,2,FALSE)</f>
        <v>HW_AirHeatPump_ELC_LARGE</v>
      </c>
      <c r="AB251" s="363" t="str">
        <f>VLOOKUP(U251,KEY_FUELS!$C$4:$D$77,2,FALSE)</f>
        <v>ELC</v>
      </c>
      <c r="AC251" s="363" t="s">
        <v>150</v>
      </c>
      <c r="AD251" s="363" t="s">
        <v>244</v>
      </c>
      <c r="AE251" s="363" t="s">
        <v>152</v>
      </c>
      <c r="AF251" s="366" t="str">
        <f>VLOOKUP(W251,KEY_Other!$B$37:$C$89,2,FALSE)</f>
        <v>EUR</v>
      </c>
      <c r="AG251" s="363"/>
      <c r="AH251" s="363" t="str">
        <f>AC251&amp;VLOOKUP(U251,KEY_FUELS!$C$4:$D$78,2,FALSE)</f>
        <v>RSDELC</v>
      </c>
      <c r="AI251" s="363" t="str">
        <f>IFERROR(AC251&amp;VLOOKUP(V251,KEY_FUELS!$C$4:$D$78,2,FALSE),"")</f>
        <v>RSDAHT</v>
      </c>
      <c r="AJ251" s="363" t="str">
        <f t="shared" si="78"/>
        <v>RHAP</v>
      </c>
      <c r="AK251" s="363" t="str">
        <f t="shared" si="79"/>
        <v>RWAP</v>
      </c>
      <c r="AL251" s="363" t="str">
        <f t="shared" si="80"/>
        <v/>
      </c>
      <c r="AM251" s="364">
        <v>31.536000000000001</v>
      </c>
      <c r="AN251" s="363">
        <v>2030</v>
      </c>
      <c r="AO251" s="434"/>
      <c r="AP251" s="435"/>
      <c r="AQ251" s="436"/>
      <c r="AR251" s="436"/>
      <c r="AS251" s="436"/>
      <c r="AT251" s="441"/>
      <c r="AU251" s="445"/>
      <c r="AV251" s="437"/>
      <c r="AW251" s="437"/>
      <c r="AX251" s="435"/>
      <c r="AY251" s="363">
        <v>4.4880000000000004</v>
      </c>
      <c r="AZ251" s="437">
        <v>4.4880000000000004</v>
      </c>
      <c r="BA251" s="437"/>
      <c r="BB251" s="437"/>
      <c r="BC251" s="439"/>
      <c r="BD251" s="374"/>
      <c r="BE251" s="374"/>
      <c r="BF251" s="363"/>
      <c r="BG251" s="363"/>
      <c r="BH251" s="439"/>
      <c r="BI251" s="363">
        <v>20</v>
      </c>
      <c r="BJ251" s="363"/>
      <c r="BK251" s="440">
        <v>276</v>
      </c>
      <c r="BL251" s="363"/>
      <c r="BM251" s="363"/>
      <c r="BN251" s="363"/>
      <c r="BO251" s="363"/>
      <c r="BP251" s="363"/>
      <c r="BQ251" s="363"/>
      <c r="BR251" s="441">
        <v>2.2139534883720935</v>
      </c>
      <c r="BS251" s="363"/>
      <c r="BT251" s="442"/>
      <c r="BU251" s="442"/>
      <c r="BV251" s="442"/>
      <c r="BW251" s="442"/>
      <c r="BX251" s="443"/>
    </row>
    <row r="252" spans="1:76" x14ac:dyDescent="0.3">
      <c r="A252" s="88"/>
      <c r="B252" s="5"/>
      <c r="C252" s="5"/>
      <c r="D252" s="5"/>
      <c r="E252" s="5"/>
      <c r="F252" s="88"/>
      <c r="G252" s="5"/>
      <c r="H252" s="88"/>
      <c r="I252" s="88"/>
      <c r="J252" s="378" t="s">
        <v>238</v>
      </c>
      <c r="K252" s="379" t="s">
        <v>135</v>
      </c>
      <c r="L252" s="379"/>
      <c r="M252" s="379" t="s">
        <v>239</v>
      </c>
      <c r="N252" s="379" t="s">
        <v>240</v>
      </c>
      <c r="O252" s="379" t="s">
        <v>136</v>
      </c>
      <c r="P252" s="379">
        <v>2018</v>
      </c>
      <c r="Q252" s="420" t="s">
        <v>245</v>
      </c>
      <c r="R252" s="421" t="s">
        <v>250</v>
      </c>
      <c r="S252" s="379"/>
      <c r="T252" s="379"/>
      <c r="U252" s="379" t="s">
        <v>189</v>
      </c>
      <c r="V252" s="379" t="s">
        <v>190</v>
      </c>
      <c r="W252" s="379" t="s">
        <v>243</v>
      </c>
      <c r="X252" s="379">
        <v>2019</v>
      </c>
      <c r="Y252" s="379"/>
      <c r="Z252" s="379" t="str">
        <f>VLOOKUP(R252,KEY_Processes!$C$55:$E$130,3,FALSE)</f>
        <v>HWC_AHPL_ELC01</v>
      </c>
      <c r="AA252" s="379" t="str">
        <f>VLOOKUP(R252,KEY_Processes!$C$55:$E$130,2,FALSE)</f>
        <v>HWC_AirHeatPump_ELC_LARGE</v>
      </c>
      <c r="AB252" s="379" t="str">
        <f>VLOOKUP(U252,KEY_FUELS!$C$4:$D$77,2,FALSE)</f>
        <v>ELC</v>
      </c>
      <c r="AC252" s="379" t="s">
        <v>150</v>
      </c>
      <c r="AD252" s="379" t="s">
        <v>244</v>
      </c>
      <c r="AE252" s="379" t="s">
        <v>152</v>
      </c>
      <c r="AF252" s="382" t="str">
        <f>VLOOKUP(W252,KEY_Other!$B$37:$C$89,2,FALSE)</f>
        <v>EUR</v>
      </c>
      <c r="AG252" s="379"/>
      <c r="AH252" s="379" t="str">
        <f>AC252&amp;VLOOKUP(U252,KEY_FUELS!$C$4:$D$78,2,FALSE)</f>
        <v>RSDELC</v>
      </c>
      <c r="AI252" s="379" t="str">
        <f>IFERROR(AC252&amp;VLOOKUP(V252,KEY_FUELS!$C$4:$D$78,2,FALSE),"")</f>
        <v>RSDAHT</v>
      </c>
      <c r="AJ252" s="379" t="str">
        <f t="shared" si="78"/>
        <v>RHAP</v>
      </c>
      <c r="AK252" s="379" t="str">
        <f t="shared" si="79"/>
        <v/>
      </c>
      <c r="AL252" s="379" t="str">
        <f t="shared" si="80"/>
        <v>RCAP</v>
      </c>
      <c r="AM252" s="380">
        <v>31.536000000000001</v>
      </c>
      <c r="AN252" s="379">
        <v>2019</v>
      </c>
      <c r="AO252" s="422">
        <v>1</v>
      </c>
      <c r="AP252" s="423">
        <v>0.74805194805194808</v>
      </c>
      <c r="AQ252" s="424"/>
      <c r="AR252" s="424"/>
      <c r="AS252" s="424"/>
      <c r="AT252" s="424" t="s">
        <v>161</v>
      </c>
      <c r="AU252" s="425">
        <v>0.39</v>
      </c>
      <c r="AV252" s="425"/>
      <c r="AW252" s="425">
        <v>0.01</v>
      </c>
      <c r="AX252" s="423"/>
      <c r="AY252" s="379">
        <v>4.62</v>
      </c>
      <c r="AZ252" s="425">
        <v>4.62</v>
      </c>
      <c r="BA252" s="425"/>
      <c r="BB252" s="425"/>
      <c r="BC252" s="427"/>
      <c r="BD252" s="390"/>
      <c r="BE252" s="390"/>
      <c r="BF252" s="379"/>
      <c r="BG252" s="379"/>
      <c r="BH252" s="427"/>
      <c r="BI252" s="379">
        <v>20</v>
      </c>
      <c r="BJ252" s="379"/>
      <c r="BK252" s="428">
        <v>246</v>
      </c>
      <c r="BL252" s="379"/>
      <c r="BM252" s="379"/>
      <c r="BN252" s="379"/>
      <c r="BO252" s="379"/>
      <c r="BP252" s="379"/>
      <c r="BQ252" s="379"/>
      <c r="BR252" s="429">
        <v>2.2139534883720935</v>
      </c>
      <c r="BS252" s="379"/>
      <c r="BT252" s="430"/>
      <c r="BU252" s="430"/>
      <c r="BV252" s="430"/>
      <c r="BW252" s="430"/>
      <c r="BX252" s="431"/>
    </row>
    <row r="253" spans="1:76" x14ac:dyDescent="0.3">
      <c r="A253" s="88"/>
      <c r="B253" s="5"/>
      <c r="C253" s="5"/>
      <c r="D253" s="5"/>
      <c r="E253" s="5"/>
      <c r="F253" s="88"/>
      <c r="G253" s="5"/>
      <c r="H253" s="88"/>
      <c r="I253" s="88"/>
      <c r="J253" s="362" t="s">
        <v>238</v>
      </c>
      <c r="K253" s="363" t="s">
        <v>135</v>
      </c>
      <c r="L253" s="363"/>
      <c r="M253" s="363" t="s">
        <v>239</v>
      </c>
      <c r="N253" s="363" t="s">
        <v>240</v>
      </c>
      <c r="O253" s="363" t="s">
        <v>136</v>
      </c>
      <c r="P253" s="363">
        <v>2018</v>
      </c>
      <c r="Q253" s="432" t="s">
        <v>245</v>
      </c>
      <c r="R253" s="433" t="s">
        <v>250</v>
      </c>
      <c r="S253" s="363"/>
      <c r="T253" s="363"/>
      <c r="U253" s="363" t="s">
        <v>189</v>
      </c>
      <c r="V253" s="363" t="s">
        <v>190</v>
      </c>
      <c r="W253" s="363" t="s">
        <v>243</v>
      </c>
      <c r="X253" s="363">
        <v>2019</v>
      </c>
      <c r="Y253" s="363"/>
      <c r="Z253" s="363" t="str">
        <f>VLOOKUP(R253,KEY_Processes!$C$55:$E$130,3,FALSE)</f>
        <v>HWC_AHPL_ELC01</v>
      </c>
      <c r="AA253" s="363" t="str">
        <f>VLOOKUP(R253,KEY_Processes!$C$55:$E$130,2,FALSE)</f>
        <v>HWC_AirHeatPump_ELC_LARGE</v>
      </c>
      <c r="AB253" s="363" t="str">
        <f>VLOOKUP(U253,KEY_FUELS!$C$4:$D$77,2,FALSE)</f>
        <v>ELC</v>
      </c>
      <c r="AC253" s="363" t="s">
        <v>150</v>
      </c>
      <c r="AD253" s="363" t="s">
        <v>244</v>
      </c>
      <c r="AE253" s="363" t="s">
        <v>152</v>
      </c>
      <c r="AF253" s="366" t="str">
        <f>VLOOKUP(W253,KEY_Other!$B$37:$C$89,2,FALSE)</f>
        <v>EUR</v>
      </c>
      <c r="AG253" s="363"/>
      <c r="AH253" s="363" t="str">
        <f>AC253&amp;VLOOKUP(U253,KEY_FUELS!$C$4:$D$78,2,FALSE)</f>
        <v>RSDELC</v>
      </c>
      <c r="AI253" s="363" t="str">
        <f>IFERROR(AC253&amp;VLOOKUP(V253,KEY_FUELS!$C$4:$D$78,2,FALSE),"")</f>
        <v>RSDAHT</v>
      </c>
      <c r="AJ253" s="363" t="str">
        <f t="shared" ref="AJ253" si="83">LEFT(AC253,1)&amp;LEFT(AA253,1)&amp;AD253</f>
        <v>RHAP</v>
      </c>
      <c r="AK253" s="363" t="str">
        <f t="shared" si="79"/>
        <v/>
      </c>
      <c r="AL253" s="363" t="str">
        <f t="shared" si="80"/>
        <v>RCAP</v>
      </c>
      <c r="AM253" s="364">
        <v>31.536000000000001</v>
      </c>
      <c r="AN253" s="363">
        <v>2019</v>
      </c>
      <c r="AO253" s="434">
        <v>1</v>
      </c>
      <c r="AP253" s="435">
        <v>0.74805194805194808</v>
      </c>
      <c r="AQ253" s="436"/>
      <c r="AR253" s="436"/>
      <c r="AS253" s="436"/>
      <c r="AT253" s="436" t="s">
        <v>248</v>
      </c>
      <c r="AU253" s="437">
        <v>0.44</v>
      </c>
      <c r="AV253" s="437"/>
      <c r="AW253" s="437">
        <v>1.0999999999999999E-2</v>
      </c>
      <c r="AX253" s="435"/>
      <c r="AY253" s="363">
        <v>4.62</v>
      </c>
      <c r="AZ253" s="437">
        <v>4.62</v>
      </c>
      <c r="BA253" s="437"/>
      <c r="BB253" s="437"/>
      <c r="BC253" s="439"/>
      <c r="BD253" s="374"/>
      <c r="BE253" s="374"/>
      <c r="BF253" s="363"/>
      <c r="BG253" s="363"/>
      <c r="BH253" s="439"/>
      <c r="BI253" s="363">
        <v>20</v>
      </c>
      <c r="BJ253" s="363"/>
      <c r="BK253" s="440">
        <v>246</v>
      </c>
      <c r="BL253" s="363"/>
      <c r="BM253" s="363"/>
      <c r="BN253" s="363"/>
      <c r="BO253" s="363"/>
      <c r="BP253" s="363"/>
      <c r="BQ253" s="363"/>
      <c r="BR253" s="441">
        <v>2.2139534883720935</v>
      </c>
      <c r="BS253" s="363"/>
      <c r="BT253" s="442"/>
      <c r="BU253" s="442"/>
      <c r="BV253" s="442"/>
      <c r="BW253" s="442"/>
      <c r="BX253" s="443"/>
    </row>
    <row r="254" spans="1:76" x14ac:dyDescent="0.3">
      <c r="A254" s="88"/>
      <c r="B254" s="5"/>
      <c r="C254" s="5"/>
      <c r="D254" s="5"/>
      <c r="E254" s="5"/>
      <c r="F254" s="88"/>
      <c r="G254" s="5"/>
      <c r="H254" s="88"/>
      <c r="I254" s="88"/>
      <c r="J254" s="378" t="s">
        <v>238</v>
      </c>
      <c r="K254" s="379" t="s">
        <v>135</v>
      </c>
      <c r="L254" s="379"/>
      <c r="M254" s="379" t="s">
        <v>239</v>
      </c>
      <c r="N254" s="379" t="s">
        <v>240</v>
      </c>
      <c r="O254" s="379" t="s">
        <v>136</v>
      </c>
      <c r="P254" s="379">
        <v>2018</v>
      </c>
      <c r="Q254" s="420" t="s">
        <v>245</v>
      </c>
      <c r="R254" s="421" t="s">
        <v>250</v>
      </c>
      <c r="S254" s="379"/>
      <c r="T254" s="379"/>
      <c r="U254" s="379" t="s">
        <v>189</v>
      </c>
      <c r="V254" s="379" t="s">
        <v>190</v>
      </c>
      <c r="W254" s="379" t="s">
        <v>243</v>
      </c>
      <c r="X254" s="379">
        <v>2019</v>
      </c>
      <c r="Y254" s="379"/>
      <c r="Z254" s="379" t="str">
        <f>VLOOKUP(R254,KEY_Processes!$C$55:$E$130,3,FALSE)</f>
        <v>HWC_AHPL_ELC01</v>
      </c>
      <c r="AA254" s="379" t="str">
        <f>VLOOKUP(R254,KEY_Processes!$C$55:$E$130,2,FALSE)</f>
        <v>HWC_AirHeatPump_ELC_LARGE</v>
      </c>
      <c r="AB254" s="379" t="str">
        <f>VLOOKUP(U254,KEY_FUELS!$C$4:$D$77,2,FALSE)</f>
        <v>ELC</v>
      </c>
      <c r="AC254" s="379" t="s">
        <v>150</v>
      </c>
      <c r="AD254" s="379" t="s">
        <v>244</v>
      </c>
      <c r="AE254" s="379" t="s">
        <v>152</v>
      </c>
      <c r="AF254" s="382" t="str">
        <f>VLOOKUP(W254,KEY_Other!$B$37:$C$89,2,FALSE)</f>
        <v>EUR</v>
      </c>
      <c r="AG254" s="379"/>
      <c r="AH254" s="379" t="str">
        <f>AC254&amp;VLOOKUP(U254,KEY_FUELS!$C$4:$D$78,2,FALSE)</f>
        <v>RSDELC</v>
      </c>
      <c r="AI254" s="379" t="str">
        <f>IFERROR(AC254&amp;VLOOKUP(V254,KEY_FUELS!$C$4:$D$78,2,FALSE),"")</f>
        <v>RSDAHT</v>
      </c>
      <c r="AJ254" s="379" t="str">
        <f t="shared" si="78"/>
        <v>RHAP</v>
      </c>
      <c r="AK254" s="379" t="str">
        <f t="shared" si="79"/>
        <v/>
      </c>
      <c r="AL254" s="379" t="str">
        <f t="shared" si="80"/>
        <v>RCAP</v>
      </c>
      <c r="AM254" s="380">
        <v>31.536000000000001</v>
      </c>
      <c r="AN254" s="379">
        <v>2019</v>
      </c>
      <c r="AO254" s="422">
        <v>1</v>
      </c>
      <c r="AP254" s="423">
        <v>0.74805194805194808</v>
      </c>
      <c r="AQ254" s="424"/>
      <c r="AR254" s="424"/>
      <c r="AS254" s="424"/>
      <c r="AT254" s="424" t="s">
        <v>158</v>
      </c>
      <c r="AU254" s="425">
        <v>0.51</v>
      </c>
      <c r="AV254" s="425"/>
      <c r="AW254" s="425">
        <v>1.2999999999999999E-2</v>
      </c>
      <c r="AX254" s="423"/>
      <c r="AY254" s="379">
        <v>4.62</v>
      </c>
      <c r="AZ254" s="425">
        <v>4.62</v>
      </c>
      <c r="BA254" s="425"/>
      <c r="BB254" s="425"/>
      <c r="BC254" s="427"/>
      <c r="BD254" s="390"/>
      <c r="BE254" s="390"/>
      <c r="BF254" s="379"/>
      <c r="BG254" s="379"/>
      <c r="BH254" s="427"/>
      <c r="BI254" s="379">
        <v>20</v>
      </c>
      <c r="BJ254" s="379"/>
      <c r="BK254" s="428">
        <v>246</v>
      </c>
      <c r="BL254" s="379"/>
      <c r="BM254" s="379"/>
      <c r="BN254" s="379"/>
      <c r="BO254" s="379"/>
      <c r="BP254" s="379"/>
      <c r="BQ254" s="379"/>
      <c r="BR254" s="429">
        <v>2.2139534883720935</v>
      </c>
      <c r="BS254" s="379"/>
      <c r="BT254" s="430"/>
      <c r="BU254" s="430"/>
      <c r="BV254" s="430"/>
      <c r="BW254" s="430"/>
      <c r="BX254" s="431"/>
    </row>
    <row r="255" spans="1:76" x14ac:dyDescent="0.3">
      <c r="A255" s="88"/>
      <c r="B255" s="5"/>
      <c r="C255" s="5"/>
      <c r="D255" s="5"/>
      <c r="E255" s="5"/>
      <c r="F255" s="88"/>
      <c r="G255" s="5"/>
      <c r="H255" s="88"/>
      <c r="I255" s="88"/>
      <c r="J255" s="362" t="s">
        <v>238</v>
      </c>
      <c r="K255" s="363" t="s">
        <v>135</v>
      </c>
      <c r="L255" s="363"/>
      <c r="M255" s="363" t="s">
        <v>239</v>
      </c>
      <c r="N255" s="363" t="s">
        <v>240</v>
      </c>
      <c r="O255" s="363" t="s">
        <v>136</v>
      </c>
      <c r="P255" s="363">
        <v>2018</v>
      </c>
      <c r="Q255" s="432" t="s">
        <v>245</v>
      </c>
      <c r="R255" s="433" t="s">
        <v>250</v>
      </c>
      <c r="S255" s="363"/>
      <c r="T255" s="363"/>
      <c r="U255" s="363" t="s">
        <v>189</v>
      </c>
      <c r="V255" s="363" t="s">
        <v>190</v>
      </c>
      <c r="W255" s="363" t="s">
        <v>243</v>
      </c>
      <c r="X255" s="363">
        <v>2019</v>
      </c>
      <c r="Y255" s="363"/>
      <c r="Z255" s="363" t="str">
        <f>VLOOKUP(R255,KEY_Processes!$C$55:$E$130,3,FALSE)</f>
        <v>HWC_AHPL_ELC01</v>
      </c>
      <c r="AA255" s="363" t="str">
        <f>VLOOKUP(R255,KEY_Processes!$C$55:$E$130,2,FALSE)</f>
        <v>HWC_AirHeatPump_ELC_LARGE</v>
      </c>
      <c r="AB255" s="363" t="str">
        <f>VLOOKUP(U255,KEY_FUELS!$C$4:$D$77,2,FALSE)</f>
        <v>ELC</v>
      </c>
      <c r="AC255" s="363" t="s">
        <v>150</v>
      </c>
      <c r="AD255" s="363" t="s">
        <v>244</v>
      </c>
      <c r="AE255" s="363" t="s">
        <v>152</v>
      </c>
      <c r="AF255" s="366" t="str">
        <f>VLOOKUP(W255,KEY_Other!$B$37:$C$89,2,FALSE)</f>
        <v>EUR</v>
      </c>
      <c r="AG255" s="363"/>
      <c r="AH255" s="363" t="str">
        <f>AC255&amp;VLOOKUP(U255,KEY_FUELS!$C$4:$D$78,2,FALSE)</f>
        <v>RSDELC</v>
      </c>
      <c r="AI255" s="363" t="str">
        <f>IFERROR(AC255&amp;VLOOKUP(V255,KEY_FUELS!$C$4:$D$78,2,FALSE),"")</f>
        <v>RSDAHT</v>
      </c>
      <c r="AJ255" s="363" t="str">
        <f t="shared" ref="AJ255" si="84">LEFT(AC255,1)&amp;LEFT(AA255,1)&amp;AD255</f>
        <v>RHAP</v>
      </c>
      <c r="AK255" s="363" t="str">
        <f t="shared" si="79"/>
        <v/>
      </c>
      <c r="AL255" s="363" t="str">
        <f t="shared" si="80"/>
        <v>RCAP</v>
      </c>
      <c r="AM255" s="364">
        <v>31.536000000000001</v>
      </c>
      <c r="AN255" s="363">
        <v>2019</v>
      </c>
      <c r="AO255" s="434">
        <v>1</v>
      </c>
      <c r="AP255" s="435">
        <v>0.74805194805194808</v>
      </c>
      <c r="AQ255" s="436"/>
      <c r="AR255" s="436"/>
      <c r="AS255" s="436"/>
      <c r="AT255" s="436" t="s">
        <v>249</v>
      </c>
      <c r="AU255" s="437">
        <v>0.57999999999999996</v>
      </c>
      <c r="AV255" s="437"/>
      <c r="AW255" s="437">
        <v>1.4E-2</v>
      </c>
      <c r="AX255" s="435"/>
      <c r="AY255" s="363">
        <v>4.62</v>
      </c>
      <c r="AZ255" s="437">
        <v>4.62</v>
      </c>
      <c r="BA255" s="437"/>
      <c r="BB255" s="437"/>
      <c r="BC255" s="439"/>
      <c r="BD255" s="374"/>
      <c r="BE255" s="374"/>
      <c r="BF255" s="363"/>
      <c r="BG255" s="363"/>
      <c r="BH255" s="439"/>
      <c r="BI255" s="363">
        <v>20</v>
      </c>
      <c r="BJ255" s="363"/>
      <c r="BK255" s="440">
        <v>246</v>
      </c>
      <c r="BL255" s="363"/>
      <c r="BM255" s="363"/>
      <c r="BN255" s="363"/>
      <c r="BO255" s="363"/>
      <c r="BP255" s="363"/>
      <c r="BQ255" s="363"/>
      <c r="BR255" s="441">
        <v>2.2139534883720935</v>
      </c>
      <c r="BS255" s="363"/>
      <c r="BT255" s="442"/>
      <c r="BU255" s="442"/>
      <c r="BV255" s="442"/>
      <c r="BW255" s="442"/>
      <c r="BX255" s="443"/>
    </row>
    <row r="256" spans="1:76" x14ac:dyDescent="0.3">
      <c r="A256" s="88"/>
      <c r="B256" s="5"/>
      <c r="C256" s="5"/>
      <c r="D256" s="5"/>
      <c r="E256" s="5"/>
      <c r="F256" s="88"/>
      <c r="G256" s="5"/>
      <c r="H256" s="88"/>
      <c r="I256" s="88"/>
      <c r="J256" s="378" t="s">
        <v>238</v>
      </c>
      <c r="K256" s="379" t="s">
        <v>135</v>
      </c>
      <c r="L256" s="379"/>
      <c r="M256" s="379" t="s">
        <v>239</v>
      </c>
      <c r="N256" s="379" t="s">
        <v>240</v>
      </c>
      <c r="O256" s="379" t="s">
        <v>136</v>
      </c>
      <c r="P256" s="379">
        <v>2018</v>
      </c>
      <c r="Q256" s="420" t="s">
        <v>245</v>
      </c>
      <c r="R256" s="421" t="s">
        <v>250</v>
      </c>
      <c r="S256" s="379"/>
      <c r="T256" s="379"/>
      <c r="U256" s="379" t="s">
        <v>189</v>
      </c>
      <c r="V256" s="379" t="s">
        <v>190</v>
      </c>
      <c r="W256" s="379" t="s">
        <v>243</v>
      </c>
      <c r="X256" s="379">
        <v>2030</v>
      </c>
      <c r="Y256" s="379"/>
      <c r="Z256" s="379" t="str">
        <f>VLOOKUP(R256,KEY_Processes!$C$55:$E$130,3,FALSE)</f>
        <v>HWC_AHPL_ELC01</v>
      </c>
      <c r="AA256" s="379" t="str">
        <f>VLOOKUP(R256,KEY_Processes!$C$55:$E$130,2,FALSE)</f>
        <v>HWC_AirHeatPump_ELC_LARGE</v>
      </c>
      <c r="AB256" s="379" t="str">
        <f>VLOOKUP(U256,KEY_FUELS!$C$4:$D$77,2,FALSE)</f>
        <v>ELC</v>
      </c>
      <c r="AC256" s="379" t="s">
        <v>150</v>
      </c>
      <c r="AD256" s="379" t="s">
        <v>244</v>
      </c>
      <c r="AE256" s="379" t="s">
        <v>152</v>
      </c>
      <c r="AF256" s="382" t="str">
        <f>VLOOKUP(W256,KEY_Other!$B$37:$C$89,2,FALSE)</f>
        <v>EUR</v>
      </c>
      <c r="AG256" s="379"/>
      <c r="AH256" s="379" t="str">
        <f>AC256&amp;VLOOKUP(U256,KEY_FUELS!$C$4:$D$78,2,FALSE)</f>
        <v>RSDELC</v>
      </c>
      <c r="AI256" s="379" t="str">
        <f>IFERROR(AC256&amp;VLOOKUP(V256,KEY_FUELS!$C$4:$D$78,2,FALSE),"")</f>
        <v>RSDAHT</v>
      </c>
      <c r="AJ256" s="379" t="str">
        <f t="shared" si="78"/>
        <v>RHAP</v>
      </c>
      <c r="AK256" s="379" t="str">
        <f t="shared" si="79"/>
        <v/>
      </c>
      <c r="AL256" s="379" t="str">
        <f t="shared" si="80"/>
        <v>RCAP</v>
      </c>
      <c r="AM256" s="380">
        <v>31.536000000000001</v>
      </c>
      <c r="AN256" s="379">
        <v>2030</v>
      </c>
      <c r="AO256" s="422"/>
      <c r="AP256" s="423"/>
      <c r="AQ256" s="424"/>
      <c r="AR256" s="424"/>
      <c r="AS256" s="424"/>
      <c r="AT256" s="424"/>
      <c r="AU256" s="425"/>
      <c r="AV256" s="425"/>
      <c r="AW256" s="425"/>
      <c r="AX256" s="423"/>
      <c r="AY256" s="379">
        <v>4.92</v>
      </c>
      <c r="AZ256" s="425">
        <v>4.92</v>
      </c>
      <c r="BA256" s="425"/>
      <c r="BB256" s="425"/>
      <c r="BC256" s="427"/>
      <c r="BD256" s="390"/>
      <c r="BE256" s="390"/>
      <c r="BF256" s="379"/>
      <c r="BG256" s="379"/>
      <c r="BH256" s="427"/>
      <c r="BI256" s="379">
        <v>20</v>
      </c>
      <c r="BJ256" s="379"/>
      <c r="BK256" s="428">
        <v>258</v>
      </c>
      <c r="BL256" s="379"/>
      <c r="BM256" s="379"/>
      <c r="BN256" s="379"/>
      <c r="BO256" s="379"/>
      <c r="BP256" s="379"/>
      <c r="BQ256" s="379"/>
      <c r="BR256" s="429">
        <v>2.2139534883720935</v>
      </c>
      <c r="BS256" s="379"/>
      <c r="BT256" s="430"/>
      <c r="BU256" s="430"/>
      <c r="BV256" s="430"/>
      <c r="BW256" s="430"/>
      <c r="BX256" s="431"/>
    </row>
    <row r="257" spans="1:76" x14ac:dyDescent="0.3">
      <c r="A257" s="88"/>
      <c r="B257" s="5"/>
      <c r="C257" s="5"/>
      <c r="D257" s="5"/>
      <c r="E257" s="5"/>
      <c r="F257" s="88"/>
      <c r="G257" s="5"/>
      <c r="H257" s="88"/>
      <c r="I257" s="88"/>
      <c r="J257" s="362" t="s">
        <v>238</v>
      </c>
      <c r="K257" s="363" t="s">
        <v>135</v>
      </c>
      <c r="L257" s="396"/>
      <c r="M257" s="363" t="s">
        <v>239</v>
      </c>
      <c r="N257" s="363" t="s">
        <v>240</v>
      </c>
      <c r="O257" s="363" t="s">
        <v>136</v>
      </c>
      <c r="P257" s="363">
        <v>2018</v>
      </c>
      <c r="Q257" s="432" t="s">
        <v>251</v>
      </c>
      <c r="R257" s="433" t="s">
        <v>252</v>
      </c>
      <c r="S257" s="363"/>
      <c r="T257" s="363"/>
      <c r="U257" s="363" t="s">
        <v>207</v>
      </c>
      <c r="V257" s="363" t="s">
        <v>190</v>
      </c>
      <c r="W257" s="363" t="s">
        <v>243</v>
      </c>
      <c r="X257" s="363">
        <v>2019</v>
      </c>
      <c r="Y257" s="363"/>
      <c r="Z257" s="363" t="str">
        <f>VLOOKUP(R257,KEY_Processes!$C$55:$E$130,3,FALSE)</f>
        <v>HC_AHPFL_GAS01</v>
      </c>
      <c r="AA257" s="363" t="str">
        <f>VLOOKUP(R257,KEY_Processes!$C$55:$E$130,2,FALSE)</f>
        <v>HC_AirHeatPumpFuel_GAS_LARGE</v>
      </c>
      <c r="AB257" s="363" t="str">
        <f>VLOOKUP(U257,KEY_FUELS!$C$4:$D$77,2,FALSE)</f>
        <v>GAS</v>
      </c>
      <c r="AC257" s="363" t="s">
        <v>150</v>
      </c>
      <c r="AD257" s="363" t="s">
        <v>244</v>
      </c>
      <c r="AE257" s="363" t="s">
        <v>152</v>
      </c>
      <c r="AF257" s="366" t="str">
        <f>VLOOKUP(W257,KEY_Other!$B$37:$C$89,2,FALSE)</f>
        <v>EUR</v>
      </c>
      <c r="AG257" s="363"/>
      <c r="AH257" s="363" t="str">
        <f>AC257&amp;VLOOKUP(U257,KEY_FUELS!$C$4:$D$78,2,FALSE)</f>
        <v>RSDGAS</v>
      </c>
      <c r="AI257" s="363" t="str">
        <f>IFERROR(AC257&amp;VLOOKUP(V257,KEY_FUELS!$C$4:$D$78,2,FALSE),"")</f>
        <v>RSDAHT</v>
      </c>
      <c r="AJ257" s="363" t="str">
        <f t="shared" si="78"/>
        <v>RHAP</v>
      </c>
      <c r="AK257" s="363" t="str">
        <f t="shared" si="79"/>
        <v>RCAP</v>
      </c>
      <c r="AL257" s="363" t="str">
        <f t="shared" si="80"/>
        <v/>
      </c>
      <c r="AM257" s="364">
        <v>31.536000000000001</v>
      </c>
      <c r="AN257" s="363">
        <v>2019</v>
      </c>
      <c r="AO257" s="435">
        <v>0.87179487179487181</v>
      </c>
      <c r="AP257" s="435"/>
      <c r="AQ257" s="436"/>
      <c r="AR257" s="436"/>
      <c r="AS257" s="436"/>
      <c r="AT257" s="436" t="s">
        <v>161</v>
      </c>
      <c r="AU257" s="437">
        <v>0.79</v>
      </c>
      <c r="AV257" s="437"/>
      <c r="AW257" s="437"/>
      <c r="AX257" s="435"/>
      <c r="AY257" s="363">
        <v>1.56</v>
      </c>
      <c r="AZ257" s="437">
        <v>1.56</v>
      </c>
      <c r="BA257" s="437"/>
      <c r="BB257" s="437"/>
      <c r="BC257" s="439"/>
      <c r="BD257" s="374"/>
      <c r="BE257" s="374"/>
      <c r="BF257" s="363"/>
      <c r="BG257" s="363"/>
      <c r="BH257" s="439"/>
      <c r="BI257" s="363">
        <v>15</v>
      </c>
      <c r="BJ257" s="363"/>
      <c r="BK257" s="440">
        <v>251</v>
      </c>
      <c r="BL257" s="363"/>
      <c r="BM257" s="363"/>
      <c r="BN257" s="363"/>
      <c r="BO257" s="363"/>
      <c r="BP257" s="363"/>
      <c r="BQ257" s="363"/>
      <c r="BR257" s="441">
        <v>1.45</v>
      </c>
      <c r="BS257" s="363"/>
      <c r="BT257" s="442"/>
      <c r="BU257" s="442"/>
      <c r="BV257" s="442"/>
      <c r="BW257" s="442"/>
      <c r="BX257" s="443"/>
    </row>
    <row r="258" spans="1:76" x14ac:dyDescent="0.3">
      <c r="A258" s="88"/>
      <c r="B258" s="5"/>
      <c r="C258" s="5"/>
      <c r="D258" s="5"/>
      <c r="E258" s="5"/>
      <c r="F258" s="88"/>
      <c r="G258" s="5"/>
      <c r="H258" s="88"/>
      <c r="I258" s="88"/>
      <c r="J258" s="378" t="s">
        <v>238</v>
      </c>
      <c r="K258" s="379" t="s">
        <v>135</v>
      </c>
      <c r="L258" s="394"/>
      <c r="M258" s="379" t="s">
        <v>239</v>
      </c>
      <c r="N258" s="379" t="s">
        <v>240</v>
      </c>
      <c r="O258" s="379" t="s">
        <v>136</v>
      </c>
      <c r="P258" s="379">
        <v>2018</v>
      </c>
      <c r="Q258" s="420" t="s">
        <v>251</v>
      </c>
      <c r="R258" s="421" t="s">
        <v>252</v>
      </c>
      <c r="S258" s="379"/>
      <c r="T258" s="379"/>
      <c r="U258" s="379" t="s">
        <v>207</v>
      </c>
      <c r="V258" s="379" t="s">
        <v>190</v>
      </c>
      <c r="W258" s="379" t="s">
        <v>243</v>
      </c>
      <c r="X258" s="379">
        <v>2019</v>
      </c>
      <c r="Y258" s="379"/>
      <c r="Z258" s="379" t="str">
        <f>VLOOKUP(R258,KEY_Processes!$C$55:$E$130,3,FALSE)</f>
        <v>HC_AHPFL_GAS01</v>
      </c>
      <c r="AA258" s="379" t="str">
        <f>VLOOKUP(R258,KEY_Processes!$C$55:$E$130,2,FALSE)</f>
        <v>HC_AirHeatPumpFuel_GAS_LARGE</v>
      </c>
      <c r="AB258" s="379" t="str">
        <f>VLOOKUP(U258,KEY_FUELS!$C$4:$D$77,2,FALSE)</f>
        <v>GAS</v>
      </c>
      <c r="AC258" s="379" t="s">
        <v>150</v>
      </c>
      <c r="AD258" s="379" t="s">
        <v>244</v>
      </c>
      <c r="AE258" s="379" t="s">
        <v>152</v>
      </c>
      <c r="AF258" s="382" t="str">
        <f>VLOOKUP(W258,KEY_Other!$B$37:$C$89,2,FALSE)</f>
        <v>EUR</v>
      </c>
      <c r="AG258" s="379"/>
      <c r="AH258" s="379" t="str">
        <f>AC258&amp;VLOOKUP(U258,KEY_FUELS!$C$4:$D$78,2,FALSE)</f>
        <v>RSDGAS</v>
      </c>
      <c r="AI258" s="379" t="str">
        <f>IFERROR(AC258&amp;VLOOKUP(V258,KEY_FUELS!$C$4:$D$78,2,FALSE),"")</f>
        <v>RSDAHT</v>
      </c>
      <c r="AJ258" s="379" t="str">
        <f t="shared" si="78"/>
        <v>RHAP</v>
      </c>
      <c r="AK258" s="379" t="str">
        <f t="shared" si="79"/>
        <v>RCAP</v>
      </c>
      <c r="AL258" s="379" t="str">
        <f t="shared" si="80"/>
        <v/>
      </c>
      <c r="AM258" s="380">
        <v>31.536000000000001</v>
      </c>
      <c r="AN258" s="379">
        <v>2019</v>
      </c>
      <c r="AO258" s="423">
        <v>0.87179487179487181</v>
      </c>
      <c r="AP258" s="423"/>
      <c r="AQ258" s="424"/>
      <c r="AR258" s="424"/>
      <c r="AS258" s="424"/>
      <c r="AT258" s="424" t="s">
        <v>248</v>
      </c>
      <c r="AU258" s="425">
        <v>0.88</v>
      </c>
      <c r="AV258" s="425"/>
      <c r="AW258" s="425"/>
      <c r="AX258" s="423"/>
      <c r="AY258" s="379">
        <v>1.56</v>
      </c>
      <c r="AZ258" s="425">
        <v>1.56</v>
      </c>
      <c r="BA258" s="425"/>
      <c r="BB258" s="425"/>
      <c r="BC258" s="427"/>
      <c r="BD258" s="390"/>
      <c r="BE258" s="390"/>
      <c r="BF258" s="379"/>
      <c r="BG258" s="379"/>
      <c r="BH258" s="427"/>
      <c r="BI258" s="379">
        <v>15</v>
      </c>
      <c r="BJ258" s="379"/>
      <c r="BK258" s="428">
        <v>251</v>
      </c>
      <c r="BL258" s="379"/>
      <c r="BM258" s="379"/>
      <c r="BN258" s="379"/>
      <c r="BO258" s="379"/>
      <c r="BP258" s="379"/>
      <c r="BQ258" s="379"/>
      <c r="BR258" s="429">
        <v>1.45</v>
      </c>
      <c r="BS258" s="379"/>
      <c r="BT258" s="430"/>
      <c r="BU258" s="430"/>
      <c r="BV258" s="430"/>
      <c r="BW258" s="430"/>
      <c r="BX258" s="431"/>
    </row>
    <row r="259" spans="1:76" x14ac:dyDescent="0.3">
      <c r="A259" s="88"/>
      <c r="B259" s="5"/>
      <c r="C259" s="5"/>
      <c r="D259" s="5"/>
      <c r="E259" s="5"/>
      <c r="F259" s="88"/>
      <c r="G259" s="5"/>
      <c r="H259" s="88"/>
      <c r="I259" s="88"/>
      <c r="J259" s="362" t="s">
        <v>238</v>
      </c>
      <c r="K259" s="363" t="s">
        <v>135</v>
      </c>
      <c r="L259" s="396"/>
      <c r="M259" s="363" t="s">
        <v>239</v>
      </c>
      <c r="N259" s="363" t="s">
        <v>240</v>
      </c>
      <c r="O259" s="363" t="s">
        <v>136</v>
      </c>
      <c r="P259" s="363">
        <v>2018</v>
      </c>
      <c r="Q259" s="432" t="s">
        <v>251</v>
      </c>
      <c r="R259" s="433" t="s">
        <v>252</v>
      </c>
      <c r="S259" s="363"/>
      <c r="T259" s="363"/>
      <c r="U259" s="363" t="s">
        <v>207</v>
      </c>
      <c r="V259" s="363" t="s">
        <v>190</v>
      </c>
      <c r="W259" s="363" t="s">
        <v>243</v>
      </c>
      <c r="X259" s="363">
        <v>2019</v>
      </c>
      <c r="Y259" s="363"/>
      <c r="Z259" s="363" t="str">
        <f>VLOOKUP(R259,KEY_Processes!$C$55:$E$130,3,FALSE)</f>
        <v>HC_AHPFL_GAS01</v>
      </c>
      <c r="AA259" s="363" t="str">
        <f>VLOOKUP(R259,KEY_Processes!$C$55:$E$130,2,FALSE)</f>
        <v>HC_AirHeatPumpFuel_GAS_LARGE</v>
      </c>
      <c r="AB259" s="363" t="str">
        <f>VLOOKUP(U259,KEY_FUELS!$C$4:$D$77,2,FALSE)</f>
        <v>GAS</v>
      </c>
      <c r="AC259" s="363" t="s">
        <v>150</v>
      </c>
      <c r="AD259" s="363" t="s">
        <v>244</v>
      </c>
      <c r="AE259" s="363" t="s">
        <v>152</v>
      </c>
      <c r="AF259" s="366" t="str">
        <f>VLOOKUP(W259,KEY_Other!$B$37:$C$89,2,FALSE)</f>
        <v>EUR</v>
      </c>
      <c r="AG259" s="363"/>
      <c r="AH259" s="363" t="str">
        <f>AC259&amp;VLOOKUP(U259,KEY_FUELS!$C$4:$D$78,2,FALSE)</f>
        <v>RSDGAS</v>
      </c>
      <c r="AI259" s="363" t="str">
        <f>IFERROR(AC259&amp;VLOOKUP(V259,KEY_FUELS!$C$4:$D$78,2,FALSE),"")</f>
        <v>RSDAHT</v>
      </c>
      <c r="AJ259" s="363" t="str">
        <f t="shared" ref="AJ259" si="85">LEFT(AC259,1)&amp;LEFT(AA259,1)&amp;AD259</f>
        <v>RHAP</v>
      </c>
      <c r="AK259" s="363" t="str">
        <f t="shared" si="79"/>
        <v>RCAP</v>
      </c>
      <c r="AL259" s="363" t="str">
        <f t="shared" si="80"/>
        <v/>
      </c>
      <c r="AM259" s="364">
        <v>31.536000000000001</v>
      </c>
      <c r="AN259" s="363">
        <v>2019</v>
      </c>
      <c r="AO259" s="435">
        <v>0.87179487179487181</v>
      </c>
      <c r="AP259" s="435"/>
      <c r="AQ259" s="436"/>
      <c r="AR259" s="436"/>
      <c r="AS259" s="436"/>
      <c r="AT259" s="436" t="s">
        <v>158</v>
      </c>
      <c r="AU259" s="437">
        <v>0.79</v>
      </c>
      <c r="AV259" s="437"/>
      <c r="AW259" s="437"/>
      <c r="AX259" s="435"/>
      <c r="AY259" s="363">
        <v>1.56</v>
      </c>
      <c r="AZ259" s="437">
        <v>1.56</v>
      </c>
      <c r="BA259" s="437"/>
      <c r="BB259" s="437"/>
      <c r="BC259" s="439"/>
      <c r="BD259" s="374"/>
      <c r="BE259" s="374"/>
      <c r="BF259" s="363"/>
      <c r="BG259" s="363"/>
      <c r="BH259" s="439"/>
      <c r="BI259" s="363">
        <v>15</v>
      </c>
      <c r="BJ259" s="363"/>
      <c r="BK259" s="440">
        <v>251</v>
      </c>
      <c r="BL259" s="363"/>
      <c r="BM259" s="363"/>
      <c r="BN259" s="363"/>
      <c r="BO259" s="363"/>
      <c r="BP259" s="363"/>
      <c r="BQ259" s="363"/>
      <c r="BR259" s="441">
        <v>1.45</v>
      </c>
      <c r="BS259" s="363"/>
      <c r="BT259" s="442"/>
      <c r="BU259" s="442"/>
      <c r="BV259" s="442"/>
      <c r="BW259" s="442"/>
      <c r="BX259" s="443"/>
    </row>
    <row r="260" spans="1:76" x14ac:dyDescent="0.3">
      <c r="A260" s="88"/>
      <c r="B260" s="5"/>
      <c r="C260" s="5"/>
      <c r="D260" s="5"/>
      <c r="E260" s="5"/>
      <c r="F260" s="88"/>
      <c r="G260" s="5"/>
      <c r="H260" s="88"/>
      <c r="I260" s="88"/>
      <c r="J260" s="378" t="s">
        <v>238</v>
      </c>
      <c r="K260" s="379" t="s">
        <v>135</v>
      </c>
      <c r="L260" s="394"/>
      <c r="M260" s="379" t="s">
        <v>239</v>
      </c>
      <c r="N260" s="379" t="s">
        <v>240</v>
      </c>
      <c r="O260" s="379" t="s">
        <v>136</v>
      </c>
      <c r="P260" s="379">
        <v>2018</v>
      </c>
      <c r="Q260" s="420" t="s">
        <v>251</v>
      </c>
      <c r="R260" s="421" t="s">
        <v>252</v>
      </c>
      <c r="S260" s="379"/>
      <c r="T260" s="379"/>
      <c r="U260" s="379" t="s">
        <v>207</v>
      </c>
      <c r="V260" s="379" t="s">
        <v>190</v>
      </c>
      <c r="W260" s="379" t="s">
        <v>243</v>
      </c>
      <c r="X260" s="379">
        <v>2019</v>
      </c>
      <c r="Y260" s="379"/>
      <c r="Z260" s="379" t="str">
        <f>VLOOKUP(R260,KEY_Processes!$C$55:$E$130,3,FALSE)</f>
        <v>HC_AHPFL_GAS01</v>
      </c>
      <c r="AA260" s="379" t="str">
        <f>VLOOKUP(R260,KEY_Processes!$C$55:$E$130,2,FALSE)</f>
        <v>HC_AirHeatPumpFuel_GAS_LARGE</v>
      </c>
      <c r="AB260" s="379" t="str">
        <f>VLOOKUP(U260,KEY_FUELS!$C$4:$D$77,2,FALSE)</f>
        <v>GAS</v>
      </c>
      <c r="AC260" s="379" t="s">
        <v>150</v>
      </c>
      <c r="AD260" s="379" t="s">
        <v>244</v>
      </c>
      <c r="AE260" s="379" t="s">
        <v>152</v>
      </c>
      <c r="AF260" s="382" t="str">
        <f>VLOOKUP(W260,KEY_Other!$B$37:$C$89,2,FALSE)</f>
        <v>EUR</v>
      </c>
      <c r="AG260" s="379"/>
      <c r="AH260" s="379" t="str">
        <f>AC260&amp;VLOOKUP(U260,KEY_FUELS!$C$4:$D$78,2,FALSE)</f>
        <v>RSDGAS</v>
      </c>
      <c r="AI260" s="379" t="str">
        <f>IFERROR(AC260&amp;VLOOKUP(V260,KEY_FUELS!$C$4:$D$78,2,FALSE),"")</f>
        <v>RSDAHT</v>
      </c>
      <c r="AJ260" s="379" t="str">
        <f t="shared" ref="AJ260" si="86">LEFT(AC260,1)&amp;LEFT(AA260,1)&amp;AD260</f>
        <v>RHAP</v>
      </c>
      <c r="AK260" s="379" t="str">
        <f t="shared" si="79"/>
        <v>RCAP</v>
      </c>
      <c r="AL260" s="379" t="str">
        <f t="shared" si="80"/>
        <v/>
      </c>
      <c r="AM260" s="380">
        <v>31.536000000000001</v>
      </c>
      <c r="AN260" s="379">
        <v>2019</v>
      </c>
      <c r="AO260" s="423">
        <v>0.87179487179487181</v>
      </c>
      <c r="AP260" s="423"/>
      <c r="AQ260" s="424"/>
      <c r="AR260" s="424"/>
      <c r="AS260" s="424"/>
      <c r="AT260" s="424" t="s">
        <v>249</v>
      </c>
      <c r="AU260" s="425">
        <v>0.8</v>
      </c>
      <c r="AV260" s="425"/>
      <c r="AW260" s="425"/>
      <c r="AX260" s="423"/>
      <c r="AY260" s="379">
        <v>1.56</v>
      </c>
      <c r="AZ260" s="425">
        <v>1.56</v>
      </c>
      <c r="BA260" s="425"/>
      <c r="BB260" s="425"/>
      <c r="BC260" s="427"/>
      <c r="BD260" s="390"/>
      <c r="BE260" s="390"/>
      <c r="BF260" s="379"/>
      <c r="BG260" s="379"/>
      <c r="BH260" s="427"/>
      <c r="BI260" s="379">
        <v>15</v>
      </c>
      <c r="BJ260" s="379"/>
      <c r="BK260" s="428">
        <v>251</v>
      </c>
      <c r="BL260" s="379"/>
      <c r="BM260" s="379"/>
      <c r="BN260" s="379"/>
      <c r="BO260" s="379"/>
      <c r="BP260" s="379"/>
      <c r="BQ260" s="379"/>
      <c r="BR260" s="429">
        <v>1.45</v>
      </c>
      <c r="BS260" s="379"/>
      <c r="BT260" s="430"/>
      <c r="BU260" s="430"/>
      <c r="BV260" s="430"/>
      <c r="BW260" s="430"/>
      <c r="BX260" s="431"/>
    </row>
    <row r="261" spans="1:76" x14ac:dyDescent="0.3">
      <c r="A261" s="88"/>
      <c r="B261" s="5"/>
      <c r="C261" s="5"/>
      <c r="D261" s="5"/>
      <c r="E261" s="5"/>
      <c r="F261" s="88"/>
      <c r="G261" s="5"/>
      <c r="H261" s="88"/>
      <c r="I261" s="88"/>
      <c r="J261" s="362" t="s">
        <v>238</v>
      </c>
      <c r="K261" s="363" t="s">
        <v>135</v>
      </c>
      <c r="L261" s="396"/>
      <c r="M261" s="363" t="s">
        <v>239</v>
      </c>
      <c r="N261" s="363" t="s">
        <v>240</v>
      </c>
      <c r="O261" s="363" t="s">
        <v>136</v>
      </c>
      <c r="P261" s="363">
        <v>2018</v>
      </c>
      <c r="Q261" s="432" t="s">
        <v>251</v>
      </c>
      <c r="R261" s="433" t="s">
        <v>253</v>
      </c>
      <c r="S261" s="363"/>
      <c r="T261" s="363"/>
      <c r="U261" s="363" t="s">
        <v>207</v>
      </c>
      <c r="V261" s="363" t="s">
        <v>190</v>
      </c>
      <c r="W261" s="363" t="s">
        <v>243</v>
      </c>
      <c r="X261" s="363">
        <v>2019</v>
      </c>
      <c r="Y261" s="363"/>
      <c r="Z261" s="363" t="str">
        <f>VLOOKUP(R261,KEY_Processes!$C$55:$E$130,3,FALSE)</f>
        <v>HWC_AHPFL_GAS01</v>
      </c>
      <c r="AA261" s="363" t="str">
        <f>VLOOKUP(R261,KEY_Processes!$C$55:$E$130,2,FALSE)</f>
        <v>HWC_AirHeatPumpFuel_GAS_LARGE</v>
      </c>
      <c r="AB261" s="363" t="str">
        <f>VLOOKUP(U261,KEY_FUELS!$C$4:$D$77,2,FALSE)</f>
        <v>GAS</v>
      </c>
      <c r="AC261" s="363" t="s">
        <v>150</v>
      </c>
      <c r="AD261" s="363" t="s">
        <v>244</v>
      </c>
      <c r="AE261" s="363" t="s">
        <v>152</v>
      </c>
      <c r="AF261" s="366" t="str">
        <f>VLOOKUP(W261,KEY_Other!$B$37:$C$89,2,FALSE)</f>
        <v>EUR</v>
      </c>
      <c r="AG261" s="363"/>
      <c r="AH261" s="363" t="str">
        <f>AC261&amp;VLOOKUP(U261,KEY_FUELS!$C$4:$D$78,2,FALSE)</f>
        <v>RSDGAS</v>
      </c>
      <c r="AI261" s="363" t="str">
        <f>IFERROR(AC261&amp;VLOOKUP(V261,KEY_FUELS!$C$4:$D$78,2,FALSE),"")</f>
        <v>RSDAHT</v>
      </c>
      <c r="AJ261" s="363" t="str">
        <f t="shared" si="78"/>
        <v>RHAP</v>
      </c>
      <c r="AK261" s="363" t="str">
        <f t="shared" si="79"/>
        <v/>
      </c>
      <c r="AL261" s="363" t="str">
        <f t="shared" si="80"/>
        <v>RCAP</v>
      </c>
      <c r="AM261" s="364">
        <v>31.536000000000001</v>
      </c>
      <c r="AN261" s="363">
        <v>2019</v>
      </c>
      <c r="AO261" s="434">
        <v>1</v>
      </c>
      <c r="AP261" s="435">
        <v>0.89</v>
      </c>
      <c r="AQ261" s="436"/>
      <c r="AR261" s="436"/>
      <c r="AS261" s="436"/>
      <c r="AT261" s="436" t="s">
        <v>161</v>
      </c>
      <c r="AU261" s="437">
        <v>0.39</v>
      </c>
      <c r="AV261" s="437"/>
      <c r="AW261" s="437">
        <v>0.01</v>
      </c>
      <c r="AX261" s="435"/>
      <c r="AY261" s="363">
        <v>1.56</v>
      </c>
      <c r="AZ261" s="437">
        <v>1.56</v>
      </c>
      <c r="BA261" s="437"/>
      <c r="BB261" s="437"/>
      <c r="BC261" s="439"/>
      <c r="BD261" s="374"/>
      <c r="BE261" s="374"/>
      <c r="BF261" s="363"/>
      <c r="BG261" s="363"/>
      <c r="BH261" s="439"/>
      <c r="BI261" s="363">
        <v>15</v>
      </c>
      <c r="BJ261" s="363"/>
      <c r="BK261" s="440">
        <v>251</v>
      </c>
      <c r="BL261" s="363"/>
      <c r="BM261" s="363"/>
      <c r="BN261" s="363"/>
      <c r="BO261" s="363"/>
      <c r="BP261" s="363"/>
      <c r="BQ261" s="363"/>
      <c r="BR261" s="441">
        <v>1.4548837209302332</v>
      </c>
      <c r="BS261" s="363"/>
      <c r="BT261" s="442"/>
      <c r="BU261" s="442"/>
      <c r="BV261" s="442"/>
      <c r="BW261" s="442"/>
      <c r="BX261" s="443"/>
    </row>
    <row r="262" spans="1:76" x14ac:dyDescent="0.3">
      <c r="A262" s="88"/>
      <c r="B262" s="5"/>
      <c r="C262" s="5"/>
      <c r="D262" s="5"/>
      <c r="E262" s="5"/>
      <c r="F262" s="88"/>
      <c r="G262" s="5"/>
      <c r="H262" s="88"/>
      <c r="I262" s="88"/>
      <c r="J262" s="378" t="s">
        <v>238</v>
      </c>
      <c r="K262" s="379" t="s">
        <v>135</v>
      </c>
      <c r="L262" s="394"/>
      <c r="M262" s="379" t="s">
        <v>239</v>
      </c>
      <c r="N262" s="379" t="s">
        <v>240</v>
      </c>
      <c r="O262" s="379" t="s">
        <v>136</v>
      </c>
      <c r="P262" s="379">
        <v>2018</v>
      </c>
      <c r="Q262" s="420" t="s">
        <v>251</v>
      </c>
      <c r="R262" s="421" t="s">
        <v>253</v>
      </c>
      <c r="S262" s="379"/>
      <c r="T262" s="379"/>
      <c r="U262" s="379" t="s">
        <v>207</v>
      </c>
      <c r="V262" s="379" t="s">
        <v>190</v>
      </c>
      <c r="W262" s="379" t="s">
        <v>243</v>
      </c>
      <c r="X262" s="379">
        <v>2019</v>
      </c>
      <c r="Y262" s="379"/>
      <c r="Z262" s="379" t="str">
        <f>VLOOKUP(R262,KEY_Processes!$C$55:$E$130,3,FALSE)</f>
        <v>HWC_AHPFL_GAS01</v>
      </c>
      <c r="AA262" s="379" t="str">
        <f>VLOOKUP(R262,KEY_Processes!$C$55:$E$130,2,FALSE)</f>
        <v>HWC_AirHeatPumpFuel_GAS_LARGE</v>
      </c>
      <c r="AB262" s="379" t="str">
        <f>VLOOKUP(U262,KEY_FUELS!$C$4:$D$77,2,FALSE)</f>
        <v>GAS</v>
      </c>
      <c r="AC262" s="379" t="s">
        <v>150</v>
      </c>
      <c r="AD262" s="379" t="s">
        <v>244</v>
      </c>
      <c r="AE262" s="379" t="s">
        <v>152</v>
      </c>
      <c r="AF262" s="382" t="str">
        <f>VLOOKUP(W262,KEY_Other!$B$37:$C$89,2,FALSE)</f>
        <v>EUR</v>
      </c>
      <c r="AG262" s="379"/>
      <c r="AH262" s="379" t="str">
        <f>AC262&amp;VLOOKUP(U262,KEY_FUELS!$C$4:$D$78,2,FALSE)</f>
        <v>RSDGAS</v>
      </c>
      <c r="AI262" s="379" t="str">
        <f>IFERROR(AC262&amp;VLOOKUP(V262,KEY_FUELS!$C$4:$D$78,2,FALSE),"")</f>
        <v>RSDAHT</v>
      </c>
      <c r="AJ262" s="379" t="str">
        <f t="shared" ref="AJ262" si="87">LEFT(AC262,1)&amp;LEFT(AA262,1)&amp;AD262</f>
        <v>RHAP</v>
      </c>
      <c r="AK262" s="379" t="str">
        <f t="shared" si="79"/>
        <v/>
      </c>
      <c r="AL262" s="379" t="str">
        <f t="shared" si="80"/>
        <v>RCAP</v>
      </c>
      <c r="AM262" s="380">
        <v>31.536000000000001</v>
      </c>
      <c r="AN262" s="379">
        <v>2019</v>
      </c>
      <c r="AO262" s="422">
        <v>1</v>
      </c>
      <c r="AP262" s="423">
        <v>0.89</v>
      </c>
      <c r="AQ262" s="424"/>
      <c r="AR262" s="424"/>
      <c r="AS262" s="424"/>
      <c r="AT262" s="424" t="s">
        <v>248</v>
      </c>
      <c r="AU262" s="425">
        <v>0.44</v>
      </c>
      <c r="AV262" s="425"/>
      <c r="AW262" s="425">
        <v>1.0999999999999999E-2</v>
      </c>
      <c r="AX262" s="423"/>
      <c r="AY262" s="379">
        <v>1.56</v>
      </c>
      <c r="AZ262" s="425">
        <v>1.56</v>
      </c>
      <c r="BA262" s="425"/>
      <c r="BB262" s="425"/>
      <c r="BC262" s="427"/>
      <c r="BD262" s="390"/>
      <c r="BE262" s="390"/>
      <c r="BF262" s="379"/>
      <c r="BG262" s="379"/>
      <c r="BH262" s="427"/>
      <c r="BI262" s="379">
        <v>15</v>
      </c>
      <c r="BJ262" s="379"/>
      <c r="BK262" s="428">
        <v>251</v>
      </c>
      <c r="BL262" s="379"/>
      <c r="BM262" s="379"/>
      <c r="BN262" s="379"/>
      <c r="BO262" s="379"/>
      <c r="BP262" s="379"/>
      <c r="BQ262" s="379"/>
      <c r="BR262" s="429">
        <v>1.4548837209302332</v>
      </c>
      <c r="BS262" s="379"/>
      <c r="BT262" s="430"/>
      <c r="BU262" s="430"/>
      <c r="BV262" s="430"/>
      <c r="BW262" s="430"/>
      <c r="BX262" s="431"/>
    </row>
    <row r="263" spans="1:76" x14ac:dyDescent="0.3">
      <c r="A263" s="88"/>
      <c r="B263" s="5"/>
      <c r="C263" s="5"/>
      <c r="D263" s="5"/>
      <c r="E263" s="5"/>
      <c r="F263" s="88"/>
      <c r="G263" s="5"/>
      <c r="H263" s="88"/>
      <c r="I263" s="88"/>
      <c r="J263" s="362" t="s">
        <v>238</v>
      </c>
      <c r="K263" s="363" t="s">
        <v>135</v>
      </c>
      <c r="L263" s="396"/>
      <c r="M263" s="363" t="s">
        <v>239</v>
      </c>
      <c r="N263" s="363" t="s">
        <v>240</v>
      </c>
      <c r="O263" s="363" t="s">
        <v>136</v>
      </c>
      <c r="P263" s="363">
        <v>2018</v>
      </c>
      <c r="Q263" s="432" t="s">
        <v>251</v>
      </c>
      <c r="R263" s="433" t="s">
        <v>253</v>
      </c>
      <c r="S263" s="363"/>
      <c r="T263" s="363"/>
      <c r="U263" s="363" t="s">
        <v>207</v>
      </c>
      <c r="V263" s="363" t="s">
        <v>190</v>
      </c>
      <c r="W263" s="363" t="s">
        <v>243</v>
      </c>
      <c r="X263" s="363">
        <v>2019</v>
      </c>
      <c r="Y263" s="363"/>
      <c r="Z263" s="363" t="str">
        <f>VLOOKUP(R263,KEY_Processes!$C$55:$E$130,3,FALSE)</f>
        <v>HWC_AHPFL_GAS01</v>
      </c>
      <c r="AA263" s="363" t="str">
        <f>VLOOKUP(R263,KEY_Processes!$C$55:$E$130,2,FALSE)</f>
        <v>HWC_AirHeatPumpFuel_GAS_LARGE</v>
      </c>
      <c r="AB263" s="363" t="str">
        <f>VLOOKUP(U263,KEY_FUELS!$C$4:$D$77,2,FALSE)</f>
        <v>GAS</v>
      </c>
      <c r="AC263" s="363" t="s">
        <v>150</v>
      </c>
      <c r="AD263" s="363" t="s">
        <v>244</v>
      </c>
      <c r="AE263" s="363" t="s">
        <v>152</v>
      </c>
      <c r="AF263" s="366" t="str">
        <f>VLOOKUP(W263,KEY_Other!$B$37:$C$89,2,FALSE)</f>
        <v>EUR</v>
      </c>
      <c r="AG263" s="363"/>
      <c r="AH263" s="363" t="str">
        <f>AC263&amp;VLOOKUP(U263,KEY_FUELS!$C$4:$D$78,2,FALSE)</f>
        <v>RSDGAS</v>
      </c>
      <c r="AI263" s="363" t="str">
        <f>IFERROR(AC263&amp;VLOOKUP(V263,KEY_FUELS!$C$4:$D$78,2,FALSE),"")</f>
        <v>RSDAHT</v>
      </c>
      <c r="AJ263" s="363" t="str">
        <f t="shared" ref="AJ263" si="88">LEFT(AC263,1)&amp;LEFT(AA263,1)&amp;AD263</f>
        <v>RHAP</v>
      </c>
      <c r="AK263" s="363" t="str">
        <f t="shared" si="79"/>
        <v/>
      </c>
      <c r="AL263" s="363" t="str">
        <f t="shared" si="80"/>
        <v>RCAP</v>
      </c>
      <c r="AM263" s="364">
        <v>31.536000000000001</v>
      </c>
      <c r="AN263" s="363">
        <v>2019</v>
      </c>
      <c r="AO263" s="434">
        <v>1</v>
      </c>
      <c r="AP263" s="435">
        <v>0.89</v>
      </c>
      <c r="AQ263" s="436"/>
      <c r="AR263" s="436"/>
      <c r="AS263" s="436"/>
      <c r="AT263" s="436" t="s">
        <v>158</v>
      </c>
      <c r="AU263" s="437">
        <v>0.51</v>
      </c>
      <c r="AV263" s="437"/>
      <c r="AW263" s="437">
        <v>1.2999999999999999E-2</v>
      </c>
      <c r="AX263" s="435"/>
      <c r="AY263" s="363">
        <v>1.56</v>
      </c>
      <c r="AZ263" s="437">
        <v>1.56</v>
      </c>
      <c r="BA263" s="437"/>
      <c r="BB263" s="437"/>
      <c r="BC263" s="439"/>
      <c r="BD263" s="374"/>
      <c r="BE263" s="374"/>
      <c r="BF263" s="363"/>
      <c r="BG263" s="363"/>
      <c r="BH263" s="439"/>
      <c r="BI263" s="363">
        <v>15</v>
      </c>
      <c r="BJ263" s="363"/>
      <c r="BK263" s="440">
        <v>251</v>
      </c>
      <c r="BL263" s="363"/>
      <c r="BM263" s="363"/>
      <c r="BN263" s="363"/>
      <c r="BO263" s="363"/>
      <c r="BP263" s="363"/>
      <c r="BQ263" s="363"/>
      <c r="BR263" s="441">
        <v>1.4548837209302332</v>
      </c>
      <c r="BS263" s="363"/>
      <c r="BT263" s="442"/>
      <c r="BU263" s="442"/>
      <c r="BV263" s="442"/>
      <c r="BW263" s="442"/>
      <c r="BX263" s="443"/>
    </row>
    <row r="264" spans="1:76" x14ac:dyDescent="0.3">
      <c r="A264" s="88"/>
      <c r="B264" s="5"/>
      <c r="C264" s="5"/>
      <c r="D264" s="5"/>
      <c r="E264" s="5"/>
      <c r="F264" s="88"/>
      <c r="G264" s="5"/>
      <c r="H264" s="88"/>
      <c r="I264" s="88"/>
      <c r="J264" s="378" t="s">
        <v>238</v>
      </c>
      <c r="K264" s="379" t="s">
        <v>135</v>
      </c>
      <c r="L264" s="394"/>
      <c r="M264" s="379" t="s">
        <v>239</v>
      </c>
      <c r="N264" s="379" t="s">
        <v>240</v>
      </c>
      <c r="O264" s="379" t="s">
        <v>136</v>
      </c>
      <c r="P264" s="379">
        <v>2018</v>
      </c>
      <c r="Q264" s="420" t="s">
        <v>251</v>
      </c>
      <c r="R264" s="421" t="s">
        <v>253</v>
      </c>
      <c r="S264" s="379"/>
      <c r="T264" s="379"/>
      <c r="U264" s="379" t="s">
        <v>207</v>
      </c>
      <c r="V264" s="379" t="s">
        <v>190</v>
      </c>
      <c r="W264" s="379" t="s">
        <v>243</v>
      </c>
      <c r="X264" s="379">
        <v>2019</v>
      </c>
      <c r="Y264" s="379"/>
      <c r="Z264" s="379" t="str">
        <f>VLOOKUP(R264,KEY_Processes!$C$55:$E$130,3,FALSE)</f>
        <v>HWC_AHPFL_GAS01</v>
      </c>
      <c r="AA264" s="379" t="str">
        <f>VLOOKUP(R264,KEY_Processes!$C$55:$E$130,2,FALSE)</f>
        <v>HWC_AirHeatPumpFuel_GAS_LARGE</v>
      </c>
      <c r="AB264" s="379" t="str">
        <f>VLOOKUP(U264,KEY_FUELS!$C$4:$D$77,2,FALSE)</f>
        <v>GAS</v>
      </c>
      <c r="AC264" s="379" t="s">
        <v>150</v>
      </c>
      <c r="AD264" s="379" t="s">
        <v>244</v>
      </c>
      <c r="AE264" s="379" t="s">
        <v>152</v>
      </c>
      <c r="AF264" s="382" t="str">
        <f>VLOOKUP(W264,KEY_Other!$B$37:$C$89,2,FALSE)</f>
        <v>EUR</v>
      </c>
      <c r="AG264" s="379"/>
      <c r="AH264" s="379" t="str">
        <f>AC264&amp;VLOOKUP(U264,KEY_FUELS!$C$4:$D$78,2,FALSE)</f>
        <v>RSDGAS</v>
      </c>
      <c r="AI264" s="379" t="str">
        <f>IFERROR(AC264&amp;VLOOKUP(V264,KEY_FUELS!$C$4:$D$78,2,FALSE),"")</f>
        <v>RSDAHT</v>
      </c>
      <c r="AJ264" s="379" t="str">
        <f t="shared" ref="AJ264" si="89">LEFT(AC264,1)&amp;LEFT(AA264,1)&amp;AD264</f>
        <v>RHAP</v>
      </c>
      <c r="AK264" s="379" t="str">
        <f t="shared" si="79"/>
        <v/>
      </c>
      <c r="AL264" s="379" t="str">
        <f t="shared" si="80"/>
        <v>RCAP</v>
      </c>
      <c r="AM264" s="380">
        <v>31.536000000000001</v>
      </c>
      <c r="AN264" s="379">
        <v>2019</v>
      </c>
      <c r="AO264" s="422">
        <v>1</v>
      </c>
      <c r="AP264" s="423">
        <v>0.89</v>
      </c>
      <c r="AQ264" s="424"/>
      <c r="AR264" s="424"/>
      <c r="AS264" s="424"/>
      <c r="AT264" s="424" t="s">
        <v>249</v>
      </c>
      <c r="AU264" s="425">
        <v>0.57999999999999996</v>
      </c>
      <c r="AV264" s="425"/>
      <c r="AW264" s="425">
        <v>1.4E-2</v>
      </c>
      <c r="AX264" s="423"/>
      <c r="AY264" s="379">
        <v>1.56</v>
      </c>
      <c r="AZ264" s="425">
        <v>1.56</v>
      </c>
      <c r="BA264" s="425"/>
      <c r="BB264" s="425"/>
      <c r="BC264" s="427"/>
      <c r="BD264" s="390"/>
      <c r="BE264" s="390"/>
      <c r="BF264" s="379"/>
      <c r="BG264" s="379"/>
      <c r="BH264" s="427"/>
      <c r="BI264" s="379">
        <v>15</v>
      </c>
      <c r="BJ264" s="379"/>
      <c r="BK264" s="428">
        <v>251</v>
      </c>
      <c r="BL264" s="379"/>
      <c r="BM264" s="379"/>
      <c r="BN264" s="379"/>
      <c r="BO264" s="379"/>
      <c r="BP264" s="379"/>
      <c r="BQ264" s="379"/>
      <c r="BR264" s="429">
        <v>1.4548837209302332</v>
      </c>
      <c r="BS264" s="379"/>
      <c r="BT264" s="430"/>
      <c r="BU264" s="430"/>
      <c r="BV264" s="430"/>
      <c r="BW264" s="430"/>
      <c r="BX264" s="431"/>
    </row>
    <row r="265" spans="1:76" x14ac:dyDescent="0.3">
      <c r="A265" s="88"/>
      <c r="B265" s="5"/>
      <c r="C265" s="5"/>
      <c r="D265" s="5"/>
      <c r="E265" s="5"/>
      <c r="F265" s="88"/>
      <c r="G265" s="5"/>
      <c r="H265" s="88"/>
      <c r="I265" s="88"/>
      <c r="J265" s="362" t="s">
        <v>238</v>
      </c>
      <c r="K265" s="363" t="s">
        <v>135</v>
      </c>
      <c r="L265" s="363"/>
      <c r="M265" s="363" t="s">
        <v>239</v>
      </c>
      <c r="N265" s="363" t="s">
        <v>240</v>
      </c>
      <c r="O265" s="363" t="s">
        <v>136</v>
      </c>
      <c r="P265" s="363">
        <v>2018</v>
      </c>
      <c r="Q265" s="432" t="s">
        <v>254</v>
      </c>
      <c r="R265" s="433" t="s">
        <v>255</v>
      </c>
      <c r="S265" s="363"/>
      <c r="T265" s="363"/>
      <c r="U265" s="363" t="s">
        <v>256</v>
      </c>
      <c r="V265" s="363"/>
      <c r="W265" s="363" t="s">
        <v>243</v>
      </c>
      <c r="X265" s="363">
        <v>2019</v>
      </c>
      <c r="Y265" s="363"/>
      <c r="Z265" s="363" t="str">
        <f>VLOOKUP(R265,KEY_Processes!$C$55:$E$130,3,FALSE)</f>
        <v>H_BL_COA01</v>
      </c>
      <c r="AA265" s="363" t="str">
        <f>VLOOKUP(R265,KEY_Processes!$C$55:$E$130,2,FALSE)</f>
        <v>H_CoalBoiler_COA_LARGE</v>
      </c>
      <c r="AB265" s="363" t="str">
        <f>VLOOKUP(U265,KEY_FUELS!$C$4:$D$77,2,FALSE)</f>
        <v>COA</v>
      </c>
      <c r="AC265" s="363" t="s">
        <v>150</v>
      </c>
      <c r="AD265" s="363" t="s">
        <v>244</v>
      </c>
      <c r="AE265" s="363" t="s">
        <v>152</v>
      </c>
      <c r="AF265" s="366" t="str">
        <f>VLOOKUP(W265,KEY_Other!$B$37:$C$89,2,FALSE)</f>
        <v>EUR</v>
      </c>
      <c r="AG265" s="363"/>
      <c r="AH265" s="363" t="str">
        <f>AC265&amp;VLOOKUP(U265,KEY_FUELS!$C$4:$D$78,2,FALSE)</f>
        <v>RSDCOA</v>
      </c>
      <c r="AI265" s="363" t="str">
        <f>IFERROR(AC265&amp;VLOOKUP(V265,KEY_FUELS!$C$4:$D$78,2,FALSE),"")</f>
        <v/>
      </c>
      <c r="AJ265" s="363" t="str">
        <f t="shared" si="78"/>
        <v>RHAP</v>
      </c>
      <c r="AK265" s="363" t="str">
        <f t="shared" si="79"/>
        <v/>
      </c>
      <c r="AL265" s="363" t="str">
        <f t="shared" si="80"/>
        <v/>
      </c>
      <c r="AM265" s="364">
        <v>31.536000000000001</v>
      </c>
      <c r="AN265" s="363">
        <v>2019</v>
      </c>
      <c r="AO265" s="434"/>
      <c r="AP265" s="435"/>
      <c r="AQ265" s="436"/>
      <c r="AR265" s="436"/>
      <c r="AS265" s="436"/>
      <c r="AT265" s="436"/>
      <c r="AU265" s="437"/>
      <c r="AV265" s="437"/>
      <c r="AW265" s="437"/>
      <c r="AX265" s="435"/>
      <c r="AY265" s="363"/>
      <c r="AZ265" s="437">
        <v>0.81</v>
      </c>
      <c r="BA265" s="437"/>
      <c r="BB265" s="437"/>
      <c r="BC265" s="439"/>
      <c r="BD265" s="374"/>
      <c r="BE265" s="374"/>
      <c r="BF265" s="363"/>
      <c r="BG265" s="363"/>
      <c r="BH265" s="439"/>
      <c r="BI265" s="363">
        <v>20</v>
      </c>
      <c r="BJ265" s="363"/>
      <c r="BK265" s="440">
        <v>126</v>
      </c>
      <c r="BL265" s="363"/>
      <c r="BM265" s="363"/>
      <c r="BN265" s="363"/>
      <c r="BO265" s="363"/>
      <c r="BP265" s="363"/>
      <c r="BQ265" s="363"/>
      <c r="BR265" s="441">
        <v>6.62</v>
      </c>
      <c r="BS265" s="363"/>
      <c r="BT265" s="442"/>
      <c r="BU265" s="442"/>
      <c r="BV265" s="442"/>
      <c r="BW265" s="442"/>
      <c r="BX265" s="443"/>
    </row>
    <row r="266" spans="1:76" x14ac:dyDescent="0.3">
      <c r="A266" s="88"/>
      <c r="B266" s="5"/>
      <c r="C266" s="5"/>
      <c r="D266" s="5"/>
      <c r="E266" s="5"/>
      <c r="F266" s="88"/>
      <c r="G266" s="5"/>
      <c r="H266" s="88"/>
      <c r="I266" s="88"/>
      <c r="J266" s="378" t="s">
        <v>238</v>
      </c>
      <c r="K266" s="379" t="s">
        <v>135</v>
      </c>
      <c r="L266" s="379"/>
      <c r="M266" s="379" t="s">
        <v>239</v>
      </c>
      <c r="N266" s="379" t="s">
        <v>240</v>
      </c>
      <c r="O266" s="379" t="s">
        <v>136</v>
      </c>
      <c r="P266" s="379">
        <v>2018</v>
      </c>
      <c r="Q266" s="420" t="s">
        <v>254</v>
      </c>
      <c r="R266" s="421" t="s">
        <v>255</v>
      </c>
      <c r="S266" s="379"/>
      <c r="T266" s="379"/>
      <c r="U266" s="379" t="s">
        <v>256</v>
      </c>
      <c r="V266" s="379"/>
      <c r="W266" s="379" t="s">
        <v>243</v>
      </c>
      <c r="X266" s="379">
        <v>2030</v>
      </c>
      <c r="Y266" s="379"/>
      <c r="Z266" s="379" t="str">
        <f>VLOOKUP(R266,KEY_Processes!$C$55:$E$130,3,FALSE)</f>
        <v>H_BL_COA01</v>
      </c>
      <c r="AA266" s="379" t="str">
        <f>VLOOKUP(R266,KEY_Processes!$C$55:$E$130,2,FALSE)</f>
        <v>H_CoalBoiler_COA_LARGE</v>
      </c>
      <c r="AB266" s="379" t="str">
        <f>VLOOKUP(U266,KEY_FUELS!$C$4:$D$77,2,FALSE)</f>
        <v>COA</v>
      </c>
      <c r="AC266" s="379" t="s">
        <v>150</v>
      </c>
      <c r="AD266" s="379" t="s">
        <v>244</v>
      </c>
      <c r="AE266" s="379" t="s">
        <v>152</v>
      </c>
      <c r="AF266" s="382" t="str">
        <f>VLOOKUP(W266,KEY_Other!$B$37:$C$89,2,FALSE)</f>
        <v>EUR</v>
      </c>
      <c r="AG266" s="379"/>
      <c r="AH266" s="379" t="str">
        <f>AC266&amp;VLOOKUP(U266,KEY_FUELS!$C$4:$D$78,2,FALSE)</f>
        <v>RSDCOA</v>
      </c>
      <c r="AI266" s="379" t="str">
        <f>IFERROR(AC266&amp;VLOOKUP(V266,KEY_FUELS!$C$4:$D$78,2,FALSE),"")</f>
        <v/>
      </c>
      <c r="AJ266" s="379" t="str">
        <f t="shared" si="78"/>
        <v>RHAP</v>
      </c>
      <c r="AK266" s="379" t="str">
        <f t="shared" si="79"/>
        <v/>
      </c>
      <c r="AL266" s="379" t="str">
        <f t="shared" si="80"/>
        <v/>
      </c>
      <c r="AM266" s="380">
        <v>31.536000000000001</v>
      </c>
      <c r="AN266" s="379">
        <v>2030</v>
      </c>
      <c r="AO266" s="422"/>
      <c r="AP266" s="423"/>
      <c r="AQ266" s="424"/>
      <c r="AR266" s="424"/>
      <c r="AS266" s="424"/>
      <c r="AT266" s="424"/>
      <c r="AU266" s="425"/>
      <c r="AV266" s="425"/>
      <c r="AW266" s="425"/>
      <c r="AX266" s="423"/>
      <c r="AY266" s="379"/>
      <c r="AZ266" s="425">
        <v>0.84</v>
      </c>
      <c r="BA266" s="425"/>
      <c r="BB266" s="425"/>
      <c r="BC266" s="427"/>
      <c r="BD266" s="390"/>
      <c r="BE266" s="390"/>
      <c r="BF266" s="379"/>
      <c r="BG266" s="379"/>
      <c r="BH266" s="427"/>
      <c r="BI266" s="379">
        <v>20</v>
      </c>
      <c r="BJ266" s="379"/>
      <c r="BK266" s="428">
        <v>133</v>
      </c>
      <c r="BL266" s="379"/>
      <c r="BM266" s="379"/>
      <c r="BN266" s="379"/>
      <c r="BO266" s="379"/>
      <c r="BP266" s="379"/>
      <c r="BQ266" s="379"/>
      <c r="BR266" s="429">
        <v>6.62</v>
      </c>
      <c r="BS266" s="379"/>
      <c r="BT266" s="430"/>
      <c r="BU266" s="430"/>
      <c r="BV266" s="430"/>
      <c r="BW266" s="430"/>
      <c r="BX266" s="431"/>
    </row>
    <row r="267" spans="1:76" x14ac:dyDescent="0.3">
      <c r="A267" s="88"/>
      <c r="B267" s="5"/>
      <c r="C267" s="5"/>
      <c r="D267" s="5"/>
      <c r="E267" s="5"/>
      <c r="F267" s="88"/>
      <c r="G267" s="5"/>
      <c r="H267" s="88"/>
      <c r="I267" s="88"/>
      <c r="J267" s="362" t="s">
        <v>238</v>
      </c>
      <c r="K267" s="363" t="s">
        <v>135</v>
      </c>
      <c r="L267" s="363"/>
      <c r="M267" s="363" t="s">
        <v>239</v>
      </c>
      <c r="N267" s="363" t="s">
        <v>240</v>
      </c>
      <c r="O267" s="363" t="s">
        <v>136</v>
      </c>
      <c r="P267" s="363">
        <v>2018</v>
      </c>
      <c r="Q267" s="432" t="s">
        <v>254</v>
      </c>
      <c r="R267" s="433" t="s">
        <v>257</v>
      </c>
      <c r="S267" s="363"/>
      <c r="T267" s="363"/>
      <c r="U267" s="363" t="s">
        <v>256</v>
      </c>
      <c r="V267" s="363"/>
      <c r="W267" s="363" t="s">
        <v>243</v>
      </c>
      <c r="X267" s="363">
        <v>2019</v>
      </c>
      <c r="Y267" s="363"/>
      <c r="Z267" s="363" t="str">
        <f>VLOOKUP(R267,KEY_Processes!$C$55:$E$130,3,FALSE)</f>
        <v>HW_BL_COA01</v>
      </c>
      <c r="AA267" s="363" t="str">
        <f>VLOOKUP(R267,KEY_Processes!$C$55:$E$130,2,FALSE)</f>
        <v>HW_CoalBoiler_COA_LARGE</v>
      </c>
      <c r="AB267" s="363" t="str">
        <f>VLOOKUP(U267,KEY_FUELS!$C$4:$D$77,2,FALSE)</f>
        <v>COA</v>
      </c>
      <c r="AC267" s="363" t="s">
        <v>150</v>
      </c>
      <c r="AD267" s="363" t="s">
        <v>244</v>
      </c>
      <c r="AE267" s="363" t="s">
        <v>152</v>
      </c>
      <c r="AF267" s="366" t="str">
        <f>VLOOKUP(W267,KEY_Other!$B$37:$C$89,2,FALSE)</f>
        <v>EUR</v>
      </c>
      <c r="AG267" s="363"/>
      <c r="AH267" s="363" t="str">
        <f>AC267&amp;VLOOKUP(U267,KEY_FUELS!$C$4:$D$78,2,FALSE)</f>
        <v>RSDCOA</v>
      </c>
      <c r="AI267" s="363" t="str">
        <f>IFERROR(AC267&amp;VLOOKUP(V267,KEY_FUELS!$C$4:$D$78,2,FALSE),"")</f>
        <v/>
      </c>
      <c r="AJ267" s="363" t="str">
        <f t="shared" si="78"/>
        <v>RHAP</v>
      </c>
      <c r="AK267" s="363" t="str">
        <f t="shared" si="79"/>
        <v>RWAP</v>
      </c>
      <c r="AL267" s="363" t="str">
        <f t="shared" si="80"/>
        <v/>
      </c>
      <c r="AM267" s="364">
        <v>31.536000000000001</v>
      </c>
      <c r="AN267" s="363">
        <v>2019</v>
      </c>
      <c r="AO267" s="434">
        <v>1</v>
      </c>
      <c r="AP267" s="435"/>
      <c r="AQ267" s="436"/>
      <c r="AR267" s="436"/>
      <c r="AS267" s="436"/>
      <c r="AT267" s="436" t="s">
        <v>161</v>
      </c>
      <c r="AU267" s="370">
        <v>0.48</v>
      </c>
      <c r="AV267" s="437"/>
      <c r="AW267" s="437"/>
      <c r="AX267" s="435"/>
      <c r="AY267" s="363"/>
      <c r="AZ267" s="437">
        <v>0.81</v>
      </c>
      <c r="BA267" s="437"/>
      <c r="BB267" s="437"/>
      <c r="BC267" s="439"/>
      <c r="BD267" s="374"/>
      <c r="BE267" s="374"/>
      <c r="BF267" s="363"/>
      <c r="BG267" s="363"/>
      <c r="BH267" s="439"/>
      <c r="BI267" s="363">
        <v>20</v>
      </c>
      <c r="BJ267" s="363"/>
      <c r="BK267" s="440">
        <v>164</v>
      </c>
      <c r="BL267" s="363"/>
      <c r="BM267" s="363"/>
      <c r="BN267" s="363"/>
      <c r="BO267" s="363"/>
      <c r="BP267" s="363"/>
      <c r="BQ267" s="363"/>
      <c r="BR267" s="441">
        <v>6.62</v>
      </c>
      <c r="BS267" s="363"/>
      <c r="BT267" s="442"/>
      <c r="BU267" s="442"/>
      <c r="BV267" s="442"/>
      <c r="BW267" s="442"/>
      <c r="BX267" s="443"/>
    </row>
    <row r="268" spans="1:76" x14ac:dyDescent="0.3">
      <c r="A268" s="88"/>
      <c r="B268" s="5"/>
      <c r="C268" s="5"/>
      <c r="D268" s="5"/>
      <c r="E268" s="5"/>
      <c r="F268" s="88"/>
      <c r="G268" s="5"/>
      <c r="H268" s="88"/>
      <c r="I268" s="88"/>
      <c r="J268" s="378" t="s">
        <v>238</v>
      </c>
      <c r="K268" s="379" t="s">
        <v>135</v>
      </c>
      <c r="L268" s="379"/>
      <c r="M268" s="379" t="s">
        <v>239</v>
      </c>
      <c r="N268" s="379" t="s">
        <v>240</v>
      </c>
      <c r="O268" s="379" t="s">
        <v>136</v>
      </c>
      <c r="P268" s="379">
        <v>2018</v>
      </c>
      <c r="Q268" s="420" t="s">
        <v>254</v>
      </c>
      <c r="R268" s="421" t="s">
        <v>257</v>
      </c>
      <c r="S268" s="379"/>
      <c r="T268" s="379"/>
      <c r="U268" s="379" t="s">
        <v>256</v>
      </c>
      <c r="V268" s="379"/>
      <c r="W268" s="379" t="s">
        <v>243</v>
      </c>
      <c r="X268" s="379">
        <v>2019</v>
      </c>
      <c r="Y268" s="379"/>
      <c r="Z268" s="379" t="str">
        <f>VLOOKUP(R268,KEY_Processes!$C$55:$E$130,3,FALSE)</f>
        <v>HW_BL_COA01</v>
      </c>
      <c r="AA268" s="379" t="str">
        <f>VLOOKUP(R268,KEY_Processes!$C$55:$E$130,2,FALSE)</f>
        <v>HW_CoalBoiler_COA_LARGE</v>
      </c>
      <c r="AB268" s="379" t="str">
        <f>VLOOKUP(U268,KEY_FUELS!$C$4:$D$77,2,FALSE)</f>
        <v>COA</v>
      </c>
      <c r="AC268" s="379" t="s">
        <v>150</v>
      </c>
      <c r="AD268" s="379" t="s">
        <v>244</v>
      </c>
      <c r="AE268" s="379" t="s">
        <v>152</v>
      </c>
      <c r="AF268" s="382" t="str">
        <f>VLOOKUP(W268,KEY_Other!$B$37:$C$89,2,FALSE)</f>
        <v>EUR</v>
      </c>
      <c r="AG268" s="379"/>
      <c r="AH268" s="379" t="str">
        <f>AC268&amp;VLOOKUP(U268,KEY_FUELS!$C$4:$D$78,2,FALSE)</f>
        <v>RSDCOA</v>
      </c>
      <c r="AI268" s="379" t="str">
        <f>IFERROR(AC268&amp;VLOOKUP(V268,KEY_FUELS!$C$4:$D$78,2,FALSE),"")</f>
        <v/>
      </c>
      <c r="AJ268" s="379" t="str">
        <f t="shared" ref="AJ268" si="90">LEFT(AC268,1)&amp;LEFT(AA268,1)&amp;AD268</f>
        <v>RHAP</v>
      </c>
      <c r="AK268" s="379" t="str">
        <f t="shared" si="79"/>
        <v>RWAP</v>
      </c>
      <c r="AL268" s="379" t="str">
        <f t="shared" si="80"/>
        <v/>
      </c>
      <c r="AM268" s="380">
        <v>31.536000000000001</v>
      </c>
      <c r="AN268" s="379">
        <v>2019</v>
      </c>
      <c r="AO268" s="422">
        <v>1</v>
      </c>
      <c r="AP268" s="423"/>
      <c r="AQ268" s="424"/>
      <c r="AR268" s="424"/>
      <c r="AS268" s="424"/>
      <c r="AT268" s="424" t="s">
        <v>248</v>
      </c>
      <c r="AU268" s="386">
        <v>0.55000000000000004</v>
      </c>
      <c r="AV268" s="425"/>
      <c r="AW268" s="425"/>
      <c r="AX268" s="423"/>
      <c r="AY268" s="379"/>
      <c r="AZ268" s="425">
        <v>0.81</v>
      </c>
      <c r="BA268" s="425"/>
      <c r="BB268" s="425"/>
      <c r="BC268" s="427"/>
      <c r="BD268" s="390"/>
      <c r="BE268" s="390"/>
      <c r="BF268" s="379"/>
      <c r="BG268" s="379"/>
      <c r="BH268" s="427"/>
      <c r="BI268" s="379">
        <v>20</v>
      </c>
      <c r="BJ268" s="379"/>
      <c r="BK268" s="428">
        <v>164</v>
      </c>
      <c r="BL268" s="379"/>
      <c r="BM268" s="379"/>
      <c r="BN268" s="379"/>
      <c r="BO268" s="379"/>
      <c r="BP268" s="379"/>
      <c r="BQ268" s="379"/>
      <c r="BR268" s="429">
        <v>6.62</v>
      </c>
      <c r="BS268" s="379"/>
      <c r="BT268" s="430"/>
      <c r="BU268" s="430"/>
      <c r="BV268" s="430"/>
      <c r="BW268" s="430"/>
      <c r="BX268" s="431"/>
    </row>
    <row r="269" spans="1:76" x14ac:dyDescent="0.3">
      <c r="A269" s="88"/>
      <c r="B269" s="5"/>
      <c r="C269" s="5"/>
      <c r="D269" s="5"/>
      <c r="E269" s="5"/>
      <c r="F269" s="88"/>
      <c r="G269" s="5"/>
      <c r="H269" s="88"/>
      <c r="I269" s="88"/>
      <c r="J269" s="362" t="s">
        <v>238</v>
      </c>
      <c r="K269" s="363" t="s">
        <v>135</v>
      </c>
      <c r="L269" s="363"/>
      <c r="M269" s="363" t="s">
        <v>239</v>
      </c>
      <c r="N269" s="363" t="s">
        <v>240</v>
      </c>
      <c r="O269" s="363" t="s">
        <v>136</v>
      </c>
      <c r="P269" s="363">
        <v>2018</v>
      </c>
      <c r="Q269" s="432" t="s">
        <v>254</v>
      </c>
      <c r="R269" s="433" t="s">
        <v>257</v>
      </c>
      <c r="S269" s="363"/>
      <c r="T269" s="363"/>
      <c r="U269" s="363" t="s">
        <v>256</v>
      </c>
      <c r="V269" s="363"/>
      <c r="W269" s="363" t="s">
        <v>243</v>
      </c>
      <c r="X269" s="363">
        <v>2019</v>
      </c>
      <c r="Y269" s="363"/>
      <c r="Z269" s="363" t="str">
        <f>VLOOKUP(R269,KEY_Processes!$C$55:$E$130,3,FALSE)</f>
        <v>HW_BL_COA01</v>
      </c>
      <c r="AA269" s="363" t="str">
        <f>VLOOKUP(R269,KEY_Processes!$C$55:$E$130,2,FALSE)</f>
        <v>HW_CoalBoiler_COA_LARGE</v>
      </c>
      <c r="AB269" s="363" t="str">
        <f>VLOOKUP(U269,KEY_FUELS!$C$4:$D$77,2,FALSE)</f>
        <v>COA</v>
      </c>
      <c r="AC269" s="363" t="s">
        <v>150</v>
      </c>
      <c r="AD269" s="363" t="s">
        <v>244</v>
      </c>
      <c r="AE269" s="363" t="s">
        <v>152</v>
      </c>
      <c r="AF269" s="366" t="str">
        <f>VLOOKUP(W269,KEY_Other!$B$37:$C$89,2,FALSE)</f>
        <v>EUR</v>
      </c>
      <c r="AG269" s="363"/>
      <c r="AH269" s="363" t="str">
        <f>AC269&amp;VLOOKUP(U269,KEY_FUELS!$C$4:$D$78,2,FALSE)</f>
        <v>RSDCOA</v>
      </c>
      <c r="AI269" s="363" t="str">
        <f>IFERROR(AC269&amp;VLOOKUP(V269,KEY_FUELS!$C$4:$D$78,2,FALSE),"")</f>
        <v/>
      </c>
      <c r="AJ269" s="363" t="str">
        <f t="shared" si="78"/>
        <v>RHAP</v>
      </c>
      <c r="AK269" s="363" t="str">
        <f t="shared" si="79"/>
        <v>RWAP</v>
      </c>
      <c r="AL269" s="363" t="str">
        <f t="shared" si="80"/>
        <v/>
      </c>
      <c r="AM269" s="364">
        <v>31.536000000000001</v>
      </c>
      <c r="AN269" s="363">
        <v>2019</v>
      </c>
      <c r="AO269" s="434">
        <v>1</v>
      </c>
      <c r="AP269" s="435"/>
      <c r="AQ269" s="436"/>
      <c r="AR269" s="436"/>
      <c r="AS269" s="436"/>
      <c r="AT269" s="436" t="s">
        <v>158</v>
      </c>
      <c r="AU269" s="370">
        <v>0.63</v>
      </c>
      <c r="AV269" s="437"/>
      <c r="AW269" s="437"/>
      <c r="AX269" s="435"/>
      <c r="AY269" s="363"/>
      <c r="AZ269" s="437">
        <v>0.81</v>
      </c>
      <c r="BA269" s="437"/>
      <c r="BB269" s="437"/>
      <c r="BC269" s="439"/>
      <c r="BD269" s="374"/>
      <c r="BE269" s="374"/>
      <c r="BF269" s="363"/>
      <c r="BG269" s="363"/>
      <c r="BH269" s="439"/>
      <c r="BI269" s="363">
        <v>20</v>
      </c>
      <c r="BJ269" s="363"/>
      <c r="BK269" s="440">
        <v>164</v>
      </c>
      <c r="BL269" s="363"/>
      <c r="BM269" s="363"/>
      <c r="BN269" s="363"/>
      <c r="BO269" s="363"/>
      <c r="BP269" s="363"/>
      <c r="BQ269" s="363"/>
      <c r="BR269" s="441">
        <v>6.62</v>
      </c>
      <c r="BS269" s="363"/>
      <c r="BT269" s="442"/>
      <c r="BU269" s="442"/>
      <c r="BV269" s="442"/>
      <c r="BW269" s="442"/>
      <c r="BX269" s="443"/>
    </row>
    <row r="270" spans="1:76" x14ac:dyDescent="0.3">
      <c r="A270" s="88"/>
      <c r="B270" s="5"/>
      <c r="C270" s="5"/>
      <c r="D270" s="5"/>
      <c r="E270" s="5"/>
      <c r="F270" s="88"/>
      <c r="G270" s="5"/>
      <c r="H270" s="88"/>
      <c r="I270" s="88"/>
      <c r="J270" s="378" t="s">
        <v>238</v>
      </c>
      <c r="K270" s="379" t="s">
        <v>135</v>
      </c>
      <c r="L270" s="379"/>
      <c r="M270" s="379" t="s">
        <v>239</v>
      </c>
      <c r="N270" s="379" t="s">
        <v>240</v>
      </c>
      <c r="O270" s="379" t="s">
        <v>136</v>
      </c>
      <c r="P270" s="379">
        <v>2018</v>
      </c>
      <c r="Q270" s="420" t="s">
        <v>254</v>
      </c>
      <c r="R270" s="421" t="s">
        <v>257</v>
      </c>
      <c r="S270" s="379"/>
      <c r="T270" s="379"/>
      <c r="U270" s="379" t="s">
        <v>256</v>
      </c>
      <c r="V270" s="379"/>
      <c r="W270" s="379" t="s">
        <v>243</v>
      </c>
      <c r="X270" s="379">
        <v>2019</v>
      </c>
      <c r="Y270" s="379"/>
      <c r="Z270" s="379" t="str">
        <f>VLOOKUP(R270,KEY_Processes!$C$55:$E$130,3,FALSE)</f>
        <v>HW_BL_COA01</v>
      </c>
      <c r="AA270" s="379" t="str">
        <f>VLOOKUP(R270,KEY_Processes!$C$55:$E$130,2,FALSE)</f>
        <v>HW_CoalBoiler_COA_LARGE</v>
      </c>
      <c r="AB270" s="379" t="str">
        <f>VLOOKUP(U270,KEY_FUELS!$C$4:$D$77,2,FALSE)</f>
        <v>COA</v>
      </c>
      <c r="AC270" s="379" t="s">
        <v>150</v>
      </c>
      <c r="AD270" s="379" t="s">
        <v>244</v>
      </c>
      <c r="AE270" s="379" t="s">
        <v>152</v>
      </c>
      <c r="AF270" s="382" t="str">
        <f>VLOOKUP(W270,KEY_Other!$B$37:$C$89,2,FALSE)</f>
        <v>EUR</v>
      </c>
      <c r="AG270" s="379"/>
      <c r="AH270" s="379" t="str">
        <f>AC270&amp;VLOOKUP(U270,KEY_FUELS!$C$4:$D$78,2,FALSE)</f>
        <v>RSDCOA</v>
      </c>
      <c r="AI270" s="379" t="str">
        <f>IFERROR(AC270&amp;VLOOKUP(V270,KEY_FUELS!$C$4:$D$78,2,FALSE),"")</f>
        <v/>
      </c>
      <c r="AJ270" s="379" t="str">
        <f t="shared" ref="AJ270" si="91">LEFT(AC270,1)&amp;LEFT(AA270,1)&amp;AD270</f>
        <v>RHAP</v>
      </c>
      <c r="AK270" s="379" t="str">
        <f t="shared" si="79"/>
        <v>RWAP</v>
      </c>
      <c r="AL270" s="379" t="str">
        <f t="shared" si="80"/>
        <v/>
      </c>
      <c r="AM270" s="380">
        <v>31.536000000000001</v>
      </c>
      <c r="AN270" s="379">
        <v>2019</v>
      </c>
      <c r="AO270" s="422">
        <v>1</v>
      </c>
      <c r="AP270" s="423"/>
      <c r="AQ270" s="424"/>
      <c r="AR270" s="424"/>
      <c r="AS270" s="424"/>
      <c r="AT270" s="424" t="s">
        <v>249</v>
      </c>
      <c r="AU270" s="425">
        <v>0.72</v>
      </c>
      <c r="AV270" s="425"/>
      <c r="AW270" s="425"/>
      <c r="AX270" s="423"/>
      <c r="AY270" s="379"/>
      <c r="AZ270" s="425">
        <v>0.81</v>
      </c>
      <c r="BA270" s="425"/>
      <c r="BB270" s="425"/>
      <c r="BC270" s="427"/>
      <c r="BD270" s="390"/>
      <c r="BE270" s="390"/>
      <c r="BF270" s="379"/>
      <c r="BG270" s="379"/>
      <c r="BH270" s="427"/>
      <c r="BI270" s="379">
        <v>20</v>
      </c>
      <c r="BJ270" s="379"/>
      <c r="BK270" s="428">
        <v>164</v>
      </c>
      <c r="BL270" s="379"/>
      <c r="BM270" s="379"/>
      <c r="BN270" s="379"/>
      <c r="BO270" s="379"/>
      <c r="BP270" s="379"/>
      <c r="BQ270" s="379"/>
      <c r="BR270" s="429">
        <v>6.62</v>
      </c>
      <c r="BS270" s="379"/>
      <c r="BT270" s="430"/>
      <c r="BU270" s="430"/>
      <c r="BV270" s="430"/>
      <c r="BW270" s="430"/>
      <c r="BX270" s="431"/>
    </row>
    <row r="271" spans="1:76" x14ac:dyDescent="0.3">
      <c r="A271" s="88"/>
      <c r="B271" s="5"/>
      <c r="C271" s="5"/>
      <c r="D271" s="5"/>
      <c r="E271" s="5"/>
      <c r="F271" s="88"/>
      <c r="G271" s="5"/>
      <c r="H271" s="88"/>
      <c r="I271" s="88"/>
      <c r="J271" s="362" t="s">
        <v>238</v>
      </c>
      <c r="K271" s="363" t="s">
        <v>135</v>
      </c>
      <c r="L271" s="363"/>
      <c r="M271" s="363" t="s">
        <v>239</v>
      </c>
      <c r="N271" s="363" t="s">
        <v>240</v>
      </c>
      <c r="O271" s="363" t="s">
        <v>136</v>
      </c>
      <c r="P271" s="363">
        <v>2018</v>
      </c>
      <c r="Q271" s="432" t="s">
        <v>254</v>
      </c>
      <c r="R271" s="433" t="s">
        <v>257</v>
      </c>
      <c r="S271" s="363"/>
      <c r="T271" s="363"/>
      <c r="U271" s="363" t="s">
        <v>256</v>
      </c>
      <c r="V271" s="363"/>
      <c r="W271" s="363" t="s">
        <v>243</v>
      </c>
      <c r="X271" s="363">
        <v>2030</v>
      </c>
      <c r="Y271" s="363"/>
      <c r="Z271" s="363" t="str">
        <f>VLOOKUP(R271,KEY_Processes!$C$55:$E$130,3,FALSE)</f>
        <v>HW_BL_COA01</v>
      </c>
      <c r="AA271" s="363" t="str">
        <f>VLOOKUP(R271,KEY_Processes!$C$55:$E$130,2,FALSE)</f>
        <v>HW_CoalBoiler_COA_LARGE</v>
      </c>
      <c r="AB271" s="363" t="str">
        <f>VLOOKUP(U271,KEY_FUELS!$C$4:$D$77,2,FALSE)</f>
        <v>COA</v>
      </c>
      <c r="AC271" s="363" t="s">
        <v>150</v>
      </c>
      <c r="AD271" s="363" t="s">
        <v>244</v>
      </c>
      <c r="AE271" s="363" t="s">
        <v>152</v>
      </c>
      <c r="AF271" s="366" t="str">
        <f>VLOOKUP(W271,KEY_Other!$B$37:$C$89,2,FALSE)</f>
        <v>EUR</v>
      </c>
      <c r="AG271" s="363"/>
      <c r="AH271" s="363" t="str">
        <f>AC271&amp;VLOOKUP(U271,KEY_FUELS!$C$4:$D$78,2,FALSE)</f>
        <v>RSDCOA</v>
      </c>
      <c r="AI271" s="363" t="str">
        <f>IFERROR(AC271&amp;VLOOKUP(V271,KEY_FUELS!$C$4:$D$78,2,FALSE),"")</f>
        <v/>
      </c>
      <c r="AJ271" s="363" t="str">
        <f t="shared" si="78"/>
        <v>RHAP</v>
      </c>
      <c r="AK271" s="363" t="str">
        <f t="shared" si="79"/>
        <v>RWAP</v>
      </c>
      <c r="AL271" s="363" t="str">
        <f t="shared" si="80"/>
        <v/>
      </c>
      <c r="AM271" s="364">
        <v>31.536000000000001</v>
      </c>
      <c r="AN271" s="363">
        <v>2030</v>
      </c>
      <c r="AO271" s="434"/>
      <c r="AP271" s="435"/>
      <c r="AQ271" s="436"/>
      <c r="AR271" s="436"/>
      <c r="AS271" s="436"/>
      <c r="AT271" s="436"/>
      <c r="AU271" s="437"/>
      <c r="AV271" s="437"/>
      <c r="AW271" s="437"/>
      <c r="AX271" s="435"/>
      <c r="AY271" s="363"/>
      <c r="AZ271" s="437">
        <v>0.84</v>
      </c>
      <c r="BA271" s="437"/>
      <c r="BB271" s="437"/>
      <c r="BC271" s="439"/>
      <c r="BD271" s="374"/>
      <c r="BE271" s="374"/>
      <c r="BF271" s="363"/>
      <c r="BG271" s="363"/>
      <c r="BH271" s="439"/>
      <c r="BI271" s="363">
        <v>20</v>
      </c>
      <c r="BJ271" s="363"/>
      <c r="BK271" s="440">
        <v>173</v>
      </c>
      <c r="BL271" s="363"/>
      <c r="BM271" s="363"/>
      <c r="BN271" s="363"/>
      <c r="BO271" s="363"/>
      <c r="BP271" s="363"/>
      <c r="BQ271" s="363"/>
      <c r="BR271" s="441">
        <v>6.62</v>
      </c>
      <c r="BS271" s="363"/>
      <c r="BT271" s="442"/>
      <c r="BU271" s="442"/>
      <c r="BV271" s="442"/>
      <c r="BW271" s="442"/>
      <c r="BX271" s="443"/>
    </row>
    <row r="272" spans="1:76" x14ac:dyDescent="0.3">
      <c r="A272" s="88"/>
      <c r="B272" s="5"/>
      <c r="C272" s="5"/>
      <c r="D272" s="5"/>
      <c r="E272" s="5"/>
      <c r="F272" s="88"/>
      <c r="G272" s="5"/>
      <c r="H272" s="88"/>
      <c r="I272" s="88"/>
      <c r="J272" s="378" t="s">
        <v>238</v>
      </c>
      <c r="K272" s="379" t="s">
        <v>135</v>
      </c>
      <c r="L272" s="379"/>
      <c r="M272" s="379" t="s">
        <v>239</v>
      </c>
      <c r="N272" s="379" t="s">
        <v>240</v>
      </c>
      <c r="O272" s="379" t="s">
        <v>136</v>
      </c>
      <c r="P272" s="379">
        <v>2018</v>
      </c>
      <c r="Q272" s="420" t="s">
        <v>254</v>
      </c>
      <c r="R272" s="421" t="s">
        <v>258</v>
      </c>
      <c r="S272" s="379"/>
      <c r="T272" s="379"/>
      <c r="U272" s="379" t="s">
        <v>256</v>
      </c>
      <c r="V272" s="379"/>
      <c r="W272" s="379" t="s">
        <v>243</v>
      </c>
      <c r="X272" s="379">
        <v>2019</v>
      </c>
      <c r="Y272" s="379"/>
      <c r="Z272" s="379" t="str">
        <f>VLOOKUP(R272,KEY_Processes!$C$55:$E$130,3,FALSE)</f>
        <v>W_BL_COA01</v>
      </c>
      <c r="AA272" s="379" t="str">
        <f>VLOOKUP(R272,KEY_Processes!$C$55:$E$130,2,FALSE)</f>
        <v>W_CoalBoiler_COA_LARGE</v>
      </c>
      <c r="AB272" s="379" t="str">
        <f>VLOOKUP(U272,KEY_FUELS!$C$4:$D$77,2,FALSE)</f>
        <v>COA</v>
      </c>
      <c r="AC272" s="379" t="s">
        <v>150</v>
      </c>
      <c r="AD272" s="379" t="s">
        <v>244</v>
      </c>
      <c r="AE272" s="379" t="s">
        <v>152</v>
      </c>
      <c r="AF272" s="382" t="str">
        <f>VLOOKUP(W272,KEY_Other!$B$37:$C$89,2,FALSE)</f>
        <v>EUR</v>
      </c>
      <c r="AG272" s="379"/>
      <c r="AH272" s="379" t="str">
        <f>AC272&amp;VLOOKUP(U272,KEY_FUELS!$C$4:$D$78,2,FALSE)</f>
        <v>RSDCOA</v>
      </c>
      <c r="AI272" s="379" t="str">
        <f>IFERROR(AC272&amp;VLOOKUP(V272,KEY_FUELS!$C$4:$D$78,2,FALSE),"")</f>
        <v/>
      </c>
      <c r="AJ272" s="379" t="str">
        <f t="shared" si="78"/>
        <v>RWAP</v>
      </c>
      <c r="AK272" s="379" t="str">
        <f t="shared" si="79"/>
        <v/>
      </c>
      <c r="AL272" s="379" t="str">
        <f t="shared" si="80"/>
        <v/>
      </c>
      <c r="AM272" s="380">
        <v>31.536000000000001</v>
      </c>
      <c r="AN272" s="379">
        <v>2019</v>
      </c>
      <c r="AO272" s="422"/>
      <c r="AP272" s="423"/>
      <c r="AQ272" s="424"/>
      <c r="AR272" s="424"/>
      <c r="AS272" s="424"/>
      <c r="AT272" s="424"/>
      <c r="AU272" s="425"/>
      <c r="AV272" s="425"/>
      <c r="AW272" s="425"/>
      <c r="AX272" s="423"/>
      <c r="AY272" s="379"/>
      <c r="AZ272" s="425">
        <v>0.81</v>
      </c>
      <c r="BA272" s="423"/>
      <c r="BB272" s="423"/>
      <c r="BC272" s="427"/>
      <c r="BD272" s="390"/>
      <c r="BE272" s="390"/>
      <c r="BF272" s="379"/>
      <c r="BG272" s="379"/>
      <c r="BH272" s="427"/>
      <c r="BI272" s="379">
        <v>20</v>
      </c>
      <c r="BJ272" s="379"/>
      <c r="BK272" s="428">
        <v>83</v>
      </c>
      <c r="BL272" s="379"/>
      <c r="BM272" s="379"/>
      <c r="BN272" s="379"/>
      <c r="BO272" s="379"/>
      <c r="BP272" s="379"/>
      <c r="BQ272" s="379"/>
      <c r="BR272" s="429">
        <v>6.62</v>
      </c>
      <c r="BS272" s="379"/>
      <c r="BT272" s="430"/>
      <c r="BU272" s="430"/>
      <c r="BV272" s="430"/>
      <c r="BW272" s="430"/>
      <c r="BX272" s="431"/>
    </row>
    <row r="273" spans="1:76" x14ac:dyDescent="0.3">
      <c r="A273" s="88"/>
      <c r="B273" s="5"/>
      <c r="C273" s="5"/>
      <c r="D273" s="5"/>
      <c r="E273" s="5"/>
      <c r="F273" s="88"/>
      <c r="G273" s="5"/>
      <c r="H273" s="88"/>
      <c r="I273" s="88"/>
      <c r="J273" s="362" t="s">
        <v>238</v>
      </c>
      <c r="K273" s="363" t="s">
        <v>135</v>
      </c>
      <c r="L273" s="363"/>
      <c r="M273" s="363" t="s">
        <v>239</v>
      </c>
      <c r="N273" s="363" t="s">
        <v>240</v>
      </c>
      <c r="O273" s="363" t="s">
        <v>136</v>
      </c>
      <c r="P273" s="363">
        <v>2018</v>
      </c>
      <c r="Q273" s="432" t="s">
        <v>254</v>
      </c>
      <c r="R273" s="433" t="s">
        <v>258</v>
      </c>
      <c r="S273" s="363"/>
      <c r="T273" s="363"/>
      <c r="U273" s="363" t="s">
        <v>256</v>
      </c>
      <c r="V273" s="363"/>
      <c r="W273" s="363" t="s">
        <v>243</v>
      </c>
      <c r="X273" s="363">
        <v>2030</v>
      </c>
      <c r="Y273" s="363"/>
      <c r="Z273" s="363" t="str">
        <f>VLOOKUP(R273,KEY_Processes!$C$55:$E$130,3,FALSE)</f>
        <v>W_BL_COA01</v>
      </c>
      <c r="AA273" s="363" t="str">
        <f>VLOOKUP(R273,KEY_Processes!$C$55:$E$130,2,FALSE)</f>
        <v>W_CoalBoiler_COA_LARGE</v>
      </c>
      <c r="AB273" s="363" t="str">
        <f>VLOOKUP(U273,KEY_FUELS!$C$4:$D$77,2,FALSE)</f>
        <v>COA</v>
      </c>
      <c r="AC273" s="363" t="s">
        <v>150</v>
      </c>
      <c r="AD273" s="363" t="s">
        <v>244</v>
      </c>
      <c r="AE273" s="363" t="s">
        <v>152</v>
      </c>
      <c r="AF273" s="366" t="str">
        <f>VLOOKUP(W273,KEY_Other!$B$37:$C$89,2,FALSE)</f>
        <v>EUR</v>
      </c>
      <c r="AG273" s="363"/>
      <c r="AH273" s="363" t="str">
        <f>AC273&amp;VLOOKUP(U273,KEY_FUELS!$C$4:$D$78,2,FALSE)</f>
        <v>RSDCOA</v>
      </c>
      <c r="AI273" s="363" t="str">
        <f>IFERROR(AC273&amp;VLOOKUP(V273,KEY_FUELS!$C$4:$D$78,2,FALSE),"")</f>
        <v/>
      </c>
      <c r="AJ273" s="363" t="str">
        <f t="shared" si="78"/>
        <v>RWAP</v>
      </c>
      <c r="AK273" s="363" t="str">
        <f t="shared" si="79"/>
        <v/>
      </c>
      <c r="AL273" s="363" t="str">
        <f t="shared" si="80"/>
        <v/>
      </c>
      <c r="AM273" s="364">
        <v>31.536000000000001</v>
      </c>
      <c r="AN273" s="363">
        <v>2030</v>
      </c>
      <c r="AO273" s="434"/>
      <c r="AP273" s="435"/>
      <c r="AQ273" s="436"/>
      <c r="AR273" s="436"/>
      <c r="AS273" s="436"/>
      <c r="AT273" s="436"/>
      <c r="AU273" s="437"/>
      <c r="AV273" s="437"/>
      <c r="AW273" s="437"/>
      <c r="AX273" s="435"/>
      <c r="AY273" s="363"/>
      <c r="AZ273" s="437">
        <v>0.84</v>
      </c>
      <c r="BA273" s="435"/>
      <c r="BB273" s="435"/>
      <c r="BC273" s="439"/>
      <c r="BD273" s="374"/>
      <c r="BE273" s="374"/>
      <c r="BF273" s="363"/>
      <c r="BG273" s="363"/>
      <c r="BH273" s="439"/>
      <c r="BI273" s="363">
        <v>20</v>
      </c>
      <c r="BJ273" s="363"/>
      <c r="BK273" s="440">
        <v>100</v>
      </c>
      <c r="BL273" s="363"/>
      <c r="BM273" s="363"/>
      <c r="BN273" s="363"/>
      <c r="BO273" s="363"/>
      <c r="BP273" s="363"/>
      <c r="BQ273" s="363"/>
      <c r="BR273" s="441">
        <v>6.62</v>
      </c>
      <c r="BS273" s="363"/>
      <c r="BT273" s="442"/>
      <c r="BU273" s="442"/>
      <c r="BV273" s="442"/>
      <c r="BW273" s="442"/>
      <c r="BX273" s="443"/>
    </row>
    <row r="274" spans="1:76" x14ac:dyDescent="0.3">
      <c r="A274" s="88"/>
      <c r="B274" s="5"/>
      <c r="C274" s="5"/>
      <c r="D274" s="5"/>
      <c r="E274" s="5"/>
      <c r="F274" s="88"/>
      <c r="G274" s="5"/>
      <c r="H274" s="88"/>
      <c r="I274" s="88"/>
      <c r="J274" s="378" t="s">
        <v>238</v>
      </c>
      <c r="K274" s="379" t="s">
        <v>135</v>
      </c>
      <c r="L274" s="379"/>
      <c r="M274" s="379" t="s">
        <v>239</v>
      </c>
      <c r="N274" s="379" t="s">
        <v>240</v>
      </c>
      <c r="O274" s="379" t="s">
        <v>136</v>
      </c>
      <c r="P274" s="379">
        <v>2018</v>
      </c>
      <c r="Q274" s="420" t="s">
        <v>259</v>
      </c>
      <c r="R274" s="421" t="s">
        <v>260</v>
      </c>
      <c r="S274" s="379"/>
      <c r="T274" s="379"/>
      <c r="U274" s="379" t="s">
        <v>261</v>
      </c>
      <c r="V274" s="379"/>
      <c r="W274" s="379" t="s">
        <v>243</v>
      </c>
      <c r="X274" s="379">
        <v>2019</v>
      </c>
      <c r="Y274" s="379"/>
      <c r="Z274" s="379" t="str">
        <f>VLOOKUP(R274,KEY_Processes!$C$55:$E$130,3,FALSE)</f>
        <v>H_FL_DST01</v>
      </c>
      <c r="AA274" s="379" t="str">
        <f>VLOOKUP(R274,KEY_Processes!$C$55:$E$130,2,FALSE)</f>
        <v>H_DieselFurnace_DST_LARGE</v>
      </c>
      <c r="AB274" s="379" t="str">
        <f>VLOOKUP(U274,KEY_FUELS!$C$4:$D$77,2,FALSE)</f>
        <v>DST</v>
      </c>
      <c r="AC274" s="379" t="s">
        <v>150</v>
      </c>
      <c r="AD274" s="379" t="s">
        <v>244</v>
      </c>
      <c r="AE274" s="379" t="s">
        <v>152</v>
      </c>
      <c r="AF274" s="382" t="str">
        <f>VLOOKUP(W274,KEY_Other!$B$37:$C$89,2,FALSE)</f>
        <v>EUR</v>
      </c>
      <c r="AG274" s="379"/>
      <c r="AH274" s="379" t="str">
        <f>AC274&amp;VLOOKUP(U274,KEY_FUELS!$C$4:$D$78,2,FALSE)</f>
        <v>RSDDST</v>
      </c>
      <c r="AI274" s="379" t="str">
        <f>IFERROR(AC274&amp;VLOOKUP(V274,KEY_FUELS!$C$4:$D$78,2,FALSE),"")</f>
        <v/>
      </c>
      <c r="AJ274" s="379" t="str">
        <f t="shared" si="78"/>
        <v>RHAP</v>
      </c>
      <c r="AK274" s="379" t="str">
        <f t="shared" si="79"/>
        <v/>
      </c>
      <c r="AL274" s="379" t="str">
        <f t="shared" si="80"/>
        <v/>
      </c>
      <c r="AM274" s="380">
        <v>31.536000000000001</v>
      </c>
      <c r="AN274" s="379">
        <v>2019</v>
      </c>
      <c r="AO274" s="422"/>
      <c r="AP274" s="423"/>
      <c r="AQ274" s="424"/>
      <c r="AR274" s="424"/>
      <c r="AS274" s="424"/>
      <c r="AT274" s="424"/>
      <c r="AU274" s="425"/>
      <c r="AV274" s="425"/>
      <c r="AW274" s="425"/>
      <c r="AX274" s="423"/>
      <c r="AY274" s="379"/>
      <c r="AZ274" s="425">
        <v>0.87</v>
      </c>
      <c r="BA274" s="423"/>
      <c r="BB274" s="423"/>
      <c r="BC274" s="427"/>
      <c r="BD274" s="390"/>
      <c r="BE274" s="390"/>
      <c r="BF274" s="379"/>
      <c r="BG274" s="379"/>
      <c r="BH274" s="427"/>
      <c r="BI274" s="379">
        <v>25</v>
      </c>
      <c r="BJ274" s="379"/>
      <c r="BK274" s="428">
        <v>35</v>
      </c>
      <c r="BL274" s="379"/>
      <c r="BM274" s="379"/>
      <c r="BN274" s="379"/>
      <c r="BO274" s="379"/>
      <c r="BP274" s="379"/>
      <c r="BQ274" s="379"/>
      <c r="BR274" s="429">
        <v>1.8094893681618773</v>
      </c>
      <c r="BS274" s="379"/>
      <c r="BT274" s="430"/>
      <c r="BU274" s="430"/>
      <c r="BV274" s="430"/>
      <c r="BW274" s="430"/>
      <c r="BX274" s="431"/>
    </row>
    <row r="275" spans="1:76" x14ac:dyDescent="0.3">
      <c r="A275" s="88"/>
      <c r="B275" s="5"/>
      <c r="C275" s="5"/>
      <c r="D275" s="5"/>
      <c r="E275" s="5"/>
      <c r="F275" s="88"/>
      <c r="G275" s="5"/>
      <c r="H275" s="88"/>
      <c r="I275" s="88"/>
      <c r="J275" s="362" t="s">
        <v>238</v>
      </c>
      <c r="K275" s="363" t="s">
        <v>135</v>
      </c>
      <c r="L275" s="363"/>
      <c r="M275" s="363" t="s">
        <v>239</v>
      </c>
      <c r="N275" s="363" t="s">
        <v>240</v>
      </c>
      <c r="O275" s="363" t="s">
        <v>136</v>
      </c>
      <c r="P275" s="363">
        <v>2018</v>
      </c>
      <c r="Q275" s="432" t="s">
        <v>259</v>
      </c>
      <c r="R275" s="433" t="s">
        <v>260</v>
      </c>
      <c r="S275" s="363"/>
      <c r="T275" s="363"/>
      <c r="U275" s="363" t="s">
        <v>261</v>
      </c>
      <c r="V275" s="363"/>
      <c r="W275" s="363" t="s">
        <v>243</v>
      </c>
      <c r="X275" s="363">
        <v>2030</v>
      </c>
      <c r="Y275" s="363"/>
      <c r="Z275" s="363" t="str">
        <f>VLOOKUP(R275,KEY_Processes!$C$55:$E$130,3,FALSE)</f>
        <v>H_FL_DST01</v>
      </c>
      <c r="AA275" s="363" t="str">
        <f>VLOOKUP(R275,KEY_Processes!$C$55:$E$130,2,FALSE)</f>
        <v>H_DieselFurnace_DST_LARGE</v>
      </c>
      <c r="AB275" s="363" t="str">
        <f>VLOOKUP(U275,KEY_FUELS!$C$4:$D$77,2,FALSE)</f>
        <v>DST</v>
      </c>
      <c r="AC275" s="363" t="s">
        <v>150</v>
      </c>
      <c r="AD275" s="363" t="s">
        <v>244</v>
      </c>
      <c r="AE275" s="363" t="s">
        <v>152</v>
      </c>
      <c r="AF275" s="366" t="str">
        <f>VLOOKUP(W275,KEY_Other!$B$37:$C$89,2,FALSE)</f>
        <v>EUR</v>
      </c>
      <c r="AG275" s="363"/>
      <c r="AH275" s="363" t="str">
        <f>AC275&amp;VLOOKUP(U275,KEY_FUELS!$C$4:$D$78,2,FALSE)</f>
        <v>RSDDST</v>
      </c>
      <c r="AI275" s="363" t="str">
        <f>IFERROR(AC275&amp;VLOOKUP(V275,KEY_FUELS!$C$4:$D$78,2,FALSE),"")</f>
        <v/>
      </c>
      <c r="AJ275" s="363" t="str">
        <f t="shared" si="78"/>
        <v>RHAP</v>
      </c>
      <c r="AK275" s="363" t="str">
        <f t="shared" si="79"/>
        <v/>
      </c>
      <c r="AL275" s="363" t="str">
        <f t="shared" si="80"/>
        <v/>
      </c>
      <c r="AM275" s="364">
        <v>31.536000000000001</v>
      </c>
      <c r="AN275" s="363">
        <v>2030</v>
      </c>
      <c r="AO275" s="434"/>
      <c r="AP275" s="435"/>
      <c r="AQ275" s="436"/>
      <c r="AR275" s="436"/>
      <c r="AS275" s="436"/>
      <c r="AT275" s="436"/>
      <c r="AU275" s="437"/>
      <c r="AV275" s="437"/>
      <c r="AW275" s="437"/>
      <c r="AX275" s="435"/>
      <c r="AY275" s="363"/>
      <c r="AZ275" s="437">
        <v>0.88</v>
      </c>
      <c r="BA275" s="435"/>
      <c r="BB275" s="435"/>
      <c r="BC275" s="439"/>
      <c r="BD275" s="374"/>
      <c r="BE275" s="374"/>
      <c r="BF275" s="363"/>
      <c r="BG275" s="363"/>
      <c r="BH275" s="439"/>
      <c r="BI275" s="363">
        <v>25</v>
      </c>
      <c r="BJ275" s="363"/>
      <c r="BK275" s="440">
        <v>38</v>
      </c>
      <c r="BL275" s="363"/>
      <c r="BM275" s="363"/>
      <c r="BN275" s="363"/>
      <c r="BO275" s="363"/>
      <c r="BP275" s="363"/>
      <c r="BQ275" s="363"/>
      <c r="BR275" s="441">
        <v>1.8094893681618773</v>
      </c>
      <c r="BS275" s="363"/>
      <c r="BT275" s="442"/>
      <c r="BU275" s="442"/>
      <c r="BV275" s="442"/>
      <c r="BW275" s="442"/>
      <c r="BX275" s="443"/>
    </row>
    <row r="276" spans="1:76" x14ac:dyDescent="0.3">
      <c r="A276" s="88"/>
      <c r="B276" s="5"/>
      <c r="C276" s="5"/>
      <c r="D276" s="5"/>
      <c r="E276" s="5"/>
      <c r="F276" s="88"/>
      <c r="G276" s="5"/>
      <c r="H276" s="88"/>
      <c r="I276" s="88"/>
      <c r="J276" s="378" t="s">
        <v>238</v>
      </c>
      <c r="K276" s="379" t="s">
        <v>135</v>
      </c>
      <c r="L276" s="379"/>
      <c r="M276" s="379" t="s">
        <v>239</v>
      </c>
      <c r="N276" s="379" t="s">
        <v>240</v>
      </c>
      <c r="O276" s="379" t="s">
        <v>136</v>
      </c>
      <c r="P276" s="379">
        <v>2018</v>
      </c>
      <c r="Q276" s="420" t="s">
        <v>259</v>
      </c>
      <c r="R276" s="421" t="s">
        <v>262</v>
      </c>
      <c r="S276" s="379"/>
      <c r="T276" s="379"/>
      <c r="U276" s="379" t="s">
        <v>261</v>
      </c>
      <c r="V276" s="379"/>
      <c r="W276" s="379" t="s">
        <v>243</v>
      </c>
      <c r="X276" s="379">
        <v>2019</v>
      </c>
      <c r="Y276" s="379"/>
      <c r="Z276" s="379" t="str">
        <f>VLOOKUP(R276,KEY_Processes!$C$55:$E$130,3,FALSE)</f>
        <v>HW_FL_DST01</v>
      </c>
      <c r="AA276" s="379" t="str">
        <f>VLOOKUP(R276,KEY_Processes!$C$55:$E$130,2,FALSE)</f>
        <v>HW_DieselFurnace_DST_LARGE</v>
      </c>
      <c r="AB276" s="379" t="str">
        <f>VLOOKUP(U276,KEY_FUELS!$C$4:$D$77,2,FALSE)</f>
        <v>DST</v>
      </c>
      <c r="AC276" s="379" t="s">
        <v>150</v>
      </c>
      <c r="AD276" s="379" t="s">
        <v>244</v>
      </c>
      <c r="AE276" s="379" t="s">
        <v>152</v>
      </c>
      <c r="AF276" s="382" t="str">
        <f>VLOOKUP(W276,KEY_Other!$B$37:$C$89,2,FALSE)</f>
        <v>EUR</v>
      </c>
      <c r="AG276" s="379"/>
      <c r="AH276" s="379" t="str">
        <f>AC276&amp;VLOOKUP(U276,KEY_FUELS!$C$4:$D$78,2,FALSE)</f>
        <v>RSDDST</v>
      </c>
      <c r="AI276" s="379" t="str">
        <f>IFERROR(AC276&amp;VLOOKUP(V276,KEY_FUELS!$C$4:$D$78,2,FALSE),"")</f>
        <v/>
      </c>
      <c r="AJ276" s="379" t="str">
        <f t="shared" si="78"/>
        <v>RHAP</v>
      </c>
      <c r="AK276" s="379" t="str">
        <f t="shared" si="79"/>
        <v>RWAP</v>
      </c>
      <c r="AL276" s="379" t="str">
        <f t="shared" si="80"/>
        <v/>
      </c>
      <c r="AM276" s="380">
        <v>31.536000000000001</v>
      </c>
      <c r="AN276" s="379">
        <v>2019</v>
      </c>
      <c r="AO276" s="422">
        <v>1</v>
      </c>
      <c r="AP276" s="423"/>
      <c r="AQ276" s="424"/>
      <c r="AR276" s="424"/>
      <c r="AS276" s="424"/>
      <c r="AT276" s="424" t="s">
        <v>161</v>
      </c>
      <c r="AU276" s="386">
        <v>0.48</v>
      </c>
      <c r="AV276" s="425"/>
      <c r="AW276" s="425"/>
      <c r="AX276" s="423"/>
      <c r="AY276" s="379"/>
      <c r="AZ276" s="425">
        <v>0.87</v>
      </c>
      <c r="BA276" s="423"/>
      <c r="BB276" s="423"/>
      <c r="BC276" s="427"/>
      <c r="BD276" s="390"/>
      <c r="BE276" s="390"/>
      <c r="BF276" s="379"/>
      <c r="BG276" s="379"/>
      <c r="BH276" s="427"/>
      <c r="BI276" s="379">
        <v>25</v>
      </c>
      <c r="BJ276" s="379"/>
      <c r="BK276" s="428">
        <v>43</v>
      </c>
      <c r="BL276" s="379"/>
      <c r="BM276" s="379"/>
      <c r="BN276" s="379"/>
      <c r="BO276" s="379"/>
      <c r="BP276" s="379"/>
      <c r="BQ276" s="379"/>
      <c r="BR276" s="429">
        <v>1.8094893681618773</v>
      </c>
      <c r="BS276" s="379"/>
      <c r="BT276" s="430"/>
      <c r="BU276" s="430"/>
      <c r="BV276" s="430"/>
      <c r="BW276" s="430"/>
      <c r="BX276" s="431"/>
    </row>
    <row r="277" spans="1:76" x14ac:dyDescent="0.3">
      <c r="A277" s="88"/>
      <c r="B277" s="5"/>
      <c r="C277" s="5"/>
      <c r="D277" s="5"/>
      <c r="E277" s="5"/>
      <c r="F277" s="88"/>
      <c r="G277" s="5"/>
      <c r="H277" s="88"/>
      <c r="I277" s="88"/>
      <c r="J277" s="362" t="s">
        <v>238</v>
      </c>
      <c r="K277" s="363" t="s">
        <v>135</v>
      </c>
      <c r="L277" s="363"/>
      <c r="M277" s="363" t="s">
        <v>239</v>
      </c>
      <c r="N277" s="363" t="s">
        <v>240</v>
      </c>
      <c r="O277" s="363" t="s">
        <v>136</v>
      </c>
      <c r="P277" s="363">
        <v>2018</v>
      </c>
      <c r="Q277" s="432" t="s">
        <v>259</v>
      </c>
      <c r="R277" s="433" t="s">
        <v>262</v>
      </c>
      <c r="S277" s="363"/>
      <c r="T277" s="363"/>
      <c r="U277" s="363" t="s">
        <v>261</v>
      </c>
      <c r="V277" s="363"/>
      <c r="W277" s="363" t="s">
        <v>243</v>
      </c>
      <c r="X277" s="363">
        <v>2019</v>
      </c>
      <c r="Y277" s="363"/>
      <c r="Z277" s="363" t="str">
        <f>VLOOKUP(R277,KEY_Processes!$C$55:$E$130,3,FALSE)</f>
        <v>HW_FL_DST01</v>
      </c>
      <c r="AA277" s="363" t="str">
        <f>VLOOKUP(R277,KEY_Processes!$C$55:$E$130,2,FALSE)</f>
        <v>HW_DieselFurnace_DST_LARGE</v>
      </c>
      <c r="AB277" s="363" t="str">
        <f>VLOOKUP(U277,KEY_FUELS!$C$4:$D$77,2,FALSE)</f>
        <v>DST</v>
      </c>
      <c r="AC277" s="363" t="s">
        <v>150</v>
      </c>
      <c r="AD277" s="363" t="s">
        <v>244</v>
      </c>
      <c r="AE277" s="363" t="s">
        <v>152</v>
      </c>
      <c r="AF277" s="366" t="str">
        <f>VLOOKUP(W277,KEY_Other!$B$37:$C$89,2,FALSE)</f>
        <v>EUR</v>
      </c>
      <c r="AG277" s="363"/>
      <c r="AH277" s="363" t="str">
        <f>AC277&amp;VLOOKUP(U277,KEY_FUELS!$C$4:$D$78,2,FALSE)</f>
        <v>RSDDST</v>
      </c>
      <c r="AI277" s="363" t="str">
        <f>IFERROR(AC277&amp;VLOOKUP(V277,KEY_FUELS!$C$4:$D$78,2,FALSE),"")</f>
        <v/>
      </c>
      <c r="AJ277" s="363" t="str">
        <f t="shared" ref="AJ277" si="92">LEFT(AC277,1)&amp;LEFT(AA277,1)&amp;AD277</f>
        <v>RHAP</v>
      </c>
      <c r="AK277" s="363" t="str">
        <f t="shared" si="79"/>
        <v>RWAP</v>
      </c>
      <c r="AL277" s="363" t="str">
        <f t="shared" si="80"/>
        <v/>
      </c>
      <c r="AM277" s="364">
        <v>31.536000000000001</v>
      </c>
      <c r="AN277" s="363">
        <v>2019</v>
      </c>
      <c r="AO277" s="434">
        <v>1</v>
      </c>
      <c r="AP277" s="435"/>
      <c r="AQ277" s="436"/>
      <c r="AR277" s="436"/>
      <c r="AS277" s="436"/>
      <c r="AT277" s="436" t="s">
        <v>248</v>
      </c>
      <c r="AU277" s="370">
        <v>0.55000000000000004</v>
      </c>
      <c r="AV277" s="437"/>
      <c r="AW277" s="437"/>
      <c r="AX277" s="435"/>
      <c r="AY277" s="363"/>
      <c r="AZ277" s="437">
        <v>0.87</v>
      </c>
      <c r="BA277" s="435"/>
      <c r="BB277" s="435"/>
      <c r="BC277" s="439"/>
      <c r="BD277" s="374"/>
      <c r="BE277" s="374"/>
      <c r="BF277" s="363"/>
      <c r="BG277" s="363"/>
      <c r="BH277" s="439"/>
      <c r="BI277" s="363">
        <v>25</v>
      </c>
      <c r="BJ277" s="363"/>
      <c r="BK277" s="440">
        <v>43</v>
      </c>
      <c r="BL277" s="363"/>
      <c r="BM277" s="363"/>
      <c r="BN277" s="363"/>
      <c r="BO277" s="363"/>
      <c r="BP277" s="363"/>
      <c r="BQ277" s="363"/>
      <c r="BR277" s="441">
        <v>1.8094893681618773</v>
      </c>
      <c r="BS277" s="363"/>
      <c r="BT277" s="442"/>
      <c r="BU277" s="442"/>
      <c r="BV277" s="442"/>
      <c r="BW277" s="442"/>
      <c r="BX277" s="443"/>
    </row>
    <row r="278" spans="1:76" x14ac:dyDescent="0.3">
      <c r="A278" s="88"/>
      <c r="B278" s="5"/>
      <c r="C278" s="5"/>
      <c r="D278" s="5"/>
      <c r="E278" s="5"/>
      <c r="F278" s="88"/>
      <c r="G278" s="5"/>
      <c r="H278" s="88"/>
      <c r="I278" s="88"/>
      <c r="J278" s="378" t="s">
        <v>238</v>
      </c>
      <c r="K278" s="379" t="s">
        <v>135</v>
      </c>
      <c r="L278" s="379"/>
      <c r="M278" s="379" t="s">
        <v>239</v>
      </c>
      <c r="N278" s="379" t="s">
        <v>240</v>
      </c>
      <c r="O278" s="379" t="s">
        <v>136</v>
      </c>
      <c r="P278" s="379">
        <v>2018</v>
      </c>
      <c r="Q278" s="420" t="s">
        <v>259</v>
      </c>
      <c r="R278" s="421" t="s">
        <v>262</v>
      </c>
      <c r="S278" s="379"/>
      <c r="T278" s="379"/>
      <c r="U278" s="379" t="s">
        <v>261</v>
      </c>
      <c r="V278" s="379"/>
      <c r="W278" s="379" t="s">
        <v>243</v>
      </c>
      <c r="X278" s="379">
        <v>2019</v>
      </c>
      <c r="Y278" s="379"/>
      <c r="Z278" s="379" t="str">
        <f>VLOOKUP(R278,KEY_Processes!$C$55:$E$130,3,FALSE)</f>
        <v>HW_FL_DST01</v>
      </c>
      <c r="AA278" s="379" t="str">
        <f>VLOOKUP(R278,KEY_Processes!$C$55:$E$130,2,FALSE)</f>
        <v>HW_DieselFurnace_DST_LARGE</v>
      </c>
      <c r="AB278" s="379" t="str">
        <f>VLOOKUP(U278,KEY_FUELS!$C$4:$D$77,2,FALSE)</f>
        <v>DST</v>
      </c>
      <c r="AC278" s="379" t="s">
        <v>150</v>
      </c>
      <c r="AD278" s="379" t="s">
        <v>244</v>
      </c>
      <c r="AE278" s="379" t="s">
        <v>152</v>
      </c>
      <c r="AF278" s="382" t="str">
        <f>VLOOKUP(W278,KEY_Other!$B$37:$C$89,2,FALSE)</f>
        <v>EUR</v>
      </c>
      <c r="AG278" s="379"/>
      <c r="AH278" s="379" t="str">
        <f>AC278&amp;VLOOKUP(U278,KEY_FUELS!$C$4:$D$78,2,FALSE)</f>
        <v>RSDDST</v>
      </c>
      <c r="AI278" s="379" t="str">
        <f>IFERROR(AC278&amp;VLOOKUP(V278,KEY_FUELS!$C$4:$D$78,2,FALSE),"")</f>
        <v/>
      </c>
      <c r="AJ278" s="379" t="str">
        <f t="shared" si="78"/>
        <v>RHAP</v>
      </c>
      <c r="AK278" s="379" t="str">
        <f t="shared" si="79"/>
        <v>RWAP</v>
      </c>
      <c r="AL278" s="379" t="str">
        <f t="shared" si="80"/>
        <v/>
      </c>
      <c r="AM278" s="380">
        <v>31.536000000000001</v>
      </c>
      <c r="AN278" s="379">
        <v>2019</v>
      </c>
      <c r="AO278" s="422">
        <v>1</v>
      </c>
      <c r="AP278" s="423"/>
      <c r="AQ278" s="424"/>
      <c r="AR278" s="424"/>
      <c r="AS278" s="424"/>
      <c r="AT278" s="424" t="s">
        <v>158</v>
      </c>
      <c r="AU278" s="386">
        <v>0.63</v>
      </c>
      <c r="AV278" s="425"/>
      <c r="AW278" s="425"/>
      <c r="AX278" s="423"/>
      <c r="AY278" s="379"/>
      <c r="AZ278" s="425">
        <v>0.87</v>
      </c>
      <c r="BA278" s="423"/>
      <c r="BB278" s="423"/>
      <c r="BC278" s="427"/>
      <c r="BD278" s="390"/>
      <c r="BE278" s="390"/>
      <c r="BF278" s="379"/>
      <c r="BG278" s="379"/>
      <c r="BH278" s="427"/>
      <c r="BI278" s="379">
        <v>25</v>
      </c>
      <c r="BJ278" s="379"/>
      <c r="BK278" s="428">
        <v>43</v>
      </c>
      <c r="BL278" s="379"/>
      <c r="BM278" s="379"/>
      <c r="BN278" s="379"/>
      <c r="BO278" s="379"/>
      <c r="BP278" s="379"/>
      <c r="BQ278" s="379"/>
      <c r="BR278" s="429">
        <v>1.8094893681618773</v>
      </c>
      <c r="BS278" s="379"/>
      <c r="BT278" s="430"/>
      <c r="BU278" s="430"/>
      <c r="BV278" s="430"/>
      <c r="BW278" s="430"/>
      <c r="BX278" s="431"/>
    </row>
    <row r="279" spans="1:76" x14ac:dyDescent="0.3">
      <c r="A279" s="88"/>
      <c r="B279" s="5"/>
      <c r="C279" s="5"/>
      <c r="D279" s="5"/>
      <c r="E279" s="5"/>
      <c r="F279" s="88"/>
      <c r="G279" s="5"/>
      <c r="H279" s="88"/>
      <c r="I279" s="88"/>
      <c r="J279" s="362" t="s">
        <v>238</v>
      </c>
      <c r="K279" s="363" t="s">
        <v>135</v>
      </c>
      <c r="L279" s="363"/>
      <c r="M279" s="363" t="s">
        <v>239</v>
      </c>
      <c r="N279" s="363" t="s">
        <v>240</v>
      </c>
      <c r="O279" s="363" t="s">
        <v>136</v>
      </c>
      <c r="P279" s="363">
        <v>2018</v>
      </c>
      <c r="Q279" s="432" t="s">
        <v>259</v>
      </c>
      <c r="R279" s="433" t="s">
        <v>262</v>
      </c>
      <c r="S279" s="363"/>
      <c r="T279" s="363"/>
      <c r="U279" s="363" t="s">
        <v>261</v>
      </c>
      <c r="V279" s="363"/>
      <c r="W279" s="363" t="s">
        <v>243</v>
      </c>
      <c r="X279" s="363">
        <v>2019</v>
      </c>
      <c r="Y279" s="363"/>
      <c r="Z279" s="363" t="str">
        <f>VLOOKUP(R279,KEY_Processes!$C$55:$E$130,3,FALSE)</f>
        <v>HW_FL_DST01</v>
      </c>
      <c r="AA279" s="363" t="str">
        <f>VLOOKUP(R279,KEY_Processes!$C$55:$E$130,2,FALSE)</f>
        <v>HW_DieselFurnace_DST_LARGE</v>
      </c>
      <c r="AB279" s="363" t="str">
        <f>VLOOKUP(U279,KEY_FUELS!$C$4:$D$77,2,FALSE)</f>
        <v>DST</v>
      </c>
      <c r="AC279" s="363" t="s">
        <v>150</v>
      </c>
      <c r="AD279" s="363" t="s">
        <v>244</v>
      </c>
      <c r="AE279" s="363" t="s">
        <v>152</v>
      </c>
      <c r="AF279" s="366" t="str">
        <f>VLOOKUP(W279,KEY_Other!$B$37:$C$89,2,FALSE)</f>
        <v>EUR</v>
      </c>
      <c r="AG279" s="363"/>
      <c r="AH279" s="363" t="str">
        <f>AC279&amp;VLOOKUP(U279,KEY_FUELS!$C$4:$D$78,2,FALSE)</f>
        <v>RSDDST</v>
      </c>
      <c r="AI279" s="363" t="str">
        <f>IFERROR(AC279&amp;VLOOKUP(V279,KEY_FUELS!$C$4:$D$78,2,FALSE),"")</f>
        <v/>
      </c>
      <c r="AJ279" s="363" t="str">
        <f t="shared" ref="AJ279" si="93">LEFT(AC279,1)&amp;LEFT(AA279,1)&amp;AD279</f>
        <v>RHAP</v>
      </c>
      <c r="AK279" s="363" t="str">
        <f t="shared" si="79"/>
        <v>RWAP</v>
      </c>
      <c r="AL279" s="363" t="str">
        <f t="shared" si="80"/>
        <v/>
      </c>
      <c r="AM279" s="364">
        <v>31.536000000000001</v>
      </c>
      <c r="AN279" s="363">
        <v>2019</v>
      </c>
      <c r="AO279" s="434">
        <v>1</v>
      </c>
      <c r="AP279" s="435"/>
      <c r="AQ279" s="436"/>
      <c r="AR279" s="436"/>
      <c r="AS279" s="436"/>
      <c r="AT279" s="436" t="s">
        <v>249</v>
      </c>
      <c r="AU279" s="437">
        <v>0.72</v>
      </c>
      <c r="AV279" s="437"/>
      <c r="AW279" s="437"/>
      <c r="AX279" s="435"/>
      <c r="AY279" s="363"/>
      <c r="AZ279" s="437">
        <v>0.87</v>
      </c>
      <c r="BA279" s="435"/>
      <c r="BB279" s="435"/>
      <c r="BC279" s="439"/>
      <c r="BD279" s="374"/>
      <c r="BE279" s="374"/>
      <c r="BF279" s="363"/>
      <c r="BG279" s="363"/>
      <c r="BH279" s="439"/>
      <c r="BI279" s="363">
        <v>25</v>
      </c>
      <c r="BJ279" s="363"/>
      <c r="BK279" s="440">
        <v>43</v>
      </c>
      <c r="BL279" s="363"/>
      <c r="BM279" s="363"/>
      <c r="BN279" s="363"/>
      <c r="BO279" s="363"/>
      <c r="BP279" s="363"/>
      <c r="BQ279" s="363"/>
      <c r="BR279" s="441">
        <v>1.8094893681618773</v>
      </c>
      <c r="BS279" s="363"/>
      <c r="BT279" s="442"/>
      <c r="BU279" s="442"/>
      <c r="BV279" s="442"/>
      <c r="BW279" s="442"/>
      <c r="BX279" s="443"/>
    </row>
    <row r="280" spans="1:76" x14ac:dyDescent="0.3">
      <c r="A280" s="88"/>
      <c r="B280" s="5"/>
      <c r="C280" s="5"/>
      <c r="D280" s="5"/>
      <c r="E280" s="5"/>
      <c r="F280" s="88"/>
      <c r="G280" s="5"/>
      <c r="H280" s="88"/>
      <c r="I280" s="88"/>
      <c r="J280" s="378" t="s">
        <v>238</v>
      </c>
      <c r="K280" s="379" t="s">
        <v>135</v>
      </c>
      <c r="L280" s="379"/>
      <c r="M280" s="379" t="s">
        <v>239</v>
      </c>
      <c r="N280" s="379" t="s">
        <v>240</v>
      </c>
      <c r="O280" s="379" t="s">
        <v>136</v>
      </c>
      <c r="P280" s="379">
        <v>2018</v>
      </c>
      <c r="Q280" s="420" t="s">
        <v>259</v>
      </c>
      <c r="R280" s="421" t="s">
        <v>262</v>
      </c>
      <c r="S280" s="379"/>
      <c r="T280" s="379"/>
      <c r="U280" s="379" t="s">
        <v>261</v>
      </c>
      <c r="V280" s="379"/>
      <c r="W280" s="379" t="s">
        <v>243</v>
      </c>
      <c r="X280" s="379">
        <v>2030</v>
      </c>
      <c r="Y280" s="379"/>
      <c r="Z280" s="379" t="str">
        <f>VLOOKUP(R280,KEY_Processes!$C$55:$E$130,3,FALSE)</f>
        <v>HW_FL_DST01</v>
      </c>
      <c r="AA280" s="379" t="str">
        <f>VLOOKUP(R280,KEY_Processes!$C$55:$E$130,2,FALSE)</f>
        <v>HW_DieselFurnace_DST_LARGE</v>
      </c>
      <c r="AB280" s="379" t="str">
        <f>VLOOKUP(U280,KEY_FUELS!$C$4:$D$77,2,FALSE)</f>
        <v>DST</v>
      </c>
      <c r="AC280" s="379" t="s">
        <v>150</v>
      </c>
      <c r="AD280" s="379" t="s">
        <v>244</v>
      </c>
      <c r="AE280" s="379" t="s">
        <v>152</v>
      </c>
      <c r="AF280" s="382" t="str">
        <f>VLOOKUP(W280,KEY_Other!$B$37:$C$89,2,FALSE)</f>
        <v>EUR</v>
      </c>
      <c r="AG280" s="379"/>
      <c r="AH280" s="379" t="str">
        <f>AC280&amp;VLOOKUP(U280,KEY_FUELS!$C$4:$D$78,2,FALSE)</f>
        <v>RSDDST</v>
      </c>
      <c r="AI280" s="379" t="str">
        <f>IFERROR(AC280&amp;VLOOKUP(V280,KEY_FUELS!$C$4:$D$78,2,FALSE),"")</f>
        <v/>
      </c>
      <c r="AJ280" s="379" t="str">
        <f t="shared" si="78"/>
        <v>RHAP</v>
      </c>
      <c r="AK280" s="379" t="str">
        <f t="shared" si="79"/>
        <v>RWAP</v>
      </c>
      <c r="AL280" s="379" t="str">
        <f t="shared" si="80"/>
        <v/>
      </c>
      <c r="AM280" s="380">
        <v>31.536000000000001</v>
      </c>
      <c r="AN280" s="379">
        <v>2030</v>
      </c>
      <c r="AO280" s="422"/>
      <c r="AP280" s="423"/>
      <c r="AQ280" s="424"/>
      <c r="AR280" s="424"/>
      <c r="AS280" s="424"/>
      <c r="AT280" s="424"/>
      <c r="AU280" s="425"/>
      <c r="AV280" s="425"/>
      <c r="AW280" s="425"/>
      <c r="AX280" s="423"/>
      <c r="AY280" s="379"/>
      <c r="AZ280" s="425">
        <v>0.94</v>
      </c>
      <c r="BA280" s="423"/>
      <c r="BB280" s="423"/>
      <c r="BC280" s="427"/>
      <c r="BD280" s="390"/>
      <c r="BE280" s="390"/>
      <c r="BF280" s="379"/>
      <c r="BG280" s="379"/>
      <c r="BH280" s="427"/>
      <c r="BI280" s="379">
        <v>25</v>
      </c>
      <c r="BJ280" s="379"/>
      <c r="BK280" s="428">
        <v>50</v>
      </c>
      <c r="BL280" s="379"/>
      <c r="BM280" s="379"/>
      <c r="BN280" s="379"/>
      <c r="BO280" s="379"/>
      <c r="BP280" s="379"/>
      <c r="BQ280" s="379"/>
      <c r="BR280" s="429">
        <v>1.8094893681618773</v>
      </c>
      <c r="BS280" s="379"/>
      <c r="BT280" s="430"/>
      <c r="BU280" s="430"/>
      <c r="BV280" s="430"/>
      <c r="BW280" s="430"/>
      <c r="BX280" s="431"/>
    </row>
    <row r="281" spans="1:76" x14ac:dyDescent="0.3">
      <c r="A281" s="88"/>
      <c r="B281" s="5"/>
      <c r="C281" s="5"/>
      <c r="D281" s="5"/>
      <c r="E281" s="5"/>
      <c r="F281" s="88"/>
      <c r="G281" s="5"/>
      <c r="H281" s="88"/>
      <c r="I281" s="88"/>
      <c r="J281" s="362" t="s">
        <v>238</v>
      </c>
      <c r="K281" s="363" t="s">
        <v>135</v>
      </c>
      <c r="L281" s="363"/>
      <c r="M281" s="363" t="s">
        <v>239</v>
      </c>
      <c r="N281" s="363" t="s">
        <v>240</v>
      </c>
      <c r="O281" s="363" t="s">
        <v>136</v>
      </c>
      <c r="P281" s="363">
        <v>2018</v>
      </c>
      <c r="Q281" s="432" t="s">
        <v>259</v>
      </c>
      <c r="R281" s="433" t="s">
        <v>263</v>
      </c>
      <c r="S281" s="363"/>
      <c r="T281" s="363"/>
      <c r="U281" s="363" t="s">
        <v>261</v>
      </c>
      <c r="V281" s="363"/>
      <c r="W281" s="363" t="s">
        <v>243</v>
      </c>
      <c r="X281" s="363">
        <v>2019</v>
      </c>
      <c r="Y281" s="363"/>
      <c r="Z281" s="363" t="str">
        <f>VLOOKUP(R281,KEY_Processes!$C$55:$E$130,3,FALSE)</f>
        <v>W_FL_DST01</v>
      </c>
      <c r="AA281" s="363" t="str">
        <f>VLOOKUP(R281,KEY_Processes!$C$55:$E$130,2,FALSE)</f>
        <v>W_DieselFurnace_DST_LARGE</v>
      </c>
      <c r="AB281" s="363" t="str">
        <f>VLOOKUP(U281,KEY_FUELS!$C$4:$D$77,2,FALSE)</f>
        <v>DST</v>
      </c>
      <c r="AC281" s="363" t="s">
        <v>150</v>
      </c>
      <c r="AD281" s="363" t="s">
        <v>244</v>
      </c>
      <c r="AE281" s="363" t="s">
        <v>152</v>
      </c>
      <c r="AF281" s="366" t="str">
        <f>VLOOKUP(W281,KEY_Other!$B$37:$C$89,2,FALSE)</f>
        <v>EUR</v>
      </c>
      <c r="AG281" s="363"/>
      <c r="AH281" s="363" t="str">
        <f>AC281&amp;VLOOKUP(U281,KEY_FUELS!$C$4:$D$78,2,FALSE)</f>
        <v>RSDDST</v>
      </c>
      <c r="AI281" s="363" t="str">
        <f>IFERROR(AC281&amp;VLOOKUP(V281,KEY_FUELS!$C$4:$D$78,2,FALSE),"")</f>
        <v/>
      </c>
      <c r="AJ281" s="363" t="str">
        <f t="shared" si="78"/>
        <v>RWAP</v>
      </c>
      <c r="AK281" s="363" t="str">
        <f t="shared" si="79"/>
        <v/>
      </c>
      <c r="AL281" s="363" t="str">
        <f t="shared" si="80"/>
        <v/>
      </c>
      <c r="AM281" s="364">
        <v>31.536000000000001</v>
      </c>
      <c r="AN281" s="363">
        <v>2019</v>
      </c>
      <c r="AO281" s="434"/>
      <c r="AP281" s="435"/>
      <c r="AQ281" s="436"/>
      <c r="AR281" s="436"/>
      <c r="AS281" s="436"/>
      <c r="AT281" s="436"/>
      <c r="AU281" s="437"/>
      <c r="AV281" s="437"/>
      <c r="AW281" s="437"/>
      <c r="AX281" s="435"/>
      <c r="AY281" s="363"/>
      <c r="AZ281" s="437">
        <v>0.86</v>
      </c>
      <c r="BA281" s="435"/>
      <c r="BB281" s="435"/>
      <c r="BC281" s="439"/>
      <c r="BD281" s="374"/>
      <c r="BE281" s="374"/>
      <c r="BF281" s="363"/>
      <c r="BG281" s="363"/>
      <c r="BH281" s="439"/>
      <c r="BI281" s="363">
        <v>25</v>
      </c>
      <c r="BJ281" s="363"/>
      <c r="BK281" s="440">
        <v>23</v>
      </c>
      <c r="BL281" s="363"/>
      <c r="BM281" s="363"/>
      <c r="BN281" s="363"/>
      <c r="BO281" s="363"/>
      <c r="BP281" s="363"/>
      <c r="BQ281" s="363"/>
      <c r="BR281" s="441">
        <v>1.1259044957451683</v>
      </c>
      <c r="BS281" s="363"/>
      <c r="BT281" s="442"/>
      <c r="BU281" s="442"/>
      <c r="BV281" s="442"/>
      <c r="BW281" s="442"/>
      <c r="BX281" s="443"/>
    </row>
    <row r="282" spans="1:76" x14ac:dyDescent="0.3">
      <c r="A282" s="88"/>
      <c r="B282" s="5"/>
      <c r="C282" s="5"/>
      <c r="D282" s="5"/>
      <c r="E282" s="5"/>
      <c r="F282" s="88"/>
      <c r="G282" s="5"/>
      <c r="H282" s="88"/>
      <c r="I282" s="88"/>
      <c r="J282" s="378" t="s">
        <v>238</v>
      </c>
      <c r="K282" s="379" t="s">
        <v>135</v>
      </c>
      <c r="L282" s="379"/>
      <c r="M282" s="379" t="s">
        <v>239</v>
      </c>
      <c r="N282" s="379" t="s">
        <v>240</v>
      </c>
      <c r="O282" s="379" t="s">
        <v>136</v>
      </c>
      <c r="P282" s="379">
        <v>2018</v>
      </c>
      <c r="Q282" s="420" t="s">
        <v>259</v>
      </c>
      <c r="R282" s="421" t="s">
        <v>263</v>
      </c>
      <c r="S282" s="379"/>
      <c r="T282" s="379"/>
      <c r="U282" s="379" t="s">
        <v>261</v>
      </c>
      <c r="V282" s="379"/>
      <c r="W282" s="379" t="s">
        <v>243</v>
      </c>
      <c r="X282" s="379">
        <v>2030</v>
      </c>
      <c r="Y282" s="379"/>
      <c r="Z282" s="379" t="str">
        <f>VLOOKUP(R282,KEY_Processes!$C$55:$E$130,3,FALSE)</f>
        <v>W_FL_DST01</v>
      </c>
      <c r="AA282" s="379" t="str">
        <f>VLOOKUP(R282,KEY_Processes!$C$55:$E$130,2,FALSE)</f>
        <v>W_DieselFurnace_DST_LARGE</v>
      </c>
      <c r="AB282" s="379" t="str">
        <f>VLOOKUP(U282,KEY_FUELS!$C$4:$D$77,2,FALSE)</f>
        <v>DST</v>
      </c>
      <c r="AC282" s="379" t="s">
        <v>150</v>
      </c>
      <c r="AD282" s="379" t="s">
        <v>244</v>
      </c>
      <c r="AE282" s="379" t="s">
        <v>152</v>
      </c>
      <c r="AF282" s="382" t="str">
        <f>VLOOKUP(W282,KEY_Other!$B$37:$C$89,2,FALSE)</f>
        <v>EUR</v>
      </c>
      <c r="AG282" s="379"/>
      <c r="AH282" s="379" t="str">
        <f>AC282&amp;VLOOKUP(U282,KEY_FUELS!$C$4:$D$78,2,FALSE)</f>
        <v>RSDDST</v>
      </c>
      <c r="AI282" s="379" t="str">
        <f>IFERROR(AC282&amp;VLOOKUP(V282,KEY_FUELS!$C$4:$D$78,2,FALSE),"")</f>
        <v/>
      </c>
      <c r="AJ282" s="379" t="str">
        <f t="shared" si="78"/>
        <v>RWAP</v>
      </c>
      <c r="AK282" s="379" t="str">
        <f t="shared" si="79"/>
        <v/>
      </c>
      <c r="AL282" s="379" t="str">
        <f t="shared" si="80"/>
        <v/>
      </c>
      <c r="AM282" s="380">
        <v>31.536000000000001</v>
      </c>
      <c r="AN282" s="379">
        <v>2030</v>
      </c>
      <c r="AO282" s="422"/>
      <c r="AP282" s="423"/>
      <c r="AQ282" s="424"/>
      <c r="AR282" s="424"/>
      <c r="AS282" s="424"/>
      <c r="AT282" s="424"/>
      <c r="AU282" s="425"/>
      <c r="AV282" s="425"/>
      <c r="AW282" s="425"/>
      <c r="AX282" s="423"/>
      <c r="AY282" s="379"/>
      <c r="AZ282" s="425">
        <v>0.88</v>
      </c>
      <c r="BA282" s="423"/>
      <c r="BB282" s="423"/>
      <c r="BC282" s="427"/>
      <c r="BD282" s="390"/>
      <c r="BE282" s="390"/>
      <c r="BF282" s="379"/>
      <c r="BG282" s="379"/>
      <c r="BH282" s="427"/>
      <c r="BI282" s="379">
        <v>25</v>
      </c>
      <c r="BJ282" s="379"/>
      <c r="BK282" s="428">
        <v>29</v>
      </c>
      <c r="BL282" s="379"/>
      <c r="BM282" s="379"/>
      <c r="BN282" s="379"/>
      <c r="BO282" s="379"/>
      <c r="BP282" s="379"/>
      <c r="BQ282" s="379"/>
      <c r="BR282" s="429">
        <v>1.1259044957451683</v>
      </c>
      <c r="BS282" s="379"/>
      <c r="BT282" s="430"/>
      <c r="BU282" s="430"/>
      <c r="BV282" s="430"/>
      <c r="BW282" s="430"/>
      <c r="BX282" s="431"/>
    </row>
    <row r="283" spans="1:76" x14ac:dyDescent="0.3">
      <c r="A283" s="88"/>
      <c r="B283" s="5"/>
      <c r="C283" s="5"/>
      <c r="D283" s="5"/>
      <c r="E283" s="5"/>
      <c r="F283" s="88"/>
      <c r="G283" s="5"/>
      <c r="H283" s="88"/>
      <c r="I283" s="88"/>
      <c r="J283" s="362" t="s">
        <v>238</v>
      </c>
      <c r="K283" s="363" t="s">
        <v>135</v>
      </c>
      <c r="L283" s="363"/>
      <c r="M283" s="363" t="s">
        <v>239</v>
      </c>
      <c r="N283" s="363" t="s">
        <v>240</v>
      </c>
      <c r="O283" s="363" t="s">
        <v>136</v>
      </c>
      <c r="P283" s="363">
        <v>2018</v>
      </c>
      <c r="Q283" s="432" t="s">
        <v>264</v>
      </c>
      <c r="R283" s="433" t="s">
        <v>265</v>
      </c>
      <c r="S283" s="363"/>
      <c r="T283" s="363"/>
      <c r="U283" s="363" t="s">
        <v>266</v>
      </c>
      <c r="V283" s="363"/>
      <c r="W283" s="363" t="s">
        <v>243</v>
      </c>
      <c r="X283" s="363">
        <v>2019</v>
      </c>
      <c r="Y283" s="363"/>
      <c r="Z283" s="363" t="str">
        <f>VLOOKUP(R283,KEY_Processes!$C$55:$E$130,3,FALSE)</f>
        <v>C_HEL_COO01</v>
      </c>
      <c r="AA283" s="363" t="str">
        <f>VLOOKUP(R283,KEY_Processes!$C$55:$E$130,2,FALSE)</f>
        <v>C_DistrictCooling_COO_LARGE</v>
      </c>
      <c r="AB283" s="363" t="str">
        <f>VLOOKUP(U283,KEY_FUELS!$C$4:$D$77,2,FALSE)</f>
        <v>COO</v>
      </c>
      <c r="AC283" s="363" t="s">
        <v>150</v>
      </c>
      <c r="AD283" s="363" t="s">
        <v>244</v>
      </c>
      <c r="AE283" s="363" t="s">
        <v>152</v>
      </c>
      <c r="AF283" s="366" t="str">
        <f>VLOOKUP(W283,KEY_Other!$B$37:$C$89,2,FALSE)</f>
        <v>EUR</v>
      </c>
      <c r="AG283" s="363"/>
      <c r="AH283" s="363" t="str">
        <f>AC283&amp;VLOOKUP(U283,KEY_FUELS!$C$4:$D$78,2,FALSE)</f>
        <v>RSDCOO</v>
      </c>
      <c r="AI283" s="363" t="str">
        <f>IFERROR(AC283&amp;VLOOKUP(V283,KEY_FUELS!$C$4:$D$78,2,FALSE),"")</f>
        <v/>
      </c>
      <c r="AJ283" s="363" t="str">
        <f t="shared" si="78"/>
        <v>RCAP</v>
      </c>
      <c r="AK283" s="363" t="str">
        <f t="shared" si="79"/>
        <v/>
      </c>
      <c r="AL283" s="363" t="str">
        <f t="shared" si="80"/>
        <v/>
      </c>
      <c r="AM283" s="364">
        <v>31.536000000000001</v>
      </c>
      <c r="AN283" s="363">
        <v>2019</v>
      </c>
      <c r="AO283" s="434"/>
      <c r="AP283" s="435"/>
      <c r="AQ283" s="436"/>
      <c r="AR283" s="436"/>
      <c r="AS283" s="436"/>
      <c r="AT283" s="436"/>
      <c r="AU283" s="437"/>
      <c r="AV283" s="437"/>
      <c r="AW283" s="437"/>
      <c r="AX283" s="435"/>
      <c r="AY283" s="363"/>
      <c r="AZ283" s="437">
        <v>0.95</v>
      </c>
      <c r="BA283" s="435"/>
      <c r="BB283" s="435"/>
      <c r="BC283" s="439"/>
      <c r="BD283" s="374"/>
      <c r="BE283" s="374"/>
      <c r="BF283" s="363"/>
      <c r="BG283" s="363"/>
      <c r="BH283" s="439"/>
      <c r="BI283" s="363">
        <v>20</v>
      </c>
      <c r="BJ283" s="363"/>
      <c r="BK283" s="440">
        <v>36</v>
      </c>
      <c r="BL283" s="363"/>
      <c r="BM283" s="363"/>
      <c r="BN283" s="363"/>
      <c r="BO283" s="363"/>
      <c r="BP283" s="363"/>
      <c r="BQ283" s="363"/>
      <c r="BR283" s="441">
        <v>5</v>
      </c>
      <c r="BS283" s="363"/>
      <c r="BT283" s="442"/>
      <c r="BU283" s="442"/>
      <c r="BV283" s="442"/>
      <c r="BW283" s="442"/>
      <c r="BX283" s="443"/>
    </row>
    <row r="284" spans="1:76" x14ac:dyDescent="0.3">
      <c r="A284" s="88"/>
      <c r="B284" s="5"/>
      <c r="C284" s="5"/>
      <c r="D284" s="5"/>
      <c r="E284" s="5"/>
      <c r="F284" s="88"/>
      <c r="G284" s="5"/>
      <c r="H284" s="88"/>
      <c r="I284" s="88"/>
      <c r="J284" s="378" t="s">
        <v>238</v>
      </c>
      <c r="K284" s="379" t="s">
        <v>135</v>
      </c>
      <c r="L284" s="379"/>
      <c r="M284" s="379" t="s">
        <v>239</v>
      </c>
      <c r="N284" s="379" t="s">
        <v>240</v>
      </c>
      <c r="O284" s="379" t="s">
        <v>136</v>
      </c>
      <c r="P284" s="379">
        <v>2018</v>
      </c>
      <c r="Q284" s="420" t="s">
        <v>264</v>
      </c>
      <c r="R284" s="421" t="s">
        <v>265</v>
      </c>
      <c r="S284" s="379"/>
      <c r="T284" s="379"/>
      <c r="U284" s="379" t="s">
        <v>266</v>
      </c>
      <c r="V284" s="379"/>
      <c r="W284" s="379" t="s">
        <v>243</v>
      </c>
      <c r="X284" s="379">
        <v>2030</v>
      </c>
      <c r="Y284" s="379"/>
      <c r="Z284" s="379" t="str">
        <f>VLOOKUP(R284,KEY_Processes!$C$55:$E$130,3,FALSE)</f>
        <v>C_HEL_COO01</v>
      </c>
      <c r="AA284" s="379" t="str">
        <f>VLOOKUP(R284,KEY_Processes!$C$55:$E$130,2,FALSE)</f>
        <v>C_DistrictCooling_COO_LARGE</v>
      </c>
      <c r="AB284" s="379" t="str">
        <f>VLOOKUP(U284,KEY_FUELS!$C$4:$D$77,2,FALSE)</f>
        <v>COO</v>
      </c>
      <c r="AC284" s="379" t="s">
        <v>150</v>
      </c>
      <c r="AD284" s="379" t="s">
        <v>244</v>
      </c>
      <c r="AE284" s="379" t="s">
        <v>152</v>
      </c>
      <c r="AF284" s="382" t="str">
        <f>VLOOKUP(W284,KEY_Other!$B$37:$C$89,2,FALSE)</f>
        <v>EUR</v>
      </c>
      <c r="AG284" s="379"/>
      <c r="AH284" s="379" t="str">
        <f>AC284&amp;VLOOKUP(U284,KEY_FUELS!$C$4:$D$78,2,FALSE)</f>
        <v>RSDCOO</v>
      </c>
      <c r="AI284" s="379" t="str">
        <f>IFERROR(AC284&amp;VLOOKUP(V284,KEY_FUELS!$C$4:$D$78,2,FALSE),"")</f>
        <v/>
      </c>
      <c r="AJ284" s="379" t="str">
        <f t="shared" si="78"/>
        <v>RCAP</v>
      </c>
      <c r="AK284" s="379" t="str">
        <f t="shared" si="79"/>
        <v/>
      </c>
      <c r="AL284" s="379" t="str">
        <f t="shared" si="80"/>
        <v/>
      </c>
      <c r="AM284" s="380">
        <v>31.536000000000001</v>
      </c>
      <c r="AN284" s="379">
        <v>2030</v>
      </c>
      <c r="AO284" s="422"/>
      <c r="AP284" s="423"/>
      <c r="AQ284" s="424"/>
      <c r="AR284" s="424"/>
      <c r="AS284" s="424"/>
      <c r="AT284" s="424"/>
      <c r="AU284" s="425"/>
      <c r="AV284" s="425"/>
      <c r="AW284" s="425"/>
      <c r="AX284" s="423"/>
      <c r="AY284" s="379"/>
      <c r="AZ284" s="425">
        <v>0.99</v>
      </c>
      <c r="BA284" s="423"/>
      <c r="BB284" s="423"/>
      <c r="BC284" s="427"/>
      <c r="BD284" s="390"/>
      <c r="BE284" s="390"/>
      <c r="BF284" s="379"/>
      <c r="BG284" s="379"/>
      <c r="BH284" s="427"/>
      <c r="BI284" s="379">
        <v>20</v>
      </c>
      <c r="BJ284" s="379"/>
      <c r="BK284" s="428">
        <v>50</v>
      </c>
      <c r="BL284" s="379"/>
      <c r="BM284" s="379"/>
      <c r="BN284" s="379"/>
      <c r="BO284" s="379"/>
      <c r="BP284" s="379"/>
      <c r="BQ284" s="379"/>
      <c r="BR284" s="429">
        <v>5</v>
      </c>
      <c r="BS284" s="379"/>
      <c r="BT284" s="430"/>
      <c r="BU284" s="430"/>
      <c r="BV284" s="430"/>
      <c r="BW284" s="430"/>
      <c r="BX284" s="431"/>
    </row>
    <row r="285" spans="1:76" x14ac:dyDescent="0.3">
      <c r="A285" s="88"/>
      <c r="B285" s="5"/>
      <c r="C285" s="5"/>
      <c r="D285" s="5"/>
      <c r="E285" s="5"/>
      <c r="F285" s="88"/>
      <c r="G285" s="5"/>
      <c r="H285" s="88"/>
      <c r="I285" s="88"/>
      <c r="J285" s="362" t="s">
        <v>238</v>
      </c>
      <c r="K285" s="363" t="s">
        <v>135</v>
      </c>
      <c r="L285" s="363"/>
      <c r="M285" s="363" t="s">
        <v>239</v>
      </c>
      <c r="N285" s="363" t="s">
        <v>240</v>
      </c>
      <c r="O285" s="363" t="s">
        <v>136</v>
      </c>
      <c r="P285" s="363">
        <v>2018</v>
      </c>
      <c r="Q285" s="432" t="s">
        <v>267</v>
      </c>
      <c r="R285" s="433" t="s">
        <v>268</v>
      </c>
      <c r="S285" s="363"/>
      <c r="T285" s="363"/>
      <c r="U285" s="363" t="s">
        <v>170</v>
      </c>
      <c r="V285" s="363"/>
      <c r="W285" s="363" t="s">
        <v>243</v>
      </c>
      <c r="X285" s="363">
        <v>2019</v>
      </c>
      <c r="Y285" s="363"/>
      <c r="Z285" s="363" t="str">
        <f>VLOOKUP(R285,KEY_Processes!$C$55:$E$130,3,FALSE)</f>
        <v>H_HEL_HTH01</v>
      </c>
      <c r="AA285" s="363" t="str">
        <f>VLOOKUP(R285,KEY_Processes!$C$55:$E$130,2,FALSE)</f>
        <v>H_DistrictHeating_HTH_LARGE</v>
      </c>
      <c r="AB285" s="363" t="str">
        <f>VLOOKUP(U285,KEY_FUELS!$C$4:$D$77,2,FALSE)</f>
        <v>HTH</v>
      </c>
      <c r="AC285" s="363" t="s">
        <v>150</v>
      </c>
      <c r="AD285" s="363" t="s">
        <v>244</v>
      </c>
      <c r="AE285" s="363" t="s">
        <v>152</v>
      </c>
      <c r="AF285" s="366" t="str">
        <f>VLOOKUP(W285,KEY_Other!$B$37:$C$89,2,FALSE)</f>
        <v>EUR</v>
      </c>
      <c r="AG285" s="363"/>
      <c r="AH285" s="363" t="str">
        <f>AC285&amp;VLOOKUP(U285,KEY_FUELS!$C$4:$D$78,2,FALSE)</f>
        <v>RSDHTH</v>
      </c>
      <c r="AI285" s="363" t="str">
        <f>IFERROR(AC285&amp;VLOOKUP(V285,KEY_FUELS!$C$4:$D$78,2,FALSE),"")</f>
        <v/>
      </c>
      <c r="AJ285" s="363" t="str">
        <f t="shared" si="78"/>
        <v>RHAP</v>
      </c>
      <c r="AK285" s="363" t="str">
        <f t="shared" si="79"/>
        <v/>
      </c>
      <c r="AL285" s="363" t="str">
        <f t="shared" si="80"/>
        <v/>
      </c>
      <c r="AM285" s="364">
        <v>31.536000000000001</v>
      </c>
      <c r="AN285" s="363">
        <v>2019</v>
      </c>
      <c r="AO285" s="434"/>
      <c r="AP285" s="435"/>
      <c r="AQ285" s="436"/>
      <c r="AR285" s="436"/>
      <c r="AS285" s="436"/>
      <c r="AT285" s="436"/>
      <c r="AU285" s="437"/>
      <c r="AV285" s="437"/>
      <c r="AW285" s="437"/>
      <c r="AX285" s="435"/>
      <c r="AY285" s="363"/>
      <c r="AZ285" s="437">
        <v>0.95</v>
      </c>
      <c r="BA285" s="435"/>
      <c r="BB285" s="435"/>
      <c r="BC285" s="439"/>
      <c r="BD285" s="374"/>
      <c r="BE285" s="374"/>
      <c r="BF285" s="363"/>
      <c r="BG285" s="363"/>
      <c r="BH285" s="439"/>
      <c r="BI285" s="363">
        <v>20</v>
      </c>
      <c r="BJ285" s="363"/>
      <c r="BK285" s="440">
        <v>36</v>
      </c>
      <c r="BL285" s="363"/>
      <c r="BM285" s="363"/>
      <c r="BN285" s="363"/>
      <c r="BO285" s="363"/>
      <c r="BP285" s="363"/>
      <c r="BQ285" s="363"/>
      <c r="BR285" s="441">
        <v>5</v>
      </c>
      <c r="BS285" s="363"/>
      <c r="BT285" s="442"/>
      <c r="BU285" s="442"/>
      <c r="BV285" s="442"/>
      <c r="BW285" s="442"/>
      <c r="BX285" s="443"/>
    </row>
    <row r="286" spans="1:76" x14ac:dyDescent="0.3">
      <c r="A286" s="88"/>
      <c r="B286" s="5"/>
      <c r="C286" s="5"/>
      <c r="D286" s="5"/>
      <c r="E286" s="5"/>
      <c r="F286" s="88"/>
      <c r="G286" s="5"/>
      <c r="H286" s="88"/>
      <c r="I286" s="88"/>
      <c r="J286" s="378" t="s">
        <v>238</v>
      </c>
      <c r="K286" s="379" t="s">
        <v>135</v>
      </c>
      <c r="L286" s="379"/>
      <c r="M286" s="379" t="s">
        <v>239</v>
      </c>
      <c r="N286" s="379" t="s">
        <v>240</v>
      </c>
      <c r="O286" s="379" t="s">
        <v>136</v>
      </c>
      <c r="P286" s="379">
        <v>2018</v>
      </c>
      <c r="Q286" s="420" t="s">
        <v>267</v>
      </c>
      <c r="R286" s="421" t="s">
        <v>268</v>
      </c>
      <c r="S286" s="379"/>
      <c r="T286" s="379"/>
      <c r="U286" s="379" t="s">
        <v>170</v>
      </c>
      <c r="V286" s="379"/>
      <c r="W286" s="379" t="s">
        <v>243</v>
      </c>
      <c r="X286" s="379">
        <v>2030</v>
      </c>
      <c r="Y286" s="379"/>
      <c r="Z286" s="379" t="str">
        <f>VLOOKUP(R286,KEY_Processes!$C$55:$E$130,3,FALSE)</f>
        <v>H_HEL_HTH01</v>
      </c>
      <c r="AA286" s="379" t="str">
        <f>VLOOKUP(R286,KEY_Processes!$C$55:$E$130,2,FALSE)</f>
        <v>H_DistrictHeating_HTH_LARGE</v>
      </c>
      <c r="AB286" s="379" t="str">
        <f>VLOOKUP(U286,KEY_FUELS!$C$4:$D$77,2,FALSE)</f>
        <v>HTH</v>
      </c>
      <c r="AC286" s="379" t="s">
        <v>150</v>
      </c>
      <c r="AD286" s="379" t="s">
        <v>244</v>
      </c>
      <c r="AE286" s="379" t="s">
        <v>152</v>
      </c>
      <c r="AF286" s="382" t="str">
        <f>VLOOKUP(W286,KEY_Other!$B$37:$C$89,2,FALSE)</f>
        <v>EUR</v>
      </c>
      <c r="AG286" s="379"/>
      <c r="AH286" s="379" t="str">
        <f>AC286&amp;VLOOKUP(U286,KEY_FUELS!$C$4:$D$78,2,FALSE)</f>
        <v>RSDHTH</v>
      </c>
      <c r="AI286" s="379" t="str">
        <f>IFERROR(AC286&amp;VLOOKUP(V286,KEY_FUELS!$C$4:$D$78,2,FALSE),"")</f>
        <v/>
      </c>
      <c r="AJ286" s="379" t="str">
        <f t="shared" si="78"/>
        <v>RHAP</v>
      </c>
      <c r="AK286" s="379" t="str">
        <f t="shared" si="79"/>
        <v/>
      </c>
      <c r="AL286" s="379" t="str">
        <f t="shared" si="80"/>
        <v/>
      </c>
      <c r="AM286" s="380">
        <v>31.536000000000001</v>
      </c>
      <c r="AN286" s="379">
        <v>2030</v>
      </c>
      <c r="AO286" s="422"/>
      <c r="AP286" s="423"/>
      <c r="AQ286" s="424"/>
      <c r="AR286" s="424"/>
      <c r="AS286" s="424"/>
      <c r="AT286" s="424"/>
      <c r="AU286" s="425"/>
      <c r="AV286" s="425"/>
      <c r="AW286" s="425"/>
      <c r="AX286" s="423"/>
      <c r="AY286" s="379"/>
      <c r="AZ286" s="425">
        <v>0.99</v>
      </c>
      <c r="BA286" s="423"/>
      <c r="BB286" s="423"/>
      <c r="BC286" s="427"/>
      <c r="BD286" s="390"/>
      <c r="BE286" s="390"/>
      <c r="BF286" s="379"/>
      <c r="BG286" s="379"/>
      <c r="BH286" s="427"/>
      <c r="BI286" s="379">
        <v>20</v>
      </c>
      <c r="BJ286" s="379"/>
      <c r="BK286" s="428">
        <v>50</v>
      </c>
      <c r="BL286" s="379"/>
      <c r="BM286" s="379"/>
      <c r="BN286" s="379"/>
      <c r="BO286" s="379"/>
      <c r="BP286" s="379"/>
      <c r="BQ286" s="379"/>
      <c r="BR286" s="429">
        <v>5</v>
      </c>
      <c r="BS286" s="379"/>
      <c r="BT286" s="430"/>
      <c r="BU286" s="430"/>
      <c r="BV286" s="430"/>
      <c r="BW286" s="430"/>
      <c r="BX286" s="431"/>
    </row>
    <row r="287" spans="1:76" x14ac:dyDescent="0.3">
      <c r="A287" s="88"/>
      <c r="B287" s="5"/>
      <c r="C287" s="5"/>
      <c r="D287" s="5"/>
      <c r="E287" s="5"/>
      <c r="F287" s="88"/>
      <c r="G287" s="5"/>
      <c r="H287" s="88"/>
      <c r="I287" s="88"/>
      <c r="J287" s="362" t="s">
        <v>238</v>
      </c>
      <c r="K287" s="363" t="s">
        <v>135</v>
      </c>
      <c r="L287" s="363"/>
      <c r="M287" s="363" t="s">
        <v>239</v>
      </c>
      <c r="N287" s="363" t="s">
        <v>240</v>
      </c>
      <c r="O287" s="363" t="s">
        <v>136</v>
      </c>
      <c r="P287" s="363">
        <v>2018</v>
      </c>
      <c r="Q287" s="432" t="s">
        <v>267</v>
      </c>
      <c r="R287" s="433" t="s">
        <v>269</v>
      </c>
      <c r="S287" s="363"/>
      <c r="T287" s="363"/>
      <c r="U287" s="363" t="s">
        <v>170</v>
      </c>
      <c r="V287" s="363"/>
      <c r="W287" s="363" t="s">
        <v>243</v>
      </c>
      <c r="X287" s="363">
        <v>2019</v>
      </c>
      <c r="Y287" s="363"/>
      <c r="Z287" s="363" t="str">
        <f>VLOOKUP(R287,KEY_Processes!$C$55:$E$130,3,FALSE)</f>
        <v>HW_HEL_HTH01</v>
      </c>
      <c r="AA287" s="363" t="str">
        <f>VLOOKUP(R287,KEY_Processes!$C$55:$E$130,2,FALSE)</f>
        <v>HW_DistrictHeating_HTH_LARGE</v>
      </c>
      <c r="AB287" s="363" t="str">
        <f>VLOOKUP(U287,KEY_FUELS!$C$4:$D$77,2,FALSE)</f>
        <v>HTH</v>
      </c>
      <c r="AC287" s="363" t="s">
        <v>150</v>
      </c>
      <c r="AD287" s="363" t="s">
        <v>244</v>
      </c>
      <c r="AE287" s="363" t="s">
        <v>152</v>
      </c>
      <c r="AF287" s="366" t="str">
        <f>VLOOKUP(W287,KEY_Other!$B$37:$C$89,2,FALSE)</f>
        <v>EUR</v>
      </c>
      <c r="AG287" s="363"/>
      <c r="AH287" s="363" t="str">
        <f>AC287&amp;VLOOKUP(U287,KEY_FUELS!$C$4:$D$78,2,FALSE)</f>
        <v>RSDHTH</v>
      </c>
      <c r="AI287" s="363" t="str">
        <f>IFERROR(AC287&amp;VLOOKUP(V287,KEY_FUELS!$C$4:$D$78,2,FALSE),"")</f>
        <v/>
      </c>
      <c r="AJ287" s="363" t="str">
        <f t="shared" si="78"/>
        <v>RHAP</v>
      </c>
      <c r="AK287" s="363" t="str">
        <f t="shared" si="79"/>
        <v>RWAP</v>
      </c>
      <c r="AL287" s="363" t="str">
        <f t="shared" si="80"/>
        <v/>
      </c>
      <c r="AM287" s="364">
        <v>31.536000000000001</v>
      </c>
      <c r="AN287" s="363">
        <v>2019</v>
      </c>
      <c r="AO287" s="434">
        <v>1</v>
      </c>
      <c r="AP287" s="435"/>
      <c r="AQ287" s="436"/>
      <c r="AR287" s="436"/>
      <c r="AS287" s="436"/>
      <c r="AT287" s="436" t="s">
        <v>161</v>
      </c>
      <c r="AU287" s="370">
        <v>0.48</v>
      </c>
      <c r="AV287" s="437"/>
      <c r="AW287" s="437"/>
      <c r="AX287" s="435"/>
      <c r="AY287" s="363"/>
      <c r="AZ287" s="437">
        <v>0.95</v>
      </c>
      <c r="BA287" s="435"/>
      <c r="BB287" s="435"/>
      <c r="BC287" s="439"/>
      <c r="BD287" s="374"/>
      <c r="BE287" s="374"/>
      <c r="BF287" s="363"/>
      <c r="BG287" s="363"/>
      <c r="BH287" s="439"/>
      <c r="BI287" s="363">
        <v>20</v>
      </c>
      <c r="BJ287" s="363"/>
      <c r="BK287" s="440">
        <v>69</v>
      </c>
      <c r="BL287" s="363"/>
      <c r="BM287" s="363"/>
      <c r="BN287" s="363"/>
      <c r="BO287" s="363"/>
      <c r="BP287" s="363"/>
      <c r="BQ287" s="363"/>
      <c r="BR287" s="441">
        <v>5</v>
      </c>
      <c r="BS287" s="363"/>
      <c r="BT287" s="442"/>
      <c r="BU287" s="442"/>
      <c r="BV287" s="442"/>
      <c r="BW287" s="442"/>
      <c r="BX287" s="443"/>
    </row>
    <row r="288" spans="1:76" x14ac:dyDescent="0.3">
      <c r="A288" s="88"/>
      <c r="B288" s="5"/>
      <c r="C288" s="5"/>
      <c r="D288" s="5"/>
      <c r="E288" s="5"/>
      <c r="F288" s="88"/>
      <c r="G288" s="5"/>
      <c r="H288" s="88"/>
      <c r="I288" s="88"/>
      <c r="J288" s="378" t="s">
        <v>238</v>
      </c>
      <c r="K288" s="379" t="s">
        <v>135</v>
      </c>
      <c r="L288" s="379"/>
      <c r="M288" s="379" t="s">
        <v>239</v>
      </c>
      <c r="N288" s="379" t="s">
        <v>240</v>
      </c>
      <c r="O288" s="379" t="s">
        <v>136</v>
      </c>
      <c r="P288" s="379">
        <v>2018</v>
      </c>
      <c r="Q288" s="420" t="s">
        <v>267</v>
      </c>
      <c r="R288" s="421" t="s">
        <v>269</v>
      </c>
      <c r="S288" s="379"/>
      <c r="T288" s="379"/>
      <c r="U288" s="379" t="s">
        <v>170</v>
      </c>
      <c r="V288" s="379"/>
      <c r="W288" s="379" t="s">
        <v>243</v>
      </c>
      <c r="X288" s="379">
        <v>2019</v>
      </c>
      <c r="Y288" s="379"/>
      <c r="Z288" s="379" t="str">
        <f>VLOOKUP(R288,KEY_Processes!$C$55:$E$130,3,FALSE)</f>
        <v>HW_HEL_HTH01</v>
      </c>
      <c r="AA288" s="379" t="str">
        <f>VLOOKUP(R288,KEY_Processes!$C$55:$E$130,2,FALSE)</f>
        <v>HW_DistrictHeating_HTH_LARGE</v>
      </c>
      <c r="AB288" s="379" t="str">
        <f>VLOOKUP(U288,KEY_FUELS!$C$4:$D$77,2,FALSE)</f>
        <v>HTH</v>
      </c>
      <c r="AC288" s="379" t="s">
        <v>150</v>
      </c>
      <c r="AD288" s="379" t="s">
        <v>244</v>
      </c>
      <c r="AE288" s="379" t="s">
        <v>152</v>
      </c>
      <c r="AF288" s="382" t="str">
        <f>VLOOKUP(W288,KEY_Other!$B$37:$C$89,2,FALSE)</f>
        <v>EUR</v>
      </c>
      <c r="AG288" s="379"/>
      <c r="AH288" s="379" t="str">
        <f>AC288&amp;VLOOKUP(U288,KEY_FUELS!$C$4:$D$78,2,FALSE)</f>
        <v>RSDHTH</v>
      </c>
      <c r="AI288" s="379" t="str">
        <f>IFERROR(AC288&amp;VLOOKUP(V288,KEY_FUELS!$C$4:$D$78,2,FALSE),"")</f>
        <v/>
      </c>
      <c r="AJ288" s="379" t="str">
        <f t="shared" ref="AJ288:AJ290" si="94">LEFT(AC288,1)&amp;LEFT(AA288,1)&amp;AD288</f>
        <v>RHAP</v>
      </c>
      <c r="AK288" s="379" t="str">
        <f t="shared" si="79"/>
        <v>RWAP</v>
      </c>
      <c r="AL288" s="379" t="str">
        <f t="shared" si="80"/>
        <v/>
      </c>
      <c r="AM288" s="380">
        <v>31.536000000000001</v>
      </c>
      <c r="AN288" s="379">
        <v>2019</v>
      </c>
      <c r="AO288" s="422">
        <v>1</v>
      </c>
      <c r="AP288" s="423"/>
      <c r="AQ288" s="424"/>
      <c r="AR288" s="424"/>
      <c r="AS288" s="424"/>
      <c r="AT288" s="424" t="s">
        <v>248</v>
      </c>
      <c r="AU288" s="386">
        <v>0.55000000000000004</v>
      </c>
      <c r="AV288" s="425"/>
      <c r="AW288" s="425"/>
      <c r="AX288" s="423"/>
      <c r="AY288" s="379"/>
      <c r="AZ288" s="425">
        <v>0.95</v>
      </c>
      <c r="BA288" s="423"/>
      <c r="BB288" s="423"/>
      <c r="BC288" s="427"/>
      <c r="BD288" s="390"/>
      <c r="BE288" s="390"/>
      <c r="BF288" s="379"/>
      <c r="BG288" s="379"/>
      <c r="BH288" s="427"/>
      <c r="BI288" s="379">
        <v>20</v>
      </c>
      <c r="BJ288" s="379"/>
      <c r="BK288" s="428">
        <v>69</v>
      </c>
      <c r="BL288" s="379"/>
      <c r="BM288" s="379"/>
      <c r="BN288" s="379"/>
      <c r="BO288" s="379"/>
      <c r="BP288" s="379"/>
      <c r="BQ288" s="379"/>
      <c r="BR288" s="429">
        <v>5</v>
      </c>
      <c r="BS288" s="379"/>
      <c r="BT288" s="430"/>
      <c r="BU288" s="430"/>
      <c r="BV288" s="430"/>
      <c r="BW288" s="430"/>
      <c r="BX288" s="431"/>
    </row>
    <row r="289" spans="1:76" x14ac:dyDescent="0.3">
      <c r="A289" s="88"/>
      <c r="B289" s="5"/>
      <c r="C289" s="5"/>
      <c r="D289" s="5"/>
      <c r="E289" s="5"/>
      <c r="F289" s="88"/>
      <c r="G289" s="5"/>
      <c r="H289" s="88"/>
      <c r="I289" s="88"/>
      <c r="J289" s="362" t="s">
        <v>238</v>
      </c>
      <c r="K289" s="363" t="s">
        <v>135</v>
      </c>
      <c r="L289" s="363"/>
      <c r="M289" s="363" t="s">
        <v>239</v>
      </c>
      <c r="N289" s="363" t="s">
        <v>240</v>
      </c>
      <c r="O289" s="363" t="s">
        <v>136</v>
      </c>
      <c r="P289" s="363">
        <v>2018</v>
      </c>
      <c r="Q289" s="432" t="s">
        <v>267</v>
      </c>
      <c r="R289" s="433" t="s">
        <v>269</v>
      </c>
      <c r="S289" s="363"/>
      <c r="T289" s="363"/>
      <c r="U289" s="363" t="s">
        <v>170</v>
      </c>
      <c r="V289" s="363"/>
      <c r="W289" s="363" t="s">
        <v>243</v>
      </c>
      <c r="X289" s="363">
        <v>2019</v>
      </c>
      <c r="Y289" s="363"/>
      <c r="Z289" s="363" t="str">
        <f>VLOOKUP(R289,KEY_Processes!$C$55:$E$130,3,FALSE)</f>
        <v>HW_HEL_HTH01</v>
      </c>
      <c r="AA289" s="363" t="str">
        <f>VLOOKUP(R289,KEY_Processes!$C$55:$E$130,2,FALSE)</f>
        <v>HW_DistrictHeating_HTH_LARGE</v>
      </c>
      <c r="AB289" s="363" t="str">
        <f>VLOOKUP(U289,KEY_FUELS!$C$4:$D$77,2,FALSE)</f>
        <v>HTH</v>
      </c>
      <c r="AC289" s="363" t="s">
        <v>150</v>
      </c>
      <c r="AD289" s="363" t="s">
        <v>244</v>
      </c>
      <c r="AE289" s="363" t="s">
        <v>152</v>
      </c>
      <c r="AF289" s="366" t="str">
        <f>VLOOKUP(W289,KEY_Other!$B$37:$C$89,2,FALSE)</f>
        <v>EUR</v>
      </c>
      <c r="AG289" s="363"/>
      <c r="AH289" s="363" t="str">
        <f>AC289&amp;VLOOKUP(U289,KEY_FUELS!$C$4:$D$78,2,FALSE)</f>
        <v>RSDHTH</v>
      </c>
      <c r="AI289" s="363" t="str">
        <f>IFERROR(AC289&amp;VLOOKUP(V289,KEY_FUELS!$C$4:$D$78,2,FALSE),"")</f>
        <v/>
      </c>
      <c r="AJ289" s="363" t="str">
        <f t="shared" si="94"/>
        <v>RHAP</v>
      </c>
      <c r="AK289" s="363" t="str">
        <f t="shared" si="79"/>
        <v>RWAP</v>
      </c>
      <c r="AL289" s="363" t="str">
        <f t="shared" si="80"/>
        <v/>
      </c>
      <c r="AM289" s="364">
        <v>31.536000000000001</v>
      </c>
      <c r="AN289" s="363">
        <v>2019</v>
      </c>
      <c r="AO289" s="434">
        <v>1</v>
      </c>
      <c r="AP289" s="435"/>
      <c r="AQ289" s="436"/>
      <c r="AR289" s="436"/>
      <c r="AS289" s="436"/>
      <c r="AT289" s="436" t="s">
        <v>158</v>
      </c>
      <c r="AU289" s="370">
        <v>0.63</v>
      </c>
      <c r="AV289" s="437"/>
      <c r="AW289" s="437"/>
      <c r="AX289" s="435"/>
      <c r="AY289" s="363"/>
      <c r="AZ289" s="437">
        <v>0.95</v>
      </c>
      <c r="BA289" s="435"/>
      <c r="BB289" s="435"/>
      <c r="BC289" s="439"/>
      <c r="BD289" s="374"/>
      <c r="BE289" s="374"/>
      <c r="BF289" s="363"/>
      <c r="BG289" s="363"/>
      <c r="BH289" s="439"/>
      <c r="BI289" s="363">
        <v>20</v>
      </c>
      <c r="BJ289" s="363"/>
      <c r="BK289" s="440">
        <v>69</v>
      </c>
      <c r="BL289" s="363"/>
      <c r="BM289" s="363"/>
      <c r="BN289" s="363"/>
      <c r="BO289" s="363"/>
      <c r="BP289" s="363"/>
      <c r="BQ289" s="363"/>
      <c r="BR289" s="441">
        <v>5</v>
      </c>
      <c r="BS289" s="363"/>
      <c r="BT289" s="442"/>
      <c r="BU289" s="442"/>
      <c r="BV289" s="442"/>
      <c r="BW289" s="442"/>
      <c r="BX289" s="443"/>
    </row>
    <row r="290" spans="1:76" x14ac:dyDescent="0.3">
      <c r="A290" s="88"/>
      <c r="B290" s="5"/>
      <c r="C290" s="5"/>
      <c r="D290" s="5"/>
      <c r="E290" s="5"/>
      <c r="F290" s="88"/>
      <c r="G290" s="5"/>
      <c r="H290" s="88"/>
      <c r="I290" s="88"/>
      <c r="J290" s="378" t="s">
        <v>238</v>
      </c>
      <c r="K290" s="379" t="s">
        <v>135</v>
      </c>
      <c r="L290" s="379"/>
      <c r="M290" s="379" t="s">
        <v>239</v>
      </c>
      <c r="N290" s="379" t="s">
        <v>240</v>
      </c>
      <c r="O290" s="379" t="s">
        <v>136</v>
      </c>
      <c r="P290" s="379">
        <v>2018</v>
      </c>
      <c r="Q290" s="420" t="s">
        <v>267</v>
      </c>
      <c r="R290" s="421" t="s">
        <v>269</v>
      </c>
      <c r="S290" s="379"/>
      <c r="T290" s="379"/>
      <c r="U290" s="379" t="s">
        <v>170</v>
      </c>
      <c r="V290" s="379"/>
      <c r="W290" s="379" t="s">
        <v>243</v>
      </c>
      <c r="X290" s="379">
        <v>2019</v>
      </c>
      <c r="Y290" s="379"/>
      <c r="Z290" s="379" t="str">
        <f>VLOOKUP(R290,KEY_Processes!$C$55:$E$130,3,FALSE)</f>
        <v>HW_HEL_HTH01</v>
      </c>
      <c r="AA290" s="379" t="str">
        <f>VLOOKUP(R290,KEY_Processes!$C$55:$E$130,2,FALSE)</f>
        <v>HW_DistrictHeating_HTH_LARGE</v>
      </c>
      <c r="AB290" s="379" t="str">
        <f>VLOOKUP(U290,KEY_FUELS!$C$4:$D$77,2,FALSE)</f>
        <v>HTH</v>
      </c>
      <c r="AC290" s="379" t="s">
        <v>150</v>
      </c>
      <c r="AD290" s="379" t="s">
        <v>244</v>
      </c>
      <c r="AE290" s="379" t="s">
        <v>152</v>
      </c>
      <c r="AF290" s="382" t="str">
        <f>VLOOKUP(W290,KEY_Other!$B$37:$C$89,2,FALSE)</f>
        <v>EUR</v>
      </c>
      <c r="AG290" s="379"/>
      <c r="AH290" s="379" t="str">
        <f>AC290&amp;VLOOKUP(U290,KEY_FUELS!$C$4:$D$78,2,FALSE)</f>
        <v>RSDHTH</v>
      </c>
      <c r="AI290" s="379" t="str">
        <f>IFERROR(AC290&amp;VLOOKUP(V290,KEY_FUELS!$C$4:$D$78,2,FALSE),"")</f>
        <v/>
      </c>
      <c r="AJ290" s="379" t="str">
        <f t="shared" si="94"/>
        <v>RHAP</v>
      </c>
      <c r="AK290" s="379" t="str">
        <f t="shared" si="79"/>
        <v>RWAP</v>
      </c>
      <c r="AL290" s="379" t="str">
        <f t="shared" si="80"/>
        <v/>
      </c>
      <c r="AM290" s="380">
        <v>31.536000000000001</v>
      </c>
      <c r="AN290" s="379">
        <v>2019</v>
      </c>
      <c r="AO290" s="422">
        <v>1</v>
      </c>
      <c r="AP290" s="423"/>
      <c r="AQ290" s="424"/>
      <c r="AR290" s="424"/>
      <c r="AS290" s="424"/>
      <c r="AT290" s="424" t="s">
        <v>249</v>
      </c>
      <c r="AU290" s="425">
        <v>0.72</v>
      </c>
      <c r="AV290" s="425"/>
      <c r="AW290" s="425"/>
      <c r="AX290" s="423"/>
      <c r="AY290" s="379"/>
      <c r="AZ290" s="425">
        <v>0.95</v>
      </c>
      <c r="BA290" s="423"/>
      <c r="BB290" s="423"/>
      <c r="BC290" s="427"/>
      <c r="BD290" s="390"/>
      <c r="BE290" s="390"/>
      <c r="BF290" s="379"/>
      <c r="BG290" s="379"/>
      <c r="BH290" s="427"/>
      <c r="BI290" s="379">
        <v>20</v>
      </c>
      <c r="BJ290" s="379"/>
      <c r="BK290" s="428">
        <v>69</v>
      </c>
      <c r="BL290" s="379"/>
      <c r="BM290" s="379"/>
      <c r="BN290" s="379"/>
      <c r="BO290" s="379"/>
      <c r="BP290" s="379"/>
      <c r="BQ290" s="379"/>
      <c r="BR290" s="429">
        <v>5</v>
      </c>
      <c r="BS290" s="379"/>
      <c r="BT290" s="430"/>
      <c r="BU290" s="430"/>
      <c r="BV290" s="430"/>
      <c r="BW290" s="430"/>
      <c r="BX290" s="431"/>
    </row>
    <row r="291" spans="1:76" x14ac:dyDescent="0.3">
      <c r="A291" s="88"/>
      <c r="B291" s="5"/>
      <c r="C291" s="5"/>
      <c r="D291" s="5"/>
      <c r="E291" s="5"/>
      <c r="F291" s="88"/>
      <c r="G291" s="5"/>
      <c r="H291" s="88"/>
      <c r="I291" s="88"/>
      <c r="J291" s="362" t="s">
        <v>238</v>
      </c>
      <c r="K291" s="363" t="s">
        <v>135</v>
      </c>
      <c r="L291" s="363"/>
      <c r="M291" s="363" t="s">
        <v>239</v>
      </c>
      <c r="N291" s="363" t="s">
        <v>240</v>
      </c>
      <c r="O291" s="363" t="s">
        <v>136</v>
      </c>
      <c r="P291" s="363">
        <v>2018</v>
      </c>
      <c r="Q291" s="432" t="s">
        <v>267</v>
      </c>
      <c r="R291" s="433" t="s">
        <v>269</v>
      </c>
      <c r="S291" s="363"/>
      <c r="T291" s="363"/>
      <c r="U291" s="363" t="s">
        <v>170</v>
      </c>
      <c r="V291" s="363"/>
      <c r="W291" s="363" t="s">
        <v>243</v>
      </c>
      <c r="X291" s="363">
        <v>2030</v>
      </c>
      <c r="Y291" s="363"/>
      <c r="Z291" s="363" t="str">
        <f>VLOOKUP(R291,KEY_Processes!$C$55:$E$130,3,FALSE)</f>
        <v>HW_HEL_HTH01</v>
      </c>
      <c r="AA291" s="363" t="str">
        <f>VLOOKUP(R291,KEY_Processes!$C$55:$E$130,2,FALSE)</f>
        <v>HW_DistrictHeating_HTH_LARGE</v>
      </c>
      <c r="AB291" s="363" t="str">
        <f>VLOOKUP(U291,KEY_FUELS!$C$4:$D$77,2,FALSE)</f>
        <v>HTH</v>
      </c>
      <c r="AC291" s="363" t="s">
        <v>150</v>
      </c>
      <c r="AD291" s="363" t="s">
        <v>244</v>
      </c>
      <c r="AE291" s="363" t="s">
        <v>152</v>
      </c>
      <c r="AF291" s="366" t="str">
        <f>VLOOKUP(W291,KEY_Other!$B$37:$C$89,2,FALSE)</f>
        <v>EUR</v>
      </c>
      <c r="AG291" s="363"/>
      <c r="AH291" s="363" t="str">
        <f>AC291&amp;VLOOKUP(U291,KEY_FUELS!$C$4:$D$78,2,FALSE)</f>
        <v>RSDHTH</v>
      </c>
      <c r="AI291" s="363" t="str">
        <f>IFERROR(AC291&amp;VLOOKUP(V291,KEY_FUELS!$C$4:$D$78,2,FALSE),"")</f>
        <v/>
      </c>
      <c r="AJ291" s="363" t="str">
        <f t="shared" si="78"/>
        <v>RHAP</v>
      </c>
      <c r="AK291" s="363" t="str">
        <f t="shared" si="79"/>
        <v>RWAP</v>
      </c>
      <c r="AL291" s="363" t="str">
        <f t="shared" si="80"/>
        <v/>
      </c>
      <c r="AM291" s="364">
        <v>31.536000000000001</v>
      </c>
      <c r="AN291" s="363">
        <v>2030</v>
      </c>
      <c r="AO291" s="434"/>
      <c r="AP291" s="435"/>
      <c r="AQ291" s="436"/>
      <c r="AR291" s="436"/>
      <c r="AS291" s="436"/>
      <c r="AT291" s="436"/>
      <c r="AU291" s="437"/>
      <c r="AV291" s="437"/>
      <c r="AW291" s="437"/>
      <c r="AX291" s="435"/>
      <c r="AY291" s="363"/>
      <c r="AZ291" s="437">
        <v>0.99</v>
      </c>
      <c r="BA291" s="435"/>
      <c r="BB291" s="435"/>
      <c r="BC291" s="439"/>
      <c r="BD291" s="374"/>
      <c r="BE291" s="374"/>
      <c r="BF291" s="363"/>
      <c r="BG291" s="363"/>
      <c r="BH291" s="439"/>
      <c r="BI291" s="363">
        <v>20</v>
      </c>
      <c r="BJ291" s="363"/>
      <c r="BK291" s="440">
        <v>49</v>
      </c>
      <c r="BL291" s="363"/>
      <c r="BM291" s="363"/>
      <c r="BN291" s="363"/>
      <c r="BO291" s="363"/>
      <c r="BP291" s="363"/>
      <c r="BQ291" s="363"/>
      <c r="BR291" s="441">
        <v>5</v>
      </c>
      <c r="BS291" s="363"/>
      <c r="BT291" s="442"/>
      <c r="BU291" s="442"/>
      <c r="BV291" s="442"/>
      <c r="BW291" s="442"/>
      <c r="BX291" s="443"/>
    </row>
    <row r="292" spans="1:76" x14ac:dyDescent="0.3">
      <c r="A292" s="88"/>
      <c r="B292" s="5"/>
      <c r="C292" s="5"/>
      <c r="D292" s="5"/>
      <c r="E292" s="5"/>
      <c r="F292" s="88"/>
      <c r="G292" s="5"/>
      <c r="H292" s="88"/>
      <c r="I292" s="88"/>
      <c r="J292" s="378" t="s">
        <v>238</v>
      </c>
      <c r="K292" s="379" t="s">
        <v>135</v>
      </c>
      <c r="L292" s="379"/>
      <c r="M292" s="379" t="s">
        <v>239</v>
      </c>
      <c r="N292" s="379" t="s">
        <v>240</v>
      </c>
      <c r="O292" s="379" t="s">
        <v>136</v>
      </c>
      <c r="P292" s="379">
        <v>2018</v>
      </c>
      <c r="Q292" s="420" t="s">
        <v>267</v>
      </c>
      <c r="R292" s="421" t="s">
        <v>268</v>
      </c>
      <c r="S292" s="446"/>
      <c r="T292" s="446"/>
      <c r="U292" s="379" t="s">
        <v>170</v>
      </c>
      <c r="V292" s="379"/>
      <c r="W292" s="379" t="s">
        <v>243</v>
      </c>
      <c r="X292" s="379">
        <v>2019</v>
      </c>
      <c r="Y292" s="446"/>
      <c r="Z292" s="379" t="str">
        <f>VLOOKUP(R292,KEY_Processes!$C$55:$E$130,3,FALSE)</f>
        <v>H_HEL_HTH01</v>
      </c>
      <c r="AA292" s="379" t="str">
        <f>VLOOKUP(R292,KEY_Processes!$C$55:$E$130,2,FALSE)</f>
        <v>H_DistrictHeating_HTH_LARGE</v>
      </c>
      <c r="AB292" s="379" t="str">
        <f>VLOOKUP(U292,KEY_FUELS!$C$4:$D$77,2,FALSE)</f>
        <v>HTH</v>
      </c>
      <c r="AC292" s="379" t="s">
        <v>150</v>
      </c>
      <c r="AD292" s="379" t="s">
        <v>244</v>
      </c>
      <c r="AE292" s="379" t="s">
        <v>152</v>
      </c>
      <c r="AF292" s="382" t="str">
        <f>VLOOKUP(W292,KEY_Other!$B$37:$C$89,2,FALSE)</f>
        <v>EUR</v>
      </c>
      <c r="AG292" s="379"/>
      <c r="AH292" s="379" t="str">
        <f>AC292&amp;VLOOKUP(U292,KEY_FUELS!$C$4:$D$78,2,FALSE)</f>
        <v>RSDHTH</v>
      </c>
      <c r="AI292" s="379" t="str">
        <f>IFERROR(AC292&amp;VLOOKUP(V292,KEY_FUELS!$C$4:$D$78,2,FALSE),"")</f>
        <v/>
      </c>
      <c r="AJ292" s="379" t="str">
        <f t="shared" si="78"/>
        <v>RHAP</v>
      </c>
      <c r="AK292" s="379" t="str">
        <f t="shared" si="79"/>
        <v/>
      </c>
      <c r="AL292" s="379" t="str">
        <f t="shared" si="80"/>
        <v/>
      </c>
      <c r="AM292" s="380">
        <v>31.536000000000001</v>
      </c>
      <c r="AN292" s="379">
        <v>2019</v>
      </c>
      <c r="AO292" s="422"/>
      <c r="AP292" s="423"/>
      <c r="AQ292" s="424"/>
      <c r="AR292" s="424"/>
      <c r="AS292" s="424"/>
      <c r="AT292" s="424"/>
      <c r="AU292" s="425"/>
      <c r="AV292" s="425"/>
      <c r="AW292" s="425"/>
      <c r="AX292" s="423"/>
      <c r="AY292" s="379"/>
      <c r="AZ292" s="425">
        <v>0.95</v>
      </c>
      <c r="BA292" s="423"/>
      <c r="BB292" s="423"/>
      <c r="BC292" s="427"/>
      <c r="BD292" s="390"/>
      <c r="BE292" s="390"/>
      <c r="BF292" s="447"/>
      <c r="BG292" s="379"/>
      <c r="BH292" s="427"/>
      <c r="BI292" s="379">
        <v>20</v>
      </c>
      <c r="BJ292" s="379"/>
      <c r="BK292" s="428">
        <v>36</v>
      </c>
      <c r="BL292" s="379"/>
      <c r="BM292" s="379"/>
      <c r="BN292" s="379"/>
      <c r="BO292" s="379"/>
      <c r="BP292" s="379"/>
      <c r="BQ292" s="379"/>
      <c r="BR292" s="429">
        <v>5</v>
      </c>
      <c r="BS292" s="379"/>
      <c r="BT292" s="430"/>
      <c r="BU292" s="430"/>
      <c r="BV292" s="430"/>
      <c r="BW292" s="430"/>
      <c r="BX292" s="431"/>
    </row>
    <row r="293" spans="1:76" x14ac:dyDescent="0.3">
      <c r="A293" s="88"/>
      <c r="B293" s="5"/>
      <c r="C293" s="5"/>
      <c r="D293" s="5"/>
      <c r="E293" s="5"/>
      <c r="F293" s="88"/>
      <c r="G293" s="5"/>
      <c r="H293" s="88"/>
      <c r="I293" s="88"/>
      <c r="J293" s="362" t="s">
        <v>238</v>
      </c>
      <c r="K293" s="363" t="s">
        <v>135</v>
      </c>
      <c r="L293" s="363"/>
      <c r="M293" s="363" t="s">
        <v>239</v>
      </c>
      <c r="N293" s="363" t="s">
        <v>240</v>
      </c>
      <c r="O293" s="363" t="s">
        <v>136</v>
      </c>
      <c r="P293" s="363">
        <v>2018</v>
      </c>
      <c r="Q293" s="432" t="s">
        <v>267</v>
      </c>
      <c r="R293" s="433" t="s">
        <v>268</v>
      </c>
      <c r="S293" s="448"/>
      <c r="T293" s="448"/>
      <c r="U293" s="363" t="s">
        <v>170</v>
      </c>
      <c r="V293" s="363"/>
      <c r="W293" s="363" t="s">
        <v>243</v>
      </c>
      <c r="X293" s="363">
        <v>2030</v>
      </c>
      <c r="Y293" s="448"/>
      <c r="Z293" s="363" t="str">
        <f>VLOOKUP(R293,KEY_Processes!$C$55:$E$130,3,FALSE)</f>
        <v>H_HEL_HTH01</v>
      </c>
      <c r="AA293" s="363" t="str">
        <f>VLOOKUP(R293,KEY_Processes!$C$55:$E$130,2,FALSE)</f>
        <v>H_DistrictHeating_HTH_LARGE</v>
      </c>
      <c r="AB293" s="363" t="str">
        <f>VLOOKUP(U293,KEY_FUELS!$C$4:$D$77,2,FALSE)</f>
        <v>HTH</v>
      </c>
      <c r="AC293" s="363" t="s">
        <v>150</v>
      </c>
      <c r="AD293" s="363" t="s">
        <v>244</v>
      </c>
      <c r="AE293" s="363" t="s">
        <v>152</v>
      </c>
      <c r="AF293" s="366" t="str">
        <f>VLOOKUP(W293,KEY_Other!$B$37:$C$89,2,FALSE)</f>
        <v>EUR</v>
      </c>
      <c r="AG293" s="363"/>
      <c r="AH293" s="363" t="str">
        <f>AC293&amp;VLOOKUP(U293,KEY_FUELS!$C$4:$D$78,2,FALSE)</f>
        <v>RSDHTH</v>
      </c>
      <c r="AI293" s="363" t="str">
        <f>IFERROR(AC293&amp;VLOOKUP(V293,KEY_FUELS!$C$4:$D$78,2,FALSE),"")</f>
        <v/>
      </c>
      <c r="AJ293" s="363" t="str">
        <f t="shared" si="78"/>
        <v>RHAP</v>
      </c>
      <c r="AK293" s="363" t="str">
        <f t="shared" si="79"/>
        <v/>
      </c>
      <c r="AL293" s="363" t="str">
        <f t="shared" si="80"/>
        <v/>
      </c>
      <c r="AM293" s="364">
        <v>31.536000000000001</v>
      </c>
      <c r="AN293" s="363">
        <v>2030</v>
      </c>
      <c r="AO293" s="434"/>
      <c r="AP293" s="435"/>
      <c r="AQ293" s="436"/>
      <c r="AR293" s="436"/>
      <c r="AS293" s="436"/>
      <c r="AT293" s="436"/>
      <c r="AU293" s="437"/>
      <c r="AV293" s="437"/>
      <c r="AW293" s="437"/>
      <c r="AX293" s="435"/>
      <c r="AY293" s="363"/>
      <c r="AZ293" s="437">
        <v>0.99</v>
      </c>
      <c r="BA293" s="435"/>
      <c r="BB293" s="435"/>
      <c r="BC293" s="439"/>
      <c r="BD293" s="374"/>
      <c r="BE293" s="374"/>
      <c r="BF293" s="449"/>
      <c r="BG293" s="363"/>
      <c r="BH293" s="439"/>
      <c r="BI293" s="363">
        <v>20</v>
      </c>
      <c r="BJ293" s="363"/>
      <c r="BK293" s="440">
        <v>50</v>
      </c>
      <c r="BL293" s="363"/>
      <c r="BM293" s="363"/>
      <c r="BN293" s="363"/>
      <c r="BO293" s="363"/>
      <c r="BP293" s="363"/>
      <c r="BQ293" s="363"/>
      <c r="BR293" s="441">
        <v>5</v>
      </c>
      <c r="BS293" s="363"/>
      <c r="BT293" s="442"/>
      <c r="BU293" s="442"/>
      <c r="BV293" s="442"/>
      <c r="BW293" s="442"/>
      <c r="BX293" s="443"/>
    </row>
    <row r="294" spans="1:76" x14ac:dyDescent="0.3">
      <c r="A294" s="88"/>
      <c r="B294" s="5"/>
      <c r="C294" s="5"/>
      <c r="D294" s="5"/>
      <c r="E294" s="5"/>
      <c r="F294" s="88"/>
      <c r="G294" s="5"/>
      <c r="H294" s="88"/>
      <c r="I294" s="88"/>
      <c r="J294" s="378" t="s">
        <v>238</v>
      </c>
      <c r="K294" s="379" t="s">
        <v>135</v>
      </c>
      <c r="L294" s="379"/>
      <c r="M294" s="379" t="s">
        <v>239</v>
      </c>
      <c r="N294" s="379" t="s">
        <v>240</v>
      </c>
      <c r="O294" s="379" t="s">
        <v>136</v>
      </c>
      <c r="P294" s="379">
        <v>2018</v>
      </c>
      <c r="Q294" s="420" t="s">
        <v>270</v>
      </c>
      <c r="R294" s="421" t="s">
        <v>271</v>
      </c>
      <c r="S294" s="446"/>
      <c r="T294" s="446"/>
      <c r="U294" s="379" t="s">
        <v>207</v>
      </c>
      <c r="V294" s="379"/>
      <c r="W294" s="379" t="s">
        <v>243</v>
      </c>
      <c r="X294" s="379">
        <v>2019</v>
      </c>
      <c r="Y294" s="446"/>
      <c r="Z294" s="379" t="str">
        <f>VLOOKUP(R294,KEY_Processes!$C$55:$E$130,3,FALSE)</f>
        <v>H_BL_GAS01</v>
      </c>
      <c r="AA294" s="379" t="str">
        <f>VLOOKUP(R294,KEY_Processes!$C$55:$E$130,2,FALSE)</f>
        <v>H_GasBoiler_GAS_LARGE</v>
      </c>
      <c r="AB294" s="379" t="str">
        <f>VLOOKUP(U294,KEY_FUELS!$C$4:$D$77,2,FALSE)</f>
        <v>GAS</v>
      </c>
      <c r="AC294" s="379" t="s">
        <v>150</v>
      </c>
      <c r="AD294" s="379" t="s">
        <v>244</v>
      </c>
      <c r="AE294" s="379" t="s">
        <v>152</v>
      </c>
      <c r="AF294" s="382" t="str">
        <f>VLOOKUP(W294,KEY_Other!$B$37:$C$89,2,FALSE)</f>
        <v>EUR</v>
      </c>
      <c r="AG294" s="379"/>
      <c r="AH294" s="379" t="str">
        <f>AC294&amp;VLOOKUP(U294,KEY_FUELS!$C$4:$D$78,2,FALSE)</f>
        <v>RSDGAS</v>
      </c>
      <c r="AI294" s="379" t="str">
        <f>IFERROR(AC294&amp;VLOOKUP(V294,KEY_FUELS!$C$4:$D$78,2,FALSE),"")</f>
        <v/>
      </c>
      <c r="AJ294" s="379" t="str">
        <f t="shared" si="78"/>
        <v>RHAP</v>
      </c>
      <c r="AK294" s="379" t="str">
        <f t="shared" si="79"/>
        <v/>
      </c>
      <c r="AL294" s="379" t="str">
        <f t="shared" si="80"/>
        <v/>
      </c>
      <c r="AM294" s="380">
        <v>31.536000000000001</v>
      </c>
      <c r="AN294" s="379">
        <v>2019</v>
      </c>
      <c r="AO294" s="422"/>
      <c r="AP294" s="423"/>
      <c r="AQ294" s="424"/>
      <c r="AR294" s="424"/>
      <c r="AS294" s="424"/>
      <c r="AT294" s="424"/>
      <c r="AU294" s="425"/>
      <c r="AV294" s="425"/>
      <c r="AW294" s="425"/>
      <c r="AX294" s="423"/>
      <c r="AY294" s="379"/>
      <c r="AZ294" s="425">
        <v>0.91</v>
      </c>
      <c r="BA294" s="423"/>
      <c r="BB294" s="423"/>
      <c r="BC294" s="427"/>
      <c r="BD294" s="390"/>
      <c r="BE294" s="390"/>
      <c r="BF294" s="447"/>
      <c r="BG294" s="379"/>
      <c r="BH294" s="427"/>
      <c r="BI294" s="379">
        <v>20</v>
      </c>
      <c r="BJ294" s="379"/>
      <c r="BK294" s="428">
        <v>44</v>
      </c>
      <c r="BL294" s="379"/>
      <c r="BM294" s="379"/>
      <c r="BN294" s="379"/>
      <c r="BO294" s="379"/>
      <c r="BP294" s="379"/>
      <c r="BQ294" s="379"/>
      <c r="BR294" s="429">
        <v>0.88</v>
      </c>
      <c r="BS294" s="379"/>
      <c r="BT294" s="430"/>
      <c r="BU294" s="430"/>
      <c r="BV294" s="430"/>
      <c r="BW294" s="430"/>
      <c r="BX294" s="431"/>
    </row>
    <row r="295" spans="1:76" x14ac:dyDescent="0.3">
      <c r="A295" s="88"/>
      <c r="B295" s="5"/>
      <c r="C295" s="5"/>
      <c r="D295" s="5"/>
      <c r="E295" s="5"/>
      <c r="F295" s="88"/>
      <c r="G295" s="5"/>
      <c r="H295" s="88"/>
      <c r="I295" s="88"/>
      <c r="J295" s="362" t="s">
        <v>238</v>
      </c>
      <c r="K295" s="363" t="s">
        <v>135</v>
      </c>
      <c r="L295" s="363"/>
      <c r="M295" s="363" t="s">
        <v>239</v>
      </c>
      <c r="N295" s="363" t="s">
        <v>240</v>
      </c>
      <c r="O295" s="363" t="s">
        <v>136</v>
      </c>
      <c r="P295" s="363">
        <v>2018</v>
      </c>
      <c r="Q295" s="432" t="s">
        <v>270</v>
      </c>
      <c r="R295" s="433" t="s">
        <v>271</v>
      </c>
      <c r="S295" s="448"/>
      <c r="T295" s="448"/>
      <c r="U295" s="363" t="s">
        <v>207</v>
      </c>
      <c r="V295" s="363"/>
      <c r="W295" s="363" t="s">
        <v>243</v>
      </c>
      <c r="X295" s="363">
        <v>2030</v>
      </c>
      <c r="Y295" s="448"/>
      <c r="Z295" s="363" t="str">
        <f>VLOOKUP(R295,KEY_Processes!$C$55:$E$130,3,FALSE)</f>
        <v>H_BL_GAS01</v>
      </c>
      <c r="AA295" s="363" t="str">
        <f>VLOOKUP(R295,KEY_Processes!$C$55:$E$130,2,FALSE)</f>
        <v>H_GasBoiler_GAS_LARGE</v>
      </c>
      <c r="AB295" s="363" t="str">
        <f>VLOOKUP(U295,KEY_FUELS!$C$4:$D$77,2,FALSE)</f>
        <v>GAS</v>
      </c>
      <c r="AC295" s="363" t="s">
        <v>150</v>
      </c>
      <c r="AD295" s="363" t="s">
        <v>244</v>
      </c>
      <c r="AE295" s="363" t="s">
        <v>152</v>
      </c>
      <c r="AF295" s="366" t="str">
        <f>VLOOKUP(W295,KEY_Other!$B$37:$C$89,2,FALSE)</f>
        <v>EUR</v>
      </c>
      <c r="AG295" s="363"/>
      <c r="AH295" s="363" t="str">
        <f>AC295&amp;VLOOKUP(U295,KEY_FUELS!$C$4:$D$78,2,FALSE)</f>
        <v>RSDGAS</v>
      </c>
      <c r="AI295" s="363" t="str">
        <f>IFERROR(AC295&amp;VLOOKUP(V295,KEY_FUELS!$C$4:$D$78,2,FALSE),"")</f>
        <v/>
      </c>
      <c r="AJ295" s="363" t="str">
        <f t="shared" si="78"/>
        <v>RHAP</v>
      </c>
      <c r="AK295" s="363" t="str">
        <f t="shared" si="79"/>
        <v/>
      </c>
      <c r="AL295" s="363" t="str">
        <f t="shared" si="80"/>
        <v/>
      </c>
      <c r="AM295" s="364">
        <v>31.536000000000001</v>
      </c>
      <c r="AN295" s="363">
        <v>2030</v>
      </c>
      <c r="AO295" s="434"/>
      <c r="AP295" s="435"/>
      <c r="AQ295" s="436"/>
      <c r="AR295" s="436"/>
      <c r="AS295" s="436"/>
      <c r="AT295" s="436"/>
      <c r="AU295" s="437"/>
      <c r="AV295" s="437"/>
      <c r="AW295" s="437"/>
      <c r="AX295" s="435"/>
      <c r="AY295" s="363"/>
      <c r="AZ295" s="437">
        <v>0.97</v>
      </c>
      <c r="BA295" s="435"/>
      <c r="BB295" s="435"/>
      <c r="BC295" s="439"/>
      <c r="BD295" s="374"/>
      <c r="BE295" s="374"/>
      <c r="BF295" s="449"/>
      <c r="BG295" s="363"/>
      <c r="BH295" s="439"/>
      <c r="BI295" s="363">
        <v>20</v>
      </c>
      <c r="BJ295" s="363"/>
      <c r="BK295" s="440">
        <v>70</v>
      </c>
      <c r="BL295" s="363"/>
      <c r="BM295" s="363"/>
      <c r="BN295" s="363"/>
      <c r="BO295" s="363"/>
      <c r="BP295" s="363"/>
      <c r="BQ295" s="363"/>
      <c r="BR295" s="441">
        <v>0.88</v>
      </c>
      <c r="BS295" s="363"/>
      <c r="BT295" s="442"/>
      <c r="BU295" s="442"/>
      <c r="BV295" s="442"/>
      <c r="BW295" s="442"/>
      <c r="BX295" s="443"/>
    </row>
    <row r="296" spans="1:76" x14ac:dyDescent="0.3">
      <c r="A296" s="88"/>
      <c r="B296" s="5"/>
      <c r="C296" s="5"/>
      <c r="D296" s="5"/>
      <c r="E296" s="5"/>
      <c r="F296" s="88"/>
      <c r="G296" s="5"/>
      <c r="H296" s="88"/>
      <c r="I296" s="88"/>
      <c r="J296" s="378" t="s">
        <v>238</v>
      </c>
      <c r="K296" s="379" t="s">
        <v>135</v>
      </c>
      <c r="L296" s="379"/>
      <c r="M296" s="379" t="s">
        <v>239</v>
      </c>
      <c r="N296" s="379" t="s">
        <v>240</v>
      </c>
      <c r="O296" s="379" t="s">
        <v>136</v>
      </c>
      <c r="P296" s="379">
        <v>2018</v>
      </c>
      <c r="Q296" s="420" t="s">
        <v>270</v>
      </c>
      <c r="R296" s="421" t="s">
        <v>272</v>
      </c>
      <c r="S296" s="446"/>
      <c r="T296" s="446"/>
      <c r="U296" s="379" t="s">
        <v>207</v>
      </c>
      <c r="V296" s="379"/>
      <c r="W296" s="379" t="s">
        <v>243</v>
      </c>
      <c r="X296" s="379">
        <v>2019</v>
      </c>
      <c r="Y296" s="446"/>
      <c r="Z296" s="379" t="str">
        <f>VLOOKUP(R296,KEY_Processes!$C$55:$E$130,3,FALSE)</f>
        <v>HW_BL_GAS01</v>
      </c>
      <c r="AA296" s="379" t="str">
        <f>VLOOKUP(R296,KEY_Processes!$C$55:$E$130,2,FALSE)</f>
        <v>HW_GasBoiler_GAS_LARGE</v>
      </c>
      <c r="AB296" s="379" t="str">
        <f>VLOOKUP(U296,KEY_FUELS!$C$4:$D$77,2,FALSE)</f>
        <v>GAS</v>
      </c>
      <c r="AC296" s="379" t="s">
        <v>150</v>
      </c>
      <c r="AD296" s="379" t="s">
        <v>244</v>
      </c>
      <c r="AE296" s="379" t="s">
        <v>152</v>
      </c>
      <c r="AF296" s="382" t="str">
        <f>VLOOKUP(W296,KEY_Other!$B$37:$C$89,2,FALSE)</f>
        <v>EUR</v>
      </c>
      <c r="AG296" s="379"/>
      <c r="AH296" s="379" t="str">
        <f>AC296&amp;VLOOKUP(U296,KEY_FUELS!$C$4:$D$78,2,FALSE)</f>
        <v>RSDGAS</v>
      </c>
      <c r="AI296" s="379" t="str">
        <f>IFERROR(AC296&amp;VLOOKUP(V296,KEY_FUELS!$C$4:$D$78,2,FALSE),"")</f>
        <v/>
      </c>
      <c r="AJ296" s="379" t="str">
        <f t="shared" si="78"/>
        <v>RHAP</v>
      </c>
      <c r="AK296" s="379" t="str">
        <f t="shared" si="79"/>
        <v>RWAP</v>
      </c>
      <c r="AL296" s="379" t="str">
        <f t="shared" si="80"/>
        <v/>
      </c>
      <c r="AM296" s="380">
        <v>31.536000000000001</v>
      </c>
      <c r="AN296" s="379">
        <v>2019</v>
      </c>
      <c r="AO296" s="422">
        <v>1</v>
      </c>
      <c r="AP296" s="423"/>
      <c r="AQ296" s="424"/>
      <c r="AR296" s="424"/>
      <c r="AS296" s="424"/>
      <c r="AT296" s="424" t="s">
        <v>161</v>
      </c>
      <c r="AU296" s="386">
        <v>0.48</v>
      </c>
      <c r="AV296" s="425"/>
      <c r="AW296" s="425"/>
      <c r="AX296" s="423"/>
      <c r="AY296" s="379"/>
      <c r="AZ296" s="425">
        <v>0.91</v>
      </c>
      <c r="BA296" s="423"/>
      <c r="BB296" s="423"/>
      <c r="BC296" s="427"/>
      <c r="BD296" s="390"/>
      <c r="BE296" s="390"/>
      <c r="BF296" s="447"/>
      <c r="BG296" s="379"/>
      <c r="BH296" s="427"/>
      <c r="BI296" s="379">
        <v>20</v>
      </c>
      <c r="BJ296" s="379"/>
      <c r="BK296" s="428">
        <v>80</v>
      </c>
      <c r="BL296" s="379"/>
      <c r="BM296" s="379"/>
      <c r="BN296" s="379"/>
      <c r="BO296" s="379"/>
      <c r="BP296" s="379"/>
      <c r="BQ296" s="379"/>
      <c r="BR296" s="429">
        <v>0.88</v>
      </c>
      <c r="BS296" s="379"/>
      <c r="BT296" s="430"/>
      <c r="BU296" s="430"/>
      <c r="BV296" s="430"/>
      <c r="BW296" s="430"/>
      <c r="BX296" s="431"/>
    </row>
    <row r="297" spans="1:76" x14ac:dyDescent="0.3">
      <c r="A297" s="88"/>
      <c r="B297" s="5"/>
      <c r="C297" s="5"/>
      <c r="D297" s="5"/>
      <c r="E297" s="5"/>
      <c r="F297" s="88"/>
      <c r="G297" s="5"/>
      <c r="H297" s="88"/>
      <c r="I297" s="88"/>
      <c r="J297" s="362" t="s">
        <v>238</v>
      </c>
      <c r="K297" s="363" t="s">
        <v>135</v>
      </c>
      <c r="L297" s="363"/>
      <c r="M297" s="363" t="s">
        <v>239</v>
      </c>
      <c r="N297" s="363" t="s">
        <v>240</v>
      </c>
      <c r="O297" s="363" t="s">
        <v>136</v>
      </c>
      <c r="P297" s="363">
        <v>2018</v>
      </c>
      <c r="Q297" s="432" t="s">
        <v>270</v>
      </c>
      <c r="R297" s="433" t="s">
        <v>272</v>
      </c>
      <c r="S297" s="448"/>
      <c r="T297" s="448"/>
      <c r="U297" s="363" t="s">
        <v>207</v>
      </c>
      <c r="V297" s="363"/>
      <c r="W297" s="363" t="s">
        <v>243</v>
      </c>
      <c r="X297" s="363">
        <v>2019</v>
      </c>
      <c r="Y297" s="448"/>
      <c r="Z297" s="363" t="str">
        <f>VLOOKUP(R297,KEY_Processes!$C$55:$E$130,3,FALSE)</f>
        <v>HW_BL_GAS01</v>
      </c>
      <c r="AA297" s="363" t="str">
        <f>VLOOKUP(R297,KEY_Processes!$C$55:$E$130,2,FALSE)</f>
        <v>HW_GasBoiler_GAS_LARGE</v>
      </c>
      <c r="AB297" s="363" t="str">
        <f>VLOOKUP(U297,KEY_FUELS!$C$4:$D$77,2,FALSE)</f>
        <v>GAS</v>
      </c>
      <c r="AC297" s="363" t="s">
        <v>150</v>
      </c>
      <c r="AD297" s="363" t="s">
        <v>244</v>
      </c>
      <c r="AE297" s="363" t="s">
        <v>152</v>
      </c>
      <c r="AF297" s="366" t="str">
        <f>VLOOKUP(W297,KEY_Other!$B$37:$C$89,2,FALSE)</f>
        <v>EUR</v>
      </c>
      <c r="AG297" s="363"/>
      <c r="AH297" s="363" t="str">
        <f>AC297&amp;VLOOKUP(U297,KEY_FUELS!$C$4:$D$78,2,FALSE)</f>
        <v>RSDGAS</v>
      </c>
      <c r="AI297" s="363" t="str">
        <f>IFERROR(AC297&amp;VLOOKUP(V297,KEY_FUELS!$C$4:$D$78,2,FALSE),"")</f>
        <v/>
      </c>
      <c r="AJ297" s="363" t="str">
        <f t="shared" ref="AJ297:AJ298" si="95">LEFT(AC297,1)&amp;LEFT(AA297,1)&amp;AD297</f>
        <v>RHAP</v>
      </c>
      <c r="AK297" s="363" t="str">
        <f t="shared" si="79"/>
        <v>RWAP</v>
      </c>
      <c r="AL297" s="363" t="str">
        <f t="shared" si="80"/>
        <v/>
      </c>
      <c r="AM297" s="364">
        <v>31.536000000000001</v>
      </c>
      <c r="AN297" s="363">
        <v>2019</v>
      </c>
      <c r="AO297" s="434">
        <v>1</v>
      </c>
      <c r="AP297" s="435"/>
      <c r="AQ297" s="436"/>
      <c r="AR297" s="436"/>
      <c r="AS297" s="436"/>
      <c r="AT297" s="436" t="s">
        <v>248</v>
      </c>
      <c r="AU297" s="370">
        <v>0.55000000000000004</v>
      </c>
      <c r="AV297" s="437"/>
      <c r="AW297" s="437"/>
      <c r="AX297" s="435"/>
      <c r="AY297" s="363"/>
      <c r="AZ297" s="437">
        <v>0.91</v>
      </c>
      <c r="BA297" s="435"/>
      <c r="BB297" s="435"/>
      <c r="BC297" s="439"/>
      <c r="BD297" s="374"/>
      <c r="BE297" s="374"/>
      <c r="BF297" s="449"/>
      <c r="BG297" s="363"/>
      <c r="BH297" s="439"/>
      <c r="BI297" s="363">
        <v>20</v>
      </c>
      <c r="BJ297" s="363"/>
      <c r="BK297" s="440">
        <v>80</v>
      </c>
      <c r="BL297" s="363"/>
      <c r="BM297" s="363"/>
      <c r="BN297" s="363"/>
      <c r="BO297" s="363"/>
      <c r="BP297" s="363"/>
      <c r="BQ297" s="363"/>
      <c r="BR297" s="441">
        <v>0.88</v>
      </c>
      <c r="BS297" s="363"/>
      <c r="BT297" s="442"/>
      <c r="BU297" s="442"/>
      <c r="BV297" s="442"/>
      <c r="BW297" s="442"/>
      <c r="BX297" s="443"/>
    </row>
    <row r="298" spans="1:76" x14ac:dyDescent="0.3">
      <c r="A298" s="88"/>
      <c r="B298" s="5"/>
      <c r="C298" s="5"/>
      <c r="D298" s="5"/>
      <c r="E298" s="5"/>
      <c r="F298" s="88"/>
      <c r="G298" s="5"/>
      <c r="H298" s="88"/>
      <c r="I298" s="88"/>
      <c r="J298" s="378" t="s">
        <v>238</v>
      </c>
      <c r="K298" s="379" t="s">
        <v>135</v>
      </c>
      <c r="L298" s="379"/>
      <c r="M298" s="379" t="s">
        <v>239</v>
      </c>
      <c r="N298" s="379" t="s">
        <v>240</v>
      </c>
      <c r="O298" s="379" t="s">
        <v>136</v>
      </c>
      <c r="P298" s="379">
        <v>2018</v>
      </c>
      <c r="Q298" s="420" t="s">
        <v>270</v>
      </c>
      <c r="R298" s="421" t="s">
        <v>272</v>
      </c>
      <c r="S298" s="446"/>
      <c r="T298" s="446"/>
      <c r="U298" s="379" t="s">
        <v>207</v>
      </c>
      <c r="V298" s="379"/>
      <c r="W298" s="379" t="s">
        <v>243</v>
      </c>
      <c r="X298" s="379">
        <v>2019</v>
      </c>
      <c r="Y298" s="446"/>
      <c r="Z298" s="379" t="str">
        <f>VLOOKUP(R298,KEY_Processes!$C$55:$E$130,3,FALSE)</f>
        <v>HW_BL_GAS01</v>
      </c>
      <c r="AA298" s="379" t="str">
        <f>VLOOKUP(R298,KEY_Processes!$C$55:$E$130,2,FALSE)</f>
        <v>HW_GasBoiler_GAS_LARGE</v>
      </c>
      <c r="AB298" s="379" t="str">
        <f>VLOOKUP(U298,KEY_FUELS!$C$4:$D$77,2,FALSE)</f>
        <v>GAS</v>
      </c>
      <c r="AC298" s="379" t="s">
        <v>150</v>
      </c>
      <c r="AD298" s="379" t="s">
        <v>244</v>
      </c>
      <c r="AE298" s="379" t="s">
        <v>152</v>
      </c>
      <c r="AF298" s="382" t="str">
        <f>VLOOKUP(W298,KEY_Other!$B$37:$C$89,2,FALSE)</f>
        <v>EUR</v>
      </c>
      <c r="AG298" s="379"/>
      <c r="AH298" s="379" t="str">
        <f>AC298&amp;VLOOKUP(U298,KEY_FUELS!$C$4:$D$78,2,FALSE)</f>
        <v>RSDGAS</v>
      </c>
      <c r="AI298" s="379" t="str">
        <f>IFERROR(AC298&amp;VLOOKUP(V298,KEY_FUELS!$C$4:$D$78,2,FALSE),"")</f>
        <v/>
      </c>
      <c r="AJ298" s="379" t="str">
        <f t="shared" si="95"/>
        <v>RHAP</v>
      </c>
      <c r="AK298" s="379" t="str">
        <f t="shared" si="79"/>
        <v>RWAP</v>
      </c>
      <c r="AL298" s="379" t="str">
        <f t="shared" si="80"/>
        <v/>
      </c>
      <c r="AM298" s="380">
        <v>31.536000000000001</v>
      </c>
      <c r="AN298" s="379">
        <v>2019</v>
      </c>
      <c r="AO298" s="422">
        <v>1</v>
      </c>
      <c r="AP298" s="423"/>
      <c r="AQ298" s="424"/>
      <c r="AR298" s="424"/>
      <c r="AS298" s="424"/>
      <c r="AT298" s="424" t="s">
        <v>158</v>
      </c>
      <c r="AU298" s="386">
        <v>0.63</v>
      </c>
      <c r="AV298" s="425"/>
      <c r="AW298" s="425"/>
      <c r="AX298" s="423"/>
      <c r="AY298" s="379"/>
      <c r="AZ298" s="425">
        <v>0.91</v>
      </c>
      <c r="BA298" s="423"/>
      <c r="BB298" s="423"/>
      <c r="BC298" s="427"/>
      <c r="BD298" s="390"/>
      <c r="BE298" s="390"/>
      <c r="BF298" s="447"/>
      <c r="BG298" s="379"/>
      <c r="BH298" s="427"/>
      <c r="BI298" s="379">
        <v>20</v>
      </c>
      <c r="BJ298" s="379"/>
      <c r="BK298" s="428">
        <v>80</v>
      </c>
      <c r="BL298" s="379"/>
      <c r="BM298" s="379"/>
      <c r="BN298" s="379"/>
      <c r="BO298" s="379"/>
      <c r="BP298" s="379"/>
      <c r="BQ298" s="379"/>
      <c r="BR298" s="429">
        <v>0.88</v>
      </c>
      <c r="BS298" s="379"/>
      <c r="BT298" s="430"/>
      <c r="BU298" s="430"/>
      <c r="BV298" s="430"/>
      <c r="BW298" s="430"/>
      <c r="BX298" s="431"/>
    </row>
    <row r="299" spans="1:76" x14ac:dyDescent="0.3">
      <c r="A299" s="88"/>
      <c r="B299" s="5"/>
      <c r="C299" s="5"/>
      <c r="D299" s="5"/>
      <c r="E299" s="5"/>
      <c r="F299" s="88"/>
      <c r="G299" s="5"/>
      <c r="H299" s="88"/>
      <c r="I299" s="88"/>
      <c r="J299" s="362" t="s">
        <v>238</v>
      </c>
      <c r="K299" s="363" t="s">
        <v>135</v>
      </c>
      <c r="L299" s="363"/>
      <c r="M299" s="363" t="s">
        <v>239</v>
      </c>
      <c r="N299" s="363" t="s">
        <v>240</v>
      </c>
      <c r="O299" s="363" t="s">
        <v>136</v>
      </c>
      <c r="P299" s="363">
        <v>2018</v>
      </c>
      <c r="Q299" s="432" t="s">
        <v>270</v>
      </c>
      <c r="R299" s="433" t="s">
        <v>272</v>
      </c>
      <c r="S299" s="448"/>
      <c r="T299" s="448"/>
      <c r="U299" s="363" t="s">
        <v>207</v>
      </c>
      <c r="V299" s="363"/>
      <c r="W299" s="363" t="s">
        <v>243</v>
      </c>
      <c r="X299" s="363">
        <v>2019</v>
      </c>
      <c r="Y299" s="448"/>
      <c r="Z299" s="363" t="str">
        <f>VLOOKUP(R299,KEY_Processes!$C$55:$E$130,3,FALSE)</f>
        <v>HW_BL_GAS01</v>
      </c>
      <c r="AA299" s="363" t="str">
        <f>VLOOKUP(R299,KEY_Processes!$C$55:$E$130,2,FALSE)</f>
        <v>HW_GasBoiler_GAS_LARGE</v>
      </c>
      <c r="AB299" s="363" t="str">
        <f>VLOOKUP(U299,KEY_FUELS!$C$4:$D$77,2,FALSE)</f>
        <v>GAS</v>
      </c>
      <c r="AC299" s="363" t="s">
        <v>150</v>
      </c>
      <c r="AD299" s="363" t="s">
        <v>244</v>
      </c>
      <c r="AE299" s="363" t="s">
        <v>152</v>
      </c>
      <c r="AF299" s="366" t="str">
        <f>VLOOKUP(W299,KEY_Other!$B$37:$C$89,2,FALSE)</f>
        <v>EUR</v>
      </c>
      <c r="AG299" s="363"/>
      <c r="AH299" s="363" t="str">
        <f>AC299&amp;VLOOKUP(U299,KEY_FUELS!$C$4:$D$78,2,FALSE)</f>
        <v>RSDGAS</v>
      </c>
      <c r="AI299" s="363" t="str">
        <f>IFERROR(AC299&amp;VLOOKUP(V299,KEY_FUELS!$C$4:$D$78,2,FALSE),"")</f>
        <v/>
      </c>
      <c r="AJ299" s="363" t="str">
        <f t="shared" ref="AJ299" si="96">LEFT(AC299,1)&amp;LEFT(AA299,1)&amp;AD299</f>
        <v>RHAP</v>
      </c>
      <c r="AK299" s="363" t="str">
        <f t="shared" si="79"/>
        <v>RWAP</v>
      </c>
      <c r="AL299" s="363" t="str">
        <f t="shared" si="80"/>
        <v/>
      </c>
      <c r="AM299" s="364">
        <v>31.536000000000001</v>
      </c>
      <c r="AN299" s="363">
        <v>2019</v>
      </c>
      <c r="AO299" s="434">
        <v>1</v>
      </c>
      <c r="AP299" s="435"/>
      <c r="AQ299" s="436"/>
      <c r="AR299" s="436"/>
      <c r="AS299" s="436"/>
      <c r="AT299" s="436" t="s">
        <v>249</v>
      </c>
      <c r="AU299" s="437">
        <v>0.72</v>
      </c>
      <c r="AV299" s="437"/>
      <c r="AW299" s="437"/>
      <c r="AX299" s="435"/>
      <c r="AY299" s="363"/>
      <c r="AZ299" s="437">
        <v>0.91</v>
      </c>
      <c r="BA299" s="435"/>
      <c r="BB299" s="435"/>
      <c r="BC299" s="439"/>
      <c r="BD299" s="374"/>
      <c r="BE299" s="374"/>
      <c r="BF299" s="449"/>
      <c r="BG299" s="363"/>
      <c r="BH299" s="439"/>
      <c r="BI299" s="363">
        <v>20</v>
      </c>
      <c r="BJ299" s="363"/>
      <c r="BK299" s="440">
        <v>80</v>
      </c>
      <c r="BL299" s="363"/>
      <c r="BM299" s="363"/>
      <c r="BN299" s="363"/>
      <c r="BO299" s="363"/>
      <c r="BP299" s="363"/>
      <c r="BQ299" s="363"/>
      <c r="BR299" s="441">
        <v>0.88</v>
      </c>
      <c r="BS299" s="363"/>
      <c r="BT299" s="442"/>
      <c r="BU299" s="442"/>
      <c r="BV299" s="442"/>
      <c r="BW299" s="442"/>
      <c r="BX299" s="443"/>
    </row>
    <row r="300" spans="1:76" x14ac:dyDescent="0.3">
      <c r="A300" s="88"/>
      <c r="B300" s="5"/>
      <c r="C300" s="5"/>
      <c r="D300" s="5"/>
      <c r="E300" s="5"/>
      <c r="F300" s="88"/>
      <c r="G300" s="5"/>
      <c r="H300" s="88"/>
      <c r="I300" s="88"/>
      <c r="J300" s="378" t="s">
        <v>238</v>
      </c>
      <c r="K300" s="379" t="s">
        <v>135</v>
      </c>
      <c r="L300" s="379"/>
      <c r="M300" s="379" t="s">
        <v>239</v>
      </c>
      <c r="N300" s="379" t="s">
        <v>240</v>
      </c>
      <c r="O300" s="379" t="s">
        <v>136</v>
      </c>
      <c r="P300" s="379">
        <v>2018</v>
      </c>
      <c r="Q300" s="420" t="s">
        <v>270</v>
      </c>
      <c r="R300" s="421" t="s">
        <v>272</v>
      </c>
      <c r="S300" s="446"/>
      <c r="T300" s="446"/>
      <c r="U300" s="379" t="s">
        <v>207</v>
      </c>
      <c r="V300" s="379"/>
      <c r="W300" s="379" t="s">
        <v>243</v>
      </c>
      <c r="X300" s="379">
        <v>2030</v>
      </c>
      <c r="Y300" s="446"/>
      <c r="Z300" s="379" t="str">
        <f>VLOOKUP(R300,KEY_Processes!$C$55:$E$130,3,FALSE)</f>
        <v>HW_BL_GAS01</v>
      </c>
      <c r="AA300" s="379" t="str">
        <f>VLOOKUP(R300,KEY_Processes!$C$55:$E$130,2,FALSE)</f>
        <v>HW_GasBoiler_GAS_LARGE</v>
      </c>
      <c r="AB300" s="379" t="str">
        <f>VLOOKUP(U300,KEY_FUELS!$C$4:$D$77,2,FALSE)</f>
        <v>GAS</v>
      </c>
      <c r="AC300" s="379" t="s">
        <v>150</v>
      </c>
      <c r="AD300" s="379" t="s">
        <v>244</v>
      </c>
      <c r="AE300" s="379" t="s">
        <v>152</v>
      </c>
      <c r="AF300" s="382" t="str">
        <f>VLOOKUP(W300,KEY_Other!$B$37:$C$89,2,FALSE)</f>
        <v>EUR</v>
      </c>
      <c r="AG300" s="379"/>
      <c r="AH300" s="379" t="str">
        <f>AC300&amp;VLOOKUP(U300,KEY_FUELS!$C$4:$D$78,2,FALSE)</f>
        <v>RSDGAS</v>
      </c>
      <c r="AI300" s="379" t="str">
        <f>IFERROR(AC300&amp;VLOOKUP(V300,KEY_FUELS!$C$4:$D$78,2,FALSE),"")</f>
        <v/>
      </c>
      <c r="AJ300" s="379" t="str">
        <f t="shared" si="78"/>
        <v>RHAP</v>
      </c>
      <c r="AK300" s="379" t="str">
        <f t="shared" si="79"/>
        <v>RWAP</v>
      </c>
      <c r="AL300" s="379" t="str">
        <f t="shared" si="80"/>
        <v/>
      </c>
      <c r="AM300" s="380">
        <v>31.536000000000001</v>
      </c>
      <c r="AN300" s="379">
        <v>2030</v>
      </c>
      <c r="AO300" s="450"/>
      <c r="AP300" s="451"/>
      <c r="AQ300" s="424"/>
      <c r="AR300" s="424"/>
      <c r="AS300" s="424"/>
      <c r="AT300" s="424"/>
      <c r="AU300" s="425"/>
      <c r="AV300" s="425"/>
      <c r="AW300" s="425"/>
      <c r="AX300" s="423"/>
      <c r="AY300" s="379"/>
      <c r="AZ300" s="425">
        <v>0.97</v>
      </c>
      <c r="BA300" s="423"/>
      <c r="BB300" s="423"/>
      <c r="BC300" s="427"/>
      <c r="BD300" s="390"/>
      <c r="BE300" s="390"/>
      <c r="BF300" s="447"/>
      <c r="BG300" s="379"/>
      <c r="BH300" s="427"/>
      <c r="BI300" s="379">
        <v>20</v>
      </c>
      <c r="BJ300" s="379"/>
      <c r="BK300" s="428">
        <v>120</v>
      </c>
      <c r="BL300" s="379"/>
      <c r="BM300" s="379"/>
      <c r="BN300" s="379"/>
      <c r="BO300" s="379"/>
      <c r="BP300" s="379"/>
      <c r="BQ300" s="379"/>
      <c r="BR300" s="429">
        <v>0.88</v>
      </c>
      <c r="BS300" s="379"/>
      <c r="BT300" s="430"/>
      <c r="BU300" s="430"/>
      <c r="BV300" s="430"/>
      <c r="BW300" s="430"/>
      <c r="BX300" s="431"/>
    </row>
    <row r="301" spans="1:76" x14ac:dyDescent="0.3">
      <c r="A301" s="88"/>
      <c r="B301" s="5"/>
      <c r="C301" s="5"/>
      <c r="D301" s="5"/>
      <c r="E301" s="5"/>
      <c r="F301" s="88"/>
      <c r="G301" s="5"/>
      <c r="H301" s="88"/>
      <c r="I301" s="88"/>
      <c r="J301" s="362" t="s">
        <v>238</v>
      </c>
      <c r="K301" s="363" t="s">
        <v>135</v>
      </c>
      <c r="L301" s="363"/>
      <c r="M301" s="363" t="s">
        <v>239</v>
      </c>
      <c r="N301" s="363" t="s">
        <v>240</v>
      </c>
      <c r="O301" s="363" t="s">
        <v>136</v>
      </c>
      <c r="P301" s="363">
        <v>2018</v>
      </c>
      <c r="Q301" s="432" t="s">
        <v>273</v>
      </c>
      <c r="R301" s="433" t="s">
        <v>274</v>
      </c>
      <c r="S301" s="448"/>
      <c r="T301" s="448"/>
      <c r="U301" s="363" t="s">
        <v>207</v>
      </c>
      <c r="V301" s="363"/>
      <c r="W301" s="363" t="s">
        <v>243</v>
      </c>
      <c r="X301" s="363">
        <v>2019</v>
      </c>
      <c r="Y301" s="448"/>
      <c r="Z301" s="363" t="str">
        <f>VLOOKUP(R301,KEY_Processes!$C$55:$E$130,3,FALSE)</f>
        <v>W_FL_GAS01</v>
      </c>
      <c r="AA301" s="363" t="str">
        <f>VLOOKUP(R301,KEY_Processes!$C$55:$E$130,2,FALSE)</f>
        <v>W_GasFurnace_GAS_LARGE</v>
      </c>
      <c r="AB301" s="363" t="str">
        <f>VLOOKUP(U301,KEY_FUELS!$C$4:$D$77,2,FALSE)</f>
        <v>GAS</v>
      </c>
      <c r="AC301" s="363" t="s">
        <v>150</v>
      </c>
      <c r="AD301" s="363" t="s">
        <v>244</v>
      </c>
      <c r="AE301" s="363" t="s">
        <v>152</v>
      </c>
      <c r="AF301" s="366" t="str">
        <f>VLOOKUP(W301,KEY_Other!$B$37:$C$89,2,FALSE)</f>
        <v>EUR</v>
      </c>
      <c r="AG301" s="363"/>
      <c r="AH301" s="363" t="str">
        <f>AC301&amp;VLOOKUP(U301,KEY_FUELS!$C$4:$D$78,2,FALSE)</f>
        <v>RSDGAS</v>
      </c>
      <c r="AI301" s="363" t="str">
        <f>IFERROR(AC301&amp;VLOOKUP(V301,KEY_FUELS!$C$4:$D$78,2,FALSE),"")</f>
        <v/>
      </c>
      <c r="AJ301" s="363" t="str">
        <f t="shared" si="78"/>
        <v>RWAP</v>
      </c>
      <c r="AK301" s="363" t="str">
        <f t="shared" si="79"/>
        <v/>
      </c>
      <c r="AL301" s="363" t="str">
        <f t="shared" si="80"/>
        <v/>
      </c>
      <c r="AM301" s="364">
        <v>31.536000000000001</v>
      </c>
      <c r="AN301" s="363">
        <v>2019</v>
      </c>
      <c r="AO301" s="452"/>
      <c r="AP301" s="453"/>
      <c r="AQ301" s="436"/>
      <c r="AR301" s="436"/>
      <c r="AS301" s="436"/>
      <c r="AT301" s="436"/>
      <c r="AU301" s="444"/>
      <c r="AV301" s="444"/>
      <c r="AW301" s="444"/>
      <c r="AX301" s="435"/>
      <c r="AY301" s="363"/>
      <c r="AZ301" s="437">
        <v>0.8</v>
      </c>
      <c r="BA301" s="435"/>
      <c r="BB301" s="435"/>
      <c r="BC301" s="439"/>
      <c r="BD301" s="374"/>
      <c r="BE301" s="374"/>
      <c r="BF301" s="449"/>
      <c r="BG301" s="363"/>
      <c r="BH301" s="439"/>
      <c r="BI301" s="363">
        <v>20</v>
      </c>
      <c r="BJ301" s="363"/>
      <c r="BK301" s="440">
        <v>25</v>
      </c>
      <c r="BL301" s="363"/>
      <c r="BM301" s="363"/>
      <c r="BN301" s="363"/>
      <c r="BO301" s="363"/>
      <c r="BP301" s="363"/>
      <c r="BQ301" s="363"/>
      <c r="BR301" s="441">
        <v>1.1127272727272728</v>
      </c>
      <c r="BS301" s="363"/>
      <c r="BT301" s="442"/>
      <c r="BU301" s="442"/>
      <c r="BV301" s="442"/>
      <c r="BW301" s="442"/>
      <c r="BX301" s="443"/>
    </row>
    <row r="302" spans="1:76" x14ac:dyDescent="0.3">
      <c r="A302" s="88"/>
      <c r="B302" s="5"/>
      <c r="C302" s="5"/>
      <c r="D302" s="5"/>
      <c r="E302" s="5"/>
      <c r="F302" s="88"/>
      <c r="G302" s="5"/>
      <c r="H302" s="88"/>
      <c r="I302" s="88"/>
      <c r="J302" s="378" t="s">
        <v>238</v>
      </c>
      <c r="K302" s="379" t="s">
        <v>135</v>
      </c>
      <c r="L302" s="379"/>
      <c r="M302" s="379" t="s">
        <v>239</v>
      </c>
      <c r="N302" s="379" t="s">
        <v>240</v>
      </c>
      <c r="O302" s="379" t="s">
        <v>136</v>
      </c>
      <c r="P302" s="379">
        <v>2018</v>
      </c>
      <c r="Q302" s="420" t="s">
        <v>273</v>
      </c>
      <c r="R302" s="421" t="s">
        <v>274</v>
      </c>
      <c r="S302" s="446"/>
      <c r="T302" s="446"/>
      <c r="U302" s="379" t="s">
        <v>207</v>
      </c>
      <c r="V302" s="379"/>
      <c r="W302" s="379" t="s">
        <v>243</v>
      </c>
      <c r="X302" s="379">
        <v>2030</v>
      </c>
      <c r="Y302" s="446"/>
      <c r="Z302" s="379" t="str">
        <f>VLOOKUP(R302,KEY_Processes!$C$55:$E$130,3,FALSE)</f>
        <v>W_FL_GAS01</v>
      </c>
      <c r="AA302" s="379" t="str">
        <f>VLOOKUP(R302,KEY_Processes!$C$55:$E$130,2,FALSE)</f>
        <v>W_GasFurnace_GAS_LARGE</v>
      </c>
      <c r="AB302" s="379" t="str">
        <f>VLOOKUP(U302,KEY_FUELS!$C$4:$D$77,2,FALSE)</f>
        <v>GAS</v>
      </c>
      <c r="AC302" s="379" t="s">
        <v>150</v>
      </c>
      <c r="AD302" s="379" t="s">
        <v>244</v>
      </c>
      <c r="AE302" s="379" t="s">
        <v>152</v>
      </c>
      <c r="AF302" s="382" t="str">
        <f>VLOOKUP(W302,KEY_Other!$B$37:$C$89,2,FALSE)</f>
        <v>EUR</v>
      </c>
      <c r="AG302" s="379"/>
      <c r="AH302" s="379" t="str">
        <f>AC302&amp;VLOOKUP(U302,KEY_FUELS!$C$4:$D$78,2,FALSE)</f>
        <v>RSDGAS</v>
      </c>
      <c r="AI302" s="379" t="str">
        <f>IFERROR(AC302&amp;VLOOKUP(V302,KEY_FUELS!$C$4:$D$78,2,FALSE),"")</f>
        <v/>
      </c>
      <c r="AJ302" s="379" t="str">
        <f t="shared" si="78"/>
        <v>RWAP</v>
      </c>
      <c r="AK302" s="379" t="str">
        <f t="shared" si="79"/>
        <v/>
      </c>
      <c r="AL302" s="379" t="str">
        <f t="shared" si="80"/>
        <v/>
      </c>
      <c r="AM302" s="380">
        <v>31.536000000000001</v>
      </c>
      <c r="AN302" s="379">
        <v>2030</v>
      </c>
      <c r="AO302" s="450"/>
      <c r="AP302" s="451"/>
      <c r="AQ302" s="424"/>
      <c r="AR302" s="424"/>
      <c r="AS302" s="424"/>
      <c r="AT302" s="424"/>
      <c r="AU302" s="454"/>
      <c r="AV302" s="454"/>
      <c r="AW302" s="454"/>
      <c r="AX302" s="423"/>
      <c r="AY302" s="379"/>
      <c r="AZ302" s="425">
        <v>0.9</v>
      </c>
      <c r="BA302" s="423"/>
      <c r="BB302" s="423"/>
      <c r="BC302" s="427"/>
      <c r="BD302" s="390"/>
      <c r="BE302" s="390"/>
      <c r="BF302" s="447"/>
      <c r="BG302" s="379"/>
      <c r="BH302" s="427"/>
      <c r="BI302" s="379">
        <v>20</v>
      </c>
      <c r="BJ302" s="379"/>
      <c r="BK302" s="428">
        <v>35</v>
      </c>
      <c r="BL302" s="379"/>
      <c r="BM302" s="379"/>
      <c r="BN302" s="379"/>
      <c r="BO302" s="379"/>
      <c r="BP302" s="379"/>
      <c r="BQ302" s="379"/>
      <c r="BR302" s="429">
        <v>1.1127272727272728</v>
      </c>
      <c r="BS302" s="379"/>
      <c r="BT302" s="430"/>
      <c r="BU302" s="430"/>
      <c r="BV302" s="430"/>
      <c r="BW302" s="430"/>
      <c r="BX302" s="431"/>
    </row>
    <row r="303" spans="1:76" x14ac:dyDescent="0.3">
      <c r="A303" s="88"/>
      <c r="B303" s="5"/>
      <c r="C303" s="5"/>
      <c r="D303" s="5"/>
      <c r="E303" s="5"/>
      <c r="F303" s="88"/>
      <c r="G303" s="5"/>
      <c r="H303" s="88"/>
      <c r="I303" s="88"/>
      <c r="J303" s="362" t="s">
        <v>238</v>
      </c>
      <c r="K303" s="363" t="s">
        <v>135</v>
      </c>
      <c r="L303" s="363"/>
      <c r="M303" s="363" t="s">
        <v>239</v>
      </c>
      <c r="N303" s="363" t="s">
        <v>240</v>
      </c>
      <c r="O303" s="363" t="s">
        <v>136</v>
      </c>
      <c r="P303" s="363">
        <v>2018</v>
      </c>
      <c r="Q303" s="432" t="s">
        <v>273</v>
      </c>
      <c r="R303" s="433" t="s">
        <v>275</v>
      </c>
      <c r="S303" s="448"/>
      <c r="T303" s="448"/>
      <c r="U303" s="363" t="s">
        <v>207</v>
      </c>
      <c r="V303" s="363"/>
      <c r="W303" s="363" t="s">
        <v>243</v>
      </c>
      <c r="X303" s="363">
        <v>2019</v>
      </c>
      <c r="Y303" s="448"/>
      <c r="Z303" s="363" t="str">
        <f>VLOOKUP(R303,KEY_Processes!$C$55:$E$130,3,FALSE)</f>
        <v>H_FL_GAS01</v>
      </c>
      <c r="AA303" s="363" t="str">
        <f>VLOOKUP(R303,KEY_Processes!$C$55:$E$130,2,FALSE)</f>
        <v>H_GasFurnace_GAS_LARGE</v>
      </c>
      <c r="AB303" s="363" t="str">
        <f>VLOOKUP(U303,KEY_FUELS!$C$4:$D$77,2,FALSE)</f>
        <v>GAS</v>
      </c>
      <c r="AC303" s="363" t="s">
        <v>150</v>
      </c>
      <c r="AD303" s="363" t="s">
        <v>244</v>
      </c>
      <c r="AE303" s="363" t="s">
        <v>152</v>
      </c>
      <c r="AF303" s="366" t="str">
        <f>VLOOKUP(W303,KEY_Other!$B$37:$C$89,2,FALSE)</f>
        <v>EUR</v>
      </c>
      <c r="AG303" s="363"/>
      <c r="AH303" s="363" t="str">
        <f>AC303&amp;VLOOKUP(U303,KEY_FUELS!$C$4:$D$78,2,FALSE)</f>
        <v>RSDGAS</v>
      </c>
      <c r="AI303" s="363" t="str">
        <f>IFERROR(AC303&amp;VLOOKUP(V303,KEY_FUELS!$C$4:$D$78,2,FALSE),"")</f>
        <v/>
      </c>
      <c r="AJ303" s="363" t="str">
        <f t="shared" si="78"/>
        <v>RHAP</v>
      </c>
      <c r="AK303" s="363" t="str">
        <f t="shared" si="79"/>
        <v/>
      </c>
      <c r="AL303" s="363" t="str">
        <f t="shared" si="80"/>
        <v/>
      </c>
      <c r="AM303" s="364">
        <v>31.536000000000001</v>
      </c>
      <c r="AN303" s="363">
        <v>2019</v>
      </c>
      <c r="AO303" s="455"/>
      <c r="AP303" s="456"/>
      <c r="AQ303" s="436"/>
      <c r="AR303" s="436"/>
      <c r="AS303" s="436"/>
      <c r="AT303" s="436"/>
      <c r="AU303" s="457"/>
      <c r="AV303" s="457"/>
      <c r="AW303" s="457"/>
      <c r="AX303" s="435"/>
      <c r="AY303" s="363"/>
      <c r="AZ303" s="437">
        <v>0.9</v>
      </c>
      <c r="BA303" s="435"/>
      <c r="BB303" s="435"/>
      <c r="BC303" s="439"/>
      <c r="BD303" s="374"/>
      <c r="BE303" s="374"/>
      <c r="BF303" s="449"/>
      <c r="BG303" s="363"/>
      <c r="BH303" s="439"/>
      <c r="BI303" s="363">
        <v>20</v>
      </c>
      <c r="BJ303" s="363"/>
      <c r="BK303" s="440">
        <v>37</v>
      </c>
      <c r="BL303" s="363"/>
      <c r="BM303" s="363"/>
      <c r="BN303" s="363"/>
      <c r="BO303" s="363"/>
      <c r="BP303" s="363"/>
      <c r="BQ303" s="363"/>
      <c r="BR303" s="441">
        <v>0.88</v>
      </c>
      <c r="BS303" s="363"/>
      <c r="BT303" s="442"/>
      <c r="BU303" s="442"/>
      <c r="BV303" s="442"/>
      <c r="BW303" s="442"/>
      <c r="BX303" s="443"/>
    </row>
    <row r="304" spans="1:76" x14ac:dyDescent="0.3">
      <c r="A304" s="88"/>
      <c r="B304" s="5"/>
      <c r="C304" s="5"/>
      <c r="D304" s="5"/>
      <c r="E304" s="5"/>
      <c r="F304" s="88"/>
      <c r="G304" s="5"/>
      <c r="H304" s="88"/>
      <c r="I304" s="88"/>
      <c r="J304" s="378" t="s">
        <v>238</v>
      </c>
      <c r="K304" s="379" t="s">
        <v>135</v>
      </c>
      <c r="L304" s="379"/>
      <c r="M304" s="379" t="s">
        <v>239</v>
      </c>
      <c r="N304" s="379" t="s">
        <v>240</v>
      </c>
      <c r="O304" s="379" t="s">
        <v>136</v>
      </c>
      <c r="P304" s="379">
        <v>2018</v>
      </c>
      <c r="Q304" s="420" t="s">
        <v>273</v>
      </c>
      <c r="R304" s="421" t="s">
        <v>275</v>
      </c>
      <c r="S304" s="446"/>
      <c r="T304" s="446"/>
      <c r="U304" s="379" t="s">
        <v>207</v>
      </c>
      <c r="V304" s="379"/>
      <c r="W304" s="379" t="s">
        <v>243</v>
      </c>
      <c r="X304" s="379">
        <v>2030</v>
      </c>
      <c r="Y304" s="446"/>
      <c r="Z304" s="379" t="str">
        <f>VLOOKUP(R304,KEY_Processes!$C$55:$E$130,3,FALSE)</f>
        <v>H_FL_GAS01</v>
      </c>
      <c r="AA304" s="379" t="str">
        <f>VLOOKUP(R304,KEY_Processes!$C$55:$E$130,2,FALSE)</f>
        <v>H_GasFurnace_GAS_LARGE</v>
      </c>
      <c r="AB304" s="379" t="str">
        <f>VLOOKUP(U304,KEY_FUELS!$C$4:$D$77,2,FALSE)</f>
        <v>GAS</v>
      </c>
      <c r="AC304" s="379" t="s">
        <v>150</v>
      </c>
      <c r="AD304" s="379" t="s">
        <v>244</v>
      </c>
      <c r="AE304" s="379" t="s">
        <v>152</v>
      </c>
      <c r="AF304" s="382" t="str">
        <f>VLOOKUP(W304,KEY_Other!$B$37:$C$89,2,FALSE)</f>
        <v>EUR</v>
      </c>
      <c r="AG304" s="379"/>
      <c r="AH304" s="379" t="str">
        <f>AC304&amp;VLOOKUP(U304,KEY_FUELS!$C$4:$D$78,2,FALSE)</f>
        <v>RSDGAS</v>
      </c>
      <c r="AI304" s="379" t="str">
        <f>IFERROR(AC304&amp;VLOOKUP(V304,KEY_FUELS!$C$4:$D$78,2,FALSE),"")</f>
        <v/>
      </c>
      <c r="AJ304" s="379" t="str">
        <f t="shared" si="78"/>
        <v>RHAP</v>
      </c>
      <c r="AK304" s="379" t="str">
        <f t="shared" si="79"/>
        <v/>
      </c>
      <c r="AL304" s="379" t="str">
        <f t="shared" si="80"/>
        <v/>
      </c>
      <c r="AM304" s="380">
        <v>31.536000000000001</v>
      </c>
      <c r="AN304" s="379">
        <v>2030</v>
      </c>
      <c r="AO304" s="450"/>
      <c r="AP304" s="451"/>
      <c r="AQ304" s="424"/>
      <c r="AR304" s="424"/>
      <c r="AS304" s="424"/>
      <c r="AT304" s="424"/>
      <c r="AU304" s="454"/>
      <c r="AV304" s="454"/>
      <c r="AW304" s="454"/>
      <c r="AX304" s="423"/>
      <c r="AY304" s="379"/>
      <c r="AZ304" s="425">
        <v>0.96</v>
      </c>
      <c r="BA304" s="423"/>
      <c r="BB304" s="423"/>
      <c r="BC304" s="427"/>
      <c r="BD304" s="390"/>
      <c r="BE304" s="390"/>
      <c r="BF304" s="447"/>
      <c r="BG304" s="379"/>
      <c r="BH304" s="427"/>
      <c r="BI304" s="379">
        <v>20</v>
      </c>
      <c r="BJ304" s="379"/>
      <c r="BK304" s="428">
        <v>46</v>
      </c>
      <c r="BL304" s="379"/>
      <c r="BM304" s="379"/>
      <c r="BN304" s="379"/>
      <c r="BO304" s="379"/>
      <c r="BP304" s="379"/>
      <c r="BQ304" s="379"/>
      <c r="BR304" s="429">
        <v>0.88</v>
      </c>
      <c r="BS304" s="379"/>
      <c r="BT304" s="430"/>
      <c r="BU304" s="430"/>
      <c r="BV304" s="430"/>
      <c r="BW304" s="430"/>
      <c r="BX304" s="431"/>
    </row>
    <row r="305" spans="1:76" x14ac:dyDescent="0.3">
      <c r="A305" s="88"/>
      <c r="B305" s="5"/>
      <c r="C305" s="5"/>
      <c r="D305" s="5"/>
      <c r="E305" s="5"/>
      <c r="F305" s="88"/>
      <c r="G305" s="5"/>
      <c r="H305" s="88"/>
      <c r="I305" s="88"/>
      <c r="J305" s="362" t="s">
        <v>238</v>
      </c>
      <c r="K305" s="363" t="s">
        <v>135</v>
      </c>
      <c r="L305" s="363"/>
      <c r="M305" s="363" t="s">
        <v>239</v>
      </c>
      <c r="N305" s="363" t="s">
        <v>240</v>
      </c>
      <c r="O305" s="363" t="s">
        <v>136</v>
      </c>
      <c r="P305" s="363">
        <v>2018</v>
      </c>
      <c r="Q305" s="432" t="s">
        <v>273</v>
      </c>
      <c r="R305" s="433" t="s">
        <v>276</v>
      </c>
      <c r="S305" s="448"/>
      <c r="T305" s="448"/>
      <c r="U305" s="363" t="s">
        <v>207</v>
      </c>
      <c r="V305" s="363"/>
      <c r="W305" s="363" t="s">
        <v>243</v>
      </c>
      <c r="X305" s="363">
        <v>2019</v>
      </c>
      <c r="Y305" s="448"/>
      <c r="Z305" s="363" t="str">
        <f>VLOOKUP(R305,KEY_Processes!$C$55:$E$130,3,FALSE)</f>
        <v>HW_FL_GAS01</v>
      </c>
      <c r="AA305" s="363" t="str">
        <f>VLOOKUP(R305,KEY_Processes!$C$55:$E$130,2,FALSE)</f>
        <v>HW_GasFurnace_GAS_LARGE</v>
      </c>
      <c r="AB305" s="363" t="str">
        <f>VLOOKUP(U305,KEY_FUELS!$C$4:$D$77,2,FALSE)</f>
        <v>GAS</v>
      </c>
      <c r="AC305" s="363" t="s">
        <v>150</v>
      </c>
      <c r="AD305" s="363" t="s">
        <v>244</v>
      </c>
      <c r="AE305" s="363" t="s">
        <v>152</v>
      </c>
      <c r="AF305" s="366" t="str">
        <f>VLOOKUP(W305,KEY_Other!$B$37:$C$89,2,FALSE)</f>
        <v>EUR</v>
      </c>
      <c r="AG305" s="363"/>
      <c r="AH305" s="363" t="str">
        <f>AC305&amp;VLOOKUP(U305,KEY_FUELS!$C$4:$D$78,2,FALSE)</f>
        <v>RSDGAS</v>
      </c>
      <c r="AI305" s="363" t="str">
        <f>IFERROR(AC305&amp;VLOOKUP(V305,KEY_FUELS!$C$4:$D$78,2,FALSE),"")</f>
        <v/>
      </c>
      <c r="AJ305" s="363" t="str">
        <f t="shared" si="78"/>
        <v>RHAP</v>
      </c>
      <c r="AK305" s="363" t="str">
        <f t="shared" si="79"/>
        <v>RWAP</v>
      </c>
      <c r="AL305" s="363" t="str">
        <f t="shared" si="80"/>
        <v/>
      </c>
      <c r="AM305" s="364">
        <v>31.536000000000001</v>
      </c>
      <c r="AN305" s="363">
        <v>2019</v>
      </c>
      <c r="AO305" s="434">
        <v>1</v>
      </c>
      <c r="AP305" s="453"/>
      <c r="AQ305" s="436"/>
      <c r="AR305" s="436"/>
      <c r="AS305" s="436"/>
      <c r="AT305" s="436" t="s">
        <v>161</v>
      </c>
      <c r="AU305" s="370">
        <v>0.48</v>
      </c>
      <c r="AV305" s="444"/>
      <c r="AW305" s="444"/>
      <c r="AX305" s="435"/>
      <c r="AY305" s="363"/>
      <c r="AZ305" s="437">
        <v>0.9</v>
      </c>
      <c r="BA305" s="435"/>
      <c r="BB305" s="435"/>
      <c r="BC305" s="439"/>
      <c r="BD305" s="374"/>
      <c r="BE305" s="374"/>
      <c r="BF305" s="449"/>
      <c r="BG305" s="363"/>
      <c r="BH305" s="439"/>
      <c r="BI305" s="363">
        <v>20</v>
      </c>
      <c r="BJ305" s="363"/>
      <c r="BK305" s="440">
        <v>51</v>
      </c>
      <c r="BL305" s="363"/>
      <c r="BM305" s="363"/>
      <c r="BN305" s="363"/>
      <c r="BO305" s="363"/>
      <c r="BP305" s="363"/>
      <c r="BQ305" s="363"/>
      <c r="BR305" s="441">
        <v>0.87741935483870959</v>
      </c>
      <c r="BS305" s="363"/>
      <c r="BT305" s="442"/>
      <c r="BU305" s="442"/>
      <c r="BV305" s="442"/>
      <c r="BW305" s="442"/>
      <c r="BX305" s="443"/>
    </row>
    <row r="306" spans="1:76" x14ac:dyDescent="0.3">
      <c r="A306" s="88"/>
      <c r="B306" s="5"/>
      <c r="C306" s="5"/>
      <c r="D306" s="5"/>
      <c r="E306" s="5"/>
      <c r="F306" s="88"/>
      <c r="G306" s="5"/>
      <c r="H306" s="88"/>
      <c r="I306" s="88"/>
      <c r="J306" s="378" t="s">
        <v>238</v>
      </c>
      <c r="K306" s="379" t="s">
        <v>135</v>
      </c>
      <c r="L306" s="379"/>
      <c r="M306" s="379" t="s">
        <v>239</v>
      </c>
      <c r="N306" s="379" t="s">
        <v>240</v>
      </c>
      <c r="O306" s="379" t="s">
        <v>136</v>
      </c>
      <c r="P306" s="379">
        <v>2018</v>
      </c>
      <c r="Q306" s="420" t="s">
        <v>273</v>
      </c>
      <c r="R306" s="421" t="s">
        <v>276</v>
      </c>
      <c r="S306" s="446"/>
      <c r="T306" s="446"/>
      <c r="U306" s="379" t="s">
        <v>207</v>
      </c>
      <c r="V306" s="379"/>
      <c r="W306" s="379" t="s">
        <v>243</v>
      </c>
      <c r="X306" s="379">
        <v>2019</v>
      </c>
      <c r="Y306" s="446"/>
      <c r="Z306" s="379" t="str">
        <f>VLOOKUP(R306,KEY_Processes!$C$55:$E$130,3,FALSE)</f>
        <v>HW_FL_GAS01</v>
      </c>
      <c r="AA306" s="379" t="str">
        <f>VLOOKUP(R306,KEY_Processes!$C$55:$E$130,2,FALSE)</f>
        <v>HW_GasFurnace_GAS_LARGE</v>
      </c>
      <c r="AB306" s="379" t="str">
        <f>VLOOKUP(U306,KEY_FUELS!$C$4:$D$77,2,FALSE)</f>
        <v>GAS</v>
      </c>
      <c r="AC306" s="379" t="s">
        <v>150</v>
      </c>
      <c r="AD306" s="379" t="s">
        <v>244</v>
      </c>
      <c r="AE306" s="379" t="s">
        <v>152</v>
      </c>
      <c r="AF306" s="382" t="str">
        <f>VLOOKUP(W306,KEY_Other!$B$37:$C$89,2,FALSE)</f>
        <v>EUR</v>
      </c>
      <c r="AG306" s="379"/>
      <c r="AH306" s="379" t="str">
        <f>AC306&amp;VLOOKUP(U306,KEY_FUELS!$C$4:$D$78,2,FALSE)</f>
        <v>RSDGAS</v>
      </c>
      <c r="AI306" s="379" t="str">
        <f>IFERROR(AC306&amp;VLOOKUP(V306,KEY_FUELS!$C$4:$D$78,2,FALSE),"")</f>
        <v/>
      </c>
      <c r="AJ306" s="379" t="str">
        <f t="shared" ref="AJ306:AJ308" si="97">LEFT(AC306,1)&amp;LEFT(AA306,1)&amp;AD306</f>
        <v>RHAP</v>
      </c>
      <c r="AK306" s="379" t="str">
        <f t="shared" si="79"/>
        <v>RWAP</v>
      </c>
      <c r="AL306" s="379" t="str">
        <f t="shared" si="80"/>
        <v/>
      </c>
      <c r="AM306" s="380">
        <v>31.536000000000001</v>
      </c>
      <c r="AN306" s="379">
        <v>2019</v>
      </c>
      <c r="AO306" s="422">
        <v>1</v>
      </c>
      <c r="AP306" s="458"/>
      <c r="AQ306" s="424"/>
      <c r="AR306" s="424"/>
      <c r="AS306" s="424"/>
      <c r="AT306" s="424" t="s">
        <v>248</v>
      </c>
      <c r="AU306" s="386">
        <v>0.55000000000000004</v>
      </c>
      <c r="AV306" s="459"/>
      <c r="AW306" s="459"/>
      <c r="AX306" s="423"/>
      <c r="AY306" s="379"/>
      <c r="AZ306" s="425">
        <v>0.9</v>
      </c>
      <c r="BA306" s="423"/>
      <c r="BB306" s="423"/>
      <c r="BC306" s="427"/>
      <c r="BD306" s="390"/>
      <c r="BE306" s="390"/>
      <c r="BF306" s="447"/>
      <c r="BG306" s="379"/>
      <c r="BH306" s="427"/>
      <c r="BI306" s="379">
        <v>20</v>
      </c>
      <c r="BJ306" s="379"/>
      <c r="BK306" s="428">
        <v>51</v>
      </c>
      <c r="BL306" s="379"/>
      <c r="BM306" s="379"/>
      <c r="BN306" s="379"/>
      <c r="BO306" s="379"/>
      <c r="BP306" s="379"/>
      <c r="BQ306" s="379"/>
      <c r="BR306" s="429">
        <v>0.87741935483870959</v>
      </c>
      <c r="BS306" s="379"/>
      <c r="BT306" s="430"/>
      <c r="BU306" s="430"/>
      <c r="BV306" s="430"/>
      <c r="BW306" s="430"/>
      <c r="BX306" s="431"/>
    </row>
    <row r="307" spans="1:76" x14ac:dyDescent="0.3">
      <c r="A307" s="88"/>
      <c r="B307" s="5"/>
      <c r="C307" s="5"/>
      <c r="D307" s="5"/>
      <c r="E307" s="5"/>
      <c r="F307" s="88"/>
      <c r="G307" s="5"/>
      <c r="H307" s="88"/>
      <c r="I307" s="88"/>
      <c r="J307" s="362" t="s">
        <v>238</v>
      </c>
      <c r="K307" s="363" t="s">
        <v>135</v>
      </c>
      <c r="L307" s="363"/>
      <c r="M307" s="363" t="s">
        <v>239</v>
      </c>
      <c r="N307" s="363" t="s">
        <v>240</v>
      </c>
      <c r="O307" s="363" t="s">
        <v>136</v>
      </c>
      <c r="P307" s="363">
        <v>2018</v>
      </c>
      <c r="Q307" s="432" t="s">
        <v>273</v>
      </c>
      <c r="R307" s="433" t="s">
        <v>276</v>
      </c>
      <c r="S307" s="448"/>
      <c r="T307" s="448"/>
      <c r="U307" s="363" t="s">
        <v>207</v>
      </c>
      <c r="V307" s="363"/>
      <c r="W307" s="363" t="s">
        <v>243</v>
      </c>
      <c r="X307" s="363">
        <v>2019</v>
      </c>
      <c r="Y307" s="448"/>
      <c r="Z307" s="363" t="str">
        <f>VLOOKUP(R307,KEY_Processes!$C$55:$E$130,3,FALSE)</f>
        <v>HW_FL_GAS01</v>
      </c>
      <c r="AA307" s="363" t="str">
        <f>VLOOKUP(R307,KEY_Processes!$C$55:$E$130,2,FALSE)</f>
        <v>HW_GasFurnace_GAS_LARGE</v>
      </c>
      <c r="AB307" s="363" t="str">
        <f>VLOOKUP(U307,KEY_FUELS!$C$4:$D$77,2,FALSE)</f>
        <v>GAS</v>
      </c>
      <c r="AC307" s="363" t="s">
        <v>150</v>
      </c>
      <c r="AD307" s="363" t="s">
        <v>244</v>
      </c>
      <c r="AE307" s="363" t="s">
        <v>152</v>
      </c>
      <c r="AF307" s="366" t="str">
        <f>VLOOKUP(W307,KEY_Other!$B$37:$C$89,2,FALSE)</f>
        <v>EUR</v>
      </c>
      <c r="AG307" s="363"/>
      <c r="AH307" s="363" t="str">
        <f>AC307&amp;VLOOKUP(U307,KEY_FUELS!$C$4:$D$78,2,FALSE)</f>
        <v>RSDGAS</v>
      </c>
      <c r="AI307" s="363" t="str">
        <f>IFERROR(AC307&amp;VLOOKUP(V307,KEY_FUELS!$C$4:$D$78,2,FALSE),"")</f>
        <v/>
      </c>
      <c r="AJ307" s="363" t="str">
        <f t="shared" si="97"/>
        <v>RHAP</v>
      </c>
      <c r="AK307" s="363" t="str">
        <f t="shared" si="79"/>
        <v>RWAP</v>
      </c>
      <c r="AL307" s="363" t="str">
        <f t="shared" si="80"/>
        <v/>
      </c>
      <c r="AM307" s="364">
        <v>31.536000000000001</v>
      </c>
      <c r="AN307" s="363">
        <v>2019</v>
      </c>
      <c r="AO307" s="434">
        <v>1</v>
      </c>
      <c r="AP307" s="453"/>
      <c r="AQ307" s="436"/>
      <c r="AR307" s="436"/>
      <c r="AS307" s="436"/>
      <c r="AT307" s="436" t="s">
        <v>158</v>
      </c>
      <c r="AU307" s="370">
        <v>0.63</v>
      </c>
      <c r="AV307" s="444"/>
      <c r="AW307" s="444"/>
      <c r="AX307" s="435"/>
      <c r="AY307" s="363"/>
      <c r="AZ307" s="437">
        <v>0.9</v>
      </c>
      <c r="BA307" s="435"/>
      <c r="BB307" s="435"/>
      <c r="BC307" s="439"/>
      <c r="BD307" s="374"/>
      <c r="BE307" s="374"/>
      <c r="BF307" s="449"/>
      <c r="BG307" s="363"/>
      <c r="BH307" s="439"/>
      <c r="BI307" s="363">
        <v>20</v>
      </c>
      <c r="BJ307" s="363"/>
      <c r="BK307" s="440">
        <v>51</v>
      </c>
      <c r="BL307" s="363"/>
      <c r="BM307" s="363"/>
      <c r="BN307" s="363"/>
      <c r="BO307" s="363"/>
      <c r="BP307" s="363"/>
      <c r="BQ307" s="363"/>
      <c r="BR307" s="441">
        <v>0.87741935483870959</v>
      </c>
      <c r="BS307" s="363"/>
      <c r="BT307" s="442"/>
      <c r="BU307" s="442"/>
      <c r="BV307" s="442"/>
      <c r="BW307" s="442"/>
      <c r="BX307" s="443"/>
    </row>
    <row r="308" spans="1:76" x14ac:dyDescent="0.3">
      <c r="A308" s="88"/>
      <c r="B308" s="5"/>
      <c r="C308" s="5"/>
      <c r="D308" s="5"/>
      <c r="E308" s="5"/>
      <c r="F308" s="88"/>
      <c r="G308" s="5"/>
      <c r="H308" s="88"/>
      <c r="I308" s="88"/>
      <c r="J308" s="378" t="s">
        <v>238</v>
      </c>
      <c r="K308" s="379" t="s">
        <v>135</v>
      </c>
      <c r="L308" s="379"/>
      <c r="M308" s="379" t="s">
        <v>239</v>
      </c>
      <c r="N308" s="379" t="s">
        <v>240</v>
      </c>
      <c r="O308" s="379" t="s">
        <v>136</v>
      </c>
      <c r="P308" s="379">
        <v>2018</v>
      </c>
      <c r="Q308" s="420" t="s">
        <v>273</v>
      </c>
      <c r="R308" s="421" t="s">
        <v>276</v>
      </c>
      <c r="S308" s="446"/>
      <c r="T308" s="446"/>
      <c r="U308" s="379" t="s">
        <v>207</v>
      </c>
      <c r="V308" s="379"/>
      <c r="W308" s="379" t="s">
        <v>243</v>
      </c>
      <c r="X308" s="379">
        <v>2019</v>
      </c>
      <c r="Y308" s="446"/>
      <c r="Z308" s="379" t="str">
        <f>VLOOKUP(R308,KEY_Processes!$C$55:$E$130,3,FALSE)</f>
        <v>HW_FL_GAS01</v>
      </c>
      <c r="AA308" s="379" t="str">
        <f>VLOOKUP(R308,KEY_Processes!$C$55:$E$130,2,FALSE)</f>
        <v>HW_GasFurnace_GAS_LARGE</v>
      </c>
      <c r="AB308" s="379" t="str">
        <f>VLOOKUP(U308,KEY_FUELS!$C$4:$D$77,2,FALSE)</f>
        <v>GAS</v>
      </c>
      <c r="AC308" s="379" t="s">
        <v>150</v>
      </c>
      <c r="AD308" s="379" t="s">
        <v>244</v>
      </c>
      <c r="AE308" s="379" t="s">
        <v>152</v>
      </c>
      <c r="AF308" s="382" t="str">
        <f>VLOOKUP(W308,KEY_Other!$B$37:$C$89,2,FALSE)</f>
        <v>EUR</v>
      </c>
      <c r="AG308" s="379"/>
      <c r="AH308" s="379" t="str">
        <f>AC308&amp;VLOOKUP(U308,KEY_FUELS!$C$4:$D$78,2,FALSE)</f>
        <v>RSDGAS</v>
      </c>
      <c r="AI308" s="379" t="str">
        <f>IFERROR(AC308&amp;VLOOKUP(V308,KEY_FUELS!$C$4:$D$78,2,FALSE),"")</f>
        <v/>
      </c>
      <c r="AJ308" s="379" t="str">
        <f t="shared" si="97"/>
        <v>RHAP</v>
      </c>
      <c r="AK308" s="379" t="str">
        <f t="shared" ref="AK308:AK371" si="98">IF(FIND("_",Z308)=3,LEFT(AC308,1)&amp;MID(Z308,2,1)&amp;AD308,IF(FIND("_",Z308)=3,LEFT(AC308,1)&amp;MID(Z308,2,1)&amp;AD308,""))</f>
        <v>RWAP</v>
      </c>
      <c r="AL308" s="379" t="str">
        <f t="shared" ref="AL308:AL371" si="99">IF(FIND("_",Z308)=4,LEFT(AC308,1)&amp;MID(Z308,3,1)&amp;AD308,"")</f>
        <v/>
      </c>
      <c r="AM308" s="380">
        <v>31.536000000000001</v>
      </c>
      <c r="AN308" s="379">
        <v>2019</v>
      </c>
      <c r="AO308" s="422">
        <v>1</v>
      </c>
      <c r="AP308" s="458"/>
      <c r="AQ308" s="424"/>
      <c r="AR308" s="424"/>
      <c r="AS308" s="424"/>
      <c r="AT308" s="424" t="s">
        <v>249</v>
      </c>
      <c r="AU308" s="425">
        <v>0.72</v>
      </c>
      <c r="AV308" s="459"/>
      <c r="AW308" s="459"/>
      <c r="AX308" s="423"/>
      <c r="AY308" s="379"/>
      <c r="AZ308" s="425">
        <v>0.9</v>
      </c>
      <c r="BA308" s="423"/>
      <c r="BB308" s="423"/>
      <c r="BC308" s="427"/>
      <c r="BD308" s="390"/>
      <c r="BE308" s="390"/>
      <c r="BF308" s="447"/>
      <c r="BG308" s="379"/>
      <c r="BH308" s="427"/>
      <c r="BI308" s="379">
        <v>20</v>
      </c>
      <c r="BJ308" s="379"/>
      <c r="BK308" s="428">
        <v>51</v>
      </c>
      <c r="BL308" s="379"/>
      <c r="BM308" s="379"/>
      <c r="BN308" s="379"/>
      <c r="BO308" s="379"/>
      <c r="BP308" s="379"/>
      <c r="BQ308" s="379"/>
      <c r="BR308" s="429">
        <v>0.87741935483870959</v>
      </c>
      <c r="BS308" s="379"/>
      <c r="BT308" s="430"/>
      <c r="BU308" s="430"/>
      <c r="BV308" s="430"/>
      <c r="BW308" s="430"/>
      <c r="BX308" s="431"/>
    </row>
    <row r="309" spans="1:76" x14ac:dyDescent="0.3">
      <c r="A309" s="88"/>
      <c r="B309" s="5"/>
      <c r="C309" s="5"/>
      <c r="D309" s="5"/>
      <c r="E309" s="5"/>
      <c r="F309" s="88"/>
      <c r="G309" s="5"/>
      <c r="H309" s="88"/>
      <c r="I309" s="88"/>
      <c r="J309" s="362" t="s">
        <v>238</v>
      </c>
      <c r="K309" s="363" t="s">
        <v>135</v>
      </c>
      <c r="L309" s="363"/>
      <c r="M309" s="363" t="s">
        <v>239</v>
      </c>
      <c r="N309" s="363" t="s">
        <v>240</v>
      </c>
      <c r="O309" s="363" t="s">
        <v>136</v>
      </c>
      <c r="P309" s="363">
        <v>2018</v>
      </c>
      <c r="Q309" s="432" t="s">
        <v>273</v>
      </c>
      <c r="R309" s="433" t="s">
        <v>276</v>
      </c>
      <c r="S309" s="448"/>
      <c r="T309" s="448"/>
      <c r="U309" s="363" t="s">
        <v>207</v>
      </c>
      <c r="V309" s="363"/>
      <c r="W309" s="363" t="s">
        <v>243</v>
      </c>
      <c r="X309" s="363">
        <v>2030</v>
      </c>
      <c r="Y309" s="448"/>
      <c r="Z309" s="363" t="str">
        <f>VLOOKUP(R309,KEY_Processes!$C$55:$E$130,3,FALSE)</f>
        <v>HW_FL_GAS01</v>
      </c>
      <c r="AA309" s="363" t="str">
        <f>VLOOKUP(R309,KEY_Processes!$C$55:$E$130,2,FALSE)</f>
        <v>HW_GasFurnace_GAS_LARGE</v>
      </c>
      <c r="AB309" s="363" t="str">
        <f>VLOOKUP(U309,KEY_FUELS!$C$4:$D$77,2,FALSE)</f>
        <v>GAS</v>
      </c>
      <c r="AC309" s="363" t="s">
        <v>150</v>
      </c>
      <c r="AD309" s="363" t="s">
        <v>244</v>
      </c>
      <c r="AE309" s="363" t="s">
        <v>152</v>
      </c>
      <c r="AF309" s="366" t="str">
        <f>VLOOKUP(W309,KEY_Other!$B$37:$C$89,2,FALSE)</f>
        <v>EUR</v>
      </c>
      <c r="AG309" s="363"/>
      <c r="AH309" s="363" t="str">
        <f>AC309&amp;VLOOKUP(U309,KEY_FUELS!$C$4:$D$78,2,FALSE)</f>
        <v>RSDGAS</v>
      </c>
      <c r="AI309" s="363" t="str">
        <f>IFERROR(AC309&amp;VLOOKUP(V309,KEY_FUELS!$C$4:$D$78,2,FALSE),"")</f>
        <v/>
      </c>
      <c r="AJ309" s="363" t="str">
        <f t="shared" si="78"/>
        <v>RHAP</v>
      </c>
      <c r="AK309" s="363" t="str">
        <f t="shared" si="98"/>
        <v>RWAP</v>
      </c>
      <c r="AL309" s="363" t="str">
        <f t="shared" si="99"/>
        <v/>
      </c>
      <c r="AM309" s="364">
        <v>31.536000000000001</v>
      </c>
      <c r="AN309" s="363">
        <v>2030</v>
      </c>
      <c r="AO309" s="455"/>
      <c r="AP309" s="456"/>
      <c r="AQ309" s="436"/>
      <c r="AR309" s="436"/>
      <c r="AS309" s="436"/>
      <c r="AT309" s="436"/>
      <c r="AU309" s="457"/>
      <c r="AV309" s="457"/>
      <c r="AW309" s="457"/>
      <c r="AX309" s="435"/>
      <c r="AY309" s="363"/>
      <c r="AZ309" s="437">
        <v>0.96</v>
      </c>
      <c r="BA309" s="435"/>
      <c r="BB309" s="435"/>
      <c r="BC309" s="439"/>
      <c r="BD309" s="374"/>
      <c r="BE309" s="374"/>
      <c r="BF309" s="449"/>
      <c r="BG309" s="363"/>
      <c r="BH309" s="439"/>
      <c r="BI309" s="363">
        <v>20</v>
      </c>
      <c r="BJ309" s="363"/>
      <c r="BK309" s="440">
        <v>77</v>
      </c>
      <c r="BL309" s="363"/>
      <c r="BM309" s="363"/>
      <c r="BN309" s="363"/>
      <c r="BO309" s="363"/>
      <c r="BP309" s="363"/>
      <c r="BQ309" s="363"/>
      <c r="BR309" s="441">
        <v>0.87741935483870959</v>
      </c>
      <c r="BS309" s="363"/>
      <c r="BT309" s="442"/>
      <c r="BU309" s="442"/>
      <c r="BV309" s="442"/>
      <c r="BW309" s="442"/>
      <c r="BX309" s="443"/>
    </row>
    <row r="310" spans="1:76" x14ac:dyDescent="0.3">
      <c r="A310" s="88"/>
      <c r="B310" s="5"/>
      <c r="C310" s="5"/>
      <c r="D310" s="5"/>
      <c r="E310" s="5"/>
      <c r="F310" s="88"/>
      <c r="G310" s="5"/>
      <c r="H310" s="88"/>
      <c r="I310" s="88"/>
      <c r="J310" s="378" t="s">
        <v>238</v>
      </c>
      <c r="K310" s="379" t="s">
        <v>135</v>
      </c>
      <c r="L310" s="379"/>
      <c r="M310" s="379" t="s">
        <v>239</v>
      </c>
      <c r="N310" s="379" t="s">
        <v>240</v>
      </c>
      <c r="O310" s="379" t="s">
        <v>136</v>
      </c>
      <c r="P310" s="379">
        <v>2018</v>
      </c>
      <c r="Q310" s="420" t="s">
        <v>277</v>
      </c>
      <c r="R310" s="421" t="s">
        <v>278</v>
      </c>
      <c r="S310" s="446"/>
      <c r="T310" s="446"/>
      <c r="U310" s="379" t="s">
        <v>189</v>
      </c>
      <c r="V310" s="379" t="s">
        <v>198</v>
      </c>
      <c r="W310" s="379" t="s">
        <v>243</v>
      </c>
      <c r="X310" s="379">
        <v>2019</v>
      </c>
      <c r="Y310" s="446"/>
      <c r="Z310" s="379" t="str">
        <f>VLOOKUP(R310,KEY_Processes!$C$55:$E$130,3,FALSE)</f>
        <v>H_GHPL_ELC01</v>
      </c>
      <c r="AA310" s="379" t="str">
        <f>VLOOKUP(R310,KEY_Processes!$C$55:$E$130,2,FALSE)</f>
        <v>H_GroundHeatPump_ELC_LARGE</v>
      </c>
      <c r="AB310" s="379" t="str">
        <f>VLOOKUP(U310,KEY_FUELS!$C$4:$D$77,2,FALSE)</f>
        <v>ELC</v>
      </c>
      <c r="AC310" s="379" t="s">
        <v>150</v>
      </c>
      <c r="AD310" s="379" t="s">
        <v>244</v>
      </c>
      <c r="AE310" s="379" t="s">
        <v>152</v>
      </c>
      <c r="AF310" s="382" t="str">
        <f>VLOOKUP(W310,KEY_Other!$B$37:$C$89,2,FALSE)</f>
        <v>EUR</v>
      </c>
      <c r="AG310" s="379"/>
      <c r="AH310" s="379" t="str">
        <f>AC310&amp;VLOOKUP(U310,KEY_FUELS!$C$4:$D$78,2,FALSE)</f>
        <v>RSDELC</v>
      </c>
      <c r="AI310" s="379" t="str">
        <f>IFERROR(AC310&amp;VLOOKUP(V310,KEY_FUELS!$C$4:$D$78,2,FALSE),"")</f>
        <v>RSDGEO</v>
      </c>
      <c r="AJ310" s="379" t="str">
        <f t="shared" si="78"/>
        <v>RHAP</v>
      </c>
      <c r="AK310" s="379" t="str">
        <f t="shared" si="98"/>
        <v/>
      </c>
      <c r="AL310" s="379" t="str">
        <f t="shared" si="99"/>
        <v/>
      </c>
      <c r="AM310" s="380">
        <v>31.536000000000001</v>
      </c>
      <c r="AN310" s="379">
        <v>2019</v>
      </c>
      <c r="AO310" s="450"/>
      <c r="AP310" s="451"/>
      <c r="AQ310" s="424"/>
      <c r="AR310" s="424"/>
      <c r="AS310" s="424"/>
      <c r="AT310" s="424"/>
      <c r="AU310" s="454"/>
      <c r="AV310" s="454"/>
      <c r="AW310" s="454"/>
      <c r="AX310" s="423"/>
      <c r="AY310" s="460">
        <v>6</v>
      </c>
      <c r="AZ310" s="425">
        <v>6</v>
      </c>
      <c r="BA310" s="423"/>
      <c r="BB310" s="423"/>
      <c r="BC310" s="427"/>
      <c r="BD310" s="390"/>
      <c r="BE310" s="390"/>
      <c r="BF310" s="447"/>
      <c r="BG310" s="379"/>
      <c r="BH310" s="427"/>
      <c r="BI310" s="379">
        <v>25</v>
      </c>
      <c r="BJ310" s="379"/>
      <c r="BK310" s="428">
        <v>1001</v>
      </c>
      <c r="BL310" s="379"/>
      <c r="BM310" s="379"/>
      <c r="BN310" s="379"/>
      <c r="BO310" s="379"/>
      <c r="BP310" s="379"/>
      <c r="BQ310" s="379"/>
      <c r="BR310" s="429">
        <v>1.1069767441860467</v>
      </c>
      <c r="BS310" s="379"/>
      <c r="BT310" s="430"/>
      <c r="BU310" s="430"/>
      <c r="BV310" s="430"/>
      <c r="BW310" s="430"/>
      <c r="BX310" s="431"/>
    </row>
    <row r="311" spans="1:76" x14ac:dyDescent="0.3">
      <c r="A311" s="88"/>
      <c r="B311" s="5"/>
      <c r="C311" s="5"/>
      <c r="D311" s="5"/>
      <c r="E311" s="5"/>
      <c r="F311" s="88"/>
      <c r="G311" s="5"/>
      <c r="H311" s="88"/>
      <c r="I311" s="88"/>
      <c r="J311" s="362" t="s">
        <v>238</v>
      </c>
      <c r="K311" s="363" t="s">
        <v>135</v>
      </c>
      <c r="L311" s="363"/>
      <c r="M311" s="363" t="s">
        <v>239</v>
      </c>
      <c r="N311" s="363" t="s">
        <v>240</v>
      </c>
      <c r="O311" s="363" t="s">
        <v>136</v>
      </c>
      <c r="P311" s="363">
        <v>2018</v>
      </c>
      <c r="Q311" s="432" t="s">
        <v>277</v>
      </c>
      <c r="R311" s="433" t="s">
        <v>278</v>
      </c>
      <c r="S311" s="448"/>
      <c r="T311" s="448"/>
      <c r="U311" s="363" t="s">
        <v>189</v>
      </c>
      <c r="V311" s="363" t="s">
        <v>198</v>
      </c>
      <c r="W311" s="363" t="s">
        <v>243</v>
      </c>
      <c r="X311" s="363">
        <v>2030</v>
      </c>
      <c r="Y311" s="448"/>
      <c r="Z311" s="363" t="str">
        <f>VLOOKUP(R311,KEY_Processes!$C$55:$E$130,3,FALSE)</f>
        <v>H_GHPL_ELC01</v>
      </c>
      <c r="AA311" s="363" t="str">
        <f>VLOOKUP(R311,KEY_Processes!$C$55:$E$130,2,FALSE)</f>
        <v>H_GroundHeatPump_ELC_LARGE</v>
      </c>
      <c r="AB311" s="363" t="str">
        <f>VLOOKUP(U311,KEY_FUELS!$C$4:$D$77,2,FALSE)</f>
        <v>ELC</v>
      </c>
      <c r="AC311" s="363" t="s">
        <v>150</v>
      </c>
      <c r="AD311" s="363" t="s">
        <v>244</v>
      </c>
      <c r="AE311" s="363" t="s">
        <v>152</v>
      </c>
      <c r="AF311" s="366" t="str">
        <f>VLOOKUP(W311,KEY_Other!$B$37:$C$89,2,FALSE)</f>
        <v>EUR</v>
      </c>
      <c r="AG311" s="363"/>
      <c r="AH311" s="363" t="str">
        <f>AC311&amp;VLOOKUP(U311,KEY_FUELS!$C$4:$D$78,2,FALSE)</f>
        <v>RSDELC</v>
      </c>
      <c r="AI311" s="363" t="str">
        <f>IFERROR(AC311&amp;VLOOKUP(V311,KEY_FUELS!$C$4:$D$78,2,FALSE),"")</f>
        <v>RSDGEO</v>
      </c>
      <c r="AJ311" s="363" t="str">
        <f t="shared" si="78"/>
        <v>RHAP</v>
      </c>
      <c r="AK311" s="363" t="str">
        <f t="shared" si="98"/>
        <v/>
      </c>
      <c r="AL311" s="363" t="str">
        <f t="shared" si="99"/>
        <v/>
      </c>
      <c r="AM311" s="364">
        <v>31.536000000000001</v>
      </c>
      <c r="AN311" s="363">
        <v>2030</v>
      </c>
      <c r="AO311" s="455"/>
      <c r="AP311" s="456"/>
      <c r="AQ311" s="436"/>
      <c r="AR311" s="436"/>
      <c r="AS311" s="436"/>
      <c r="AT311" s="436"/>
      <c r="AU311" s="457"/>
      <c r="AV311" s="457"/>
      <c r="AW311" s="457"/>
      <c r="AX311" s="435"/>
      <c r="AY311" s="461">
        <v>7.8</v>
      </c>
      <c r="AZ311" s="437">
        <v>7.8</v>
      </c>
      <c r="BA311" s="435"/>
      <c r="BB311" s="435"/>
      <c r="BC311" s="439"/>
      <c r="BD311" s="374"/>
      <c r="BE311" s="374"/>
      <c r="BF311" s="449"/>
      <c r="BG311" s="363"/>
      <c r="BH311" s="439"/>
      <c r="BI311" s="363">
        <v>25</v>
      </c>
      <c r="BJ311" s="363"/>
      <c r="BK311" s="440">
        <v>1211</v>
      </c>
      <c r="BL311" s="363"/>
      <c r="BM311" s="363"/>
      <c r="BN311" s="363"/>
      <c r="BO311" s="363"/>
      <c r="BP311" s="363"/>
      <c r="BQ311" s="363"/>
      <c r="BR311" s="441">
        <v>1.1069767441860467</v>
      </c>
      <c r="BS311" s="363"/>
      <c r="BT311" s="442"/>
      <c r="BU311" s="442"/>
      <c r="BV311" s="442"/>
      <c r="BW311" s="442"/>
      <c r="BX311" s="443"/>
    </row>
    <row r="312" spans="1:76" x14ac:dyDescent="0.3">
      <c r="A312" s="88"/>
      <c r="B312" s="5"/>
      <c r="C312" s="5"/>
      <c r="D312" s="5"/>
      <c r="E312" s="5"/>
      <c r="F312" s="88"/>
      <c r="G312" s="5"/>
      <c r="H312" s="88"/>
      <c r="I312" s="88"/>
      <c r="J312" s="378" t="s">
        <v>238</v>
      </c>
      <c r="K312" s="379" t="s">
        <v>135</v>
      </c>
      <c r="L312" s="379"/>
      <c r="M312" s="379" t="s">
        <v>239</v>
      </c>
      <c r="N312" s="379" t="s">
        <v>240</v>
      </c>
      <c r="O312" s="379" t="s">
        <v>136</v>
      </c>
      <c r="P312" s="379">
        <v>2018</v>
      </c>
      <c r="Q312" s="420" t="s">
        <v>277</v>
      </c>
      <c r="R312" s="421" t="s">
        <v>279</v>
      </c>
      <c r="S312" s="379"/>
      <c r="T312" s="379"/>
      <c r="U312" s="379" t="s">
        <v>189</v>
      </c>
      <c r="V312" s="379" t="s">
        <v>198</v>
      </c>
      <c r="W312" s="379" t="s">
        <v>243</v>
      </c>
      <c r="X312" s="379">
        <v>2019</v>
      </c>
      <c r="Y312" s="379"/>
      <c r="Z312" s="379" t="str">
        <f>VLOOKUP(R312,KEY_Processes!$C$55:$E$130,3,FALSE)</f>
        <v>HW_GHPL_ELC01</v>
      </c>
      <c r="AA312" s="379" t="str">
        <f>VLOOKUP(R312,KEY_Processes!$C$55:$E$130,2,FALSE)</f>
        <v>HW_GroundHeatPump_ELC_LARGE</v>
      </c>
      <c r="AB312" s="379" t="str">
        <f>VLOOKUP(U312,KEY_FUELS!$C$4:$D$77,2,FALSE)</f>
        <v>ELC</v>
      </c>
      <c r="AC312" s="379" t="s">
        <v>150</v>
      </c>
      <c r="AD312" s="379" t="s">
        <v>244</v>
      </c>
      <c r="AE312" s="379" t="s">
        <v>152</v>
      </c>
      <c r="AF312" s="382" t="str">
        <f>VLOOKUP(W312,KEY_Other!$B$37:$C$89,2,FALSE)</f>
        <v>EUR</v>
      </c>
      <c r="AG312" s="379"/>
      <c r="AH312" s="379" t="str">
        <f>AC312&amp;VLOOKUP(U312,KEY_FUELS!$C$4:$D$78,2,FALSE)</f>
        <v>RSDELC</v>
      </c>
      <c r="AI312" s="379" t="str">
        <f>IFERROR(AC312&amp;VLOOKUP(V312,KEY_FUELS!$C$4:$D$78,2,FALSE),"")</f>
        <v>RSDGEO</v>
      </c>
      <c r="AJ312" s="379" t="str">
        <f t="shared" si="78"/>
        <v>RHAP</v>
      </c>
      <c r="AK312" s="379" t="str">
        <f t="shared" si="98"/>
        <v>RWAP</v>
      </c>
      <c r="AL312" s="379" t="str">
        <f t="shared" si="99"/>
        <v/>
      </c>
      <c r="AM312" s="380">
        <v>31.536000000000001</v>
      </c>
      <c r="AN312" s="379">
        <v>2019</v>
      </c>
      <c r="AO312" s="422">
        <v>1</v>
      </c>
      <c r="AP312" s="458"/>
      <c r="AQ312" s="424"/>
      <c r="AR312" s="424"/>
      <c r="AS312" s="424"/>
      <c r="AT312" s="424" t="s">
        <v>161</v>
      </c>
      <c r="AU312" s="386">
        <v>0.48</v>
      </c>
      <c r="AV312" s="459"/>
      <c r="AW312" s="459"/>
      <c r="AX312" s="423"/>
      <c r="AY312" s="460">
        <v>4.5720000000000001</v>
      </c>
      <c r="AZ312" s="425">
        <v>4.5720000000000001</v>
      </c>
      <c r="BA312" s="423"/>
      <c r="BB312" s="423"/>
      <c r="BC312" s="427"/>
      <c r="BD312" s="390"/>
      <c r="BE312" s="390"/>
      <c r="BF312" s="379"/>
      <c r="BG312" s="379"/>
      <c r="BH312" s="427"/>
      <c r="BI312" s="379">
        <v>25</v>
      </c>
      <c r="BJ312" s="379"/>
      <c r="BK312" s="428">
        <v>867</v>
      </c>
      <c r="BL312" s="379"/>
      <c r="BM312" s="379"/>
      <c r="BN312" s="379"/>
      <c r="BO312" s="379"/>
      <c r="BP312" s="379"/>
      <c r="BQ312" s="379"/>
      <c r="BR312" s="429">
        <v>1.1069767441860467</v>
      </c>
      <c r="BS312" s="379"/>
      <c r="BT312" s="430"/>
      <c r="BU312" s="430"/>
      <c r="BV312" s="430"/>
      <c r="BW312" s="430"/>
      <c r="BX312" s="431"/>
    </row>
    <row r="313" spans="1:76" x14ac:dyDescent="0.3">
      <c r="A313" s="88"/>
      <c r="B313" s="5"/>
      <c r="C313" s="5"/>
      <c r="D313" s="5"/>
      <c r="E313" s="5"/>
      <c r="F313" s="88"/>
      <c r="G313" s="5"/>
      <c r="H313" s="88"/>
      <c r="I313" s="88"/>
      <c r="J313" s="362" t="s">
        <v>238</v>
      </c>
      <c r="K313" s="363" t="s">
        <v>135</v>
      </c>
      <c r="L313" s="363"/>
      <c r="M313" s="363" t="s">
        <v>239</v>
      </c>
      <c r="N313" s="363" t="s">
        <v>240</v>
      </c>
      <c r="O313" s="363" t="s">
        <v>136</v>
      </c>
      <c r="P313" s="363">
        <v>2018</v>
      </c>
      <c r="Q313" s="432" t="s">
        <v>277</v>
      </c>
      <c r="R313" s="433" t="s">
        <v>279</v>
      </c>
      <c r="S313" s="363"/>
      <c r="T313" s="363"/>
      <c r="U313" s="363" t="s">
        <v>189</v>
      </c>
      <c r="V313" s="363" t="s">
        <v>198</v>
      </c>
      <c r="W313" s="363" t="s">
        <v>243</v>
      </c>
      <c r="X313" s="363">
        <v>2019</v>
      </c>
      <c r="Y313" s="363"/>
      <c r="Z313" s="363" t="str">
        <f>VLOOKUP(R313,KEY_Processes!$C$55:$E$130,3,FALSE)</f>
        <v>HW_GHPL_ELC01</v>
      </c>
      <c r="AA313" s="363" t="str">
        <f>VLOOKUP(R313,KEY_Processes!$C$55:$E$130,2,FALSE)</f>
        <v>HW_GroundHeatPump_ELC_LARGE</v>
      </c>
      <c r="AB313" s="363" t="str">
        <f>VLOOKUP(U313,KEY_FUELS!$C$4:$D$77,2,FALSE)</f>
        <v>ELC</v>
      </c>
      <c r="AC313" s="363" t="s">
        <v>150</v>
      </c>
      <c r="AD313" s="363" t="s">
        <v>244</v>
      </c>
      <c r="AE313" s="363" t="s">
        <v>152</v>
      </c>
      <c r="AF313" s="366" t="str">
        <f>VLOOKUP(W313,KEY_Other!$B$37:$C$89,2,FALSE)</f>
        <v>EUR</v>
      </c>
      <c r="AG313" s="363"/>
      <c r="AH313" s="363" t="str">
        <f>AC313&amp;VLOOKUP(U313,KEY_FUELS!$C$4:$D$78,2,FALSE)</f>
        <v>RSDELC</v>
      </c>
      <c r="AI313" s="363" t="str">
        <f>IFERROR(AC313&amp;VLOOKUP(V313,KEY_FUELS!$C$4:$D$78,2,FALSE),"")</f>
        <v>RSDGEO</v>
      </c>
      <c r="AJ313" s="363" t="str">
        <f t="shared" ref="AJ313:AJ315" si="100">LEFT(AC313,1)&amp;LEFT(AA313,1)&amp;AD313</f>
        <v>RHAP</v>
      </c>
      <c r="AK313" s="363" t="str">
        <f t="shared" si="98"/>
        <v>RWAP</v>
      </c>
      <c r="AL313" s="363" t="str">
        <f t="shared" si="99"/>
        <v/>
      </c>
      <c r="AM313" s="364">
        <v>31.536000000000001</v>
      </c>
      <c r="AN313" s="363">
        <v>2019</v>
      </c>
      <c r="AO313" s="434">
        <v>1</v>
      </c>
      <c r="AP313" s="453"/>
      <c r="AQ313" s="436"/>
      <c r="AR313" s="436"/>
      <c r="AS313" s="436"/>
      <c r="AT313" s="436" t="s">
        <v>248</v>
      </c>
      <c r="AU313" s="370">
        <v>0.55000000000000004</v>
      </c>
      <c r="AV313" s="444"/>
      <c r="AW313" s="444"/>
      <c r="AX313" s="435"/>
      <c r="AY313" s="461">
        <v>4.5720000000000001</v>
      </c>
      <c r="AZ313" s="437">
        <v>4.5720000000000001</v>
      </c>
      <c r="BA313" s="435"/>
      <c r="BB313" s="435"/>
      <c r="BC313" s="439"/>
      <c r="BD313" s="374"/>
      <c r="BE313" s="374"/>
      <c r="BF313" s="363"/>
      <c r="BG313" s="363"/>
      <c r="BH313" s="439"/>
      <c r="BI313" s="363">
        <v>25</v>
      </c>
      <c r="BJ313" s="363"/>
      <c r="BK313" s="440">
        <v>867</v>
      </c>
      <c r="BL313" s="363"/>
      <c r="BM313" s="363"/>
      <c r="BN313" s="363"/>
      <c r="BO313" s="363"/>
      <c r="BP313" s="363"/>
      <c r="BQ313" s="363"/>
      <c r="BR313" s="441">
        <v>1.1069767441860467</v>
      </c>
      <c r="BS313" s="363"/>
      <c r="BT313" s="442"/>
      <c r="BU313" s="442"/>
      <c r="BV313" s="442"/>
      <c r="BW313" s="442"/>
      <c r="BX313" s="443"/>
    </row>
    <row r="314" spans="1:76" x14ac:dyDescent="0.3">
      <c r="A314" s="88"/>
      <c r="B314" s="5"/>
      <c r="C314" s="5"/>
      <c r="D314" s="5"/>
      <c r="E314" s="5"/>
      <c r="F314" s="88"/>
      <c r="G314" s="5"/>
      <c r="H314" s="88"/>
      <c r="I314" s="88"/>
      <c r="J314" s="378" t="s">
        <v>238</v>
      </c>
      <c r="K314" s="379" t="s">
        <v>135</v>
      </c>
      <c r="L314" s="379"/>
      <c r="M314" s="379" t="s">
        <v>239</v>
      </c>
      <c r="N314" s="379" t="s">
        <v>240</v>
      </c>
      <c r="O314" s="379" t="s">
        <v>136</v>
      </c>
      <c r="P314" s="379">
        <v>2018</v>
      </c>
      <c r="Q314" s="420" t="s">
        <v>277</v>
      </c>
      <c r="R314" s="421" t="s">
        <v>279</v>
      </c>
      <c r="S314" s="379"/>
      <c r="T314" s="379"/>
      <c r="U314" s="379" t="s">
        <v>189</v>
      </c>
      <c r="V314" s="379" t="s">
        <v>198</v>
      </c>
      <c r="W314" s="379" t="s">
        <v>243</v>
      </c>
      <c r="X314" s="379">
        <v>2019</v>
      </c>
      <c r="Y314" s="379"/>
      <c r="Z314" s="379" t="str">
        <f>VLOOKUP(R314,KEY_Processes!$C$55:$E$130,3,FALSE)</f>
        <v>HW_GHPL_ELC01</v>
      </c>
      <c r="AA314" s="379" t="str">
        <f>VLOOKUP(R314,KEY_Processes!$C$55:$E$130,2,FALSE)</f>
        <v>HW_GroundHeatPump_ELC_LARGE</v>
      </c>
      <c r="AB314" s="379" t="str">
        <f>VLOOKUP(U314,KEY_FUELS!$C$4:$D$77,2,FALSE)</f>
        <v>ELC</v>
      </c>
      <c r="AC314" s="379" t="s">
        <v>150</v>
      </c>
      <c r="AD314" s="379" t="s">
        <v>244</v>
      </c>
      <c r="AE314" s="379" t="s">
        <v>152</v>
      </c>
      <c r="AF314" s="382" t="str">
        <f>VLOOKUP(W314,KEY_Other!$B$37:$C$89,2,FALSE)</f>
        <v>EUR</v>
      </c>
      <c r="AG314" s="379"/>
      <c r="AH314" s="379" t="str">
        <f>AC314&amp;VLOOKUP(U314,KEY_FUELS!$C$4:$D$78,2,FALSE)</f>
        <v>RSDELC</v>
      </c>
      <c r="AI314" s="379" t="str">
        <f>IFERROR(AC314&amp;VLOOKUP(V314,KEY_FUELS!$C$4:$D$78,2,FALSE),"")</f>
        <v>RSDGEO</v>
      </c>
      <c r="AJ314" s="379" t="str">
        <f t="shared" si="100"/>
        <v>RHAP</v>
      </c>
      <c r="AK314" s="379" t="str">
        <f t="shared" si="98"/>
        <v>RWAP</v>
      </c>
      <c r="AL314" s="379" t="str">
        <f t="shared" si="99"/>
        <v/>
      </c>
      <c r="AM314" s="380">
        <v>31.536000000000001</v>
      </c>
      <c r="AN314" s="379">
        <v>2019</v>
      </c>
      <c r="AO314" s="422">
        <v>1</v>
      </c>
      <c r="AP314" s="458"/>
      <c r="AQ314" s="424"/>
      <c r="AR314" s="424"/>
      <c r="AS314" s="424"/>
      <c r="AT314" s="424" t="s">
        <v>158</v>
      </c>
      <c r="AU314" s="386">
        <v>0.63</v>
      </c>
      <c r="AV314" s="459"/>
      <c r="AW314" s="459"/>
      <c r="AX314" s="423"/>
      <c r="AY314" s="460">
        <v>4.5720000000000001</v>
      </c>
      <c r="AZ314" s="425">
        <v>4.5720000000000001</v>
      </c>
      <c r="BA314" s="423"/>
      <c r="BB314" s="423"/>
      <c r="BC314" s="427"/>
      <c r="BD314" s="390"/>
      <c r="BE314" s="390"/>
      <c r="BF314" s="379"/>
      <c r="BG314" s="379"/>
      <c r="BH314" s="427"/>
      <c r="BI314" s="379">
        <v>25</v>
      </c>
      <c r="BJ314" s="379"/>
      <c r="BK314" s="428">
        <v>867</v>
      </c>
      <c r="BL314" s="379"/>
      <c r="BM314" s="379"/>
      <c r="BN314" s="379"/>
      <c r="BO314" s="379"/>
      <c r="BP314" s="379"/>
      <c r="BQ314" s="379"/>
      <c r="BR314" s="429">
        <v>1.1069767441860467</v>
      </c>
      <c r="BS314" s="379"/>
      <c r="BT314" s="430"/>
      <c r="BU314" s="430"/>
      <c r="BV314" s="430"/>
      <c r="BW314" s="430"/>
      <c r="BX314" s="431"/>
    </row>
    <row r="315" spans="1:76" x14ac:dyDescent="0.3">
      <c r="A315" s="88"/>
      <c r="B315" s="5"/>
      <c r="C315" s="5"/>
      <c r="D315" s="5"/>
      <c r="E315" s="5"/>
      <c r="F315" s="88"/>
      <c r="G315" s="5"/>
      <c r="H315" s="88"/>
      <c r="I315" s="88"/>
      <c r="J315" s="362" t="s">
        <v>238</v>
      </c>
      <c r="K315" s="363" t="s">
        <v>135</v>
      </c>
      <c r="L315" s="363"/>
      <c r="M315" s="363" t="s">
        <v>239</v>
      </c>
      <c r="N315" s="363" t="s">
        <v>240</v>
      </c>
      <c r="O315" s="363" t="s">
        <v>136</v>
      </c>
      <c r="P315" s="363">
        <v>2018</v>
      </c>
      <c r="Q315" s="432" t="s">
        <v>277</v>
      </c>
      <c r="R315" s="433" t="s">
        <v>279</v>
      </c>
      <c r="S315" s="363"/>
      <c r="T315" s="363"/>
      <c r="U315" s="363" t="s">
        <v>189</v>
      </c>
      <c r="V315" s="363" t="s">
        <v>198</v>
      </c>
      <c r="W315" s="363" t="s">
        <v>243</v>
      </c>
      <c r="X315" s="363">
        <v>2019</v>
      </c>
      <c r="Y315" s="363"/>
      <c r="Z315" s="363" t="str">
        <f>VLOOKUP(R315,KEY_Processes!$C$55:$E$130,3,FALSE)</f>
        <v>HW_GHPL_ELC01</v>
      </c>
      <c r="AA315" s="363" t="str">
        <f>VLOOKUP(R315,KEY_Processes!$C$55:$E$130,2,FALSE)</f>
        <v>HW_GroundHeatPump_ELC_LARGE</v>
      </c>
      <c r="AB315" s="363" t="str">
        <f>VLOOKUP(U315,KEY_FUELS!$C$4:$D$77,2,FALSE)</f>
        <v>ELC</v>
      </c>
      <c r="AC315" s="363" t="s">
        <v>150</v>
      </c>
      <c r="AD315" s="363" t="s">
        <v>244</v>
      </c>
      <c r="AE315" s="363" t="s">
        <v>152</v>
      </c>
      <c r="AF315" s="366" t="str">
        <f>VLOOKUP(W315,KEY_Other!$B$37:$C$89,2,FALSE)</f>
        <v>EUR</v>
      </c>
      <c r="AG315" s="363"/>
      <c r="AH315" s="363" t="str">
        <f>AC315&amp;VLOOKUP(U315,KEY_FUELS!$C$4:$D$78,2,FALSE)</f>
        <v>RSDELC</v>
      </c>
      <c r="AI315" s="363" t="str">
        <f>IFERROR(AC315&amp;VLOOKUP(V315,KEY_FUELS!$C$4:$D$78,2,FALSE),"")</f>
        <v>RSDGEO</v>
      </c>
      <c r="AJ315" s="363" t="str">
        <f t="shared" si="100"/>
        <v>RHAP</v>
      </c>
      <c r="AK315" s="363" t="str">
        <f t="shared" si="98"/>
        <v>RWAP</v>
      </c>
      <c r="AL315" s="363" t="str">
        <f t="shared" si="99"/>
        <v/>
      </c>
      <c r="AM315" s="364">
        <v>31.536000000000001</v>
      </c>
      <c r="AN315" s="363">
        <v>2019</v>
      </c>
      <c r="AO315" s="434">
        <v>1</v>
      </c>
      <c r="AP315" s="453"/>
      <c r="AQ315" s="436"/>
      <c r="AR315" s="436"/>
      <c r="AS315" s="436"/>
      <c r="AT315" s="436" t="s">
        <v>249</v>
      </c>
      <c r="AU315" s="437">
        <v>0.72</v>
      </c>
      <c r="AV315" s="444"/>
      <c r="AW315" s="444"/>
      <c r="AX315" s="435"/>
      <c r="AY315" s="461">
        <v>4.5720000000000001</v>
      </c>
      <c r="AZ315" s="437">
        <v>4.5720000000000001</v>
      </c>
      <c r="BA315" s="435"/>
      <c r="BB315" s="435"/>
      <c r="BC315" s="439"/>
      <c r="BD315" s="374"/>
      <c r="BE315" s="374"/>
      <c r="BF315" s="363"/>
      <c r="BG315" s="363"/>
      <c r="BH315" s="439"/>
      <c r="BI315" s="363">
        <v>25</v>
      </c>
      <c r="BJ315" s="363"/>
      <c r="BK315" s="440">
        <v>867</v>
      </c>
      <c r="BL315" s="363"/>
      <c r="BM315" s="363"/>
      <c r="BN315" s="363"/>
      <c r="BO315" s="363"/>
      <c r="BP315" s="363"/>
      <c r="BQ315" s="363"/>
      <c r="BR315" s="441">
        <v>1.1069767441860467</v>
      </c>
      <c r="BS315" s="363"/>
      <c r="BT315" s="442"/>
      <c r="BU315" s="442"/>
      <c r="BV315" s="442"/>
      <c r="BW315" s="442"/>
      <c r="BX315" s="443"/>
    </row>
    <row r="316" spans="1:76" x14ac:dyDescent="0.3">
      <c r="A316" s="88"/>
      <c r="B316" s="5"/>
      <c r="C316" s="5"/>
      <c r="D316" s="5"/>
      <c r="E316" s="5"/>
      <c r="F316" s="88"/>
      <c r="G316" s="5"/>
      <c r="H316" s="88"/>
      <c r="I316" s="88"/>
      <c r="J316" s="378" t="s">
        <v>238</v>
      </c>
      <c r="K316" s="379" t="s">
        <v>135</v>
      </c>
      <c r="L316" s="379"/>
      <c r="M316" s="379" t="s">
        <v>239</v>
      </c>
      <c r="N316" s="379" t="s">
        <v>240</v>
      </c>
      <c r="O316" s="379" t="s">
        <v>136</v>
      </c>
      <c r="P316" s="379">
        <v>2018</v>
      </c>
      <c r="Q316" s="420" t="s">
        <v>277</v>
      </c>
      <c r="R316" s="421" t="s">
        <v>279</v>
      </c>
      <c r="S316" s="379"/>
      <c r="T316" s="379"/>
      <c r="U316" s="379" t="s">
        <v>189</v>
      </c>
      <c r="V316" s="379" t="s">
        <v>198</v>
      </c>
      <c r="W316" s="379" t="s">
        <v>243</v>
      </c>
      <c r="X316" s="379">
        <v>2030</v>
      </c>
      <c r="Y316" s="379"/>
      <c r="Z316" s="379" t="str">
        <f>VLOOKUP(R316,KEY_Processes!$C$55:$E$130,3,FALSE)</f>
        <v>HW_GHPL_ELC01</v>
      </c>
      <c r="AA316" s="379" t="str">
        <f>VLOOKUP(R316,KEY_Processes!$C$55:$E$130,2,FALSE)</f>
        <v>HW_GroundHeatPump_ELC_LARGE</v>
      </c>
      <c r="AB316" s="379" t="str">
        <f>VLOOKUP(U316,KEY_FUELS!$C$4:$D$77,2,FALSE)</f>
        <v>ELC</v>
      </c>
      <c r="AC316" s="379" t="s">
        <v>150</v>
      </c>
      <c r="AD316" s="379" t="s">
        <v>244</v>
      </c>
      <c r="AE316" s="379" t="s">
        <v>152</v>
      </c>
      <c r="AF316" s="382" t="str">
        <f>VLOOKUP(W316,KEY_Other!$B$37:$C$89,2,FALSE)</f>
        <v>EUR</v>
      </c>
      <c r="AG316" s="379"/>
      <c r="AH316" s="379" t="str">
        <f>AC316&amp;VLOOKUP(U316,KEY_FUELS!$C$4:$D$78,2,FALSE)</f>
        <v>RSDELC</v>
      </c>
      <c r="AI316" s="379" t="str">
        <f>IFERROR(AC316&amp;VLOOKUP(V316,KEY_FUELS!$C$4:$D$78,2,FALSE),"")</f>
        <v>RSDGEO</v>
      </c>
      <c r="AJ316" s="379" t="str">
        <f t="shared" si="78"/>
        <v>RHAP</v>
      </c>
      <c r="AK316" s="379" t="str">
        <f t="shared" si="98"/>
        <v>RWAP</v>
      </c>
      <c r="AL316" s="379" t="str">
        <f t="shared" si="99"/>
        <v/>
      </c>
      <c r="AM316" s="380">
        <v>31.536000000000001</v>
      </c>
      <c r="AN316" s="379">
        <v>2030</v>
      </c>
      <c r="AO316" s="450"/>
      <c r="AP316" s="451"/>
      <c r="AQ316" s="424"/>
      <c r="AR316" s="424"/>
      <c r="AS316" s="424"/>
      <c r="AT316" s="424"/>
      <c r="AU316" s="454"/>
      <c r="AV316" s="454"/>
      <c r="AW316" s="454"/>
      <c r="AX316" s="423"/>
      <c r="AY316" s="460">
        <v>4.9080000000000004</v>
      </c>
      <c r="AZ316" s="425">
        <v>4.9080000000000004</v>
      </c>
      <c r="BA316" s="423"/>
      <c r="BB316" s="423"/>
      <c r="BC316" s="427"/>
      <c r="BD316" s="390"/>
      <c r="BE316" s="390"/>
      <c r="BF316" s="379"/>
      <c r="BG316" s="379"/>
      <c r="BH316" s="427"/>
      <c r="BI316" s="379">
        <v>25</v>
      </c>
      <c r="BJ316" s="379"/>
      <c r="BK316" s="428">
        <v>1014</v>
      </c>
      <c r="BL316" s="379"/>
      <c r="BM316" s="379"/>
      <c r="BN316" s="379"/>
      <c r="BO316" s="379"/>
      <c r="BP316" s="379"/>
      <c r="BQ316" s="379"/>
      <c r="BR316" s="429">
        <v>1.1069767441860467</v>
      </c>
      <c r="BS316" s="379"/>
      <c r="BT316" s="430"/>
      <c r="BU316" s="430"/>
      <c r="BV316" s="430"/>
      <c r="BW316" s="430"/>
      <c r="BX316" s="431"/>
    </row>
    <row r="317" spans="1:76" x14ac:dyDescent="0.3">
      <c r="A317" s="88"/>
      <c r="B317" s="5"/>
      <c r="C317" s="5"/>
      <c r="D317" s="5"/>
      <c r="E317" s="5"/>
      <c r="F317" s="88"/>
      <c r="G317" s="5"/>
      <c r="H317" s="88"/>
      <c r="I317" s="88"/>
      <c r="J317" s="362" t="s">
        <v>238</v>
      </c>
      <c r="K317" s="363" t="s">
        <v>135</v>
      </c>
      <c r="L317" s="363"/>
      <c r="M317" s="363" t="s">
        <v>239</v>
      </c>
      <c r="N317" s="363" t="s">
        <v>240</v>
      </c>
      <c r="O317" s="363" t="s">
        <v>136</v>
      </c>
      <c r="P317" s="363">
        <v>2018</v>
      </c>
      <c r="Q317" s="432" t="s">
        <v>277</v>
      </c>
      <c r="R317" s="433" t="s">
        <v>280</v>
      </c>
      <c r="S317" s="363"/>
      <c r="T317" s="363"/>
      <c r="U317" s="363" t="s">
        <v>189</v>
      </c>
      <c r="V317" s="363" t="s">
        <v>198</v>
      </c>
      <c r="W317" s="363" t="s">
        <v>243</v>
      </c>
      <c r="X317" s="363">
        <v>2019</v>
      </c>
      <c r="Y317" s="363"/>
      <c r="Z317" s="363" t="str">
        <f>VLOOKUP(R317,KEY_Processes!$C$55:$E$130,3,FALSE)</f>
        <v>HWC_GHPL_ELC01</v>
      </c>
      <c r="AA317" s="363" t="str">
        <f>VLOOKUP(R317,KEY_Processes!$C$55:$E$130,2,FALSE)</f>
        <v>HWC_GroundHeatPump_ELC_LARGE</v>
      </c>
      <c r="AB317" s="363" t="str">
        <f>VLOOKUP(U317,KEY_FUELS!$C$4:$D$77,2,FALSE)</f>
        <v>ELC</v>
      </c>
      <c r="AC317" s="363" t="s">
        <v>150</v>
      </c>
      <c r="AD317" s="363" t="s">
        <v>244</v>
      </c>
      <c r="AE317" s="363" t="s">
        <v>152</v>
      </c>
      <c r="AF317" s="366" t="str">
        <f>VLOOKUP(W317,KEY_Other!$B$37:$C$89,2,FALSE)</f>
        <v>EUR</v>
      </c>
      <c r="AG317" s="363"/>
      <c r="AH317" s="363" t="str">
        <f>AC317&amp;VLOOKUP(U317,KEY_FUELS!$C$4:$D$78,2,FALSE)</f>
        <v>RSDELC</v>
      </c>
      <c r="AI317" s="363" t="str">
        <f>IFERROR(AC317&amp;VLOOKUP(V317,KEY_FUELS!$C$4:$D$78,2,FALSE),"")</f>
        <v>RSDGEO</v>
      </c>
      <c r="AJ317" s="363" t="str">
        <f t="shared" si="78"/>
        <v>RHAP</v>
      </c>
      <c r="AK317" s="363" t="str">
        <f t="shared" si="98"/>
        <v/>
      </c>
      <c r="AL317" s="363" t="str">
        <f t="shared" si="99"/>
        <v>RCAP</v>
      </c>
      <c r="AM317" s="364">
        <v>31.536000000000001</v>
      </c>
      <c r="AN317" s="363">
        <v>2019</v>
      </c>
      <c r="AO317" s="434">
        <v>1</v>
      </c>
      <c r="AP317" s="462">
        <v>0.89411764705882346</v>
      </c>
      <c r="AQ317" s="436"/>
      <c r="AR317" s="436"/>
      <c r="AS317" s="436"/>
      <c r="AT317" s="436" t="s">
        <v>161</v>
      </c>
      <c r="AU317" s="437">
        <v>0.39</v>
      </c>
      <c r="AV317" s="437"/>
      <c r="AW317" s="437">
        <v>0.01</v>
      </c>
      <c r="AX317" s="435"/>
      <c r="AY317" s="461">
        <v>5.0999999999999996</v>
      </c>
      <c r="AZ317" s="437">
        <v>5.0999999999999996</v>
      </c>
      <c r="BA317" s="435"/>
      <c r="BB317" s="435"/>
      <c r="BC317" s="439"/>
      <c r="BD317" s="374"/>
      <c r="BE317" s="374"/>
      <c r="BF317" s="363"/>
      <c r="BG317" s="363"/>
      <c r="BH317" s="439"/>
      <c r="BI317" s="363">
        <v>25</v>
      </c>
      <c r="BJ317" s="363"/>
      <c r="BK317" s="440">
        <v>1001</v>
      </c>
      <c r="BL317" s="363"/>
      <c r="BM317" s="363"/>
      <c r="BN317" s="363"/>
      <c r="BO317" s="363"/>
      <c r="BP317" s="363"/>
      <c r="BQ317" s="363"/>
      <c r="BR317" s="441">
        <v>1.1069767441860467</v>
      </c>
      <c r="BS317" s="363"/>
      <c r="BT317" s="442"/>
      <c r="BU317" s="442"/>
      <c r="BV317" s="442"/>
      <c r="BW317" s="442"/>
      <c r="BX317" s="443"/>
    </row>
    <row r="318" spans="1:76" x14ac:dyDescent="0.3">
      <c r="A318" s="88"/>
      <c r="B318" s="5"/>
      <c r="C318" s="5"/>
      <c r="D318" s="5"/>
      <c r="E318" s="5"/>
      <c r="F318" s="88"/>
      <c r="G318" s="5"/>
      <c r="H318" s="88"/>
      <c r="I318" s="88"/>
      <c r="J318" s="378" t="s">
        <v>238</v>
      </c>
      <c r="K318" s="379" t="s">
        <v>135</v>
      </c>
      <c r="L318" s="379"/>
      <c r="M318" s="379" t="s">
        <v>239</v>
      </c>
      <c r="N318" s="379" t="s">
        <v>240</v>
      </c>
      <c r="O318" s="379" t="s">
        <v>136</v>
      </c>
      <c r="P318" s="379">
        <v>2018</v>
      </c>
      <c r="Q318" s="420" t="s">
        <v>277</v>
      </c>
      <c r="R318" s="421" t="s">
        <v>280</v>
      </c>
      <c r="S318" s="379"/>
      <c r="T318" s="379"/>
      <c r="U318" s="379" t="s">
        <v>189</v>
      </c>
      <c r="V318" s="379" t="s">
        <v>198</v>
      </c>
      <c r="W318" s="379" t="s">
        <v>243</v>
      </c>
      <c r="X318" s="379">
        <v>2019</v>
      </c>
      <c r="Y318" s="379"/>
      <c r="Z318" s="379" t="str">
        <f>VLOOKUP(R318,KEY_Processes!$C$55:$E$130,3,FALSE)</f>
        <v>HWC_GHPL_ELC01</v>
      </c>
      <c r="AA318" s="379" t="str">
        <f>VLOOKUP(R318,KEY_Processes!$C$55:$E$130,2,FALSE)</f>
        <v>HWC_GroundHeatPump_ELC_LARGE</v>
      </c>
      <c r="AB318" s="379" t="str">
        <f>VLOOKUP(U318,KEY_FUELS!$C$4:$D$77,2,FALSE)</f>
        <v>ELC</v>
      </c>
      <c r="AC318" s="379" t="s">
        <v>150</v>
      </c>
      <c r="AD318" s="379" t="s">
        <v>244</v>
      </c>
      <c r="AE318" s="379" t="s">
        <v>152</v>
      </c>
      <c r="AF318" s="382" t="str">
        <f>VLOOKUP(W318,KEY_Other!$B$37:$C$89,2,FALSE)</f>
        <v>EUR</v>
      </c>
      <c r="AG318" s="379"/>
      <c r="AH318" s="379" t="str">
        <f>AC318&amp;VLOOKUP(U318,KEY_FUELS!$C$4:$D$78,2,FALSE)</f>
        <v>RSDELC</v>
      </c>
      <c r="AI318" s="379" t="str">
        <f>IFERROR(AC318&amp;VLOOKUP(V318,KEY_FUELS!$C$4:$D$78,2,FALSE),"")</f>
        <v>RSDGEO</v>
      </c>
      <c r="AJ318" s="379" t="str">
        <f t="shared" ref="AJ318:AJ320" si="101">LEFT(AC318,1)&amp;LEFT(AA318,1)&amp;AD318</f>
        <v>RHAP</v>
      </c>
      <c r="AK318" s="379" t="str">
        <f t="shared" si="98"/>
        <v/>
      </c>
      <c r="AL318" s="379" t="str">
        <f t="shared" si="99"/>
        <v>RCAP</v>
      </c>
      <c r="AM318" s="380">
        <v>31.536000000000001</v>
      </c>
      <c r="AN318" s="379">
        <v>2019</v>
      </c>
      <c r="AO318" s="422">
        <v>1</v>
      </c>
      <c r="AP318" s="463">
        <v>0.89411764705882346</v>
      </c>
      <c r="AQ318" s="424"/>
      <c r="AR318" s="424"/>
      <c r="AS318" s="424"/>
      <c r="AT318" s="424" t="s">
        <v>248</v>
      </c>
      <c r="AU318" s="425">
        <v>0.44</v>
      </c>
      <c r="AV318" s="425"/>
      <c r="AW318" s="425">
        <v>1.0999999999999999E-2</v>
      </c>
      <c r="AX318" s="423"/>
      <c r="AY318" s="460">
        <v>5.0999999999999996</v>
      </c>
      <c r="AZ318" s="425">
        <v>5.0999999999999996</v>
      </c>
      <c r="BA318" s="423"/>
      <c r="BB318" s="423"/>
      <c r="BC318" s="427"/>
      <c r="BD318" s="390"/>
      <c r="BE318" s="390"/>
      <c r="BF318" s="379"/>
      <c r="BG318" s="379"/>
      <c r="BH318" s="427"/>
      <c r="BI318" s="379">
        <v>25</v>
      </c>
      <c r="BJ318" s="379"/>
      <c r="BK318" s="428">
        <v>1001</v>
      </c>
      <c r="BL318" s="379"/>
      <c r="BM318" s="379"/>
      <c r="BN318" s="379"/>
      <c r="BO318" s="379"/>
      <c r="BP318" s="379"/>
      <c r="BQ318" s="379"/>
      <c r="BR318" s="429">
        <v>1.1069767441860467</v>
      </c>
      <c r="BS318" s="379"/>
      <c r="BT318" s="430"/>
      <c r="BU318" s="430"/>
      <c r="BV318" s="430"/>
      <c r="BW318" s="430"/>
      <c r="BX318" s="431"/>
    </row>
    <row r="319" spans="1:76" x14ac:dyDescent="0.3">
      <c r="A319" s="88"/>
      <c r="B319" s="5"/>
      <c r="C319" s="5"/>
      <c r="D319" s="5"/>
      <c r="E319" s="5"/>
      <c r="F319" s="88"/>
      <c r="G319" s="5"/>
      <c r="H319" s="88"/>
      <c r="I319" s="88"/>
      <c r="J319" s="362" t="s">
        <v>238</v>
      </c>
      <c r="K319" s="363" t="s">
        <v>135</v>
      </c>
      <c r="L319" s="363"/>
      <c r="M319" s="363" t="s">
        <v>239</v>
      </c>
      <c r="N319" s="363" t="s">
        <v>240</v>
      </c>
      <c r="O319" s="363" t="s">
        <v>136</v>
      </c>
      <c r="P319" s="363">
        <v>2018</v>
      </c>
      <c r="Q319" s="432" t="s">
        <v>277</v>
      </c>
      <c r="R319" s="433" t="s">
        <v>280</v>
      </c>
      <c r="S319" s="363"/>
      <c r="T319" s="363"/>
      <c r="U319" s="363" t="s">
        <v>189</v>
      </c>
      <c r="V319" s="363" t="s">
        <v>198</v>
      </c>
      <c r="W319" s="363" t="s">
        <v>243</v>
      </c>
      <c r="X319" s="363">
        <v>2019</v>
      </c>
      <c r="Y319" s="363"/>
      <c r="Z319" s="363" t="str">
        <f>VLOOKUP(R319,KEY_Processes!$C$55:$E$130,3,FALSE)</f>
        <v>HWC_GHPL_ELC01</v>
      </c>
      <c r="AA319" s="363" t="str">
        <f>VLOOKUP(R319,KEY_Processes!$C$55:$E$130,2,FALSE)</f>
        <v>HWC_GroundHeatPump_ELC_LARGE</v>
      </c>
      <c r="AB319" s="363" t="str">
        <f>VLOOKUP(U319,KEY_FUELS!$C$4:$D$77,2,FALSE)</f>
        <v>ELC</v>
      </c>
      <c r="AC319" s="363" t="s">
        <v>150</v>
      </c>
      <c r="AD319" s="363" t="s">
        <v>244</v>
      </c>
      <c r="AE319" s="363" t="s">
        <v>152</v>
      </c>
      <c r="AF319" s="366" t="str">
        <f>VLOOKUP(W319,KEY_Other!$B$37:$C$89,2,FALSE)</f>
        <v>EUR</v>
      </c>
      <c r="AG319" s="363"/>
      <c r="AH319" s="363" t="str">
        <f>AC319&amp;VLOOKUP(U319,KEY_FUELS!$C$4:$D$78,2,FALSE)</f>
        <v>RSDELC</v>
      </c>
      <c r="AI319" s="363" t="str">
        <f>IFERROR(AC319&amp;VLOOKUP(V319,KEY_FUELS!$C$4:$D$78,2,FALSE),"")</f>
        <v>RSDGEO</v>
      </c>
      <c r="AJ319" s="363" t="str">
        <f t="shared" si="101"/>
        <v>RHAP</v>
      </c>
      <c r="AK319" s="363" t="str">
        <f t="shared" si="98"/>
        <v/>
      </c>
      <c r="AL319" s="363" t="str">
        <f t="shared" si="99"/>
        <v>RCAP</v>
      </c>
      <c r="AM319" s="364">
        <v>31.536000000000001</v>
      </c>
      <c r="AN319" s="363">
        <v>2019</v>
      </c>
      <c r="AO319" s="434">
        <v>1</v>
      </c>
      <c r="AP319" s="462">
        <v>0.89411764705882346</v>
      </c>
      <c r="AQ319" s="436"/>
      <c r="AR319" s="436"/>
      <c r="AS319" s="436"/>
      <c r="AT319" s="436" t="s">
        <v>158</v>
      </c>
      <c r="AU319" s="437">
        <v>0.51</v>
      </c>
      <c r="AV319" s="437"/>
      <c r="AW319" s="437">
        <v>1.2999999999999999E-2</v>
      </c>
      <c r="AX319" s="435"/>
      <c r="AY319" s="461">
        <v>5.0999999999999996</v>
      </c>
      <c r="AZ319" s="437">
        <v>5.0999999999999996</v>
      </c>
      <c r="BA319" s="435"/>
      <c r="BB319" s="435"/>
      <c r="BC319" s="439"/>
      <c r="BD319" s="374"/>
      <c r="BE319" s="374"/>
      <c r="BF319" s="363"/>
      <c r="BG319" s="363"/>
      <c r="BH319" s="439"/>
      <c r="BI319" s="363">
        <v>25</v>
      </c>
      <c r="BJ319" s="363"/>
      <c r="BK319" s="440">
        <v>1001</v>
      </c>
      <c r="BL319" s="363"/>
      <c r="BM319" s="363"/>
      <c r="BN319" s="363"/>
      <c r="BO319" s="363"/>
      <c r="BP319" s="363"/>
      <c r="BQ319" s="363"/>
      <c r="BR319" s="441">
        <v>1.1069767441860467</v>
      </c>
      <c r="BS319" s="363"/>
      <c r="BT319" s="442"/>
      <c r="BU319" s="442"/>
      <c r="BV319" s="442"/>
      <c r="BW319" s="442"/>
      <c r="BX319" s="443"/>
    </row>
    <row r="320" spans="1:76" x14ac:dyDescent="0.3">
      <c r="A320" s="88"/>
      <c r="B320" s="5"/>
      <c r="C320" s="5"/>
      <c r="D320" s="5"/>
      <c r="E320" s="5"/>
      <c r="F320" s="88"/>
      <c r="G320" s="5"/>
      <c r="H320" s="88"/>
      <c r="I320" s="88"/>
      <c r="J320" s="378" t="s">
        <v>238</v>
      </c>
      <c r="K320" s="379" t="s">
        <v>135</v>
      </c>
      <c r="L320" s="379"/>
      <c r="M320" s="379" t="s">
        <v>239</v>
      </c>
      <c r="N320" s="379" t="s">
        <v>240</v>
      </c>
      <c r="O320" s="379" t="s">
        <v>136</v>
      </c>
      <c r="P320" s="379">
        <v>2018</v>
      </c>
      <c r="Q320" s="420" t="s">
        <v>277</v>
      </c>
      <c r="R320" s="421" t="s">
        <v>280</v>
      </c>
      <c r="S320" s="379"/>
      <c r="T320" s="379"/>
      <c r="U320" s="379" t="s">
        <v>189</v>
      </c>
      <c r="V320" s="379" t="s">
        <v>198</v>
      </c>
      <c r="W320" s="379" t="s">
        <v>243</v>
      </c>
      <c r="X320" s="379">
        <v>2019</v>
      </c>
      <c r="Y320" s="379"/>
      <c r="Z320" s="379" t="str">
        <f>VLOOKUP(R320,KEY_Processes!$C$55:$E$130,3,FALSE)</f>
        <v>HWC_GHPL_ELC01</v>
      </c>
      <c r="AA320" s="379" t="str">
        <f>VLOOKUP(R320,KEY_Processes!$C$55:$E$130,2,FALSE)</f>
        <v>HWC_GroundHeatPump_ELC_LARGE</v>
      </c>
      <c r="AB320" s="379" t="str">
        <f>VLOOKUP(U320,KEY_FUELS!$C$4:$D$77,2,FALSE)</f>
        <v>ELC</v>
      </c>
      <c r="AC320" s="379" t="s">
        <v>150</v>
      </c>
      <c r="AD320" s="379" t="s">
        <v>244</v>
      </c>
      <c r="AE320" s="379" t="s">
        <v>152</v>
      </c>
      <c r="AF320" s="382" t="str">
        <f>VLOOKUP(W320,KEY_Other!$B$37:$C$89,2,FALSE)</f>
        <v>EUR</v>
      </c>
      <c r="AG320" s="379"/>
      <c r="AH320" s="379" t="str">
        <f>AC320&amp;VLOOKUP(U320,KEY_FUELS!$C$4:$D$78,2,FALSE)</f>
        <v>RSDELC</v>
      </c>
      <c r="AI320" s="379" t="str">
        <f>IFERROR(AC320&amp;VLOOKUP(V320,KEY_FUELS!$C$4:$D$78,2,FALSE),"")</f>
        <v>RSDGEO</v>
      </c>
      <c r="AJ320" s="379" t="str">
        <f t="shared" si="101"/>
        <v>RHAP</v>
      </c>
      <c r="AK320" s="379" t="str">
        <f t="shared" si="98"/>
        <v/>
      </c>
      <c r="AL320" s="379" t="str">
        <f t="shared" si="99"/>
        <v>RCAP</v>
      </c>
      <c r="AM320" s="380">
        <v>31.536000000000001</v>
      </c>
      <c r="AN320" s="379">
        <v>2019</v>
      </c>
      <c r="AO320" s="422">
        <v>1</v>
      </c>
      <c r="AP320" s="463">
        <v>0.89411764705882346</v>
      </c>
      <c r="AQ320" s="424"/>
      <c r="AR320" s="424"/>
      <c r="AS320" s="424"/>
      <c r="AT320" s="424" t="s">
        <v>249</v>
      </c>
      <c r="AU320" s="425">
        <v>0.57999999999999996</v>
      </c>
      <c r="AV320" s="425"/>
      <c r="AW320" s="425">
        <v>1.4E-2</v>
      </c>
      <c r="AX320" s="423"/>
      <c r="AY320" s="460">
        <v>5.0999999999999996</v>
      </c>
      <c r="AZ320" s="425">
        <v>5.0999999999999996</v>
      </c>
      <c r="BA320" s="423"/>
      <c r="BB320" s="423"/>
      <c r="BC320" s="427"/>
      <c r="BD320" s="390"/>
      <c r="BE320" s="390"/>
      <c r="BF320" s="379"/>
      <c r="BG320" s="379"/>
      <c r="BH320" s="427"/>
      <c r="BI320" s="379">
        <v>25</v>
      </c>
      <c r="BJ320" s="379"/>
      <c r="BK320" s="428">
        <v>1001</v>
      </c>
      <c r="BL320" s="379"/>
      <c r="BM320" s="379"/>
      <c r="BN320" s="379"/>
      <c r="BO320" s="379"/>
      <c r="BP320" s="379"/>
      <c r="BQ320" s="379"/>
      <c r="BR320" s="429">
        <v>1.1069767441860467</v>
      </c>
      <c r="BS320" s="379"/>
      <c r="BT320" s="430"/>
      <c r="BU320" s="430"/>
      <c r="BV320" s="430"/>
      <c r="BW320" s="430"/>
      <c r="BX320" s="431"/>
    </row>
    <row r="321" spans="1:76" x14ac:dyDescent="0.3">
      <c r="A321" s="88"/>
      <c r="B321" s="5"/>
      <c r="C321" s="5"/>
      <c r="D321" s="5"/>
      <c r="E321" s="5"/>
      <c r="F321" s="88"/>
      <c r="G321" s="5"/>
      <c r="H321" s="88"/>
      <c r="I321" s="88"/>
      <c r="J321" s="362" t="s">
        <v>238</v>
      </c>
      <c r="K321" s="363" t="s">
        <v>135</v>
      </c>
      <c r="L321" s="363"/>
      <c r="M321" s="363" t="s">
        <v>239</v>
      </c>
      <c r="N321" s="363" t="s">
        <v>240</v>
      </c>
      <c r="O321" s="363" t="s">
        <v>136</v>
      </c>
      <c r="P321" s="363">
        <v>2018</v>
      </c>
      <c r="Q321" s="432" t="s">
        <v>277</v>
      </c>
      <c r="R321" s="433" t="s">
        <v>280</v>
      </c>
      <c r="S321" s="363"/>
      <c r="T321" s="363"/>
      <c r="U321" s="363" t="s">
        <v>189</v>
      </c>
      <c r="V321" s="363" t="s">
        <v>198</v>
      </c>
      <c r="W321" s="363" t="s">
        <v>243</v>
      </c>
      <c r="X321" s="363">
        <v>2030</v>
      </c>
      <c r="Y321" s="363"/>
      <c r="Z321" s="363" t="str">
        <f>VLOOKUP(R321,KEY_Processes!$C$55:$E$130,3,FALSE)</f>
        <v>HWC_GHPL_ELC01</v>
      </c>
      <c r="AA321" s="363" t="str">
        <f>VLOOKUP(R321,KEY_Processes!$C$55:$E$130,2,FALSE)</f>
        <v>HWC_GroundHeatPump_ELC_LARGE</v>
      </c>
      <c r="AB321" s="363" t="str">
        <f>VLOOKUP(U321,KEY_FUELS!$C$4:$D$77,2,FALSE)</f>
        <v>ELC</v>
      </c>
      <c r="AC321" s="363" t="s">
        <v>150</v>
      </c>
      <c r="AD321" s="363" t="s">
        <v>244</v>
      </c>
      <c r="AE321" s="363" t="s">
        <v>152</v>
      </c>
      <c r="AF321" s="366" t="str">
        <f>VLOOKUP(W321,KEY_Other!$B$37:$C$89,2,FALSE)</f>
        <v>EUR</v>
      </c>
      <c r="AG321" s="363"/>
      <c r="AH321" s="363" t="str">
        <f>AC321&amp;VLOOKUP(U321,KEY_FUELS!$C$4:$D$78,2,FALSE)</f>
        <v>RSDELC</v>
      </c>
      <c r="AI321" s="363" t="str">
        <f>IFERROR(AC321&amp;VLOOKUP(V321,KEY_FUELS!$C$4:$D$78,2,FALSE),"")</f>
        <v>RSDGEO</v>
      </c>
      <c r="AJ321" s="363" t="str">
        <f t="shared" si="78"/>
        <v>RHAP</v>
      </c>
      <c r="AK321" s="363" t="str">
        <f t="shared" si="98"/>
        <v/>
      </c>
      <c r="AL321" s="363" t="str">
        <f t="shared" si="99"/>
        <v>RCAP</v>
      </c>
      <c r="AM321" s="364">
        <v>31.536000000000001</v>
      </c>
      <c r="AN321" s="363">
        <v>2030</v>
      </c>
      <c r="AO321" s="455"/>
      <c r="AP321" s="456"/>
      <c r="AQ321" s="436"/>
      <c r="AR321" s="436"/>
      <c r="AS321" s="436"/>
      <c r="AT321" s="436"/>
      <c r="AU321" s="457"/>
      <c r="AV321" s="457"/>
      <c r="AW321" s="457"/>
      <c r="AX321" s="435"/>
      <c r="AY321" s="461">
        <v>6.6</v>
      </c>
      <c r="AZ321" s="437">
        <v>6.6</v>
      </c>
      <c r="BA321" s="435"/>
      <c r="BB321" s="435"/>
      <c r="BC321" s="439"/>
      <c r="BD321" s="374"/>
      <c r="BE321" s="374"/>
      <c r="BF321" s="363"/>
      <c r="BG321" s="363"/>
      <c r="BH321" s="439"/>
      <c r="BI321" s="363">
        <v>25</v>
      </c>
      <c r="BJ321" s="363"/>
      <c r="BK321" s="440">
        <v>1211</v>
      </c>
      <c r="BL321" s="363"/>
      <c r="BM321" s="363"/>
      <c r="BN321" s="363"/>
      <c r="BO321" s="363"/>
      <c r="BP321" s="363"/>
      <c r="BQ321" s="363"/>
      <c r="BR321" s="441">
        <v>1.1069767441860467</v>
      </c>
      <c r="BS321" s="363"/>
      <c r="BT321" s="442"/>
      <c r="BU321" s="442"/>
      <c r="BV321" s="442"/>
      <c r="BW321" s="442"/>
      <c r="BX321" s="443"/>
    </row>
    <row r="322" spans="1:76" x14ac:dyDescent="0.3">
      <c r="A322" s="88"/>
      <c r="B322" s="5"/>
      <c r="C322" s="5"/>
      <c r="D322" s="5"/>
      <c r="E322" s="5"/>
      <c r="F322" s="88"/>
      <c r="G322" s="5"/>
      <c r="H322" s="88"/>
      <c r="I322" s="88"/>
      <c r="J322" s="378" t="s">
        <v>238</v>
      </c>
      <c r="K322" s="379" t="s">
        <v>135</v>
      </c>
      <c r="L322" s="379"/>
      <c r="M322" s="379" t="s">
        <v>239</v>
      </c>
      <c r="N322" s="379" t="s">
        <v>240</v>
      </c>
      <c r="O322" s="379" t="s">
        <v>136</v>
      </c>
      <c r="P322" s="379">
        <v>2018</v>
      </c>
      <c r="Q322" s="420" t="s">
        <v>277</v>
      </c>
      <c r="R322" s="421" t="s">
        <v>278</v>
      </c>
      <c r="S322" s="379"/>
      <c r="T322" s="379"/>
      <c r="U322" s="379" t="s">
        <v>189</v>
      </c>
      <c r="V322" s="379" t="s">
        <v>198</v>
      </c>
      <c r="W322" s="379" t="s">
        <v>243</v>
      </c>
      <c r="X322" s="379">
        <v>2019</v>
      </c>
      <c r="Y322" s="379"/>
      <c r="Z322" s="379" t="str">
        <f>VLOOKUP(R322,KEY_Processes!$C$55:$E$130,3,FALSE)</f>
        <v>H_GHPL_ELC01</v>
      </c>
      <c r="AA322" s="379" t="str">
        <f>VLOOKUP(R322,KEY_Processes!$C$55:$E$130,2,FALSE)</f>
        <v>H_GroundHeatPump_ELC_LARGE</v>
      </c>
      <c r="AB322" s="379" t="str">
        <f>VLOOKUP(U322,KEY_FUELS!$C$4:$D$77,2,FALSE)</f>
        <v>ELC</v>
      </c>
      <c r="AC322" s="379" t="s">
        <v>150</v>
      </c>
      <c r="AD322" s="379" t="s">
        <v>244</v>
      </c>
      <c r="AE322" s="379" t="s">
        <v>152</v>
      </c>
      <c r="AF322" s="382" t="str">
        <f>VLOOKUP(W322,KEY_Other!$B$37:$C$89,2,FALSE)</f>
        <v>EUR</v>
      </c>
      <c r="AG322" s="379"/>
      <c r="AH322" s="379" t="str">
        <f>AC322&amp;VLOOKUP(U322,KEY_FUELS!$C$4:$D$78,2,FALSE)</f>
        <v>RSDELC</v>
      </c>
      <c r="AI322" s="379" t="str">
        <f>IFERROR(AC322&amp;VLOOKUP(V322,KEY_FUELS!$C$4:$D$78,2,FALSE),"")</f>
        <v>RSDGEO</v>
      </c>
      <c r="AJ322" s="379" t="str">
        <f t="shared" si="78"/>
        <v>RHAP</v>
      </c>
      <c r="AK322" s="379" t="str">
        <f t="shared" si="98"/>
        <v/>
      </c>
      <c r="AL322" s="379" t="str">
        <f t="shared" si="99"/>
        <v/>
      </c>
      <c r="AM322" s="380">
        <v>31.536000000000001</v>
      </c>
      <c r="AN322" s="379">
        <v>2019</v>
      </c>
      <c r="AO322" s="464"/>
      <c r="AP322" s="458"/>
      <c r="AQ322" s="424"/>
      <c r="AR322" s="424"/>
      <c r="AS322" s="424"/>
      <c r="AT322" s="424"/>
      <c r="AU322" s="459"/>
      <c r="AV322" s="459"/>
      <c r="AW322" s="459"/>
      <c r="AX322" s="423"/>
      <c r="AY322" s="460">
        <v>4.5720000000000001</v>
      </c>
      <c r="AZ322" s="425">
        <v>4.5720000000000001</v>
      </c>
      <c r="BA322" s="423"/>
      <c r="BB322" s="423"/>
      <c r="BC322" s="427"/>
      <c r="BD322" s="390"/>
      <c r="BE322" s="390"/>
      <c r="BF322" s="379"/>
      <c r="BG322" s="379"/>
      <c r="BH322" s="427"/>
      <c r="BI322" s="379">
        <v>25</v>
      </c>
      <c r="BJ322" s="379"/>
      <c r="BK322" s="428">
        <v>867</v>
      </c>
      <c r="BL322" s="379"/>
      <c r="BM322" s="379"/>
      <c r="BN322" s="379"/>
      <c r="BO322" s="379"/>
      <c r="BP322" s="379"/>
      <c r="BQ322" s="379"/>
      <c r="BR322" s="429">
        <v>1.1069767441860467</v>
      </c>
      <c r="BS322" s="379"/>
      <c r="BT322" s="430"/>
      <c r="BU322" s="430"/>
      <c r="BV322" s="430"/>
      <c r="BW322" s="430"/>
      <c r="BX322" s="431"/>
    </row>
    <row r="323" spans="1:76" x14ac:dyDescent="0.3">
      <c r="A323" s="88"/>
      <c r="B323" s="5"/>
      <c r="C323" s="5"/>
      <c r="D323" s="5"/>
      <c r="E323" s="5"/>
      <c r="F323" s="88"/>
      <c r="G323" s="5"/>
      <c r="H323" s="88"/>
      <c r="I323" s="88"/>
      <c r="J323" s="362" t="s">
        <v>238</v>
      </c>
      <c r="K323" s="363" t="s">
        <v>135</v>
      </c>
      <c r="L323" s="363"/>
      <c r="M323" s="363" t="s">
        <v>239</v>
      </c>
      <c r="N323" s="363" t="s">
        <v>240</v>
      </c>
      <c r="O323" s="363" t="s">
        <v>136</v>
      </c>
      <c r="P323" s="363">
        <v>2018</v>
      </c>
      <c r="Q323" s="432" t="s">
        <v>277</v>
      </c>
      <c r="R323" s="433" t="s">
        <v>278</v>
      </c>
      <c r="S323" s="363"/>
      <c r="T323" s="363"/>
      <c r="U323" s="363" t="s">
        <v>189</v>
      </c>
      <c r="V323" s="363" t="s">
        <v>198</v>
      </c>
      <c r="W323" s="363" t="s">
        <v>243</v>
      </c>
      <c r="X323" s="363">
        <v>2030</v>
      </c>
      <c r="Y323" s="363"/>
      <c r="Z323" s="363" t="str">
        <f>VLOOKUP(R323,KEY_Processes!$C$55:$E$130,3,FALSE)</f>
        <v>H_GHPL_ELC01</v>
      </c>
      <c r="AA323" s="363" t="str">
        <f>VLOOKUP(R323,KEY_Processes!$C$55:$E$130,2,FALSE)</f>
        <v>H_GroundHeatPump_ELC_LARGE</v>
      </c>
      <c r="AB323" s="363" t="str">
        <f>VLOOKUP(U323,KEY_FUELS!$C$4:$D$77,2,FALSE)</f>
        <v>ELC</v>
      </c>
      <c r="AC323" s="363" t="s">
        <v>150</v>
      </c>
      <c r="AD323" s="363" t="s">
        <v>244</v>
      </c>
      <c r="AE323" s="363" t="s">
        <v>152</v>
      </c>
      <c r="AF323" s="366" t="str">
        <f>VLOOKUP(W323,KEY_Other!$B$37:$C$89,2,FALSE)</f>
        <v>EUR</v>
      </c>
      <c r="AG323" s="363"/>
      <c r="AH323" s="363" t="str">
        <f>AC323&amp;VLOOKUP(U323,KEY_FUELS!$C$4:$D$78,2,FALSE)</f>
        <v>RSDELC</v>
      </c>
      <c r="AI323" s="363" t="str">
        <f>IFERROR(AC323&amp;VLOOKUP(V323,KEY_FUELS!$C$4:$D$78,2,FALSE),"")</f>
        <v>RSDGEO</v>
      </c>
      <c r="AJ323" s="363" t="str">
        <f t="shared" si="78"/>
        <v>RHAP</v>
      </c>
      <c r="AK323" s="363" t="str">
        <f t="shared" si="98"/>
        <v/>
      </c>
      <c r="AL323" s="363" t="str">
        <f t="shared" si="99"/>
        <v/>
      </c>
      <c r="AM323" s="364">
        <v>31.536000000000001</v>
      </c>
      <c r="AN323" s="363">
        <v>2030</v>
      </c>
      <c r="AO323" s="455"/>
      <c r="AP323" s="456"/>
      <c r="AQ323" s="436"/>
      <c r="AR323" s="436"/>
      <c r="AS323" s="436"/>
      <c r="AT323" s="436"/>
      <c r="AU323" s="457"/>
      <c r="AV323" s="457"/>
      <c r="AW323" s="457"/>
      <c r="AX323" s="435"/>
      <c r="AY323" s="461">
        <v>4.9080000000000004</v>
      </c>
      <c r="AZ323" s="437">
        <v>4.9080000000000004</v>
      </c>
      <c r="BA323" s="435"/>
      <c r="BB323" s="435"/>
      <c r="BC323" s="439"/>
      <c r="BD323" s="374"/>
      <c r="BE323" s="374"/>
      <c r="BF323" s="363"/>
      <c r="BG323" s="363"/>
      <c r="BH323" s="439"/>
      <c r="BI323" s="363">
        <v>25</v>
      </c>
      <c r="BJ323" s="363"/>
      <c r="BK323" s="440">
        <v>1014</v>
      </c>
      <c r="BL323" s="363"/>
      <c r="BM323" s="363"/>
      <c r="BN323" s="363"/>
      <c r="BO323" s="363"/>
      <c r="BP323" s="363"/>
      <c r="BQ323" s="363"/>
      <c r="BR323" s="441">
        <v>1.1069767441860467</v>
      </c>
      <c r="BS323" s="363"/>
      <c r="BT323" s="442"/>
      <c r="BU323" s="442"/>
      <c r="BV323" s="442"/>
      <c r="BW323" s="442"/>
      <c r="BX323" s="443"/>
    </row>
    <row r="324" spans="1:76" x14ac:dyDescent="0.3">
      <c r="A324" s="88"/>
      <c r="B324" s="5"/>
      <c r="C324" s="5"/>
      <c r="D324" s="5"/>
      <c r="E324" s="5"/>
      <c r="F324" s="88"/>
      <c r="G324" s="5"/>
      <c r="H324" s="88"/>
      <c r="I324" s="88"/>
      <c r="J324" s="378" t="s">
        <v>238</v>
      </c>
      <c r="K324" s="379" t="s">
        <v>135</v>
      </c>
      <c r="L324" s="379"/>
      <c r="M324" s="379" t="s">
        <v>239</v>
      </c>
      <c r="N324" s="379" t="s">
        <v>240</v>
      </c>
      <c r="O324" s="379" t="s">
        <v>136</v>
      </c>
      <c r="P324" s="379">
        <v>2018</v>
      </c>
      <c r="Q324" s="420" t="s">
        <v>281</v>
      </c>
      <c r="R324" s="421" t="s">
        <v>282</v>
      </c>
      <c r="S324" s="379"/>
      <c r="T324" s="379"/>
      <c r="U324" s="379" t="s">
        <v>283</v>
      </c>
      <c r="V324" s="379"/>
      <c r="W324" s="379" t="s">
        <v>243</v>
      </c>
      <c r="X324" s="379">
        <v>2019</v>
      </c>
      <c r="Y324" s="379"/>
      <c r="Z324" s="379" t="str">
        <f>VLOOKUP(R324,KEY_Processes!$C$55:$E$130,3,FALSE)</f>
        <v>H_BL_BPL01</v>
      </c>
      <c r="AA324" s="379" t="str">
        <f>VLOOKUP(R324,KEY_Processes!$C$55:$E$130,2,FALSE)</f>
        <v>H_PelletBoiler_BPL_LARGE</v>
      </c>
      <c r="AB324" s="379" t="str">
        <f>VLOOKUP(U324,KEY_FUELS!$C$4:$D$77,2,FALSE)</f>
        <v>BIO</v>
      </c>
      <c r="AC324" s="379" t="s">
        <v>150</v>
      </c>
      <c r="AD324" s="379" t="s">
        <v>244</v>
      </c>
      <c r="AE324" s="379" t="s">
        <v>152</v>
      </c>
      <c r="AF324" s="382" t="str">
        <f>VLOOKUP(W324,KEY_Other!$B$37:$C$89,2,FALSE)</f>
        <v>EUR</v>
      </c>
      <c r="AG324" s="379"/>
      <c r="AH324" s="379" t="str">
        <f>AC324&amp;VLOOKUP(U324,KEY_FUELS!$C$4:$D$78,2,FALSE)</f>
        <v>RSDBIO</v>
      </c>
      <c r="AI324" s="379" t="str">
        <f>IFERROR(AC324&amp;VLOOKUP(V324,KEY_FUELS!$C$4:$D$78,2,FALSE),"")</f>
        <v/>
      </c>
      <c r="AJ324" s="379" t="str">
        <f t="shared" si="78"/>
        <v>RHAP</v>
      </c>
      <c r="AK324" s="379" t="str">
        <f t="shared" si="98"/>
        <v/>
      </c>
      <c r="AL324" s="379" t="str">
        <f t="shared" si="99"/>
        <v/>
      </c>
      <c r="AM324" s="380">
        <v>31.536000000000001</v>
      </c>
      <c r="AN324" s="379">
        <v>2019</v>
      </c>
      <c r="AO324" s="450"/>
      <c r="AP324" s="451"/>
      <c r="AQ324" s="424"/>
      <c r="AR324" s="424"/>
      <c r="AS324" s="424"/>
      <c r="AT324" s="424"/>
      <c r="AU324" s="454"/>
      <c r="AV324" s="454"/>
      <c r="AW324" s="454"/>
      <c r="AX324" s="423"/>
      <c r="AY324" s="379"/>
      <c r="AZ324" s="425">
        <v>0.84</v>
      </c>
      <c r="BA324" s="423"/>
      <c r="BB324" s="423"/>
      <c r="BC324" s="427"/>
      <c r="BD324" s="390"/>
      <c r="BE324" s="390"/>
      <c r="BF324" s="379"/>
      <c r="BG324" s="379"/>
      <c r="BH324" s="427"/>
      <c r="BI324" s="379">
        <v>20</v>
      </c>
      <c r="BJ324" s="379"/>
      <c r="BK324" s="428">
        <v>136</v>
      </c>
      <c r="BL324" s="379"/>
      <c r="BM324" s="379"/>
      <c r="BN324" s="379"/>
      <c r="BO324" s="379"/>
      <c r="BP324" s="379"/>
      <c r="BQ324" s="379"/>
      <c r="BR324" s="429">
        <v>6.3517023330291558</v>
      </c>
      <c r="BS324" s="379"/>
      <c r="BT324" s="430"/>
      <c r="BU324" s="430"/>
      <c r="BV324" s="430"/>
      <c r="BW324" s="430"/>
      <c r="BX324" s="431"/>
    </row>
    <row r="325" spans="1:76" x14ac:dyDescent="0.3">
      <c r="A325" s="88"/>
      <c r="B325" s="5"/>
      <c r="C325" s="5"/>
      <c r="D325" s="5"/>
      <c r="E325" s="5"/>
      <c r="F325" s="88"/>
      <c r="G325" s="5"/>
      <c r="H325" s="88"/>
      <c r="I325" s="88"/>
      <c r="J325" s="362" t="s">
        <v>238</v>
      </c>
      <c r="K325" s="363" t="s">
        <v>135</v>
      </c>
      <c r="L325" s="363"/>
      <c r="M325" s="363" t="s">
        <v>239</v>
      </c>
      <c r="N325" s="363" t="s">
        <v>240</v>
      </c>
      <c r="O325" s="363" t="s">
        <v>136</v>
      </c>
      <c r="P325" s="363">
        <v>2018</v>
      </c>
      <c r="Q325" s="432" t="s">
        <v>281</v>
      </c>
      <c r="R325" s="433" t="s">
        <v>282</v>
      </c>
      <c r="S325" s="363"/>
      <c r="T325" s="363"/>
      <c r="U325" s="363" t="s">
        <v>283</v>
      </c>
      <c r="V325" s="363"/>
      <c r="W325" s="363" t="s">
        <v>243</v>
      </c>
      <c r="X325" s="363">
        <v>2030</v>
      </c>
      <c r="Y325" s="363"/>
      <c r="Z325" s="363" t="str">
        <f>VLOOKUP(R325,KEY_Processes!$C$55:$E$130,3,FALSE)</f>
        <v>H_BL_BPL01</v>
      </c>
      <c r="AA325" s="363" t="str">
        <f>VLOOKUP(R325,KEY_Processes!$C$55:$E$130,2,FALSE)</f>
        <v>H_PelletBoiler_BPL_LARGE</v>
      </c>
      <c r="AB325" s="363" t="str">
        <f>VLOOKUP(U325,KEY_FUELS!$C$4:$D$77,2,FALSE)</f>
        <v>BIO</v>
      </c>
      <c r="AC325" s="363" t="s">
        <v>150</v>
      </c>
      <c r="AD325" s="363" t="s">
        <v>244</v>
      </c>
      <c r="AE325" s="363" t="s">
        <v>152</v>
      </c>
      <c r="AF325" s="366" t="str">
        <f>VLOOKUP(W325,KEY_Other!$B$37:$C$89,2,FALSE)</f>
        <v>EUR</v>
      </c>
      <c r="AG325" s="363"/>
      <c r="AH325" s="363" t="str">
        <f>AC325&amp;VLOOKUP(U325,KEY_FUELS!$C$4:$D$78,2,FALSE)</f>
        <v>RSDBIO</v>
      </c>
      <c r="AI325" s="363" t="str">
        <f>IFERROR(AC325&amp;VLOOKUP(V325,KEY_FUELS!$C$4:$D$78,2,FALSE),"")</f>
        <v/>
      </c>
      <c r="AJ325" s="363" t="str">
        <f t="shared" si="78"/>
        <v>RHAP</v>
      </c>
      <c r="AK325" s="363" t="str">
        <f t="shared" si="98"/>
        <v/>
      </c>
      <c r="AL325" s="363" t="str">
        <f t="shared" si="99"/>
        <v/>
      </c>
      <c r="AM325" s="364">
        <v>31.536000000000001</v>
      </c>
      <c r="AN325" s="363">
        <v>2030</v>
      </c>
      <c r="AO325" s="455"/>
      <c r="AP325" s="456"/>
      <c r="AQ325" s="436"/>
      <c r="AR325" s="436"/>
      <c r="AS325" s="436"/>
      <c r="AT325" s="436"/>
      <c r="AU325" s="457"/>
      <c r="AV325" s="457"/>
      <c r="AW325" s="457"/>
      <c r="AX325" s="435"/>
      <c r="AY325" s="363"/>
      <c r="AZ325" s="437">
        <v>0.87</v>
      </c>
      <c r="BA325" s="435"/>
      <c r="BB325" s="435"/>
      <c r="BC325" s="439"/>
      <c r="BD325" s="374"/>
      <c r="BE325" s="374"/>
      <c r="BF325" s="363"/>
      <c r="BG325" s="363"/>
      <c r="BH325" s="439"/>
      <c r="BI325" s="363">
        <v>20</v>
      </c>
      <c r="BJ325" s="363"/>
      <c r="BK325" s="440">
        <v>199</v>
      </c>
      <c r="BL325" s="363"/>
      <c r="BM325" s="363"/>
      <c r="BN325" s="363"/>
      <c r="BO325" s="363"/>
      <c r="BP325" s="363"/>
      <c r="BQ325" s="363"/>
      <c r="BR325" s="441">
        <v>6.3517023330291558</v>
      </c>
      <c r="BS325" s="363"/>
      <c r="BT325" s="442"/>
      <c r="BU325" s="442"/>
      <c r="BV325" s="442"/>
      <c r="BW325" s="442"/>
      <c r="BX325" s="443"/>
    </row>
    <row r="326" spans="1:76" x14ac:dyDescent="0.3">
      <c r="A326" s="88"/>
      <c r="B326" s="5"/>
      <c r="C326" s="5"/>
      <c r="D326" s="5"/>
      <c r="E326" s="5"/>
      <c r="F326" s="88"/>
      <c r="G326" s="5"/>
      <c r="H326" s="88"/>
      <c r="I326" s="88"/>
      <c r="J326" s="378" t="s">
        <v>238</v>
      </c>
      <c r="K326" s="379" t="s">
        <v>135</v>
      </c>
      <c r="L326" s="379"/>
      <c r="M326" s="379" t="s">
        <v>239</v>
      </c>
      <c r="N326" s="379" t="s">
        <v>240</v>
      </c>
      <c r="O326" s="379" t="s">
        <v>136</v>
      </c>
      <c r="P326" s="379">
        <v>2018</v>
      </c>
      <c r="Q326" s="420" t="s">
        <v>281</v>
      </c>
      <c r="R326" s="421" t="s">
        <v>284</v>
      </c>
      <c r="S326" s="379"/>
      <c r="T326" s="379"/>
      <c r="U326" s="379" t="s">
        <v>283</v>
      </c>
      <c r="V326" s="379"/>
      <c r="W326" s="379" t="s">
        <v>243</v>
      </c>
      <c r="X326" s="379">
        <v>2019</v>
      </c>
      <c r="Y326" s="379"/>
      <c r="Z326" s="379" t="str">
        <f>VLOOKUP(R326,KEY_Processes!$C$55:$E$130,3,FALSE)</f>
        <v>HW_BL_BPL01</v>
      </c>
      <c r="AA326" s="379" t="str">
        <f>VLOOKUP(R326,KEY_Processes!$C$55:$E$130,2,FALSE)</f>
        <v>HW_PelletBoiler_BPL_LARGE</v>
      </c>
      <c r="AB326" s="379" t="str">
        <f>VLOOKUP(U326,KEY_FUELS!$C$4:$D$77,2,FALSE)</f>
        <v>BIO</v>
      </c>
      <c r="AC326" s="379" t="s">
        <v>150</v>
      </c>
      <c r="AD326" s="379" t="s">
        <v>244</v>
      </c>
      <c r="AE326" s="379" t="s">
        <v>152</v>
      </c>
      <c r="AF326" s="382" t="str">
        <f>VLOOKUP(W326,KEY_Other!$B$37:$C$89,2,FALSE)</f>
        <v>EUR</v>
      </c>
      <c r="AG326" s="379"/>
      <c r="AH326" s="379" t="str">
        <f>AC326&amp;VLOOKUP(U326,KEY_FUELS!$C$4:$D$78,2,FALSE)</f>
        <v>RSDBIO</v>
      </c>
      <c r="AI326" s="379" t="str">
        <f>IFERROR(AC326&amp;VLOOKUP(V326,KEY_FUELS!$C$4:$D$78,2,FALSE),"")</f>
        <v/>
      </c>
      <c r="AJ326" s="379" t="str">
        <f t="shared" si="78"/>
        <v>RHAP</v>
      </c>
      <c r="AK326" s="379" t="str">
        <f t="shared" si="98"/>
        <v>RWAP</v>
      </c>
      <c r="AL326" s="379" t="str">
        <f t="shared" si="99"/>
        <v/>
      </c>
      <c r="AM326" s="380">
        <v>31.536000000000001</v>
      </c>
      <c r="AN326" s="379">
        <v>2019</v>
      </c>
      <c r="AO326" s="465">
        <v>1</v>
      </c>
      <c r="AP326" s="458"/>
      <c r="AQ326" s="424"/>
      <c r="AR326" s="424"/>
      <c r="AS326" s="424"/>
      <c r="AT326" s="424" t="s">
        <v>161</v>
      </c>
      <c r="AU326" s="386">
        <v>0.48</v>
      </c>
      <c r="AV326" s="459"/>
      <c r="AW326" s="459"/>
      <c r="AX326" s="423"/>
      <c r="AY326" s="379"/>
      <c r="AZ326" s="425">
        <v>0.7</v>
      </c>
      <c r="BA326" s="423"/>
      <c r="BB326" s="423"/>
      <c r="BC326" s="427"/>
      <c r="BD326" s="390"/>
      <c r="BE326" s="390"/>
      <c r="BF326" s="379"/>
      <c r="BG326" s="379"/>
      <c r="BH326" s="427"/>
      <c r="BI326" s="379">
        <v>20</v>
      </c>
      <c r="BJ326" s="379"/>
      <c r="BK326" s="428">
        <v>169</v>
      </c>
      <c r="BL326" s="379"/>
      <c r="BM326" s="379"/>
      <c r="BN326" s="379"/>
      <c r="BO326" s="379"/>
      <c r="BP326" s="379"/>
      <c r="BQ326" s="379"/>
      <c r="BR326" s="429">
        <v>6.3517023330291558</v>
      </c>
      <c r="BS326" s="379"/>
      <c r="BT326" s="430"/>
      <c r="BU326" s="430"/>
      <c r="BV326" s="430"/>
      <c r="BW326" s="430"/>
      <c r="BX326" s="431"/>
    </row>
    <row r="327" spans="1:76" x14ac:dyDescent="0.3">
      <c r="A327" s="88"/>
      <c r="B327" s="5"/>
      <c r="C327" s="5"/>
      <c r="D327" s="5"/>
      <c r="E327" s="5"/>
      <c r="F327" s="88"/>
      <c r="G327" s="5"/>
      <c r="H327" s="88"/>
      <c r="I327" s="88"/>
      <c r="J327" s="362" t="s">
        <v>238</v>
      </c>
      <c r="K327" s="363" t="s">
        <v>135</v>
      </c>
      <c r="L327" s="363"/>
      <c r="M327" s="363" t="s">
        <v>239</v>
      </c>
      <c r="N327" s="363" t="s">
        <v>240</v>
      </c>
      <c r="O327" s="363" t="s">
        <v>136</v>
      </c>
      <c r="P327" s="363">
        <v>2018</v>
      </c>
      <c r="Q327" s="432" t="s">
        <v>281</v>
      </c>
      <c r="R327" s="433" t="s">
        <v>284</v>
      </c>
      <c r="S327" s="363"/>
      <c r="T327" s="363"/>
      <c r="U327" s="363" t="s">
        <v>283</v>
      </c>
      <c r="V327" s="363"/>
      <c r="W327" s="363" t="s">
        <v>243</v>
      </c>
      <c r="X327" s="363">
        <v>2019</v>
      </c>
      <c r="Y327" s="363"/>
      <c r="Z327" s="363" t="str">
        <f>VLOOKUP(R327,KEY_Processes!$C$55:$E$130,3,FALSE)</f>
        <v>HW_BL_BPL01</v>
      </c>
      <c r="AA327" s="363" t="str">
        <f>VLOOKUP(R327,KEY_Processes!$C$55:$E$130,2,FALSE)</f>
        <v>HW_PelletBoiler_BPL_LARGE</v>
      </c>
      <c r="AB327" s="363" t="str">
        <f>VLOOKUP(U327,KEY_FUELS!$C$4:$D$77,2,FALSE)</f>
        <v>BIO</v>
      </c>
      <c r="AC327" s="363" t="s">
        <v>150</v>
      </c>
      <c r="AD327" s="363" t="s">
        <v>244</v>
      </c>
      <c r="AE327" s="363" t="s">
        <v>152</v>
      </c>
      <c r="AF327" s="366" t="str">
        <f>VLOOKUP(W327,KEY_Other!$B$37:$C$89,2,FALSE)</f>
        <v>EUR</v>
      </c>
      <c r="AG327" s="363"/>
      <c r="AH327" s="363" t="str">
        <f>AC327&amp;VLOOKUP(U327,KEY_FUELS!$C$4:$D$78,2,FALSE)</f>
        <v>RSDBIO</v>
      </c>
      <c r="AI327" s="363" t="str">
        <f>IFERROR(AC327&amp;VLOOKUP(V327,KEY_FUELS!$C$4:$D$78,2,FALSE),"")</f>
        <v/>
      </c>
      <c r="AJ327" s="363" t="str">
        <f t="shared" ref="AJ327:AJ329" si="102">LEFT(AC327,1)&amp;LEFT(AA327,1)&amp;AD327</f>
        <v>RHAP</v>
      </c>
      <c r="AK327" s="363" t="str">
        <f t="shared" si="98"/>
        <v>RWAP</v>
      </c>
      <c r="AL327" s="363" t="str">
        <f t="shared" si="99"/>
        <v/>
      </c>
      <c r="AM327" s="364">
        <v>31.536000000000001</v>
      </c>
      <c r="AN327" s="363">
        <v>2019</v>
      </c>
      <c r="AO327" s="466">
        <v>1</v>
      </c>
      <c r="AP327" s="453"/>
      <c r="AQ327" s="436"/>
      <c r="AR327" s="436"/>
      <c r="AS327" s="436"/>
      <c r="AT327" s="436" t="s">
        <v>248</v>
      </c>
      <c r="AU327" s="370">
        <v>0.55000000000000004</v>
      </c>
      <c r="AV327" s="444"/>
      <c r="AW327" s="444"/>
      <c r="AX327" s="435"/>
      <c r="AY327" s="363"/>
      <c r="AZ327" s="437">
        <v>0.7</v>
      </c>
      <c r="BA327" s="435"/>
      <c r="BB327" s="435"/>
      <c r="BC327" s="439"/>
      <c r="BD327" s="374"/>
      <c r="BE327" s="374"/>
      <c r="BF327" s="363"/>
      <c r="BG327" s="363"/>
      <c r="BH327" s="439"/>
      <c r="BI327" s="363">
        <v>20</v>
      </c>
      <c r="BJ327" s="363"/>
      <c r="BK327" s="440">
        <v>169</v>
      </c>
      <c r="BL327" s="363"/>
      <c r="BM327" s="363"/>
      <c r="BN327" s="363"/>
      <c r="BO327" s="363"/>
      <c r="BP327" s="363"/>
      <c r="BQ327" s="363"/>
      <c r="BR327" s="441">
        <v>6.3517023330291558</v>
      </c>
      <c r="BS327" s="363"/>
      <c r="BT327" s="442"/>
      <c r="BU327" s="442"/>
      <c r="BV327" s="442"/>
      <c r="BW327" s="442"/>
      <c r="BX327" s="443"/>
    </row>
    <row r="328" spans="1:76" x14ac:dyDescent="0.3">
      <c r="A328" s="88"/>
      <c r="B328" s="5"/>
      <c r="C328" s="5"/>
      <c r="D328" s="5"/>
      <c r="E328" s="5"/>
      <c r="F328" s="88"/>
      <c r="G328" s="5"/>
      <c r="H328" s="88"/>
      <c r="I328" s="88"/>
      <c r="J328" s="378" t="s">
        <v>238</v>
      </c>
      <c r="K328" s="379" t="s">
        <v>135</v>
      </c>
      <c r="L328" s="379"/>
      <c r="M328" s="379" t="s">
        <v>239</v>
      </c>
      <c r="N328" s="379" t="s">
        <v>240</v>
      </c>
      <c r="O328" s="379" t="s">
        <v>136</v>
      </c>
      <c r="P328" s="379">
        <v>2018</v>
      </c>
      <c r="Q328" s="420" t="s">
        <v>281</v>
      </c>
      <c r="R328" s="421" t="s">
        <v>284</v>
      </c>
      <c r="S328" s="379"/>
      <c r="T328" s="379"/>
      <c r="U328" s="379" t="s">
        <v>283</v>
      </c>
      <c r="V328" s="379"/>
      <c r="W328" s="379" t="s">
        <v>243</v>
      </c>
      <c r="X328" s="379">
        <v>2019</v>
      </c>
      <c r="Y328" s="379"/>
      <c r="Z328" s="379" t="str">
        <f>VLOOKUP(R328,KEY_Processes!$C$55:$E$130,3,FALSE)</f>
        <v>HW_BL_BPL01</v>
      </c>
      <c r="AA328" s="379" t="str">
        <f>VLOOKUP(R328,KEY_Processes!$C$55:$E$130,2,FALSE)</f>
        <v>HW_PelletBoiler_BPL_LARGE</v>
      </c>
      <c r="AB328" s="379" t="str">
        <f>VLOOKUP(U328,KEY_FUELS!$C$4:$D$77,2,FALSE)</f>
        <v>BIO</v>
      </c>
      <c r="AC328" s="379" t="s">
        <v>150</v>
      </c>
      <c r="AD328" s="379" t="s">
        <v>244</v>
      </c>
      <c r="AE328" s="379" t="s">
        <v>152</v>
      </c>
      <c r="AF328" s="382" t="str">
        <f>VLOOKUP(W328,KEY_Other!$B$37:$C$89,2,FALSE)</f>
        <v>EUR</v>
      </c>
      <c r="AG328" s="379"/>
      <c r="AH328" s="379" t="str">
        <f>AC328&amp;VLOOKUP(U328,KEY_FUELS!$C$4:$D$78,2,FALSE)</f>
        <v>RSDBIO</v>
      </c>
      <c r="AI328" s="379" t="str">
        <f>IFERROR(AC328&amp;VLOOKUP(V328,KEY_FUELS!$C$4:$D$78,2,FALSE),"")</f>
        <v/>
      </c>
      <c r="AJ328" s="379" t="str">
        <f t="shared" si="102"/>
        <v>RHAP</v>
      </c>
      <c r="AK328" s="379" t="str">
        <f t="shared" si="98"/>
        <v>RWAP</v>
      </c>
      <c r="AL328" s="379" t="str">
        <f t="shared" si="99"/>
        <v/>
      </c>
      <c r="AM328" s="380">
        <v>31.536000000000001</v>
      </c>
      <c r="AN328" s="379">
        <v>2019</v>
      </c>
      <c r="AO328" s="465">
        <v>1</v>
      </c>
      <c r="AP328" s="458"/>
      <c r="AQ328" s="424"/>
      <c r="AR328" s="424"/>
      <c r="AS328" s="424"/>
      <c r="AT328" s="424" t="s">
        <v>158</v>
      </c>
      <c r="AU328" s="386">
        <v>0.63</v>
      </c>
      <c r="AV328" s="459"/>
      <c r="AW328" s="459"/>
      <c r="AX328" s="423"/>
      <c r="AY328" s="379"/>
      <c r="AZ328" s="425">
        <v>0.7</v>
      </c>
      <c r="BA328" s="423"/>
      <c r="BB328" s="423"/>
      <c r="BC328" s="427"/>
      <c r="BD328" s="390"/>
      <c r="BE328" s="390"/>
      <c r="BF328" s="379"/>
      <c r="BG328" s="379"/>
      <c r="BH328" s="427"/>
      <c r="BI328" s="379">
        <v>20</v>
      </c>
      <c r="BJ328" s="379"/>
      <c r="BK328" s="428">
        <v>169</v>
      </c>
      <c r="BL328" s="379"/>
      <c r="BM328" s="379"/>
      <c r="BN328" s="379"/>
      <c r="BO328" s="379"/>
      <c r="BP328" s="379"/>
      <c r="BQ328" s="379"/>
      <c r="BR328" s="429">
        <v>6.3517023330291558</v>
      </c>
      <c r="BS328" s="379"/>
      <c r="BT328" s="430"/>
      <c r="BU328" s="430"/>
      <c r="BV328" s="430"/>
      <c r="BW328" s="430"/>
      <c r="BX328" s="431"/>
    </row>
    <row r="329" spans="1:76" x14ac:dyDescent="0.3">
      <c r="A329" s="88"/>
      <c r="B329" s="5"/>
      <c r="C329" s="5"/>
      <c r="D329" s="5"/>
      <c r="E329" s="5"/>
      <c r="F329" s="88"/>
      <c r="G329" s="5"/>
      <c r="H329" s="88"/>
      <c r="I329" s="88"/>
      <c r="J329" s="362" t="s">
        <v>238</v>
      </c>
      <c r="K329" s="363" t="s">
        <v>135</v>
      </c>
      <c r="L329" s="363"/>
      <c r="M329" s="363" t="s">
        <v>239</v>
      </c>
      <c r="N329" s="363" t="s">
        <v>240</v>
      </c>
      <c r="O329" s="363" t="s">
        <v>136</v>
      </c>
      <c r="P329" s="363">
        <v>2018</v>
      </c>
      <c r="Q329" s="432" t="s">
        <v>281</v>
      </c>
      <c r="R329" s="433" t="s">
        <v>284</v>
      </c>
      <c r="S329" s="363"/>
      <c r="T329" s="363"/>
      <c r="U329" s="363" t="s">
        <v>283</v>
      </c>
      <c r="V329" s="363"/>
      <c r="W329" s="363" t="s">
        <v>243</v>
      </c>
      <c r="X329" s="363">
        <v>2019</v>
      </c>
      <c r="Y329" s="363"/>
      <c r="Z329" s="363" t="str">
        <f>VLOOKUP(R329,KEY_Processes!$C$55:$E$130,3,FALSE)</f>
        <v>HW_BL_BPL01</v>
      </c>
      <c r="AA329" s="363" t="str">
        <f>VLOOKUP(R329,KEY_Processes!$C$55:$E$130,2,FALSE)</f>
        <v>HW_PelletBoiler_BPL_LARGE</v>
      </c>
      <c r="AB329" s="363" t="str">
        <f>VLOOKUP(U329,KEY_FUELS!$C$4:$D$77,2,FALSE)</f>
        <v>BIO</v>
      </c>
      <c r="AC329" s="363" t="s">
        <v>150</v>
      </c>
      <c r="AD329" s="363" t="s">
        <v>244</v>
      </c>
      <c r="AE329" s="363" t="s">
        <v>152</v>
      </c>
      <c r="AF329" s="366" t="str">
        <f>VLOOKUP(W329,KEY_Other!$B$37:$C$89,2,FALSE)</f>
        <v>EUR</v>
      </c>
      <c r="AG329" s="363"/>
      <c r="AH329" s="363" t="str">
        <f>AC329&amp;VLOOKUP(U329,KEY_FUELS!$C$4:$D$78,2,FALSE)</f>
        <v>RSDBIO</v>
      </c>
      <c r="AI329" s="363" t="str">
        <f>IFERROR(AC329&amp;VLOOKUP(V329,KEY_FUELS!$C$4:$D$78,2,FALSE),"")</f>
        <v/>
      </c>
      <c r="AJ329" s="363" t="str">
        <f t="shared" si="102"/>
        <v>RHAP</v>
      </c>
      <c r="AK329" s="363" t="str">
        <f t="shared" si="98"/>
        <v>RWAP</v>
      </c>
      <c r="AL329" s="363" t="str">
        <f t="shared" si="99"/>
        <v/>
      </c>
      <c r="AM329" s="364">
        <v>31.536000000000001</v>
      </c>
      <c r="AN329" s="363">
        <v>2019</v>
      </c>
      <c r="AO329" s="466">
        <v>1</v>
      </c>
      <c r="AP329" s="453"/>
      <c r="AQ329" s="436"/>
      <c r="AR329" s="436"/>
      <c r="AS329" s="436"/>
      <c r="AT329" s="436" t="s">
        <v>249</v>
      </c>
      <c r="AU329" s="437">
        <v>0.72</v>
      </c>
      <c r="AV329" s="444"/>
      <c r="AW329" s="444"/>
      <c r="AX329" s="435"/>
      <c r="AY329" s="363"/>
      <c r="AZ329" s="437">
        <v>0.7</v>
      </c>
      <c r="BA329" s="435"/>
      <c r="BB329" s="435"/>
      <c r="BC329" s="439"/>
      <c r="BD329" s="374"/>
      <c r="BE329" s="374"/>
      <c r="BF329" s="363"/>
      <c r="BG329" s="363"/>
      <c r="BH329" s="439"/>
      <c r="BI329" s="363">
        <v>20</v>
      </c>
      <c r="BJ329" s="363"/>
      <c r="BK329" s="440">
        <v>169</v>
      </c>
      <c r="BL329" s="363"/>
      <c r="BM329" s="363"/>
      <c r="BN329" s="363"/>
      <c r="BO329" s="363"/>
      <c r="BP329" s="363"/>
      <c r="BQ329" s="363"/>
      <c r="BR329" s="441">
        <v>6.3517023330291558</v>
      </c>
      <c r="BS329" s="363"/>
      <c r="BT329" s="442"/>
      <c r="BU329" s="442"/>
      <c r="BV329" s="442"/>
      <c r="BW329" s="442"/>
      <c r="BX329" s="443"/>
    </row>
    <row r="330" spans="1:76" x14ac:dyDescent="0.3">
      <c r="A330" s="88"/>
      <c r="B330" s="5"/>
      <c r="C330" s="5"/>
      <c r="D330" s="5"/>
      <c r="E330" s="5"/>
      <c r="F330" s="88"/>
      <c r="G330" s="5"/>
      <c r="H330" s="88"/>
      <c r="I330" s="88"/>
      <c r="J330" s="378" t="s">
        <v>238</v>
      </c>
      <c r="K330" s="379" t="s">
        <v>135</v>
      </c>
      <c r="L330" s="379"/>
      <c r="M330" s="379" t="s">
        <v>239</v>
      </c>
      <c r="N330" s="379" t="s">
        <v>240</v>
      </c>
      <c r="O330" s="379" t="s">
        <v>136</v>
      </c>
      <c r="P330" s="379">
        <v>2018</v>
      </c>
      <c r="Q330" s="420" t="s">
        <v>281</v>
      </c>
      <c r="R330" s="421" t="s">
        <v>284</v>
      </c>
      <c r="S330" s="379"/>
      <c r="T330" s="379"/>
      <c r="U330" s="379" t="s">
        <v>283</v>
      </c>
      <c r="V330" s="379"/>
      <c r="W330" s="379" t="s">
        <v>243</v>
      </c>
      <c r="X330" s="379">
        <v>2030</v>
      </c>
      <c r="Y330" s="379"/>
      <c r="Z330" s="379" t="str">
        <f>VLOOKUP(R330,KEY_Processes!$C$55:$E$130,3,FALSE)</f>
        <v>HW_BL_BPL01</v>
      </c>
      <c r="AA330" s="379" t="str">
        <f>VLOOKUP(R330,KEY_Processes!$C$55:$E$130,2,FALSE)</f>
        <v>HW_PelletBoiler_BPL_LARGE</v>
      </c>
      <c r="AB330" s="379" t="str">
        <f>VLOOKUP(U330,KEY_FUELS!$C$4:$D$77,2,FALSE)</f>
        <v>BIO</v>
      </c>
      <c r="AC330" s="379" t="s">
        <v>150</v>
      </c>
      <c r="AD330" s="379" t="s">
        <v>244</v>
      </c>
      <c r="AE330" s="379" t="s">
        <v>152</v>
      </c>
      <c r="AF330" s="382" t="str">
        <f>VLOOKUP(W330,KEY_Other!$B$37:$C$89,2,FALSE)</f>
        <v>EUR</v>
      </c>
      <c r="AG330" s="379"/>
      <c r="AH330" s="379" t="str">
        <f>AC330&amp;VLOOKUP(U330,KEY_FUELS!$C$4:$D$78,2,FALSE)</f>
        <v>RSDBIO</v>
      </c>
      <c r="AI330" s="379" t="str">
        <f>IFERROR(AC330&amp;VLOOKUP(V330,KEY_FUELS!$C$4:$D$78,2,FALSE),"")</f>
        <v/>
      </c>
      <c r="AJ330" s="379" t="str">
        <f t="shared" si="78"/>
        <v>RHAP</v>
      </c>
      <c r="AK330" s="379" t="str">
        <f t="shared" si="98"/>
        <v>RWAP</v>
      </c>
      <c r="AL330" s="379" t="str">
        <f t="shared" si="99"/>
        <v/>
      </c>
      <c r="AM330" s="380">
        <v>31.536000000000001</v>
      </c>
      <c r="AN330" s="379">
        <v>2030</v>
      </c>
      <c r="AO330" s="450"/>
      <c r="AP330" s="451"/>
      <c r="AQ330" s="424"/>
      <c r="AR330" s="424"/>
      <c r="AS330" s="424"/>
      <c r="AT330" s="424"/>
      <c r="AU330" s="454"/>
      <c r="AV330" s="454"/>
      <c r="AW330" s="454"/>
      <c r="AX330" s="429"/>
      <c r="AY330" s="379"/>
      <c r="AZ330" s="467">
        <v>0.84</v>
      </c>
      <c r="BA330" s="429"/>
      <c r="BB330" s="429"/>
      <c r="BC330" s="427"/>
      <c r="BD330" s="390"/>
      <c r="BE330" s="390"/>
      <c r="BF330" s="379"/>
      <c r="BG330" s="379"/>
      <c r="BH330" s="427"/>
      <c r="BI330" s="379">
        <v>20</v>
      </c>
      <c r="BJ330" s="379"/>
      <c r="BK330" s="428">
        <v>207</v>
      </c>
      <c r="BL330" s="379"/>
      <c r="BM330" s="379"/>
      <c r="BN330" s="379"/>
      <c r="BO330" s="379"/>
      <c r="BP330" s="379"/>
      <c r="BQ330" s="379"/>
      <c r="BR330" s="429">
        <v>6.3517023330291558</v>
      </c>
      <c r="BS330" s="379"/>
      <c r="BT330" s="430"/>
      <c r="BU330" s="430"/>
      <c r="BV330" s="430"/>
      <c r="BW330" s="430"/>
      <c r="BX330" s="431"/>
    </row>
    <row r="331" spans="1:76" x14ac:dyDescent="0.3">
      <c r="A331" s="88"/>
      <c r="B331" s="5"/>
      <c r="C331" s="5"/>
      <c r="D331" s="5"/>
      <c r="E331" s="5"/>
      <c r="F331" s="88"/>
      <c r="G331" s="5"/>
      <c r="H331" s="88"/>
      <c r="I331" s="88"/>
      <c r="J331" s="362" t="s">
        <v>238</v>
      </c>
      <c r="K331" s="363" t="s">
        <v>135</v>
      </c>
      <c r="L331" s="363"/>
      <c r="M331" s="363" t="s">
        <v>239</v>
      </c>
      <c r="N331" s="363" t="s">
        <v>240</v>
      </c>
      <c r="O331" s="363" t="s">
        <v>136</v>
      </c>
      <c r="P331" s="363">
        <v>2018</v>
      </c>
      <c r="Q331" s="432" t="s">
        <v>285</v>
      </c>
      <c r="R331" s="433" t="s">
        <v>286</v>
      </c>
      <c r="S331" s="363"/>
      <c r="T331" s="363"/>
      <c r="U331" s="363" t="s">
        <v>283</v>
      </c>
      <c r="V331" s="363"/>
      <c r="W331" s="363" t="s">
        <v>243</v>
      </c>
      <c r="X331" s="363">
        <v>2019</v>
      </c>
      <c r="Y331" s="363"/>
      <c r="Z331" s="363" t="str">
        <f>VLOOKUP(R331,KEY_Processes!$C$55:$E$130,3,FALSE)</f>
        <v>W_SL_BPL01</v>
      </c>
      <c r="AA331" s="363" t="str">
        <f>VLOOKUP(R331,KEY_Processes!$C$55:$E$130,2,FALSE)</f>
        <v>W_PelletStove_BPL_LARGE</v>
      </c>
      <c r="AB331" s="363" t="str">
        <f>VLOOKUP(U331,KEY_FUELS!$C$4:$D$77,2,FALSE)</f>
        <v>BIO</v>
      </c>
      <c r="AC331" s="363" t="s">
        <v>150</v>
      </c>
      <c r="AD331" s="363" t="s">
        <v>244</v>
      </c>
      <c r="AE331" s="363" t="s">
        <v>152</v>
      </c>
      <c r="AF331" s="366" t="str">
        <f>VLOOKUP(W331,KEY_Other!$B$37:$C$89,2,FALSE)</f>
        <v>EUR</v>
      </c>
      <c r="AG331" s="363"/>
      <c r="AH331" s="363" t="str">
        <f>AC331&amp;VLOOKUP(U331,KEY_FUELS!$C$4:$D$78,2,FALSE)</f>
        <v>RSDBIO</v>
      </c>
      <c r="AI331" s="363" t="str">
        <f>IFERROR(AC331&amp;VLOOKUP(V331,KEY_FUELS!$C$4:$D$78,2,FALSE),"")</f>
        <v/>
      </c>
      <c r="AJ331" s="363" t="str">
        <f t="shared" si="78"/>
        <v>RWAP</v>
      </c>
      <c r="AK331" s="363" t="str">
        <f t="shared" si="98"/>
        <v/>
      </c>
      <c r="AL331" s="363" t="str">
        <f t="shared" si="99"/>
        <v/>
      </c>
      <c r="AM331" s="364">
        <v>31.536000000000001</v>
      </c>
      <c r="AN331" s="363">
        <v>2019</v>
      </c>
      <c r="AO331" s="455"/>
      <c r="AP331" s="456"/>
      <c r="AQ331" s="436"/>
      <c r="AR331" s="436"/>
      <c r="AS331" s="436"/>
      <c r="AT331" s="436"/>
      <c r="AU331" s="457"/>
      <c r="AV331" s="457"/>
      <c r="AW331" s="457"/>
      <c r="AX331" s="441"/>
      <c r="AY331" s="363"/>
      <c r="AZ331" s="445">
        <v>0.7</v>
      </c>
      <c r="BA331" s="441"/>
      <c r="BB331" s="441"/>
      <c r="BC331" s="439"/>
      <c r="BD331" s="374"/>
      <c r="BE331" s="374"/>
      <c r="BF331" s="363"/>
      <c r="BG331" s="363"/>
      <c r="BH331" s="439"/>
      <c r="BI331" s="363">
        <v>20</v>
      </c>
      <c r="BJ331" s="363"/>
      <c r="BK331" s="440">
        <v>103</v>
      </c>
      <c r="BL331" s="363"/>
      <c r="BM331" s="363"/>
      <c r="BN331" s="363"/>
      <c r="BO331" s="363"/>
      <c r="BP331" s="363"/>
      <c r="BQ331" s="363"/>
      <c r="BR331" s="441">
        <v>6.35</v>
      </c>
      <c r="BS331" s="363"/>
      <c r="BT331" s="442"/>
      <c r="BU331" s="442"/>
      <c r="BV331" s="442"/>
      <c r="BW331" s="442"/>
      <c r="BX331" s="443"/>
    </row>
    <row r="332" spans="1:76" x14ac:dyDescent="0.3">
      <c r="A332" s="88"/>
      <c r="B332" s="5"/>
      <c r="C332" s="5"/>
      <c r="D332" s="5"/>
      <c r="E332" s="5"/>
      <c r="F332" s="88"/>
      <c r="G332" s="5"/>
      <c r="H332" s="88"/>
      <c r="I332" s="88"/>
      <c r="J332" s="378" t="s">
        <v>238</v>
      </c>
      <c r="K332" s="379" t="s">
        <v>135</v>
      </c>
      <c r="L332" s="379"/>
      <c r="M332" s="379" t="s">
        <v>239</v>
      </c>
      <c r="N332" s="379" t="s">
        <v>240</v>
      </c>
      <c r="O332" s="379" t="s">
        <v>136</v>
      </c>
      <c r="P332" s="379">
        <v>2018</v>
      </c>
      <c r="Q332" s="420" t="s">
        <v>285</v>
      </c>
      <c r="R332" s="421" t="s">
        <v>286</v>
      </c>
      <c r="S332" s="379"/>
      <c r="T332" s="379"/>
      <c r="U332" s="379" t="s">
        <v>283</v>
      </c>
      <c r="V332" s="379"/>
      <c r="W332" s="379" t="s">
        <v>243</v>
      </c>
      <c r="X332" s="379">
        <v>2030</v>
      </c>
      <c r="Y332" s="379"/>
      <c r="Z332" s="379" t="str">
        <f>VLOOKUP(R332,KEY_Processes!$C$55:$E$130,3,FALSE)</f>
        <v>W_SL_BPL01</v>
      </c>
      <c r="AA332" s="379" t="str">
        <f>VLOOKUP(R332,KEY_Processes!$C$55:$E$130,2,FALSE)</f>
        <v>W_PelletStove_BPL_LARGE</v>
      </c>
      <c r="AB332" s="379" t="str">
        <f>VLOOKUP(U332,KEY_FUELS!$C$4:$D$77,2,FALSE)</f>
        <v>BIO</v>
      </c>
      <c r="AC332" s="379" t="s">
        <v>150</v>
      </c>
      <c r="AD332" s="379" t="s">
        <v>244</v>
      </c>
      <c r="AE332" s="379" t="s">
        <v>152</v>
      </c>
      <c r="AF332" s="382" t="str">
        <f>VLOOKUP(W332,KEY_Other!$B$37:$C$89,2,FALSE)</f>
        <v>EUR</v>
      </c>
      <c r="AG332" s="379"/>
      <c r="AH332" s="379" t="str">
        <f>AC332&amp;VLOOKUP(U332,KEY_FUELS!$C$4:$D$78,2,FALSE)</f>
        <v>RSDBIO</v>
      </c>
      <c r="AI332" s="379" t="str">
        <f>IFERROR(AC332&amp;VLOOKUP(V332,KEY_FUELS!$C$4:$D$78,2,FALSE),"")</f>
        <v/>
      </c>
      <c r="AJ332" s="379" t="str">
        <f t="shared" si="78"/>
        <v>RWAP</v>
      </c>
      <c r="AK332" s="379" t="str">
        <f t="shared" si="98"/>
        <v/>
      </c>
      <c r="AL332" s="379" t="str">
        <f t="shared" si="99"/>
        <v/>
      </c>
      <c r="AM332" s="380">
        <v>31.536000000000001</v>
      </c>
      <c r="AN332" s="379">
        <v>2030</v>
      </c>
      <c r="AO332" s="450"/>
      <c r="AP332" s="451"/>
      <c r="AQ332" s="424"/>
      <c r="AR332" s="424"/>
      <c r="AS332" s="424"/>
      <c r="AT332" s="424"/>
      <c r="AU332" s="454"/>
      <c r="AV332" s="454"/>
      <c r="AW332" s="454"/>
      <c r="AX332" s="429"/>
      <c r="AY332" s="379"/>
      <c r="AZ332" s="467">
        <v>0.84</v>
      </c>
      <c r="BA332" s="429"/>
      <c r="BB332" s="429"/>
      <c r="BC332" s="427"/>
      <c r="BD332" s="390"/>
      <c r="BE332" s="390"/>
      <c r="BF332" s="379"/>
      <c r="BG332" s="379"/>
      <c r="BH332" s="427"/>
      <c r="BI332" s="379">
        <v>20</v>
      </c>
      <c r="BJ332" s="379"/>
      <c r="BK332" s="428">
        <v>151</v>
      </c>
      <c r="BL332" s="379"/>
      <c r="BM332" s="379"/>
      <c r="BN332" s="379"/>
      <c r="BO332" s="379"/>
      <c r="BP332" s="379"/>
      <c r="BQ332" s="379"/>
      <c r="BR332" s="429">
        <v>6.35</v>
      </c>
      <c r="BS332" s="379"/>
      <c r="BT332" s="430"/>
      <c r="BU332" s="430"/>
      <c r="BV332" s="430"/>
      <c r="BW332" s="430"/>
      <c r="BX332" s="431"/>
    </row>
    <row r="333" spans="1:76" x14ac:dyDescent="0.3">
      <c r="A333" s="88"/>
      <c r="B333" s="5"/>
      <c r="C333" s="5"/>
      <c r="D333" s="5"/>
      <c r="E333" s="5"/>
      <c r="F333" s="88"/>
      <c r="G333" s="5"/>
      <c r="H333" s="88"/>
      <c r="I333" s="88"/>
      <c r="J333" s="362" t="s">
        <v>238</v>
      </c>
      <c r="K333" s="363" t="s">
        <v>135</v>
      </c>
      <c r="L333" s="363"/>
      <c r="M333" s="363" t="s">
        <v>239</v>
      </c>
      <c r="N333" s="363" t="s">
        <v>240</v>
      </c>
      <c r="O333" s="363" t="s">
        <v>136</v>
      </c>
      <c r="P333" s="363">
        <v>2018</v>
      </c>
      <c r="Q333" s="432" t="s">
        <v>287</v>
      </c>
      <c r="R333" s="433" t="s">
        <v>288</v>
      </c>
      <c r="S333" s="363"/>
      <c r="T333" s="363"/>
      <c r="U333" s="363" t="s">
        <v>219</v>
      </c>
      <c r="V333" s="363"/>
      <c r="W333" s="363" t="s">
        <v>243</v>
      </c>
      <c r="X333" s="363">
        <v>2019</v>
      </c>
      <c r="Y333" s="363"/>
      <c r="Z333" s="363" t="str">
        <f>VLOOKUP(R333,KEY_Processes!$C$55:$E$130,3,FALSE)</f>
        <v>W_STL_SOL01</v>
      </c>
      <c r="AA333" s="363" t="str">
        <f>VLOOKUP(R333,KEY_Processes!$C$55:$E$130,2,FALSE)</f>
        <v>W_SolarThermal_SOL_LARGE</v>
      </c>
      <c r="AB333" s="363" t="str">
        <f>VLOOKUP(U333,KEY_FUELS!$C$4:$D$77,2,FALSE)</f>
        <v>SOL</v>
      </c>
      <c r="AC333" s="363" t="s">
        <v>150</v>
      </c>
      <c r="AD333" s="363" t="s">
        <v>244</v>
      </c>
      <c r="AE333" s="363" t="s">
        <v>152</v>
      </c>
      <c r="AF333" s="366" t="str">
        <f>VLOOKUP(W333,KEY_Other!$B$37:$C$89,2,FALSE)</f>
        <v>EUR</v>
      </c>
      <c r="AG333" s="363"/>
      <c r="AH333" s="363" t="str">
        <f>AC333&amp;VLOOKUP(U333,KEY_FUELS!$C$4:$D$78,2,FALSE)</f>
        <v>RSDSOL</v>
      </c>
      <c r="AI333" s="363" t="str">
        <f>IFERROR(AC333&amp;VLOOKUP(V333,KEY_FUELS!$C$4:$D$78,2,FALSE),"")</f>
        <v/>
      </c>
      <c r="AJ333" s="363" t="str">
        <f t="shared" si="78"/>
        <v>RWAP</v>
      </c>
      <c r="AK333" s="363" t="str">
        <f t="shared" si="98"/>
        <v/>
      </c>
      <c r="AL333" s="363" t="str">
        <f t="shared" si="99"/>
        <v/>
      </c>
      <c r="AM333" s="364">
        <v>31.536000000000001</v>
      </c>
      <c r="AN333" s="363">
        <v>2019</v>
      </c>
      <c r="AO333" s="452"/>
      <c r="AP333" s="453"/>
      <c r="AQ333" s="439">
        <v>0.48</v>
      </c>
      <c r="AR333" s="439">
        <v>0.52</v>
      </c>
      <c r="AS333" s="439"/>
      <c r="AT333" s="439"/>
      <c r="AU333" s="444"/>
      <c r="AV333" s="444"/>
      <c r="AW333" s="444"/>
      <c r="AX333" s="441"/>
      <c r="AY333" s="363"/>
      <c r="AZ333" s="445">
        <v>0.77</v>
      </c>
      <c r="BA333" s="441"/>
      <c r="BB333" s="441"/>
      <c r="BC333" s="439"/>
      <c r="BD333" s="374"/>
      <c r="BE333" s="374"/>
      <c r="BF333" s="363"/>
      <c r="BG333" s="363"/>
      <c r="BH333" s="439"/>
      <c r="BI333" s="363">
        <v>20</v>
      </c>
      <c r="BJ333" s="363"/>
      <c r="BK333" s="440">
        <v>317</v>
      </c>
      <c r="BL333" s="363"/>
      <c r="BM333" s="363"/>
      <c r="BN333" s="363"/>
      <c r="BO333" s="363"/>
      <c r="BP333" s="363"/>
      <c r="BQ333" s="363"/>
      <c r="BR333" s="441">
        <v>3.5999999999999996</v>
      </c>
      <c r="BS333" s="363"/>
      <c r="BT333" s="442"/>
      <c r="BU333" s="442"/>
      <c r="BV333" s="442"/>
      <c r="BW333" s="442"/>
      <c r="BX333" s="443"/>
    </row>
    <row r="334" spans="1:76" x14ac:dyDescent="0.3">
      <c r="A334" s="88"/>
      <c r="B334" s="5"/>
      <c r="C334" s="5"/>
      <c r="D334" s="5"/>
      <c r="E334" s="5"/>
      <c r="F334" s="88"/>
      <c r="G334" s="5"/>
      <c r="H334" s="88"/>
      <c r="I334" s="88"/>
      <c r="J334" s="378" t="s">
        <v>238</v>
      </c>
      <c r="K334" s="379" t="s">
        <v>135</v>
      </c>
      <c r="L334" s="379"/>
      <c r="M334" s="379" t="s">
        <v>239</v>
      </c>
      <c r="N334" s="379" t="s">
        <v>240</v>
      </c>
      <c r="O334" s="379" t="s">
        <v>136</v>
      </c>
      <c r="P334" s="379">
        <v>2018</v>
      </c>
      <c r="Q334" s="420" t="s">
        <v>287</v>
      </c>
      <c r="R334" s="421" t="s">
        <v>288</v>
      </c>
      <c r="S334" s="379"/>
      <c r="T334" s="379"/>
      <c r="U334" s="379" t="s">
        <v>219</v>
      </c>
      <c r="V334" s="379"/>
      <c r="W334" s="379" t="s">
        <v>243</v>
      </c>
      <c r="X334" s="379">
        <v>2030</v>
      </c>
      <c r="Y334" s="379"/>
      <c r="Z334" s="379" t="str">
        <f>VLOOKUP(R334,KEY_Processes!$C$55:$E$130,3,FALSE)</f>
        <v>W_STL_SOL01</v>
      </c>
      <c r="AA334" s="379" t="str">
        <f>VLOOKUP(R334,KEY_Processes!$C$55:$E$130,2,FALSE)</f>
        <v>W_SolarThermal_SOL_LARGE</v>
      </c>
      <c r="AB334" s="379" t="str">
        <f>VLOOKUP(U334,KEY_FUELS!$C$4:$D$77,2,FALSE)</f>
        <v>SOL</v>
      </c>
      <c r="AC334" s="379" t="s">
        <v>150</v>
      </c>
      <c r="AD334" s="379" t="s">
        <v>244</v>
      </c>
      <c r="AE334" s="379" t="s">
        <v>152</v>
      </c>
      <c r="AF334" s="382" t="str">
        <f>VLOOKUP(W334,KEY_Other!$B$37:$C$89,2,FALSE)</f>
        <v>EUR</v>
      </c>
      <c r="AG334" s="379"/>
      <c r="AH334" s="379" t="str">
        <f>AC334&amp;VLOOKUP(U334,KEY_FUELS!$C$4:$D$78,2,FALSE)</f>
        <v>RSDSOL</v>
      </c>
      <c r="AI334" s="379" t="str">
        <f>IFERROR(AC334&amp;VLOOKUP(V334,KEY_FUELS!$C$4:$D$78,2,FALSE),"")</f>
        <v/>
      </c>
      <c r="AJ334" s="379" t="str">
        <f t="shared" si="78"/>
        <v>RWAP</v>
      </c>
      <c r="AK334" s="379" t="str">
        <f t="shared" si="98"/>
        <v/>
      </c>
      <c r="AL334" s="379" t="str">
        <f t="shared" si="99"/>
        <v/>
      </c>
      <c r="AM334" s="380">
        <v>31.536000000000001</v>
      </c>
      <c r="AN334" s="379">
        <v>2030</v>
      </c>
      <c r="AO334" s="450"/>
      <c r="AP334" s="451"/>
      <c r="AQ334" s="427"/>
      <c r="AR334" s="427"/>
      <c r="AS334" s="427"/>
      <c r="AT334" s="427"/>
      <c r="AU334" s="454"/>
      <c r="AV334" s="454"/>
      <c r="AW334" s="454"/>
      <c r="AX334" s="429"/>
      <c r="AY334" s="379"/>
      <c r="AZ334" s="467">
        <v>0.82</v>
      </c>
      <c r="BA334" s="429"/>
      <c r="BB334" s="429"/>
      <c r="BC334" s="427"/>
      <c r="BD334" s="390"/>
      <c r="BE334" s="390"/>
      <c r="BF334" s="379"/>
      <c r="BG334" s="379"/>
      <c r="BH334" s="427"/>
      <c r="BI334" s="379">
        <v>20</v>
      </c>
      <c r="BJ334" s="379"/>
      <c r="BK334" s="428">
        <v>461</v>
      </c>
      <c r="BL334" s="379"/>
      <c r="BM334" s="379"/>
      <c r="BN334" s="379"/>
      <c r="BO334" s="379"/>
      <c r="BP334" s="379"/>
      <c r="BQ334" s="379"/>
      <c r="BR334" s="429">
        <v>3.5999999999999996</v>
      </c>
      <c r="BS334" s="379"/>
      <c r="BT334" s="430"/>
      <c r="BU334" s="430"/>
      <c r="BV334" s="430"/>
      <c r="BW334" s="430"/>
      <c r="BX334" s="431"/>
    </row>
    <row r="335" spans="1:76" x14ac:dyDescent="0.3">
      <c r="J335" s="362" t="s">
        <v>238</v>
      </c>
      <c r="K335" s="363" t="s">
        <v>135</v>
      </c>
      <c r="L335" s="363"/>
      <c r="M335" s="363" t="s">
        <v>239</v>
      </c>
      <c r="N335" s="363" t="s">
        <v>240</v>
      </c>
      <c r="O335" s="363" t="s">
        <v>136</v>
      </c>
      <c r="P335" s="363">
        <v>2018</v>
      </c>
      <c r="Q335" s="432" t="s">
        <v>287</v>
      </c>
      <c r="R335" s="433" t="s">
        <v>288</v>
      </c>
      <c r="S335" s="439"/>
      <c r="T335" s="439"/>
      <c r="U335" s="363" t="s">
        <v>219</v>
      </c>
      <c r="V335" s="363"/>
      <c r="W335" s="363" t="s">
        <v>243</v>
      </c>
      <c r="X335" s="363">
        <v>2019</v>
      </c>
      <c r="Y335" s="439"/>
      <c r="Z335" s="363" t="str">
        <f>VLOOKUP(R335,KEY_Processes!$C$55:$E$130,3,FALSE)</f>
        <v>W_STL_SOL01</v>
      </c>
      <c r="AA335" s="363" t="str">
        <f>VLOOKUP(R335,KEY_Processes!$C$55:$E$130,2,FALSE)</f>
        <v>W_SolarThermal_SOL_LARGE</v>
      </c>
      <c r="AB335" s="363" t="str">
        <f>VLOOKUP(U335,KEY_FUELS!$C$4:$D$77,2,FALSE)</f>
        <v>SOL</v>
      </c>
      <c r="AC335" s="363" t="s">
        <v>150</v>
      </c>
      <c r="AD335" s="363" t="s">
        <v>244</v>
      </c>
      <c r="AE335" s="363" t="s">
        <v>152</v>
      </c>
      <c r="AF335" s="366" t="str">
        <f>VLOOKUP(W335,KEY_Other!$B$37:$C$89,2,FALSE)</f>
        <v>EUR</v>
      </c>
      <c r="AG335" s="439"/>
      <c r="AH335" s="363" t="str">
        <f>AC335&amp;VLOOKUP(U335,KEY_FUELS!$C$4:$D$78,2,FALSE)</f>
        <v>RSDSOL</v>
      </c>
      <c r="AI335" s="363" t="str">
        <f>IFERROR(AC335&amp;VLOOKUP(V335,KEY_FUELS!$C$4:$D$78,2,FALSE),"")</f>
        <v/>
      </c>
      <c r="AJ335" s="363" t="str">
        <f t="shared" si="78"/>
        <v>RWAP</v>
      </c>
      <c r="AK335" s="363" t="str">
        <f t="shared" si="98"/>
        <v/>
      </c>
      <c r="AL335" s="363" t="str">
        <f t="shared" si="99"/>
        <v/>
      </c>
      <c r="AM335" s="364">
        <v>31.536000000000001</v>
      </c>
      <c r="AN335" s="439">
        <v>2019</v>
      </c>
      <c r="AO335" s="468"/>
      <c r="AP335" s="441"/>
      <c r="AQ335" s="439">
        <v>0.48</v>
      </c>
      <c r="AR335" s="439"/>
      <c r="AS335" s="439">
        <v>0.52</v>
      </c>
      <c r="AT335" s="439"/>
      <c r="AU335" s="445"/>
      <c r="AV335" s="445"/>
      <c r="AW335" s="445"/>
      <c r="AX335" s="441"/>
      <c r="AY335" s="439"/>
      <c r="AZ335" s="445">
        <v>0.65449999999999997</v>
      </c>
      <c r="BA335" s="441"/>
      <c r="BB335" s="441"/>
      <c r="BC335" s="439"/>
      <c r="BD335" s="441"/>
      <c r="BE335" s="441"/>
      <c r="BF335" s="439"/>
      <c r="BG335" s="439"/>
      <c r="BH335" s="439"/>
      <c r="BI335" s="439">
        <v>20</v>
      </c>
      <c r="BJ335" s="439"/>
      <c r="BK335" s="440">
        <v>379</v>
      </c>
      <c r="BL335" s="439"/>
      <c r="BM335" s="439"/>
      <c r="BN335" s="439"/>
      <c r="BO335" s="439"/>
      <c r="BP335" s="439"/>
      <c r="BQ335" s="439"/>
      <c r="BR335" s="441">
        <v>3.06</v>
      </c>
      <c r="BS335" s="439"/>
      <c r="BT335" s="439"/>
      <c r="BU335" s="439"/>
      <c r="BV335" s="439"/>
      <c r="BW335" s="439"/>
      <c r="BX335" s="469"/>
    </row>
    <row r="336" spans="1:76" x14ac:dyDescent="0.3">
      <c r="J336" s="378" t="s">
        <v>238</v>
      </c>
      <c r="K336" s="379" t="s">
        <v>135</v>
      </c>
      <c r="L336" s="379"/>
      <c r="M336" s="379" t="s">
        <v>239</v>
      </c>
      <c r="N336" s="379" t="s">
        <v>240</v>
      </c>
      <c r="O336" s="379" t="s">
        <v>136</v>
      </c>
      <c r="P336" s="379">
        <v>2018</v>
      </c>
      <c r="Q336" s="420" t="s">
        <v>287</v>
      </c>
      <c r="R336" s="421" t="s">
        <v>288</v>
      </c>
      <c r="S336" s="427"/>
      <c r="T336" s="427"/>
      <c r="U336" s="379" t="s">
        <v>219</v>
      </c>
      <c r="V336" s="379"/>
      <c r="W336" s="379" t="s">
        <v>243</v>
      </c>
      <c r="X336" s="379">
        <v>2030</v>
      </c>
      <c r="Y336" s="427"/>
      <c r="Z336" s="379" t="str">
        <f>VLOOKUP(R336,KEY_Processes!$C$55:$E$130,3,FALSE)</f>
        <v>W_STL_SOL01</v>
      </c>
      <c r="AA336" s="379" t="str">
        <f>VLOOKUP(R336,KEY_Processes!$C$55:$E$130,2,FALSE)</f>
        <v>W_SolarThermal_SOL_LARGE</v>
      </c>
      <c r="AB336" s="379" t="str">
        <f>VLOOKUP(U336,KEY_FUELS!$C$4:$D$77,2,FALSE)</f>
        <v>SOL</v>
      </c>
      <c r="AC336" s="379" t="s">
        <v>150</v>
      </c>
      <c r="AD336" s="379" t="s">
        <v>244</v>
      </c>
      <c r="AE336" s="379" t="s">
        <v>152</v>
      </c>
      <c r="AF336" s="382" t="str">
        <f>VLOOKUP(W336,KEY_Other!$B$37:$C$89,2,FALSE)</f>
        <v>EUR</v>
      </c>
      <c r="AG336" s="427"/>
      <c r="AH336" s="379" t="str">
        <f>AC336&amp;VLOOKUP(U336,KEY_FUELS!$C$4:$D$78,2,FALSE)</f>
        <v>RSDSOL</v>
      </c>
      <c r="AI336" s="379" t="str">
        <f>IFERROR(AC336&amp;VLOOKUP(V336,KEY_FUELS!$C$4:$D$78,2,FALSE),"")</f>
        <v/>
      </c>
      <c r="AJ336" s="379" t="str">
        <f t="shared" si="78"/>
        <v>RWAP</v>
      </c>
      <c r="AK336" s="379" t="str">
        <f t="shared" si="98"/>
        <v/>
      </c>
      <c r="AL336" s="379" t="str">
        <f t="shared" si="99"/>
        <v/>
      </c>
      <c r="AM336" s="380">
        <v>31.536000000000001</v>
      </c>
      <c r="AN336" s="427">
        <v>2030</v>
      </c>
      <c r="AO336" s="470"/>
      <c r="AP336" s="429"/>
      <c r="AQ336" s="427"/>
      <c r="AR336" s="427"/>
      <c r="AS336" s="427"/>
      <c r="AT336" s="427"/>
      <c r="AU336" s="467"/>
      <c r="AV336" s="467"/>
      <c r="AW336" s="467"/>
      <c r="AX336" s="429"/>
      <c r="AY336" s="427"/>
      <c r="AZ336" s="467">
        <v>0.69699999999999995</v>
      </c>
      <c r="BA336" s="429"/>
      <c r="BB336" s="429"/>
      <c r="BC336" s="427"/>
      <c r="BD336" s="429"/>
      <c r="BE336" s="429"/>
      <c r="BF336" s="427"/>
      <c r="BG336" s="427"/>
      <c r="BH336" s="427"/>
      <c r="BI336" s="427">
        <v>20</v>
      </c>
      <c r="BJ336" s="427"/>
      <c r="BK336" s="428">
        <v>523</v>
      </c>
      <c r="BL336" s="427"/>
      <c r="BM336" s="427"/>
      <c r="BN336" s="427"/>
      <c r="BO336" s="427"/>
      <c r="BP336" s="427"/>
      <c r="BQ336" s="427"/>
      <c r="BR336" s="429">
        <v>3.06</v>
      </c>
      <c r="BS336" s="427"/>
      <c r="BT336" s="427"/>
      <c r="BU336" s="427"/>
      <c r="BV336" s="427"/>
      <c r="BW336" s="427"/>
      <c r="BX336" s="471"/>
    </row>
    <row r="337" spans="10:76" x14ac:dyDescent="0.3">
      <c r="J337" s="362" t="s">
        <v>238</v>
      </c>
      <c r="K337" s="363" t="s">
        <v>135</v>
      </c>
      <c r="L337" s="363"/>
      <c r="M337" s="363" t="s">
        <v>239</v>
      </c>
      <c r="N337" s="363" t="s">
        <v>240</v>
      </c>
      <c r="O337" s="363" t="s">
        <v>136</v>
      </c>
      <c r="P337" s="363">
        <v>2018</v>
      </c>
      <c r="Q337" s="432" t="s">
        <v>287</v>
      </c>
      <c r="R337" s="433" t="s">
        <v>289</v>
      </c>
      <c r="S337" s="439"/>
      <c r="T337" s="439"/>
      <c r="U337" s="363" t="s">
        <v>219</v>
      </c>
      <c r="V337" s="363"/>
      <c r="W337" s="363" t="s">
        <v>243</v>
      </c>
      <c r="X337" s="363">
        <v>2019</v>
      </c>
      <c r="Y337" s="439"/>
      <c r="Z337" s="363" t="str">
        <f>VLOOKUP(R337,KEY_Processes!$C$55:$E$130,3,FALSE)</f>
        <v>H_STL_SOL01</v>
      </c>
      <c r="AA337" s="363" t="str">
        <f>VLOOKUP(R337,KEY_Processes!$C$55:$E$130,2,FALSE)</f>
        <v>H_SolarThermal_SOL_LARGE</v>
      </c>
      <c r="AB337" s="363" t="str">
        <f>VLOOKUP(U337,KEY_FUELS!$C$4:$D$77,2,FALSE)</f>
        <v>SOL</v>
      </c>
      <c r="AC337" s="363" t="s">
        <v>150</v>
      </c>
      <c r="AD337" s="363" t="s">
        <v>244</v>
      </c>
      <c r="AE337" s="363" t="s">
        <v>152</v>
      </c>
      <c r="AF337" s="366" t="str">
        <f>VLOOKUP(W337,KEY_Other!$B$37:$C$89,2,FALSE)</f>
        <v>EUR</v>
      </c>
      <c r="AG337" s="439"/>
      <c r="AH337" s="363" t="str">
        <f>AC337&amp;VLOOKUP(U337,KEY_FUELS!$C$4:$D$78,2,FALSE)</f>
        <v>RSDSOL</v>
      </c>
      <c r="AI337" s="363" t="str">
        <f>IFERROR(AC337&amp;VLOOKUP(V337,KEY_FUELS!$C$4:$D$78,2,FALSE),"")</f>
        <v/>
      </c>
      <c r="AJ337" s="363" t="str">
        <f t="shared" si="78"/>
        <v>RHAP</v>
      </c>
      <c r="AK337" s="363" t="str">
        <f t="shared" si="98"/>
        <v/>
      </c>
      <c r="AL337" s="363" t="str">
        <f t="shared" si="99"/>
        <v/>
      </c>
      <c r="AM337" s="364">
        <v>31.536000000000001</v>
      </c>
      <c r="AN337" s="439">
        <v>2019</v>
      </c>
      <c r="AO337" s="468"/>
      <c r="AP337" s="441"/>
      <c r="AQ337" s="439">
        <v>0.48</v>
      </c>
      <c r="AR337" s="441">
        <v>0.52</v>
      </c>
      <c r="AS337" s="441"/>
      <c r="AT337" s="441"/>
      <c r="AU337" s="445"/>
      <c r="AV337" s="445"/>
      <c r="AW337" s="445"/>
      <c r="AX337" s="441"/>
      <c r="AY337" s="439"/>
      <c r="AZ337" s="445">
        <v>0.77</v>
      </c>
      <c r="BA337" s="441"/>
      <c r="BB337" s="441"/>
      <c r="BC337" s="439"/>
      <c r="BD337" s="441"/>
      <c r="BE337" s="441"/>
      <c r="BF337" s="439"/>
      <c r="BG337" s="439"/>
      <c r="BH337" s="439"/>
      <c r="BI337" s="439">
        <v>20</v>
      </c>
      <c r="BJ337" s="439"/>
      <c r="BK337" s="440">
        <v>317</v>
      </c>
      <c r="BL337" s="439"/>
      <c r="BM337" s="439"/>
      <c r="BN337" s="439"/>
      <c r="BO337" s="439"/>
      <c r="BP337" s="439"/>
      <c r="BQ337" s="439"/>
      <c r="BR337" s="441">
        <v>3.5999999999999996</v>
      </c>
      <c r="BS337" s="439"/>
      <c r="BT337" s="439"/>
      <c r="BU337" s="439"/>
      <c r="BV337" s="439"/>
      <c r="BW337" s="439"/>
      <c r="BX337" s="469"/>
    </row>
    <row r="338" spans="10:76" x14ac:dyDescent="0.3">
      <c r="J338" s="378" t="s">
        <v>238</v>
      </c>
      <c r="K338" s="379" t="s">
        <v>135</v>
      </c>
      <c r="L338" s="379"/>
      <c r="M338" s="379" t="s">
        <v>239</v>
      </c>
      <c r="N338" s="379" t="s">
        <v>240</v>
      </c>
      <c r="O338" s="379" t="s">
        <v>136</v>
      </c>
      <c r="P338" s="379">
        <v>2018</v>
      </c>
      <c r="Q338" s="420" t="s">
        <v>287</v>
      </c>
      <c r="R338" s="421" t="s">
        <v>289</v>
      </c>
      <c r="S338" s="427"/>
      <c r="T338" s="427"/>
      <c r="U338" s="379" t="s">
        <v>219</v>
      </c>
      <c r="V338" s="379"/>
      <c r="W338" s="379" t="s">
        <v>243</v>
      </c>
      <c r="X338" s="379">
        <v>2030</v>
      </c>
      <c r="Y338" s="427"/>
      <c r="Z338" s="379" t="str">
        <f>VLOOKUP(R338,KEY_Processes!$C$55:$E$130,3,FALSE)</f>
        <v>H_STL_SOL01</v>
      </c>
      <c r="AA338" s="379" t="str">
        <f>VLOOKUP(R338,KEY_Processes!$C$55:$E$130,2,FALSE)</f>
        <v>H_SolarThermal_SOL_LARGE</v>
      </c>
      <c r="AB338" s="379" t="str">
        <f>VLOOKUP(U338,KEY_FUELS!$C$4:$D$77,2,FALSE)</f>
        <v>SOL</v>
      </c>
      <c r="AC338" s="379" t="s">
        <v>150</v>
      </c>
      <c r="AD338" s="379" t="s">
        <v>244</v>
      </c>
      <c r="AE338" s="379" t="s">
        <v>152</v>
      </c>
      <c r="AF338" s="382" t="str">
        <f>VLOOKUP(W338,KEY_Other!$B$37:$C$89,2,FALSE)</f>
        <v>EUR</v>
      </c>
      <c r="AG338" s="427"/>
      <c r="AH338" s="379" t="str">
        <f>AC338&amp;VLOOKUP(U338,KEY_FUELS!$C$4:$D$78,2,FALSE)</f>
        <v>RSDSOL</v>
      </c>
      <c r="AI338" s="379" t="str">
        <f>IFERROR(AC338&amp;VLOOKUP(V338,KEY_FUELS!$C$4:$D$78,2,FALSE),"")</f>
        <v/>
      </c>
      <c r="AJ338" s="379" t="str">
        <f t="shared" si="78"/>
        <v>RHAP</v>
      </c>
      <c r="AK338" s="379" t="str">
        <f t="shared" si="98"/>
        <v/>
      </c>
      <c r="AL338" s="379" t="str">
        <f t="shared" si="99"/>
        <v/>
      </c>
      <c r="AM338" s="380">
        <v>31.536000000000001</v>
      </c>
      <c r="AN338" s="427">
        <v>2030</v>
      </c>
      <c r="AO338" s="470"/>
      <c r="AP338" s="429"/>
      <c r="AQ338" s="467"/>
      <c r="AR338" s="429"/>
      <c r="AS338" s="429"/>
      <c r="AT338" s="429"/>
      <c r="AU338" s="467"/>
      <c r="AV338" s="467"/>
      <c r="AW338" s="467"/>
      <c r="AX338" s="429"/>
      <c r="AY338" s="427"/>
      <c r="AZ338" s="467">
        <v>0.82</v>
      </c>
      <c r="BA338" s="429"/>
      <c r="BB338" s="429"/>
      <c r="BC338" s="427"/>
      <c r="BD338" s="429"/>
      <c r="BE338" s="429"/>
      <c r="BF338" s="427"/>
      <c r="BG338" s="427"/>
      <c r="BH338" s="427"/>
      <c r="BI338" s="427">
        <v>20</v>
      </c>
      <c r="BJ338" s="427"/>
      <c r="BK338" s="428">
        <v>461</v>
      </c>
      <c r="BL338" s="427"/>
      <c r="BM338" s="427"/>
      <c r="BN338" s="427"/>
      <c r="BO338" s="427"/>
      <c r="BP338" s="427"/>
      <c r="BQ338" s="427"/>
      <c r="BR338" s="429">
        <v>3.5999999999999996</v>
      </c>
      <c r="BS338" s="427"/>
      <c r="BT338" s="427"/>
      <c r="BU338" s="427"/>
      <c r="BV338" s="427"/>
      <c r="BW338" s="427"/>
      <c r="BX338" s="471"/>
    </row>
    <row r="339" spans="10:76" x14ac:dyDescent="0.3">
      <c r="J339" s="362" t="s">
        <v>238</v>
      </c>
      <c r="K339" s="363" t="s">
        <v>135</v>
      </c>
      <c r="L339" s="363"/>
      <c r="M339" s="363" t="s">
        <v>239</v>
      </c>
      <c r="N339" s="363" t="s">
        <v>240</v>
      </c>
      <c r="O339" s="363" t="s">
        <v>136</v>
      </c>
      <c r="P339" s="363">
        <v>2018</v>
      </c>
      <c r="Q339" s="432" t="s">
        <v>287</v>
      </c>
      <c r="R339" s="433" t="s">
        <v>289</v>
      </c>
      <c r="S339" s="439"/>
      <c r="T339" s="439"/>
      <c r="U339" s="363" t="s">
        <v>219</v>
      </c>
      <c r="V339" s="363"/>
      <c r="W339" s="363" t="s">
        <v>243</v>
      </c>
      <c r="X339" s="363">
        <v>2019</v>
      </c>
      <c r="Y339" s="439"/>
      <c r="Z339" s="363" t="str">
        <f>VLOOKUP(R339,KEY_Processes!$C$55:$E$130,3,FALSE)</f>
        <v>H_STL_SOL01</v>
      </c>
      <c r="AA339" s="363" t="str">
        <f>VLOOKUP(R339,KEY_Processes!$C$55:$E$130,2,FALSE)</f>
        <v>H_SolarThermal_SOL_LARGE</v>
      </c>
      <c r="AB339" s="363" t="str">
        <f>VLOOKUP(U339,KEY_FUELS!$C$4:$D$77,2,FALSE)</f>
        <v>SOL</v>
      </c>
      <c r="AC339" s="363" t="s">
        <v>150</v>
      </c>
      <c r="AD339" s="363" t="s">
        <v>244</v>
      </c>
      <c r="AE339" s="363" t="s">
        <v>152</v>
      </c>
      <c r="AF339" s="366" t="str">
        <f>VLOOKUP(W339,KEY_Other!$B$37:$C$89,2,FALSE)</f>
        <v>EUR</v>
      </c>
      <c r="AG339" s="439"/>
      <c r="AH339" s="363" t="str">
        <f>AC339&amp;VLOOKUP(U339,KEY_FUELS!$C$4:$D$78,2,FALSE)</f>
        <v>RSDSOL</v>
      </c>
      <c r="AI339" s="363" t="str">
        <f>IFERROR(AC339&amp;VLOOKUP(V339,KEY_FUELS!$C$4:$D$78,2,FALSE),"")</f>
        <v/>
      </c>
      <c r="AJ339" s="363" t="str">
        <f t="shared" si="78"/>
        <v>RHAP</v>
      </c>
      <c r="AK339" s="363" t="str">
        <f t="shared" si="98"/>
        <v/>
      </c>
      <c r="AL339" s="363" t="str">
        <f t="shared" si="99"/>
        <v/>
      </c>
      <c r="AM339" s="364">
        <v>31.536000000000001</v>
      </c>
      <c r="AN339" s="439">
        <v>2019</v>
      </c>
      <c r="AO339" s="468"/>
      <c r="AP339" s="441"/>
      <c r="AQ339" s="439">
        <v>0.48</v>
      </c>
      <c r="AR339" s="441"/>
      <c r="AS339" s="441">
        <v>0.52</v>
      </c>
      <c r="AT339" s="441"/>
      <c r="AU339" s="445"/>
      <c r="AV339" s="445"/>
      <c r="AW339" s="445"/>
      <c r="AX339" s="441"/>
      <c r="AY339" s="439"/>
      <c r="AZ339" s="445">
        <v>0.65449999999999997</v>
      </c>
      <c r="BA339" s="441"/>
      <c r="BB339" s="441"/>
      <c r="BC339" s="439"/>
      <c r="BD339" s="441"/>
      <c r="BE339" s="441"/>
      <c r="BF339" s="439"/>
      <c r="BG339" s="439"/>
      <c r="BH339" s="439"/>
      <c r="BI339" s="439">
        <v>20</v>
      </c>
      <c r="BJ339" s="439"/>
      <c r="BK339" s="440">
        <v>379</v>
      </c>
      <c r="BL339" s="439"/>
      <c r="BM339" s="439"/>
      <c r="BN339" s="439"/>
      <c r="BO339" s="439"/>
      <c r="BP339" s="439"/>
      <c r="BQ339" s="439"/>
      <c r="BR339" s="441">
        <v>3.06</v>
      </c>
      <c r="BS339" s="439"/>
      <c r="BT339" s="439"/>
      <c r="BU339" s="439"/>
      <c r="BV339" s="439"/>
      <c r="BW339" s="439"/>
      <c r="BX339" s="469"/>
    </row>
    <row r="340" spans="10:76" x14ac:dyDescent="0.3">
      <c r="J340" s="378" t="s">
        <v>238</v>
      </c>
      <c r="K340" s="379" t="s">
        <v>135</v>
      </c>
      <c r="L340" s="379"/>
      <c r="M340" s="379" t="s">
        <v>239</v>
      </c>
      <c r="N340" s="379" t="s">
        <v>240</v>
      </c>
      <c r="O340" s="379" t="s">
        <v>136</v>
      </c>
      <c r="P340" s="379">
        <v>2018</v>
      </c>
      <c r="Q340" s="420" t="s">
        <v>287</v>
      </c>
      <c r="R340" s="421" t="s">
        <v>289</v>
      </c>
      <c r="S340" s="427"/>
      <c r="T340" s="427"/>
      <c r="U340" s="379" t="s">
        <v>219</v>
      </c>
      <c r="V340" s="379"/>
      <c r="W340" s="379" t="s">
        <v>243</v>
      </c>
      <c r="X340" s="379">
        <v>2030</v>
      </c>
      <c r="Y340" s="427"/>
      <c r="Z340" s="379" t="str">
        <f>VLOOKUP(R340,KEY_Processes!$C$55:$E$130,3,FALSE)</f>
        <v>H_STL_SOL01</v>
      </c>
      <c r="AA340" s="379" t="str">
        <f>VLOOKUP(R340,KEY_Processes!$C$55:$E$130,2,FALSE)</f>
        <v>H_SolarThermal_SOL_LARGE</v>
      </c>
      <c r="AB340" s="379" t="str">
        <f>VLOOKUP(U340,KEY_FUELS!$C$4:$D$77,2,FALSE)</f>
        <v>SOL</v>
      </c>
      <c r="AC340" s="379" t="s">
        <v>150</v>
      </c>
      <c r="AD340" s="379" t="s">
        <v>244</v>
      </c>
      <c r="AE340" s="379" t="s">
        <v>152</v>
      </c>
      <c r="AF340" s="382" t="str">
        <f>VLOOKUP(W340,KEY_Other!$B$37:$C$89,2,FALSE)</f>
        <v>EUR</v>
      </c>
      <c r="AG340" s="427"/>
      <c r="AH340" s="379" t="str">
        <f>AC340&amp;VLOOKUP(U340,KEY_FUELS!$C$4:$D$78,2,FALSE)</f>
        <v>RSDSOL</v>
      </c>
      <c r="AI340" s="379" t="str">
        <f>IFERROR(AC340&amp;VLOOKUP(V340,KEY_FUELS!$C$4:$D$78,2,FALSE),"")</f>
        <v/>
      </c>
      <c r="AJ340" s="379" t="str">
        <f t="shared" si="78"/>
        <v>RHAP</v>
      </c>
      <c r="AK340" s="379" t="str">
        <f t="shared" si="98"/>
        <v/>
      </c>
      <c r="AL340" s="379" t="str">
        <f t="shared" si="99"/>
        <v/>
      </c>
      <c r="AM340" s="380">
        <v>31.536000000000001</v>
      </c>
      <c r="AN340" s="427">
        <v>2030</v>
      </c>
      <c r="AO340" s="470"/>
      <c r="AP340" s="429"/>
      <c r="AQ340" s="467"/>
      <c r="AR340" s="429"/>
      <c r="AS340" s="429"/>
      <c r="AT340" s="429"/>
      <c r="AU340" s="467"/>
      <c r="AV340" s="467"/>
      <c r="AW340" s="467"/>
      <c r="AX340" s="429"/>
      <c r="AY340" s="427"/>
      <c r="AZ340" s="467">
        <v>0.69699999999999995</v>
      </c>
      <c r="BA340" s="429"/>
      <c r="BB340" s="429"/>
      <c r="BC340" s="427"/>
      <c r="BD340" s="429"/>
      <c r="BE340" s="429"/>
      <c r="BF340" s="427"/>
      <c r="BG340" s="427"/>
      <c r="BH340" s="427"/>
      <c r="BI340" s="427">
        <v>20</v>
      </c>
      <c r="BJ340" s="427"/>
      <c r="BK340" s="428">
        <v>523</v>
      </c>
      <c r="BL340" s="427"/>
      <c r="BM340" s="427"/>
      <c r="BN340" s="427"/>
      <c r="BO340" s="427"/>
      <c r="BP340" s="427"/>
      <c r="BQ340" s="427"/>
      <c r="BR340" s="429">
        <v>3.06</v>
      </c>
      <c r="BS340" s="427"/>
      <c r="BT340" s="427"/>
      <c r="BU340" s="427"/>
      <c r="BV340" s="427"/>
      <c r="BW340" s="427"/>
      <c r="BX340" s="471"/>
    </row>
    <row r="341" spans="10:76" x14ac:dyDescent="0.3">
      <c r="J341" s="362" t="s">
        <v>238</v>
      </c>
      <c r="K341" s="363" t="s">
        <v>135</v>
      </c>
      <c r="L341" s="363"/>
      <c r="M341" s="363" t="s">
        <v>239</v>
      </c>
      <c r="N341" s="363" t="s">
        <v>240</v>
      </c>
      <c r="O341" s="363" t="s">
        <v>136</v>
      </c>
      <c r="P341" s="363">
        <v>2018</v>
      </c>
      <c r="Q341" s="432" t="s">
        <v>287</v>
      </c>
      <c r="R341" s="433" t="s">
        <v>289</v>
      </c>
      <c r="S341" s="439"/>
      <c r="T341" s="439"/>
      <c r="U341" s="363" t="s">
        <v>219</v>
      </c>
      <c r="V341" s="363"/>
      <c r="W341" s="363" t="s">
        <v>243</v>
      </c>
      <c r="X341" s="363">
        <v>2019</v>
      </c>
      <c r="Y341" s="439"/>
      <c r="Z341" s="363" t="str">
        <f>VLOOKUP(R341,KEY_Processes!$C$55:$E$130,3,FALSE)</f>
        <v>H_STL_SOL01</v>
      </c>
      <c r="AA341" s="363" t="str">
        <f>VLOOKUP(R341,KEY_Processes!$C$55:$E$130,2,FALSE)</f>
        <v>H_SolarThermal_SOL_LARGE</v>
      </c>
      <c r="AB341" s="363" t="str">
        <f>VLOOKUP(U341,KEY_FUELS!$C$4:$D$77,2,FALSE)</f>
        <v>SOL</v>
      </c>
      <c r="AC341" s="363" t="s">
        <v>150</v>
      </c>
      <c r="AD341" s="363" t="s">
        <v>244</v>
      </c>
      <c r="AE341" s="363" t="s">
        <v>152</v>
      </c>
      <c r="AF341" s="366" t="str">
        <f>VLOOKUP(W341,KEY_Other!$B$37:$C$89,2,FALSE)</f>
        <v>EUR</v>
      </c>
      <c r="AG341" s="439"/>
      <c r="AH341" s="363" t="str">
        <f>AC341&amp;VLOOKUP(U341,KEY_FUELS!$C$4:$D$78,2,FALSE)</f>
        <v>RSDSOL</v>
      </c>
      <c r="AI341" s="363" t="str">
        <f>IFERROR(AC341&amp;VLOOKUP(V341,KEY_FUELS!$C$4:$D$78,2,FALSE),"")</f>
        <v/>
      </c>
      <c r="AJ341" s="363" t="str">
        <f t="shared" si="78"/>
        <v>RHAP</v>
      </c>
      <c r="AK341" s="363" t="str">
        <f t="shared" si="98"/>
        <v/>
      </c>
      <c r="AL341" s="363" t="str">
        <f t="shared" si="99"/>
        <v/>
      </c>
      <c r="AM341" s="364">
        <v>31.536000000000001</v>
      </c>
      <c r="AN341" s="439">
        <v>2019</v>
      </c>
      <c r="AO341" s="468">
        <v>1</v>
      </c>
      <c r="AP341" s="441"/>
      <c r="AQ341" s="439">
        <v>0.48</v>
      </c>
      <c r="AR341" s="441">
        <v>0.52</v>
      </c>
      <c r="AS341" s="441"/>
      <c r="AT341" s="436" t="s">
        <v>161</v>
      </c>
      <c r="AU341" s="370">
        <v>0.48</v>
      </c>
      <c r="AV341" s="445"/>
      <c r="AW341" s="445"/>
      <c r="AX341" s="441"/>
      <c r="AY341" s="439"/>
      <c r="AZ341" s="445">
        <v>0.77</v>
      </c>
      <c r="BA341" s="441"/>
      <c r="BB341" s="441"/>
      <c r="BC341" s="439"/>
      <c r="BD341" s="441"/>
      <c r="BE341" s="441"/>
      <c r="BF341" s="439"/>
      <c r="BG341" s="439"/>
      <c r="BH341" s="439"/>
      <c r="BI341" s="439">
        <v>20</v>
      </c>
      <c r="BJ341" s="439"/>
      <c r="BK341" s="440">
        <v>317</v>
      </c>
      <c r="BL341" s="439"/>
      <c r="BM341" s="439"/>
      <c r="BN341" s="439"/>
      <c r="BO341" s="439"/>
      <c r="BP341" s="439"/>
      <c r="BQ341" s="439"/>
      <c r="BR341" s="441">
        <v>3.5999999999999996</v>
      </c>
      <c r="BS341" s="439"/>
      <c r="BT341" s="439"/>
      <c r="BU341" s="439"/>
      <c r="BV341" s="439"/>
      <c r="BW341" s="439"/>
      <c r="BX341" s="469"/>
    </row>
    <row r="342" spans="10:76" x14ac:dyDescent="0.3">
      <c r="J342" s="378" t="s">
        <v>238</v>
      </c>
      <c r="K342" s="379" t="s">
        <v>135</v>
      </c>
      <c r="L342" s="379"/>
      <c r="M342" s="379" t="s">
        <v>239</v>
      </c>
      <c r="N342" s="379" t="s">
        <v>240</v>
      </c>
      <c r="O342" s="379" t="s">
        <v>136</v>
      </c>
      <c r="P342" s="379">
        <v>2018</v>
      </c>
      <c r="Q342" s="420" t="s">
        <v>287</v>
      </c>
      <c r="R342" s="421" t="s">
        <v>289</v>
      </c>
      <c r="S342" s="427"/>
      <c r="T342" s="427"/>
      <c r="U342" s="379" t="s">
        <v>219</v>
      </c>
      <c r="V342" s="379"/>
      <c r="W342" s="379" t="s">
        <v>243</v>
      </c>
      <c r="X342" s="379">
        <v>2019</v>
      </c>
      <c r="Y342" s="427"/>
      <c r="Z342" s="379" t="str">
        <f>VLOOKUP(R342,KEY_Processes!$C$55:$E$130,3,FALSE)</f>
        <v>H_STL_SOL01</v>
      </c>
      <c r="AA342" s="379" t="str">
        <f>VLOOKUP(R342,KEY_Processes!$C$55:$E$130,2,FALSE)</f>
        <v>H_SolarThermal_SOL_LARGE</v>
      </c>
      <c r="AB342" s="379" t="str">
        <f>VLOOKUP(U342,KEY_FUELS!$C$4:$D$77,2,FALSE)</f>
        <v>SOL</v>
      </c>
      <c r="AC342" s="379" t="s">
        <v>150</v>
      </c>
      <c r="AD342" s="379" t="s">
        <v>244</v>
      </c>
      <c r="AE342" s="379" t="s">
        <v>152</v>
      </c>
      <c r="AF342" s="382" t="str">
        <f>VLOOKUP(W342,KEY_Other!$B$37:$C$89,2,FALSE)</f>
        <v>EUR</v>
      </c>
      <c r="AG342" s="427"/>
      <c r="AH342" s="379" t="str">
        <f>AC342&amp;VLOOKUP(U342,KEY_FUELS!$C$4:$D$78,2,FALSE)</f>
        <v>RSDSOL</v>
      </c>
      <c r="AI342" s="379" t="str">
        <f>IFERROR(AC342&amp;VLOOKUP(V342,KEY_FUELS!$C$4:$D$78,2,FALSE),"")</f>
        <v/>
      </c>
      <c r="AJ342" s="379" t="str">
        <f t="shared" ref="AJ342:AJ344" si="103">LEFT(AC342,1)&amp;LEFT(AA342,1)&amp;AD342</f>
        <v>RHAP</v>
      </c>
      <c r="AK342" s="379" t="str">
        <f t="shared" si="98"/>
        <v/>
      </c>
      <c r="AL342" s="379" t="str">
        <f t="shared" si="99"/>
        <v/>
      </c>
      <c r="AM342" s="380">
        <v>31.536000000000001</v>
      </c>
      <c r="AN342" s="427">
        <v>2019</v>
      </c>
      <c r="AO342" s="470">
        <v>1</v>
      </c>
      <c r="AP342" s="429"/>
      <c r="AQ342" s="427">
        <v>0.48</v>
      </c>
      <c r="AR342" s="429">
        <v>0.52</v>
      </c>
      <c r="AS342" s="429"/>
      <c r="AT342" s="424" t="s">
        <v>248</v>
      </c>
      <c r="AU342" s="386">
        <v>0.55000000000000004</v>
      </c>
      <c r="AV342" s="467"/>
      <c r="AW342" s="467"/>
      <c r="AX342" s="429"/>
      <c r="AY342" s="427"/>
      <c r="AZ342" s="467">
        <v>0.77</v>
      </c>
      <c r="BA342" s="429"/>
      <c r="BB342" s="429"/>
      <c r="BC342" s="427"/>
      <c r="BD342" s="429"/>
      <c r="BE342" s="429"/>
      <c r="BF342" s="427"/>
      <c r="BG342" s="427"/>
      <c r="BH342" s="427"/>
      <c r="BI342" s="427">
        <v>20</v>
      </c>
      <c r="BJ342" s="427"/>
      <c r="BK342" s="428">
        <v>317</v>
      </c>
      <c r="BL342" s="427"/>
      <c r="BM342" s="427"/>
      <c r="BN342" s="427"/>
      <c r="BO342" s="427"/>
      <c r="BP342" s="427"/>
      <c r="BQ342" s="427"/>
      <c r="BR342" s="429">
        <v>3.5999999999999996</v>
      </c>
      <c r="BS342" s="427"/>
      <c r="BT342" s="427"/>
      <c r="BU342" s="427"/>
      <c r="BV342" s="427"/>
      <c r="BW342" s="427"/>
      <c r="BX342" s="471"/>
    </row>
    <row r="343" spans="10:76" x14ac:dyDescent="0.3">
      <c r="J343" s="362" t="s">
        <v>238</v>
      </c>
      <c r="K343" s="363" t="s">
        <v>135</v>
      </c>
      <c r="L343" s="363"/>
      <c r="M343" s="363" t="s">
        <v>239</v>
      </c>
      <c r="N343" s="363" t="s">
        <v>240</v>
      </c>
      <c r="O343" s="363" t="s">
        <v>136</v>
      </c>
      <c r="P343" s="363">
        <v>2018</v>
      </c>
      <c r="Q343" s="432" t="s">
        <v>287</v>
      </c>
      <c r="R343" s="433" t="s">
        <v>289</v>
      </c>
      <c r="S343" s="439"/>
      <c r="T343" s="439"/>
      <c r="U343" s="363" t="s">
        <v>219</v>
      </c>
      <c r="V343" s="363"/>
      <c r="W343" s="363" t="s">
        <v>243</v>
      </c>
      <c r="X343" s="363">
        <v>2019</v>
      </c>
      <c r="Y343" s="439"/>
      <c r="Z343" s="363" t="str">
        <f>VLOOKUP(R343,KEY_Processes!$C$55:$E$130,3,FALSE)</f>
        <v>H_STL_SOL01</v>
      </c>
      <c r="AA343" s="363" t="str">
        <f>VLOOKUP(R343,KEY_Processes!$C$55:$E$130,2,FALSE)</f>
        <v>H_SolarThermal_SOL_LARGE</v>
      </c>
      <c r="AB343" s="363" t="str">
        <f>VLOOKUP(U343,KEY_FUELS!$C$4:$D$77,2,FALSE)</f>
        <v>SOL</v>
      </c>
      <c r="AC343" s="363" t="s">
        <v>150</v>
      </c>
      <c r="AD343" s="363" t="s">
        <v>244</v>
      </c>
      <c r="AE343" s="363" t="s">
        <v>152</v>
      </c>
      <c r="AF343" s="366" t="str">
        <f>VLOOKUP(W343,KEY_Other!$B$37:$C$89,2,FALSE)</f>
        <v>EUR</v>
      </c>
      <c r="AG343" s="439"/>
      <c r="AH343" s="363" t="str">
        <f>AC343&amp;VLOOKUP(U343,KEY_FUELS!$C$4:$D$78,2,FALSE)</f>
        <v>RSDSOL</v>
      </c>
      <c r="AI343" s="363" t="str">
        <f>IFERROR(AC343&amp;VLOOKUP(V343,KEY_FUELS!$C$4:$D$78,2,FALSE),"")</f>
        <v/>
      </c>
      <c r="AJ343" s="363" t="str">
        <f t="shared" si="103"/>
        <v>RHAP</v>
      </c>
      <c r="AK343" s="363" t="str">
        <f t="shared" si="98"/>
        <v/>
      </c>
      <c r="AL343" s="363" t="str">
        <f t="shared" si="99"/>
        <v/>
      </c>
      <c r="AM343" s="364">
        <v>31.536000000000001</v>
      </c>
      <c r="AN343" s="439">
        <v>2019</v>
      </c>
      <c r="AO343" s="468">
        <v>1</v>
      </c>
      <c r="AP343" s="441"/>
      <c r="AQ343" s="439">
        <v>0.48</v>
      </c>
      <c r="AR343" s="441">
        <v>0.52</v>
      </c>
      <c r="AS343" s="441"/>
      <c r="AT343" s="436" t="s">
        <v>158</v>
      </c>
      <c r="AU343" s="370">
        <v>0.63</v>
      </c>
      <c r="AV343" s="445"/>
      <c r="AW343" s="445"/>
      <c r="AX343" s="441"/>
      <c r="AY343" s="439"/>
      <c r="AZ343" s="445">
        <v>0.77</v>
      </c>
      <c r="BA343" s="441"/>
      <c r="BB343" s="441"/>
      <c r="BC343" s="439"/>
      <c r="BD343" s="441"/>
      <c r="BE343" s="441"/>
      <c r="BF343" s="439"/>
      <c r="BG343" s="439"/>
      <c r="BH343" s="439"/>
      <c r="BI343" s="439">
        <v>20</v>
      </c>
      <c r="BJ343" s="439"/>
      <c r="BK343" s="440">
        <v>317</v>
      </c>
      <c r="BL343" s="439"/>
      <c r="BM343" s="439"/>
      <c r="BN343" s="439"/>
      <c r="BO343" s="439"/>
      <c r="BP343" s="439"/>
      <c r="BQ343" s="439"/>
      <c r="BR343" s="441">
        <v>3.5999999999999996</v>
      </c>
      <c r="BS343" s="439"/>
      <c r="BT343" s="439"/>
      <c r="BU343" s="439"/>
      <c r="BV343" s="439"/>
      <c r="BW343" s="439"/>
      <c r="BX343" s="469"/>
    </row>
    <row r="344" spans="10:76" x14ac:dyDescent="0.3">
      <c r="J344" s="378" t="s">
        <v>238</v>
      </c>
      <c r="K344" s="379" t="s">
        <v>135</v>
      </c>
      <c r="L344" s="379"/>
      <c r="M344" s="379" t="s">
        <v>239</v>
      </c>
      <c r="N344" s="379" t="s">
        <v>240</v>
      </c>
      <c r="O344" s="379" t="s">
        <v>136</v>
      </c>
      <c r="P344" s="379">
        <v>2018</v>
      </c>
      <c r="Q344" s="420" t="s">
        <v>287</v>
      </c>
      <c r="R344" s="421" t="s">
        <v>289</v>
      </c>
      <c r="S344" s="427"/>
      <c r="T344" s="427"/>
      <c r="U344" s="379" t="s">
        <v>219</v>
      </c>
      <c r="V344" s="379"/>
      <c r="W344" s="379" t="s">
        <v>243</v>
      </c>
      <c r="X344" s="379">
        <v>2019</v>
      </c>
      <c r="Y344" s="427"/>
      <c r="Z344" s="379" t="str">
        <f>VLOOKUP(R344,KEY_Processes!$C$55:$E$130,3,FALSE)</f>
        <v>H_STL_SOL01</v>
      </c>
      <c r="AA344" s="379" t="str">
        <f>VLOOKUP(R344,KEY_Processes!$C$55:$E$130,2,FALSE)</f>
        <v>H_SolarThermal_SOL_LARGE</v>
      </c>
      <c r="AB344" s="379" t="str">
        <f>VLOOKUP(U344,KEY_FUELS!$C$4:$D$77,2,FALSE)</f>
        <v>SOL</v>
      </c>
      <c r="AC344" s="379" t="s">
        <v>150</v>
      </c>
      <c r="AD344" s="379" t="s">
        <v>244</v>
      </c>
      <c r="AE344" s="379" t="s">
        <v>152</v>
      </c>
      <c r="AF344" s="382" t="str">
        <f>VLOOKUP(W344,KEY_Other!$B$37:$C$89,2,FALSE)</f>
        <v>EUR</v>
      </c>
      <c r="AG344" s="427"/>
      <c r="AH344" s="379" t="str">
        <f>AC344&amp;VLOOKUP(U344,KEY_FUELS!$C$4:$D$78,2,FALSE)</f>
        <v>RSDSOL</v>
      </c>
      <c r="AI344" s="379" t="str">
        <f>IFERROR(AC344&amp;VLOOKUP(V344,KEY_FUELS!$C$4:$D$78,2,FALSE),"")</f>
        <v/>
      </c>
      <c r="AJ344" s="379" t="str">
        <f t="shared" si="103"/>
        <v>RHAP</v>
      </c>
      <c r="AK344" s="379" t="str">
        <f t="shared" si="98"/>
        <v/>
      </c>
      <c r="AL344" s="379" t="str">
        <f t="shared" si="99"/>
        <v/>
      </c>
      <c r="AM344" s="380">
        <v>31.536000000000001</v>
      </c>
      <c r="AN344" s="427">
        <v>2019</v>
      </c>
      <c r="AO344" s="470">
        <v>1</v>
      </c>
      <c r="AP344" s="429"/>
      <c r="AQ344" s="427">
        <v>0.48</v>
      </c>
      <c r="AR344" s="429">
        <v>0.52</v>
      </c>
      <c r="AS344" s="429"/>
      <c r="AT344" s="424" t="s">
        <v>249</v>
      </c>
      <c r="AU344" s="425">
        <v>0.72</v>
      </c>
      <c r="AV344" s="467"/>
      <c r="AW344" s="467"/>
      <c r="AX344" s="429"/>
      <c r="AY344" s="427"/>
      <c r="AZ344" s="467">
        <v>0.77</v>
      </c>
      <c r="BA344" s="429"/>
      <c r="BB344" s="429"/>
      <c r="BC344" s="427"/>
      <c r="BD344" s="429"/>
      <c r="BE344" s="429"/>
      <c r="BF344" s="427"/>
      <c r="BG344" s="427"/>
      <c r="BH344" s="427"/>
      <c r="BI344" s="427">
        <v>20</v>
      </c>
      <c r="BJ344" s="427"/>
      <c r="BK344" s="428">
        <v>317</v>
      </c>
      <c r="BL344" s="427"/>
      <c r="BM344" s="427"/>
      <c r="BN344" s="427"/>
      <c r="BO344" s="427"/>
      <c r="BP344" s="427"/>
      <c r="BQ344" s="427"/>
      <c r="BR344" s="429">
        <v>3.5999999999999996</v>
      </c>
      <c r="BS344" s="427"/>
      <c r="BT344" s="427"/>
      <c r="BU344" s="427"/>
      <c r="BV344" s="427"/>
      <c r="BW344" s="427"/>
      <c r="BX344" s="471"/>
    </row>
    <row r="345" spans="10:76" x14ac:dyDescent="0.3">
      <c r="J345" s="362" t="s">
        <v>238</v>
      </c>
      <c r="K345" s="363" t="s">
        <v>135</v>
      </c>
      <c r="L345" s="363"/>
      <c r="M345" s="363" t="s">
        <v>239</v>
      </c>
      <c r="N345" s="363" t="s">
        <v>240</v>
      </c>
      <c r="O345" s="363" t="s">
        <v>136</v>
      </c>
      <c r="P345" s="363">
        <v>2018</v>
      </c>
      <c r="Q345" s="432" t="s">
        <v>287</v>
      </c>
      <c r="R345" s="433" t="s">
        <v>289</v>
      </c>
      <c r="S345" s="439"/>
      <c r="T345" s="439"/>
      <c r="U345" s="363" t="s">
        <v>219</v>
      </c>
      <c r="V345" s="363"/>
      <c r="W345" s="363" t="s">
        <v>243</v>
      </c>
      <c r="X345" s="363">
        <v>2030</v>
      </c>
      <c r="Y345" s="439"/>
      <c r="Z345" s="363" t="str">
        <f>VLOOKUP(R345,KEY_Processes!$C$55:$E$130,3,FALSE)</f>
        <v>H_STL_SOL01</v>
      </c>
      <c r="AA345" s="363" t="str">
        <f>VLOOKUP(R345,KEY_Processes!$C$55:$E$130,2,FALSE)</f>
        <v>H_SolarThermal_SOL_LARGE</v>
      </c>
      <c r="AB345" s="363" t="str">
        <f>VLOOKUP(U345,KEY_FUELS!$C$4:$D$77,2,FALSE)</f>
        <v>SOL</v>
      </c>
      <c r="AC345" s="363" t="s">
        <v>150</v>
      </c>
      <c r="AD345" s="363" t="s">
        <v>244</v>
      </c>
      <c r="AE345" s="363" t="s">
        <v>152</v>
      </c>
      <c r="AF345" s="366" t="str">
        <f>VLOOKUP(W345,KEY_Other!$B$37:$C$89,2,FALSE)</f>
        <v>EUR</v>
      </c>
      <c r="AG345" s="439"/>
      <c r="AH345" s="363" t="str">
        <f>AC345&amp;VLOOKUP(U345,KEY_FUELS!$C$4:$D$78,2,FALSE)</f>
        <v>RSDSOL</v>
      </c>
      <c r="AI345" s="363" t="str">
        <f>IFERROR(AC345&amp;VLOOKUP(V345,KEY_FUELS!$C$4:$D$78,2,FALSE),"")</f>
        <v/>
      </c>
      <c r="AJ345" s="363" t="str">
        <f t="shared" si="78"/>
        <v>RHAP</v>
      </c>
      <c r="AK345" s="363" t="str">
        <f t="shared" si="98"/>
        <v/>
      </c>
      <c r="AL345" s="363" t="str">
        <f t="shared" si="99"/>
        <v/>
      </c>
      <c r="AM345" s="364">
        <v>31.536000000000001</v>
      </c>
      <c r="AN345" s="439">
        <v>2030</v>
      </c>
      <c r="AO345" s="468"/>
      <c r="AP345" s="441"/>
      <c r="AQ345" s="445"/>
      <c r="AR345" s="441"/>
      <c r="AS345" s="441"/>
      <c r="AT345" s="441"/>
      <c r="AU345" s="445"/>
      <c r="AV345" s="445"/>
      <c r="AW345" s="445"/>
      <c r="AX345" s="441"/>
      <c r="AY345" s="439"/>
      <c r="AZ345" s="445">
        <v>0.82</v>
      </c>
      <c r="BA345" s="441"/>
      <c r="BB345" s="441"/>
      <c r="BC345" s="439"/>
      <c r="BD345" s="441"/>
      <c r="BE345" s="441"/>
      <c r="BF345" s="439"/>
      <c r="BG345" s="439"/>
      <c r="BH345" s="439"/>
      <c r="BI345" s="439">
        <v>20</v>
      </c>
      <c r="BJ345" s="439"/>
      <c r="BK345" s="440">
        <v>461</v>
      </c>
      <c r="BL345" s="439"/>
      <c r="BM345" s="439"/>
      <c r="BN345" s="439"/>
      <c r="BO345" s="439"/>
      <c r="BP345" s="439"/>
      <c r="BQ345" s="439"/>
      <c r="BR345" s="441">
        <v>3.5999999999999996</v>
      </c>
      <c r="BS345" s="439"/>
      <c r="BT345" s="439"/>
      <c r="BU345" s="439"/>
      <c r="BV345" s="439"/>
      <c r="BW345" s="439"/>
      <c r="BX345" s="469"/>
    </row>
    <row r="346" spans="10:76" x14ac:dyDescent="0.3">
      <c r="J346" s="378" t="s">
        <v>238</v>
      </c>
      <c r="K346" s="379" t="s">
        <v>135</v>
      </c>
      <c r="L346" s="379"/>
      <c r="M346" s="379" t="s">
        <v>239</v>
      </c>
      <c r="N346" s="379" t="s">
        <v>240</v>
      </c>
      <c r="O346" s="379" t="s">
        <v>136</v>
      </c>
      <c r="P346" s="379">
        <v>2018</v>
      </c>
      <c r="Q346" s="420" t="s">
        <v>287</v>
      </c>
      <c r="R346" s="421" t="s">
        <v>289</v>
      </c>
      <c r="S346" s="427"/>
      <c r="T346" s="427"/>
      <c r="U346" s="379" t="s">
        <v>219</v>
      </c>
      <c r="V346" s="379"/>
      <c r="W346" s="379" t="s">
        <v>243</v>
      </c>
      <c r="X346" s="379">
        <v>2019</v>
      </c>
      <c r="Y346" s="427"/>
      <c r="Z346" s="379" t="str">
        <f>VLOOKUP(R346,KEY_Processes!$C$55:$E$130,3,FALSE)</f>
        <v>H_STL_SOL01</v>
      </c>
      <c r="AA346" s="379" t="str">
        <f>VLOOKUP(R346,KEY_Processes!$C$55:$E$130,2,FALSE)</f>
        <v>H_SolarThermal_SOL_LARGE</v>
      </c>
      <c r="AB346" s="379" t="str">
        <f>VLOOKUP(U346,KEY_FUELS!$C$4:$D$77,2,FALSE)</f>
        <v>SOL</v>
      </c>
      <c r="AC346" s="379" t="s">
        <v>150</v>
      </c>
      <c r="AD346" s="379" t="s">
        <v>244</v>
      </c>
      <c r="AE346" s="379" t="s">
        <v>152</v>
      </c>
      <c r="AF346" s="382" t="str">
        <f>VLOOKUP(W346,KEY_Other!$B$37:$C$89,2,FALSE)</f>
        <v>EUR</v>
      </c>
      <c r="AG346" s="427"/>
      <c r="AH346" s="379" t="str">
        <f>AC346&amp;VLOOKUP(U346,KEY_FUELS!$C$4:$D$78,2,FALSE)</f>
        <v>RSDSOL</v>
      </c>
      <c r="AI346" s="379" t="str">
        <f>IFERROR(AC346&amp;VLOOKUP(V346,KEY_FUELS!$C$4:$D$78,2,FALSE),"")</f>
        <v/>
      </c>
      <c r="AJ346" s="379" t="str">
        <f t="shared" si="78"/>
        <v>RHAP</v>
      </c>
      <c r="AK346" s="379" t="str">
        <f t="shared" si="98"/>
        <v/>
      </c>
      <c r="AL346" s="379" t="str">
        <f t="shared" si="99"/>
        <v/>
      </c>
      <c r="AM346" s="380">
        <v>31.536000000000001</v>
      </c>
      <c r="AN346" s="427">
        <v>2019</v>
      </c>
      <c r="AO346" s="470">
        <v>1</v>
      </c>
      <c r="AP346" s="429"/>
      <c r="AQ346" s="427">
        <v>0.48</v>
      </c>
      <c r="AR346" s="429"/>
      <c r="AS346" s="429">
        <v>0.52</v>
      </c>
      <c r="AT346" s="424" t="s">
        <v>161</v>
      </c>
      <c r="AU346" s="386">
        <v>0.48</v>
      </c>
      <c r="AV346" s="467"/>
      <c r="AW346" s="467"/>
      <c r="AX346" s="429"/>
      <c r="AY346" s="427"/>
      <c r="AZ346" s="467">
        <v>0.65449999999999997</v>
      </c>
      <c r="BA346" s="429"/>
      <c r="BB346" s="429"/>
      <c r="BC346" s="427"/>
      <c r="BD346" s="429"/>
      <c r="BE346" s="429"/>
      <c r="BF346" s="427"/>
      <c r="BG346" s="427"/>
      <c r="BH346" s="427"/>
      <c r="BI346" s="427">
        <v>20</v>
      </c>
      <c r="BJ346" s="427"/>
      <c r="BK346" s="428">
        <v>379</v>
      </c>
      <c r="BL346" s="427"/>
      <c r="BM346" s="427"/>
      <c r="BN346" s="427"/>
      <c r="BO346" s="427"/>
      <c r="BP346" s="427"/>
      <c r="BQ346" s="427"/>
      <c r="BR346" s="429">
        <v>3.06</v>
      </c>
      <c r="BS346" s="427"/>
      <c r="BT346" s="427"/>
      <c r="BU346" s="427"/>
      <c r="BV346" s="427"/>
      <c r="BW346" s="427"/>
      <c r="BX346" s="471"/>
    </row>
    <row r="347" spans="10:76" x14ac:dyDescent="0.3">
      <c r="J347" s="362" t="s">
        <v>238</v>
      </c>
      <c r="K347" s="363" t="s">
        <v>135</v>
      </c>
      <c r="L347" s="363"/>
      <c r="M347" s="363" t="s">
        <v>239</v>
      </c>
      <c r="N347" s="363" t="s">
        <v>240</v>
      </c>
      <c r="O347" s="363" t="s">
        <v>136</v>
      </c>
      <c r="P347" s="363">
        <v>2018</v>
      </c>
      <c r="Q347" s="432" t="s">
        <v>287</v>
      </c>
      <c r="R347" s="433" t="s">
        <v>289</v>
      </c>
      <c r="S347" s="439"/>
      <c r="T347" s="439"/>
      <c r="U347" s="363" t="s">
        <v>219</v>
      </c>
      <c r="V347" s="363"/>
      <c r="W347" s="363" t="s">
        <v>243</v>
      </c>
      <c r="X347" s="363">
        <v>2019</v>
      </c>
      <c r="Y347" s="439"/>
      <c r="Z347" s="363" t="str">
        <f>VLOOKUP(R347,KEY_Processes!$C$55:$E$130,3,FALSE)</f>
        <v>H_STL_SOL01</v>
      </c>
      <c r="AA347" s="363" t="str">
        <f>VLOOKUP(R347,KEY_Processes!$C$55:$E$130,2,FALSE)</f>
        <v>H_SolarThermal_SOL_LARGE</v>
      </c>
      <c r="AB347" s="363" t="str">
        <f>VLOOKUP(U347,KEY_FUELS!$C$4:$D$77,2,FALSE)</f>
        <v>SOL</v>
      </c>
      <c r="AC347" s="363" t="s">
        <v>150</v>
      </c>
      <c r="AD347" s="363" t="s">
        <v>244</v>
      </c>
      <c r="AE347" s="363" t="s">
        <v>152</v>
      </c>
      <c r="AF347" s="366" t="str">
        <f>VLOOKUP(W347,KEY_Other!$B$37:$C$89,2,FALSE)</f>
        <v>EUR</v>
      </c>
      <c r="AG347" s="439"/>
      <c r="AH347" s="363" t="str">
        <f>AC347&amp;VLOOKUP(U347,KEY_FUELS!$C$4:$D$78,2,FALSE)</f>
        <v>RSDSOL</v>
      </c>
      <c r="AI347" s="363" t="str">
        <f>IFERROR(AC347&amp;VLOOKUP(V347,KEY_FUELS!$C$4:$D$78,2,FALSE),"")</f>
        <v/>
      </c>
      <c r="AJ347" s="363" t="str">
        <f t="shared" ref="AJ347:AJ349" si="104">LEFT(AC347,1)&amp;LEFT(AA347,1)&amp;AD347</f>
        <v>RHAP</v>
      </c>
      <c r="AK347" s="363" t="str">
        <f t="shared" si="98"/>
        <v/>
      </c>
      <c r="AL347" s="363" t="str">
        <f t="shared" si="99"/>
        <v/>
      </c>
      <c r="AM347" s="364">
        <v>31.536000000000001</v>
      </c>
      <c r="AN347" s="439">
        <v>2019</v>
      </c>
      <c r="AO347" s="468">
        <v>1</v>
      </c>
      <c r="AP347" s="441"/>
      <c r="AQ347" s="439">
        <v>0.48</v>
      </c>
      <c r="AR347" s="441"/>
      <c r="AS347" s="441">
        <v>0.52</v>
      </c>
      <c r="AT347" s="436" t="s">
        <v>248</v>
      </c>
      <c r="AU347" s="370">
        <v>0.55000000000000004</v>
      </c>
      <c r="AV347" s="445"/>
      <c r="AW347" s="445"/>
      <c r="AX347" s="441"/>
      <c r="AY347" s="439"/>
      <c r="AZ347" s="445">
        <v>0.65449999999999997</v>
      </c>
      <c r="BA347" s="441"/>
      <c r="BB347" s="441"/>
      <c r="BC347" s="439"/>
      <c r="BD347" s="441"/>
      <c r="BE347" s="441"/>
      <c r="BF347" s="439"/>
      <c r="BG347" s="439"/>
      <c r="BH347" s="439"/>
      <c r="BI347" s="439">
        <v>20</v>
      </c>
      <c r="BJ347" s="439"/>
      <c r="BK347" s="440">
        <v>379</v>
      </c>
      <c r="BL347" s="439"/>
      <c r="BM347" s="439"/>
      <c r="BN347" s="439"/>
      <c r="BO347" s="439"/>
      <c r="BP347" s="439"/>
      <c r="BQ347" s="439"/>
      <c r="BR347" s="441">
        <v>3.06</v>
      </c>
      <c r="BS347" s="439"/>
      <c r="BT347" s="439"/>
      <c r="BU347" s="439"/>
      <c r="BV347" s="439"/>
      <c r="BW347" s="439"/>
      <c r="BX347" s="469"/>
    </row>
    <row r="348" spans="10:76" x14ac:dyDescent="0.3">
      <c r="J348" s="378" t="s">
        <v>238</v>
      </c>
      <c r="K348" s="379" t="s">
        <v>135</v>
      </c>
      <c r="L348" s="379"/>
      <c r="M348" s="379" t="s">
        <v>239</v>
      </c>
      <c r="N348" s="379" t="s">
        <v>240</v>
      </c>
      <c r="O348" s="379" t="s">
        <v>136</v>
      </c>
      <c r="P348" s="379">
        <v>2018</v>
      </c>
      <c r="Q348" s="420" t="s">
        <v>287</v>
      </c>
      <c r="R348" s="421" t="s">
        <v>289</v>
      </c>
      <c r="S348" s="427"/>
      <c r="T348" s="427"/>
      <c r="U348" s="379" t="s">
        <v>219</v>
      </c>
      <c r="V348" s="379"/>
      <c r="W348" s="379" t="s">
        <v>243</v>
      </c>
      <c r="X348" s="379">
        <v>2019</v>
      </c>
      <c r="Y348" s="427"/>
      <c r="Z348" s="379" t="str">
        <f>VLOOKUP(R348,KEY_Processes!$C$55:$E$130,3,FALSE)</f>
        <v>H_STL_SOL01</v>
      </c>
      <c r="AA348" s="379" t="str">
        <f>VLOOKUP(R348,KEY_Processes!$C$55:$E$130,2,FALSE)</f>
        <v>H_SolarThermal_SOL_LARGE</v>
      </c>
      <c r="AB348" s="379" t="str">
        <f>VLOOKUP(U348,KEY_FUELS!$C$4:$D$77,2,FALSE)</f>
        <v>SOL</v>
      </c>
      <c r="AC348" s="379" t="s">
        <v>150</v>
      </c>
      <c r="AD348" s="379" t="s">
        <v>244</v>
      </c>
      <c r="AE348" s="379" t="s">
        <v>152</v>
      </c>
      <c r="AF348" s="382" t="str">
        <f>VLOOKUP(W348,KEY_Other!$B$37:$C$89,2,FALSE)</f>
        <v>EUR</v>
      </c>
      <c r="AG348" s="427"/>
      <c r="AH348" s="379" t="str">
        <f>AC348&amp;VLOOKUP(U348,KEY_FUELS!$C$4:$D$78,2,FALSE)</f>
        <v>RSDSOL</v>
      </c>
      <c r="AI348" s="379" t="str">
        <f>IFERROR(AC348&amp;VLOOKUP(V348,KEY_FUELS!$C$4:$D$78,2,FALSE),"")</f>
        <v/>
      </c>
      <c r="AJ348" s="379" t="str">
        <f t="shared" si="104"/>
        <v>RHAP</v>
      </c>
      <c r="AK348" s="379" t="str">
        <f t="shared" si="98"/>
        <v/>
      </c>
      <c r="AL348" s="379" t="str">
        <f t="shared" si="99"/>
        <v/>
      </c>
      <c r="AM348" s="380">
        <v>31.536000000000001</v>
      </c>
      <c r="AN348" s="427">
        <v>2019</v>
      </c>
      <c r="AO348" s="470">
        <v>1</v>
      </c>
      <c r="AP348" s="429"/>
      <c r="AQ348" s="427">
        <v>0.48</v>
      </c>
      <c r="AR348" s="429"/>
      <c r="AS348" s="429">
        <v>0.52</v>
      </c>
      <c r="AT348" s="424" t="s">
        <v>158</v>
      </c>
      <c r="AU348" s="386">
        <v>0.63</v>
      </c>
      <c r="AV348" s="467"/>
      <c r="AW348" s="467"/>
      <c r="AX348" s="429"/>
      <c r="AY348" s="427"/>
      <c r="AZ348" s="467">
        <v>0.65449999999999997</v>
      </c>
      <c r="BA348" s="429"/>
      <c r="BB348" s="429"/>
      <c r="BC348" s="427"/>
      <c r="BD348" s="429"/>
      <c r="BE348" s="429"/>
      <c r="BF348" s="427"/>
      <c r="BG348" s="427"/>
      <c r="BH348" s="427"/>
      <c r="BI348" s="427">
        <v>20</v>
      </c>
      <c r="BJ348" s="427"/>
      <c r="BK348" s="428">
        <v>379</v>
      </c>
      <c r="BL348" s="427"/>
      <c r="BM348" s="427"/>
      <c r="BN348" s="427"/>
      <c r="BO348" s="427"/>
      <c r="BP348" s="427"/>
      <c r="BQ348" s="427"/>
      <c r="BR348" s="429">
        <v>3.06</v>
      </c>
      <c r="BS348" s="427"/>
      <c r="BT348" s="427"/>
      <c r="BU348" s="427"/>
      <c r="BV348" s="427"/>
      <c r="BW348" s="427"/>
      <c r="BX348" s="471"/>
    </row>
    <row r="349" spans="10:76" x14ac:dyDescent="0.3">
      <c r="J349" s="362" t="s">
        <v>238</v>
      </c>
      <c r="K349" s="363" t="s">
        <v>135</v>
      </c>
      <c r="L349" s="363"/>
      <c r="M349" s="363" t="s">
        <v>239</v>
      </c>
      <c r="N349" s="363" t="s">
        <v>240</v>
      </c>
      <c r="O349" s="363" t="s">
        <v>136</v>
      </c>
      <c r="P349" s="363">
        <v>2018</v>
      </c>
      <c r="Q349" s="432" t="s">
        <v>287</v>
      </c>
      <c r="R349" s="433" t="s">
        <v>289</v>
      </c>
      <c r="S349" s="439"/>
      <c r="T349" s="439"/>
      <c r="U349" s="363" t="s">
        <v>219</v>
      </c>
      <c r="V349" s="363"/>
      <c r="W349" s="363" t="s">
        <v>243</v>
      </c>
      <c r="X349" s="363">
        <v>2019</v>
      </c>
      <c r="Y349" s="439"/>
      <c r="Z349" s="363" t="str">
        <f>VLOOKUP(R349,KEY_Processes!$C$55:$E$130,3,FALSE)</f>
        <v>H_STL_SOL01</v>
      </c>
      <c r="AA349" s="363" t="str">
        <f>VLOOKUP(R349,KEY_Processes!$C$55:$E$130,2,FALSE)</f>
        <v>H_SolarThermal_SOL_LARGE</v>
      </c>
      <c r="AB349" s="363" t="str">
        <f>VLOOKUP(U349,KEY_FUELS!$C$4:$D$77,2,FALSE)</f>
        <v>SOL</v>
      </c>
      <c r="AC349" s="363" t="s">
        <v>150</v>
      </c>
      <c r="AD349" s="363" t="s">
        <v>244</v>
      </c>
      <c r="AE349" s="363" t="s">
        <v>152</v>
      </c>
      <c r="AF349" s="366" t="str">
        <f>VLOOKUP(W349,KEY_Other!$B$37:$C$89,2,FALSE)</f>
        <v>EUR</v>
      </c>
      <c r="AG349" s="439"/>
      <c r="AH349" s="363" t="str">
        <f>AC349&amp;VLOOKUP(U349,KEY_FUELS!$C$4:$D$78,2,FALSE)</f>
        <v>RSDSOL</v>
      </c>
      <c r="AI349" s="363" t="str">
        <f>IFERROR(AC349&amp;VLOOKUP(V349,KEY_FUELS!$C$4:$D$78,2,FALSE),"")</f>
        <v/>
      </c>
      <c r="AJ349" s="363" t="str">
        <f t="shared" si="104"/>
        <v>RHAP</v>
      </c>
      <c r="AK349" s="363" t="str">
        <f t="shared" si="98"/>
        <v/>
      </c>
      <c r="AL349" s="363" t="str">
        <f t="shared" si="99"/>
        <v/>
      </c>
      <c r="AM349" s="364">
        <v>31.536000000000001</v>
      </c>
      <c r="AN349" s="439">
        <v>2019</v>
      </c>
      <c r="AO349" s="468">
        <v>1</v>
      </c>
      <c r="AP349" s="441"/>
      <c r="AQ349" s="439">
        <v>0.48</v>
      </c>
      <c r="AR349" s="441"/>
      <c r="AS349" s="441">
        <v>0.52</v>
      </c>
      <c r="AT349" s="436" t="s">
        <v>249</v>
      </c>
      <c r="AU349" s="437">
        <v>0.72</v>
      </c>
      <c r="AV349" s="445"/>
      <c r="AW349" s="445"/>
      <c r="AX349" s="441"/>
      <c r="AY349" s="439"/>
      <c r="AZ349" s="445">
        <v>0.65449999999999997</v>
      </c>
      <c r="BA349" s="441"/>
      <c r="BB349" s="441"/>
      <c r="BC349" s="439"/>
      <c r="BD349" s="441"/>
      <c r="BE349" s="441"/>
      <c r="BF349" s="439"/>
      <c r="BG349" s="439"/>
      <c r="BH349" s="439"/>
      <c r="BI349" s="439">
        <v>20</v>
      </c>
      <c r="BJ349" s="439"/>
      <c r="BK349" s="440">
        <v>379</v>
      </c>
      <c r="BL349" s="439"/>
      <c r="BM349" s="439"/>
      <c r="BN349" s="439"/>
      <c r="BO349" s="439"/>
      <c r="BP349" s="439"/>
      <c r="BQ349" s="439"/>
      <c r="BR349" s="441">
        <v>3.06</v>
      </c>
      <c r="BS349" s="439"/>
      <c r="BT349" s="439"/>
      <c r="BU349" s="439"/>
      <c r="BV349" s="439"/>
      <c r="BW349" s="439"/>
      <c r="BX349" s="469"/>
    </row>
    <row r="350" spans="10:76" x14ac:dyDescent="0.3">
      <c r="J350" s="378" t="s">
        <v>238</v>
      </c>
      <c r="K350" s="379" t="s">
        <v>135</v>
      </c>
      <c r="L350" s="379"/>
      <c r="M350" s="379" t="s">
        <v>239</v>
      </c>
      <c r="N350" s="379" t="s">
        <v>240</v>
      </c>
      <c r="O350" s="379" t="s">
        <v>136</v>
      </c>
      <c r="P350" s="379">
        <v>2018</v>
      </c>
      <c r="Q350" s="420" t="s">
        <v>287</v>
      </c>
      <c r="R350" s="421" t="s">
        <v>289</v>
      </c>
      <c r="S350" s="427"/>
      <c r="T350" s="427"/>
      <c r="U350" s="379" t="s">
        <v>219</v>
      </c>
      <c r="V350" s="379"/>
      <c r="W350" s="379" t="s">
        <v>243</v>
      </c>
      <c r="X350" s="379">
        <v>2030</v>
      </c>
      <c r="Y350" s="427"/>
      <c r="Z350" s="379" t="str">
        <f>VLOOKUP(R350,KEY_Processes!$C$55:$E$130,3,FALSE)</f>
        <v>H_STL_SOL01</v>
      </c>
      <c r="AA350" s="379" t="str">
        <f>VLOOKUP(R350,KEY_Processes!$C$55:$E$130,2,FALSE)</f>
        <v>H_SolarThermal_SOL_LARGE</v>
      </c>
      <c r="AB350" s="379" t="str">
        <f>VLOOKUP(U350,KEY_FUELS!$C$4:$D$77,2,FALSE)</f>
        <v>SOL</v>
      </c>
      <c r="AC350" s="379" t="s">
        <v>150</v>
      </c>
      <c r="AD350" s="379" t="s">
        <v>244</v>
      </c>
      <c r="AE350" s="379" t="s">
        <v>152</v>
      </c>
      <c r="AF350" s="382" t="str">
        <f>VLOOKUP(W350,KEY_Other!$B$37:$C$89,2,FALSE)</f>
        <v>EUR</v>
      </c>
      <c r="AG350" s="427"/>
      <c r="AH350" s="379" t="str">
        <f>AC350&amp;VLOOKUP(U350,KEY_FUELS!$C$4:$D$78,2,FALSE)</f>
        <v>RSDSOL</v>
      </c>
      <c r="AI350" s="379" t="str">
        <f>IFERROR(AC350&amp;VLOOKUP(V350,KEY_FUELS!$C$4:$D$78,2,FALSE),"")</f>
        <v/>
      </c>
      <c r="AJ350" s="379" t="str">
        <f t="shared" ref="AJ350:AJ425" si="105">LEFT(AC350,1)&amp;LEFT(AA350,1)&amp;AD350</f>
        <v>RHAP</v>
      </c>
      <c r="AK350" s="379" t="str">
        <f t="shared" si="98"/>
        <v/>
      </c>
      <c r="AL350" s="379" t="str">
        <f t="shared" si="99"/>
        <v/>
      </c>
      <c r="AM350" s="380">
        <v>31.536000000000001</v>
      </c>
      <c r="AN350" s="427">
        <v>2030</v>
      </c>
      <c r="AO350" s="470"/>
      <c r="AP350" s="429"/>
      <c r="AQ350" s="467"/>
      <c r="AR350" s="429"/>
      <c r="AS350" s="429"/>
      <c r="AT350" s="429"/>
      <c r="AU350" s="467"/>
      <c r="AV350" s="467"/>
      <c r="AW350" s="467"/>
      <c r="AX350" s="429"/>
      <c r="AY350" s="427"/>
      <c r="AZ350" s="467">
        <v>0.69699999999999995</v>
      </c>
      <c r="BA350" s="429"/>
      <c r="BB350" s="429"/>
      <c r="BC350" s="427"/>
      <c r="BD350" s="429"/>
      <c r="BE350" s="429"/>
      <c r="BF350" s="427"/>
      <c r="BG350" s="427"/>
      <c r="BH350" s="427"/>
      <c r="BI350" s="427">
        <v>20</v>
      </c>
      <c r="BJ350" s="427"/>
      <c r="BK350" s="428">
        <v>523</v>
      </c>
      <c r="BL350" s="427"/>
      <c r="BM350" s="427"/>
      <c r="BN350" s="427"/>
      <c r="BO350" s="427"/>
      <c r="BP350" s="427"/>
      <c r="BQ350" s="427"/>
      <c r="BR350" s="429">
        <v>3.06</v>
      </c>
      <c r="BS350" s="427"/>
      <c r="BT350" s="427"/>
      <c r="BU350" s="427"/>
      <c r="BV350" s="427"/>
      <c r="BW350" s="427"/>
      <c r="BX350" s="471"/>
    </row>
    <row r="351" spans="10:76" x14ac:dyDescent="0.3">
      <c r="J351" s="362" t="s">
        <v>238</v>
      </c>
      <c r="K351" s="363" t="s">
        <v>135</v>
      </c>
      <c r="L351" s="363"/>
      <c r="M351" s="363" t="s">
        <v>239</v>
      </c>
      <c r="N351" s="363" t="s">
        <v>240</v>
      </c>
      <c r="O351" s="363" t="s">
        <v>136</v>
      </c>
      <c r="P351" s="363">
        <v>2018</v>
      </c>
      <c r="Q351" s="432" t="s">
        <v>290</v>
      </c>
      <c r="R351" s="433" t="s">
        <v>291</v>
      </c>
      <c r="S351" s="439"/>
      <c r="T351" s="439"/>
      <c r="U351" s="363" t="s">
        <v>189</v>
      </c>
      <c r="V351" s="363"/>
      <c r="W351" s="363" t="s">
        <v>243</v>
      </c>
      <c r="X351" s="363">
        <v>2019</v>
      </c>
      <c r="Y351" s="439"/>
      <c r="Z351" s="363" t="str">
        <f>VLOOKUP(R351,KEY_Processes!$C$55:$E$130,3,FALSE)</f>
        <v>C_CASL_ELC01</v>
      </c>
      <c r="AA351" s="363" t="str">
        <f>VLOOKUP(R351,KEY_Processes!$C$55:$E$130,2,FALSE)</f>
        <v>C_Split_ELC_LARGE</v>
      </c>
      <c r="AB351" s="363" t="str">
        <f>VLOOKUP(U351,KEY_FUELS!$C$4:$D$77,2,FALSE)</f>
        <v>ELC</v>
      </c>
      <c r="AC351" s="363" t="s">
        <v>150</v>
      </c>
      <c r="AD351" s="363" t="s">
        <v>244</v>
      </c>
      <c r="AE351" s="363" t="s">
        <v>152</v>
      </c>
      <c r="AF351" s="366" t="str">
        <f>VLOOKUP(W351,KEY_Other!$B$37:$C$89,2,FALSE)</f>
        <v>EUR</v>
      </c>
      <c r="AG351" s="439"/>
      <c r="AH351" s="363" t="str">
        <f>AC351&amp;VLOOKUP(U351,KEY_FUELS!$C$4:$D$78,2,FALSE)</f>
        <v>RSDELC</v>
      </c>
      <c r="AI351" s="363" t="str">
        <f>IFERROR(AC351&amp;VLOOKUP(V351,KEY_FUELS!$C$4:$D$78,2,FALSE),"")</f>
        <v/>
      </c>
      <c r="AJ351" s="363" t="str">
        <f t="shared" si="105"/>
        <v>RCAP</v>
      </c>
      <c r="AK351" s="363" t="str">
        <f t="shared" si="98"/>
        <v/>
      </c>
      <c r="AL351" s="363" t="str">
        <f t="shared" si="99"/>
        <v/>
      </c>
      <c r="AM351" s="364">
        <v>31.536000000000001</v>
      </c>
      <c r="AN351" s="439">
        <v>2019</v>
      </c>
      <c r="AO351" s="468"/>
      <c r="AP351" s="441"/>
      <c r="AQ351" s="445"/>
      <c r="AR351" s="441"/>
      <c r="AS351" s="441"/>
      <c r="AT351" s="441"/>
      <c r="AU351" s="445"/>
      <c r="AV351" s="445"/>
      <c r="AW351" s="445"/>
      <c r="AX351" s="441"/>
      <c r="AY351" s="439"/>
      <c r="AZ351" s="445">
        <v>3.63</v>
      </c>
      <c r="BA351" s="441"/>
      <c r="BB351" s="441"/>
      <c r="BC351" s="439"/>
      <c r="BD351" s="441"/>
      <c r="BE351" s="441"/>
      <c r="BF351" s="439"/>
      <c r="BG351" s="439"/>
      <c r="BH351" s="439"/>
      <c r="BI351" s="439">
        <v>10</v>
      </c>
      <c r="BJ351" s="439"/>
      <c r="BK351" s="440">
        <v>88</v>
      </c>
      <c r="BL351" s="439"/>
      <c r="BM351" s="439"/>
      <c r="BN351" s="439"/>
      <c r="BO351" s="439"/>
      <c r="BP351" s="439"/>
      <c r="BQ351" s="439"/>
      <c r="BR351" s="441">
        <v>0.7161029918842392</v>
      </c>
      <c r="BS351" s="439"/>
      <c r="BT351" s="439"/>
      <c r="BU351" s="439"/>
      <c r="BV351" s="439"/>
      <c r="BW351" s="439"/>
      <c r="BX351" s="469"/>
    </row>
    <row r="352" spans="10:76" x14ac:dyDescent="0.3">
      <c r="J352" s="378" t="s">
        <v>238</v>
      </c>
      <c r="K352" s="379" t="s">
        <v>135</v>
      </c>
      <c r="L352" s="379"/>
      <c r="M352" s="379" t="s">
        <v>239</v>
      </c>
      <c r="N352" s="379" t="s">
        <v>240</v>
      </c>
      <c r="O352" s="379" t="s">
        <v>136</v>
      </c>
      <c r="P352" s="379">
        <v>2018</v>
      </c>
      <c r="Q352" s="420" t="s">
        <v>290</v>
      </c>
      <c r="R352" s="421" t="s">
        <v>291</v>
      </c>
      <c r="S352" s="427"/>
      <c r="T352" s="427"/>
      <c r="U352" s="379" t="s">
        <v>189</v>
      </c>
      <c r="V352" s="379"/>
      <c r="W352" s="379" t="s">
        <v>243</v>
      </c>
      <c r="X352" s="379">
        <v>2030</v>
      </c>
      <c r="Y352" s="427"/>
      <c r="Z352" s="379" t="str">
        <f>VLOOKUP(R352,KEY_Processes!$C$55:$E$130,3,FALSE)</f>
        <v>C_CASL_ELC01</v>
      </c>
      <c r="AA352" s="379" t="str">
        <f>VLOOKUP(R352,KEY_Processes!$C$55:$E$130,2,FALSE)</f>
        <v>C_Split_ELC_LARGE</v>
      </c>
      <c r="AB352" s="379" t="str">
        <f>VLOOKUP(U352,KEY_FUELS!$C$4:$D$77,2,FALSE)</f>
        <v>ELC</v>
      </c>
      <c r="AC352" s="379" t="s">
        <v>150</v>
      </c>
      <c r="AD352" s="379" t="s">
        <v>244</v>
      </c>
      <c r="AE352" s="379" t="s">
        <v>152</v>
      </c>
      <c r="AF352" s="382" t="str">
        <f>VLOOKUP(W352,KEY_Other!$B$37:$C$89,2,FALSE)</f>
        <v>EUR</v>
      </c>
      <c r="AG352" s="427"/>
      <c r="AH352" s="379" t="str">
        <f>AC352&amp;VLOOKUP(U352,KEY_FUELS!$C$4:$D$78,2,FALSE)</f>
        <v>RSDELC</v>
      </c>
      <c r="AI352" s="379" t="str">
        <f>IFERROR(AC352&amp;VLOOKUP(V352,KEY_FUELS!$C$4:$D$78,2,FALSE),"")</f>
        <v/>
      </c>
      <c r="AJ352" s="379" t="str">
        <f t="shared" si="105"/>
        <v>RCAP</v>
      </c>
      <c r="AK352" s="379" t="str">
        <f t="shared" si="98"/>
        <v/>
      </c>
      <c r="AL352" s="379" t="str">
        <f t="shared" si="99"/>
        <v/>
      </c>
      <c r="AM352" s="380">
        <v>31.536000000000001</v>
      </c>
      <c r="AN352" s="427">
        <v>2030</v>
      </c>
      <c r="AO352" s="470"/>
      <c r="AP352" s="429"/>
      <c r="AQ352" s="467"/>
      <c r="AR352" s="429"/>
      <c r="AS352" s="429"/>
      <c r="AT352" s="429"/>
      <c r="AU352" s="467"/>
      <c r="AV352" s="467"/>
      <c r="AW352" s="467"/>
      <c r="AX352" s="429"/>
      <c r="AY352" s="427"/>
      <c r="AZ352" s="467">
        <v>3.9228000000000001</v>
      </c>
      <c r="BA352" s="429"/>
      <c r="BB352" s="429"/>
      <c r="BC352" s="427"/>
      <c r="BD352" s="429"/>
      <c r="BE352" s="429"/>
      <c r="BF352" s="427"/>
      <c r="BG352" s="427"/>
      <c r="BH352" s="427"/>
      <c r="BI352" s="427">
        <v>10</v>
      </c>
      <c r="BJ352" s="427"/>
      <c r="BK352" s="428">
        <v>135</v>
      </c>
      <c r="BL352" s="427"/>
      <c r="BM352" s="427"/>
      <c r="BN352" s="427"/>
      <c r="BO352" s="427"/>
      <c r="BP352" s="427"/>
      <c r="BQ352" s="427"/>
      <c r="BR352" s="429">
        <v>1.091763577790722</v>
      </c>
      <c r="BS352" s="427"/>
      <c r="BT352" s="427"/>
      <c r="BU352" s="427"/>
      <c r="BV352" s="427"/>
      <c r="BW352" s="427"/>
      <c r="BX352" s="471"/>
    </row>
    <row r="353" spans="10:76" x14ac:dyDescent="0.3">
      <c r="J353" s="362" t="s">
        <v>238</v>
      </c>
      <c r="K353" s="363" t="s">
        <v>135</v>
      </c>
      <c r="L353" s="363"/>
      <c r="M353" s="363" t="s">
        <v>239</v>
      </c>
      <c r="N353" s="363" t="s">
        <v>240</v>
      </c>
      <c r="O353" s="363" t="s">
        <v>136</v>
      </c>
      <c r="P353" s="363">
        <v>2018</v>
      </c>
      <c r="Q353" s="432" t="s">
        <v>292</v>
      </c>
      <c r="R353" s="433" t="s">
        <v>293</v>
      </c>
      <c r="S353" s="439"/>
      <c r="T353" s="439"/>
      <c r="U353" s="363" t="s">
        <v>189</v>
      </c>
      <c r="V353" s="363" t="s">
        <v>190</v>
      </c>
      <c r="W353" s="363" t="s">
        <v>243</v>
      </c>
      <c r="X353" s="363">
        <v>2019</v>
      </c>
      <c r="Y353" s="439"/>
      <c r="Z353" s="363" t="str">
        <f>VLOOKUP(R353,KEY_Processes!$C$55:$E$130,3,FALSE)</f>
        <v>C_CWL_ELC01</v>
      </c>
      <c r="AA353" s="363" t="str">
        <f>VLOOKUP(R353,KEY_Processes!$C$55:$E$130,2,FALSE)</f>
        <v>C_WaterChiller_ELC_LARGE</v>
      </c>
      <c r="AB353" s="363" t="str">
        <f>VLOOKUP(U353,KEY_FUELS!$C$4:$D$77,2,FALSE)</f>
        <v>ELC</v>
      </c>
      <c r="AC353" s="363" t="s">
        <v>150</v>
      </c>
      <c r="AD353" s="363" t="s">
        <v>244</v>
      </c>
      <c r="AE353" s="363" t="s">
        <v>152</v>
      </c>
      <c r="AF353" s="366" t="str">
        <f>VLOOKUP(W353,KEY_Other!$B$37:$C$89,2,FALSE)</f>
        <v>EUR</v>
      </c>
      <c r="AG353" s="439"/>
      <c r="AH353" s="363" t="str">
        <f>AC353&amp;VLOOKUP(U353,KEY_FUELS!$C$4:$D$78,2,FALSE)</f>
        <v>RSDELC</v>
      </c>
      <c r="AI353" s="363" t="str">
        <f>IFERROR(AC353&amp;VLOOKUP(V353,KEY_FUELS!$C$4:$D$78,2,FALSE),"")</f>
        <v>RSDAHT</v>
      </c>
      <c r="AJ353" s="363" t="str">
        <f t="shared" si="105"/>
        <v>RCAP</v>
      </c>
      <c r="AK353" s="363" t="str">
        <f t="shared" si="98"/>
        <v/>
      </c>
      <c r="AL353" s="363" t="str">
        <f t="shared" si="99"/>
        <v/>
      </c>
      <c r="AM353" s="364">
        <v>31.536000000000001</v>
      </c>
      <c r="AN353" s="439">
        <v>2019</v>
      </c>
      <c r="AO353" s="468"/>
      <c r="AP353" s="441"/>
      <c r="AQ353" s="445"/>
      <c r="AR353" s="441"/>
      <c r="AS353" s="441"/>
      <c r="AT353" s="441"/>
      <c r="AU353" s="445"/>
      <c r="AV353" s="445"/>
      <c r="AW353" s="445"/>
      <c r="AX353" s="441"/>
      <c r="AY353" s="439"/>
      <c r="AZ353" s="445">
        <v>5.1749999999999998</v>
      </c>
      <c r="BA353" s="441"/>
      <c r="BB353" s="441"/>
      <c r="BC353" s="439"/>
      <c r="BD353" s="441"/>
      <c r="BE353" s="441"/>
      <c r="BF353" s="439"/>
      <c r="BG353" s="439"/>
      <c r="BH353" s="439"/>
      <c r="BI353" s="439">
        <v>20</v>
      </c>
      <c r="BJ353" s="439"/>
      <c r="BK353" s="440">
        <v>126</v>
      </c>
      <c r="BL353" s="439"/>
      <c r="BM353" s="439"/>
      <c r="BN353" s="439"/>
      <c r="BO353" s="439"/>
      <c r="BP353" s="439"/>
      <c r="BQ353" s="439"/>
      <c r="BR353" s="441">
        <v>2.2139534883720935</v>
      </c>
      <c r="BS353" s="439"/>
      <c r="BT353" s="439"/>
      <c r="BU353" s="439"/>
      <c r="BV353" s="439"/>
      <c r="BW353" s="439"/>
      <c r="BX353" s="469"/>
    </row>
    <row r="354" spans="10:76" x14ac:dyDescent="0.3">
      <c r="J354" s="378" t="s">
        <v>238</v>
      </c>
      <c r="K354" s="379" t="s">
        <v>135</v>
      </c>
      <c r="L354" s="379"/>
      <c r="M354" s="379" t="s">
        <v>239</v>
      </c>
      <c r="N354" s="379" t="s">
        <v>240</v>
      </c>
      <c r="O354" s="379" t="s">
        <v>136</v>
      </c>
      <c r="P354" s="379">
        <v>2018</v>
      </c>
      <c r="Q354" s="420" t="s">
        <v>292</v>
      </c>
      <c r="R354" s="421" t="s">
        <v>293</v>
      </c>
      <c r="S354" s="427"/>
      <c r="T354" s="427"/>
      <c r="U354" s="379" t="s">
        <v>189</v>
      </c>
      <c r="V354" s="379" t="s">
        <v>190</v>
      </c>
      <c r="W354" s="379" t="s">
        <v>243</v>
      </c>
      <c r="X354" s="379">
        <v>2030</v>
      </c>
      <c r="Y354" s="427"/>
      <c r="Z354" s="379" t="str">
        <f>VLOOKUP(R354,KEY_Processes!$C$55:$E$130,3,FALSE)</f>
        <v>C_CWL_ELC01</v>
      </c>
      <c r="AA354" s="379" t="str">
        <f>VLOOKUP(R354,KEY_Processes!$C$55:$E$130,2,FALSE)</f>
        <v>C_WaterChiller_ELC_LARGE</v>
      </c>
      <c r="AB354" s="379" t="str">
        <f>VLOOKUP(U354,KEY_FUELS!$C$4:$D$77,2,FALSE)</f>
        <v>ELC</v>
      </c>
      <c r="AC354" s="379" t="s">
        <v>150</v>
      </c>
      <c r="AD354" s="379" t="s">
        <v>244</v>
      </c>
      <c r="AE354" s="379" t="s">
        <v>152</v>
      </c>
      <c r="AF354" s="382" t="str">
        <f>VLOOKUP(W354,KEY_Other!$B$37:$C$89,2,FALSE)</f>
        <v>EUR</v>
      </c>
      <c r="AG354" s="427"/>
      <c r="AH354" s="379" t="str">
        <f>AC354&amp;VLOOKUP(U354,KEY_FUELS!$C$4:$D$78,2,FALSE)</f>
        <v>RSDELC</v>
      </c>
      <c r="AI354" s="379" t="str">
        <f>IFERROR(AC354&amp;VLOOKUP(V354,KEY_FUELS!$C$4:$D$78,2,FALSE),"")</f>
        <v>RSDAHT</v>
      </c>
      <c r="AJ354" s="379" t="str">
        <f t="shared" si="105"/>
        <v>RCAP</v>
      </c>
      <c r="AK354" s="379" t="str">
        <f t="shared" si="98"/>
        <v/>
      </c>
      <c r="AL354" s="379" t="str">
        <f t="shared" si="99"/>
        <v/>
      </c>
      <c r="AM354" s="380">
        <v>31.536000000000001</v>
      </c>
      <c r="AN354" s="427">
        <v>2030</v>
      </c>
      <c r="AO354" s="470"/>
      <c r="AP354" s="429"/>
      <c r="AQ354" s="467"/>
      <c r="AR354" s="429"/>
      <c r="AS354" s="429"/>
      <c r="AT354" s="429"/>
      <c r="AU354" s="467"/>
      <c r="AV354" s="467"/>
      <c r="AW354" s="467"/>
      <c r="AX354" s="429"/>
      <c r="AY354" s="427"/>
      <c r="AZ354" s="467">
        <v>6.9</v>
      </c>
      <c r="BA354" s="429"/>
      <c r="BB354" s="429"/>
      <c r="BC354" s="427"/>
      <c r="BD354" s="429"/>
      <c r="BE354" s="429"/>
      <c r="BF354" s="427"/>
      <c r="BG354" s="427"/>
      <c r="BH354" s="427"/>
      <c r="BI354" s="427">
        <v>20</v>
      </c>
      <c r="BJ354" s="427"/>
      <c r="BK354" s="428">
        <v>312</v>
      </c>
      <c r="BL354" s="427"/>
      <c r="BM354" s="427"/>
      <c r="BN354" s="427"/>
      <c r="BO354" s="427"/>
      <c r="BP354" s="427"/>
      <c r="BQ354" s="427"/>
      <c r="BR354" s="429">
        <v>2.2139534883720935</v>
      </c>
      <c r="BS354" s="427"/>
      <c r="BT354" s="427"/>
      <c r="BU354" s="427"/>
      <c r="BV354" s="427"/>
      <c r="BW354" s="427"/>
      <c r="BX354" s="471"/>
    </row>
    <row r="355" spans="10:76" x14ac:dyDescent="0.3">
      <c r="J355" s="362" t="s">
        <v>238</v>
      </c>
      <c r="K355" s="363" t="s">
        <v>135</v>
      </c>
      <c r="L355" s="363"/>
      <c r="M355" s="363" t="s">
        <v>239</v>
      </c>
      <c r="N355" s="363" t="s">
        <v>240</v>
      </c>
      <c r="O355" s="363" t="s">
        <v>136</v>
      </c>
      <c r="P355" s="363">
        <v>2018</v>
      </c>
      <c r="Q355" s="432" t="s">
        <v>294</v>
      </c>
      <c r="R355" s="433" t="s">
        <v>295</v>
      </c>
      <c r="S355" s="439"/>
      <c r="T355" s="439"/>
      <c r="U355" s="363" t="s">
        <v>296</v>
      </c>
      <c r="V355" s="363"/>
      <c r="W355" s="363" t="s">
        <v>243</v>
      </c>
      <c r="X355" s="363">
        <v>2019</v>
      </c>
      <c r="Y355" s="439"/>
      <c r="Z355" s="363" t="str">
        <f>VLOOKUP(R355,KEY_Processes!$C$55:$E$130,3,FALSE)</f>
        <v>H_SL_BFW01</v>
      </c>
      <c r="AA355" s="363" t="str">
        <f>VLOOKUP(R355,KEY_Processes!$C$55:$E$130,2,FALSE)</f>
        <v>H_WoodStove_BFW_LARGE</v>
      </c>
      <c r="AB355" s="363" t="str">
        <f>VLOOKUP(U355,KEY_FUELS!$C$4:$D$77,2,FALSE)</f>
        <v>BIO</v>
      </c>
      <c r="AC355" s="363" t="s">
        <v>150</v>
      </c>
      <c r="AD355" s="363" t="s">
        <v>244</v>
      </c>
      <c r="AE355" s="363" t="s">
        <v>152</v>
      </c>
      <c r="AF355" s="366" t="str">
        <f>VLOOKUP(W355,KEY_Other!$B$37:$C$89,2,FALSE)</f>
        <v>EUR</v>
      </c>
      <c r="AG355" s="439"/>
      <c r="AH355" s="363" t="str">
        <f>AC355&amp;VLOOKUP(U355,KEY_FUELS!$C$4:$D$78,2,FALSE)</f>
        <v>RSDBIO</v>
      </c>
      <c r="AI355" s="363" t="str">
        <f>IFERROR(AC355&amp;VLOOKUP(V355,KEY_FUELS!$C$4:$D$78,2,FALSE),"")</f>
        <v/>
      </c>
      <c r="AJ355" s="363" t="str">
        <f t="shared" si="105"/>
        <v>RHAP</v>
      </c>
      <c r="AK355" s="363" t="str">
        <f t="shared" si="98"/>
        <v/>
      </c>
      <c r="AL355" s="363" t="str">
        <f t="shared" si="99"/>
        <v/>
      </c>
      <c r="AM355" s="364">
        <v>31.536000000000001</v>
      </c>
      <c r="AN355" s="439">
        <v>2019</v>
      </c>
      <c r="AO355" s="468"/>
      <c r="AP355" s="441"/>
      <c r="AQ355" s="445"/>
      <c r="AR355" s="441"/>
      <c r="AS355" s="441"/>
      <c r="AT355" s="441"/>
      <c r="AU355" s="445"/>
      <c r="AV355" s="445"/>
      <c r="AW355" s="445"/>
      <c r="AX355" s="441"/>
      <c r="AY355" s="439"/>
      <c r="AZ355" s="445">
        <v>0.77</v>
      </c>
      <c r="BA355" s="441"/>
      <c r="BB355" s="441"/>
      <c r="BC355" s="439"/>
      <c r="BD355" s="441"/>
      <c r="BE355" s="441"/>
      <c r="BF355" s="439"/>
      <c r="BG355" s="439"/>
      <c r="BH355" s="439"/>
      <c r="BI355" s="439">
        <v>20</v>
      </c>
      <c r="BJ355" s="439"/>
      <c r="BK355" s="440">
        <v>102</v>
      </c>
      <c r="BL355" s="439"/>
      <c r="BM355" s="439"/>
      <c r="BN355" s="439"/>
      <c r="BO355" s="439"/>
      <c r="BP355" s="439"/>
      <c r="BQ355" s="439"/>
      <c r="BR355" s="441">
        <v>6.3517023330291558</v>
      </c>
      <c r="BS355" s="439"/>
      <c r="BT355" s="439"/>
      <c r="BU355" s="439"/>
      <c r="BV355" s="439"/>
      <c r="BW355" s="439"/>
      <c r="BX355" s="469"/>
    </row>
    <row r="356" spans="10:76" x14ac:dyDescent="0.3">
      <c r="J356" s="378" t="s">
        <v>238</v>
      </c>
      <c r="K356" s="379" t="s">
        <v>135</v>
      </c>
      <c r="L356" s="379"/>
      <c r="M356" s="379" t="s">
        <v>239</v>
      </c>
      <c r="N356" s="379" t="s">
        <v>240</v>
      </c>
      <c r="O356" s="379" t="s">
        <v>136</v>
      </c>
      <c r="P356" s="379">
        <v>2018</v>
      </c>
      <c r="Q356" s="420" t="s">
        <v>294</v>
      </c>
      <c r="R356" s="421" t="s">
        <v>295</v>
      </c>
      <c r="S356" s="427"/>
      <c r="T356" s="427"/>
      <c r="U356" s="379" t="s">
        <v>296</v>
      </c>
      <c r="V356" s="379"/>
      <c r="W356" s="379" t="s">
        <v>243</v>
      </c>
      <c r="X356" s="379">
        <v>2030</v>
      </c>
      <c r="Y356" s="427"/>
      <c r="Z356" s="379" t="str">
        <f>VLOOKUP(R356,KEY_Processes!$C$55:$E$130,3,FALSE)</f>
        <v>H_SL_BFW01</v>
      </c>
      <c r="AA356" s="379" t="str">
        <f>VLOOKUP(R356,KEY_Processes!$C$55:$E$130,2,FALSE)</f>
        <v>H_WoodStove_BFW_LARGE</v>
      </c>
      <c r="AB356" s="379" t="str">
        <f>VLOOKUP(U356,KEY_FUELS!$C$4:$D$77,2,FALSE)</f>
        <v>BIO</v>
      </c>
      <c r="AC356" s="379" t="s">
        <v>150</v>
      </c>
      <c r="AD356" s="379" t="s">
        <v>244</v>
      </c>
      <c r="AE356" s="379" t="s">
        <v>152</v>
      </c>
      <c r="AF356" s="382" t="str">
        <f>VLOOKUP(W356,KEY_Other!$B$37:$C$89,2,FALSE)</f>
        <v>EUR</v>
      </c>
      <c r="AG356" s="427"/>
      <c r="AH356" s="379" t="str">
        <f>AC356&amp;VLOOKUP(U356,KEY_FUELS!$C$4:$D$78,2,FALSE)</f>
        <v>RSDBIO</v>
      </c>
      <c r="AI356" s="379" t="str">
        <f>IFERROR(AC356&amp;VLOOKUP(V356,KEY_FUELS!$C$4:$D$78,2,FALSE),"")</f>
        <v/>
      </c>
      <c r="AJ356" s="379" t="str">
        <f t="shared" si="105"/>
        <v>RHAP</v>
      </c>
      <c r="AK356" s="379" t="str">
        <f t="shared" si="98"/>
        <v/>
      </c>
      <c r="AL356" s="379" t="str">
        <f t="shared" si="99"/>
        <v/>
      </c>
      <c r="AM356" s="380">
        <v>31.536000000000001</v>
      </c>
      <c r="AN356" s="427">
        <v>2030</v>
      </c>
      <c r="AO356" s="470"/>
      <c r="AP356" s="429"/>
      <c r="AQ356" s="467"/>
      <c r="AR356" s="429"/>
      <c r="AS356" s="429"/>
      <c r="AT356" s="429"/>
      <c r="AU356" s="467"/>
      <c r="AV356" s="467"/>
      <c r="AW356" s="467"/>
      <c r="AX356" s="429"/>
      <c r="AY356" s="427"/>
      <c r="AZ356" s="467">
        <v>0.87</v>
      </c>
      <c r="BA356" s="429"/>
      <c r="BB356" s="429"/>
      <c r="BC356" s="427"/>
      <c r="BD356" s="429"/>
      <c r="BE356" s="429"/>
      <c r="BF356" s="427"/>
      <c r="BG356" s="427"/>
      <c r="BH356" s="427"/>
      <c r="BI356" s="427">
        <v>20</v>
      </c>
      <c r="BJ356" s="427"/>
      <c r="BK356" s="428">
        <v>140</v>
      </c>
      <c r="BL356" s="427"/>
      <c r="BM356" s="427"/>
      <c r="BN356" s="427"/>
      <c r="BO356" s="427"/>
      <c r="BP356" s="427"/>
      <c r="BQ356" s="427"/>
      <c r="BR356" s="429">
        <v>6.3517023330291558</v>
      </c>
      <c r="BS356" s="427"/>
      <c r="BT356" s="427"/>
      <c r="BU356" s="427"/>
      <c r="BV356" s="427"/>
      <c r="BW356" s="427"/>
      <c r="BX356" s="471"/>
    </row>
    <row r="357" spans="10:76" x14ac:dyDescent="0.3">
      <c r="J357" s="362" t="s">
        <v>238</v>
      </c>
      <c r="K357" s="363" t="s">
        <v>135</v>
      </c>
      <c r="L357" s="363"/>
      <c r="M357" s="363" t="s">
        <v>239</v>
      </c>
      <c r="N357" s="363" t="s">
        <v>240</v>
      </c>
      <c r="O357" s="363" t="s">
        <v>136</v>
      </c>
      <c r="P357" s="363">
        <v>2019</v>
      </c>
      <c r="Q357" s="432" t="s">
        <v>294</v>
      </c>
      <c r="R357" s="433" t="s">
        <v>297</v>
      </c>
      <c r="S357" s="439"/>
      <c r="T357" s="439"/>
      <c r="U357" s="363" t="s">
        <v>296</v>
      </c>
      <c r="V357" s="363"/>
      <c r="W357" s="363" t="s">
        <v>243</v>
      </c>
      <c r="X357" s="363">
        <v>2019</v>
      </c>
      <c r="Y357" s="439"/>
      <c r="Z357" s="363" t="str">
        <f>VLOOKUP(R357,KEY_Processes!$C$55:$E$130,3,FALSE)</f>
        <v>HW_SL_BFW01</v>
      </c>
      <c r="AA357" s="363" t="str">
        <f>VLOOKUP(R357,KEY_Processes!$C$55:$E$130,2,FALSE)</f>
        <v>HW_WoodStove_BFW_LARGE</v>
      </c>
      <c r="AB357" s="363" t="str">
        <f>VLOOKUP(U357,KEY_FUELS!$C$4:$D$77,2,FALSE)</f>
        <v>BIO</v>
      </c>
      <c r="AC357" s="363" t="s">
        <v>150</v>
      </c>
      <c r="AD357" s="363" t="s">
        <v>244</v>
      </c>
      <c r="AE357" s="363" t="s">
        <v>152</v>
      </c>
      <c r="AF357" s="366" t="str">
        <f>VLOOKUP(W357,KEY_Other!$B$37:$C$89,2,FALSE)</f>
        <v>EUR</v>
      </c>
      <c r="AG357" s="439"/>
      <c r="AH357" s="363" t="str">
        <f>AC357&amp;VLOOKUP(U357,KEY_FUELS!$C$4:$D$78,2,FALSE)</f>
        <v>RSDBIO</v>
      </c>
      <c r="AI357" s="363" t="str">
        <f>IFERROR(AC357&amp;VLOOKUP(V357,KEY_FUELS!$C$4:$D$78,2,FALSE),"")</f>
        <v/>
      </c>
      <c r="AJ357" s="363" t="str">
        <f t="shared" si="105"/>
        <v>RHAP</v>
      </c>
      <c r="AK357" s="363" t="str">
        <f t="shared" si="98"/>
        <v>RWAP</v>
      </c>
      <c r="AL357" s="363" t="str">
        <f t="shared" si="99"/>
        <v/>
      </c>
      <c r="AM357" s="364">
        <v>31.536000000000001</v>
      </c>
      <c r="AN357" s="439">
        <v>2019</v>
      </c>
      <c r="AO357" s="468"/>
      <c r="AP357" s="441"/>
      <c r="AQ357" s="445"/>
      <c r="AR357" s="441"/>
      <c r="AS357" s="441"/>
      <c r="AT357" s="441"/>
      <c r="AU357" s="445"/>
      <c r="AV357" s="445"/>
      <c r="AW357" s="445"/>
      <c r="AX357" s="441"/>
      <c r="AY357" s="439"/>
      <c r="AZ357" s="445">
        <v>0.68</v>
      </c>
      <c r="BA357" s="441"/>
      <c r="BB357" s="441"/>
      <c r="BC357" s="439"/>
      <c r="BD357" s="441"/>
      <c r="BE357" s="441"/>
      <c r="BF357" s="439"/>
      <c r="BG357" s="439"/>
      <c r="BH357" s="439"/>
      <c r="BI357" s="439">
        <v>20</v>
      </c>
      <c r="BJ357" s="439"/>
      <c r="BK357" s="440">
        <v>136</v>
      </c>
      <c r="BL357" s="439"/>
      <c r="BM357" s="439"/>
      <c r="BN357" s="439"/>
      <c r="BO357" s="439"/>
      <c r="BP357" s="439"/>
      <c r="BQ357" s="439"/>
      <c r="BR357" s="441">
        <v>6.3517023330291558</v>
      </c>
      <c r="BS357" s="439"/>
      <c r="BT357" s="439"/>
      <c r="BU357" s="439"/>
      <c r="BV357" s="439"/>
      <c r="BW357" s="439"/>
      <c r="BX357" s="469"/>
    </row>
    <row r="358" spans="10:76" x14ac:dyDescent="0.3">
      <c r="J358" s="378" t="s">
        <v>238</v>
      </c>
      <c r="K358" s="379" t="s">
        <v>135</v>
      </c>
      <c r="L358" s="379"/>
      <c r="M358" s="379" t="s">
        <v>239</v>
      </c>
      <c r="N358" s="379" t="s">
        <v>240</v>
      </c>
      <c r="O358" s="379" t="s">
        <v>136</v>
      </c>
      <c r="P358" s="379">
        <v>2020</v>
      </c>
      <c r="Q358" s="420" t="s">
        <v>294</v>
      </c>
      <c r="R358" s="421" t="s">
        <v>297</v>
      </c>
      <c r="S358" s="427"/>
      <c r="T358" s="427"/>
      <c r="U358" s="379" t="s">
        <v>296</v>
      </c>
      <c r="V358" s="379"/>
      <c r="W358" s="379" t="s">
        <v>243</v>
      </c>
      <c r="X358" s="379">
        <v>2030</v>
      </c>
      <c r="Y358" s="427"/>
      <c r="Z358" s="379" t="str">
        <f>VLOOKUP(R358,KEY_Processes!$C$55:$E$130,3,FALSE)</f>
        <v>HW_SL_BFW01</v>
      </c>
      <c r="AA358" s="379" t="str">
        <f>VLOOKUP(R358,KEY_Processes!$C$55:$E$130,2,FALSE)</f>
        <v>HW_WoodStove_BFW_LARGE</v>
      </c>
      <c r="AB358" s="379" t="str">
        <f>VLOOKUP(U358,KEY_FUELS!$C$4:$D$77,2,FALSE)</f>
        <v>BIO</v>
      </c>
      <c r="AC358" s="379" t="s">
        <v>150</v>
      </c>
      <c r="AD358" s="379" t="s">
        <v>244</v>
      </c>
      <c r="AE358" s="379" t="s">
        <v>152</v>
      </c>
      <c r="AF358" s="382" t="str">
        <f>VLOOKUP(W358,KEY_Other!$B$37:$C$89,2,FALSE)</f>
        <v>EUR</v>
      </c>
      <c r="AG358" s="427"/>
      <c r="AH358" s="379" t="str">
        <f>AC358&amp;VLOOKUP(U358,KEY_FUELS!$C$4:$D$78,2,FALSE)</f>
        <v>RSDBIO</v>
      </c>
      <c r="AI358" s="379" t="str">
        <f>IFERROR(AC358&amp;VLOOKUP(V358,KEY_FUELS!$C$4:$D$78,2,FALSE),"")</f>
        <v/>
      </c>
      <c r="AJ358" s="379" t="str">
        <f t="shared" si="105"/>
        <v>RHAP</v>
      </c>
      <c r="AK358" s="379" t="str">
        <f t="shared" si="98"/>
        <v>RWAP</v>
      </c>
      <c r="AL358" s="379" t="str">
        <f t="shared" si="99"/>
        <v/>
      </c>
      <c r="AM358" s="380">
        <v>31.536000000000001</v>
      </c>
      <c r="AN358" s="427">
        <v>2030</v>
      </c>
      <c r="AO358" s="470"/>
      <c r="AP358" s="429"/>
      <c r="AQ358" s="467"/>
      <c r="AR358" s="429"/>
      <c r="AS358" s="429"/>
      <c r="AT358" s="429"/>
      <c r="AU358" s="467"/>
      <c r="AV358" s="467"/>
      <c r="AW358" s="467"/>
      <c r="AX358" s="429"/>
      <c r="AY358" s="427"/>
      <c r="AZ358" s="467">
        <v>0.79</v>
      </c>
      <c r="BA358" s="429"/>
      <c r="BB358" s="429"/>
      <c r="BC358" s="427"/>
      <c r="BD358" s="429"/>
      <c r="BE358" s="429"/>
      <c r="BF358" s="427"/>
      <c r="BG358" s="427"/>
      <c r="BH358" s="427"/>
      <c r="BI358" s="427">
        <v>20</v>
      </c>
      <c r="BJ358" s="427"/>
      <c r="BK358" s="428">
        <v>174</v>
      </c>
      <c r="BL358" s="427"/>
      <c r="BM358" s="427"/>
      <c r="BN358" s="427"/>
      <c r="BO358" s="427"/>
      <c r="BP358" s="427"/>
      <c r="BQ358" s="427"/>
      <c r="BR358" s="429">
        <v>6.3517023330291558</v>
      </c>
      <c r="BS358" s="427"/>
      <c r="BT358" s="427"/>
      <c r="BU358" s="427"/>
      <c r="BV358" s="427"/>
      <c r="BW358" s="427"/>
      <c r="BX358" s="471"/>
    </row>
    <row r="359" spans="10:76" x14ac:dyDescent="0.3">
      <c r="J359" s="362" t="s">
        <v>238</v>
      </c>
      <c r="K359" s="363" t="s">
        <v>135</v>
      </c>
      <c r="L359" s="363"/>
      <c r="M359" s="363" t="s">
        <v>239</v>
      </c>
      <c r="N359" s="363" t="s">
        <v>240</v>
      </c>
      <c r="O359" s="363" t="s">
        <v>136</v>
      </c>
      <c r="P359" s="363">
        <v>2020</v>
      </c>
      <c r="Q359" s="432" t="s">
        <v>294</v>
      </c>
      <c r="R359" s="433" t="s">
        <v>298</v>
      </c>
      <c r="S359" s="439"/>
      <c r="T359" s="439"/>
      <c r="U359" s="363" t="s">
        <v>296</v>
      </c>
      <c r="V359" s="363"/>
      <c r="W359" s="363" t="s">
        <v>243</v>
      </c>
      <c r="X359" s="363">
        <v>2019</v>
      </c>
      <c r="Y359" s="439"/>
      <c r="Z359" s="363" t="str">
        <f>VLOOKUP(R359,KEY_Processes!$C$55:$E$130,3,FALSE)</f>
        <v>W_SL_BFW01</v>
      </c>
      <c r="AA359" s="363" t="str">
        <f>VLOOKUP(R359,KEY_Processes!$C$55:$E$130,2,FALSE)</f>
        <v>W_WoodStove_BFW_LARGE</v>
      </c>
      <c r="AB359" s="363" t="str">
        <f>VLOOKUP(U359,KEY_FUELS!$C$4:$D$77,2,FALSE)</f>
        <v>BIO</v>
      </c>
      <c r="AC359" s="363" t="s">
        <v>150</v>
      </c>
      <c r="AD359" s="363" t="s">
        <v>244</v>
      </c>
      <c r="AE359" s="363" t="s">
        <v>152</v>
      </c>
      <c r="AF359" s="366" t="str">
        <f>VLOOKUP(W359,KEY_Other!$B$37:$C$89,2,FALSE)</f>
        <v>EUR</v>
      </c>
      <c r="AG359" s="439"/>
      <c r="AH359" s="363" t="str">
        <f>AC359&amp;VLOOKUP(U359,KEY_FUELS!$C$4:$D$78,2,FALSE)</f>
        <v>RSDBIO</v>
      </c>
      <c r="AI359" s="363" t="str">
        <f>IFERROR(AC359&amp;VLOOKUP(V359,KEY_FUELS!$C$4:$D$78,2,FALSE),"")</f>
        <v/>
      </c>
      <c r="AJ359" s="363" t="str">
        <f t="shared" si="105"/>
        <v>RWAP</v>
      </c>
      <c r="AK359" s="363" t="str">
        <f t="shared" si="98"/>
        <v/>
      </c>
      <c r="AL359" s="363" t="str">
        <f t="shared" si="99"/>
        <v/>
      </c>
      <c r="AM359" s="364">
        <v>31.536000000000001</v>
      </c>
      <c r="AN359" s="439">
        <v>2019</v>
      </c>
      <c r="AO359" s="468"/>
      <c r="AP359" s="441"/>
      <c r="AQ359" s="445"/>
      <c r="AR359" s="441"/>
      <c r="AS359" s="441"/>
      <c r="AT359" s="441"/>
      <c r="AU359" s="445"/>
      <c r="AV359" s="445"/>
      <c r="AW359" s="445"/>
      <c r="AX359" s="441"/>
      <c r="AY359" s="439"/>
      <c r="AZ359" s="445">
        <v>0.68</v>
      </c>
      <c r="BA359" s="441"/>
      <c r="BB359" s="441"/>
      <c r="BC359" s="439"/>
      <c r="BD359" s="441"/>
      <c r="BE359" s="441"/>
      <c r="BF359" s="439"/>
      <c r="BG359" s="439"/>
      <c r="BH359" s="439"/>
      <c r="BI359" s="439">
        <v>20</v>
      </c>
      <c r="BJ359" s="439"/>
      <c r="BK359" s="440">
        <v>67</v>
      </c>
      <c r="BL359" s="439"/>
      <c r="BM359" s="439"/>
      <c r="BN359" s="439"/>
      <c r="BO359" s="439"/>
      <c r="BP359" s="439"/>
      <c r="BQ359" s="439"/>
      <c r="BR359" s="441">
        <v>6.3517023330291558</v>
      </c>
      <c r="BS359" s="439"/>
      <c r="BT359" s="439"/>
      <c r="BU359" s="439"/>
      <c r="BV359" s="439"/>
      <c r="BW359" s="439"/>
      <c r="BX359" s="469"/>
    </row>
    <row r="360" spans="10:76" x14ac:dyDescent="0.3">
      <c r="J360" s="378" t="s">
        <v>238</v>
      </c>
      <c r="K360" s="379" t="s">
        <v>135</v>
      </c>
      <c r="L360" s="379"/>
      <c r="M360" s="379" t="s">
        <v>239</v>
      </c>
      <c r="N360" s="379" t="s">
        <v>240</v>
      </c>
      <c r="O360" s="379" t="s">
        <v>136</v>
      </c>
      <c r="P360" s="379">
        <v>2021</v>
      </c>
      <c r="Q360" s="420" t="s">
        <v>294</v>
      </c>
      <c r="R360" s="421" t="s">
        <v>298</v>
      </c>
      <c r="S360" s="427"/>
      <c r="T360" s="427"/>
      <c r="U360" s="379" t="s">
        <v>296</v>
      </c>
      <c r="V360" s="379"/>
      <c r="W360" s="379" t="s">
        <v>243</v>
      </c>
      <c r="X360" s="379">
        <v>2030</v>
      </c>
      <c r="Y360" s="427"/>
      <c r="Z360" s="379" t="str">
        <f>VLOOKUP(R360,KEY_Processes!$C$55:$E$130,3,FALSE)</f>
        <v>W_SL_BFW01</v>
      </c>
      <c r="AA360" s="379" t="str">
        <f>VLOOKUP(R360,KEY_Processes!$C$55:$E$130,2,FALSE)</f>
        <v>W_WoodStove_BFW_LARGE</v>
      </c>
      <c r="AB360" s="379" t="str">
        <f>VLOOKUP(U360,KEY_FUELS!$C$4:$D$77,2,FALSE)</f>
        <v>BIO</v>
      </c>
      <c r="AC360" s="379" t="s">
        <v>150</v>
      </c>
      <c r="AD360" s="379" t="s">
        <v>244</v>
      </c>
      <c r="AE360" s="379" t="s">
        <v>152</v>
      </c>
      <c r="AF360" s="382" t="str">
        <f>VLOOKUP(W360,KEY_Other!$B$37:$C$89,2,FALSE)</f>
        <v>EUR</v>
      </c>
      <c r="AG360" s="427"/>
      <c r="AH360" s="379" t="str">
        <f>AC360&amp;VLOOKUP(U360,KEY_FUELS!$C$4:$D$78,2,FALSE)</f>
        <v>RSDBIO</v>
      </c>
      <c r="AI360" s="379" t="str">
        <f>IFERROR(AC360&amp;VLOOKUP(V360,KEY_FUELS!$C$4:$D$78,2,FALSE),"")</f>
        <v/>
      </c>
      <c r="AJ360" s="379" t="str">
        <f t="shared" si="105"/>
        <v>RWAP</v>
      </c>
      <c r="AK360" s="379" t="str">
        <f t="shared" si="98"/>
        <v/>
      </c>
      <c r="AL360" s="379" t="str">
        <f t="shared" si="99"/>
        <v/>
      </c>
      <c r="AM360" s="380">
        <v>31.536000000000001</v>
      </c>
      <c r="AN360" s="427">
        <v>2030</v>
      </c>
      <c r="AO360" s="470"/>
      <c r="AP360" s="429"/>
      <c r="AQ360" s="467"/>
      <c r="AR360" s="429"/>
      <c r="AS360" s="429"/>
      <c r="AT360" s="429"/>
      <c r="AU360" s="467"/>
      <c r="AV360" s="467"/>
      <c r="AW360" s="467"/>
      <c r="AX360" s="429"/>
      <c r="AY360" s="427"/>
      <c r="AZ360" s="467">
        <v>0.79</v>
      </c>
      <c r="BA360" s="429"/>
      <c r="BB360" s="429"/>
      <c r="BC360" s="427"/>
      <c r="BD360" s="429"/>
      <c r="BE360" s="429"/>
      <c r="BF360" s="427"/>
      <c r="BG360" s="427"/>
      <c r="BH360" s="427"/>
      <c r="BI360" s="427">
        <v>20</v>
      </c>
      <c r="BJ360" s="427"/>
      <c r="BK360" s="428">
        <v>106</v>
      </c>
      <c r="BL360" s="427"/>
      <c r="BM360" s="427"/>
      <c r="BN360" s="427"/>
      <c r="BO360" s="427"/>
      <c r="BP360" s="427"/>
      <c r="BQ360" s="427"/>
      <c r="BR360" s="429">
        <v>6.3517023330291558</v>
      </c>
      <c r="BS360" s="427"/>
      <c r="BT360" s="427"/>
      <c r="BU360" s="427"/>
      <c r="BV360" s="427"/>
      <c r="BW360" s="427"/>
      <c r="BX360" s="471"/>
    </row>
    <row r="361" spans="10:76" x14ac:dyDescent="0.3">
      <c r="J361" s="362" t="s">
        <v>238</v>
      </c>
      <c r="K361" s="363" t="s">
        <v>135</v>
      </c>
      <c r="L361" s="363"/>
      <c r="M361" s="363" t="s">
        <v>239</v>
      </c>
      <c r="N361" s="363" t="s">
        <v>240</v>
      </c>
      <c r="O361" s="363" t="s">
        <v>136</v>
      </c>
      <c r="P361" s="363">
        <v>2018</v>
      </c>
      <c r="Q361" s="432" t="s">
        <v>299</v>
      </c>
      <c r="R361" s="433" t="s">
        <v>300</v>
      </c>
      <c r="S361" s="439"/>
      <c r="T361" s="439"/>
      <c r="U361" s="363" t="s">
        <v>189</v>
      </c>
      <c r="V361" s="363"/>
      <c r="W361" s="363" t="s">
        <v>243</v>
      </c>
      <c r="X361" s="363">
        <v>2019</v>
      </c>
      <c r="Y361" s="439"/>
      <c r="Z361" s="363" t="str">
        <f>VLOOKUP(R361,KEY_Processes!$C$55:$E$130,3,FALSE)</f>
        <v>C_CAVL_ELC01</v>
      </c>
      <c r="AA361" s="363" t="str">
        <f>VLOOKUP(R361,KEY_Processes!$C$55:$E$130,2,FALSE)</f>
        <v>C_VRFCentral_ELC_LARGE</v>
      </c>
      <c r="AB361" s="363" t="str">
        <f>VLOOKUP(U361,KEY_FUELS!$C$4:$D$77,2,FALSE)</f>
        <v>ELC</v>
      </c>
      <c r="AC361" s="363" t="s">
        <v>150</v>
      </c>
      <c r="AD361" s="363" t="s">
        <v>244</v>
      </c>
      <c r="AE361" s="363" t="s">
        <v>152</v>
      </c>
      <c r="AF361" s="366" t="str">
        <f>VLOOKUP(W361,KEY_Other!$B$37:$C$89,2,FALSE)</f>
        <v>EUR</v>
      </c>
      <c r="AG361" s="439"/>
      <c r="AH361" s="363" t="str">
        <f>AC361&amp;VLOOKUP(U361,KEY_FUELS!$C$4:$D$78,2,FALSE)</f>
        <v>RSDELC</v>
      </c>
      <c r="AI361" s="363" t="str">
        <f>IFERROR(AC361&amp;VLOOKUP(V361,KEY_FUELS!$C$4:$D$78,2,FALSE),"")</f>
        <v/>
      </c>
      <c r="AJ361" s="363" t="str">
        <f t="shared" si="105"/>
        <v>RCAP</v>
      </c>
      <c r="AK361" s="363" t="str">
        <f t="shared" si="98"/>
        <v/>
      </c>
      <c r="AL361" s="363" t="str">
        <f t="shared" si="99"/>
        <v/>
      </c>
      <c r="AM361" s="364">
        <v>31.536000000000001</v>
      </c>
      <c r="AN361" s="439">
        <v>2019</v>
      </c>
      <c r="AO361" s="468"/>
      <c r="AP361" s="441"/>
      <c r="AQ361" s="445"/>
      <c r="AR361" s="441"/>
      <c r="AS361" s="441"/>
      <c r="AT361" s="441"/>
      <c r="AU361" s="445"/>
      <c r="AV361" s="445"/>
      <c r="AW361" s="445"/>
      <c r="AX361" s="441"/>
      <c r="AY361" s="439"/>
      <c r="AZ361" s="445">
        <v>3.7440000000000002</v>
      </c>
      <c r="BA361" s="441"/>
      <c r="BB361" s="441"/>
      <c r="BC361" s="439"/>
      <c r="BD361" s="441"/>
      <c r="BE361" s="441"/>
      <c r="BF361" s="439"/>
      <c r="BG361" s="439"/>
      <c r="BH361" s="439"/>
      <c r="BI361" s="439">
        <v>20</v>
      </c>
      <c r="BJ361" s="439"/>
      <c r="BK361" s="440">
        <v>172</v>
      </c>
      <c r="BL361" s="439"/>
      <c r="BM361" s="439"/>
      <c r="BN361" s="439"/>
      <c r="BO361" s="439"/>
      <c r="BP361" s="439"/>
      <c r="BQ361" s="439"/>
      <c r="BR361" s="441">
        <v>2.2139534883720935</v>
      </c>
      <c r="BS361" s="439"/>
      <c r="BT361" s="439"/>
      <c r="BU361" s="439"/>
      <c r="BV361" s="439"/>
      <c r="BW361" s="439"/>
      <c r="BX361" s="469"/>
    </row>
    <row r="362" spans="10:76" x14ac:dyDescent="0.3">
      <c r="J362" s="378" t="s">
        <v>238</v>
      </c>
      <c r="K362" s="379" t="s">
        <v>135</v>
      </c>
      <c r="L362" s="379"/>
      <c r="M362" s="379" t="s">
        <v>239</v>
      </c>
      <c r="N362" s="379" t="s">
        <v>240</v>
      </c>
      <c r="O362" s="379" t="s">
        <v>136</v>
      </c>
      <c r="P362" s="379">
        <v>2018</v>
      </c>
      <c r="Q362" s="420" t="s">
        <v>299</v>
      </c>
      <c r="R362" s="421" t="s">
        <v>300</v>
      </c>
      <c r="S362" s="427"/>
      <c r="T362" s="427"/>
      <c r="U362" s="379" t="s">
        <v>189</v>
      </c>
      <c r="V362" s="379"/>
      <c r="W362" s="379" t="s">
        <v>243</v>
      </c>
      <c r="X362" s="379">
        <v>2030</v>
      </c>
      <c r="Y362" s="427"/>
      <c r="Z362" s="379" t="str">
        <f>VLOOKUP(R362,KEY_Processes!$C$55:$E$130,3,FALSE)</f>
        <v>C_CAVL_ELC01</v>
      </c>
      <c r="AA362" s="379" t="str">
        <f>VLOOKUP(R362,KEY_Processes!$C$55:$E$130,2,FALSE)</f>
        <v>C_VRFCentral_ELC_LARGE</v>
      </c>
      <c r="AB362" s="379" t="str">
        <f>VLOOKUP(U362,KEY_FUELS!$C$4:$D$77,2,FALSE)</f>
        <v>ELC</v>
      </c>
      <c r="AC362" s="379" t="s">
        <v>150</v>
      </c>
      <c r="AD362" s="379" t="s">
        <v>244</v>
      </c>
      <c r="AE362" s="379" t="s">
        <v>152</v>
      </c>
      <c r="AF362" s="382" t="str">
        <f>VLOOKUP(W362,KEY_Other!$B$37:$C$89,2,FALSE)</f>
        <v>EUR</v>
      </c>
      <c r="AG362" s="427"/>
      <c r="AH362" s="379" t="str">
        <f>AC362&amp;VLOOKUP(U362,KEY_FUELS!$C$4:$D$78,2,FALSE)</f>
        <v>RSDELC</v>
      </c>
      <c r="AI362" s="379" t="str">
        <f>IFERROR(AC362&amp;VLOOKUP(V362,KEY_FUELS!$C$4:$D$78,2,FALSE),"")</f>
        <v/>
      </c>
      <c r="AJ362" s="379" t="str">
        <f t="shared" si="105"/>
        <v>RCAP</v>
      </c>
      <c r="AK362" s="379" t="str">
        <f t="shared" si="98"/>
        <v/>
      </c>
      <c r="AL362" s="379" t="str">
        <f t="shared" si="99"/>
        <v/>
      </c>
      <c r="AM362" s="380">
        <v>31.536000000000001</v>
      </c>
      <c r="AN362" s="427">
        <v>2030</v>
      </c>
      <c r="AO362" s="470"/>
      <c r="AP362" s="429"/>
      <c r="AQ362" s="467"/>
      <c r="AR362" s="429"/>
      <c r="AS362" s="429"/>
      <c r="AT362" s="429"/>
      <c r="AU362" s="467"/>
      <c r="AV362" s="467"/>
      <c r="AW362" s="467"/>
      <c r="AX362" s="429"/>
      <c r="AY362" s="427"/>
      <c r="AZ362" s="467">
        <v>4.0679999999999996</v>
      </c>
      <c r="BA362" s="429"/>
      <c r="BB362" s="429"/>
      <c r="BC362" s="427"/>
      <c r="BD362" s="429"/>
      <c r="BE362" s="429"/>
      <c r="BF362" s="427"/>
      <c r="BG362" s="427"/>
      <c r="BH362" s="427"/>
      <c r="BI362" s="427">
        <v>20</v>
      </c>
      <c r="BJ362" s="427"/>
      <c r="BK362" s="428">
        <v>238</v>
      </c>
      <c r="BL362" s="427"/>
      <c r="BM362" s="427"/>
      <c r="BN362" s="427"/>
      <c r="BO362" s="427"/>
      <c r="BP362" s="427"/>
      <c r="BQ362" s="427"/>
      <c r="BR362" s="429">
        <v>2.2139534883720935</v>
      </c>
      <c r="BS362" s="427"/>
      <c r="BT362" s="427"/>
      <c r="BU362" s="427"/>
      <c r="BV362" s="427"/>
      <c r="BW362" s="427"/>
      <c r="BX362" s="471"/>
    </row>
    <row r="363" spans="10:76" x14ac:dyDescent="0.3">
      <c r="J363" s="362" t="s">
        <v>238</v>
      </c>
      <c r="K363" s="363" t="s">
        <v>135</v>
      </c>
      <c r="L363" s="363"/>
      <c r="M363" s="363" t="s">
        <v>239</v>
      </c>
      <c r="N363" s="363" t="s">
        <v>240</v>
      </c>
      <c r="O363" s="363" t="s">
        <v>136</v>
      </c>
      <c r="P363" s="363">
        <v>2018</v>
      </c>
      <c r="Q363" s="432" t="s">
        <v>241</v>
      </c>
      <c r="R363" s="433" t="s">
        <v>301</v>
      </c>
      <c r="S363" s="439"/>
      <c r="T363" s="439"/>
      <c r="U363" s="363" t="s">
        <v>189</v>
      </c>
      <c r="V363" s="363" t="s">
        <v>190</v>
      </c>
      <c r="W363" s="363" t="s">
        <v>243</v>
      </c>
      <c r="X363" s="363">
        <v>2019</v>
      </c>
      <c r="Y363" s="439"/>
      <c r="Z363" s="363" t="str">
        <f>VLOOKUP(R363,KEY_Processes!$C$55:$E$130,3,FALSE)</f>
        <v>C_CAS_ELC01</v>
      </c>
      <c r="AA363" s="363" t="str">
        <f>VLOOKUP(R363,KEY_Processes!$C$55:$E$130,2,FALSE)</f>
        <v>C_AirChiller_ELC_SMALL</v>
      </c>
      <c r="AB363" s="363" t="str">
        <f>VLOOKUP(U363,KEY_FUELS!$C$4:$D$77,2,FALSE)</f>
        <v>ELC</v>
      </c>
      <c r="AC363" s="363" t="s">
        <v>150</v>
      </c>
      <c r="AD363" s="363" t="s">
        <v>244</v>
      </c>
      <c r="AE363" s="363" t="s">
        <v>152</v>
      </c>
      <c r="AF363" s="366" t="str">
        <f>VLOOKUP(W363,KEY_Other!$B$37:$C$89,2,FALSE)</f>
        <v>EUR</v>
      </c>
      <c r="AG363" s="439"/>
      <c r="AH363" s="363" t="str">
        <f>AC363&amp;VLOOKUP(U363,KEY_FUELS!$C$4:$D$78,2,FALSE)</f>
        <v>RSDELC</v>
      </c>
      <c r="AI363" s="363" t="str">
        <f>IFERROR(AC363&amp;VLOOKUP(V363,KEY_FUELS!$C$4:$D$78,2,FALSE),"")</f>
        <v>RSDAHT</v>
      </c>
      <c r="AJ363" s="363" t="str">
        <f t="shared" si="105"/>
        <v>RCAP</v>
      </c>
      <c r="AK363" s="363" t="str">
        <f t="shared" si="98"/>
        <v/>
      </c>
      <c r="AL363" s="363" t="str">
        <f t="shared" si="99"/>
        <v/>
      </c>
      <c r="AM363" s="364">
        <v>31.536000000000001</v>
      </c>
      <c r="AN363" s="439">
        <v>2019</v>
      </c>
      <c r="AO363" s="468"/>
      <c r="AP363" s="441"/>
      <c r="AQ363" s="445"/>
      <c r="AR363" s="441"/>
      <c r="AS363" s="441"/>
      <c r="AT363" s="441"/>
      <c r="AU363" s="445"/>
      <c r="AV363" s="445"/>
      <c r="AW363" s="445"/>
      <c r="AX363" s="441"/>
      <c r="AY363" s="439"/>
      <c r="AZ363" s="445">
        <v>3.9566236809999999</v>
      </c>
      <c r="BA363" s="441"/>
      <c r="BB363" s="441"/>
      <c r="BC363" s="439"/>
      <c r="BD363" s="441"/>
      <c r="BE363" s="441"/>
      <c r="BF363" s="439"/>
      <c r="BG363" s="439"/>
      <c r="BH363" s="439"/>
      <c r="BI363" s="439">
        <v>20</v>
      </c>
      <c r="BJ363" s="439"/>
      <c r="BK363" s="440">
        <v>157</v>
      </c>
      <c r="BL363" s="439"/>
      <c r="BM363" s="439"/>
      <c r="BN363" s="439"/>
      <c r="BO363" s="439"/>
      <c r="BP363" s="439"/>
      <c r="BQ363" s="439"/>
      <c r="BR363" s="441">
        <v>3.1627906976744184</v>
      </c>
      <c r="BS363" s="439"/>
      <c r="BT363" s="439"/>
      <c r="BU363" s="439"/>
      <c r="BV363" s="439"/>
      <c r="BW363" s="439"/>
      <c r="BX363" s="469"/>
    </row>
    <row r="364" spans="10:76" x14ac:dyDescent="0.3">
      <c r="J364" s="378" t="s">
        <v>238</v>
      </c>
      <c r="K364" s="379" t="s">
        <v>135</v>
      </c>
      <c r="L364" s="379"/>
      <c r="M364" s="379" t="s">
        <v>239</v>
      </c>
      <c r="N364" s="379" t="s">
        <v>240</v>
      </c>
      <c r="O364" s="379" t="s">
        <v>136</v>
      </c>
      <c r="P364" s="379">
        <v>2018</v>
      </c>
      <c r="Q364" s="420" t="s">
        <v>241</v>
      </c>
      <c r="R364" s="421" t="s">
        <v>301</v>
      </c>
      <c r="S364" s="427"/>
      <c r="T364" s="427"/>
      <c r="U364" s="379" t="s">
        <v>189</v>
      </c>
      <c r="V364" s="379" t="s">
        <v>190</v>
      </c>
      <c r="W364" s="379" t="s">
        <v>243</v>
      </c>
      <c r="X364" s="379">
        <v>2030</v>
      </c>
      <c r="Y364" s="427"/>
      <c r="Z364" s="379" t="str">
        <f>VLOOKUP(R364,KEY_Processes!$C$55:$E$130,3,FALSE)</f>
        <v>C_CAS_ELC01</v>
      </c>
      <c r="AA364" s="379" t="str">
        <f>VLOOKUP(R364,KEY_Processes!$C$55:$E$130,2,FALSE)</f>
        <v>C_AirChiller_ELC_SMALL</v>
      </c>
      <c r="AB364" s="379" t="str">
        <f>VLOOKUP(U364,KEY_FUELS!$C$4:$D$77,2,FALSE)</f>
        <v>ELC</v>
      </c>
      <c r="AC364" s="379" t="s">
        <v>150</v>
      </c>
      <c r="AD364" s="379" t="s">
        <v>244</v>
      </c>
      <c r="AE364" s="379" t="s">
        <v>152</v>
      </c>
      <c r="AF364" s="382" t="str">
        <f>VLOOKUP(W364,KEY_Other!$B$37:$C$89,2,FALSE)</f>
        <v>EUR</v>
      </c>
      <c r="AG364" s="427"/>
      <c r="AH364" s="379" t="str">
        <f>AC364&amp;VLOOKUP(U364,KEY_FUELS!$C$4:$D$78,2,FALSE)</f>
        <v>RSDELC</v>
      </c>
      <c r="AI364" s="379" t="str">
        <f>IFERROR(AC364&amp;VLOOKUP(V364,KEY_FUELS!$C$4:$D$78,2,FALSE),"")</f>
        <v>RSDAHT</v>
      </c>
      <c r="AJ364" s="379" t="str">
        <f t="shared" si="105"/>
        <v>RCAP</v>
      </c>
      <c r="AK364" s="379" t="str">
        <f t="shared" si="98"/>
        <v/>
      </c>
      <c r="AL364" s="379" t="str">
        <f t="shared" si="99"/>
        <v/>
      </c>
      <c r="AM364" s="380">
        <v>31.536000000000001</v>
      </c>
      <c r="AN364" s="427">
        <v>2030</v>
      </c>
      <c r="AO364" s="470"/>
      <c r="AP364" s="429"/>
      <c r="AQ364" s="467"/>
      <c r="AR364" s="429"/>
      <c r="AS364" s="429"/>
      <c r="AT364" s="429"/>
      <c r="AU364" s="467"/>
      <c r="AV364" s="467"/>
      <c r="AW364" s="467"/>
      <c r="AX364" s="429"/>
      <c r="AY364" s="427"/>
      <c r="AZ364" s="467">
        <v>5.2</v>
      </c>
      <c r="BA364" s="429"/>
      <c r="BB364" s="429"/>
      <c r="BC364" s="427"/>
      <c r="BD364" s="429"/>
      <c r="BE364" s="429"/>
      <c r="BF364" s="427"/>
      <c r="BG364" s="427"/>
      <c r="BH364" s="427"/>
      <c r="BI364" s="427">
        <v>20</v>
      </c>
      <c r="BJ364" s="427"/>
      <c r="BK364" s="428">
        <v>389</v>
      </c>
      <c r="BL364" s="427"/>
      <c r="BM364" s="427"/>
      <c r="BN364" s="427"/>
      <c r="BO364" s="427"/>
      <c r="BP364" s="427"/>
      <c r="BQ364" s="427"/>
      <c r="BR364" s="429">
        <v>3.1627906976744184</v>
      </c>
      <c r="BS364" s="427"/>
      <c r="BT364" s="427"/>
      <c r="BU364" s="427"/>
      <c r="BV364" s="427"/>
      <c r="BW364" s="427"/>
      <c r="BX364" s="471"/>
    </row>
    <row r="365" spans="10:76" x14ac:dyDescent="0.3">
      <c r="J365" s="362" t="s">
        <v>238</v>
      </c>
      <c r="K365" s="363" t="s">
        <v>135</v>
      </c>
      <c r="L365" s="363"/>
      <c r="M365" s="363" t="s">
        <v>239</v>
      </c>
      <c r="N365" s="363" t="s">
        <v>240</v>
      </c>
      <c r="O365" s="363" t="s">
        <v>136</v>
      </c>
      <c r="P365" s="363">
        <v>2018</v>
      </c>
      <c r="Q365" s="432" t="s">
        <v>245</v>
      </c>
      <c r="R365" s="433" t="s">
        <v>302</v>
      </c>
      <c r="S365" s="439"/>
      <c r="T365" s="439"/>
      <c r="U365" s="363" t="s">
        <v>189</v>
      </c>
      <c r="V365" s="363" t="s">
        <v>190</v>
      </c>
      <c r="W365" s="363" t="s">
        <v>243</v>
      </c>
      <c r="X365" s="363">
        <v>2019</v>
      </c>
      <c r="Y365" s="439"/>
      <c r="Z365" s="363" t="str">
        <f>VLOOKUP(R365,KEY_Processes!$C$55:$E$130,3,FALSE)</f>
        <v>H_AHPS_ELC01</v>
      </c>
      <c r="AA365" s="363" t="str">
        <f>VLOOKUP(R365,KEY_Processes!$C$55:$E$130,2,FALSE)</f>
        <v>H_AirHeatPump_ELC_SMALL</v>
      </c>
      <c r="AB365" s="363" t="str">
        <f>VLOOKUP(U365,KEY_FUELS!$C$4:$D$77,2,FALSE)</f>
        <v>ELC</v>
      </c>
      <c r="AC365" s="363" t="s">
        <v>150</v>
      </c>
      <c r="AD365" s="363" t="s">
        <v>244</v>
      </c>
      <c r="AE365" s="363" t="s">
        <v>152</v>
      </c>
      <c r="AF365" s="366" t="str">
        <f>VLOOKUP(W365,KEY_Other!$B$37:$C$89,2,FALSE)</f>
        <v>EUR</v>
      </c>
      <c r="AG365" s="439"/>
      <c r="AH365" s="363" t="str">
        <f>AC365&amp;VLOOKUP(U365,KEY_FUELS!$C$4:$D$78,2,FALSE)</f>
        <v>RSDELC</v>
      </c>
      <c r="AI365" s="363" t="str">
        <f>IFERROR(AC365&amp;VLOOKUP(V365,KEY_FUELS!$C$4:$D$78,2,FALSE),"")</f>
        <v>RSDAHT</v>
      </c>
      <c r="AJ365" s="363" t="str">
        <f t="shared" si="105"/>
        <v>RHAP</v>
      </c>
      <c r="AK365" s="363" t="str">
        <f t="shared" si="98"/>
        <v/>
      </c>
      <c r="AL365" s="363" t="str">
        <f t="shared" si="99"/>
        <v/>
      </c>
      <c r="AM365" s="364">
        <v>31.536000000000001</v>
      </c>
      <c r="AN365" s="439">
        <v>2019</v>
      </c>
      <c r="AO365" s="468"/>
      <c r="AP365" s="441"/>
      <c r="AQ365" s="445"/>
      <c r="AR365" s="441"/>
      <c r="AS365" s="441"/>
      <c r="AT365" s="441"/>
      <c r="AU365" s="445"/>
      <c r="AV365" s="445"/>
      <c r="AW365" s="445"/>
      <c r="AX365" s="441"/>
      <c r="AY365" s="439">
        <v>3.2</v>
      </c>
      <c r="AZ365" s="445">
        <v>3.2</v>
      </c>
      <c r="BA365" s="441"/>
      <c r="BB365" s="441"/>
      <c r="BC365" s="439"/>
      <c r="BD365" s="441"/>
      <c r="BE365" s="441"/>
      <c r="BF365" s="439"/>
      <c r="BG365" s="439"/>
      <c r="BH365" s="439"/>
      <c r="BI365" s="439">
        <v>20</v>
      </c>
      <c r="BJ365" s="439"/>
      <c r="BK365" s="440">
        <v>172</v>
      </c>
      <c r="BL365" s="439"/>
      <c r="BM365" s="439"/>
      <c r="BN365" s="439"/>
      <c r="BO365" s="439"/>
      <c r="BP365" s="439"/>
      <c r="BQ365" s="439"/>
      <c r="BR365" s="441">
        <v>3.1627906976744184</v>
      </c>
      <c r="BS365" s="439"/>
      <c r="BT365" s="439"/>
      <c r="BU365" s="439"/>
      <c r="BV365" s="439"/>
      <c r="BW365" s="439"/>
      <c r="BX365" s="469"/>
    </row>
    <row r="366" spans="10:76" x14ac:dyDescent="0.3">
      <c r="J366" s="378" t="s">
        <v>238</v>
      </c>
      <c r="K366" s="379" t="s">
        <v>135</v>
      </c>
      <c r="L366" s="379"/>
      <c r="M366" s="379" t="s">
        <v>239</v>
      </c>
      <c r="N366" s="379" t="s">
        <v>240</v>
      </c>
      <c r="O366" s="379" t="s">
        <v>136</v>
      </c>
      <c r="P366" s="379">
        <v>2018</v>
      </c>
      <c r="Q366" s="420" t="s">
        <v>245</v>
      </c>
      <c r="R366" s="421" t="s">
        <v>302</v>
      </c>
      <c r="S366" s="427"/>
      <c r="T366" s="427"/>
      <c r="U366" s="379" t="s">
        <v>189</v>
      </c>
      <c r="V366" s="379" t="s">
        <v>190</v>
      </c>
      <c r="W366" s="379" t="s">
        <v>243</v>
      </c>
      <c r="X366" s="379">
        <v>2030</v>
      </c>
      <c r="Y366" s="427"/>
      <c r="Z366" s="379" t="str">
        <f>VLOOKUP(R366,KEY_Processes!$C$55:$E$130,3,FALSE)</f>
        <v>H_AHPS_ELC01</v>
      </c>
      <c r="AA366" s="379" t="str">
        <f>VLOOKUP(R366,KEY_Processes!$C$55:$E$130,2,FALSE)</f>
        <v>H_AirHeatPump_ELC_SMALL</v>
      </c>
      <c r="AB366" s="379" t="str">
        <f>VLOOKUP(U366,KEY_FUELS!$C$4:$D$77,2,FALSE)</f>
        <v>ELC</v>
      </c>
      <c r="AC366" s="379" t="s">
        <v>150</v>
      </c>
      <c r="AD366" s="379" t="s">
        <v>244</v>
      </c>
      <c r="AE366" s="379" t="s">
        <v>152</v>
      </c>
      <c r="AF366" s="382" t="str">
        <f>VLOOKUP(W366,KEY_Other!$B$37:$C$89,2,FALSE)</f>
        <v>EUR</v>
      </c>
      <c r="AG366" s="427"/>
      <c r="AH366" s="379" t="str">
        <f>AC366&amp;VLOOKUP(U366,KEY_FUELS!$C$4:$D$78,2,FALSE)</f>
        <v>RSDELC</v>
      </c>
      <c r="AI366" s="379" t="str">
        <f>IFERROR(AC366&amp;VLOOKUP(V366,KEY_FUELS!$C$4:$D$78,2,FALSE),"")</f>
        <v>RSDAHT</v>
      </c>
      <c r="AJ366" s="379" t="str">
        <f t="shared" si="105"/>
        <v>RHAP</v>
      </c>
      <c r="AK366" s="379" t="str">
        <f t="shared" si="98"/>
        <v/>
      </c>
      <c r="AL366" s="379" t="str">
        <f t="shared" si="99"/>
        <v/>
      </c>
      <c r="AM366" s="380">
        <v>31.536000000000001</v>
      </c>
      <c r="AN366" s="427">
        <v>2030</v>
      </c>
      <c r="AO366" s="470"/>
      <c r="AP366" s="429"/>
      <c r="AQ366" s="467"/>
      <c r="AR366" s="429"/>
      <c r="AS366" s="429"/>
      <c r="AT366" s="429"/>
      <c r="AU366" s="467"/>
      <c r="AV366" s="467"/>
      <c r="AW366" s="467"/>
      <c r="AX366" s="429"/>
      <c r="AY366" s="427">
        <v>5.0999999999999996</v>
      </c>
      <c r="AZ366" s="467">
        <v>5.0999999999999996</v>
      </c>
      <c r="BA366" s="429"/>
      <c r="BB366" s="429"/>
      <c r="BC366" s="427"/>
      <c r="BD366" s="429"/>
      <c r="BE366" s="429"/>
      <c r="BF366" s="427"/>
      <c r="BG366" s="427"/>
      <c r="BH366" s="427"/>
      <c r="BI366" s="427">
        <v>20</v>
      </c>
      <c r="BJ366" s="427"/>
      <c r="BK366" s="428">
        <v>238</v>
      </c>
      <c r="BL366" s="427"/>
      <c r="BM366" s="427"/>
      <c r="BN366" s="427"/>
      <c r="BO366" s="427"/>
      <c r="BP366" s="427"/>
      <c r="BQ366" s="427"/>
      <c r="BR366" s="429">
        <v>3.1627906976744184</v>
      </c>
      <c r="BS366" s="427"/>
      <c r="BT366" s="427"/>
      <c r="BU366" s="427"/>
      <c r="BV366" s="427"/>
      <c r="BW366" s="427"/>
      <c r="BX366" s="471"/>
    </row>
    <row r="367" spans="10:76" x14ac:dyDescent="0.3">
      <c r="J367" s="362" t="s">
        <v>238</v>
      </c>
      <c r="K367" s="363" t="s">
        <v>135</v>
      </c>
      <c r="L367" s="363"/>
      <c r="M367" s="363" t="s">
        <v>239</v>
      </c>
      <c r="N367" s="363" t="s">
        <v>240</v>
      </c>
      <c r="O367" s="363" t="s">
        <v>136</v>
      </c>
      <c r="P367" s="363">
        <v>2018</v>
      </c>
      <c r="Q367" s="432" t="s">
        <v>245</v>
      </c>
      <c r="R367" s="433" t="s">
        <v>303</v>
      </c>
      <c r="S367" s="439"/>
      <c r="T367" s="439"/>
      <c r="U367" s="363" t="s">
        <v>189</v>
      </c>
      <c r="V367" s="363" t="s">
        <v>190</v>
      </c>
      <c r="W367" s="363" t="s">
        <v>243</v>
      </c>
      <c r="X367" s="363">
        <v>2019</v>
      </c>
      <c r="Y367" s="439"/>
      <c r="Z367" s="363" t="str">
        <f>VLOOKUP(R367,KEY_Processes!$C$55:$E$130,3,FALSE)</f>
        <v>HC_AHPS_ELC01</v>
      </c>
      <c r="AA367" s="363" t="str">
        <f>VLOOKUP(R367,KEY_Processes!$C$55:$E$130,2,FALSE)</f>
        <v>HC_AirHeatPump_ELC_SMALL</v>
      </c>
      <c r="AB367" s="363" t="str">
        <f>VLOOKUP(U367,KEY_FUELS!$C$4:$D$77,2,FALSE)</f>
        <v>ELC</v>
      </c>
      <c r="AC367" s="363" t="s">
        <v>150</v>
      </c>
      <c r="AD367" s="363" t="s">
        <v>244</v>
      </c>
      <c r="AE367" s="363" t="s">
        <v>152</v>
      </c>
      <c r="AF367" s="366" t="str">
        <f>VLOOKUP(W367,KEY_Other!$B$37:$C$89,2,FALSE)</f>
        <v>EUR</v>
      </c>
      <c r="AG367" s="439"/>
      <c r="AH367" s="363" t="str">
        <f>AC367&amp;VLOOKUP(U367,KEY_FUELS!$C$4:$D$78,2,FALSE)</f>
        <v>RSDELC</v>
      </c>
      <c r="AI367" s="363" t="str">
        <f>IFERROR(AC367&amp;VLOOKUP(V367,KEY_FUELS!$C$4:$D$78,2,FALSE),"")</f>
        <v>RSDAHT</v>
      </c>
      <c r="AJ367" s="363" t="str">
        <f t="shared" si="105"/>
        <v>RHAP</v>
      </c>
      <c r="AK367" s="363" t="str">
        <f t="shared" si="98"/>
        <v>RCAP</v>
      </c>
      <c r="AL367" s="363" t="str">
        <f t="shared" si="99"/>
        <v/>
      </c>
      <c r="AM367" s="364">
        <v>31.536000000000001</v>
      </c>
      <c r="AN367" s="439">
        <v>2019</v>
      </c>
      <c r="AO367" s="441">
        <v>0.74805194805194797</v>
      </c>
      <c r="AP367" s="441"/>
      <c r="AQ367" s="445"/>
      <c r="AR367" s="441"/>
      <c r="AS367" s="441"/>
      <c r="AT367" s="436" t="s">
        <v>161</v>
      </c>
      <c r="AU367" s="445">
        <v>0.79</v>
      </c>
      <c r="AV367" s="445"/>
      <c r="AW367" s="445"/>
      <c r="AX367" s="441"/>
      <c r="AY367" s="439">
        <v>3.85</v>
      </c>
      <c r="AZ367" s="445">
        <v>3.85</v>
      </c>
      <c r="BA367" s="441"/>
      <c r="BB367" s="441"/>
      <c r="BC367" s="439"/>
      <c r="BD367" s="441"/>
      <c r="BE367" s="441"/>
      <c r="BF367" s="439"/>
      <c r="BG367" s="439"/>
      <c r="BH367" s="439"/>
      <c r="BI367" s="439">
        <v>20</v>
      </c>
      <c r="BJ367" s="439"/>
      <c r="BK367" s="440">
        <v>248</v>
      </c>
      <c r="BL367" s="439"/>
      <c r="BM367" s="439"/>
      <c r="BN367" s="439"/>
      <c r="BO367" s="439"/>
      <c r="BP367" s="439"/>
      <c r="BQ367" s="439"/>
      <c r="BR367" s="441">
        <v>3.1627906976744184</v>
      </c>
      <c r="BS367" s="439"/>
      <c r="BT367" s="439"/>
      <c r="BU367" s="439"/>
      <c r="BV367" s="439"/>
      <c r="BW367" s="439"/>
      <c r="BX367" s="469"/>
    </row>
    <row r="368" spans="10:76" x14ac:dyDescent="0.3">
      <c r="J368" s="378" t="s">
        <v>238</v>
      </c>
      <c r="K368" s="379" t="s">
        <v>135</v>
      </c>
      <c r="L368" s="379"/>
      <c r="M368" s="379" t="s">
        <v>239</v>
      </c>
      <c r="N368" s="379" t="s">
        <v>240</v>
      </c>
      <c r="O368" s="379" t="s">
        <v>136</v>
      </c>
      <c r="P368" s="379">
        <v>2018</v>
      </c>
      <c r="Q368" s="420" t="s">
        <v>245</v>
      </c>
      <c r="R368" s="421" t="s">
        <v>303</v>
      </c>
      <c r="S368" s="427"/>
      <c r="T368" s="427"/>
      <c r="U368" s="379" t="s">
        <v>189</v>
      </c>
      <c r="V368" s="379" t="s">
        <v>190</v>
      </c>
      <c r="W368" s="379" t="s">
        <v>243</v>
      </c>
      <c r="X368" s="379">
        <v>2019</v>
      </c>
      <c r="Y368" s="427"/>
      <c r="Z368" s="379" t="str">
        <f>VLOOKUP(R368,KEY_Processes!$C$55:$E$130,3,FALSE)</f>
        <v>HC_AHPS_ELC01</v>
      </c>
      <c r="AA368" s="379" t="str">
        <f>VLOOKUP(R368,KEY_Processes!$C$55:$E$130,2,FALSE)</f>
        <v>HC_AirHeatPump_ELC_SMALL</v>
      </c>
      <c r="AB368" s="379" t="str">
        <f>VLOOKUP(U368,KEY_FUELS!$C$4:$D$77,2,FALSE)</f>
        <v>ELC</v>
      </c>
      <c r="AC368" s="379" t="s">
        <v>150</v>
      </c>
      <c r="AD368" s="379" t="s">
        <v>244</v>
      </c>
      <c r="AE368" s="379" t="s">
        <v>152</v>
      </c>
      <c r="AF368" s="382" t="str">
        <f>VLOOKUP(W368,KEY_Other!$B$37:$C$89,2,FALSE)</f>
        <v>EUR</v>
      </c>
      <c r="AG368" s="427"/>
      <c r="AH368" s="379" t="str">
        <f>AC368&amp;VLOOKUP(U368,KEY_FUELS!$C$4:$D$78,2,FALSE)</f>
        <v>RSDELC</v>
      </c>
      <c r="AI368" s="379" t="str">
        <f>IFERROR(AC368&amp;VLOOKUP(V368,KEY_FUELS!$C$4:$D$78,2,FALSE),"")</f>
        <v>RSDAHT</v>
      </c>
      <c r="AJ368" s="379" t="str">
        <f t="shared" ref="AJ368:AJ370" si="106">LEFT(AC368,1)&amp;LEFT(AA368,1)&amp;AD368</f>
        <v>RHAP</v>
      </c>
      <c r="AK368" s="379" t="str">
        <f t="shared" si="98"/>
        <v>RCAP</v>
      </c>
      <c r="AL368" s="379" t="str">
        <f t="shared" si="99"/>
        <v/>
      </c>
      <c r="AM368" s="380">
        <v>31.536000000000001</v>
      </c>
      <c r="AN368" s="427">
        <v>2019</v>
      </c>
      <c r="AO368" s="429">
        <v>0.74805194805194797</v>
      </c>
      <c r="AP368" s="429"/>
      <c r="AQ368" s="467"/>
      <c r="AR368" s="429"/>
      <c r="AS368" s="429"/>
      <c r="AT368" s="424" t="s">
        <v>248</v>
      </c>
      <c r="AU368" s="467">
        <v>0.8</v>
      </c>
      <c r="AV368" s="467"/>
      <c r="AW368" s="467"/>
      <c r="AX368" s="429"/>
      <c r="AY368" s="427">
        <v>3.85</v>
      </c>
      <c r="AZ368" s="467">
        <v>3.85</v>
      </c>
      <c r="BA368" s="429"/>
      <c r="BB368" s="429"/>
      <c r="BC368" s="427"/>
      <c r="BD368" s="429"/>
      <c r="BE368" s="429"/>
      <c r="BF368" s="427"/>
      <c r="BG368" s="427"/>
      <c r="BH368" s="427"/>
      <c r="BI368" s="427">
        <v>20</v>
      </c>
      <c r="BJ368" s="427"/>
      <c r="BK368" s="428">
        <v>248</v>
      </c>
      <c r="BL368" s="427"/>
      <c r="BM368" s="427"/>
      <c r="BN368" s="427"/>
      <c r="BO368" s="427"/>
      <c r="BP368" s="427"/>
      <c r="BQ368" s="427"/>
      <c r="BR368" s="429">
        <v>3.1627906976744184</v>
      </c>
      <c r="BS368" s="427"/>
      <c r="BT368" s="427"/>
      <c r="BU368" s="427"/>
      <c r="BV368" s="427"/>
      <c r="BW368" s="427"/>
      <c r="BX368" s="471"/>
    </row>
    <row r="369" spans="10:76" x14ac:dyDescent="0.3">
      <c r="J369" s="362" t="s">
        <v>238</v>
      </c>
      <c r="K369" s="363" t="s">
        <v>135</v>
      </c>
      <c r="L369" s="363"/>
      <c r="M369" s="363" t="s">
        <v>239</v>
      </c>
      <c r="N369" s="363" t="s">
        <v>240</v>
      </c>
      <c r="O369" s="363" t="s">
        <v>136</v>
      </c>
      <c r="P369" s="363">
        <v>2018</v>
      </c>
      <c r="Q369" s="432" t="s">
        <v>245</v>
      </c>
      <c r="R369" s="433" t="s">
        <v>303</v>
      </c>
      <c r="S369" s="439"/>
      <c r="T369" s="439"/>
      <c r="U369" s="363" t="s">
        <v>189</v>
      </c>
      <c r="V369" s="363" t="s">
        <v>190</v>
      </c>
      <c r="W369" s="363" t="s">
        <v>243</v>
      </c>
      <c r="X369" s="363">
        <v>2019</v>
      </c>
      <c r="Y369" s="439"/>
      <c r="Z369" s="363" t="str">
        <f>VLOOKUP(R369,KEY_Processes!$C$55:$E$130,3,FALSE)</f>
        <v>HC_AHPS_ELC01</v>
      </c>
      <c r="AA369" s="363" t="str">
        <f>VLOOKUP(R369,KEY_Processes!$C$55:$E$130,2,FALSE)</f>
        <v>HC_AirHeatPump_ELC_SMALL</v>
      </c>
      <c r="AB369" s="363" t="str">
        <f>VLOOKUP(U369,KEY_FUELS!$C$4:$D$77,2,FALSE)</f>
        <v>ELC</v>
      </c>
      <c r="AC369" s="363" t="s">
        <v>150</v>
      </c>
      <c r="AD369" s="363" t="s">
        <v>244</v>
      </c>
      <c r="AE369" s="363" t="s">
        <v>152</v>
      </c>
      <c r="AF369" s="366" t="str">
        <f>VLOOKUP(W369,KEY_Other!$B$37:$C$89,2,FALSE)</f>
        <v>EUR</v>
      </c>
      <c r="AG369" s="439"/>
      <c r="AH369" s="363" t="str">
        <f>AC369&amp;VLOOKUP(U369,KEY_FUELS!$C$4:$D$78,2,FALSE)</f>
        <v>RSDELC</v>
      </c>
      <c r="AI369" s="363" t="str">
        <f>IFERROR(AC369&amp;VLOOKUP(V369,KEY_FUELS!$C$4:$D$78,2,FALSE),"")</f>
        <v>RSDAHT</v>
      </c>
      <c r="AJ369" s="363" t="str">
        <f t="shared" si="106"/>
        <v>RHAP</v>
      </c>
      <c r="AK369" s="363" t="str">
        <f t="shared" si="98"/>
        <v>RCAP</v>
      </c>
      <c r="AL369" s="363" t="str">
        <f t="shared" si="99"/>
        <v/>
      </c>
      <c r="AM369" s="364">
        <v>31.536000000000001</v>
      </c>
      <c r="AN369" s="439">
        <v>2019</v>
      </c>
      <c r="AO369" s="441">
        <v>0.74805194805194797</v>
      </c>
      <c r="AP369" s="441"/>
      <c r="AQ369" s="445"/>
      <c r="AR369" s="441"/>
      <c r="AS369" s="441"/>
      <c r="AT369" s="436" t="s">
        <v>158</v>
      </c>
      <c r="AU369" s="445">
        <v>0.79</v>
      </c>
      <c r="AV369" s="445"/>
      <c r="AW369" s="445"/>
      <c r="AX369" s="441"/>
      <c r="AY369" s="439">
        <v>3.85</v>
      </c>
      <c r="AZ369" s="445">
        <v>3.85</v>
      </c>
      <c r="BA369" s="441"/>
      <c r="BB369" s="441"/>
      <c r="BC369" s="439"/>
      <c r="BD369" s="441"/>
      <c r="BE369" s="441"/>
      <c r="BF369" s="439"/>
      <c r="BG369" s="439"/>
      <c r="BH369" s="439"/>
      <c r="BI369" s="439">
        <v>20</v>
      </c>
      <c r="BJ369" s="439"/>
      <c r="BK369" s="440">
        <v>248</v>
      </c>
      <c r="BL369" s="439"/>
      <c r="BM369" s="439"/>
      <c r="BN369" s="439"/>
      <c r="BO369" s="439"/>
      <c r="BP369" s="439"/>
      <c r="BQ369" s="439"/>
      <c r="BR369" s="441">
        <v>3.1627906976744184</v>
      </c>
      <c r="BS369" s="439"/>
      <c r="BT369" s="439"/>
      <c r="BU369" s="439"/>
      <c r="BV369" s="439"/>
      <c r="BW369" s="439"/>
      <c r="BX369" s="469"/>
    </row>
    <row r="370" spans="10:76" x14ac:dyDescent="0.3">
      <c r="J370" s="378" t="s">
        <v>238</v>
      </c>
      <c r="K370" s="379" t="s">
        <v>135</v>
      </c>
      <c r="L370" s="379"/>
      <c r="M370" s="379" t="s">
        <v>239</v>
      </c>
      <c r="N370" s="379" t="s">
        <v>240</v>
      </c>
      <c r="O370" s="379" t="s">
        <v>136</v>
      </c>
      <c r="P370" s="379">
        <v>2018</v>
      </c>
      <c r="Q370" s="420" t="s">
        <v>245</v>
      </c>
      <c r="R370" s="421" t="s">
        <v>303</v>
      </c>
      <c r="S370" s="427"/>
      <c r="T370" s="427"/>
      <c r="U370" s="379" t="s">
        <v>189</v>
      </c>
      <c r="V370" s="379" t="s">
        <v>190</v>
      </c>
      <c r="W370" s="379" t="s">
        <v>243</v>
      </c>
      <c r="X370" s="379">
        <v>2019</v>
      </c>
      <c r="Y370" s="427"/>
      <c r="Z370" s="379" t="str">
        <f>VLOOKUP(R370,KEY_Processes!$C$55:$E$130,3,FALSE)</f>
        <v>HC_AHPS_ELC01</v>
      </c>
      <c r="AA370" s="379" t="str">
        <f>VLOOKUP(R370,KEY_Processes!$C$55:$E$130,2,FALSE)</f>
        <v>HC_AirHeatPump_ELC_SMALL</v>
      </c>
      <c r="AB370" s="379" t="str">
        <f>VLOOKUP(U370,KEY_FUELS!$C$4:$D$77,2,FALSE)</f>
        <v>ELC</v>
      </c>
      <c r="AC370" s="379" t="s">
        <v>150</v>
      </c>
      <c r="AD370" s="379" t="s">
        <v>244</v>
      </c>
      <c r="AE370" s="379" t="s">
        <v>152</v>
      </c>
      <c r="AF370" s="382" t="str">
        <f>VLOOKUP(W370,KEY_Other!$B$37:$C$89,2,FALSE)</f>
        <v>EUR</v>
      </c>
      <c r="AG370" s="427"/>
      <c r="AH370" s="379" t="str">
        <f>AC370&amp;VLOOKUP(U370,KEY_FUELS!$C$4:$D$78,2,FALSE)</f>
        <v>RSDELC</v>
      </c>
      <c r="AI370" s="379" t="str">
        <f>IFERROR(AC370&amp;VLOOKUP(V370,KEY_FUELS!$C$4:$D$78,2,FALSE),"")</f>
        <v>RSDAHT</v>
      </c>
      <c r="AJ370" s="379" t="str">
        <f t="shared" si="106"/>
        <v>RHAP</v>
      </c>
      <c r="AK370" s="379" t="str">
        <f t="shared" si="98"/>
        <v>RCAP</v>
      </c>
      <c r="AL370" s="379" t="str">
        <f t="shared" si="99"/>
        <v/>
      </c>
      <c r="AM370" s="380">
        <v>31.536000000000001</v>
      </c>
      <c r="AN370" s="427">
        <v>2019</v>
      </c>
      <c r="AO370" s="429">
        <v>0.74805194805194797</v>
      </c>
      <c r="AP370" s="429"/>
      <c r="AQ370" s="467"/>
      <c r="AR370" s="429"/>
      <c r="AS370" s="429"/>
      <c r="AT370" s="424" t="s">
        <v>249</v>
      </c>
      <c r="AU370" s="467">
        <v>0.8</v>
      </c>
      <c r="AV370" s="467"/>
      <c r="AW370" s="467"/>
      <c r="AX370" s="429"/>
      <c r="AY370" s="427">
        <v>3.85</v>
      </c>
      <c r="AZ370" s="467">
        <v>3.85</v>
      </c>
      <c r="BA370" s="429"/>
      <c r="BB370" s="429"/>
      <c r="BC370" s="427"/>
      <c r="BD370" s="429"/>
      <c r="BE370" s="429"/>
      <c r="BF370" s="427"/>
      <c r="BG370" s="427"/>
      <c r="BH370" s="427"/>
      <c r="BI370" s="427">
        <v>20</v>
      </c>
      <c r="BJ370" s="427"/>
      <c r="BK370" s="428">
        <v>248</v>
      </c>
      <c r="BL370" s="427"/>
      <c r="BM370" s="427"/>
      <c r="BN370" s="427"/>
      <c r="BO370" s="427"/>
      <c r="BP370" s="427"/>
      <c r="BQ370" s="427"/>
      <c r="BR370" s="429">
        <v>3.1627906976744184</v>
      </c>
      <c r="BS370" s="427"/>
      <c r="BT370" s="427"/>
      <c r="BU370" s="427"/>
      <c r="BV370" s="427"/>
      <c r="BW370" s="427"/>
      <c r="BX370" s="471"/>
    </row>
    <row r="371" spans="10:76" x14ac:dyDescent="0.3">
      <c r="J371" s="362" t="s">
        <v>238</v>
      </c>
      <c r="K371" s="363" t="s">
        <v>135</v>
      </c>
      <c r="L371" s="363"/>
      <c r="M371" s="363" t="s">
        <v>239</v>
      </c>
      <c r="N371" s="363" t="s">
        <v>240</v>
      </c>
      <c r="O371" s="363" t="s">
        <v>136</v>
      </c>
      <c r="P371" s="363">
        <v>2018</v>
      </c>
      <c r="Q371" s="432" t="s">
        <v>245</v>
      </c>
      <c r="R371" s="433" t="s">
        <v>303</v>
      </c>
      <c r="S371" s="439"/>
      <c r="T371" s="439"/>
      <c r="U371" s="363" t="s">
        <v>189</v>
      </c>
      <c r="V371" s="363" t="s">
        <v>190</v>
      </c>
      <c r="W371" s="363" t="s">
        <v>243</v>
      </c>
      <c r="X371" s="363">
        <v>2030</v>
      </c>
      <c r="Y371" s="439"/>
      <c r="Z371" s="363" t="str">
        <f>VLOOKUP(R371,KEY_Processes!$C$55:$E$130,3,FALSE)</f>
        <v>HC_AHPS_ELC01</v>
      </c>
      <c r="AA371" s="363" t="str">
        <f>VLOOKUP(R371,KEY_Processes!$C$55:$E$130,2,FALSE)</f>
        <v>HC_AirHeatPump_ELC_SMALL</v>
      </c>
      <c r="AB371" s="363" t="str">
        <f>VLOOKUP(U371,KEY_FUELS!$C$4:$D$77,2,FALSE)</f>
        <v>ELC</v>
      </c>
      <c r="AC371" s="363" t="s">
        <v>150</v>
      </c>
      <c r="AD371" s="363" t="s">
        <v>244</v>
      </c>
      <c r="AE371" s="363" t="s">
        <v>152</v>
      </c>
      <c r="AF371" s="366" t="str">
        <f>VLOOKUP(W371,KEY_Other!$B$37:$C$89,2,FALSE)</f>
        <v>EUR</v>
      </c>
      <c r="AG371" s="439"/>
      <c r="AH371" s="363" t="str">
        <f>AC371&amp;VLOOKUP(U371,KEY_FUELS!$C$4:$D$78,2,FALSE)</f>
        <v>RSDELC</v>
      </c>
      <c r="AI371" s="363" t="str">
        <f>IFERROR(AC371&amp;VLOOKUP(V371,KEY_FUELS!$C$4:$D$78,2,FALSE),"")</f>
        <v>RSDAHT</v>
      </c>
      <c r="AJ371" s="363" t="str">
        <f t="shared" si="105"/>
        <v>RHAP</v>
      </c>
      <c r="AK371" s="363" t="str">
        <f t="shared" si="98"/>
        <v>RCAP</v>
      </c>
      <c r="AL371" s="363" t="str">
        <f t="shared" si="99"/>
        <v/>
      </c>
      <c r="AM371" s="364">
        <v>31.536000000000001</v>
      </c>
      <c r="AN371" s="439">
        <v>2030</v>
      </c>
      <c r="AO371" s="468"/>
      <c r="AP371" s="441"/>
      <c r="AQ371" s="445"/>
      <c r="AR371" s="441"/>
      <c r="AS371" s="441"/>
      <c r="AT371" s="441"/>
      <c r="AU371" s="445"/>
      <c r="AV371" s="445"/>
      <c r="AW371" s="445"/>
      <c r="AX371" s="441"/>
      <c r="AY371" s="439">
        <v>4.0999999999999996</v>
      </c>
      <c r="AZ371" s="445">
        <v>4.0999999999999996</v>
      </c>
      <c r="BA371" s="441"/>
      <c r="BB371" s="441"/>
      <c r="BC371" s="439"/>
      <c r="BD371" s="441"/>
      <c r="BE371" s="441"/>
      <c r="BF371" s="439"/>
      <c r="BG371" s="439"/>
      <c r="BH371" s="439"/>
      <c r="BI371" s="439">
        <v>20</v>
      </c>
      <c r="BJ371" s="439"/>
      <c r="BK371" s="440">
        <v>342</v>
      </c>
      <c r="BL371" s="439"/>
      <c r="BM371" s="439"/>
      <c r="BN371" s="439"/>
      <c r="BO371" s="439"/>
      <c r="BP371" s="439"/>
      <c r="BQ371" s="439"/>
      <c r="BR371" s="441">
        <v>3.1627906976744184</v>
      </c>
      <c r="BS371" s="439"/>
      <c r="BT371" s="439"/>
      <c r="BU371" s="439"/>
      <c r="BV371" s="439"/>
      <c r="BW371" s="439"/>
      <c r="BX371" s="469"/>
    </row>
    <row r="372" spans="10:76" x14ac:dyDescent="0.3">
      <c r="J372" s="378" t="s">
        <v>238</v>
      </c>
      <c r="K372" s="379" t="s">
        <v>135</v>
      </c>
      <c r="L372" s="379"/>
      <c r="M372" s="379" t="s">
        <v>239</v>
      </c>
      <c r="N372" s="379" t="s">
        <v>240</v>
      </c>
      <c r="O372" s="379" t="s">
        <v>136</v>
      </c>
      <c r="P372" s="379">
        <v>2018</v>
      </c>
      <c r="Q372" s="420" t="s">
        <v>304</v>
      </c>
      <c r="R372" s="421" t="s">
        <v>305</v>
      </c>
      <c r="S372" s="427"/>
      <c r="T372" s="427"/>
      <c r="U372" s="379" t="s">
        <v>189</v>
      </c>
      <c r="V372" s="379"/>
      <c r="W372" s="379" t="s">
        <v>243</v>
      </c>
      <c r="X372" s="379">
        <v>2019</v>
      </c>
      <c r="Y372" s="427"/>
      <c r="Z372" s="379" t="str">
        <f>VLOOKUP(R372,KEY_Processes!$C$55:$E$130,3,FALSE)</f>
        <v>H_BS_ELC01</v>
      </c>
      <c r="AA372" s="379" t="str">
        <f>VLOOKUP(R372,KEY_Processes!$C$55:$E$130,2,FALSE)</f>
        <v>H_ElectricBoiler_ELC_SMALL</v>
      </c>
      <c r="AB372" s="379" t="str">
        <f>VLOOKUP(U372,KEY_FUELS!$C$4:$D$77,2,FALSE)</f>
        <v>ELC</v>
      </c>
      <c r="AC372" s="379" t="s">
        <v>150</v>
      </c>
      <c r="AD372" s="379" t="s">
        <v>244</v>
      </c>
      <c r="AE372" s="379" t="s">
        <v>152</v>
      </c>
      <c r="AF372" s="382" t="str">
        <f>VLOOKUP(W372,KEY_Other!$B$37:$C$89,2,FALSE)</f>
        <v>EUR</v>
      </c>
      <c r="AG372" s="427"/>
      <c r="AH372" s="379" t="str">
        <f>AC372&amp;VLOOKUP(U372,KEY_FUELS!$C$4:$D$78,2,FALSE)</f>
        <v>RSDELC</v>
      </c>
      <c r="AI372" s="379" t="str">
        <f>IFERROR(AC372&amp;VLOOKUP(V372,KEY_FUELS!$C$4:$D$78,2,FALSE),"")</f>
        <v/>
      </c>
      <c r="AJ372" s="379" t="str">
        <f t="shared" si="105"/>
        <v>RHAP</v>
      </c>
      <c r="AK372" s="379" t="str">
        <f t="shared" ref="AK372:AK430" si="107">IF(FIND("_",Z372)=3,LEFT(AC372,1)&amp;MID(Z372,2,1)&amp;AD372,IF(FIND("_",Z372)=3,LEFT(AC372,1)&amp;MID(Z372,2,1)&amp;AD372,""))</f>
        <v/>
      </c>
      <c r="AL372" s="379" t="str">
        <f t="shared" ref="AL372:AL430" si="108">IF(FIND("_",Z372)=4,LEFT(AC372,1)&amp;MID(Z372,3,1)&amp;AD372,"")</f>
        <v/>
      </c>
      <c r="AM372" s="380">
        <v>31.536000000000001</v>
      </c>
      <c r="AN372" s="427">
        <v>2019</v>
      </c>
      <c r="AO372" s="470"/>
      <c r="AP372" s="429"/>
      <c r="AQ372" s="467"/>
      <c r="AR372" s="429"/>
      <c r="AS372" s="429"/>
      <c r="AT372" s="429"/>
      <c r="AU372" s="467"/>
      <c r="AV372" s="467"/>
      <c r="AW372" s="467"/>
      <c r="AX372" s="429"/>
      <c r="AY372" s="427"/>
      <c r="AZ372" s="467">
        <v>0.93</v>
      </c>
      <c r="BA372" s="429"/>
      <c r="BB372" s="429"/>
      <c r="BC372" s="427"/>
      <c r="BD372" s="429"/>
      <c r="BE372" s="429"/>
      <c r="BF372" s="427"/>
      <c r="BG372" s="427"/>
      <c r="BH372" s="427"/>
      <c r="BI372" s="427">
        <v>25</v>
      </c>
      <c r="BJ372" s="427"/>
      <c r="BK372" s="428">
        <v>35</v>
      </c>
      <c r="BL372" s="427"/>
      <c r="BM372" s="427"/>
      <c r="BN372" s="427"/>
      <c r="BO372" s="427"/>
      <c r="BP372" s="427"/>
      <c r="BQ372" s="427"/>
      <c r="BR372" s="429">
        <v>1.71</v>
      </c>
      <c r="BS372" s="427"/>
      <c r="BT372" s="427"/>
      <c r="BU372" s="427"/>
      <c r="BV372" s="427"/>
      <c r="BW372" s="427"/>
      <c r="BX372" s="471"/>
    </row>
    <row r="373" spans="10:76" x14ac:dyDescent="0.3">
      <c r="J373" s="362" t="s">
        <v>238</v>
      </c>
      <c r="K373" s="363" t="s">
        <v>135</v>
      </c>
      <c r="L373" s="363"/>
      <c r="M373" s="363" t="s">
        <v>239</v>
      </c>
      <c r="N373" s="363" t="s">
        <v>240</v>
      </c>
      <c r="O373" s="363" t="s">
        <v>136</v>
      </c>
      <c r="P373" s="363">
        <v>2018</v>
      </c>
      <c r="Q373" s="432" t="s">
        <v>304</v>
      </c>
      <c r="R373" s="433" t="s">
        <v>305</v>
      </c>
      <c r="S373" s="439"/>
      <c r="T373" s="439"/>
      <c r="U373" s="363" t="s">
        <v>189</v>
      </c>
      <c r="V373" s="363"/>
      <c r="W373" s="363" t="s">
        <v>243</v>
      </c>
      <c r="X373" s="363">
        <v>2030</v>
      </c>
      <c r="Y373" s="439"/>
      <c r="Z373" s="363" t="str">
        <f>VLOOKUP(R373,KEY_Processes!$C$55:$E$130,3,FALSE)</f>
        <v>H_BS_ELC01</v>
      </c>
      <c r="AA373" s="363" t="str">
        <f>VLOOKUP(R373,KEY_Processes!$C$55:$E$130,2,FALSE)</f>
        <v>H_ElectricBoiler_ELC_SMALL</v>
      </c>
      <c r="AB373" s="363" t="str">
        <f>VLOOKUP(U373,KEY_FUELS!$C$4:$D$77,2,FALSE)</f>
        <v>ELC</v>
      </c>
      <c r="AC373" s="363" t="s">
        <v>150</v>
      </c>
      <c r="AD373" s="363" t="s">
        <v>244</v>
      </c>
      <c r="AE373" s="363" t="s">
        <v>152</v>
      </c>
      <c r="AF373" s="366" t="str">
        <f>VLOOKUP(W373,KEY_Other!$B$37:$C$89,2,FALSE)</f>
        <v>EUR</v>
      </c>
      <c r="AG373" s="439"/>
      <c r="AH373" s="363" t="str">
        <f>AC373&amp;VLOOKUP(U373,KEY_FUELS!$C$4:$D$78,2,FALSE)</f>
        <v>RSDELC</v>
      </c>
      <c r="AI373" s="363" t="str">
        <f>IFERROR(AC373&amp;VLOOKUP(V373,KEY_FUELS!$C$4:$D$78,2,FALSE),"")</f>
        <v/>
      </c>
      <c r="AJ373" s="363" t="str">
        <f t="shared" si="105"/>
        <v>RHAP</v>
      </c>
      <c r="AK373" s="363" t="str">
        <f t="shared" si="107"/>
        <v/>
      </c>
      <c r="AL373" s="363" t="str">
        <f t="shared" si="108"/>
        <v/>
      </c>
      <c r="AM373" s="364">
        <v>31.536000000000001</v>
      </c>
      <c r="AN373" s="439">
        <v>2030</v>
      </c>
      <c r="AO373" s="468"/>
      <c r="AP373" s="441"/>
      <c r="AQ373" s="445"/>
      <c r="AR373" s="441"/>
      <c r="AS373" s="441"/>
      <c r="AT373" s="441"/>
      <c r="AU373" s="445"/>
      <c r="AV373" s="445"/>
      <c r="AW373" s="445"/>
      <c r="AX373" s="441"/>
      <c r="AY373" s="439"/>
      <c r="AZ373" s="445">
        <v>0.96</v>
      </c>
      <c r="BA373" s="441"/>
      <c r="BB373" s="441"/>
      <c r="BC373" s="439"/>
      <c r="BD373" s="441"/>
      <c r="BE373" s="441"/>
      <c r="BF373" s="439"/>
      <c r="BG373" s="439"/>
      <c r="BH373" s="439"/>
      <c r="BI373" s="439">
        <v>25</v>
      </c>
      <c r="BJ373" s="439"/>
      <c r="BK373" s="440">
        <v>53</v>
      </c>
      <c r="BL373" s="439"/>
      <c r="BM373" s="439"/>
      <c r="BN373" s="439"/>
      <c r="BO373" s="439"/>
      <c r="BP373" s="439"/>
      <c r="BQ373" s="439"/>
      <c r="BR373" s="441">
        <v>1.71</v>
      </c>
      <c r="BS373" s="439"/>
      <c r="BT373" s="439"/>
      <c r="BU373" s="439"/>
      <c r="BV373" s="439"/>
      <c r="BW373" s="439"/>
      <c r="BX373" s="469"/>
    </row>
    <row r="374" spans="10:76" x14ac:dyDescent="0.3">
      <c r="J374" s="378" t="s">
        <v>238</v>
      </c>
      <c r="K374" s="379" t="s">
        <v>135</v>
      </c>
      <c r="L374" s="379"/>
      <c r="M374" s="379" t="s">
        <v>239</v>
      </c>
      <c r="N374" s="379" t="s">
        <v>240</v>
      </c>
      <c r="O374" s="379" t="s">
        <v>136</v>
      </c>
      <c r="P374" s="379">
        <v>2018</v>
      </c>
      <c r="Q374" s="420" t="s">
        <v>306</v>
      </c>
      <c r="R374" s="421" t="s">
        <v>307</v>
      </c>
      <c r="S374" s="427"/>
      <c r="T374" s="427"/>
      <c r="U374" s="379" t="s">
        <v>189</v>
      </c>
      <c r="V374" s="379"/>
      <c r="W374" s="379" t="s">
        <v>243</v>
      </c>
      <c r="X374" s="379">
        <v>2019</v>
      </c>
      <c r="Y374" s="427"/>
      <c r="Z374" s="379" t="str">
        <f>VLOOKUP(R374,KEY_Processes!$C$55:$E$130,3,FALSE)</f>
        <v>HW_BS_ELC01</v>
      </c>
      <c r="AA374" s="379" t="str">
        <f>VLOOKUP(R374,KEY_Processes!$C$55:$E$130,2,FALSE)</f>
        <v>HW_Electricboiler_ELC_SMALL</v>
      </c>
      <c r="AB374" s="379" t="str">
        <f>VLOOKUP(U374,KEY_FUELS!$C$4:$D$77,2,FALSE)</f>
        <v>ELC</v>
      </c>
      <c r="AC374" s="379" t="s">
        <v>150</v>
      </c>
      <c r="AD374" s="379" t="s">
        <v>244</v>
      </c>
      <c r="AE374" s="379" t="s">
        <v>152</v>
      </c>
      <c r="AF374" s="382" t="str">
        <f>VLOOKUP(W374,KEY_Other!$B$37:$C$89,2,FALSE)</f>
        <v>EUR</v>
      </c>
      <c r="AG374" s="427"/>
      <c r="AH374" s="379" t="str">
        <f>AC374&amp;VLOOKUP(U374,KEY_FUELS!$C$4:$D$78,2,FALSE)</f>
        <v>RSDELC</v>
      </c>
      <c r="AI374" s="379" t="str">
        <f>IFERROR(AC374&amp;VLOOKUP(V374,KEY_FUELS!$C$4:$D$78,2,FALSE),"")</f>
        <v/>
      </c>
      <c r="AJ374" s="379" t="str">
        <f t="shared" si="105"/>
        <v>RHAP</v>
      </c>
      <c r="AK374" s="379" t="str">
        <f t="shared" si="107"/>
        <v>RWAP</v>
      </c>
      <c r="AL374" s="379" t="str">
        <f t="shared" si="108"/>
        <v/>
      </c>
      <c r="AM374" s="380">
        <v>31.536000000000001</v>
      </c>
      <c r="AN374" s="427">
        <v>2019</v>
      </c>
      <c r="AO374" s="470">
        <v>1</v>
      </c>
      <c r="AP374" s="429"/>
      <c r="AQ374" s="467"/>
      <c r="AR374" s="429"/>
      <c r="AS374" s="429"/>
      <c r="AT374" s="424" t="s">
        <v>161</v>
      </c>
      <c r="AU374" s="386">
        <v>0.48</v>
      </c>
      <c r="AV374" s="467"/>
      <c r="AW374" s="467"/>
      <c r="AX374" s="429"/>
      <c r="AY374" s="427"/>
      <c r="AZ374" s="467">
        <v>0.93</v>
      </c>
      <c r="BA374" s="429"/>
      <c r="BB374" s="429"/>
      <c r="BC374" s="427"/>
      <c r="BD374" s="429"/>
      <c r="BE374" s="429"/>
      <c r="BF374" s="427"/>
      <c r="BG374" s="427"/>
      <c r="BH374" s="427"/>
      <c r="BI374" s="427">
        <v>25</v>
      </c>
      <c r="BJ374" s="427"/>
      <c r="BK374" s="428">
        <v>35</v>
      </c>
      <c r="BL374" s="427"/>
      <c r="BM374" s="427"/>
      <c r="BN374" s="427"/>
      <c r="BO374" s="427"/>
      <c r="BP374" s="427"/>
      <c r="BQ374" s="427"/>
      <c r="BR374" s="429">
        <v>1.71</v>
      </c>
      <c r="BS374" s="427"/>
      <c r="BT374" s="427"/>
      <c r="BU374" s="427"/>
      <c r="BV374" s="427"/>
      <c r="BW374" s="427"/>
      <c r="BX374" s="471"/>
    </row>
    <row r="375" spans="10:76" x14ac:dyDescent="0.3">
      <c r="J375" s="362" t="s">
        <v>238</v>
      </c>
      <c r="K375" s="363" t="s">
        <v>135</v>
      </c>
      <c r="L375" s="363"/>
      <c r="M375" s="363" t="s">
        <v>239</v>
      </c>
      <c r="N375" s="363" t="s">
        <v>240</v>
      </c>
      <c r="O375" s="363" t="s">
        <v>136</v>
      </c>
      <c r="P375" s="363">
        <v>2018</v>
      </c>
      <c r="Q375" s="432" t="s">
        <v>306</v>
      </c>
      <c r="R375" s="433" t="s">
        <v>307</v>
      </c>
      <c r="S375" s="439"/>
      <c r="T375" s="439"/>
      <c r="U375" s="363" t="s">
        <v>189</v>
      </c>
      <c r="V375" s="363"/>
      <c r="W375" s="363" t="s">
        <v>243</v>
      </c>
      <c r="X375" s="363">
        <v>2019</v>
      </c>
      <c r="Y375" s="439"/>
      <c r="Z375" s="363" t="str">
        <f>VLOOKUP(R375,KEY_Processes!$C$55:$E$130,3,FALSE)</f>
        <v>HW_BS_ELC01</v>
      </c>
      <c r="AA375" s="363" t="str">
        <f>VLOOKUP(R375,KEY_Processes!$C$55:$E$130,2,FALSE)</f>
        <v>HW_Electricboiler_ELC_SMALL</v>
      </c>
      <c r="AB375" s="363" t="str">
        <f>VLOOKUP(U375,KEY_FUELS!$C$4:$D$77,2,FALSE)</f>
        <v>ELC</v>
      </c>
      <c r="AC375" s="363" t="s">
        <v>150</v>
      </c>
      <c r="AD375" s="363" t="s">
        <v>244</v>
      </c>
      <c r="AE375" s="363" t="s">
        <v>152</v>
      </c>
      <c r="AF375" s="366" t="str">
        <f>VLOOKUP(W375,KEY_Other!$B$37:$C$89,2,FALSE)</f>
        <v>EUR</v>
      </c>
      <c r="AG375" s="439"/>
      <c r="AH375" s="363" t="str">
        <f>AC375&amp;VLOOKUP(U375,KEY_FUELS!$C$4:$D$78,2,FALSE)</f>
        <v>RSDELC</v>
      </c>
      <c r="AI375" s="363" t="str">
        <f>IFERROR(AC375&amp;VLOOKUP(V375,KEY_FUELS!$C$4:$D$78,2,FALSE),"")</f>
        <v/>
      </c>
      <c r="AJ375" s="363" t="str">
        <f t="shared" ref="AJ375:AJ377" si="109">LEFT(AC375,1)&amp;LEFT(AA375,1)&amp;AD375</f>
        <v>RHAP</v>
      </c>
      <c r="AK375" s="363" t="str">
        <f t="shared" si="107"/>
        <v>RWAP</v>
      </c>
      <c r="AL375" s="363" t="str">
        <f t="shared" si="108"/>
        <v/>
      </c>
      <c r="AM375" s="364">
        <v>31.536000000000001</v>
      </c>
      <c r="AN375" s="439">
        <v>2019</v>
      </c>
      <c r="AO375" s="468">
        <v>1</v>
      </c>
      <c r="AP375" s="441"/>
      <c r="AQ375" s="445"/>
      <c r="AR375" s="441"/>
      <c r="AS375" s="441"/>
      <c r="AT375" s="436" t="s">
        <v>248</v>
      </c>
      <c r="AU375" s="370">
        <v>0.55000000000000004</v>
      </c>
      <c r="AV375" s="445"/>
      <c r="AW375" s="445"/>
      <c r="AX375" s="441"/>
      <c r="AY375" s="439"/>
      <c r="AZ375" s="445">
        <v>0.93</v>
      </c>
      <c r="BA375" s="441"/>
      <c r="BB375" s="441"/>
      <c r="BC375" s="439"/>
      <c r="BD375" s="441"/>
      <c r="BE375" s="441"/>
      <c r="BF375" s="439"/>
      <c r="BG375" s="439"/>
      <c r="BH375" s="439"/>
      <c r="BI375" s="439">
        <v>25</v>
      </c>
      <c r="BJ375" s="439"/>
      <c r="BK375" s="440">
        <v>35</v>
      </c>
      <c r="BL375" s="439"/>
      <c r="BM375" s="439"/>
      <c r="BN375" s="439"/>
      <c r="BO375" s="439"/>
      <c r="BP375" s="439"/>
      <c r="BQ375" s="439"/>
      <c r="BR375" s="441">
        <v>1.71</v>
      </c>
      <c r="BS375" s="439"/>
      <c r="BT375" s="439"/>
      <c r="BU375" s="439"/>
      <c r="BV375" s="439"/>
      <c r="BW375" s="439"/>
      <c r="BX375" s="469"/>
    </row>
    <row r="376" spans="10:76" x14ac:dyDescent="0.3">
      <c r="J376" s="378" t="s">
        <v>238</v>
      </c>
      <c r="K376" s="379" t="s">
        <v>135</v>
      </c>
      <c r="L376" s="379"/>
      <c r="M376" s="379" t="s">
        <v>239</v>
      </c>
      <c r="N376" s="379" t="s">
        <v>240</v>
      </c>
      <c r="O376" s="379" t="s">
        <v>136</v>
      </c>
      <c r="P376" s="379">
        <v>2018</v>
      </c>
      <c r="Q376" s="420" t="s">
        <v>306</v>
      </c>
      <c r="R376" s="421" t="s">
        <v>307</v>
      </c>
      <c r="S376" s="427"/>
      <c r="T376" s="427"/>
      <c r="U376" s="379" t="s">
        <v>189</v>
      </c>
      <c r="V376" s="379"/>
      <c r="W376" s="379" t="s">
        <v>243</v>
      </c>
      <c r="X376" s="379">
        <v>2019</v>
      </c>
      <c r="Y376" s="427"/>
      <c r="Z376" s="379" t="str">
        <f>VLOOKUP(R376,KEY_Processes!$C$55:$E$130,3,FALSE)</f>
        <v>HW_BS_ELC01</v>
      </c>
      <c r="AA376" s="379" t="str">
        <f>VLOOKUP(R376,KEY_Processes!$C$55:$E$130,2,FALSE)</f>
        <v>HW_Electricboiler_ELC_SMALL</v>
      </c>
      <c r="AB376" s="379" t="str">
        <f>VLOOKUP(U376,KEY_FUELS!$C$4:$D$77,2,FALSE)</f>
        <v>ELC</v>
      </c>
      <c r="AC376" s="379" t="s">
        <v>150</v>
      </c>
      <c r="AD376" s="379" t="s">
        <v>244</v>
      </c>
      <c r="AE376" s="379" t="s">
        <v>152</v>
      </c>
      <c r="AF376" s="382" t="str">
        <f>VLOOKUP(W376,KEY_Other!$B$37:$C$89,2,FALSE)</f>
        <v>EUR</v>
      </c>
      <c r="AG376" s="427"/>
      <c r="AH376" s="379" t="str">
        <f>AC376&amp;VLOOKUP(U376,KEY_FUELS!$C$4:$D$78,2,FALSE)</f>
        <v>RSDELC</v>
      </c>
      <c r="AI376" s="379" t="str">
        <f>IFERROR(AC376&amp;VLOOKUP(V376,KEY_FUELS!$C$4:$D$78,2,FALSE),"")</f>
        <v/>
      </c>
      <c r="AJ376" s="379" t="str">
        <f t="shared" si="109"/>
        <v>RHAP</v>
      </c>
      <c r="AK376" s="379" t="str">
        <f t="shared" si="107"/>
        <v>RWAP</v>
      </c>
      <c r="AL376" s="379" t="str">
        <f t="shared" si="108"/>
        <v/>
      </c>
      <c r="AM376" s="380">
        <v>31.536000000000001</v>
      </c>
      <c r="AN376" s="427">
        <v>2019</v>
      </c>
      <c r="AO376" s="470">
        <v>1</v>
      </c>
      <c r="AP376" s="429"/>
      <c r="AQ376" s="467"/>
      <c r="AR376" s="429"/>
      <c r="AS376" s="429"/>
      <c r="AT376" s="424" t="s">
        <v>158</v>
      </c>
      <c r="AU376" s="386">
        <v>0.63</v>
      </c>
      <c r="AV376" s="467"/>
      <c r="AW376" s="467"/>
      <c r="AX376" s="429"/>
      <c r="AY376" s="427"/>
      <c r="AZ376" s="467">
        <v>0.93</v>
      </c>
      <c r="BA376" s="429"/>
      <c r="BB376" s="429"/>
      <c r="BC376" s="427"/>
      <c r="BD376" s="429"/>
      <c r="BE376" s="429"/>
      <c r="BF376" s="427"/>
      <c r="BG376" s="427"/>
      <c r="BH376" s="427"/>
      <c r="BI376" s="427">
        <v>25</v>
      </c>
      <c r="BJ376" s="427"/>
      <c r="BK376" s="428">
        <v>35</v>
      </c>
      <c r="BL376" s="427"/>
      <c r="BM376" s="427"/>
      <c r="BN376" s="427"/>
      <c r="BO376" s="427"/>
      <c r="BP376" s="427"/>
      <c r="BQ376" s="427"/>
      <c r="BR376" s="429">
        <v>1.71</v>
      </c>
      <c r="BS376" s="427"/>
      <c r="BT376" s="427"/>
      <c r="BU376" s="427"/>
      <c r="BV376" s="427"/>
      <c r="BW376" s="427"/>
      <c r="BX376" s="471"/>
    </row>
    <row r="377" spans="10:76" x14ac:dyDescent="0.3">
      <c r="J377" s="362" t="s">
        <v>238</v>
      </c>
      <c r="K377" s="363" t="s">
        <v>135</v>
      </c>
      <c r="L377" s="363"/>
      <c r="M377" s="363" t="s">
        <v>239</v>
      </c>
      <c r="N377" s="363" t="s">
        <v>240</v>
      </c>
      <c r="O377" s="363" t="s">
        <v>136</v>
      </c>
      <c r="P377" s="363">
        <v>2018</v>
      </c>
      <c r="Q377" s="432" t="s">
        <v>306</v>
      </c>
      <c r="R377" s="433" t="s">
        <v>307</v>
      </c>
      <c r="S377" s="439"/>
      <c r="T377" s="439"/>
      <c r="U377" s="363" t="s">
        <v>189</v>
      </c>
      <c r="V377" s="363"/>
      <c r="W377" s="363" t="s">
        <v>243</v>
      </c>
      <c r="X377" s="363">
        <v>2019</v>
      </c>
      <c r="Y377" s="439"/>
      <c r="Z377" s="363" t="str">
        <f>VLOOKUP(R377,KEY_Processes!$C$55:$E$130,3,FALSE)</f>
        <v>HW_BS_ELC01</v>
      </c>
      <c r="AA377" s="363" t="str">
        <f>VLOOKUP(R377,KEY_Processes!$C$55:$E$130,2,FALSE)</f>
        <v>HW_Electricboiler_ELC_SMALL</v>
      </c>
      <c r="AB377" s="363" t="str">
        <f>VLOOKUP(U377,KEY_FUELS!$C$4:$D$77,2,FALSE)</f>
        <v>ELC</v>
      </c>
      <c r="AC377" s="363" t="s">
        <v>150</v>
      </c>
      <c r="AD377" s="363" t="s">
        <v>244</v>
      </c>
      <c r="AE377" s="363" t="s">
        <v>152</v>
      </c>
      <c r="AF377" s="366" t="str">
        <f>VLOOKUP(W377,KEY_Other!$B$37:$C$89,2,FALSE)</f>
        <v>EUR</v>
      </c>
      <c r="AG377" s="439"/>
      <c r="AH377" s="363" t="str">
        <f>AC377&amp;VLOOKUP(U377,KEY_FUELS!$C$4:$D$78,2,FALSE)</f>
        <v>RSDELC</v>
      </c>
      <c r="AI377" s="363" t="str">
        <f>IFERROR(AC377&amp;VLOOKUP(V377,KEY_FUELS!$C$4:$D$78,2,FALSE),"")</f>
        <v/>
      </c>
      <c r="AJ377" s="363" t="str">
        <f t="shared" si="109"/>
        <v>RHAP</v>
      </c>
      <c r="AK377" s="363" t="str">
        <f t="shared" si="107"/>
        <v>RWAP</v>
      </c>
      <c r="AL377" s="363" t="str">
        <f t="shared" si="108"/>
        <v/>
      </c>
      <c r="AM377" s="364">
        <v>31.536000000000001</v>
      </c>
      <c r="AN377" s="439">
        <v>2019</v>
      </c>
      <c r="AO377" s="468">
        <v>1</v>
      </c>
      <c r="AP377" s="441"/>
      <c r="AQ377" s="445"/>
      <c r="AR377" s="441"/>
      <c r="AS377" s="441"/>
      <c r="AT377" s="436" t="s">
        <v>249</v>
      </c>
      <c r="AU377" s="437">
        <v>0.72</v>
      </c>
      <c r="AV377" s="445"/>
      <c r="AW377" s="445"/>
      <c r="AX377" s="441"/>
      <c r="AY377" s="439"/>
      <c r="AZ377" s="445">
        <v>0.93</v>
      </c>
      <c r="BA377" s="441"/>
      <c r="BB377" s="441"/>
      <c r="BC377" s="439"/>
      <c r="BD377" s="441"/>
      <c r="BE377" s="441"/>
      <c r="BF377" s="439"/>
      <c r="BG377" s="439"/>
      <c r="BH377" s="439"/>
      <c r="BI377" s="439">
        <v>25</v>
      </c>
      <c r="BJ377" s="439"/>
      <c r="BK377" s="440">
        <v>35</v>
      </c>
      <c r="BL377" s="439"/>
      <c r="BM377" s="439"/>
      <c r="BN377" s="439"/>
      <c r="BO377" s="439"/>
      <c r="BP377" s="439"/>
      <c r="BQ377" s="439"/>
      <c r="BR377" s="441">
        <v>1.71</v>
      </c>
      <c r="BS377" s="439"/>
      <c r="BT377" s="439"/>
      <c r="BU377" s="439"/>
      <c r="BV377" s="439"/>
      <c r="BW377" s="439"/>
      <c r="BX377" s="469"/>
    </row>
    <row r="378" spans="10:76" x14ac:dyDescent="0.3">
      <c r="J378" s="378" t="s">
        <v>238</v>
      </c>
      <c r="K378" s="379" t="s">
        <v>135</v>
      </c>
      <c r="L378" s="379"/>
      <c r="M378" s="379" t="s">
        <v>239</v>
      </c>
      <c r="N378" s="379" t="s">
        <v>240</v>
      </c>
      <c r="O378" s="379" t="s">
        <v>136</v>
      </c>
      <c r="P378" s="379">
        <v>2018</v>
      </c>
      <c r="Q378" s="420" t="s">
        <v>306</v>
      </c>
      <c r="R378" s="421" t="s">
        <v>307</v>
      </c>
      <c r="S378" s="427"/>
      <c r="T378" s="427"/>
      <c r="U378" s="379" t="s">
        <v>189</v>
      </c>
      <c r="V378" s="379"/>
      <c r="W378" s="379" t="s">
        <v>243</v>
      </c>
      <c r="X378" s="379">
        <v>2030</v>
      </c>
      <c r="Y378" s="427"/>
      <c r="Z378" s="379" t="str">
        <f>VLOOKUP(R378,KEY_Processes!$C$55:$E$130,3,FALSE)</f>
        <v>HW_BS_ELC01</v>
      </c>
      <c r="AA378" s="379" t="str">
        <f>VLOOKUP(R378,KEY_Processes!$C$55:$E$130,2,FALSE)</f>
        <v>HW_Electricboiler_ELC_SMALL</v>
      </c>
      <c r="AB378" s="379" t="str">
        <f>VLOOKUP(U378,KEY_FUELS!$C$4:$D$77,2,FALSE)</f>
        <v>ELC</v>
      </c>
      <c r="AC378" s="379" t="s">
        <v>150</v>
      </c>
      <c r="AD378" s="379" t="s">
        <v>244</v>
      </c>
      <c r="AE378" s="379" t="s">
        <v>152</v>
      </c>
      <c r="AF378" s="382" t="str">
        <f>VLOOKUP(W378,KEY_Other!$B$37:$C$89,2,FALSE)</f>
        <v>EUR</v>
      </c>
      <c r="AG378" s="427"/>
      <c r="AH378" s="379" t="str">
        <f>AC378&amp;VLOOKUP(U378,KEY_FUELS!$C$4:$D$78,2,FALSE)</f>
        <v>RSDELC</v>
      </c>
      <c r="AI378" s="379" t="str">
        <f>IFERROR(AC378&amp;VLOOKUP(V378,KEY_FUELS!$C$4:$D$78,2,FALSE),"")</f>
        <v/>
      </c>
      <c r="AJ378" s="379" t="str">
        <f t="shared" si="105"/>
        <v>RHAP</v>
      </c>
      <c r="AK378" s="379" t="str">
        <f t="shared" si="107"/>
        <v>RWAP</v>
      </c>
      <c r="AL378" s="379" t="str">
        <f t="shared" si="108"/>
        <v/>
      </c>
      <c r="AM378" s="380">
        <v>31.536000000000001</v>
      </c>
      <c r="AN378" s="427">
        <v>2030</v>
      </c>
      <c r="AO378" s="470"/>
      <c r="AP378" s="429"/>
      <c r="AQ378" s="467"/>
      <c r="AR378" s="429"/>
      <c r="AS378" s="429"/>
      <c r="AT378" s="429"/>
      <c r="AU378" s="467"/>
      <c r="AV378" s="467"/>
      <c r="AW378" s="467"/>
      <c r="AX378" s="429"/>
      <c r="AY378" s="427"/>
      <c r="AZ378" s="467">
        <v>0.96</v>
      </c>
      <c r="BA378" s="429"/>
      <c r="BB378" s="429"/>
      <c r="BC378" s="427"/>
      <c r="BD378" s="429"/>
      <c r="BE378" s="429"/>
      <c r="BF378" s="427"/>
      <c r="BG378" s="427"/>
      <c r="BH378" s="427"/>
      <c r="BI378" s="427">
        <v>25</v>
      </c>
      <c r="BJ378" s="427"/>
      <c r="BK378" s="428">
        <v>53</v>
      </c>
      <c r="BL378" s="427"/>
      <c r="BM378" s="427"/>
      <c r="BN378" s="427"/>
      <c r="BO378" s="427"/>
      <c r="BP378" s="427"/>
      <c r="BQ378" s="427"/>
      <c r="BR378" s="429">
        <v>1.71</v>
      </c>
      <c r="BS378" s="427"/>
      <c r="BT378" s="427"/>
      <c r="BU378" s="427"/>
      <c r="BV378" s="427"/>
      <c r="BW378" s="427"/>
      <c r="BX378" s="471"/>
    </row>
    <row r="379" spans="10:76" x14ac:dyDescent="0.3">
      <c r="J379" s="362" t="s">
        <v>238</v>
      </c>
      <c r="K379" s="363" t="s">
        <v>135</v>
      </c>
      <c r="L379" s="363"/>
      <c r="M379" s="363" t="s">
        <v>239</v>
      </c>
      <c r="N379" s="363" t="s">
        <v>240</v>
      </c>
      <c r="O379" s="363" t="s">
        <v>136</v>
      </c>
      <c r="P379" s="363">
        <v>2018</v>
      </c>
      <c r="Q379" s="432" t="s">
        <v>308</v>
      </c>
      <c r="R379" s="433" t="s">
        <v>309</v>
      </c>
      <c r="S379" s="439"/>
      <c r="T379" s="439"/>
      <c r="U379" s="363" t="s">
        <v>189</v>
      </c>
      <c r="V379" s="363"/>
      <c r="W379" s="363" t="s">
        <v>243</v>
      </c>
      <c r="X379" s="363">
        <v>2019</v>
      </c>
      <c r="Y379" s="439"/>
      <c r="Z379" s="363" t="str">
        <f>VLOOKUP(R379,KEY_Processes!$C$55:$E$130,3,FALSE)</f>
        <v>W_ROS_ELC01</v>
      </c>
      <c r="AA379" s="363" t="str">
        <f>VLOOKUP(R379,KEY_Processes!$C$55:$E$130,2,FALSE)</f>
        <v>W_ElectricHeater_ELC_SMALL</v>
      </c>
      <c r="AB379" s="363" t="str">
        <f>VLOOKUP(U379,KEY_FUELS!$C$4:$D$77,2,FALSE)</f>
        <v>ELC</v>
      </c>
      <c r="AC379" s="363" t="s">
        <v>150</v>
      </c>
      <c r="AD379" s="363" t="s">
        <v>244</v>
      </c>
      <c r="AE379" s="363" t="s">
        <v>152</v>
      </c>
      <c r="AF379" s="366" t="str">
        <f>VLOOKUP(W379,KEY_Other!$B$37:$C$89,2,FALSE)</f>
        <v>EUR</v>
      </c>
      <c r="AG379" s="439"/>
      <c r="AH379" s="363" t="str">
        <f>AC379&amp;VLOOKUP(U379,KEY_FUELS!$C$4:$D$78,2,FALSE)</f>
        <v>RSDELC</v>
      </c>
      <c r="AI379" s="363" t="str">
        <f>IFERROR(AC379&amp;VLOOKUP(V379,KEY_FUELS!$C$4:$D$78,2,FALSE),"")</f>
        <v/>
      </c>
      <c r="AJ379" s="363" t="str">
        <f t="shared" si="105"/>
        <v>RWAP</v>
      </c>
      <c r="AK379" s="363" t="str">
        <f t="shared" si="107"/>
        <v/>
      </c>
      <c r="AL379" s="363" t="str">
        <f t="shared" si="108"/>
        <v/>
      </c>
      <c r="AM379" s="364">
        <v>31.536000000000001</v>
      </c>
      <c r="AN379" s="439">
        <v>2019</v>
      </c>
      <c r="AO379" s="468"/>
      <c r="AP379" s="441"/>
      <c r="AQ379" s="445"/>
      <c r="AR379" s="441"/>
      <c r="AS379" s="441"/>
      <c r="AT379" s="441"/>
      <c r="AU379" s="445"/>
      <c r="AV379" s="445"/>
      <c r="AW379" s="445"/>
      <c r="AX379" s="441"/>
      <c r="AY379" s="439"/>
      <c r="AZ379" s="445">
        <v>0.92</v>
      </c>
      <c r="BA379" s="441"/>
      <c r="BB379" s="441"/>
      <c r="BC379" s="439"/>
      <c r="BD379" s="441"/>
      <c r="BE379" s="441"/>
      <c r="BF379" s="439"/>
      <c r="BG379" s="439"/>
      <c r="BH379" s="439"/>
      <c r="BI379" s="439">
        <v>20</v>
      </c>
      <c r="BJ379" s="439"/>
      <c r="BK379" s="440">
        <v>24</v>
      </c>
      <c r="BL379" s="439"/>
      <c r="BM379" s="439"/>
      <c r="BN379" s="439"/>
      <c r="BO379" s="439"/>
      <c r="BP379" s="439"/>
      <c r="BQ379" s="439"/>
      <c r="BR379" s="441">
        <v>0.34803848400159754</v>
      </c>
      <c r="BS379" s="439"/>
      <c r="BT379" s="439"/>
      <c r="BU379" s="439"/>
      <c r="BV379" s="439"/>
      <c r="BW379" s="439"/>
      <c r="BX379" s="469"/>
    </row>
    <row r="380" spans="10:76" x14ac:dyDescent="0.3">
      <c r="J380" s="378" t="s">
        <v>238</v>
      </c>
      <c r="K380" s="379" t="s">
        <v>135</v>
      </c>
      <c r="L380" s="379"/>
      <c r="M380" s="379" t="s">
        <v>239</v>
      </c>
      <c r="N380" s="379" t="s">
        <v>240</v>
      </c>
      <c r="O380" s="379" t="s">
        <v>136</v>
      </c>
      <c r="P380" s="379">
        <v>2018</v>
      </c>
      <c r="Q380" s="420" t="s">
        <v>308</v>
      </c>
      <c r="R380" s="421" t="s">
        <v>309</v>
      </c>
      <c r="S380" s="427"/>
      <c r="T380" s="427"/>
      <c r="U380" s="379" t="s">
        <v>189</v>
      </c>
      <c r="V380" s="379"/>
      <c r="W380" s="379" t="s">
        <v>243</v>
      </c>
      <c r="X380" s="379">
        <v>2030</v>
      </c>
      <c r="Y380" s="427"/>
      <c r="Z380" s="379" t="str">
        <f>VLOOKUP(R380,KEY_Processes!$C$55:$E$130,3,FALSE)</f>
        <v>W_ROS_ELC01</v>
      </c>
      <c r="AA380" s="379" t="str">
        <f>VLOOKUP(R380,KEY_Processes!$C$55:$E$130,2,FALSE)</f>
        <v>W_ElectricHeater_ELC_SMALL</v>
      </c>
      <c r="AB380" s="379" t="str">
        <f>VLOOKUP(U380,KEY_FUELS!$C$4:$D$77,2,FALSE)</f>
        <v>ELC</v>
      </c>
      <c r="AC380" s="379" t="s">
        <v>150</v>
      </c>
      <c r="AD380" s="379" t="s">
        <v>244</v>
      </c>
      <c r="AE380" s="379" t="s">
        <v>152</v>
      </c>
      <c r="AF380" s="382" t="str">
        <f>VLOOKUP(W380,KEY_Other!$B$37:$C$89,2,FALSE)</f>
        <v>EUR</v>
      </c>
      <c r="AG380" s="427"/>
      <c r="AH380" s="379" t="str">
        <f>AC380&amp;VLOOKUP(U380,KEY_FUELS!$C$4:$D$78,2,FALSE)</f>
        <v>RSDELC</v>
      </c>
      <c r="AI380" s="379" t="str">
        <f>IFERROR(AC380&amp;VLOOKUP(V380,KEY_FUELS!$C$4:$D$78,2,FALSE),"")</f>
        <v/>
      </c>
      <c r="AJ380" s="379" t="str">
        <f t="shared" si="105"/>
        <v>RWAP</v>
      </c>
      <c r="AK380" s="379" t="str">
        <f t="shared" si="107"/>
        <v/>
      </c>
      <c r="AL380" s="379" t="str">
        <f t="shared" si="108"/>
        <v/>
      </c>
      <c r="AM380" s="380">
        <v>31.536000000000001</v>
      </c>
      <c r="AN380" s="427">
        <v>2030</v>
      </c>
      <c r="AO380" s="470"/>
      <c r="AP380" s="429"/>
      <c r="AQ380" s="467"/>
      <c r="AR380" s="429"/>
      <c r="AS380" s="429"/>
      <c r="AT380" s="429"/>
      <c r="AU380" s="467"/>
      <c r="AV380" s="467"/>
      <c r="AW380" s="467"/>
      <c r="AX380" s="429"/>
      <c r="AY380" s="427"/>
      <c r="AZ380" s="467">
        <v>0.95</v>
      </c>
      <c r="BA380" s="429"/>
      <c r="BB380" s="429"/>
      <c r="BC380" s="427"/>
      <c r="BD380" s="429"/>
      <c r="BE380" s="429"/>
      <c r="BF380" s="427"/>
      <c r="BG380" s="427"/>
      <c r="BH380" s="427"/>
      <c r="BI380" s="427">
        <v>20</v>
      </c>
      <c r="BJ380" s="427"/>
      <c r="BK380" s="428">
        <v>19</v>
      </c>
      <c r="BL380" s="427"/>
      <c r="BM380" s="427"/>
      <c r="BN380" s="427"/>
      <c r="BO380" s="427"/>
      <c r="BP380" s="427"/>
      <c r="BQ380" s="427"/>
      <c r="BR380" s="429">
        <v>0.34803848400159754</v>
      </c>
      <c r="BS380" s="427"/>
      <c r="BT380" s="427"/>
      <c r="BU380" s="427"/>
      <c r="BV380" s="427"/>
      <c r="BW380" s="427"/>
      <c r="BX380" s="471"/>
    </row>
    <row r="381" spans="10:76" x14ac:dyDescent="0.3">
      <c r="J381" s="362" t="s">
        <v>238</v>
      </c>
      <c r="K381" s="363" t="s">
        <v>135</v>
      </c>
      <c r="L381" s="363"/>
      <c r="M381" s="363" t="s">
        <v>239</v>
      </c>
      <c r="N381" s="363" t="s">
        <v>240</v>
      </c>
      <c r="O381" s="363" t="s">
        <v>136</v>
      </c>
      <c r="P381" s="363">
        <v>2018</v>
      </c>
      <c r="Q381" s="432" t="s">
        <v>310</v>
      </c>
      <c r="R381" s="433" t="s">
        <v>311</v>
      </c>
      <c r="S381" s="439"/>
      <c r="T381" s="439"/>
      <c r="U381" s="363" t="s">
        <v>189</v>
      </c>
      <c r="V381" s="363"/>
      <c r="W381" s="363" t="s">
        <v>243</v>
      </c>
      <c r="X381" s="363">
        <v>2019</v>
      </c>
      <c r="Y381" s="439"/>
      <c r="Z381" s="363" t="str">
        <f>VLOOKUP(R381,KEY_Processes!$C$55:$E$130,3,FALSE)</f>
        <v>H_RRS_ELC01</v>
      </c>
      <c r="AA381" s="363" t="str">
        <f>VLOOKUP(R381,KEY_Processes!$C$55:$E$130,2,FALSE)</f>
        <v>H_ElectricResistance_ELC_SMALL</v>
      </c>
      <c r="AB381" s="363" t="str">
        <f>VLOOKUP(U381,KEY_FUELS!$C$4:$D$77,2,FALSE)</f>
        <v>ELC</v>
      </c>
      <c r="AC381" s="363" t="s">
        <v>150</v>
      </c>
      <c r="AD381" s="363" t="s">
        <v>244</v>
      </c>
      <c r="AE381" s="363" t="s">
        <v>152</v>
      </c>
      <c r="AF381" s="366" t="str">
        <f>VLOOKUP(W381,KEY_Other!$B$37:$C$89,2,FALSE)</f>
        <v>EUR</v>
      </c>
      <c r="AG381" s="439"/>
      <c r="AH381" s="363" t="str">
        <f>AC381&amp;VLOOKUP(U381,KEY_FUELS!$C$4:$D$78,2,FALSE)</f>
        <v>RSDELC</v>
      </c>
      <c r="AI381" s="363" t="str">
        <f>IFERROR(AC381&amp;VLOOKUP(V381,KEY_FUELS!$C$4:$D$78,2,FALSE),"")</f>
        <v/>
      </c>
      <c r="AJ381" s="363" t="str">
        <f t="shared" si="105"/>
        <v>RHAP</v>
      </c>
      <c r="AK381" s="363" t="str">
        <f t="shared" si="107"/>
        <v/>
      </c>
      <c r="AL381" s="363" t="str">
        <f t="shared" si="108"/>
        <v/>
      </c>
      <c r="AM381" s="364">
        <v>31.536000000000001</v>
      </c>
      <c r="AN381" s="439">
        <v>2019</v>
      </c>
      <c r="AO381" s="468"/>
      <c r="AP381" s="441"/>
      <c r="AQ381" s="445"/>
      <c r="AR381" s="441"/>
      <c r="AS381" s="441"/>
      <c r="AT381" s="441"/>
      <c r="AU381" s="445"/>
      <c r="AV381" s="445"/>
      <c r="AW381" s="445"/>
      <c r="AX381" s="441"/>
      <c r="AY381" s="439"/>
      <c r="AZ381" s="445">
        <v>0.99</v>
      </c>
      <c r="BA381" s="441"/>
      <c r="BB381" s="441"/>
      <c r="BC381" s="439"/>
      <c r="BD381" s="441"/>
      <c r="BE381" s="441"/>
      <c r="BF381" s="439"/>
      <c r="BG381" s="439"/>
      <c r="BH381" s="439"/>
      <c r="BI381" s="439">
        <v>25</v>
      </c>
      <c r="BJ381" s="439"/>
      <c r="BK381" s="440">
        <v>47</v>
      </c>
      <c r="BL381" s="439"/>
      <c r="BM381" s="439"/>
      <c r="BN381" s="439"/>
      <c r="BO381" s="439"/>
      <c r="BP381" s="439"/>
      <c r="BQ381" s="439"/>
      <c r="BR381" s="441">
        <v>1.7060710000078314</v>
      </c>
      <c r="BS381" s="439"/>
      <c r="BT381" s="439"/>
      <c r="BU381" s="439"/>
      <c r="BV381" s="439"/>
      <c r="BW381" s="439"/>
      <c r="BX381" s="469"/>
    </row>
    <row r="382" spans="10:76" x14ac:dyDescent="0.3">
      <c r="J382" s="378" t="s">
        <v>238</v>
      </c>
      <c r="K382" s="379" t="s">
        <v>135</v>
      </c>
      <c r="L382" s="379"/>
      <c r="M382" s="379" t="s">
        <v>239</v>
      </c>
      <c r="N382" s="379" t="s">
        <v>240</v>
      </c>
      <c r="O382" s="379" t="s">
        <v>136</v>
      </c>
      <c r="P382" s="379">
        <v>2018</v>
      </c>
      <c r="Q382" s="420" t="s">
        <v>310</v>
      </c>
      <c r="R382" s="421" t="s">
        <v>312</v>
      </c>
      <c r="S382" s="427"/>
      <c r="T382" s="427"/>
      <c r="U382" s="379" t="s">
        <v>189</v>
      </c>
      <c r="V382" s="379"/>
      <c r="W382" s="379" t="s">
        <v>243</v>
      </c>
      <c r="X382" s="379">
        <v>2019</v>
      </c>
      <c r="Y382" s="427"/>
      <c r="Z382" s="379" t="str">
        <f>VLOOKUP(R382,KEY_Processes!$C$55:$E$130,3,FALSE)</f>
        <v>W_RRS_ELC01</v>
      </c>
      <c r="AA382" s="379" t="str">
        <f>VLOOKUP(R382,KEY_Processes!$C$55:$E$130,2,FALSE)</f>
        <v>W_ElectricResistance_ELC_SMALL</v>
      </c>
      <c r="AB382" s="379" t="str">
        <f>VLOOKUP(U382,KEY_FUELS!$C$4:$D$77,2,FALSE)</f>
        <v>ELC</v>
      </c>
      <c r="AC382" s="379" t="s">
        <v>150</v>
      </c>
      <c r="AD382" s="379" t="s">
        <v>244</v>
      </c>
      <c r="AE382" s="379" t="s">
        <v>152</v>
      </c>
      <c r="AF382" s="382" t="str">
        <f>VLOOKUP(W382,KEY_Other!$B$37:$C$89,2,FALSE)</f>
        <v>EUR</v>
      </c>
      <c r="AG382" s="427"/>
      <c r="AH382" s="379" t="str">
        <f>AC382&amp;VLOOKUP(U382,KEY_FUELS!$C$4:$D$78,2,FALSE)</f>
        <v>RSDELC</v>
      </c>
      <c r="AI382" s="379" t="str">
        <f>IFERROR(AC382&amp;VLOOKUP(V382,KEY_FUELS!$C$4:$D$78,2,FALSE),"")</f>
        <v/>
      </c>
      <c r="AJ382" s="379" t="str">
        <f t="shared" si="105"/>
        <v>RWAP</v>
      </c>
      <c r="AK382" s="379" t="str">
        <f t="shared" si="107"/>
        <v/>
      </c>
      <c r="AL382" s="379" t="str">
        <f t="shared" si="108"/>
        <v/>
      </c>
      <c r="AM382" s="380">
        <v>31.536000000000001</v>
      </c>
      <c r="AN382" s="427">
        <v>2019</v>
      </c>
      <c r="AO382" s="470"/>
      <c r="AP382" s="429"/>
      <c r="AQ382" s="467"/>
      <c r="AR382" s="429"/>
      <c r="AS382" s="429"/>
      <c r="AT382" s="429"/>
      <c r="AU382" s="467"/>
      <c r="AV382" s="467"/>
      <c r="AW382" s="467"/>
      <c r="AX382" s="429"/>
      <c r="AY382" s="427"/>
      <c r="AZ382" s="467">
        <v>0.92</v>
      </c>
      <c r="BA382" s="429"/>
      <c r="BB382" s="429"/>
      <c r="BC382" s="427"/>
      <c r="BD382" s="429"/>
      <c r="BE382" s="429"/>
      <c r="BF382" s="427"/>
      <c r="BG382" s="427"/>
      <c r="BH382" s="427"/>
      <c r="BI382" s="427">
        <v>20</v>
      </c>
      <c r="BJ382" s="427"/>
      <c r="BK382" s="428">
        <v>24</v>
      </c>
      <c r="BL382" s="427"/>
      <c r="BM382" s="427"/>
      <c r="BN382" s="427"/>
      <c r="BO382" s="427"/>
      <c r="BP382" s="427"/>
      <c r="BQ382" s="427"/>
      <c r="BR382" s="429">
        <v>0.34803848400159754</v>
      </c>
      <c r="BS382" s="427"/>
      <c r="BT382" s="427"/>
      <c r="BU382" s="427"/>
      <c r="BV382" s="427"/>
      <c r="BW382" s="427"/>
      <c r="BX382" s="471"/>
    </row>
    <row r="383" spans="10:76" x14ac:dyDescent="0.3">
      <c r="J383" s="362" t="s">
        <v>238</v>
      </c>
      <c r="K383" s="363" t="s">
        <v>135</v>
      </c>
      <c r="L383" s="363"/>
      <c r="M383" s="363" t="s">
        <v>239</v>
      </c>
      <c r="N383" s="363" t="s">
        <v>240</v>
      </c>
      <c r="O383" s="363" t="s">
        <v>136</v>
      </c>
      <c r="P383" s="363">
        <v>2018</v>
      </c>
      <c r="Q383" s="432" t="s">
        <v>310</v>
      </c>
      <c r="R383" s="433" t="s">
        <v>312</v>
      </c>
      <c r="S383" s="439"/>
      <c r="T383" s="439"/>
      <c r="U383" s="363" t="s">
        <v>189</v>
      </c>
      <c r="V383" s="363"/>
      <c r="W383" s="363" t="s">
        <v>243</v>
      </c>
      <c r="X383" s="363">
        <v>2030</v>
      </c>
      <c r="Y383" s="439"/>
      <c r="Z383" s="363" t="str">
        <f>VLOOKUP(R383,KEY_Processes!$C$55:$E$130,3,FALSE)</f>
        <v>W_RRS_ELC01</v>
      </c>
      <c r="AA383" s="363" t="str">
        <f>VLOOKUP(R383,KEY_Processes!$C$55:$E$130,2,FALSE)</f>
        <v>W_ElectricResistance_ELC_SMALL</v>
      </c>
      <c r="AB383" s="363" t="str">
        <f>VLOOKUP(U383,KEY_FUELS!$C$4:$D$77,2,FALSE)</f>
        <v>ELC</v>
      </c>
      <c r="AC383" s="363" t="s">
        <v>150</v>
      </c>
      <c r="AD383" s="363" t="s">
        <v>244</v>
      </c>
      <c r="AE383" s="363" t="s">
        <v>152</v>
      </c>
      <c r="AF383" s="366" t="str">
        <f>VLOOKUP(W383,KEY_Other!$B$37:$C$89,2,FALSE)</f>
        <v>EUR</v>
      </c>
      <c r="AG383" s="439"/>
      <c r="AH383" s="363" t="str">
        <f>AC383&amp;VLOOKUP(U383,KEY_FUELS!$C$4:$D$78,2,FALSE)</f>
        <v>RSDELC</v>
      </c>
      <c r="AI383" s="363" t="str">
        <f>IFERROR(AC383&amp;VLOOKUP(V383,KEY_FUELS!$C$4:$D$78,2,FALSE),"")</f>
        <v/>
      </c>
      <c r="AJ383" s="363" t="str">
        <f t="shared" si="105"/>
        <v>RWAP</v>
      </c>
      <c r="AK383" s="363" t="str">
        <f t="shared" si="107"/>
        <v/>
      </c>
      <c r="AL383" s="363" t="str">
        <f t="shared" si="108"/>
        <v/>
      </c>
      <c r="AM383" s="364">
        <v>31.536000000000001</v>
      </c>
      <c r="AN383" s="439">
        <v>2030</v>
      </c>
      <c r="AO383" s="468"/>
      <c r="AP383" s="441"/>
      <c r="AQ383" s="445"/>
      <c r="AR383" s="441"/>
      <c r="AS383" s="441"/>
      <c r="AT383" s="441"/>
      <c r="AU383" s="445"/>
      <c r="AV383" s="445"/>
      <c r="AW383" s="445"/>
      <c r="AX383" s="441"/>
      <c r="AY383" s="439"/>
      <c r="AZ383" s="445">
        <v>0.95</v>
      </c>
      <c r="BA383" s="441"/>
      <c r="BB383" s="441"/>
      <c r="BC383" s="439"/>
      <c r="BD383" s="441"/>
      <c r="BE383" s="441"/>
      <c r="BF383" s="439"/>
      <c r="BG383" s="439"/>
      <c r="BH383" s="439"/>
      <c r="BI383" s="439">
        <v>20</v>
      </c>
      <c r="BJ383" s="439"/>
      <c r="BK383" s="440">
        <v>19</v>
      </c>
      <c r="BL383" s="439"/>
      <c r="BM383" s="439"/>
      <c r="BN383" s="439"/>
      <c r="BO383" s="439"/>
      <c r="BP383" s="439"/>
      <c r="BQ383" s="439"/>
      <c r="BR383" s="441">
        <v>0.34803848400159754</v>
      </c>
      <c r="BS383" s="439"/>
      <c r="BT383" s="439"/>
      <c r="BU383" s="439"/>
      <c r="BV383" s="439"/>
      <c r="BW383" s="439"/>
      <c r="BX383" s="469"/>
    </row>
    <row r="384" spans="10:76" x14ac:dyDescent="0.3">
      <c r="J384" s="378" t="s">
        <v>238</v>
      </c>
      <c r="K384" s="379" t="s">
        <v>135</v>
      </c>
      <c r="L384" s="379"/>
      <c r="M384" s="379" t="s">
        <v>239</v>
      </c>
      <c r="N384" s="379" t="s">
        <v>240</v>
      </c>
      <c r="O384" s="379" t="s">
        <v>136</v>
      </c>
      <c r="P384" s="379">
        <v>2018</v>
      </c>
      <c r="Q384" s="420" t="s">
        <v>313</v>
      </c>
      <c r="R384" s="421" t="s">
        <v>314</v>
      </c>
      <c r="S384" s="427"/>
      <c r="T384" s="427"/>
      <c r="U384" s="379" t="s">
        <v>189</v>
      </c>
      <c r="V384" s="379"/>
      <c r="W384" s="379" t="s">
        <v>243</v>
      </c>
      <c r="X384" s="379">
        <v>2019</v>
      </c>
      <c r="Y384" s="427"/>
      <c r="Z384" s="379" t="str">
        <f>VLOOKUP(R384,KEY_Processes!$C$55:$E$130,3,FALSE)</f>
        <v>C_AFS_ELC01</v>
      </c>
      <c r="AA384" s="379" t="str">
        <f>VLOOKUP(R384,KEY_Processes!$C$55:$E$130,2,FALSE)</f>
        <v>C_Fan_ELC_SMALL</v>
      </c>
      <c r="AB384" s="379" t="str">
        <f>VLOOKUP(U384,KEY_FUELS!$C$4:$D$77,2,FALSE)</f>
        <v>ELC</v>
      </c>
      <c r="AC384" s="379" t="s">
        <v>150</v>
      </c>
      <c r="AD384" s="379" t="s">
        <v>244</v>
      </c>
      <c r="AE384" s="379" t="s">
        <v>152</v>
      </c>
      <c r="AF384" s="382" t="str">
        <f>VLOOKUP(W384,KEY_Other!$B$37:$C$89,2,FALSE)</f>
        <v>EUR</v>
      </c>
      <c r="AG384" s="427"/>
      <c r="AH384" s="379" t="str">
        <f>AC384&amp;VLOOKUP(U384,KEY_FUELS!$C$4:$D$78,2,FALSE)</f>
        <v>RSDELC</v>
      </c>
      <c r="AI384" s="379" t="str">
        <f>IFERROR(AC384&amp;VLOOKUP(V384,KEY_FUELS!$C$4:$D$78,2,FALSE),"")</f>
        <v/>
      </c>
      <c r="AJ384" s="379" t="str">
        <f t="shared" si="105"/>
        <v>RCAP</v>
      </c>
      <c r="AK384" s="379" t="str">
        <f t="shared" si="107"/>
        <v/>
      </c>
      <c r="AL384" s="379" t="str">
        <f t="shared" si="108"/>
        <v/>
      </c>
      <c r="AM384" s="380">
        <v>31.536000000000001</v>
      </c>
      <c r="AN384" s="427">
        <v>2019</v>
      </c>
      <c r="AO384" s="470"/>
      <c r="AP384" s="429"/>
      <c r="AQ384" s="467"/>
      <c r="AR384" s="429"/>
      <c r="AS384" s="429"/>
      <c r="AT384" s="429"/>
      <c r="AU384" s="467"/>
      <c r="AV384" s="467"/>
      <c r="AW384" s="467"/>
      <c r="AX384" s="429"/>
      <c r="AY384" s="427"/>
      <c r="AZ384" s="467">
        <v>0.4</v>
      </c>
      <c r="BA384" s="429"/>
      <c r="BB384" s="429"/>
      <c r="BC384" s="427"/>
      <c r="BD384" s="429"/>
      <c r="BE384" s="429"/>
      <c r="BF384" s="427"/>
      <c r="BG384" s="427"/>
      <c r="BH384" s="427"/>
      <c r="BI384" s="427">
        <v>20</v>
      </c>
      <c r="BJ384" s="427"/>
      <c r="BK384" s="428">
        <v>133</v>
      </c>
      <c r="BL384" s="427"/>
      <c r="BM384" s="427"/>
      <c r="BN384" s="427"/>
      <c r="BO384" s="427"/>
      <c r="BP384" s="427"/>
      <c r="BQ384" s="427"/>
      <c r="BR384" s="429">
        <v>9.65</v>
      </c>
      <c r="BS384" s="427"/>
      <c r="BT384" s="427"/>
      <c r="BU384" s="427"/>
      <c r="BV384" s="427"/>
      <c r="BW384" s="427"/>
      <c r="BX384" s="471"/>
    </row>
    <row r="385" spans="10:76" x14ac:dyDescent="0.3">
      <c r="J385" s="362" t="s">
        <v>238</v>
      </c>
      <c r="K385" s="363" t="s">
        <v>135</v>
      </c>
      <c r="L385" s="363"/>
      <c r="M385" s="363" t="s">
        <v>239</v>
      </c>
      <c r="N385" s="363" t="s">
        <v>240</v>
      </c>
      <c r="O385" s="363" t="s">
        <v>136</v>
      </c>
      <c r="P385" s="363">
        <v>2018</v>
      </c>
      <c r="Q385" s="432" t="s">
        <v>313</v>
      </c>
      <c r="R385" s="433" t="s">
        <v>314</v>
      </c>
      <c r="S385" s="439"/>
      <c r="T385" s="439"/>
      <c r="U385" s="363" t="s">
        <v>189</v>
      </c>
      <c r="V385" s="363"/>
      <c r="W385" s="363" t="s">
        <v>243</v>
      </c>
      <c r="X385" s="363">
        <v>2030</v>
      </c>
      <c r="Y385" s="439"/>
      <c r="Z385" s="363" t="str">
        <f>VLOOKUP(R385,KEY_Processes!$C$55:$E$130,3,FALSE)</f>
        <v>C_AFS_ELC01</v>
      </c>
      <c r="AA385" s="363" t="str">
        <f>VLOOKUP(R385,KEY_Processes!$C$55:$E$130,2,FALSE)</f>
        <v>C_Fan_ELC_SMALL</v>
      </c>
      <c r="AB385" s="363" t="str">
        <f>VLOOKUP(U385,KEY_FUELS!$C$4:$D$77,2,FALSE)</f>
        <v>ELC</v>
      </c>
      <c r="AC385" s="363" t="s">
        <v>150</v>
      </c>
      <c r="AD385" s="363" t="s">
        <v>244</v>
      </c>
      <c r="AE385" s="363" t="s">
        <v>152</v>
      </c>
      <c r="AF385" s="366" t="str">
        <f>VLOOKUP(W385,KEY_Other!$B$37:$C$89,2,FALSE)</f>
        <v>EUR</v>
      </c>
      <c r="AG385" s="439"/>
      <c r="AH385" s="363" t="str">
        <f>AC385&amp;VLOOKUP(U385,KEY_FUELS!$C$4:$D$78,2,FALSE)</f>
        <v>RSDELC</v>
      </c>
      <c r="AI385" s="363" t="str">
        <f>IFERROR(AC385&amp;VLOOKUP(V385,KEY_FUELS!$C$4:$D$78,2,FALSE),"")</f>
        <v/>
      </c>
      <c r="AJ385" s="363" t="str">
        <f t="shared" si="105"/>
        <v>RCAP</v>
      </c>
      <c r="AK385" s="363" t="str">
        <f t="shared" si="107"/>
        <v/>
      </c>
      <c r="AL385" s="363" t="str">
        <f t="shared" si="108"/>
        <v/>
      </c>
      <c r="AM385" s="364">
        <v>31.536000000000001</v>
      </c>
      <c r="AN385" s="439">
        <v>2030</v>
      </c>
      <c r="AO385" s="468"/>
      <c r="AP385" s="441"/>
      <c r="AQ385" s="445"/>
      <c r="AR385" s="441"/>
      <c r="AS385" s="441"/>
      <c r="AT385" s="441"/>
      <c r="AU385" s="445"/>
      <c r="AV385" s="445"/>
      <c r="AW385" s="445"/>
      <c r="AX385" s="441"/>
      <c r="AY385" s="439"/>
      <c r="AZ385" s="445">
        <v>0.78</v>
      </c>
      <c r="BA385" s="441"/>
      <c r="BB385" s="441"/>
      <c r="BC385" s="439"/>
      <c r="BD385" s="441"/>
      <c r="BE385" s="441"/>
      <c r="BF385" s="439"/>
      <c r="BG385" s="439"/>
      <c r="BH385" s="439"/>
      <c r="BI385" s="439">
        <v>20</v>
      </c>
      <c r="BJ385" s="439"/>
      <c r="BK385" s="440">
        <v>171</v>
      </c>
      <c r="BL385" s="439"/>
      <c r="BM385" s="439"/>
      <c r="BN385" s="439"/>
      <c r="BO385" s="439"/>
      <c r="BP385" s="439"/>
      <c r="BQ385" s="439"/>
      <c r="BR385" s="441">
        <v>9.65</v>
      </c>
      <c r="BS385" s="439"/>
      <c r="BT385" s="439"/>
      <c r="BU385" s="439"/>
      <c r="BV385" s="439"/>
      <c r="BW385" s="439"/>
      <c r="BX385" s="469"/>
    </row>
    <row r="386" spans="10:76" x14ac:dyDescent="0.3">
      <c r="J386" s="378" t="s">
        <v>238</v>
      </c>
      <c r="K386" s="379" t="s">
        <v>135</v>
      </c>
      <c r="L386" s="379"/>
      <c r="M386" s="379" t="s">
        <v>239</v>
      </c>
      <c r="N386" s="379" t="s">
        <v>240</v>
      </c>
      <c r="O386" s="379" t="s">
        <v>136</v>
      </c>
      <c r="P386" s="379">
        <v>2018</v>
      </c>
      <c r="Q386" s="420" t="s">
        <v>270</v>
      </c>
      <c r="R386" s="421" t="s">
        <v>315</v>
      </c>
      <c r="S386" s="427"/>
      <c r="T386" s="427"/>
      <c r="U386" s="379" t="s">
        <v>207</v>
      </c>
      <c r="V386" s="379"/>
      <c r="W386" s="379" t="s">
        <v>243</v>
      </c>
      <c r="X386" s="379">
        <v>2019</v>
      </c>
      <c r="Y386" s="427"/>
      <c r="Z386" s="379" t="str">
        <f>VLOOKUP(R386,KEY_Processes!$C$55:$E$130,3,FALSE)</f>
        <v>H_BS_GAS01</v>
      </c>
      <c r="AA386" s="379" t="str">
        <f>VLOOKUP(R386,KEY_Processes!$C$55:$E$130,2,FALSE)</f>
        <v>H_GasBoiler_GAS_SMALL</v>
      </c>
      <c r="AB386" s="379" t="str">
        <f>VLOOKUP(U386,KEY_FUELS!$C$4:$D$77,2,FALSE)</f>
        <v>GAS</v>
      </c>
      <c r="AC386" s="379" t="s">
        <v>150</v>
      </c>
      <c r="AD386" s="379" t="s">
        <v>244</v>
      </c>
      <c r="AE386" s="379" t="s">
        <v>152</v>
      </c>
      <c r="AF386" s="382" t="str">
        <f>VLOOKUP(W386,KEY_Other!$B$37:$C$89,2,FALSE)</f>
        <v>EUR</v>
      </c>
      <c r="AG386" s="427"/>
      <c r="AH386" s="379" t="str">
        <f>AC386&amp;VLOOKUP(U386,KEY_FUELS!$C$4:$D$78,2,FALSE)</f>
        <v>RSDGAS</v>
      </c>
      <c r="AI386" s="379" t="str">
        <f>IFERROR(AC386&amp;VLOOKUP(V386,KEY_FUELS!$C$4:$D$78,2,FALSE),"")</f>
        <v/>
      </c>
      <c r="AJ386" s="379" t="str">
        <f t="shared" si="105"/>
        <v>RHAP</v>
      </c>
      <c r="AK386" s="379" t="str">
        <f t="shared" si="107"/>
        <v/>
      </c>
      <c r="AL386" s="379" t="str">
        <f t="shared" si="108"/>
        <v/>
      </c>
      <c r="AM386" s="380">
        <v>31.536000000000001</v>
      </c>
      <c r="AN386" s="427">
        <v>2019</v>
      </c>
      <c r="AO386" s="470"/>
      <c r="AP386" s="429"/>
      <c r="AQ386" s="467"/>
      <c r="AR386" s="429"/>
      <c r="AS386" s="429"/>
      <c r="AT386" s="429"/>
      <c r="AU386" s="467"/>
      <c r="AV386" s="467"/>
      <c r="AW386" s="467"/>
      <c r="AX386" s="429"/>
      <c r="AY386" s="427"/>
      <c r="AZ386" s="467">
        <v>0.85</v>
      </c>
      <c r="BA386" s="429"/>
      <c r="BB386" s="429"/>
      <c r="BC386" s="427"/>
      <c r="BD386" s="429"/>
      <c r="BE386" s="429"/>
      <c r="BF386" s="427"/>
      <c r="BG386" s="427"/>
      <c r="BH386" s="427"/>
      <c r="BI386" s="427">
        <v>20</v>
      </c>
      <c r="BJ386" s="427"/>
      <c r="BK386" s="428">
        <v>69</v>
      </c>
      <c r="BL386" s="427"/>
      <c r="BM386" s="427"/>
      <c r="BN386" s="427"/>
      <c r="BO386" s="427"/>
      <c r="BP386" s="427"/>
      <c r="BQ386" s="427"/>
      <c r="BR386" s="429">
        <v>1.3709677419354838</v>
      </c>
      <c r="BS386" s="427"/>
      <c r="BT386" s="427"/>
      <c r="BU386" s="427"/>
      <c r="BV386" s="427"/>
      <c r="BW386" s="427"/>
      <c r="BX386" s="471"/>
    </row>
    <row r="387" spans="10:76" x14ac:dyDescent="0.3">
      <c r="J387" s="362" t="s">
        <v>238</v>
      </c>
      <c r="K387" s="363" t="s">
        <v>135</v>
      </c>
      <c r="L387" s="363"/>
      <c r="M387" s="363" t="s">
        <v>239</v>
      </c>
      <c r="N387" s="363" t="s">
        <v>240</v>
      </c>
      <c r="O387" s="363" t="s">
        <v>136</v>
      </c>
      <c r="P387" s="363">
        <v>2018</v>
      </c>
      <c r="Q387" s="432" t="s">
        <v>270</v>
      </c>
      <c r="R387" s="433" t="s">
        <v>315</v>
      </c>
      <c r="S387" s="439"/>
      <c r="T387" s="439"/>
      <c r="U387" s="363" t="s">
        <v>207</v>
      </c>
      <c r="V387" s="363"/>
      <c r="W387" s="363" t="s">
        <v>243</v>
      </c>
      <c r="X387" s="363">
        <v>2030</v>
      </c>
      <c r="Y387" s="439"/>
      <c r="Z387" s="363" t="str">
        <f>VLOOKUP(R387,KEY_Processes!$C$55:$E$130,3,FALSE)</f>
        <v>H_BS_GAS01</v>
      </c>
      <c r="AA387" s="363" t="str">
        <f>VLOOKUP(R387,KEY_Processes!$C$55:$E$130,2,FALSE)</f>
        <v>H_GasBoiler_GAS_SMALL</v>
      </c>
      <c r="AB387" s="363" t="str">
        <f>VLOOKUP(U387,KEY_FUELS!$C$4:$D$77,2,FALSE)</f>
        <v>GAS</v>
      </c>
      <c r="AC387" s="363" t="s">
        <v>150</v>
      </c>
      <c r="AD387" s="363" t="s">
        <v>244</v>
      </c>
      <c r="AE387" s="363" t="s">
        <v>152</v>
      </c>
      <c r="AF387" s="366" t="str">
        <f>VLOOKUP(W387,KEY_Other!$B$37:$C$89,2,FALSE)</f>
        <v>EUR</v>
      </c>
      <c r="AG387" s="439"/>
      <c r="AH387" s="363" t="str">
        <f>AC387&amp;VLOOKUP(U387,KEY_FUELS!$C$4:$D$78,2,FALSE)</f>
        <v>RSDGAS</v>
      </c>
      <c r="AI387" s="363" t="str">
        <f>IFERROR(AC387&amp;VLOOKUP(V387,KEY_FUELS!$C$4:$D$78,2,FALSE),"")</f>
        <v/>
      </c>
      <c r="AJ387" s="363" t="str">
        <f t="shared" si="105"/>
        <v>RHAP</v>
      </c>
      <c r="AK387" s="363" t="str">
        <f t="shared" si="107"/>
        <v/>
      </c>
      <c r="AL387" s="363" t="str">
        <f t="shared" si="108"/>
        <v/>
      </c>
      <c r="AM387" s="364">
        <v>31.536000000000001</v>
      </c>
      <c r="AN387" s="439">
        <v>2030</v>
      </c>
      <c r="AO387" s="468"/>
      <c r="AP387" s="441"/>
      <c r="AQ387" s="445"/>
      <c r="AR387" s="441"/>
      <c r="AS387" s="441"/>
      <c r="AT387" s="441"/>
      <c r="AU387" s="445"/>
      <c r="AV387" s="445"/>
      <c r="AW387" s="445"/>
      <c r="AX387" s="441"/>
      <c r="AY387" s="439"/>
      <c r="AZ387" s="445">
        <v>0.96</v>
      </c>
      <c r="BA387" s="441"/>
      <c r="BB387" s="441"/>
      <c r="BC387" s="439"/>
      <c r="BD387" s="441"/>
      <c r="BE387" s="441"/>
      <c r="BF387" s="439"/>
      <c r="BG387" s="439"/>
      <c r="BH387" s="439"/>
      <c r="BI387" s="439">
        <v>20</v>
      </c>
      <c r="BJ387" s="439"/>
      <c r="BK387" s="440">
        <v>109</v>
      </c>
      <c r="BL387" s="439"/>
      <c r="BM387" s="439"/>
      <c r="BN387" s="439"/>
      <c r="BO387" s="439"/>
      <c r="BP387" s="439"/>
      <c r="BQ387" s="439"/>
      <c r="BR387" s="441">
        <v>1.3709677419354838</v>
      </c>
      <c r="BS387" s="439"/>
      <c r="BT387" s="439"/>
      <c r="BU387" s="439"/>
      <c r="BV387" s="439"/>
      <c r="BW387" s="439"/>
      <c r="BX387" s="469"/>
    </row>
    <row r="388" spans="10:76" x14ac:dyDescent="0.3">
      <c r="J388" s="378" t="s">
        <v>238</v>
      </c>
      <c r="K388" s="379" t="s">
        <v>135</v>
      </c>
      <c r="L388" s="379"/>
      <c r="M388" s="379" t="s">
        <v>239</v>
      </c>
      <c r="N388" s="379" t="s">
        <v>240</v>
      </c>
      <c r="O388" s="379" t="s">
        <v>136</v>
      </c>
      <c r="P388" s="379">
        <v>2018</v>
      </c>
      <c r="Q388" s="420" t="s">
        <v>270</v>
      </c>
      <c r="R388" s="421" t="s">
        <v>316</v>
      </c>
      <c r="S388" s="427"/>
      <c r="T388" s="427"/>
      <c r="U388" s="379" t="s">
        <v>207</v>
      </c>
      <c r="V388" s="379"/>
      <c r="W388" s="379" t="s">
        <v>243</v>
      </c>
      <c r="X388" s="379">
        <v>2019</v>
      </c>
      <c r="Y388" s="427"/>
      <c r="Z388" s="379" t="str">
        <f>VLOOKUP(R388,KEY_Processes!$C$55:$E$130,3,FALSE)</f>
        <v>HW_BS_GAS01</v>
      </c>
      <c r="AA388" s="379" t="str">
        <f>VLOOKUP(R388,KEY_Processes!$C$55:$E$130,2,FALSE)</f>
        <v>HW_GasBoiler_GAS_SMALL</v>
      </c>
      <c r="AB388" s="379" t="str">
        <f>VLOOKUP(U388,KEY_FUELS!$C$4:$D$77,2,FALSE)</f>
        <v>GAS</v>
      </c>
      <c r="AC388" s="379" t="s">
        <v>150</v>
      </c>
      <c r="AD388" s="379" t="s">
        <v>244</v>
      </c>
      <c r="AE388" s="379" t="s">
        <v>152</v>
      </c>
      <c r="AF388" s="382" t="str">
        <f>VLOOKUP(W388,KEY_Other!$B$37:$C$89,2,FALSE)</f>
        <v>EUR</v>
      </c>
      <c r="AG388" s="427"/>
      <c r="AH388" s="379" t="str">
        <f>AC388&amp;VLOOKUP(U388,KEY_FUELS!$C$4:$D$78,2,FALSE)</f>
        <v>RSDGAS</v>
      </c>
      <c r="AI388" s="379" t="str">
        <f>IFERROR(AC388&amp;VLOOKUP(V388,KEY_FUELS!$C$4:$D$78,2,FALSE),"")</f>
        <v/>
      </c>
      <c r="AJ388" s="379" t="str">
        <f t="shared" si="105"/>
        <v>RHAP</v>
      </c>
      <c r="AK388" s="379" t="str">
        <f t="shared" si="107"/>
        <v>RWAP</v>
      </c>
      <c r="AL388" s="379" t="str">
        <f t="shared" si="108"/>
        <v/>
      </c>
      <c r="AM388" s="380">
        <v>31.536000000000001</v>
      </c>
      <c r="AN388" s="427">
        <v>2019</v>
      </c>
      <c r="AO388" s="470">
        <v>1</v>
      </c>
      <c r="AP388" s="429"/>
      <c r="AQ388" s="467"/>
      <c r="AR388" s="429"/>
      <c r="AS388" s="429"/>
      <c r="AT388" s="424" t="s">
        <v>161</v>
      </c>
      <c r="AU388" s="386">
        <v>0.48</v>
      </c>
      <c r="AV388" s="467"/>
      <c r="AW388" s="467"/>
      <c r="AX388" s="429"/>
      <c r="AY388" s="427"/>
      <c r="AZ388" s="467">
        <v>0.9</v>
      </c>
      <c r="BA388" s="429"/>
      <c r="BB388" s="429"/>
      <c r="BC388" s="427"/>
      <c r="BD388" s="429"/>
      <c r="BE388" s="429"/>
      <c r="BF388" s="427"/>
      <c r="BG388" s="427"/>
      <c r="BH388" s="427"/>
      <c r="BI388" s="427">
        <v>20</v>
      </c>
      <c r="BJ388" s="427"/>
      <c r="BK388" s="428">
        <v>80</v>
      </c>
      <c r="BL388" s="427"/>
      <c r="BM388" s="427"/>
      <c r="BN388" s="427"/>
      <c r="BO388" s="427"/>
      <c r="BP388" s="427"/>
      <c r="BQ388" s="427"/>
      <c r="BR388" s="429">
        <v>1.3709677419354838</v>
      </c>
      <c r="BS388" s="427"/>
      <c r="BT388" s="427"/>
      <c r="BU388" s="427"/>
      <c r="BV388" s="427"/>
      <c r="BW388" s="427"/>
      <c r="BX388" s="471"/>
    </row>
    <row r="389" spans="10:76" x14ac:dyDescent="0.3">
      <c r="J389" s="362" t="s">
        <v>238</v>
      </c>
      <c r="K389" s="363" t="s">
        <v>135</v>
      </c>
      <c r="L389" s="363"/>
      <c r="M389" s="363" t="s">
        <v>239</v>
      </c>
      <c r="N389" s="363" t="s">
        <v>240</v>
      </c>
      <c r="O389" s="363" t="s">
        <v>136</v>
      </c>
      <c r="P389" s="363">
        <v>2018</v>
      </c>
      <c r="Q389" s="432" t="s">
        <v>270</v>
      </c>
      <c r="R389" s="433" t="s">
        <v>316</v>
      </c>
      <c r="S389" s="439"/>
      <c r="T389" s="439"/>
      <c r="U389" s="363" t="s">
        <v>207</v>
      </c>
      <c r="V389" s="363"/>
      <c r="W389" s="363" t="s">
        <v>243</v>
      </c>
      <c r="X389" s="363">
        <v>2019</v>
      </c>
      <c r="Y389" s="439"/>
      <c r="Z389" s="363" t="str">
        <f>VLOOKUP(R389,KEY_Processes!$C$55:$E$130,3,FALSE)</f>
        <v>HW_BS_GAS01</v>
      </c>
      <c r="AA389" s="363" t="str">
        <f>VLOOKUP(R389,KEY_Processes!$C$55:$E$130,2,FALSE)</f>
        <v>HW_GasBoiler_GAS_SMALL</v>
      </c>
      <c r="AB389" s="363" t="str">
        <f>VLOOKUP(U389,KEY_FUELS!$C$4:$D$77,2,FALSE)</f>
        <v>GAS</v>
      </c>
      <c r="AC389" s="363" t="s">
        <v>150</v>
      </c>
      <c r="AD389" s="363" t="s">
        <v>244</v>
      </c>
      <c r="AE389" s="363" t="s">
        <v>152</v>
      </c>
      <c r="AF389" s="366" t="str">
        <f>VLOOKUP(W389,KEY_Other!$B$37:$C$89,2,FALSE)</f>
        <v>EUR</v>
      </c>
      <c r="AG389" s="439"/>
      <c r="AH389" s="363" t="str">
        <f>AC389&amp;VLOOKUP(U389,KEY_FUELS!$C$4:$D$78,2,FALSE)</f>
        <v>RSDGAS</v>
      </c>
      <c r="AI389" s="363" t="str">
        <f>IFERROR(AC389&amp;VLOOKUP(V389,KEY_FUELS!$C$4:$D$78,2,FALSE),"")</f>
        <v/>
      </c>
      <c r="AJ389" s="363" t="str">
        <f t="shared" ref="AJ389:AJ391" si="110">LEFT(AC389,1)&amp;LEFT(AA389,1)&amp;AD389</f>
        <v>RHAP</v>
      </c>
      <c r="AK389" s="363" t="str">
        <f t="shared" si="107"/>
        <v>RWAP</v>
      </c>
      <c r="AL389" s="363" t="str">
        <f t="shared" si="108"/>
        <v/>
      </c>
      <c r="AM389" s="364">
        <v>31.536000000000001</v>
      </c>
      <c r="AN389" s="439">
        <v>2019</v>
      </c>
      <c r="AO389" s="468">
        <v>1</v>
      </c>
      <c r="AP389" s="441"/>
      <c r="AQ389" s="445"/>
      <c r="AR389" s="441"/>
      <c r="AS389" s="441"/>
      <c r="AT389" s="436" t="s">
        <v>248</v>
      </c>
      <c r="AU389" s="370">
        <v>0.55000000000000004</v>
      </c>
      <c r="AV389" s="445"/>
      <c r="AW389" s="445"/>
      <c r="AX389" s="441"/>
      <c r="AY389" s="439"/>
      <c r="AZ389" s="445">
        <v>0.9</v>
      </c>
      <c r="BA389" s="441"/>
      <c r="BB389" s="441"/>
      <c r="BC389" s="439"/>
      <c r="BD389" s="441"/>
      <c r="BE389" s="441"/>
      <c r="BF389" s="439"/>
      <c r="BG389" s="439"/>
      <c r="BH389" s="439"/>
      <c r="BI389" s="439">
        <v>20</v>
      </c>
      <c r="BJ389" s="439"/>
      <c r="BK389" s="440">
        <v>80</v>
      </c>
      <c r="BL389" s="439"/>
      <c r="BM389" s="439"/>
      <c r="BN389" s="439"/>
      <c r="BO389" s="439"/>
      <c r="BP389" s="439"/>
      <c r="BQ389" s="439"/>
      <c r="BR389" s="441">
        <v>1.3709677419354838</v>
      </c>
      <c r="BS389" s="439"/>
      <c r="BT389" s="439"/>
      <c r="BU389" s="439"/>
      <c r="BV389" s="439"/>
      <c r="BW389" s="439"/>
      <c r="BX389" s="469"/>
    </row>
    <row r="390" spans="10:76" x14ac:dyDescent="0.3">
      <c r="J390" s="378" t="s">
        <v>238</v>
      </c>
      <c r="K390" s="379" t="s">
        <v>135</v>
      </c>
      <c r="L390" s="379"/>
      <c r="M390" s="379" t="s">
        <v>239</v>
      </c>
      <c r="N390" s="379" t="s">
        <v>240</v>
      </c>
      <c r="O390" s="379" t="s">
        <v>136</v>
      </c>
      <c r="P390" s="379">
        <v>2018</v>
      </c>
      <c r="Q390" s="420" t="s">
        <v>270</v>
      </c>
      <c r="R390" s="421" t="s">
        <v>316</v>
      </c>
      <c r="S390" s="427"/>
      <c r="T390" s="427"/>
      <c r="U390" s="379" t="s">
        <v>207</v>
      </c>
      <c r="V390" s="379"/>
      <c r="W390" s="379" t="s">
        <v>243</v>
      </c>
      <c r="X390" s="379">
        <v>2019</v>
      </c>
      <c r="Y390" s="427"/>
      <c r="Z390" s="379" t="str">
        <f>VLOOKUP(R390,KEY_Processes!$C$55:$E$130,3,FALSE)</f>
        <v>HW_BS_GAS01</v>
      </c>
      <c r="AA390" s="379" t="str">
        <f>VLOOKUP(R390,KEY_Processes!$C$55:$E$130,2,FALSE)</f>
        <v>HW_GasBoiler_GAS_SMALL</v>
      </c>
      <c r="AB390" s="379" t="str">
        <f>VLOOKUP(U390,KEY_FUELS!$C$4:$D$77,2,FALSE)</f>
        <v>GAS</v>
      </c>
      <c r="AC390" s="379" t="s">
        <v>150</v>
      </c>
      <c r="AD390" s="379" t="s">
        <v>244</v>
      </c>
      <c r="AE390" s="379" t="s">
        <v>152</v>
      </c>
      <c r="AF390" s="382" t="str">
        <f>VLOOKUP(W390,KEY_Other!$B$37:$C$89,2,FALSE)</f>
        <v>EUR</v>
      </c>
      <c r="AG390" s="427"/>
      <c r="AH390" s="379" t="str">
        <f>AC390&amp;VLOOKUP(U390,KEY_FUELS!$C$4:$D$78,2,FALSE)</f>
        <v>RSDGAS</v>
      </c>
      <c r="AI390" s="379" t="str">
        <f>IFERROR(AC390&amp;VLOOKUP(V390,KEY_FUELS!$C$4:$D$78,2,FALSE),"")</f>
        <v/>
      </c>
      <c r="AJ390" s="379" t="str">
        <f t="shared" si="110"/>
        <v>RHAP</v>
      </c>
      <c r="AK390" s="379" t="str">
        <f t="shared" si="107"/>
        <v>RWAP</v>
      </c>
      <c r="AL390" s="379" t="str">
        <f t="shared" si="108"/>
        <v/>
      </c>
      <c r="AM390" s="380">
        <v>31.536000000000001</v>
      </c>
      <c r="AN390" s="427">
        <v>2019</v>
      </c>
      <c r="AO390" s="470">
        <v>1</v>
      </c>
      <c r="AP390" s="429"/>
      <c r="AQ390" s="467"/>
      <c r="AR390" s="429"/>
      <c r="AS390" s="429"/>
      <c r="AT390" s="424" t="s">
        <v>158</v>
      </c>
      <c r="AU390" s="386">
        <v>0.63</v>
      </c>
      <c r="AV390" s="467"/>
      <c r="AW390" s="467"/>
      <c r="AX390" s="429"/>
      <c r="AY390" s="427"/>
      <c r="AZ390" s="467">
        <v>0.9</v>
      </c>
      <c r="BA390" s="429"/>
      <c r="BB390" s="429"/>
      <c r="BC390" s="427"/>
      <c r="BD390" s="429"/>
      <c r="BE390" s="429"/>
      <c r="BF390" s="427"/>
      <c r="BG390" s="427"/>
      <c r="BH390" s="427"/>
      <c r="BI390" s="427">
        <v>20</v>
      </c>
      <c r="BJ390" s="427"/>
      <c r="BK390" s="428">
        <v>80</v>
      </c>
      <c r="BL390" s="427"/>
      <c r="BM390" s="427"/>
      <c r="BN390" s="427"/>
      <c r="BO390" s="427"/>
      <c r="BP390" s="427"/>
      <c r="BQ390" s="427"/>
      <c r="BR390" s="429">
        <v>1.3709677419354838</v>
      </c>
      <c r="BS390" s="427"/>
      <c r="BT390" s="427"/>
      <c r="BU390" s="427"/>
      <c r="BV390" s="427"/>
      <c r="BW390" s="427"/>
      <c r="BX390" s="471"/>
    </row>
    <row r="391" spans="10:76" x14ac:dyDescent="0.3">
      <c r="J391" s="362" t="s">
        <v>238</v>
      </c>
      <c r="K391" s="363" t="s">
        <v>135</v>
      </c>
      <c r="L391" s="363"/>
      <c r="M391" s="363" t="s">
        <v>239</v>
      </c>
      <c r="N391" s="363" t="s">
        <v>240</v>
      </c>
      <c r="O391" s="363" t="s">
        <v>136</v>
      </c>
      <c r="P391" s="363">
        <v>2018</v>
      </c>
      <c r="Q391" s="432" t="s">
        <v>270</v>
      </c>
      <c r="R391" s="433" t="s">
        <v>316</v>
      </c>
      <c r="S391" s="439"/>
      <c r="T391" s="439"/>
      <c r="U391" s="363" t="s">
        <v>207</v>
      </c>
      <c r="V391" s="363"/>
      <c r="W391" s="363" t="s">
        <v>243</v>
      </c>
      <c r="X391" s="363">
        <v>2019</v>
      </c>
      <c r="Y391" s="439"/>
      <c r="Z391" s="363" t="str">
        <f>VLOOKUP(R391,KEY_Processes!$C$55:$E$130,3,FALSE)</f>
        <v>HW_BS_GAS01</v>
      </c>
      <c r="AA391" s="363" t="str">
        <f>VLOOKUP(R391,KEY_Processes!$C$55:$E$130,2,FALSE)</f>
        <v>HW_GasBoiler_GAS_SMALL</v>
      </c>
      <c r="AB391" s="363" t="str">
        <f>VLOOKUP(U391,KEY_FUELS!$C$4:$D$77,2,FALSE)</f>
        <v>GAS</v>
      </c>
      <c r="AC391" s="363" t="s">
        <v>150</v>
      </c>
      <c r="AD391" s="363" t="s">
        <v>244</v>
      </c>
      <c r="AE391" s="363" t="s">
        <v>152</v>
      </c>
      <c r="AF391" s="366" t="str">
        <f>VLOOKUP(W391,KEY_Other!$B$37:$C$89,2,FALSE)</f>
        <v>EUR</v>
      </c>
      <c r="AG391" s="439"/>
      <c r="AH391" s="363" t="str">
        <f>AC391&amp;VLOOKUP(U391,KEY_FUELS!$C$4:$D$78,2,FALSE)</f>
        <v>RSDGAS</v>
      </c>
      <c r="AI391" s="363" t="str">
        <f>IFERROR(AC391&amp;VLOOKUP(V391,KEY_FUELS!$C$4:$D$78,2,FALSE),"")</f>
        <v/>
      </c>
      <c r="AJ391" s="363" t="str">
        <f t="shared" si="110"/>
        <v>RHAP</v>
      </c>
      <c r="AK391" s="363" t="str">
        <f t="shared" si="107"/>
        <v>RWAP</v>
      </c>
      <c r="AL391" s="363" t="str">
        <f t="shared" si="108"/>
        <v/>
      </c>
      <c r="AM391" s="364">
        <v>31.536000000000001</v>
      </c>
      <c r="AN391" s="439">
        <v>2019</v>
      </c>
      <c r="AO391" s="468">
        <v>1</v>
      </c>
      <c r="AP391" s="441"/>
      <c r="AQ391" s="445"/>
      <c r="AR391" s="441"/>
      <c r="AS391" s="441"/>
      <c r="AT391" s="436" t="s">
        <v>249</v>
      </c>
      <c r="AU391" s="437">
        <v>0.72</v>
      </c>
      <c r="AV391" s="445"/>
      <c r="AW391" s="445"/>
      <c r="AX391" s="441"/>
      <c r="AY391" s="439"/>
      <c r="AZ391" s="445">
        <v>0.9</v>
      </c>
      <c r="BA391" s="441"/>
      <c r="BB391" s="441"/>
      <c r="BC391" s="439"/>
      <c r="BD391" s="441"/>
      <c r="BE391" s="441"/>
      <c r="BF391" s="439"/>
      <c r="BG391" s="439"/>
      <c r="BH391" s="439"/>
      <c r="BI391" s="439">
        <v>20</v>
      </c>
      <c r="BJ391" s="439"/>
      <c r="BK391" s="440">
        <v>80</v>
      </c>
      <c r="BL391" s="439"/>
      <c r="BM391" s="439"/>
      <c r="BN391" s="439"/>
      <c r="BO391" s="439"/>
      <c r="BP391" s="439"/>
      <c r="BQ391" s="439"/>
      <c r="BR391" s="441">
        <v>1.3709677419354838</v>
      </c>
      <c r="BS391" s="439"/>
      <c r="BT391" s="439"/>
      <c r="BU391" s="439"/>
      <c r="BV391" s="439"/>
      <c r="BW391" s="439"/>
      <c r="BX391" s="469"/>
    </row>
    <row r="392" spans="10:76" x14ac:dyDescent="0.3">
      <c r="J392" s="378" t="s">
        <v>238</v>
      </c>
      <c r="K392" s="379" t="s">
        <v>135</v>
      </c>
      <c r="L392" s="379"/>
      <c r="M392" s="379" t="s">
        <v>239</v>
      </c>
      <c r="N392" s="379" t="s">
        <v>240</v>
      </c>
      <c r="O392" s="379" t="s">
        <v>136</v>
      </c>
      <c r="P392" s="379">
        <v>2018</v>
      </c>
      <c r="Q392" s="420" t="s">
        <v>270</v>
      </c>
      <c r="R392" s="421" t="s">
        <v>316</v>
      </c>
      <c r="S392" s="427"/>
      <c r="T392" s="427"/>
      <c r="U392" s="379" t="s">
        <v>207</v>
      </c>
      <c r="V392" s="379"/>
      <c r="W392" s="379" t="s">
        <v>243</v>
      </c>
      <c r="X392" s="379">
        <v>2030</v>
      </c>
      <c r="Y392" s="427"/>
      <c r="Z392" s="379" t="str">
        <f>VLOOKUP(R392,KEY_Processes!$C$55:$E$130,3,FALSE)</f>
        <v>HW_BS_GAS01</v>
      </c>
      <c r="AA392" s="379" t="str">
        <f>VLOOKUP(R392,KEY_Processes!$C$55:$E$130,2,FALSE)</f>
        <v>HW_GasBoiler_GAS_SMALL</v>
      </c>
      <c r="AB392" s="379" t="str">
        <f>VLOOKUP(U392,KEY_FUELS!$C$4:$D$77,2,FALSE)</f>
        <v>GAS</v>
      </c>
      <c r="AC392" s="379" t="s">
        <v>150</v>
      </c>
      <c r="AD392" s="379" t="s">
        <v>244</v>
      </c>
      <c r="AE392" s="379" t="s">
        <v>152</v>
      </c>
      <c r="AF392" s="382" t="str">
        <f>VLOOKUP(W392,KEY_Other!$B$37:$C$89,2,FALSE)</f>
        <v>EUR</v>
      </c>
      <c r="AG392" s="427"/>
      <c r="AH392" s="379" t="str">
        <f>AC392&amp;VLOOKUP(U392,KEY_FUELS!$C$4:$D$78,2,FALSE)</f>
        <v>RSDGAS</v>
      </c>
      <c r="AI392" s="379" t="str">
        <f>IFERROR(AC392&amp;VLOOKUP(V392,KEY_FUELS!$C$4:$D$78,2,FALSE),"")</f>
        <v/>
      </c>
      <c r="AJ392" s="379" t="str">
        <f t="shared" si="105"/>
        <v>RHAP</v>
      </c>
      <c r="AK392" s="379" t="str">
        <f t="shared" si="107"/>
        <v>RWAP</v>
      </c>
      <c r="AL392" s="379" t="str">
        <f t="shared" si="108"/>
        <v/>
      </c>
      <c r="AM392" s="380">
        <v>31.536000000000001</v>
      </c>
      <c r="AN392" s="427">
        <v>2030</v>
      </c>
      <c r="AO392" s="470"/>
      <c r="AP392" s="429"/>
      <c r="AQ392" s="467"/>
      <c r="AR392" s="429"/>
      <c r="AS392" s="429"/>
      <c r="AT392" s="429"/>
      <c r="AU392" s="467"/>
      <c r="AV392" s="467"/>
      <c r="AW392" s="467"/>
      <c r="AX392" s="429"/>
      <c r="AY392" s="427"/>
      <c r="AZ392" s="467">
        <v>0.96</v>
      </c>
      <c r="BA392" s="429"/>
      <c r="BB392" s="429"/>
      <c r="BC392" s="427"/>
      <c r="BD392" s="429"/>
      <c r="BE392" s="429"/>
      <c r="BF392" s="427"/>
      <c r="BG392" s="427"/>
      <c r="BH392" s="427"/>
      <c r="BI392" s="427">
        <v>20</v>
      </c>
      <c r="BJ392" s="427"/>
      <c r="BK392" s="428">
        <v>120</v>
      </c>
      <c r="BL392" s="427"/>
      <c r="BM392" s="427"/>
      <c r="BN392" s="427"/>
      <c r="BO392" s="427"/>
      <c r="BP392" s="427"/>
      <c r="BQ392" s="427"/>
      <c r="BR392" s="429">
        <v>1.3709677419354838</v>
      </c>
      <c r="BS392" s="427"/>
      <c r="BT392" s="427"/>
      <c r="BU392" s="427"/>
      <c r="BV392" s="427"/>
      <c r="BW392" s="427"/>
      <c r="BX392" s="471"/>
    </row>
    <row r="393" spans="10:76" x14ac:dyDescent="0.3">
      <c r="J393" s="362" t="s">
        <v>238</v>
      </c>
      <c r="K393" s="363" t="s">
        <v>135</v>
      </c>
      <c r="L393" s="363"/>
      <c r="M393" s="363" t="s">
        <v>239</v>
      </c>
      <c r="N393" s="363" t="s">
        <v>240</v>
      </c>
      <c r="O393" s="363" t="s">
        <v>136</v>
      </c>
      <c r="P393" s="363">
        <v>2018</v>
      </c>
      <c r="Q393" s="432" t="s">
        <v>273</v>
      </c>
      <c r="R393" s="433" t="s">
        <v>317</v>
      </c>
      <c r="S393" s="439"/>
      <c r="T393" s="439"/>
      <c r="U393" s="363" t="s">
        <v>207</v>
      </c>
      <c r="V393" s="363"/>
      <c r="W393" s="363" t="s">
        <v>243</v>
      </c>
      <c r="X393" s="363">
        <v>2019</v>
      </c>
      <c r="Y393" s="439"/>
      <c r="Z393" s="363" t="str">
        <f>VLOOKUP(R393,KEY_Processes!$C$55:$E$130,3,FALSE)</f>
        <v>W_FS_GAS01</v>
      </c>
      <c r="AA393" s="363" t="str">
        <f>VLOOKUP(R393,KEY_Processes!$C$55:$E$130,2,FALSE)</f>
        <v>W_GasFurnace_GAS_SMALL</v>
      </c>
      <c r="AB393" s="363" t="str">
        <f>VLOOKUP(U393,KEY_FUELS!$C$4:$D$77,2,FALSE)</f>
        <v>GAS</v>
      </c>
      <c r="AC393" s="363" t="s">
        <v>150</v>
      </c>
      <c r="AD393" s="363" t="s">
        <v>244</v>
      </c>
      <c r="AE393" s="363" t="s">
        <v>152</v>
      </c>
      <c r="AF393" s="366" t="str">
        <f>VLOOKUP(W393,KEY_Other!$B$37:$C$89,2,FALSE)</f>
        <v>EUR</v>
      </c>
      <c r="AG393" s="439"/>
      <c r="AH393" s="363" t="str">
        <f>AC393&amp;VLOOKUP(U393,KEY_FUELS!$C$4:$D$78,2,FALSE)</f>
        <v>RSDGAS</v>
      </c>
      <c r="AI393" s="363" t="str">
        <f>IFERROR(AC393&amp;VLOOKUP(V393,KEY_FUELS!$C$4:$D$78,2,FALSE),"")</f>
        <v/>
      </c>
      <c r="AJ393" s="363" t="str">
        <f t="shared" si="105"/>
        <v>RWAP</v>
      </c>
      <c r="AK393" s="363" t="str">
        <f t="shared" si="107"/>
        <v/>
      </c>
      <c r="AL393" s="363" t="str">
        <f t="shared" si="108"/>
        <v/>
      </c>
      <c r="AM393" s="364">
        <v>31.536000000000001</v>
      </c>
      <c r="AN393" s="439">
        <v>2019</v>
      </c>
      <c r="AO393" s="468"/>
      <c r="AP393" s="441"/>
      <c r="AQ393" s="445"/>
      <c r="AR393" s="441"/>
      <c r="AS393" s="441"/>
      <c r="AT393" s="441"/>
      <c r="AU393" s="445"/>
      <c r="AV393" s="445"/>
      <c r="AW393" s="445"/>
      <c r="AX393" s="441"/>
      <c r="AY393" s="439"/>
      <c r="AZ393" s="445">
        <v>0.8</v>
      </c>
      <c r="BA393" s="441"/>
      <c r="BB393" s="441"/>
      <c r="BC393" s="439"/>
      <c r="BD393" s="441"/>
      <c r="BE393" s="441"/>
      <c r="BF393" s="439"/>
      <c r="BG393" s="439"/>
      <c r="BH393" s="439"/>
      <c r="BI393" s="439">
        <v>20</v>
      </c>
      <c r="BJ393" s="439"/>
      <c r="BK393" s="440">
        <v>39</v>
      </c>
      <c r="BL393" s="439"/>
      <c r="BM393" s="439"/>
      <c r="BN393" s="439"/>
      <c r="BO393" s="439"/>
      <c r="BP393" s="439"/>
      <c r="BQ393" s="439"/>
      <c r="BR393" s="441">
        <v>1.7386363636363635</v>
      </c>
      <c r="BS393" s="439"/>
      <c r="BT393" s="439"/>
      <c r="BU393" s="439"/>
      <c r="BV393" s="439"/>
      <c r="BW393" s="439"/>
      <c r="BX393" s="469"/>
    </row>
    <row r="394" spans="10:76" x14ac:dyDescent="0.3">
      <c r="J394" s="378" t="s">
        <v>238</v>
      </c>
      <c r="K394" s="379" t="s">
        <v>135</v>
      </c>
      <c r="L394" s="379"/>
      <c r="M394" s="379" t="s">
        <v>239</v>
      </c>
      <c r="N394" s="379" t="s">
        <v>240</v>
      </c>
      <c r="O394" s="379" t="s">
        <v>136</v>
      </c>
      <c r="P394" s="379">
        <v>2018</v>
      </c>
      <c r="Q394" s="420" t="s">
        <v>273</v>
      </c>
      <c r="R394" s="421" t="s">
        <v>317</v>
      </c>
      <c r="S394" s="427"/>
      <c r="T394" s="427"/>
      <c r="U394" s="379" t="s">
        <v>207</v>
      </c>
      <c r="V394" s="379"/>
      <c r="W394" s="379" t="s">
        <v>243</v>
      </c>
      <c r="X394" s="379">
        <v>2030</v>
      </c>
      <c r="Y394" s="427"/>
      <c r="Z394" s="379" t="str">
        <f>VLOOKUP(R394,KEY_Processes!$C$55:$E$130,3,FALSE)</f>
        <v>W_FS_GAS01</v>
      </c>
      <c r="AA394" s="379" t="str">
        <f>VLOOKUP(R394,KEY_Processes!$C$55:$E$130,2,FALSE)</f>
        <v>W_GasFurnace_GAS_SMALL</v>
      </c>
      <c r="AB394" s="379" t="str">
        <f>VLOOKUP(U394,KEY_FUELS!$C$4:$D$77,2,FALSE)</f>
        <v>GAS</v>
      </c>
      <c r="AC394" s="379" t="s">
        <v>150</v>
      </c>
      <c r="AD394" s="379" t="s">
        <v>244</v>
      </c>
      <c r="AE394" s="379" t="s">
        <v>152</v>
      </c>
      <c r="AF394" s="382" t="str">
        <f>VLOOKUP(W394,KEY_Other!$B$37:$C$89,2,FALSE)</f>
        <v>EUR</v>
      </c>
      <c r="AG394" s="427"/>
      <c r="AH394" s="379" t="str">
        <f>AC394&amp;VLOOKUP(U394,KEY_FUELS!$C$4:$D$78,2,FALSE)</f>
        <v>RSDGAS</v>
      </c>
      <c r="AI394" s="379" t="str">
        <f>IFERROR(AC394&amp;VLOOKUP(V394,KEY_FUELS!$C$4:$D$78,2,FALSE),"")</f>
        <v/>
      </c>
      <c r="AJ394" s="379" t="str">
        <f t="shared" si="105"/>
        <v>RWAP</v>
      </c>
      <c r="AK394" s="379" t="str">
        <f t="shared" si="107"/>
        <v/>
      </c>
      <c r="AL394" s="379" t="str">
        <f t="shared" si="108"/>
        <v/>
      </c>
      <c r="AM394" s="380">
        <v>31.536000000000001</v>
      </c>
      <c r="AN394" s="427">
        <v>2030</v>
      </c>
      <c r="AO394" s="470"/>
      <c r="AP394" s="429"/>
      <c r="AQ394" s="467"/>
      <c r="AR394" s="429"/>
      <c r="AS394" s="429"/>
      <c r="AT394" s="429"/>
      <c r="AU394" s="467"/>
      <c r="AV394" s="467"/>
      <c r="AW394" s="467"/>
      <c r="AX394" s="429"/>
      <c r="AY394" s="427"/>
      <c r="AZ394" s="467">
        <v>0.9</v>
      </c>
      <c r="BA394" s="429"/>
      <c r="BB394" s="429"/>
      <c r="BC394" s="427"/>
      <c r="BD394" s="429"/>
      <c r="BE394" s="429"/>
      <c r="BF394" s="427"/>
      <c r="BG394" s="427"/>
      <c r="BH394" s="427"/>
      <c r="BI394" s="427">
        <v>20</v>
      </c>
      <c r="BJ394" s="427"/>
      <c r="BK394" s="428">
        <v>54</v>
      </c>
      <c r="BL394" s="427"/>
      <c r="BM394" s="427"/>
      <c r="BN394" s="427"/>
      <c r="BO394" s="427"/>
      <c r="BP394" s="427"/>
      <c r="BQ394" s="427"/>
      <c r="BR394" s="429">
        <v>1.7386363636363635</v>
      </c>
      <c r="BS394" s="427"/>
      <c r="BT394" s="427"/>
      <c r="BU394" s="427"/>
      <c r="BV394" s="427"/>
      <c r="BW394" s="427"/>
      <c r="BX394" s="471"/>
    </row>
    <row r="395" spans="10:76" x14ac:dyDescent="0.3">
      <c r="J395" s="362" t="s">
        <v>238</v>
      </c>
      <c r="K395" s="363" t="s">
        <v>135</v>
      </c>
      <c r="L395" s="363"/>
      <c r="M395" s="363" t="s">
        <v>239</v>
      </c>
      <c r="N395" s="363" t="s">
        <v>240</v>
      </c>
      <c r="O395" s="363" t="s">
        <v>136</v>
      </c>
      <c r="P395" s="363">
        <v>2018</v>
      </c>
      <c r="Q395" s="432" t="s">
        <v>273</v>
      </c>
      <c r="R395" s="433" t="s">
        <v>318</v>
      </c>
      <c r="S395" s="439"/>
      <c r="T395" s="439"/>
      <c r="U395" s="363" t="s">
        <v>207</v>
      </c>
      <c r="V395" s="363"/>
      <c r="W395" s="363" t="s">
        <v>243</v>
      </c>
      <c r="X395" s="363">
        <v>2019</v>
      </c>
      <c r="Y395" s="439"/>
      <c r="Z395" s="363" t="str">
        <f>VLOOKUP(R395,KEY_Processes!$C$55:$E$130,3,FALSE)</f>
        <v>H_FS_GAS01</v>
      </c>
      <c r="AA395" s="363" t="str">
        <f>VLOOKUP(R395,KEY_Processes!$C$55:$E$130,2,FALSE)</f>
        <v>H_GasFurnace_GAS_SMALL</v>
      </c>
      <c r="AB395" s="363" t="str">
        <f>VLOOKUP(U395,KEY_FUELS!$C$4:$D$77,2,FALSE)</f>
        <v>GAS</v>
      </c>
      <c r="AC395" s="363" t="s">
        <v>150</v>
      </c>
      <c r="AD395" s="363" t="s">
        <v>244</v>
      </c>
      <c r="AE395" s="363" t="s">
        <v>152</v>
      </c>
      <c r="AF395" s="366" t="str">
        <f>VLOOKUP(W395,KEY_Other!$B$37:$C$89,2,FALSE)</f>
        <v>EUR</v>
      </c>
      <c r="AG395" s="439"/>
      <c r="AH395" s="363" t="str">
        <f>AC395&amp;VLOOKUP(U395,KEY_FUELS!$C$4:$D$78,2,FALSE)</f>
        <v>RSDGAS</v>
      </c>
      <c r="AI395" s="363" t="str">
        <f>IFERROR(AC395&amp;VLOOKUP(V395,KEY_FUELS!$C$4:$D$78,2,FALSE),"")</f>
        <v/>
      </c>
      <c r="AJ395" s="363" t="str">
        <f t="shared" si="105"/>
        <v>RHAP</v>
      </c>
      <c r="AK395" s="363" t="str">
        <f t="shared" si="107"/>
        <v/>
      </c>
      <c r="AL395" s="363" t="str">
        <f t="shared" si="108"/>
        <v/>
      </c>
      <c r="AM395" s="364">
        <v>31.536000000000001</v>
      </c>
      <c r="AN395" s="439">
        <v>2019</v>
      </c>
      <c r="AO395" s="468"/>
      <c r="AP395" s="441"/>
      <c r="AQ395" s="445"/>
      <c r="AR395" s="441"/>
      <c r="AS395" s="441"/>
      <c r="AT395" s="441"/>
      <c r="AU395" s="445"/>
      <c r="AV395" s="445"/>
      <c r="AW395" s="445"/>
      <c r="AX395" s="441"/>
      <c r="AY395" s="439"/>
      <c r="AZ395" s="445">
        <v>0.85</v>
      </c>
      <c r="BA395" s="441"/>
      <c r="BB395" s="441"/>
      <c r="BC395" s="439"/>
      <c r="BD395" s="441"/>
      <c r="BE395" s="441"/>
      <c r="BF395" s="439"/>
      <c r="BG395" s="439"/>
      <c r="BH395" s="439"/>
      <c r="BI395" s="439">
        <v>20</v>
      </c>
      <c r="BJ395" s="439"/>
      <c r="BK395" s="440">
        <v>44</v>
      </c>
      <c r="BL395" s="439"/>
      <c r="BM395" s="439"/>
      <c r="BN395" s="439"/>
      <c r="BO395" s="439"/>
      <c r="BP395" s="439"/>
      <c r="BQ395" s="439"/>
      <c r="BR395" s="441">
        <v>0.87741935483870959</v>
      </c>
      <c r="BS395" s="439"/>
      <c r="BT395" s="439"/>
      <c r="BU395" s="439"/>
      <c r="BV395" s="439"/>
      <c r="BW395" s="439"/>
      <c r="BX395" s="469"/>
    </row>
    <row r="396" spans="10:76" x14ac:dyDescent="0.3">
      <c r="J396" s="378" t="s">
        <v>238</v>
      </c>
      <c r="K396" s="379" t="s">
        <v>135</v>
      </c>
      <c r="L396" s="379"/>
      <c r="M396" s="379" t="s">
        <v>239</v>
      </c>
      <c r="N396" s="379" t="s">
        <v>240</v>
      </c>
      <c r="O396" s="379" t="s">
        <v>136</v>
      </c>
      <c r="P396" s="379">
        <v>2018</v>
      </c>
      <c r="Q396" s="420" t="s">
        <v>273</v>
      </c>
      <c r="R396" s="421" t="s">
        <v>318</v>
      </c>
      <c r="S396" s="427"/>
      <c r="T396" s="427"/>
      <c r="U396" s="379" t="s">
        <v>207</v>
      </c>
      <c r="V396" s="379"/>
      <c r="W396" s="379" t="s">
        <v>243</v>
      </c>
      <c r="X396" s="379">
        <v>2030</v>
      </c>
      <c r="Y396" s="427"/>
      <c r="Z396" s="379" t="str">
        <f>VLOOKUP(R396,KEY_Processes!$C$55:$E$130,3,FALSE)</f>
        <v>H_FS_GAS01</v>
      </c>
      <c r="AA396" s="379" t="str">
        <f>VLOOKUP(R396,KEY_Processes!$C$55:$E$130,2,FALSE)</f>
        <v>H_GasFurnace_GAS_SMALL</v>
      </c>
      <c r="AB396" s="379" t="str">
        <f>VLOOKUP(U396,KEY_FUELS!$C$4:$D$77,2,FALSE)</f>
        <v>GAS</v>
      </c>
      <c r="AC396" s="379" t="s">
        <v>150</v>
      </c>
      <c r="AD396" s="379" t="s">
        <v>244</v>
      </c>
      <c r="AE396" s="379" t="s">
        <v>152</v>
      </c>
      <c r="AF396" s="382" t="str">
        <f>VLOOKUP(W396,KEY_Other!$B$37:$C$89,2,FALSE)</f>
        <v>EUR</v>
      </c>
      <c r="AG396" s="427"/>
      <c r="AH396" s="379" t="str">
        <f>AC396&amp;VLOOKUP(U396,KEY_FUELS!$C$4:$D$78,2,FALSE)</f>
        <v>RSDGAS</v>
      </c>
      <c r="AI396" s="379" t="str">
        <f>IFERROR(AC396&amp;VLOOKUP(V396,KEY_FUELS!$C$4:$D$78,2,FALSE),"")</f>
        <v/>
      </c>
      <c r="AJ396" s="379" t="str">
        <f t="shared" si="105"/>
        <v>RHAP</v>
      </c>
      <c r="AK396" s="379" t="str">
        <f t="shared" si="107"/>
        <v/>
      </c>
      <c r="AL396" s="379" t="str">
        <f t="shared" si="108"/>
        <v/>
      </c>
      <c r="AM396" s="380">
        <v>31.536000000000001</v>
      </c>
      <c r="AN396" s="427">
        <v>2030</v>
      </c>
      <c r="AO396" s="470"/>
      <c r="AP396" s="429"/>
      <c r="AQ396" s="467"/>
      <c r="AR396" s="429"/>
      <c r="AS396" s="429"/>
      <c r="AT396" s="429"/>
      <c r="AU396" s="467"/>
      <c r="AV396" s="467"/>
      <c r="AW396" s="467"/>
      <c r="AX396" s="429"/>
      <c r="AY396" s="427"/>
      <c r="AZ396" s="467">
        <v>0.96</v>
      </c>
      <c r="BA396" s="429"/>
      <c r="BB396" s="429"/>
      <c r="BC396" s="427"/>
      <c r="BD396" s="429"/>
      <c r="BE396" s="429"/>
      <c r="BF396" s="427"/>
      <c r="BG396" s="427"/>
      <c r="BH396" s="427"/>
      <c r="BI396" s="427">
        <v>20</v>
      </c>
      <c r="BJ396" s="427"/>
      <c r="BK396" s="428">
        <v>70</v>
      </c>
      <c r="BL396" s="427"/>
      <c r="BM396" s="427"/>
      <c r="BN396" s="427"/>
      <c r="BO396" s="427"/>
      <c r="BP396" s="427"/>
      <c r="BQ396" s="427"/>
      <c r="BR396" s="429">
        <v>0.87741935483870959</v>
      </c>
      <c r="BS396" s="427"/>
      <c r="BT396" s="427"/>
      <c r="BU396" s="427"/>
      <c r="BV396" s="427"/>
      <c r="BW396" s="427"/>
      <c r="BX396" s="471"/>
    </row>
    <row r="397" spans="10:76" x14ac:dyDescent="0.3">
      <c r="J397" s="362" t="s">
        <v>238</v>
      </c>
      <c r="K397" s="363" t="s">
        <v>135</v>
      </c>
      <c r="L397" s="363"/>
      <c r="M397" s="363" t="s">
        <v>239</v>
      </c>
      <c r="N397" s="363" t="s">
        <v>240</v>
      </c>
      <c r="O397" s="363" t="s">
        <v>136</v>
      </c>
      <c r="P397" s="363">
        <v>2018</v>
      </c>
      <c r="Q397" s="432" t="s">
        <v>273</v>
      </c>
      <c r="R397" s="433" t="s">
        <v>319</v>
      </c>
      <c r="S397" s="439"/>
      <c r="T397" s="439"/>
      <c r="U397" s="363" t="s">
        <v>207</v>
      </c>
      <c r="V397" s="363"/>
      <c r="W397" s="363" t="s">
        <v>243</v>
      </c>
      <c r="X397" s="363">
        <v>2019</v>
      </c>
      <c r="Y397" s="439"/>
      <c r="Z397" s="363" t="str">
        <f>VLOOKUP(R397,KEY_Processes!$C$55:$E$130,3,FALSE)</f>
        <v>HW_FS_GAS01</v>
      </c>
      <c r="AA397" s="363" t="str">
        <f>VLOOKUP(R397,KEY_Processes!$C$55:$E$130,2,FALSE)</f>
        <v>HW_GasFurnace_GAS_SMALL</v>
      </c>
      <c r="AB397" s="363" t="str">
        <f>VLOOKUP(U397,KEY_FUELS!$C$4:$D$77,2,FALSE)</f>
        <v>GAS</v>
      </c>
      <c r="AC397" s="363" t="s">
        <v>150</v>
      </c>
      <c r="AD397" s="363" t="s">
        <v>244</v>
      </c>
      <c r="AE397" s="363" t="s">
        <v>152</v>
      </c>
      <c r="AF397" s="366" t="str">
        <f>VLOOKUP(W397,KEY_Other!$B$37:$C$89,2,FALSE)</f>
        <v>EUR</v>
      </c>
      <c r="AG397" s="439"/>
      <c r="AH397" s="363" t="str">
        <f>AC397&amp;VLOOKUP(U397,KEY_FUELS!$C$4:$D$78,2,FALSE)</f>
        <v>RSDGAS</v>
      </c>
      <c r="AI397" s="363" t="str">
        <f>IFERROR(AC397&amp;VLOOKUP(V397,KEY_FUELS!$C$4:$D$78,2,FALSE),"")</f>
        <v/>
      </c>
      <c r="AJ397" s="363" t="str">
        <f t="shared" si="105"/>
        <v>RHAP</v>
      </c>
      <c r="AK397" s="363" t="str">
        <f t="shared" si="107"/>
        <v>RWAP</v>
      </c>
      <c r="AL397" s="363" t="str">
        <f t="shared" si="108"/>
        <v/>
      </c>
      <c r="AM397" s="364">
        <v>31.536000000000001</v>
      </c>
      <c r="AN397" s="439">
        <v>2019</v>
      </c>
      <c r="AO397" s="468">
        <v>1</v>
      </c>
      <c r="AP397" s="441"/>
      <c r="AQ397" s="445"/>
      <c r="AR397" s="441"/>
      <c r="AS397" s="441"/>
      <c r="AT397" s="436" t="s">
        <v>161</v>
      </c>
      <c r="AU397" s="370">
        <v>0.48</v>
      </c>
      <c r="AV397" s="445"/>
      <c r="AW397" s="445"/>
      <c r="AX397" s="441"/>
      <c r="AY397" s="439"/>
      <c r="AZ397" s="445">
        <v>0.9</v>
      </c>
      <c r="BA397" s="441"/>
      <c r="BB397" s="441"/>
      <c r="BC397" s="439"/>
      <c r="BD397" s="441"/>
      <c r="BE397" s="441"/>
      <c r="BF397" s="439"/>
      <c r="BG397" s="439"/>
      <c r="BH397" s="439"/>
      <c r="BI397" s="439">
        <v>20</v>
      </c>
      <c r="BJ397" s="439"/>
      <c r="BK397" s="440">
        <v>80</v>
      </c>
      <c r="BL397" s="439"/>
      <c r="BM397" s="439"/>
      <c r="BN397" s="439"/>
      <c r="BO397" s="439"/>
      <c r="BP397" s="439"/>
      <c r="BQ397" s="439"/>
      <c r="BR397" s="441">
        <v>1.3709677419354838</v>
      </c>
      <c r="BS397" s="439"/>
      <c r="BT397" s="439"/>
      <c r="BU397" s="439"/>
      <c r="BV397" s="439"/>
      <c r="BW397" s="439"/>
      <c r="BX397" s="469"/>
    </row>
    <row r="398" spans="10:76" x14ac:dyDescent="0.3">
      <c r="J398" s="378" t="s">
        <v>238</v>
      </c>
      <c r="K398" s="379" t="s">
        <v>135</v>
      </c>
      <c r="L398" s="379"/>
      <c r="M398" s="379" t="s">
        <v>239</v>
      </c>
      <c r="N398" s="379" t="s">
        <v>240</v>
      </c>
      <c r="O398" s="379" t="s">
        <v>136</v>
      </c>
      <c r="P398" s="379">
        <v>2018</v>
      </c>
      <c r="Q398" s="420" t="s">
        <v>273</v>
      </c>
      <c r="R398" s="421" t="s">
        <v>319</v>
      </c>
      <c r="S398" s="427"/>
      <c r="T398" s="427"/>
      <c r="U398" s="379" t="s">
        <v>207</v>
      </c>
      <c r="V398" s="379"/>
      <c r="W398" s="379" t="s">
        <v>243</v>
      </c>
      <c r="X398" s="379">
        <v>2019</v>
      </c>
      <c r="Y398" s="427"/>
      <c r="Z398" s="379" t="str">
        <f>VLOOKUP(R398,KEY_Processes!$C$55:$E$130,3,FALSE)</f>
        <v>HW_FS_GAS01</v>
      </c>
      <c r="AA398" s="379" t="str">
        <f>VLOOKUP(R398,KEY_Processes!$C$55:$E$130,2,FALSE)</f>
        <v>HW_GasFurnace_GAS_SMALL</v>
      </c>
      <c r="AB398" s="379" t="str">
        <f>VLOOKUP(U398,KEY_FUELS!$C$4:$D$77,2,FALSE)</f>
        <v>GAS</v>
      </c>
      <c r="AC398" s="379" t="s">
        <v>150</v>
      </c>
      <c r="AD398" s="379" t="s">
        <v>244</v>
      </c>
      <c r="AE398" s="379" t="s">
        <v>152</v>
      </c>
      <c r="AF398" s="382" t="str">
        <f>VLOOKUP(W398,KEY_Other!$B$37:$C$89,2,FALSE)</f>
        <v>EUR</v>
      </c>
      <c r="AG398" s="427"/>
      <c r="AH398" s="379" t="str">
        <f>AC398&amp;VLOOKUP(U398,KEY_FUELS!$C$4:$D$78,2,FALSE)</f>
        <v>RSDGAS</v>
      </c>
      <c r="AI398" s="379" t="str">
        <f>IFERROR(AC398&amp;VLOOKUP(V398,KEY_FUELS!$C$4:$D$78,2,FALSE),"")</f>
        <v/>
      </c>
      <c r="AJ398" s="379" t="str">
        <f t="shared" ref="AJ398:AJ400" si="111">LEFT(AC398,1)&amp;LEFT(AA398,1)&amp;AD398</f>
        <v>RHAP</v>
      </c>
      <c r="AK398" s="379" t="str">
        <f t="shared" si="107"/>
        <v>RWAP</v>
      </c>
      <c r="AL398" s="379" t="str">
        <f t="shared" si="108"/>
        <v/>
      </c>
      <c r="AM398" s="380">
        <v>31.536000000000001</v>
      </c>
      <c r="AN398" s="427">
        <v>2019</v>
      </c>
      <c r="AO398" s="470">
        <v>1</v>
      </c>
      <c r="AP398" s="429"/>
      <c r="AQ398" s="467"/>
      <c r="AR398" s="429"/>
      <c r="AS398" s="429"/>
      <c r="AT398" s="424" t="s">
        <v>248</v>
      </c>
      <c r="AU398" s="386">
        <v>0.55000000000000004</v>
      </c>
      <c r="AV398" s="467"/>
      <c r="AW398" s="467"/>
      <c r="AX398" s="429"/>
      <c r="AY398" s="427"/>
      <c r="AZ398" s="467">
        <v>0.9</v>
      </c>
      <c r="BA398" s="429"/>
      <c r="BB398" s="429"/>
      <c r="BC398" s="427"/>
      <c r="BD398" s="429"/>
      <c r="BE398" s="429"/>
      <c r="BF398" s="427"/>
      <c r="BG398" s="427"/>
      <c r="BH398" s="427"/>
      <c r="BI398" s="427">
        <v>20</v>
      </c>
      <c r="BJ398" s="427"/>
      <c r="BK398" s="428">
        <v>80</v>
      </c>
      <c r="BL398" s="427"/>
      <c r="BM398" s="427"/>
      <c r="BN398" s="427"/>
      <c r="BO398" s="427"/>
      <c r="BP398" s="427"/>
      <c r="BQ398" s="427"/>
      <c r="BR398" s="429">
        <v>1.3709677419354838</v>
      </c>
      <c r="BS398" s="427"/>
      <c r="BT398" s="427"/>
      <c r="BU398" s="427"/>
      <c r="BV398" s="427"/>
      <c r="BW398" s="427"/>
      <c r="BX398" s="471"/>
    </row>
    <row r="399" spans="10:76" x14ac:dyDescent="0.3">
      <c r="J399" s="362" t="s">
        <v>238</v>
      </c>
      <c r="K399" s="363" t="s">
        <v>135</v>
      </c>
      <c r="L399" s="363"/>
      <c r="M399" s="363" t="s">
        <v>239</v>
      </c>
      <c r="N399" s="363" t="s">
        <v>240</v>
      </c>
      <c r="O399" s="363" t="s">
        <v>136</v>
      </c>
      <c r="P399" s="363">
        <v>2018</v>
      </c>
      <c r="Q399" s="432" t="s">
        <v>273</v>
      </c>
      <c r="R399" s="433" t="s">
        <v>319</v>
      </c>
      <c r="S399" s="439"/>
      <c r="T399" s="439"/>
      <c r="U399" s="363" t="s">
        <v>207</v>
      </c>
      <c r="V399" s="363"/>
      <c r="W399" s="363" t="s">
        <v>243</v>
      </c>
      <c r="X399" s="363">
        <v>2019</v>
      </c>
      <c r="Y399" s="439"/>
      <c r="Z399" s="363" t="str">
        <f>VLOOKUP(R399,KEY_Processes!$C$55:$E$130,3,FALSE)</f>
        <v>HW_FS_GAS01</v>
      </c>
      <c r="AA399" s="363" t="str">
        <f>VLOOKUP(R399,KEY_Processes!$C$55:$E$130,2,FALSE)</f>
        <v>HW_GasFurnace_GAS_SMALL</v>
      </c>
      <c r="AB399" s="363" t="str">
        <f>VLOOKUP(U399,KEY_FUELS!$C$4:$D$77,2,FALSE)</f>
        <v>GAS</v>
      </c>
      <c r="AC399" s="363" t="s">
        <v>150</v>
      </c>
      <c r="AD399" s="363" t="s">
        <v>244</v>
      </c>
      <c r="AE399" s="363" t="s">
        <v>152</v>
      </c>
      <c r="AF399" s="366" t="str">
        <f>VLOOKUP(W399,KEY_Other!$B$37:$C$89,2,FALSE)</f>
        <v>EUR</v>
      </c>
      <c r="AG399" s="439"/>
      <c r="AH399" s="363" t="str">
        <f>AC399&amp;VLOOKUP(U399,KEY_FUELS!$C$4:$D$78,2,FALSE)</f>
        <v>RSDGAS</v>
      </c>
      <c r="AI399" s="363" t="str">
        <f>IFERROR(AC399&amp;VLOOKUP(V399,KEY_FUELS!$C$4:$D$78,2,FALSE),"")</f>
        <v/>
      </c>
      <c r="AJ399" s="363" t="str">
        <f t="shared" si="111"/>
        <v>RHAP</v>
      </c>
      <c r="AK399" s="363" t="str">
        <f t="shared" si="107"/>
        <v>RWAP</v>
      </c>
      <c r="AL399" s="363" t="str">
        <f t="shared" si="108"/>
        <v/>
      </c>
      <c r="AM399" s="364">
        <v>31.536000000000001</v>
      </c>
      <c r="AN399" s="439">
        <v>2019</v>
      </c>
      <c r="AO399" s="468">
        <v>1</v>
      </c>
      <c r="AP399" s="441"/>
      <c r="AQ399" s="445"/>
      <c r="AR399" s="441"/>
      <c r="AS399" s="441"/>
      <c r="AT399" s="436" t="s">
        <v>158</v>
      </c>
      <c r="AU399" s="370">
        <v>0.63</v>
      </c>
      <c r="AV399" s="445"/>
      <c r="AW399" s="445"/>
      <c r="AX399" s="441"/>
      <c r="AY399" s="439"/>
      <c r="AZ399" s="445">
        <v>0.9</v>
      </c>
      <c r="BA399" s="441"/>
      <c r="BB399" s="441"/>
      <c r="BC399" s="439"/>
      <c r="BD399" s="441"/>
      <c r="BE399" s="441"/>
      <c r="BF399" s="439"/>
      <c r="BG399" s="439"/>
      <c r="BH399" s="439"/>
      <c r="BI399" s="439">
        <v>20</v>
      </c>
      <c r="BJ399" s="439"/>
      <c r="BK399" s="440">
        <v>80</v>
      </c>
      <c r="BL399" s="439"/>
      <c r="BM399" s="439"/>
      <c r="BN399" s="439"/>
      <c r="BO399" s="439"/>
      <c r="BP399" s="439"/>
      <c r="BQ399" s="439"/>
      <c r="BR399" s="441">
        <v>1.3709677419354838</v>
      </c>
      <c r="BS399" s="439"/>
      <c r="BT399" s="439"/>
      <c r="BU399" s="439"/>
      <c r="BV399" s="439"/>
      <c r="BW399" s="439"/>
      <c r="BX399" s="469"/>
    </row>
    <row r="400" spans="10:76" x14ac:dyDescent="0.3">
      <c r="J400" s="378" t="s">
        <v>238</v>
      </c>
      <c r="K400" s="379" t="s">
        <v>135</v>
      </c>
      <c r="L400" s="379"/>
      <c r="M400" s="379" t="s">
        <v>239</v>
      </c>
      <c r="N400" s="379" t="s">
        <v>240</v>
      </c>
      <c r="O400" s="379" t="s">
        <v>136</v>
      </c>
      <c r="P400" s="379">
        <v>2018</v>
      </c>
      <c r="Q400" s="420" t="s">
        <v>273</v>
      </c>
      <c r="R400" s="421" t="s">
        <v>319</v>
      </c>
      <c r="S400" s="427"/>
      <c r="T400" s="427"/>
      <c r="U400" s="379" t="s">
        <v>207</v>
      </c>
      <c r="V400" s="379"/>
      <c r="W400" s="379" t="s">
        <v>243</v>
      </c>
      <c r="X400" s="379">
        <v>2019</v>
      </c>
      <c r="Y400" s="427"/>
      <c r="Z400" s="379" t="str">
        <f>VLOOKUP(R400,KEY_Processes!$C$55:$E$130,3,FALSE)</f>
        <v>HW_FS_GAS01</v>
      </c>
      <c r="AA400" s="379" t="str">
        <f>VLOOKUP(R400,KEY_Processes!$C$55:$E$130,2,FALSE)</f>
        <v>HW_GasFurnace_GAS_SMALL</v>
      </c>
      <c r="AB400" s="379" t="str">
        <f>VLOOKUP(U400,KEY_FUELS!$C$4:$D$77,2,FALSE)</f>
        <v>GAS</v>
      </c>
      <c r="AC400" s="379" t="s">
        <v>150</v>
      </c>
      <c r="AD400" s="379" t="s">
        <v>244</v>
      </c>
      <c r="AE400" s="379" t="s">
        <v>152</v>
      </c>
      <c r="AF400" s="382" t="str">
        <f>VLOOKUP(W400,KEY_Other!$B$37:$C$89,2,FALSE)</f>
        <v>EUR</v>
      </c>
      <c r="AG400" s="427"/>
      <c r="AH400" s="379" t="str">
        <f>AC400&amp;VLOOKUP(U400,KEY_FUELS!$C$4:$D$78,2,FALSE)</f>
        <v>RSDGAS</v>
      </c>
      <c r="AI400" s="379" t="str">
        <f>IFERROR(AC400&amp;VLOOKUP(V400,KEY_FUELS!$C$4:$D$78,2,FALSE),"")</f>
        <v/>
      </c>
      <c r="AJ400" s="379" t="str">
        <f t="shared" si="111"/>
        <v>RHAP</v>
      </c>
      <c r="AK400" s="379" t="str">
        <f t="shared" si="107"/>
        <v>RWAP</v>
      </c>
      <c r="AL400" s="379" t="str">
        <f t="shared" si="108"/>
        <v/>
      </c>
      <c r="AM400" s="380">
        <v>31.536000000000001</v>
      </c>
      <c r="AN400" s="427">
        <v>2019</v>
      </c>
      <c r="AO400" s="470">
        <v>1</v>
      </c>
      <c r="AP400" s="429"/>
      <c r="AQ400" s="467"/>
      <c r="AR400" s="429"/>
      <c r="AS400" s="429"/>
      <c r="AT400" s="424" t="s">
        <v>249</v>
      </c>
      <c r="AU400" s="425">
        <v>0.72</v>
      </c>
      <c r="AV400" s="467"/>
      <c r="AW400" s="467"/>
      <c r="AX400" s="429"/>
      <c r="AY400" s="427"/>
      <c r="AZ400" s="467">
        <v>0.9</v>
      </c>
      <c r="BA400" s="429"/>
      <c r="BB400" s="429"/>
      <c r="BC400" s="427"/>
      <c r="BD400" s="429"/>
      <c r="BE400" s="429"/>
      <c r="BF400" s="427"/>
      <c r="BG400" s="427"/>
      <c r="BH400" s="427"/>
      <c r="BI400" s="427">
        <v>20</v>
      </c>
      <c r="BJ400" s="427"/>
      <c r="BK400" s="428">
        <v>80</v>
      </c>
      <c r="BL400" s="427"/>
      <c r="BM400" s="427"/>
      <c r="BN400" s="427"/>
      <c r="BO400" s="427"/>
      <c r="BP400" s="427"/>
      <c r="BQ400" s="427"/>
      <c r="BR400" s="429">
        <v>1.3709677419354838</v>
      </c>
      <c r="BS400" s="427"/>
      <c r="BT400" s="427"/>
      <c r="BU400" s="427"/>
      <c r="BV400" s="427"/>
      <c r="BW400" s="427"/>
      <c r="BX400" s="471"/>
    </row>
    <row r="401" spans="10:76" x14ac:dyDescent="0.3">
      <c r="J401" s="362" t="s">
        <v>238</v>
      </c>
      <c r="K401" s="363" t="s">
        <v>135</v>
      </c>
      <c r="L401" s="363"/>
      <c r="M401" s="363" t="s">
        <v>239</v>
      </c>
      <c r="N401" s="363" t="s">
        <v>240</v>
      </c>
      <c r="O401" s="363" t="s">
        <v>136</v>
      </c>
      <c r="P401" s="363">
        <v>2018</v>
      </c>
      <c r="Q401" s="432" t="s">
        <v>273</v>
      </c>
      <c r="R401" s="433" t="s">
        <v>319</v>
      </c>
      <c r="S401" s="439"/>
      <c r="T401" s="439"/>
      <c r="U401" s="363" t="s">
        <v>207</v>
      </c>
      <c r="V401" s="363"/>
      <c r="W401" s="363" t="s">
        <v>243</v>
      </c>
      <c r="X401" s="363">
        <v>2030</v>
      </c>
      <c r="Y401" s="439"/>
      <c r="Z401" s="363" t="str">
        <f>VLOOKUP(R401,KEY_Processes!$C$55:$E$130,3,FALSE)</f>
        <v>HW_FS_GAS01</v>
      </c>
      <c r="AA401" s="363" t="str">
        <f>VLOOKUP(R401,KEY_Processes!$C$55:$E$130,2,FALSE)</f>
        <v>HW_GasFurnace_GAS_SMALL</v>
      </c>
      <c r="AB401" s="363" t="str">
        <f>VLOOKUP(U401,KEY_FUELS!$C$4:$D$77,2,FALSE)</f>
        <v>GAS</v>
      </c>
      <c r="AC401" s="363" t="s">
        <v>150</v>
      </c>
      <c r="AD401" s="363" t="s">
        <v>244</v>
      </c>
      <c r="AE401" s="363" t="s">
        <v>152</v>
      </c>
      <c r="AF401" s="366" t="str">
        <f>VLOOKUP(W401,KEY_Other!$B$37:$C$89,2,FALSE)</f>
        <v>EUR</v>
      </c>
      <c r="AG401" s="439"/>
      <c r="AH401" s="363" t="str">
        <f>AC401&amp;VLOOKUP(U401,KEY_FUELS!$C$4:$D$78,2,FALSE)</f>
        <v>RSDGAS</v>
      </c>
      <c r="AI401" s="363" t="str">
        <f>IFERROR(AC401&amp;VLOOKUP(V401,KEY_FUELS!$C$4:$D$78,2,FALSE),"")</f>
        <v/>
      </c>
      <c r="AJ401" s="363" t="str">
        <f t="shared" si="105"/>
        <v>RHAP</v>
      </c>
      <c r="AK401" s="363" t="str">
        <f t="shared" si="107"/>
        <v>RWAP</v>
      </c>
      <c r="AL401" s="363" t="str">
        <f t="shared" si="108"/>
        <v/>
      </c>
      <c r="AM401" s="364">
        <v>31.536000000000001</v>
      </c>
      <c r="AN401" s="439">
        <v>2030</v>
      </c>
      <c r="AO401" s="468"/>
      <c r="AP401" s="441"/>
      <c r="AQ401" s="445"/>
      <c r="AR401" s="441"/>
      <c r="AS401" s="441"/>
      <c r="AT401" s="441"/>
      <c r="AU401" s="445"/>
      <c r="AV401" s="445"/>
      <c r="AW401" s="445"/>
      <c r="AX401" s="441"/>
      <c r="AY401" s="439"/>
      <c r="AZ401" s="445">
        <v>0.96</v>
      </c>
      <c r="BA401" s="441"/>
      <c r="BB401" s="441"/>
      <c r="BC401" s="439"/>
      <c r="BD401" s="441"/>
      <c r="BE401" s="441"/>
      <c r="BF401" s="439"/>
      <c r="BG401" s="439"/>
      <c r="BH401" s="439"/>
      <c r="BI401" s="439">
        <v>20</v>
      </c>
      <c r="BJ401" s="439"/>
      <c r="BK401" s="440">
        <v>120</v>
      </c>
      <c r="BL401" s="439"/>
      <c r="BM401" s="439"/>
      <c r="BN401" s="439"/>
      <c r="BO401" s="439"/>
      <c r="BP401" s="439"/>
      <c r="BQ401" s="439"/>
      <c r="BR401" s="441">
        <v>1.3709677419354838</v>
      </c>
      <c r="BS401" s="439"/>
      <c r="BT401" s="439"/>
      <c r="BU401" s="439"/>
      <c r="BV401" s="439"/>
      <c r="BW401" s="439"/>
      <c r="BX401" s="469"/>
    </row>
    <row r="402" spans="10:76" x14ac:dyDescent="0.3">
      <c r="J402" s="378" t="s">
        <v>238</v>
      </c>
      <c r="K402" s="379" t="s">
        <v>135</v>
      </c>
      <c r="L402" s="379"/>
      <c r="M402" s="379" t="s">
        <v>239</v>
      </c>
      <c r="N402" s="379" t="s">
        <v>240</v>
      </c>
      <c r="O402" s="379" t="s">
        <v>136</v>
      </c>
      <c r="P402" s="379">
        <v>2018</v>
      </c>
      <c r="Q402" s="420" t="s">
        <v>320</v>
      </c>
      <c r="R402" s="421" t="s">
        <v>321</v>
      </c>
      <c r="S402" s="427"/>
      <c r="T402" s="427"/>
      <c r="U402" s="379" t="s">
        <v>322</v>
      </c>
      <c r="V402" s="379"/>
      <c r="W402" s="379" t="s">
        <v>243</v>
      </c>
      <c r="X402" s="379">
        <v>2019</v>
      </c>
      <c r="Y402" s="427"/>
      <c r="Z402" s="379" t="str">
        <f>VLOOKUP(R402,KEY_Processes!$C$55:$E$130,3,FALSE)</f>
        <v>H_FS_LPG01</v>
      </c>
      <c r="AA402" s="379" t="str">
        <f>VLOOKUP(R402,KEY_Processes!$C$55:$E$130,2,FALSE)</f>
        <v>H_LPGFurnace_LPG_SMALL</v>
      </c>
      <c r="AB402" s="379" t="str">
        <f>VLOOKUP(U402,KEY_FUELS!$C$4:$D$77,2,FALSE)</f>
        <v>GAS</v>
      </c>
      <c r="AC402" s="379" t="s">
        <v>150</v>
      </c>
      <c r="AD402" s="379" t="s">
        <v>244</v>
      </c>
      <c r="AE402" s="379" t="s">
        <v>152</v>
      </c>
      <c r="AF402" s="382" t="str">
        <f>VLOOKUP(W402,KEY_Other!$B$37:$C$89,2,FALSE)</f>
        <v>EUR</v>
      </c>
      <c r="AG402" s="427"/>
      <c r="AH402" s="379" t="str">
        <f>AC402&amp;VLOOKUP(U402,KEY_FUELS!$C$4:$D$78,2,FALSE)</f>
        <v>RSDGAS</v>
      </c>
      <c r="AI402" s="379" t="str">
        <f>IFERROR(AC402&amp;VLOOKUP(V402,KEY_FUELS!$C$4:$D$78,2,FALSE),"")</f>
        <v/>
      </c>
      <c r="AJ402" s="379" t="str">
        <f t="shared" si="105"/>
        <v>RHAP</v>
      </c>
      <c r="AK402" s="379" t="str">
        <f t="shared" si="107"/>
        <v/>
      </c>
      <c r="AL402" s="379" t="str">
        <f t="shared" si="108"/>
        <v/>
      </c>
      <c r="AM402" s="380">
        <v>31.536000000000001</v>
      </c>
      <c r="AN402" s="427">
        <v>2019</v>
      </c>
      <c r="AO402" s="470"/>
      <c r="AP402" s="429"/>
      <c r="AQ402" s="467"/>
      <c r="AR402" s="429"/>
      <c r="AS402" s="429"/>
      <c r="AT402" s="429"/>
      <c r="AU402" s="467"/>
      <c r="AV402" s="467"/>
      <c r="AW402" s="467"/>
      <c r="AX402" s="429"/>
      <c r="AY402" s="427"/>
      <c r="AZ402" s="467">
        <v>0.89</v>
      </c>
      <c r="BA402" s="429"/>
      <c r="BB402" s="429"/>
      <c r="BC402" s="427"/>
      <c r="BD402" s="429"/>
      <c r="BE402" s="429"/>
      <c r="BF402" s="427"/>
      <c r="BG402" s="427"/>
      <c r="BH402" s="427"/>
      <c r="BI402" s="427">
        <v>20</v>
      </c>
      <c r="BJ402" s="427"/>
      <c r="BK402" s="428">
        <v>16</v>
      </c>
      <c r="BL402" s="427"/>
      <c r="BM402" s="427"/>
      <c r="BN402" s="427"/>
      <c r="BO402" s="427"/>
      <c r="BP402" s="427"/>
      <c r="BQ402" s="427"/>
      <c r="BR402" s="429">
        <v>0.88319999999999999</v>
      </c>
      <c r="BS402" s="427"/>
      <c r="BT402" s="427"/>
      <c r="BU402" s="427"/>
      <c r="BV402" s="427"/>
      <c r="BW402" s="427"/>
      <c r="BX402" s="471"/>
    </row>
    <row r="403" spans="10:76" x14ac:dyDescent="0.3">
      <c r="J403" s="362" t="s">
        <v>238</v>
      </c>
      <c r="K403" s="363" t="s">
        <v>135</v>
      </c>
      <c r="L403" s="363"/>
      <c r="M403" s="363" t="s">
        <v>239</v>
      </c>
      <c r="N403" s="363" t="s">
        <v>240</v>
      </c>
      <c r="O403" s="363" t="s">
        <v>136</v>
      </c>
      <c r="P403" s="363">
        <v>2018</v>
      </c>
      <c r="Q403" s="432" t="s">
        <v>320</v>
      </c>
      <c r="R403" s="433" t="s">
        <v>321</v>
      </c>
      <c r="S403" s="439"/>
      <c r="T403" s="439"/>
      <c r="U403" s="363" t="s">
        <v>322</v>
      </c>
      <c r="V403" s="363"/>
      <c r="W403" s="363" t="s">
        <v>243</v>
      </c>
      <c r="X403" s="363">
        <v>2030</v>
      </c>
      <c r="Y403" s="439"/>
      <c r="Z403" s="363" t="str">
        <f>VLOOKUP(R403,KEY_Processes!$C$55:$E$130,3,FALSE)</f>
        <v>H_FS_LPG01</v>
      </c>
      <c r="AA403" s="363" t="str">
        <f>VLOOKUP(R403,KEY_Processes!$C$55:$E$130,2,FALSE)</f>
        <v>H_LPGFurnace_LPG_SMALL</v>
      </c>
      <c r="AB403" s="363" t="str">
        <f>VLOOKUP(U403,KEY_FUELS!$C$4:$D$77,2,FALSE)</f>
        <v>GAS</v>
      </c>
      <c r="AC403" s="363" t="s">
        <v>150</v>
      </c>
      <c r="AD403" s="363" t="s">
        <v>244</v>
      </c>
      <c r="AE403" s="363" t="s">
        <v>152</v>
      </c>
      <c r="AF403" s="366" t="str">
        <f>VLOOKUP(W403,KEY_Other!$B$37:$C$89,2,FALSE)</f>
        <v>EUR</v>
      </c>
      <c r="AG403" s="439"/>
      <c r="AH403" s="363" t="str">
        <f>AC403&amp;VLOOKUP(U403,KEY_FUELS!$C$4:$D$78,2,FALSE)</f>
        <v>RSDGAS</v>
      </c>
      <c r="AI403" s="363" t="str">
        <f>IFERROR(AC403&amp;VLOOKUP(V403,KEY_FUELS!$C$4:$D$78,2,FALSE),"")</f>
        <v/>
      </c>
      <c r="AJ403" s="363" t="str">
        <f t="shared" si="105"/>
        <v>RHAP</v>
      </c>
      <c r="AK403" s="363" t="str">
        <f t="shared" si="107"/>
        <v/>
      </c>
      <c r="AL403" s="363" t="str">
        <f t="shared" si="108"/>
        <v/>
      </c>
      <c r="AM403" s="364">
        <v>31.536000000000001</v>
      </c>
      <c r="AN403" s="439">
        <v>2030</v>
      </c>
      <c r="AO403" s="468"/>
      <c r="AP403" s="441"/>
      <c r="AQ403" s="445"/>
      <c r="AR403" s="441"/>
      <c r="AS403" s="441"/>
      <c r="AT403" s="441"/>
      <c r="AU403" s="445"/>
      <c r="AV403" s="445"/>
      <c r="AW403" s="445"/>
      <c r="AX403" s="441"/>
      <c r="AY403" s="439"/>
      <c r="AZ403" s="445">
        <v>0.92</v>
      </c>
      <c r="BA403" s="441"/>
      <c r="BB403" s="441"/>
      <c r="BC403" s="439"/>
      <c r="BD403" s="441"/>
      <c r="BE403" s="441"/>
      <c r="BF403" s="439"/>
      <c r="BG403" s="439"/>
      <c r="BH403" s="439"/>
      <c r="BI403" s="439">
        <v>20</v>
      </c>
      <c r="BJ403" s="439"/>
      <c r="BK403" s="440">
        <v>24</v>
      </c>
      <c r="BL403" s="439"/>
      <c r="BM403" s="439"/>
      <c r="BN403" s="439"/>
      <c r="BO403" s="439"/>
      <c r="BP403" s="439"/>
      <c r="BQ403" s="439"/>
      <c r="BR403" s="441">
        <v>0.88319999999999999</v>
      </c>
      <c r="BS403" s="439"/>
      <c r="BT403" s="439"/>
      <c r="BU403" s="439"/>
      <c r="BV403" s="439"/>
      <c r="BW403" s="439"/>
      <c r="BX403" s="469"/>
    </row>
    <row r="404" spans="10:76" x14ac:dyDescent="0.3">
      <c r="J404" s="378" t="s">
        <v>238</v>
      </c>
      <c r="K404" s="379" t="s">
        <v>135</v>
      </c>
      <c r="L404" s="379"/>
      <c r="M404" s="379" t="s">
        <v>239</v>
      </c>
      <c r="N404" s="379" t="s">
        <v>240</v>
      </c>
      <c r="O404" s="379" t="s">
        <v>136</v>
      </c>
      <c r="P404" s="379">
        <v>2018</v>
      </c>
      <c r="Q404" s="420" t="s">
        <v>320</v>
      </c>
      <c r="R404" s="421" t="s">
        <v>323</v>
      </c>
      <c r="S404" s="427"/>
      <c r="T404" s="427"/>
      <c r="U404" s="379" t="s">
        <v>322</v>
      </c>
      <c r="V404" s="379"/>
      <c r="W404" s="379" t="s">
        <v>243</v>
      </c>
      <c r="X404" s="379">
        <v>2019</v>
      </c>
      <c r="Y404" s="427"/>
      <c r="Z404" s="379" t="str">
        <f>VLOOKUP(R404,KEY_Processes!$C$55:$E$130,3,FALSE)</f>
        <v>W_FS_LPG01</v>
      </c>
      <c r="AA404" s="379" t="str">
        <f>VLOOKUP(R404,KEY_Processes!$C$55:$E$130,2,FALSE)</f>
        <v>W_LPGFurnace_LPG_SMALL</v>
      </c>
      <c r="AB404" s="379" t="str">
        <f>VLOOKUP(U404,KEY_FUELS!$C$4:$D$77,2,FALSE)</f>
        <v>GAS</v>
      </c>
      <c r="AC404" s="379" t="s">
        <v>150</v>
      </c>
      <c r="AD404" s="379" t="s">
        <v>244</v>
      </c>
      <c r="AE404" s="379" t="s">
        <v>152</v>
      </c>
      <c r="AF404" s="382" t="str">
        <f>VLOOKUP(W404,KEY_Other!$B$37:$C$89,2,FALSE)</f>
        <v>EUR</v>
      </c>
      <c r="AG404" s="427"/>
      <c r="AH404" s="379" t="str">
        <f>AC404&amp;VLOOKUP(U404,KEY_FUELS!$C$4:$D$78,2,FALSE)</f>
        <v>RSDGAS</v>
      </c>
      <c r="AI404" s="379" t="str">
        <f>IFERROR(AC404&amp;VLOOKUP(V404,KEY_FUELS!$C$4:$D$78,2,FALSE),"")</f>
        <v/>
      </c>
      <c r="AJ404" s="379" t="str">
        <f t="shared" si="105"/>
        <v>RWAP</v>
      </c>
      <c r="AK404" s="379" t="str">
        <f t="shared" si="107"/>
        <v/>
      </c>
      <c r="AL404" s="379" t="str">
        <f t="shared" si="108"/>
        <v/>
      </c>
      <c r="AM404" s="380">
        <v>31.536000000000001</v>
      </c>
      <c r="AN404" s="427">
        <v>2019</v>
      </c>
      <c r="AO404" s="470"/>
      <c r="AP404" s="429"/>
      <c r="AQ404" s="467"/>
      <c r="AR404" s="429"/>
      <c r="AS404" s="429"/>
      <c r="AT404" s="429"/>
      <c r="AU404" s="467"/>
      <c r="AV404" s="467"/>
      <c r="AW404" s="467"/>
      <c r="AX404" s="429"/>
      <c r="AY404" s="427"/>
      <c r="AZ404" s="467">
        <v>0.89</v>
      </c>
      <c r="BA404" s="429"/>
      <c r="BB404" s="429"/>
      <c r="BC404" s="427"/>
      <c r="BD404" s="429"/>
      <c r="BE404" s="429"/>
      <c r="BF404" s="427"/>
      <c r="BG404" s="427"/>
      <c r="BH404" s="427"/>
      <c r="BI404" s="427">
        <v>20</v>
      </c>
      <c r="BJ404" s="427"/>
      <c r="BK404" s="428">
        <v>20</v>
      </c>
      <c r="BL404" s="427"/>
      <c r="BM404" s="427"/>
      <c r="BN404" s="427"/>
      <c r="BO404" s="427"/>
      <c r="BP404" s="427"/>
      <c r="BQ404" s="427"/>
      <c r="BR404" s="429">
        <v>0.85559999999999992</v>
      </c>
      <c r="BS404" s="427"/>
      <c r="BT404" s="427"/>
      <c r="BU404" s="427"/>
      <c r="BV404" s="427"/>
      <c r="BW404" s="427"/>
      <c r="BX404" s="471"/>
    </row>
    <row r="405" spans="10:76" x14ac:dyDescent="0.3">
      <c r="J405" s="362" t="s">
        <v>238</v>
      </c>
      <c r="K405" s="363" t="s">
        <v>135</v>
      </c>
      <c r="L405" s="363"/>
      <c r="M405" s="363" t="s">
        <v>239</v>
      </c>
      <c r="N405" s="363" t="s">
        <v>240</v>
      </c>
      <c r="O405" s="363" t="s">
        <v>136</v>
      </c>
      <c r="P405" s="363">
        <v>2018</v>
      </c>
      <c r="Q405" s="432" t="s">
        <v>320</v>
      </c>
      <c r="R405" s="433" t="s">
        <v>323</v>
      </c>
      <c r="S405" s="439"/>
      <c r="T405" s="439"/>
      <c r="U405" s="363" t="s">
        <v>322</v>
      </c>
      <c r="V405" s="363"/>
      <c r="W405" s="363" t="s">
        <v>243</v>
      </c>
      <c r="X405" s="363">
        <v>2030</v>
      </c>
      <c r="Y405" s="439"/>
      <c r="Z405" s="363" t="str">
        <f>VLOOKUP(R405,KEY_Processes!$C$55:$E$130,3,FALSE)</f>
        <v>W_FS_LPG01</v>
      </c>
      <c r="AA405" s="363" t="str">
        <f>VLOOKUP(R405,KEY_Processes!$C$55:$E$130,2,FALSE)</f>
        <v>W_LPGFurnace_LPG_SMALL</v>
      </c>
      <c r="AB405" s="363" t="str">
        <f>VLOOKUP(U405,KEY_FUELS!$C$4:$D$77,2,FALSE)</f>
        <v>GAS</v>
      </c>
      <c r="AC405" s="363" t="s">
        <v>150</v>
      </c>
      <c r="AD405" s="363" t="s">
        <v>244</v>
      </c>
      <c r="AE405" s="363" t="s">
        <v>152</v>
      </c>
      <c r="AF405" s="366" t="str">
        <f>VLOOKUP(W405,KEY_Other!$B$37:$C$89,2,FALSE)</f>
        <v>EUR</v>
      </c>
      <c r="AG405" s="439"/>
      <c r="AH405" s="363" t="str">
        <f>AC405&amp;VLOOKUP(U405,KEY_FUELS!$C$4:$D$78,2,FALSE)</f>
        <v>RSDGAS</v>
      </c>
      <c r="AI405" s="363" t="str">
        <f>IFERROR(AC405&amp;VLOOKUP(V405,KEY_FUELS!$C$4:$D$78,2,FALSE),"")</f>
        <v/>
      </c>
      <c r="AJ405" s="363" t="str">
        <f t="shared" si="105"/>
        <v>RWAP</v>
      </c>
      <c r="AK405" s="363" t="str">
        <f t="shared" si="107"/>
        <v/>
      </c>
      <c r="AL405" s="363" t="str">
        <f t="shared" si="108"/>
        <v/>
      </c>
      <c r="AM405" s="364">
        <v>31.536000000000001</v>
      </c>
      <c r="AN405" s="439">
        <v>2030</v>
      </c>
      <c r="AO405" s="468"/>
      <c r="AP405" s="441"/>
      <c r="AQ405" s="445"/>
      <c r="AR405" s="441"/>
      <c r="AS405" s="441"/>
      <c r="AT405" s="441"/>
      <c r="AU405" s="445"/>
      <c r="AV405" s="445"/>
      <c r="AW405" s="445"/>
      <c r="AX405" s="441"/>
      <c r="AY405" s="439"/>
      <c r="AZ405" s="445">
        <v>0.92</v>
      </c>
      <c r="BA405" s="441"/>
      <c r="BB405" s="441"/>
      <c r="BC405" s="439"/>
      <c r="BD405" s="441"/>
      <c r="BE405" s="441"/>
      <c r="BF405" s="439"/>
      <c r="BG405" s="439"/>
      <c r="BH405" s="439"/>
      <c r="BI405" s="439">
        <v>20</v>
      </c>
      <c r="BJ405" s="439"/>
      <c r="BK405" s="440">
        <v>29</v>
      </c>
      <c r="BL405" s="439"/>
      <c r="BM405" s="439"/>
      <c r="BN405" s="439"/>
      <c r="BO405" s="439"/>
      <c r="BP405" s="439"/>
      <c r="BQ405" s="439"/>
      <c r="BR405" s="441">
        <v>0.85559999999999992</v>
      </c>
      <c r="BS405" s="439"/>
      <c r="BT405" s="439"/>
      <c r="BU405" s="439"/>
      <c r="BV405" s="439"/>
      <c r="BW405" s="439"/>
      <c r="BX405" s="469"/>
    </row>
    <row r="406" spans="10:76" x14ac:dyDescent="0.3">
      <c r="J406" s="378" t="s">
        <v>238</v>
      </c>
      <c r="K406" s="379" t="s">
        <v>135</v>
      </c>
      <c r="L406" s="379"/>
      <c r="M406" s="379" t="s">
        <v>239</v>
      </c>
      <c r="N406" s="379" t="s">
        <v>240</v>
      </c>
      <c r="O406" s="379" t="s">
        <v>136</v>
      </c>
      <c r="P406" s="379">
        <v>2018</v>
      </c>
      <c r="Q406" s="420" t="s">
        <v>290</v>
      </c>
      <c r="R406" s="421" t="s">
        <v>324</v>
      </c>
      <c r="S406" s="427"/>
      <c r="T406" s="427"/>
      <c r="U406" s="379" t="s">
        <v>189</v>
      </c>
      <c r="V406" s="379"/>
      <c r="W406" s="379" t="s">
        <v>243</v>
      </c>
      <c r="X406" s="379">
        <v>2019</v>
      </c>
      <c r="Y406" s="427"/>
      <c r="Z406" s="379" t="str">
        <f>VLOOKUP(R406,KEY_Processes!$C$55:$E$130,3,FALSE)</f>
        <v>C_CASS_ELC01</v>
      </c>
      <c r="AA406" s="379" t="str">
        <f>VLOOKUP(R406,KEY_Processes!$C$55:$E$130,2,FALSE)</f>
        <v>C_Split_ELC_SMALL</v>
      </c>
      <c r="AB406" s="379" t="str">
        <f>VLOOKUP(U406,KEY_FUELS!$C$4:$D$77,2,FALSE)</f>
        <v>ELC</v>
      </c>
      <c r="AC406" s="379" t="s">
        <v>150</v>
      </c>
      <c r="AD406" s="379" t="s">
        <v>244</v>
      </c>
      <c r="AE406" s="379" t="s">
        <v>152</v>
      </c>
      <c r="AF406" s="382" t="str">
        <f>VLOOKUP(W406,KEY_Other!$B$37:$C$89,2,FALSE)</f>
        <v>EUR</v>
      </c>
      <c r="AG406" s="427"/>
      <c r="AH406" s="379" t="str">
        <f>AC406&amp;VLOOKUP(U406,KEY_FUELS!$C$4:$D$78,2,FALSE)</f>
        <v>RSDELC</v>
      </c>
      <c r="AI406" s="379" t="str">
        <f>IFERROR(AC406&amp;VLOOKUP(V406,KEY_FUELS!$C$4:$D$78,2,FALSE),"")</f>
        <v/>
      </c>
      <c r="AJ406" s="379" t="str">
        <f t="shared" si="105"/>
        <v>RCAP</v>
      </c>
      <c r="AK406" s="379" t="str">
        <f t="shared" si="107"/>
        <v/>
      </c>
      <c r="AL406" s="379" t="str">
        <f t="shared" si="108"/>
        <v/>
      </c>
      <c r="AM406" s="380">
        <v>31.536000000000001</v>
      </c>
      <c r="AN406" s="427">
        <v>2019</v>
      </c>
      <c r="AO406" s="470"/>
      <c r="AP406" s="429"/>
      <c r="AQ406" s="467"/>
      <c r="AR406" s="429"/>
      <c r="AS406" s="429"/>
      <c r="AT406" s="429"/>
      <c r="AU406" s="467"/>
      <c r="AV406" s="467"/>
      <c r="AW406" s="467"/>
      <c r="AX406" s="429"/>
      <c r="AY406" s="427"/>
      <c r="AZ406" s="467">
        <v>3.165298945</v>
      </c>
      <c r="BA406" s="429"/>
      <c r="BB406" s="429"/>
      <c r="BC406" s="427"/>
      <c r="BD406" s="429"/>
      <c r="BE406" s="429"/>
      <c r="BF406" s="427"/>
      <c r="BG406" s="427"/>
      <c r="BH406" s="427"/>
      <c r="BI406" s="427">
        <v>10</v>
      </c>
      <c r="BJ406" s="427"/>
      <c r="BK406" s="428">
        <v>84</v>
      </c>
      <c r="BL406" s="427"/>
      <c r="BM406" s="427"/>
      <c r="BN406" s="427"/>
      <c r="BO406" s="427"/>
      <c r="BP406" s="427"/>
      <c r="BQ406" s="427"/>
      <c r="BR406" s="429">
        <v>0.84247410809910539</v>
      </c>
      <c r="BS406" s="427"/>
      <c r="BT406" s="427"/>
      <c r="BU406" s="427"/>
      <c r="BV406" s="427"/>
      <c r="BW406" s="427"/>
      <c r="BX406" s="471"/>
    </row>
    <row r="407" spans="10:76" x14ac:dyDescent="0.3">
      <c r="J407" s="362" t="s">
        <v>238</v>
      </c>
      <c r="K407" s="363" t="s">
        <v>135</v>
      </c>
      <c r="L407" s="363"/>
      <c r="M407" s="363" t="s">
        <v>239</v>
      </c>
      <c r="N407" s="363" t="s">
        <v>240</v>
      </c>
      <c r="O407" s="363" t="s">
        <v>136</v>
      </c>
      <c r="P407" s="363">
        <v>2018</v>
      </c>
      <c r="Q407" s="432" t="s">
        <v>290</v>
      </c>
      <c r="R407" s="433" t="s">
        <v>324</v>
      </c>
      <c r="S407" s="439"/>
      <c r="T407" s="439"/>
      <c r="U407" s="363" t="s">
        <v>189</v>
      </c>
      <c r="V407" s="363"/>
      <c r="W407" s="363" t="s">
        <v>243</v>
      </c>
      <c r="X407" s="363">
        <v>2030</v>
      </c>
      <c r="Y407" s="439"/>
      <c r="Z407" s="363" t="str">
        <f>VLOOKUP(R407,KEY_Processes!$C$55:$E$130,3,FALSE)</f>
        <v>C_CASS_ELC01</v>
      </c>
      <c r="AA407" s="363" t="str">
        <f>VLOOKUP(R407,KEY_Processes!$C$55:$E$130,2,FALSE)</f>
        <v>C_Split_ELC_SMALL</v>
      </c>
      <c r="AB407" s="363" t="str">
        <f>VLOOKUP(U407,KEY_FUELS!$C$4:$D$77,2,FALSE)</f>
        <v>ELC</v>
      </c>
      <c r="AC407" s="363" t="s">
        <v>150</v>
      </c>
      <c r="AD407" s="363" t="s">
        <v>244</v>
      </c>
      <c r="AE407" s="363" t="s">
        <v>152</v>
      </c>
      <c r="AF407" s="366" t="str">
        <f>VLOOKUP(W407,KEY_Other!$B$37:$C$89,2,FALSE)</f>
        <v>EUR</v>
      </c>
      <c r="AG407" s="439"/>
      <c r="AH407" s="363" t="str">
        <f>AC407&amp;VLOOKUP(U407,KEY_FUELS!$C$4:$D$78,2,FALSE)</f>
        <v>RSDELC</v>
      </c>
      <c r="AI407" s="363" t="str">
        <f>IFERROR(AC407&amp;VLOOKUP(V407,KEY_FUELS!$C$4:$D$78,2,FALSE),"")</f>
        <v/>
      </c>
      <c r="AJ407" s="363" t="str">
        <f t="shared" si="105"/>
        <v>RCAP</v>
      </c>
      <c r="AK407" s="363" t="str">
        <f t="shared" si="107"/>
        <v/>
      </c>
      <c r="AL407" s="363" t="str">
        <f t="shared" si="108"/>
        <v/>
      </c>
      <c r="AM407" s="364">
        <v>31.536000000000001</v>
      </c>
      <c r="AN407" s="439">
        <v>2030</v>
      </c>
      <c r="AO407" s="468"/>
      <c r="AP407" s="441"/>
      <c r="AQ407" s="445"/>
      <c r="AR407" s="441"/>
      <c r="AS407" s="441"/>
      <c r="AT407" s="441"/>
      <c r="AU407" s="445"/>
      <c r="AV407" s="445"/>
      <c r="AW407" s="445"/>
      <c r="AX407" s="441"/>
      <c r="AY407" s="439"/>
      <c r="AZ407" s="445">
        <v>3.3997999999999999</v>
      </c>
      <c r="BA407" s="441"/>
      <c r="BB407" s="441"/>
      <c r="BC407" s="439"/>
      <c r="BD407" s="441"/>
      <c r="BE407" s="441"/>
      <c r="BF407" s="439"/>
      <c r="BG407" s="439"/>
      <c r="BH407" s="439"/>
      <c r="BI407" s="439">
        <v>10</v>
      </c>
      <c r="BJ407" s="439"/>
      <c r="BK407" s="440">
        <v>128</v>
      </c>
      <c r="BL407" s="439"/>
      <c r="BM407" s="439"/>
      <c r="BN407" s="439"/>
      <c r="BO407" s="439"/>
      <c r="BP407" s="439"/>
      <c r="BQ407" s="439"/>
      <c r="BR407" s="441">
        <v>1.2844277385773244</v>
      </c>
      <c r="BS407" s="439"/>
      <c r="BT407" s="439"/>
      <c r="BU407" s="439"/>
      <c r="BV407" s="439"/>
      <c r="BW407" s="439"/>
      <c r="BX407" s="469"/>
    </row>
    <row r="408" spans="10:76" x14ac:dyDescent="0.3">
      <c r="J408" s="378" t="s">
        <v>238</v>
      </c>
      <c r="K408" s="379" t="s">
        <v>135</v>
      </c>
      <c r="L408" s="379"/>
      <c r="M408" s="379" t="s">
        <v>239</v>
      </c>
      <c r="N408" s="379" t="s">
        <v>240</v>
      </c>
      <c r="O408" s="379" t="s">
        <v>136</v>
      </c>
      <c r="P408" s="379">
        <v>2018</v>
      </c>
      <c r="Q408" s="420" t="s">
        <v>292</v>
      </c>
      <c r="R408" s="421" t="s">
        <v>325</v>
      </c>
      <c r="S408" s="427"/>
      <c r="T408" s="427"/>
      <c r="U408" s="379" t="s">
        <v>189</v>
      </c>
      <c r="V408" s="379" t="s">
        <v>190</v>
      </c>
      <c r="W408" s="379" t="s">
        <v>243</v>
      </c>
      <c r="X408" s="379">
        <v>2019</v>
      </c>
      <c r="Y408" s="427"/>
      <c r="Z408" s="379" t="str">
        <f>VLOOKUP(R408,KEY_Processes!$C$55:$E$130,3,FALSE)</f>
        <v>C_CWS_ELC01</v>
      </c>
      <c r="AA408" s="379" t="str">
        <f>VLOOKUP(R408,KEY_Processes!$C$55:$E$130,2,FALSE)</f>
        <v>C_WaterChiller_ELC_SMALL</v>
      </c>
      <c r="AB408" s="379" t="str">
        <f>VLOOKUP(U408,KEY_FUELS!$C$4:$D$77,2,FALSE)</f>
        <v>ELC</v>
      </c>
      <c r="AC408" s="379" t="s">
        <v>150</v>
      </c>
      <c r="AD408" s="379" t="s">
        <v>244</v>
      </c>
      <c r="AE408" s="379" t="s">
        <v>152</v>
      </c>
      <c r="AF408" s="382" t="str">
        <f>VLOOKUP(W408,KEY_Other!$B$37:$C$89,2,FALSE)</f>
        <v>EUR</v>
      </c>
      <c r="AG408" s="427"/>
      <c r="AH408" s="379" t="str">
        <f>AC408&amp;VLOOKUP(U408,KEY_FUELS!$C$4:$D$78,2,FALSE)</f>
        <v>RSDELC</v>
      </c>
      <c r="AI408" s="379" t="str">
        <f>IFERROR(AC408&amp;VLOOKUP(V408,KEY_FUELS!$C$4:$D$78,2,FALSE),"")</f>
        <v>RSDAHT</v>
      </c>
      <c r="AJ408" s="379" t="str">
        <f t="shared" si="105"/>
        <v>RCAP</v>
      </c>
      <c r="AK408" s="379" t="str">
        <f t="shared" si="107"/>
        <v/>
      </c>
      <c r="AL408" s="379" t="str">
        <f t="shared" si="108"/>
        <v/>
      </c>
      <c r="AM408" s="380">
        <v>31.536000000000001</v>
      </c>
      <c r="AN408" s="427">
        <v>2019</v>
      </c>
      <c r="AO408" s="470"/>
      <c r="AP408" s="429"/>
      <c r="AQ408" s="467"/>
      <c r="AR408" s="429"/>
      <c r="AS408" s="429"/>
      <c r="AT408" s="429"/>
      <c r="AU408" s="467"/>
      <c r="AV408" s="467"/>
      <c r="AW408" s="467"/>
      <c r="AX408" s="429"/>
      <c r="AY408" s="427"/>
      <c r="AZ408" s="467">
        <v>4.5501172329999999</v>
      </c>
      <c r="BA408" s="429"/>
      <c r="BB408" s="429"/>
      <c r="BC408" s="427"/>
      <c r="BD408" s="429"/>
      <c r="BE408" s="429"/>
      <c r="BF408" s="427"/>
      <c r="BG408" s="427"/>
      <c r="BH408" s="427"/>
      <c r="BI408" s="427">
        <v>20</v>
      </c>
      <c r="BJ408" s="427"/>
      <c r="BK408" s="428">
        <v>165</v>
      </c>
      <c r="BL408" s="427"/>
      <c r="BM408" s="427"/>
      <c r="BN408" s="427"/>
      <c r="BO408" s="427"/>
      <c r="BP408" s="427"/>
      <c r="BQ408" s="427"/>
      <c r="BR408" s="429">
        <v>3.1627906976744184</v>
      </c>
      <c r="BS408" s="427"/>
      <c r="BT408" s="427"/>
      <c r="BU408" s="427"/>
      <c r="BV408" s="427"/>
      <c r="BW408" s="427"/>
      <c r="BX408" s="471"/>
    </row>
    <row r="409" spans="10:76" x14ac:dyDescent="0.3">
      <c r="J409" s="362" t="s">
        <v>238</v>
      </c>
      <c r="K409" s="363" t="s">
        <v>135</v>
      </c>
      <c r="L409" s="363"/>
      <c r="M409" s="363" t="s">
        <v>239</v>
      </c>
      <c r="N409" s="363" t="s">
        <v>240</v>
      </c>
      <c r="O409" s="363" t="s">
        <v>136</v>
      </c>
      <c r="P409" s="363">
        <v>2018</v>
      </c>
      <c r="Q409" s="432" t="s">
        <v>292</v>
      </c>
      <c r="R409" s="433" t="s">
        <v>325</v>
      </c>
      <c r="S409" s="439"/>
      <c r="T409" s="439"/>
      <c r="U409" s="363" t="s">
        <v>189</v>
      </c>
      <c r="V409" s="363" t="s">
        <v>190</v>
      </c>
      <c r="W409" s="363" t="s">
        <v>243</v>
      </c>
      <c r="X409" s="363">
        <v>2030</v>
      </c>
      <c r="Y409" s="439"/>
      <c r="Z409" s="363" t="str">
        <f>VLOOKUP(R409,KEY_Processes!$C$55:$E$130,3,FALSE)</f>
        <v>C_CWS_ELC01</v>
      </c>
      <c r="AA409" s="363" t="str">
        <f>VLOOKUP(R409,KEY_Processes!$C$55:$E$130,2,FALSE)</f>
        <v>C_WaterChiller_ELC_SMALL</v>
      </c>
      <c r="AB409" s="363" t="str">
        <f>VLOOKUP(U409,KEY_FUELS!$C$4:$D$77,2,FALSE)</f>
        <v>ELC</v>
      </c>
      <c r="AC409" s="363" t="s">
        <v>150</v>
      </c>
      <c r="AD409" s="363" t="s">
        <v>244</v>
      </c>
      <c r="AE409" s="363" t="s">
        <v>152</v>
      </c>
      <c r="AF409" s="366" t="str">
        <f>VLOOKUP(W409,KEY_Other!$B$37:$C$89,2,FALSE)</f>
        <v>EUR</v>
      </c>
      <c r="AG409" s="439"/>
      <c r="AH409" s="363" t="str">
        <f>AC409&amp;VLOOKUP(U409,KEY_FUELS!$C$4:$D$78,2,FALSE)</f>
        <v>RSDELC</v>
      </c>
      <c r="AI409" s="363" t="str">
        <f>IFERROR(AC409&amp;VLOOKUP(V409,KEY_FUELS!$C$4:$D$78,2,FALSE),"")</f>
        <v>RSDAHT</v>
      </c>
      <c r="AJ409" s="363" t="str">
        <f t="shared" si="105"/>
        <v>RCAP</v>
      </c>
      <c r="AK409" s="363" t="str">
        <f t="shared" si="107"/>
        <v/>
      </c>
      <c r="AL409" s="363" t="str">
        <f t="shared" si="108"/>
        <v/>
      </c>
      <c r="AM409" s="364">
        <v>31.536000000000001</v>
      </c>
      <c r="AN409" s="439">
        <v>2030</v>
      </c>
      <c r="AO409" s="468"/>
      <c r="AP409" s="441"/>
      <c r="AQ409" s="445"/>
      <c r="AR409" s="441"/>
      <c r="AS409" s="441"/>
      <c r="AT409" s="441"/>
      <c r="AU409" s="445"/>
      <c r="AV409" s="445"/>
      <c r="AW409" s="445"/>
      <c r="AX409" s="441"/>
      <c r="AY409" s="439"/>
      <c r="AZ409" s="445">
        <v>5.98</v>
      </c>
      <c r="BA409" s="441"/>
      <c r="BB409" s="441"/>
      <c r="BC409" s="439"/>
      <c r="BD409" s="441"/>
      <c r="BE409" s="441"/>
      <c r="BF409" s="439"/>
      <c r="BG409" s="439"/>
      <c r="BH409" s="439"/>
      <c r="BI409" s="439">
        <v>20</v>
      </c>
      <c r="BJ409" s="439"/>
      <c r="BK409" s="440">
        <v>408</v>
      </c>
      <c r="BL409" s="439"/>
      <c r="BM409" s="439"/>
      <c r="BN409" s="439"/>
      <c r="BO409" s="439"/>
      <c r="BP409" s="439"/>
      <c r="BQ409" s="439"/>
      <c r="BR409" s="441">
        <v>3.1627906976744184</v>
      </c>
      <c r="BS409" s="439"/>
      <c r="BT409" s="439"/>
      <c r="BU409" s="439"/>
      <c r="BV409" s="439"/>
      <c r="BW409" s="439"/>
      <c r="BX409" s="469"/>
    </row>
    <row r="410" spans="10:76" x14ac:dyDescent="0.3">
      <c r="J410" s="378" t="s">
        <v>238</v>
      </c>
      <c r="K410" s="379" t="s">
        <v>135</v>
      </c>
      <c r="L410" s="379"/>
      <c r="M410" s="379" t="s">
        <v>239</v>
      </c>
      <c r="N410" s="379" t="s">
        <v>240</v>
      </c>
      <c r="O410" s="379" t="s">
        <v>136</v>
      </c>
      <c r="P410" s="379">
        <v>2018</v>
      </c>
      <c r="Q410" s="420" t="s">
        <v>326</v>
      </c>
      <c r="R410" s="421" t="s">
        <v>327</v>
      </c>
      <c r="S410" s="427"/>
      <c r="T410" s="427"/>
      <c r="U410" s="446" t="s">
        <v>207</v>
      </c>
      <c r="V410" s="446"/>
      <c r="W410" s="379" t="s">
        <v>243</v>
      </c>
      <c r="X410" s="379">
        <v>2019</v>
      </c>
      <c r="Y410" s="427"/>
      <c r="Z410" s="379" t="str">
        <f>VLOOKUP(R410,KEY_Processes!$C$55:$E$130,3,FALSE)</f>
        <v>K_0_GAS01</v>
      </c>
      <c r="AA410" s="379" t="str">
        <f>VLOOKUP(R410,KEY_Processes!$C$55:$E$130,2,FALSE)</f>
        <v>K_GasOvenHobs_GAS</v>
      </c>
      <c r="AB410" s="379" t="str">
        <f>VLOOKUP(U410,KEY_FUELS!$C$4:$D$77,2,FALSE)</f>
        <v>GAS</v>
      </c>
      <c r="AC410" s="379" t="s">
        <v>150</v>
      </c>
      <c r="AD410" s="427"/>
      <c r="AE410" s="379" t="s">
        <v>152</v>
      </c>
      <c r="AF410" s="382" t="str">
        <f>VLOOKUP(W410,KEY_Other!$B$37:$C$89,2,FALSE)</f>
        <v>EUR</v>
      </c>
      <c r="AG410" s="427"/>
      <c r="AH410" s="379" t="str">
        <f>AC410&amp;VLOOKUP(U410,KEY_FUELS!$C$4:$D$78,2,FALSE)</f>
        <v>RSDGAS</v>
      </c>
      <c r="AI410" s="379" t="str">
        <f>IFERROR(AC410&amp;VLOOKUP(V410,KEY_FUELS!$C$4:$D$78,2,FALSE),"")</f>
        <v/>
      </c>
      <c r="AJ410" s="379" t="str">
        <f t="shared" si="105"/>
        <v>RK</v>
      </c>
      <c r="AK410" s="379" t="str">
        <f t="shared" si="107"/>
        <v/>
      </c>
      <c r="AL410" s="379" t="str">
        <f t="shared" si="108"/>
        <v/>
      </c>
      <c r="AM410" s="380">
        <v>31.536000000000001</v>
      </c>
      <c r="AN410" s="427">
        <v>2019</v>
      </c>
      <c r="AO410" s="470"/>
      <c r="AP410" s="429"/>
      <c r="AQ410" s="467"/>
      <c r="AR410" s="429"/>
      <c r="AS410" s="429"/>
      <c r="AT410" s="429"/>
      <c r="AU410" s="467"/>
      <c r="AV410" s="467"/>
      <c r="AW410" s="467"/>
      <c r="AX410" s="429"/>
      <c r="AY410" s="427"/>
      <c r="AZ410" s="467">
        <v>0.88</v>
      </c>
      <c r="BA410" s="429"/>
      <c r="BB410" s="429"/>
      <c r="BC410" s="427"/>
      <c r="BD410" s="429"/>
      <c r="BE410" s="429"/>
      <c r="BF410" s="427"/>
      <c r="BG410" s="427"/>
      <c r="BH410" s="427"/>
      <c r="BI410" s="427">
        <v>17</v>
      </c>
      <c r="BJ410" s="427"/>
      <c r="BK410" s="428">
        <v>99.582142857142841</v>
      </c>
      <c r="BL410" s="427"/>
      <c r="BM410" s="427"/>
      <c r="BN410" s="427"/>
      <c r="BO410" s="427"/>
      <c r="BP410" s="427"/>
      <c r="BQ410" s="427"/>
      <c r="BR410" s="429">
        <v>0.99582142857142841</v>
      </c>
      <c r="BS410" s="427"/>
      <c r="BT410" s="427"/>
      <c r="BU410" s="427"/>
      <c r="BV410" s="427"/>
      <c r="BW410" s="427"/>
      <c r="BX410" s="471"/>
    </row>
    <row r="411" spans="10:76" x14ac:dyDescent="0.3">
      <c r="J411" s="362" t="s">
        <v>238</v>
      </c>
      <c r="K411" s="363" t="s">
        <v>135</v>
      </c>
      <c r="L411" s="363"/>
      <c r="M411" s="363" t="s">
        <v>239</v>
      </c>
      <c r="N411" s="363" t="s">
        <v>240</v>
      </c>
      <c r="O411" s="363" t="s">
        <v>136</v>
      </c>
      <c r="P411" s="363">
        <v>2018</v>
      </c>
      <c r="Q411" s="432" t="s">
        <v>326</v>
      </c>
      <c r="R411" s="433" t="s">
        <v>327</v>
      </c>
      <c r="S411" s="439"/>
      <c r="T411" s="439"/>
      <c r="U411" s="448" t="s">
        <v>207</v>
      </c>
      <c r="V411" s="448"/>
      <c r="W411" s="363" t="s">
        <v>243</v>
      </c>
      <c r="X411" s="363">
        <v>2030</v>
      </c>
      <c r="Y411" s="439"/>
      <c r="Z411" s="363" t="str">
        <f>VLOOKUP(R411,KEY_Processes!$C$55:$E$130,3,FALSE)</f>
        <v>K_0_GAS01</v>
      </c>
      <c r="AA411" s="363" t="str">
        <f>VLOOKUP(R411,KEY_Processes!$C$55:$E$130,2,FALSE)</f>
        <v>K_GasOvenHobs_GAS</v>
      </c>
      <c r="AB411" s="363" t="str">
        <f>VLOOKUP(U411,KEY_FUELS!$C$4:$D$77,2,FALSE)</f>
        <v>GAS</v>
      </c>
      <c r="AC411" s="363" t="s">
        <v>150</v>
      </c>
      <c r="AD411" s="439"/>
      <c r="AE411" s="363" t="s">
        <v>152</v>
      </c>
      <c r="AF411" s="366" t="str">
        <f>VLOOKUP(W411,KEY_Other!$B$37:$C$89,2,FALSE)</f>
        <v>EUR</v>
      </c>
      <c r="AG411" s="439"/>
      <c r="AH411" s="363" t="str">
        <f>AC411&amp;VLOOKUP(U411,KEY_FUELS!$C$4:$D$78,2,FALSE)</f>
        <v>RSDGAS</v>
      </c>
      <c r="AI411" s="363" t="str">
        <f>IFERROR(AC411&amp;VLOOKUP(V411,KEY_FUELS!$C$4:$D$78,2,FALSE),"")</f>
        <v/>
      </c>
      <c r="AJ411" s="363" t="str">
        <f t="shared" si="105"/>
        <v>RK</v>
      </c>
      <c r="AK411" s="363" t="str">
        <f t="shared" si="107"/>
        <v/>
      </c>
      <c r="AL411" s="363" t="str">
        <f t="shared" si="108"/>
        <v/>
      </c>
      <c r="AM411" s="364">
        <v>31.536000000000001</v>
      </c>
      <c r="AN411" s="439">
        <v>2030</v>
      </c>
      <c r="AO411" s="468"/>
      <c r="AP411" s="441"/>
      <c r="AQ411" s="445"/>
      <c r="AR411" s="441"/>
      <c r="AS411" s="441"/>
      <c r="AT411" s="441"/>
      <c r="AU411" s="445"/>
      <c r="AV411" s="445"/>
      <c r="AW411" s="445"/>
      <c r="AX411" s="441"/>
      <c r="AY411" s="439"/>
      <c r="AZ411" s="445">
        <v>0.44</v>
      </c>
      <c r="BA411" s="441"/>
      <c r="BB411" s="441"/>
      <c r="BC411" s="439"/>
      <c r="BD411" s="441"/>
      <c r="BE411" s="441"/>
      <c r="BF411" s="439"/>
      <c r="BG411" s="439"/>
      <c r="BH411" s="439"/>
      <c r="BI411" s="439">
        <v>17</v>
      </c>
      <c r="BJ411" s="439"/>
      <c r="BK411" s="440">
        <v>84.644821428571419</v>
      </c>
      <c r="BL411" s="439"/>
      <c r="BM411" s="439"/>
      <c r="BN411" s="439"/>
      <c r="BO411" s="439"/>
      <c r="BP411" s="439"/>
      <c r="BQ411" s="439"/>
      <c r="BR411" s="441">
        <v>0.84644821428571415</v>
      </c>
      <c r="BS411" s="439"/>
      <c r="BT411" s="439"/>
      <c r="BU411" s="439"/>
      <c r="BV411" s="439"/>
      <c r="BW411" s="439"/>
      <c r="BX411" s="469"/>
    </row>
    <row r="412" spans="10:76" x14ac:dyDescent="0.3">
      <c r="J412" s="378" t="s">
        <v>238</v>
      </c>
      <c r="K412" s="379" t="s">
        <v>135</v>
      </c>
      <c r="L412" s="379"/>
      <c r="M412" s="379" t="s">
        <v>239</v>
      </c>
      <c r="N412" s="379" t="s">
        <v>240</v>
      </c>
      <c r="O412" s="379" t="s">
        <v>136</v>
      </c>
      <c r="P412" s="379">
        <v>2018</v>
      </c>
      <c r="Q412" s="420" t="s">
        <v>328</v>
      </c>
      <c r="R412" s="421" t="s">
        <v>329</v>
      </c>
      <c r="S412" s="427"/>
      <c r="T412" s="427"/>
      <c r="U412" s="446" t="s">
        <v>189</v>
      </c>
      <c r="V412" s="446"/>
      <c r="W412" s="379" t="s">
        <v>243</v>
      </c>
      <c r="X412" s="379">
        <v>2019</v>
      </c>
      <c r="Y412" s="427"/>
      <c r="Z412" s="379" t="str">
        <f>VLOOKUP(R412,KEY_Processes!$C$55:$E$130,3,FALSE)</f>
        <v>K_0_ELC01</v>
      </c>
      <c r="AA412" s="379" t="str">
        <f>VLOOKUP(R412,KEY_Processes!$C$55:$E$130,2,FALSE)</f>
        <v>K_ElectricOvenHobs_ELC</v>
      </c>
      <c r="AB412" s="379" t="str">
        <f>VLOOKUP(U412,KEY_FUELS!$C$4:$D$77,2,FALSE)</f>
        <v>ELC</v>
      </c>
      <c r="AC412" s="379" t="s">
        <v>150</v>
      </c>
      <c r="AD412" s="427"/>
      <c r="AE412" s="379" t="s">
        <v>152</v>
      </c>
      <c r="AF412" s="382" t="str">
        <f>VLOOKUP(W412,KEY_Other!$B$37:$C$89,2,FALSE)</f>
        <v>EUR</v>
      </c>
      <c r="AG412" s="427"/>
      <c r="AH412" s="379" t="str">
        <f>AC412&amp;VLOOKUP(U412,KEY_FUELS!$C$4:$D$78,2,FALSE)</f>
        <v>RSDELC</v>
      </c>
      <c r="AI412" s="379" t="str">
        <f>IFERROR(AC412&amp;VLOOKUP(V412,KEY_FUELS!$C$4:$D$78,2,FALSE),"")</f>
        <v/>
      </c>
      <c r="AJ412" s="379" t="str">
        <f t="shared" si="105"/>
        <v>RK</v>
      </c>
      <c r="AK412" s="379" t="str">
        <f t="shared" si="107"/>
        <v/>
      </c>
      <c r="AL412" s="379" t="str">
        <f t="shared" si="108"/>
        <v/>
      </c>
      <c r="AM412" s="380">
        <v>31.536000000000001</v>
      </c>
      <c r="AN412" s="427">
        <v>2019</v>
      </c>
      <c r="AO412" s="470"/>
      <c r="AP412" s="429"/>
      <c r="AQ412" s="467"/>
      <c r="AR412" s="429"/>
      <c r="AS412" s="429"/>
      <c r="AT412" s="429"/>
      <c r="AU412" s="467"/>
      <c r="AV412" s="467"/>
      <c r="AW412" s="467"/>
      <c r="AX412" s="429"/>
      <c r="AY412" s="427"/>
      <c r="AZ412" s="467">
        <v>0.9</v>
      </c>
      <c r="BA412" s="429"/>
      <c r="BB412" s="429"/>
      <c r="BC412" s="427"/>
      <c r="BD412" s="429"/>
      <c r="BE412" s="429"/>
      <c r="BF412" s="427"/>
      <c r="BG412" s="427"/>
      <c r="BH412" s="427"/>
      <c r="BI412" s="427">
        <v>17</v>
      </c>
      <c r="BJ412" s="427"/>
      <c r="BK412" s="428">
        <v>541.42857142857144</v>
      </c>
      <c r="BL412" s="427"/>
      <c r="BM412" s="427"/>
      <c r="BN412" s="427"/>
      <c r="BO412" s="427"/>
      <c r="BP412" s="427"/>
      <c r="BQ412" s="427"/>
      <c r="BR412" s="429">
        <v>5.4142857142857146</v>
      </c>
      <c r="BS412" s="427"/>
      <c r="BT412" s="427"/>
      <c r="BU412" s="427"/>
      <c r="BV412" s="427"/>
      <c r="BW412" s="427"/>
      <c r="BX412" s="471"/>
    </row>
    <row r="413" spans="10:76" x14ac:dyDescent="0.3">
      <c r="J413" s="362" t="s">
        <v>238</v>
      </c>
      <c r="K413" s="363" t="s">
        <v>135</v>
      </c>
      <c r="L413" s="363"/>
      <c r="M413" s="363" t="s">
        <v>239</v>
      </c>
      <c r="N413" s="363" t="s">
        <v>240</v>
      </c>
      <c r="O413" s="363" t="s">
        <v>136</v>
      </c>
      <c r="P413" s="363">
        <v>2018</v>
      </c>
      <c r="Q413" s="432" t="s">
        <v>328</v>
      </c>
      <c r="R413" s="433" t="s">
        <v>329</v>
      </c>
      <c r="S413" s="439"/>
      <c r="T413" s="439"/>
      <c r="U413" s="448" t="s">
        <v>189</v>
      </c>
      <c r="V413" s="448"/>
      <c r="W413" s="363" t="s">
        <v>243</v>
      </c>
      <c r="X413" s="363">
        <v>2030</v>
      </c>
      <c r="Y413" s="439"/>
      <c r="Z413" s="363" t="str">
        <f>VLOOKUP(R413,KEY_Processes!$C$55:$E$130,3,FALSE)</f>
        <v>K_0_ELC01</v>
      </c>
      <c r="AA413" s="363" t="str">
        <f>VLOOKUP(R413,KEY_Processes!$C$55:$E$130,2,FALSE)</f>
        <v>K_ElectricOvenHobs_ELC</v>
      </c>
      <c r="AB413" s="363" t="str">
        <f>VLOOKUP(U413,KEY_FUELS!$C$4:$D$77,2,FALSE)</f>
        <v>ELC</v>
      </c>
      <c r="AC413" s="363" t="s">
        <v>150</v>
      </c>
      <c r="AD413" s="439"/>
      <c r="AE413" s="363" t="s">
        <v>152</v>
      </c>
      <c r="AF413" s="366" t="str">
        <f>VLOOKUP(W413,KEY_Other!$B$37:$C$89,2,FALSE)</f>
        <v>EUR</v>
      </c>
      <c r="AG413" s="439"/>
      <c r="AH413" s="363" t="str">
        <f>AC413&amp;VLOOKUP(U413,KEY_FUELS!$C$4:$D$78,2,FALSE)</f>
        <v>RSDELC</v>
      </c>
      <c r="AI413" s="363" t="str">
        <f>IFERROR(AC413&amp;VLOOKUP(V413,KEY_FUELS!$C$4:$D$78,2,FALSE),"")</f>
        <v/>
      </c>
      <c r="AJ413" s="363" t="str">
        <f t="shared" si="105"/>
        <v>RK</v>
      </c>
      <c r="AK413" s="363" t="str">
        <f t="shared" si="107"/>
        <v/>
      </c>
      <c r="AL413" s="363" t="str">
        <f t="shared" si="108"/>
        <v/>
      </c>
      <c r="AM413" s="364">
        <v>31.536000000000001</v>
      </c>
      <c r="AN413" s="439">
        <v>2030</v>
      </c>
      <c r="AO413" s="468"/>
      <c r="AP413" s="441"/>
      <c r="AQ413" s="445"/>
      <c r="AR413" s="441"/>
      <c r="AS413" s="441"/>
      <c r="AT413" s="441"/>
      <c r="AU413" s="445"/>
      <c r="AV413" s="445"/>
      <c r="AW413" s="445"/>
      <c r="AX413" s="441"/>
      <c r="AY413" s="439"/>
      <c r="AZ413" s="445">
        <v>0.7</v>
      </c>
      <c r="BA413" s="441"/>
      <c r="BB413" s="441"/>
      <c r="BC413" s="439"/>
      <c r="BD413" s="441"/>
      <c r="BE413" s="441"/>
      <c r="BF413" s="439"/>
      <c r="BG413" s="439"/>
      <c r="BH413" s="439"/>
      <c r="BI413" s="439">
        <v>17</v>
      </c>
      <c r="BJ413" s="439"/>
      <c r="BK413" s="440">
        <v>324.85714285714283</v>
      </c>
      <c r="BL413" s="439"/>
      <c r="BM413" s="439"/>
      <c r="BN413" s="439"/>
      <c r="BO413" s="439"/>
      <c r="BP413" s="439"/>
      <c r="BQ413" s="439"/>
      <c r="BR413" s="441">
        <v>3.2485714285714282</v>
      </c>
      <c r="BS413" s="439"/>
      <c r="BT413" s="439"/>
      <c r="BU413" s="439"/>
      <c r="BV413" s="439"/>
      <c r="BW413" s="439"/>
      <c r="BX413" s="469"/>
    </row>
    <row r="414" spans="10:76" x14ac:dyDescent="0.3">
      <c r="J414" s="378" t="s">
        <v>238</v>
      </c>
      <c r="K414" s="379" t="s">
        <v>135</v>
      </c>
      <c r="L414" s="379"/>
      <c r="M414" s="379" t="s">
        <v>239</v>
      </c>
      <c r="N414" s="379" t="s">
        <v>240</v>
      </c>
      <c r="O414" s="379" t="s">
        <v>136</v>
      </c>
      <c r="P414" s="379">
        <v>2018</v>
      </c>
      <c r="Q414" s="420" t="s">
        <v>330</v>
      </c>
      <c r="R414" s="421" t="s">
        <v>331</v>
      </c>
      <c r="S414" s="427"/>
      <c r="T414" s="427"/>
      <c r="U414" s="446" t="s">
        <v>189</v>
      </c>
      <c r="V414" s="446"/>
      <c r="W414" s="379" t="s">
        <v>243</v>
      </c>
      <c r="X414" s="379">
        <v>2019</v>
      </c>
      <c r="Y414" s="427"/>
      <c r="Z414" s="379" t="str">
        <f>VLOOKUP(R414,KEY_Processes!$C$55:$E$130,3,FALSE)</f>
        <v>K_0_ELC02</v>
      </c>
      <c r="AA414" s="379" t="str">
        <f>VLOOKUP(R414,KEY_Processes!$C$55:$E$130,2,FALSE)</f>
        <v>K_LPGOvenHobs_ELC</v>
      </c>
      <c r="AB414" s="379" t="str">
        <f>VLOOKUP(U414,KEY_FUELS!$C$4:$D$77,2,FALSE)</f>
        <v>ELC</v>
      </c>
      <c r="AC414" s="379" t="s">
        <v>150</v>
      </c>
      <c r="AD414" s="427"/>
      <c r="AE414" s="379" t="s">
        <v>152</v>
      </c>
      <c r="AF414" s="382" t="str">
        <f>VLOOKUP(W414,KEY_Other!$B$37:$C$89,2,FALSE)</f>
        <v>EUR</v>
      </c>
      <c r="AG414" s="427"/>
      <c r="AH414" s="379" t="str">
        <f>AC414&amp;VLOOKUP(U414,KEY_FUELS!$C$4:$D$78,2,FALSE)</f>
        <v>RSDELC</v>
      </c>
      <c r="AI414" s="379" t="str">
        <f>IFERROR(AC414&amp;VLOOKUP(V414,KEY_FUELS!$C$4:$D$78,2,FALSE),"")</f>
        <v/>
      </c>
      <c r="AJ414" s="379" t="str">
        <f t="shared" si="105"/>
        <v>RK</v>
      </c>
      <c r="AK414" s="379" t="str">
        <f t="shared" si="107"/>
        <v/>
      </c>
      <c r="AL414" s="379" t="str">
        <f t="shared" si="108"/>
        <v/>
      </c>
      <c r="AM414" s="380">
        <v>31.536000000000001</v>
      </c>
      <c r="AN414" s="427">
        <v>2019</v>
      </c>
      <c r="AO414" s="470"/>
      <c r="AP414" s="429"/>
      <c r="AQ414" s="467"/>
      <c r="AR414" s="429"/>
      <c r="AS414" s="429"/>
      <c r="AT414" s="429"/>
      <c r="AU414" s="467"/>
      <c r="AV414" s="467"/>
      <c r="AW414" s="467"/>
      <c r="AX414" s="429"/>
      <c r="AY414" s="427"/>
      <c r="AZ414" s="467">
        <v>0.44</v>
      </c>
      <c r="BA414" s="429"/>
      <c r="BB414" s="429"/>
      <c r="BC414" s="427"/>
      <c r="BD414" s="429"/>
      <c r="BE414" s="429"/>
      <c r="BF414" s="427"/>
      <c r="BG414" s="427"/>
      <c r="BH414" s="427"/>
      <c r="BI414" s="427">
        <v>17</v>
      </c>
      <c r="BJ414" s="427"/>
      <c r="BK414" s="428">
        <v>26.799999999999997</v>
      </c>
      <c r="BL414" s="427"/>
      <c r="BM414" s="427"/>
      <c r="BN414" s="427"/>
      <c r="BO414" s="427"/>
      <c r="BP414" s="427"/>
      <c r="BQ414" s="427"/>
      <c r="BR414" s="429">
        <v>0.99582142857142841</v>
      </c>
      <c r="BS414" s="427"/>
      <c r="BT414" s="427"/>
      <c r="BU414" s="427"/>
      <c r="BV414" s="427"/>
      <c r="BW414" s="427"/>
      <c r="BX414" s="471"/>
    </row>
    <row r="415" spans="10:76" x14ac:dyDescent="0.3">
      <c r="J415" s="362" t="s">
        <v>238</v>
      </c>
      <c r="K415" s="363" t="s">
        <v>135</v>
      </c>
      <c r="L415" s="363"/>
      <c r="M415" s="363" t="s">
        <v>239</v>
      </c>
      <c r="N415" s="363" t="s">
        <v>240</v>
      </c>
      <c r="O415" s="363" t="s">
        <v>136</v>
      </c>
      <c r="P415" s="363">
        <v>2018</v>
      </c>
      <c r="Q415" s="432" t="s">
        <v>332</v>
      </c>
      <c r="R415" s="433" t="s">
        <v>333</v>
      </c>
      <c r="S415" s="439"/>
      <c r="T415" s="439"/>
      <c r="U415" s="448" t="s">
        <v>189</v>
      </c>
      <c r="V415" s="448"/>
      <c r="W415" s="363" t="s">
        <v>243</v>
      </c>
      <c r="X415" s="363">
        <v>2019</v>
      </c>
      <c r="Y415" s="439"/>
      <c r="Z415" s="363" t="str">
        <f>VLOOKUP(R415,KEY_Processes!$C$55:$E$130,3,FALSE)</f>
        <v>K_0_ELC03</v>
      </c>
      <c r="AA415" s="363" t="str">
        <f>VLOOKUP(R415,KEY_Processes!$C$55:$E$130,2,FALSE)</f>
        <v>K_ElectricRange_ELC</v>
      </c>
      <c r="AB415" s="363" t="str">
        <f>VLOOKUP(U415,KEY_FUELS!$C$4:$D$77,2,FALSE)</f>
        <v>ELC</v>
      </c>
      <c r="AC415" s="363" t="s">
        <v>150</v>
      </c>
      <c r="AD415" s="439"/>
      <c r="AE415" s="363" t="s">
        <v>152</v>
      </c>
      <c r="AF415" s="366" t="str">
        <f>VLOOKUP(W415,KEY_Other!$B$37:$C$89,2,FALSE)</f>
        <v>EUR</v>
      </c>
      <c r="AG415" s="439"/>
      <c r="AH415" s="363" t="str">
        <f>AC415&amp;VLOOKUP(U415,KEY_FUELS!$C$4:$D$78,2,FALSE)</f>
        <v>RSDELC</v>
      </c>
      <c r="AI415" s="363" t="str">
        <f>IFERROR(AC415&amp;VLOOKUP(V415,KEY_FUELS!$C$4:$D$78,2,FALSE),"")</f>
        <v/>
      </c>
      <c r="AJ415" s="363" t="str">
        <f t="shared" si="105"/>
        <v>RK</v>
      </c>
      <c r="AK415" s="363" t="str">
        <f t="shared" si="107"/>
        <v/>
      </c>
      <c r="AL415" s="363" t="str">
        <f t="shared" si="108"/>
        <v/>
      </c>
      <c r="AM415" s="364">
        <v>31.536000000000001</v>
      </c>
      <c r="AN415" s="439">
        <v>2019</v>
      </c>
      <c r="AO415" s="468"/>
      <c r="AP415" s="441"/>
      <c r="AQ415" s="445"/>
      <c r="AR415" s="441"/>
      <c r="AS415" s="441"/>
      <c r="AT415" s="441"/>
      <c r="AU415" s="445"/>
      <c r="AV415" s="445"/>
      <c r="AW415" s="445"/>
      <c r="AX415" s="441"/>
      <c r="AY415" s="439"/>
      <c r="AZ415" s="445">
        <v>0.88</v>
      </c>
      <c r="BA415" s="441"/>
      <c r="BB415" s="441"/>
      <c r="BC415" s="439"/>
      <c r="BD415" s="441"/>
      <c r="BE415" s="441"/>
      <c r="BF415" s="439"/>
      <c r="BG415" s="439"/>
      <c r="BH415" s="439"/>
      <c r="BI415" s="439">
        <v>17</v>
      </c>
      <c r="BJ415" s="439"/>
      <c r="BK415" s="440">
        <v>289.28571428571428</v>
      </c>
      <c r="BL415" s="439"/>
      <c r="BM415" s="439"/>
      <c r="BN415" s="439"/>
      <c r="BO415" s="439"/>
      <c r="BP415" s="439"/>
      <c r="BQ415" s="439"/>
      <c r="BR415" s="441">
        <v>2.8928571428571428</v>
      </c>
      <c r="BS415" s="439"/>
      <c r="BT415" s="439"/>
      <c r="BU415" s="439"/>
      <c r="BV415" s="439"/>
      <c r="BW415" s="439"/>
      <c r="BX415" s="469"/>
    </row>
    <row r="416" spans="10:76" x14ac:dyDescent="0.3">
      <c r="J416" s="378" t="s">
        <v>238</v>
      </c>
      <c r="K416" s="379" t="s">
        <v>135</v>
      </c>
      <c r="L416" s="379"/>
      <c r="M416" s="379" t="s">
        <v>239</v>
      </c>
      <c r="N416" s="379" t="s">
        <v>240</v>
      </c>
      <c r="O416" s="379" t="s">
        <v>136</v>
      </c>
      <c r="P416" s="379">
        <v>2018</v>
      </c>
      <c r="Q416" s="420" t="s">
        <v>334</v>
      </c>
      <c r="R416" s="421" t="s">
        <v>335</v>
      </c>
      <c r="S416" s="427"/>
      <c r="T416" s="427"/>
      <c r="U416" s="446" t="s">
        <v>207</v>
      </c>
      <c r="V416" s="446"/>
      <c r="W416" s="379" t="s">
        <v>243</v>
      </c>
      <c r="X416" s="379">
        <v>2019</v>
      </c>
      <c r="Y416" s="427"/>
      <c r="Z416" s="379" t="str">
        <f>VLOOKUP(R416,KEY_Processes!$C$55:$E$130,3,FALSE)</f>
        <v>K_0_GAS02</v>
      </c>
      <c r="AA416" s="379" t="str">
        <f>VLOOKUP(R416,KEY_Processes!$C$55:$E$130,2,FALSE)</f>
        <v>K_GasRange_GAS</v>
      </c>
      <c r="AB416" s="379" t="str">
        <f>VLOOKUP(U416,KEY_FUELS!$C$4:$D$77,2,FALSE)</f>
        <v>GAS</v>
      </c>
      <c r="AC416" s="379" t="s">
        <v>150</v>
      </c>
      <c r="AD416" s="427"/>
      <c r="AE416" s="379" t="s">
        <v>152</v>
      </c>
      <c r="AF416" s="382" t="str">
        <f>VLOOKUP(W416,KEY_Other!$B$37:$C$89,2,FALSE)</f>
        <v>EUR</v>
      </c>
      <c r="AG416" s="427"/>
      <c r="AH416" s="379" t="str">
        <f>AC416&amp;VLOOKUP(U416,KEY_FUELS!$C$4:$D$78,2,FALSE)</f>
        <v>RSDGAS</v>
      </c>
      <c r="AI416" s="379" t="str">
        <f>IFERROR(AC416&amp;VLOOKUP(V416,KEY_FUELS!$C$4:$D$78,2,FALSE),"")</f>
        <v/>
      </c>
      <c r="AJ416" s="379" t="str">
        <f t="shared" si="105"/>
        <v>RK</v>
      </c>
      <c r="AK416" s="379" t="str">
        <f t="shared" si="107"/>
        <v/>
      </c>
      <c r="AL416" s="379" t="str">
        <f t="shared" si="108"/>
        <v/>
      </c>
      <c r="AM416" s="380">
        <v>31.536000000000001</v>
      </c>
      <c r="AN416" s="427">
        <v>2019</v>
      </c>
      <c r="AO416" s="470"/>
      <c r="AP416" s="429"/>
      <c r="AQ416" s="467"/>
      <c r="AR416" s="429"/>
      <c r="AS416" s="429"/>
      <c r="AT416" s="429"/>
      <c r="AU416" s="467"/>
      <c r="AV416" s="467"/>
      <c r="AW416" s="467"/>
      <c r="AX416" s="429"/>
      <c r="AY416" s="427"/>
      <c r="AZ416" s="467">
        <v>0.44</v>
      </c>
      <c r="BA416" s="429"/>
      <c r="BB416" s="429"/>
      <c r="BC416" s="427"/>
      <c r="BD416" s="429"/>
      <c r="BE416" s="429"/>
      <c r="BF416" s="427"/>
      <c r="BG416" s="427"/>
      <c r="BH416" s="427"/>
      <c r="BI416" s="427">
        <v>17</v>
      </c>
      <c r="BJ416" s="427"/>
      <c r="BK416" s="428">
        <v>66.071428571428569</v>
      </c>
      <c r="BL416" s="427"/>
      <c r="BM416" s="427"/>
      <c r="BN416" s="427"/>
      <c r="BO416" s="427"/>
      <c r="BP416" s="427"/>
      <c r="BQ416" s="427"/>
      <c r="BR416" s="429">
        <v>0.6607142857142857</v>
      </c>
      <c r="BS416" s="427"/>
      <c r="BT416" s="427"/>
      <c r="BU416" s="427"/>
      <c r="BV416" s="427"/>
      <c r="BW416" s="427"/>
      <c r="BX416" s="471"/>
    </row>
    <row r="417" spans="10:76" x14ac:dyDescent="0.3">
      <c r="J417" s="362" t="s">
        <v>238</v>
      </c>
      <c r="K417" s="363" t="s">
        <v>135</v>
      </c>
      <c r="L417" s="363"/>
      <c r="M417" s="363" t="s">
        <v>239</v>
      </c>
      <c r="N417" s="363" t="s">
        <v>240</v>
      </c>
      <c r="O417" s="363" t="s">
        <v>136</v>
      </c>
      <c r="P417" s="363">
        <v>2018</v>
      </c>
      <c r="Q417" s="432" t="s">
        <v>336</v>
      </c>
      <c r="R417" s="433" t="s">
        <v>337</v>
      </c>
      <c r="S417" s="439"/>
      <c r="T417" s="439"/>
      <c r="U417" s="448" t="s">
        <v>322</v>
      </c>
      <c r="V417" s="448"/>
      <c r="W417" s="363" t="s">
        <v>243</v>
      </c>
      <c r="X417" s="363">
        <v>2019</v>
      </c>
      <c r="Y417" s="439"/>
      <c r="Z417" s="363" t="str">
        <f>VLOOKUP(R417,KEY_Processes!$C$55:$E$130,3,FALSE)</f>
        <v>K_0_LPG01</v>
      </c>
      <c r="AA417" s="363" t="str">
        <f>VLOOKUP(R417,KEY_Processes!$C$55:$E$130,2,FALSE)</f>
        <v>K_LPGRange_LPG</v>
      </c>
      <c r="AB417" s="363" t="str">
        <f>VLOOKUP(U417,KEY_FUELS!$C$4:$D$77,2,FALSE)</f>
        <v>GAS</v>
      </c>
      <c r="AC417" s="363" t="s">
        <v>150</v>
      </c>
      <c r="AD417" s="439"/>
      <c r="AE417" s="363" t="s">
        <v>152</v>
      </c>
      <c r="AF417" s="366" t="str">
        <f>VLOOKUP(W417,KEY_Other!$B$37:$C$89,2,FALSE)</f>
        <v>EUR</v>
      </c>
      <c r="AG417" s="439"/>
      <c r="AH417" s="363" t="str">
        <f>AC417&amp;VLOOKUP(U417,KEY_FUELS!$C$4:$D$78,2,FALSE)</f>
        <v>RSDGAS</v>
      </c>
      <c r="AI417" s="363" t="str">
        <f>IFERROR(AC417&amp;VLOOKUP(V417,KEY_FUELS!$C$4:$D$78,2,FALSE),"")</f>
        <v/>
      </c>
      <c r="AJ417" s="363" t="str">
        <f t="shared" si="105"/>
        <v>RK</v>
      </c>
      <c r="AK417" s="363" t="str">
        <f t="shared" si="107"/>
        <v/>
      </c>
      <c r="AL417" s="363" t="str">
        <f t="shared" si="108"/>
        <v/>
      </c>
      <c r="AM417" s="364">
        <v>31.536000000000001</v>
      </c>
      <c r="AN417" s="439">
        <v>2019</v>
      </c>
      <c r="AO417" s="468"/>
      <c r="AP417" s="441"/>
      <c r="AQ417" s="445"/>
      <c r="AR417" s="441"/>
      <c r="AS417" s="441"/>
      <c r="AT417" s="441"/>
      <c r="AU417" s="445"/>
      <c r="AV417" s="445"/>
      <c r="AW417" s="445"/>
      <c r="AX417" s="441"/>
      <c r="AY417" s="439"/>
      <c r="AZ417" s="445">
        <v>0.44</v>
      </c>
      <c r="BA417" s="441"/>
      <c r="BB417" s="441"/>
      <c r="BC417" s="439"/>
      <c r="BD417" s="441"/>
      <c r="BE417" s="441"/>
      <c r="BF417" s="439"/>
      <c r="BG417" s="439"/>
      <c r="BH417" s="439"/>
      <c r="BI417" s="439">
        <v>17</v>
      </c>
      <c r="BJ417" s="439"/>
      <c r="BK417" s="440">
        <v>22.4</v>
      </c>
      <c r="BL417" s="439"/>
      <c r="BM417" s="439"/>
      <c r="BN417" s="439"/>
      <c r="BO417" s="439"/>
      <c r="BP417" s="439"/>
      <c r="BQ417" s="439"/>
      <c r="BR417" s="441">
        <v>0.6607142857142857</v>
      </c>
      <c r="BS417" s="439"/>
      <c r="BT417" s="439"/>
      <c r="BU417" s="439"/>
      <c r="BV417" s="439"/>
      <c r="BW417" s="439"/>
      <c r="BX417" s="469"/>
    </row>
    <row r="418" spans="10:76" x14ac:dyDescent="0.3">
      <c r="J418" s="378" t="s">
        <v>238</v>
      </c>
      <c r="K418" s="379" t="s">
        <v>135</v>
      </c>
      <c r="L418" s="379"/>
      <c r="M418" s="379" t="s">
        <v>239</v>
      </c>
      <c r="N418" s="379" t="s">
        <v>240</v>
      </c>
      <c r="O418" s="379" t="s">
        <v>136</v>
      </c>
      <c r="P418" s="379">
        <v>2018</v>
      </c>
      <c r="Q418" s="420" t="s">
        <v>338</v>
      </c>
      <c r="R418" s="421" t="s">
        <v>339</v>
      </c>
      <c r="S418" s="427"/>
      <c r="T418" s="427"/>
      <c r="U418" s="446" t="s">
        <v>189</v>
      </c>
      <c r="V418" s="446"/>
      <c r="W418" s="379" t="s">
        <v>243</v>
      </c>
      <c r="X418" s="379">
        <v>2019</v>
      </c>
      <c r="Y418" s="427"/>
      <c r="Z418" s="379" t="str">
        <f>VLOOKUP(R418,KEY_Processes!$C$55:$E$130,3,FALSE)</f>
        <v>K_0_ELC04</v>
      </c>
      <c r="AA418" s="379" t="str">
        <f>VLOOKUP(R418,KEY_Processes!$C$55:$E$130,2,FALSE)</f>
        <v>K_ElectricSteamer_ELC</v>
      </c>
      <c r="AB418" s="379" t="str">
        <f>VLOOKUP(U418,KEY_FUELS!$C$4:$D$77,2,FALSE)</f>
        <v>ELC</v>
      </c>
      <c r="AC418" s="379" t="s">
        <v>150</v>
      </c>
      <c r="AD418" s="427"/>
      <c r="AE418" s="379" t="s">
        <v>152</v>
      </c>
      <c r="AF418" s="382" t="str">
        <f>VLOOKUP(W418,KEY_Other!$B$37:$C$89,2,FALSE)</f>
        <v>EUR</v>
      </c>
      <c r="AG418" s="427"/>
      <c r="AH418" s="379" t="str">
        <f>AC418&amp;VLOOKUP(U418,KEY_FUELS!$C$4:$D$78,2,FALSE)</f>
        <v>RSDELC</v>
      </c>
      <c r="AI418" s="379" t="str">
        <f>IFERROR(AC418&amp;VLOOKUP(V418,KEY_FUELS!$C$4:$D$78,2,FALSE),"")</f>
        <v/>
      </c>
      <c r="AJ418" s="379" t="str">
        <f t="shared" si="105"/>
        <v>RK</v>
      </c>
      <c r="AK418" s="379" t="str">
        <f t="shared" si="107"/>
        <v/>
      </c>
      <c r="AL418" s="379" t="str">
        <f t="shared" si="108"/>
        <v/>
      </c>
      <c r="AM418" s="380">
        <v>31.536000000000001</v>
      </c>
      <c r="AN418" s="427">
        <v>2019</v>
      </c>
      <c r="AO418" s="470"/>
      <c r="AP418" s="429"/>
      <c r="AQ418" s="467"/>
      <c r="AR418" s="429"/>
      <c r="AS418" s="429"/>
      <c r="AT418" s="429"/>
      <c r="AU418" s="467"/>
      <c r="AV418" s="467"/>
      <c r="AW418" s="467"/>
      <c r="AX418" s="429"/>
      <c r="AY418" s="427"/>
      <c r="AZ418" s="467">
        <v>0.75</v>
      </c>
      <c r="BA418" s="429"/>
      <c r="BB418" s="429"/>
      <c r="BC418" s="427"/>
      <c r="BD418" s="429"/>
      <c r="BE418" s="429"/>
      <c r="BF418" s="427"/>
      <c r="BG418" s="427"/>
      <c r="BH418" s="427"/>
      <c r="BI418" s="427">
        <v>10</v>
      </c>
      <c r="BJ418" s="427"/>
      <c r="BK418" s="428">
        <v>52.903225806451609</v>
      </c>
      <c r="BL418" s="427"/>
      <c r="BM418" s="427"/>
      <c r="BN418" s="427"/>
      <c r="BO418" s="427"/>
      <c r="BP418" s="427"/>
      <c r="BQ418" s="427"/>
      <c r="BR418" s="429">
        <v>0.52903225806451615</v>
      </c>
      <c r="BS418" s="427"/>
      <c r="BT418" s="427"/>
      <c r="BU418" s="427"/>
      <c r="BV418" s="427"/>
      <c r="BW418" s="427"/>
      <c r="BX418" s="471"/>
    </row>
    <row r="419" spans="10:76" x14ac:dyDescent="0.3">
      <c r="J419" s="362" t="s">
        <v>238</v>
      </c>
      <c r="K419" s="363" t="s">
        <v>135</v>
      </c>
      <c r="L419" s="363"/>
      <c r="M419" s="363" t="s">
        <v>239</v>
      </c>
      <c r="N419" s="363" t="s">
        <v>240</v>
      </c>
      <c r="O419" s="363" t="s">
        <v>136</v>
      </c>
      <c r="P419" s="363">
        <v>2018</v>
      </c>
      <c r="Q419" s="432" t="s">
        <v>340</v>
      </c>
      <c r="R419" s="433" t="s">
        <v>341</v>
      </c>
      <c r="S419" s="439"/>
      <c r="T419" s="439"/>
      <c r="U419" s="448" t="s">
        <v>207</v>
      </c>
      <c r="V419" s="448"/>
      <c r="W419" s="363" t="s">
        <v>243</v>
      </c>
      <c r="X419" s="363">
        <v>2019</v>
      </c>
      <c r="Y419" s="439"/>
      <c r="Z419" s="363" t="str">
        <f>VLOOKUP(R419,KEY_Processes!$C$55:$E$130,3,FALSE)</f>
        <v>K_0_GAS03</v>
      </c>
      <c r="AA419" s="363" t="str">
        <f>VLOOKUP(R419,KEY_Processes!$C$55:$E$130,2,FALSE)</f>
        <v>K_GasSteamer_GAS</v>
      </c>
      <c r="AB419" s="363" t="str">
        <f>VLOOKUP(U419,KEY_FUELS!$C$4:$D$77,2,FALSE)</f>
        <v>GAS</v>
      </c>
      <c r="AC419" s="363" t="s">
        <v>150</v>
      </c>
      <c r="AD419" s="439"/>
      <c r="AE419" s="363" t="s">
        <v>152</v>
      </c>
      <c r="AF419" s="366" t="str">
        <f>VLOOKUP(W419,KEY_Other!$B$37:$C$89,2,FALSE)</f>
        <v>EUR</v>
      </c>
      <c r="AG419" s="439"/>
      <c r="AH419" s="363" t="str">
        <f>AC419&amp;VLOOKUP(U419,KEY_FUELS!$C$4:$D$78,2,FALSE)</f>
        <v>RSDGAS</v>
      </c>
      <c r="AI419" s="363" t="str">
        <f>IFERROR(AC419&amp;VLOOKUP(V419,KEY_FUELS!$C$4:$D$78,2,FALSE),"")</f>
        <v/>
      </c>
      <c r="AJ419" s="363" t="str">
        <f t="shared" si="105"/>
        <v>RK</v>
      </c>
      <c r="AK419" s="363" t="str">
        <f t="shared" si="107"/>
        <v/>
      </c>
      <c r="AL419" s="363" t="str">
        <f t="shared" si="108"/>
        <v/>
      </c>
      <c r="AM419" s="364">
        <v>31.536000000000001</v>
      </c>
      <c r="AN419" s="439">
        <v>2019</v>
      </c>
      <c r="AO419" s="468"/>
      <c r="AP419" s="441"/>
      <c r="AQ419" s="445"/>
      <c r="AR419" s="441"/>
      <c r="AS419" s="441"/>
      <c r="AT419" s="441"/>
      <c r="AU419" s="445"/>
      <c r="AV419" s="445"/>
      <c r="AW419" s="445"/>
      <c r="AX419" s="441"/>
      <c r="AY419" s="439"/>
      <c r="AZ419" s="445">
        <v>0.55000000000000004</v>
      </c>
      <c r="BA419" s="441"/>
      <c r="BB419" s="441"/>
      <c r="BC419" s="439"/>
      <c r="BD419" s="441"/>
      <c r="BE419" s="441"/>
      <c r="BF419" s="439"/>
      <c r="BG419" s="439"/>
      <c r="BH419" s="439"/>
      <c r="BI419" s="439">
        <v>10</v>
      </c>
      <c r="BJ419" s="439"/>
      <c r="BK419" s="440">
        <v>12.082835523695737</v>
      </c>
      <c r="BL419" s="439"/>
      <c r="BM419" s="439"/>
      <c r="BN419" s="439"/>
      <c r="BO419" s="439"/>
      <c r="BP419" s="439"/>
      <c r="BQ419" s="439"/>
      <c r="BR419" s="441">
        <v>0.12082835523695737</v>
      </c>
      <c r="BS419" s="439"/>
      <c r="BT419" s="439"/>
      <c r="BU419" s="439"/>
      <c r="BV419" s="439"/>
      <c r="BW419" s="439"/>
      <c r="BX419" s="469"/>
    </row>
    <row r="420" spans="10:76" x14ac:dyDescent="0.3">
      <c r="J420" s="378" t="s">
        <v>238</v>
      </c>
      <c r="K420" s="379" t="s">
        <v>135</v>
      </c>
      <c r="L420" s="379"/>
      <c r="M420" s="379" t="s">
        <v>239</v>
      </c>
      <c r="N420" s="379" t="s">
        <v>240</v>
      </c>
      <c r="O420" s="379" t="s">
        <v>136</v>
      </c>
      <c r="P420" s="379">
        <v>2018</v>
      </c>
      <c r="Q420" s="420" t="s">
        <v>342</v>
      </c>
      <c r="R420" s="421" t="s">
        <v>343</v>
      </c>
      <c r="S420" s="427"/>
      <c r="T420" s="427"/>
      <c r="U420" s="446" t="s">
        <v>189</v>
      </c>
      <c r="V420" s="446"/>
      <c r="W420" s="379" t="s">
        <v>243</v>
      </c>
      <c r="X420" s="379">
        <v>2019</v>
      </c>
      <c r="Y420" s="427"/>
      <c r="Z420" s="379" t="str">
        <f>VLOOKUP(R420,KEY_Processes!$C$55:$E$130,3,FALSE)</f>
        <v>K_0_ELC05</v>
      </c>
      <c r="AA420" s="379" t="str">
        <f>VLOOKUP(R420,KEY_Processes!$C$55:$E$130,2,FALSE)</f>
        <v>K_ElectricFryerGriddle_ELC</v>
      </c>
      <c r="AB420" s="379" t="str">
        <f>VLOOKUP(U420,KEY_FUELS!$C$4:$D$77,2,FALSE)</f>
        <v>ELC</v>
      </c>
      <c r="AC420" s="379" t="s">
        <v>150</v>
      </c>
      <c r="AD420" s="427"/>
      <c r="AE420" s="379" t="s">
        <v>152</v>
      </c>
      <c r="AF420" s="382" t="str">
        <f>VLOOKUP(W420,KEY_Other!$B$37:$C$89,2,FALSE)</f>
        <v>EUR</v>
      </c>
      <c r="AG420" s="427"/>
      <c r="AH420" s="379" t="str">
        <f>AC420&amp;VLOOKUP(U420,KEY_FUELS!$C$4:$D$78,2,FALSE)</f>
        <v>RSDELC</v>
      </c>
      <c r="AI420" s="379" t="str">
        <f>IFERROR(AC420&amp;VLOOKUP(V420,KEY_FUELS!$C$4:$D$78,2,FALSE),"")</f>
        <v/>
      </c>
      <c r="AJ420" s="379" t="str">
        <f t="shared" si="105"/>
        <v>RK</v>
      </c>
      <c r="AK420" s="379" t="str">
        <f t="shared" si="107"/>
        <v/>
      </c>
      <c r="AL420" s="379" t="str">
        <f t="shared" si="108"/>
        <v/>
      </c>
      <c r="AM420" s="380">
        <v>31.536000000000001</v>
      </c>
      <c r="AN420" s="427">
        <v>2019</v>
      </c>
      <c r="AO420" s="470"/>
      <c r="AP420" s="429"/>
      <c r="AQ420" s="467"/>
      <c r="AR420" s="429"/>
      <c r="AS420" s="429"/>
      <c r="AT420" s="429"/>
      <c r="AU420" s="467"/>
      <c r="AV420" s="467"/>
      <c r="AW420" s="467"/>
      <c r="AX420" s="429"/>
      <c r="AY420" s="427"/>
      <c r="AZ420" s="467">
        <v>0.75</v>
      </c>
      <c r="BA420" s="429"/>
      <c r="BB420" s="429"/>
      <c r="BC420" s="427"/>
      <c r="BD420" s="429"/>
      <c r="BE420" s="429"/>
      <c r="BF420" s="427"/>
      <c r="BG420" s="427"/>
      <c r="BH420" s="427"/>
      <c r="BI420" s="427">
        <v>10</v>
      </c>
      <c r="BJ420" s="427"/>
      <c r="BK420" s="428">
        <v>199.42857142857144</v>
      </c>
      <c r="BL420" s="427"/>
      <c r="BM420" s="427"/>
      <c r="BN420" s="427"/>
      <c r="BO420" s="427"/>
      <c r="BP420" s="427"/>
      <c r="BQ420" s="427"/>
      <c r="BR420" s="429">
        <v>1.9942857142857144</v>
      </c>
      <c r="BS420" s="427"/>
      <c r="BT420" s="427"/>
      <c r="BU420" s="427"/>
      <c r="BV420" s="427"/>
      <c r="BW420" s="427"/>
      <c r="BX420" s="471"/>
    </row>
    <row r="421" spans="10:76" x14ac:dyDescent="0.3">
      <c r="J421" s="362" t="s">
        <v>238</v>
      </c>
      <c r="K421" s="363" t="s">
        <v>135</v>
      </c>
      <c r="L421" s="363"/>
      <c r="M421" s="363" t="s">
        <v>239</v>
      </c>
      <c r="N421" s="363" t="s">
        <v>240</v>
      </c>
      <c r="O421" s="363" t="s">
        <v>136</v>
      </c>
      <c r="P421" s="363">
        <v>2018</v>
      </c>
      <c r="Q421" s="432" t="s">
        <v>344</v>
      </c>
      <c r="R421" s="433" t="s">
        <v>345</v>
      </c>
      <c r="S421" s="439"/>
      <c r="T421" s="439"/>
      <c r="U421" s="363" t="s">
        <v>207</v>
      </c>
      <c r="V421" s="363"/>
      <c r="W421" s="363" t="s">
        <v>243</v>
      </c>
      <c r="X421" s="363">
        <v>2019</v>
      </c>
      <c r="Y421" s="439"/>
      <c r="Z421" s="363" t="str">
        <f>VLOOKUP(R421,KEY_Processes!$C$55:$E$130,3,FALSE)</f>
        <v>K_0_GAS04</v>
      </c>
      <c r="AA421" s="363" t="str">
        <f>VLOOKUP(R421,KEY_Processes!$C$55:$E$130,2,FALSE)</f>
        <v>K_GasFryerGriddle_GAS</v>
      </c>
      <c r="AB421" s="363" t="str">
        <f>VLOOKUP(U421,KEY_FUELS!$C$4:$D$77,2,FALSE)</f>
        <v>GAS</v>
      </c>
      <c r="AC421" s="363" t="s">
        <v>150</v>
      </c>
      <c r="AD421" s="439"/>
      <c r="AE421" s="363" t="s">
        <v>152</v>
      </c>
      <c r="AF421" s="366" t="str">
        <f>VLOOKUP(W421,KEY_Other!$B$37:$C$89,2,FALSE)</f>
        <v>EUR</v>
      </c>
      <c r="AG421" s="439"/>
      <c r="AH421" s="363" t="str">
        <f>AC421&amp;VLOOKUP(U421,KEY_FUELS!$C$4:$D$78,2,FALSE)</f>
        <v>RSDGAS</v>
      </c>
      <c r="AI421" s="363" t="str">
        <f>IFERROR(AC421&amp;VLOOKUP(V421,KEY_FUELS!$C$4:$D$78,2,FALSE),"")</f>
        <v/>
      </c>
      <c r="AJ421" s="363" t="str">
        <f t="shared" si="105"/>
        <v>RK</v>
      </c>
      <c r="AK421" s="363" t="str">
        <f t="shared" si="107"/>
        <v/>
      </c>
      <c r="AL421" s="363" t="str">
        <f t="shared" si="108"/>
        <v/>
      </c>
      <c r="AM421" s="364">
        <v>31.536000000000001</v>
      </c>
      <c r="AN421" s="439">
        <v>2019</v>
      </c>
      <c r="AO421" s="468"/>
      <c r="AP421" s="441"/>
      <c r="AQ421" s="445"/>
      <c r="AR421" s="441"/>
      <c r="AS421" s="441"/>
      <c r="AT421" s="441"/>
      <c r="AU421" s="445"/>
      <c r="AV421" s="445"/>
      <c r="AW421" s="445"/>
      <c r="AX421" s="441"/>
      <c r="AY421" s="439"/>
      <c r="AZ421" s="445">
        <v>0.44</v>
      </c>
      <c r="BA421" s="441"/>
      <c r="BB421" s="441"/>
      <c r="BC421" s="439"/>
      <c r="BD421" s="441"/>
      <c r="BE421" s="441"/>
      <c r="BF421" s="439"/>
      <c r="BG421" s="439"/>
      <c r="BH421" s="439"/>
      <c r="BI421" s="439">
        <v>10</v>
      </c>
      <c r="BJ421" s="439"/>
      <c r="BK421" s="440">
        <v>45.868571428571435</v>
      </c>
      <c r="BL421" s="439"/>
      <c r="BM421" s="439"/>
      <c r="BN421" s="439"/>
      <c r="BO421" s="439"/>
      <c r="BP421" s="439"/>
      <c r="BQ421" s="439"/>
      <c r="BR421" s="441">
        <v>0.45868571428571436</v>
      </c>
      <c r="BS421" s="439"/>
      <c r="BT421" s="439"/>
      <c r="BU421" s="439"/>
      <c r="BV421" s="439"/>
      <c r="BW421" s="439"/>
      <c r="BX421" s="469"/>
    </row>
    <row r="422" spans="10:76" x14ac:dyDescent="0.3">
      <c r="J422" s="378" t="s">
        <v>238</v>
      </c>
      <c r="K422" s="379" t="s">
        <v>135</v>
      </c>
      <c r="L422" s="379"/>
      <c r="M422" s="379" t="s">
        <v>239</v>
      </c>
      <c r="N422" s="379" t="s">
        <v>240</v>
      </c>
      <c r="O422" s="379" t="s">
        <v>136</v>
      </c>
      <c r="P422" s="379">
        <v>2018</v>
      </c>
      <c r="Q422" s="420" t="s">
        <v>346</v>
      </c>
      <c r="R422" s="421" t="s">
        <v>347</v>
      </c>
      <c r="S422" s="427"/>
      <c r="T422" s="427"/>
      <c r="U422" s="379" t="s">
        <v>189</v>
      </c>
      <c r="V422" s="379"/>
      <c r="W422" s="379" t="s">
        <v>243</v>
      </c>
      <c r="X422" s="379">
        <v>2019</v>
      </c>
      <c r="Y422" s="427"/>
      <c r="Z422" s="379" t="str">
        <f>VLOOKUP(R422,KEY_Processes!$C$55:$E$130,3,FALSE)</f>
        <v>O_0_ELC01</v>
      </c>
      <c r="AA422" s="379" t="str">
        <f>VLOOKUP(R422,KEY_Processes!$C$55:$E$130,2,FALSE)</f>
        <v>O_OtherAppliances_ELC</v>
      </c>
      <c r="AB422" s="379" t="str">
        <f>VLOOKUP(U422,KEY_FUELS!$C$4:$D$77,2,FALSE)</f>
        <v>ELC</v>
      </c>
      <c r="AC422" s="379" t="s">
        <v>150</v>
      </c>
      <c r="AD422" s="427"/>
      <c r="AE422" s="379" t="s">
        <v>152</v>
      </c>
      <c r="AF422" s="382" t="str">
        <f>VLOOKUP(W422,KEY_Other!$B$37:$C$89,2,FALSE)</f>
        <v>EUR</v>
      </c>
      <c r="AG422" s="427"/>
      <c r="AH422" s="379" t="str">
        <f>AC422&amp;VLOOKUP(U422,KEY_FUELS!$C$4:$D$78,2,FALSE)</f>
        <v>RSDELC</v>
      </c>
      <c r="AI422" s="379" t="str">
        <f>IFERROR(AC422&amp;VLOOKUP(V422,KEY_FUELS!$C$4:$D$78,2,FALSE),"")</f>
        <v/>
      </c>
      <c r="AJ422" s="379" t="str">
        <f t="shared" si="105"/>
        <v>RO</v>
      </c>
      <c r="AK422" s="379" t="str">
        <f t="shared" si="107"/>
        <v/>
      </c>
      <c r="AL422" s="379" t="str">
        <f t="shared" si="108"/>
        <v/>
      </c>
      <c r="AM422" s="380">
        <v>31.536000000000001</v>
      </c>
      <c r="AN422" s="427">
        <v>2019</v>
      </c>
      <c r="AO422" s="470"/>
      <c r="AP422" s="429"/>
      <c r="AQ422" s="467"/>
      <c r="AR422" s="429"/>
      <c r="AS422" s="429"/>
      <c r="AT422" s="429"/>
      <c r="AU422" s="467"/>
      <c r="AV422" s="467"/>
      <c r="AW422" s="467"/>
      <c r="AX422" s="429"/>
      <c r="AY422" s="427"/>
      <c r="AZ422" s="467">
        <v>0.35</v>
      </c>
      <c r="BA422" s="429"/>
      <c r="BB422" s="429"/>
      <c r="BC422" s="427"/>
      <c r="BD422" s="429"/>
      <c r="BE422" s="429"/>
      <c r="BF422" s="427"/>
      <c r="BG422" s="427"/>
      <c r="BH422" s="427"/>
      <c r="BI422" s="427">
        <v>10</v>
      </c>
      <c r="BJ422" s="427"/>
      <c r="BK422" s="429">
        <v>0.46153846153846151</v>
      </c>
      <c r="BL422" s="427"/>
      <c r="BM422" s="427"/>
      <c r="BN422" s="427"/>
      <c r="BO422" s="427"/>
      <c r="BP422" s="427"/>
      <c r="BQ422" s="427"/>
      <c r="BR422" s="429">
        <v>4.6153846153846149E-3</v>
      </c>
      <c r="BS422" s="427"/>
      <c r="BT422" s="427"/>
      <c r="BU422" s="427"/>
      <c r="BV422" s="427"/>
      <c r="BW422" s="427"/>
      <c r="BX422" s="471"/>
    </row>
    <row r="423" spans="10:76" x14ac:dyDescent="0.3">
      <c r="J423" s="362" t="s">
        <v>238</v>
      </c>
      <c r="K423" s="363" t="s">
        <v>135</v>
      </c>
      <c r="L423" s="363"/>
      <c r="M423" s="363" t="s">
        <v>239</v>
      </c>
      <c r="N423" s="363" t="s">
        <v>240</v>
      </c>
      <c r="O423" s="363" t="s">
        <v>136</v>
      </c>
      <c r="P423" s="363">
        <v>2018</v>
      </c>
      <c r="Q423" s="432" t="s">
        <v>346</v>
      </c>
      <c r="R423" s="433" t="s">
        <v>347</v>
      </c>
      <c r="S423" s="439"/>
      <c r="T423" s="439"/>
      <c r="U423" s="363" t="s">
        <v>189</v>
      </c>
      <c r="V423" s="363"/>
      <c r="W423" s="363" t="s">
        <v>243</v>
      </c>
      <c r="X423" s="363">
        <v>2030</v>
      </c>
      <c r="Y423" s="439"/>
      <c r="Z423" s="363" t="str">
        <f>VLOOKUP(R423,KEY_Processes!$C$55:$E$130,3,FALSE)</f>
        <v>O_0_ELC01</v>
      </c>
      <c r="AA423" s="363" t="str">
        <f>VLOOKUP(R423,KEY_Processes!$C$55:$E$130,2,FALSE)</f>
        <v>O_OtherAppliances_ELC</v>
      </c>
      <c r="AB423" s="363" t="str">
        <f>VLOOKUP(U423,KEY_FUELS!$C$4:$D$77,2,FALSE)</f>
        <v>ELC</v>
      </c>
      <c r="AC423" s="363" t="s">
        <v>150</v>
      </c>
      <c r="AD423" s="439"/>
      <c r="AE423" s="363" t="s">
        <v>152</v>
      </c>
      <c r="AF423" s="366" t="str">
        <f>VLOOKUP(W423,KEY_Other!$B$37:$C$89,2,FALSE)</f>
        <v>EUR</v>
      </c>
      <c r="AG423" s="439"/>
      <c r="AH423" s="363" t="str">
        <f>AC423&amp;VLOOKUP(U423,KEY_FUELS!$C$4:$D$78,2,FALSE)</f>
        <v>RSDELC</v>
      </c>
      <c r="AI423" s="363" t="str">
        <f>IFERROR(AC423&amp;VLOOKUP(V423,KEY_FUELS!$C$4:$D$78,2,FALSE),"")</f>
        <v/>
      </c>
      <c r="AJ423" s="363" t="str">
        <f t="shared" si="105"/>
        <v>RO</v>
      </c>
      <c r="AK423" s="363" t="str">
        <f t="shared" si="107"/>
        <v/>
      </c>
      <c r="AL423" s="363" t="str">
        <f t="shared" si="108"/>
        <v/>
      </c>
      <c r="AM423" s="364">
        <v>31.536000000000001</v>
      </c>
      <c r="AN423" s="439">
        <v>2030</v>
      </c>
      <c r="AO423" s="468"/>
      <c r="AP423" s="441"/>
      <c r="AQ423" s="445"/>
      <c r="AR423" s="441"/>
      <c r="AS423" s="441"/>
      <c r="AT423" s="441"/>
      <c r="AU423" s="445"/>
      <c r="AV423" s="445"/>
      <c r="AW423" s="445"/>
      <c r="AX423" s="441"/>
      <c r="AY423" s="439"/>
      <c r="AZ423" s="445">
        <v>0.27</v>
      </c>
      <c r="BA423" s="441"/>
      <c r="BB423" s="441"/>
      <c r="BC423" s="439"/>
      <c r="BD423" s="441"/>
      <c r="BE423" s="441"/>
      <c r="BF423" s="439"/>
      <c r="BG423" s="439"/>
      <c r="BH423" s="439"/>
      <c r="BI423" s="439">
        <v>10</v>
      </c>
      <c r="BJ423" s="439"/>
      <c r="BK423" s="441">
        <v>0.25384615384615383</v>
      </c>
      <c r="BL423" s="439"/>
      <c r="BM423" s="439"/>
      <c r="BN423" s="439"/>
      <c r="BO423" s="439"/>
      <c r="BP423" s="439"/>
      <c r="BQ423" s="439"/>
      <c r="BR423" s="441">
        <v>2.5384615384615385E-3</v>
      </c>
      <c r="BS423" s="439"/>
      <c r="BT423" s="439"/>
      <c r="BU423" s="439"/>
      <c r="BV423" s="439"/>
      <c r="BW423" s="439"/>
      <c r="BX423" s="469"/>
    </row>
    <row r="424" spans="10:76" x14ac:dyDescent="0.3">
      <c r="J424" s="378" t="s">
        <v>238</v>
      </c>
      <c r="K424" s="379" t="s">
        <v>135</v>
      </c>
      <c r="L424" s="379"/>
      <c r="M424" s="379" t="s">
        <v>239</v>
      </c>
      <c r="N424" s="379" t="s">
        <v>240</v>
      </c>
      <c r="O424" s="379" t="s">
        <v>136</v>
      </c>
      <c r="P424" s="379">
        <v>2018</v>
      </c>
      <c r="Q424" s="420" t="s">
        <v>348</v>
      </c>
      <c r="R424" s="421" t="s">
        <v>349</v>
      </c>
      <c r="S424" s="427"/>
      <c r="T424" s="427"/>
      <c r="U424" s="379" t="s">
        <v>189</v>
      </c>
      <c r="V424" s="379"/>
      <c r="W424" s="379" t="s">
        <v>243</v>
      </c>
      <c r="X424" s="379">
        <v>2019</v>
      </c>
      <c r="Y424" s="427"/>
      <c r="Z424" s="379" t="str">
        <f>VLOOKUP(R424,KEY_Processes!$C$55:$E$130,3,FALSE)</f>
        <v>L_0_ELC01</v>
      </c>
      <c r="AA424" s="379" t="str">
        <f>VLOOKUP(R424,KEY_Processes!$C$55:$E$130,2,FALSE)</f>
        <v>L_FluorescentTubes_ELC_BAT</v>
      </c>
      <c r="AB424" s="379" t="str">
        <f>VLOOKUP(U424,KEY_FUELS!$C$4:$D$77,2,FALSE)</f>
        <v>ELC</v>
      </c>
      <c r="AC424" s="379" t="s">
        <v>150</v>
      </c>
      <c r="AD424" s="427"/>
      <c r="AE424" s="379" t="s">
        <v>152</v>
      </c>
      <c r="AF424" s="382" t="str">
        <f>VLOOKUP(W424,KEY_Other!$B$37:$C$89,2,FALSE)</f>
        <v>EUR</v>
      </c>
      <c r="AG424" s="427"/>
      <c r="AH424" s="379" t="str">
        <f>AC424&amp;VLOOKUP(U424,KEY_FUELS!$C$4:$D$78,2,FALSE)</f>
        <v>RSDELC</v>
      </c>
      <c r="AI424" s="379" t="str">
        <f>IFERROR(AC424&amp;VLOOKUP(V424,KEY_FUELS!$C$4:$D$78,2,FALSE),"")</f>
        <v/>
      </c>
      <c r="AJ424" s="379" t="str">
        <f t="shared" si="105"/>
        <v>RL</v>
      </c>
      <c r="AK424" s="379" t="str">
        <f t="shared" si="107"/>
        <v/>
      </c>
      <c r="AL424" s="379" t="str">
        <f t="shared" si="108"/>
        <v/>
      </c>
      <c r="AM424" s="380">
        <v>31.536000000000001</v>
      </c>
      <c r="AN424" s="427">
        <v>2019</v>
      </c>
      <c r="AO424" s="470"/>
      <c r="AP424" s="429"/>
      <c r="AQ424" s="467"/>
      <c r="AR424" s="429"/>
      <c r="AS424" s="429"/>
      <c r="AT424" s="429"/>
      <c r="AU424" s="467"/>
      <c r="AV424" s="467"/>
      <c r="AW424" s="467"/>
      <c r="AX424" s="429"/>
      <c r="AY424" s="427"/>
      <c r="AZ424" s="467">
        <v>0.12637166699999999</v>
      </c>
      <c r="BA424" s="429"/>
      <c r="BB424" s="429"/>
      <c r="BC424" s="427"/>
      <c r="BD424" s="429"/>
      <c r="BE424" s="429"/>
      <c r="BF424" s="427"/>
      <c r="BG424" s="427"/>
      <c r="BH424" s="427"/>
      <c r="BI424" s="427">
        <v>21</v>
      </c>
      <c r="BJ424" s="427"/>
      <c r="BK424" s="472">
        <v>1.5714285714285713E-4</v>
      </c>
      <c r="BL424" s="427"/>
      <c r="BM424" s="427"/>
      <c r="BN424" s="427"/>
      <c r="BO424" s="427"/>
      <c r="BP424" s="427"/>
      <c r="BQ424" s="427"/>
      <c r="BR424" s="429"/>
      <c r="BS424" s="427"/>
      <c r="BT424" s="427"/>
      <c r="BU424" s="427"/>
      <c r="BV424" s="427"/>
      <c r="BW424" s="427"/>
      <c r="BX424" s="471"/>
    </row>
    <row r="425" spans="10:76" x14ac:dyDescent="0.3">
      <c r="J425" s="362" t="s">
        <v>238</v>
      </c>
      <c r="K425" s="363" t="s">
        <v>135</v>
      </c>
      <c r="L425" s="363"/>
      <c r="M425" s="363" t="s">
        <v>239</v>
      </c>
      <c r="N425" s="363" t="s">
        <v>240</v>
      </c>
      <c r="O425" s="363" t="s">
        <v>136</v>
      </c>
      <c r="P425" s="363">
        <v>2018</v>
      </c>
      <c r="Q425" s="432" t="s">
        <v>350</v>
      </c>
      <c r="R425" s="433" t="s">
        <v>351</v>
      </c>
      <c r="S425" s="439"/>
      <c r="T425" s="439"/>
      <c r="U425" s="363" t="s">
        <v>189</v>
      </c>
      <c r="V425" s="363"/>
      <c r="W425" s="363" t="s">
        <v>243</v>
      </c>
      <c r="X425" s="363">
        <v>2019</v>
      </c>
      <c r="Y425" s="439"/>
      <c r="Z425" s="363" t="str">
        <f>VLOOKUP(R425,KEY_Processes!$C$55:$E$130,3,FALSE)</f>
        <v>L_0_ELC02</v>
      </c>
      <c r="AA425" s="363" t="str">
        <f>VLOOKUP(R425,KEY_Processes!$C$55:$E$130,2,FALSE)</f>
        <v>L_LED_ELC_BAT</v>
      </c>
      <c r="AB425" s="363" t="str">
        <f>VLOOKUP(U425,KEY_FUELS!$C$4:$D$77,2,FALSE)</f>
        <v>ELC</v>
      </c>
      <c r="AC425" s="363" t="s">
        <v>150</v>
      </c>
      <c r="AD425" s="439"/>
      <c r="AE425" s="363" t="s">
        <v>152</v>
      </c>
      <c r="AF425" s="366" t="str">
        <f>VLOOKUP(W425,KEY_Other!$B$37:$C$89,2,FALSE)</f>
        <v>EUR</v>
      </c>
      <c r="AG425" s="439"/>
      <c r="AH425" s="363" t="str">
        <f>AC425&amp;VLOOKUP(U425,KEY_FUELS!$C$4:$D$78,2,FALSE)</f>
        <v>RSDELC</v>
      </c>
      <c r="AI425" s="363" t="str">
        <f>IFERROR(AC425&amp;VLOOKUP(V425,KEY_FUELS!$C$4:$D$78,2,FALSE),"")</f>
        <v/>
      </c>
      <c r="AJ425" s="363" t="str">
        <f t="shared" si="105"/>
        <v>RL</v>
      </c>
      <c r="AK425" s="363" t="str">
        <f t="shared" si="107"/>
        <v/>
      </c>
      <c r="AL425" s="363" t="str">
        <f t="shared" si="108"/>
        <v/>
      </c>
      <c r="AM425" s="364">
        <v>31.536000000000001</v>
      </c>
      <c r="AN425" s="439">
        <v>2019</v>
      </c>
      <c r="AO425" s="468"/>
      <c r="AP425" s="441"/>
      <c r="AQ425" s="445"/>
      <c r="AR425" s="441"/>
      <c r="AS425" s="441"/>
      <c r="AT425" s="441"/>
      <c r="AU425" s="445"/>
      <c r="AV425" s="445"/>
      <c r="AW425" s="445"/>
      <c r="AX425" s="441"/>
      <c r="AY425" s="439"/>
      <c r="AZ425" s="445">
        <v>0.11183333299999999</v>
      </c>
      <c r="BA425" s="441"/>
      <c r="BB425" s="441"/>
      <c r="BC425" s="439"/>
      <c r="BD425" s="441"/>
      <c r="BE425" s="441"/>
      <c r="BF425" s="439"/>
      <c r="BG425" s="439"/>
      <c r="BH425" s="439"/>
      <c r="BI425" s="439">
        <v>27</v>
      </c>
      <c r="BJ425" s="439"/>
      <c r="BK425" s="473">
        <v>5.2500000000000002E-5</v>
      </c>
      <c r="BL425" s="439"/>
      <c r="BM425" s="439"/>
      <c r="BN425" s="439"/>
      <c r="BO425" s="439"/>
      <c r="BP425" s="439"/>
      <c r="BQ425" s="439"/>
      <c r="BR425" s="441"/>
      <c r="BS425" s="439"/>
      <c r="BT425" s="439"/>
      <c r="BU425" s="439"/>
      <c r="BV425" s="439"/>
      <c r="BW425" s="439"/>
      <c r="BX425" s="469"/>
    </row>
    <row r="426" spans="10:76" x14ac:dyDescent="0.3">
      <c r="J426" s="378" t="s">
        <v>238</v>
      </c>
      <c r="K426" s="379" t="s">
        <v>135</v>
      </c>
      <c r="L426" s="379"/>
      <c r="M426" s="379" t="s">
        <v>239</v>
      </c>
      <c r="N426" s="379" t="s">
        <v>240</v>
      </c>
      <c r="O426" s="379" t="s">
        <v>136</v>
      </c>
      <c r="P426" s="379">
        <v>2018</v>
      </c>
      <c r="Q426" s="420" t="s">
        <v>352</v>
      </c>
      <c r="R426" s="421" t="s">
        <v>353</v>
      </c>
      <c r="S426" s="427"/>
      <c r="T426" s="427"/>
      <c r="U426" s="379" t="s">
        <v>189</v>
      </c>
      <c r="V426" s="379"/>
      <c r="W426" s="379" t="s">
        <v>243</v>
      </c>
      <c r="X426" s="379">
        <v>2019</v>
      </c>
      <c r="Y426" s="427"/>
      <c r="Z426" s="379" t="str">
        <f>VLOOKUP(R426,KEY_Processes!$C$55:$E$130,3,FALSE)</f>
        <v>L_0_ELC03</v>
      </c>
      <c r="AA426" s="379" t="str">
        <f>VLOOKUP(R426,KEY_Processes!$C$55:$E$130,2,FALSE)</f>
        <v>L_Halogen_ELC_BAT</v>
      </c>
      <c r="AB426" s="379" t="str">
        <f>VLOOKUP(U426,KEY_FUELS!$C$4:$D$77,2,FALSE)</f>
        <v>ELC</v>
      </c>
      <c r="AC426" s="379" t="s">
        <v>150</v>
      </c>
      <c r="AD426" s="427"/>
      <c r="AE426" s="379" t="s">
        <v>152</v>
      </c>
      <c r="AF426" s="382" t="str">
        <f>VLOOKUP(W426,KEY_Other!$B$37:$C$89,2,FALSE)</f>
        <v>EUR</v>
      </c>
      <c r="AG426" s="427"/>
      <c r="AH426" s="379" t="str">
        <f>AC426&amp;VLOOKUP(U426,KEY_FUELS!$C$4:$D$78,2,FALSE)</f>
        <v>RSDELC</v>
      </c>
      <c r="AI426" s="379" t="str">
        <f>IFERROR(AC426&amp;VLOOKUP(V426,KEY_FUELS!$C$4:$D$78,2,FALSE),"")</f>
        <v/>
      </c>
      <c r="AJ426" s="379" t="str">
        <f t="shared" ref="AJ426:AJ430" si="112">LEFT(AC426,1)&amp;LEFT(AA426,1)&amp;AD426</f>
        <v>RL</v>
      </c>
      <c r="AK426" s="379" t="str">
        <f t="shared" si="107"/>
        <v/>
      </c>
      <c r="AL426" s="379" t="str">
        <f t="shared" si="108"/>
        <v/>
      </c>
      <c r="AM426" s="380">
        <v>31.536000000000001</v>
      </c>
      <c r="AN426" s="427">
        <v>2019</v>
      </c>
      <c r="AO426" s="470"/>
      <c r="AP426" s="429"/>
      <c r="AQ426" s="467"/>
      <c r="AR426" s="429"/>
      <c r="AS426" s="429"/>
      <c r="AT426" s="429"/>
      <c r="AU426" s="467"/>
      <c r="AV426" s="467"/>
      <c r="AW426" s="467"/>
      <c r="AX426" s="429"/>
      <c r="AY426" s="427"/>
      <c r="AZ426" s="467">
        <v>3.6666667E-2</v>
      </c>
      <c r="BA426" s="429"/>
      <c r="BB426" s="429"/>
      <c r="BC426" s="427"/>
      <c r="BD426" s="429"/>
      <c r="BE426" s="429"/>
      <c r="BF426" s="427"/>
      <c r="BG426" s="427"/>
      <c r="BH426" s="427"/>
      <c r="BI426" s="427">
        <v>5</v>
      </c>
      <c r="BJ426" s="427"/>
      <c r="BK426" s="472">
        <v>1.1377777777777779E-4</v>
      </c>
      <c r="BL426" s="427"/>
      <c r="BM426" s="427"/>
      <c r="BN426" s="427"/>
      <c r="BO426" s="427"/>
      <c r="BP426" s="427"/>
      <c r="BQ426" s="427"/>
      <c r="BR426" s="429"/>
      <c r="BS426" s="427"/>
      <c r="BT426" s="427"/>
      <c r="BU426" s="427"/>
      <c r="BV426" s="427"/>
      <c r="BW426" s="427"/>
      <c r="BX426" s="471"/>
    </row>
    <row r="427" spans="10:76" x14ac:dyDescent="0.3">
      <c r="J427" s="362" t="s">
        <v>238</v>
      </c>
      <c r="K427" s="363" t="s">
        <v>135</v>
      </c>
      <c r="L427" s="363"/>
      <c r="M427" s="363" t="s">
        <v>239</v>
      </c>
      <c r="N427" s="363" t="s">
        <v>240</v>
      </c>
      <c r="O427" s="363" t="s">
        <v>136</v>
      </c>
      <c r="P427" s="363">
        <v>2018</v>
      </c>
      <c r="Q427" s="432" t="s">
        <v>354</v>
      </c>
      <c r="R427" s="433" t="s">
        <v>355</v>
      </c>
      <c r="S427" s="439"/>
      <c r="T427" s="439"/>
      <c r="U427" s="363" t="s">
        <v>189</v>
      </c>
      <c r="V427" s="363"/>
      <c r="W427" s="363" t="s">
        <v>243</v>
      </c>
      <c r="X427" s="363">
        <v>2019</v>
      </c>
      <c r="Y427" s="439"/>
      <c r="Z427" s="363" t="str">
        <f>VLOOKUP(R427,KEY_Processes!$C$55:$E$130,3,FALSE)</f>
        <v>L_0_ELC04</v>
      </c>
      <c r="AA427" s="363" t="str">
        <f>VLOOKUP(R427,KEY_Processes!$C$55:$E$130,2,FALSE)</f>
        <v>L_IncandescentImproved_ELC_BAT</v>
      </c>
      <c r="AB427" s="363" t="str">
        <f>VLOOKUP(U427,KEY_FUELS!$C$4:$D$77,2,FALSE)</f>
        <v>ELC</v>
      </c>
      <c r="AC427" s="363" t="s">
        <v>150</v>
      </c>
      <c r="AD427" s="439"/>
      <c r="AE427" s="363" t="s">
        <v>152</v>
      </c>
      <c r="AF427" s="366" t="str">
        <f>VLOOKUP(W427,KEY_Other!$B$37:$C$89,2,FALSE)</f>
        <v>EUR</v>
      </c>
      <c r="AG427" s="439"/>
      <c r="AH427" s="363" t="str">
        <f>AC427&amp;VLOOKUP(U427,KEY_FUELS!$C$4:$D$78,2,FALSE)</f>
        <v>RSDELC</v>
      </c>
      <c r="AI427" s="363" t="str">
        <f>IFERROR(AC427&amp;VLOOKUP(V427,KEY_FUELS!$C$4:$D$78,2,FALSE),"")</f>
        <v/>
      </c>
      <c r="AJ427" s="363" t="str">
        <f t="shared" si="112"/>
        <v>RL</v>
      </c>
      <c r="AK427" s="363" t="str">
        <f t="shared" si="107"/>
        <v/>
      </c>
      <c r="AL427" s="363" t="str">
        <f t="shared" si="108"/>
        <v/>
      </c>
      <c r="AM427" s="364">
        <v>31.536000000000001</v>
      </c>
      <c r="AN427" s="439">
        <v>2019</v>
      </c>
      <c r="AO427" s="468"/>
      <c r="AP427" s="441"/>
      <c r="AQ427" s="445"/>
      <c r="AR427" s="441"/>
      <c r="AS427" s="441"/>
      <c r="AT427" s="441"/>
      <c r="AU427" s="445"/>
      <c r="AV427" s="445"/>
      <c r="AW427" s="445"/>
      <c r="AX427" s="441"/>
      <c r="AY427" s="439"/>
      <c r="AZ427" s="445">
        <v>2.1999999999999999E-2</v>
      </c>
      <c r="BA427" s="441"/>
      <c r="BB427" s="441"/>
      <c r="BC427" s="439"/>
      <c r="BD427" s="441"/>
      <c r="BE427" s="441"/>
      <c r="BF427" s="439"/>
      <c r="BG427" s="439"/>
      <c r="BH427" s="439"/>
      <c r="BI427" s="439">
        <v>1</v>
      </c>
      <c r="BJ427" s="439"/>
      <c r="BK427" s="473">
        <v>2.9050000000000001E-5</v>
      </c>
      <c r="BL427" s="439"/>
      <c r="BM427" s="439"/>
      <c r="BN427" s="439"/>
      <c r="BO427" s="439"/>
      <c r="BP427" s="439"/>
      <c r="BQ427" s="439"/>
      <c r="BR427" s="441"/>
      <c r="BS427" s="439"/>
      <c r="BT427" s="439"/>
      <c r="BU427" s="439"/>
      <c r="BV427" s="439"/>
      <c r="BW427" s="439"/>
      <c r="BX427" s="469"/>
    </row>
    <row r="428" spans="10:76" x14ac:dyDescent="0.3">
      <c r="J428" s="378" t="s">
        <v>238</v>
      </c>
      <c r="K428" s="379" t="s">
        <v>135</v>
      </c>
      <c r="L428" s="379"/>
      <c r="M428" s="379" t="s">
        <v>239</v>
      </c>
      <c r="N428" s="379" t="s">
        <v>240</v>
      </c>
      <c r="O428" s="379" t="s">
        <v>136</v>
      </c>
      <c r="P428" s="379">
        <v>2018</v>
      </c>
      <c r="Q428" s="420" t="s">
        <v>356</v>
      </c>
      <c r="R428" s="421" t="s">
        <v>357</v>
      </c>
      <c r="S428" s="427"/>
      <c r="T428" s="427"/>
      <c r="U428" s="379" t="s">
        <v>189</v>
      </c>
      <c r="V428" s="379"/>
      <c r="W428" s="379" t="s">
        <v>243</v>
      </c>
      <c r="X428" s="379">
        <v>2019</v>
      </c>
      <c r="Y428" s="427"/>
      <c r="Z428" s="379" t="str">
        <f>VLOOKUP(R428,KEY_Processes!$C$55:$E$130,3,FALSE)</f>
        <v>L_0_ELC05</v>
      </c>
      <c r="AA428" s="379" t="str">
        <f>VLOOKUP(R428,KEY_Processes!$C$55:$E$130,2,FALSE)</f>
        <v>L_Incandescent_ELC_BAU</v>
      </c>
      <c r="AB428" s="379" t="str">
        <f>VLOOKUP(U428,KEY_FUELS!$C$4:$D$77,2,FALSE)</f>
        <v>ELC</v>
      </c>
      <c r="AC428" s="379" t="s">
        <v>150</v>
      </c>
      <c r="AD428" s="427"/>
      <c r="AE428" s="379" t="s">
        <v>152</v>
      </c>
      <c r="AF428" s="382" t="str">
        <f>VLOOKUP(W428,KEY_Other!$B$37:$C$89,2,FALSE)</f>
        <v>EUR</v>
      </c>
      <c r="AG428" s="427"/>
      <c r="AH428" s="379" t="str">
        <f>AC428&amp;VLOOKUP(U428,KEY_FUELS!$C$4:$D$78,2,FALSE)</f>
        <v>RSDELC</v>
      </c>
      <c r="AI428" s="379" t="str">
        <f>IFERROR(AC428&amp;VLOOKUP(V428,KEY_FUELS!$C$4:$D$78,2,FALSE),"")</f>
        <v/>
      </c>
      <c r="AJ428" s="379" t="str">
        <f t="shared" si="112"/>
        <v>RL</v>
      </c>
      <c r="AK428" s="379" t="str">
        <f t="shared" si="107"/>
        <v/>
      </c>
      <c r="AL428" s="379" t="str">
        <f t="shared" si="108"/>
        <v/>
      </c>
      <c r="AM428" s="380">
        <v>31.536000000000001</v>
      </c>
      <c r="AN428" s="427">
        <v>2019</v>
      </c>
      <c r="AO428" s="470"/>
      <c r="AP428" s="429"/>
      <c r="AQ428" s="467"/>
      <c r="AR428" s="429"/>
      <c r="AS428" s="429"/>
      <c r="AT428" s="429"/>
      <c r="AU428" s="467"/>
      <c r="AV428" s="467"/>
      <c r="AW428" s="467"/>
      <c r="AX428" s="429"/>
      <c r="AY428" s="427"/>
      <c r="AZ428" s="467">
        <v>1.8333333E-2</v>
      </c>
      <c r="BA428" s="429"/>
      <c r="BB428" s="429"/>
      <c r="BC428" s="427"/>
      <c r="BD428" s="429"/>
      <c r="BE428" s="429"/>
      <c r="BF428" s="427"/>
      <c r="BG428" s="427"/>
      <c r="BH428" s="427"/>
      <c r="BI428" s="427">
        <v>1</v>
      </c>
      <c r="BJ428" s="427"/>
      <c r="BK428" s="472">
        <v>2.7666666666666667E-5</v>
      </c>
      <c r="BL428" s="427"/>
      <c r="BM428" s="427"/>
      <c r="BN428" s="427"/>
      <c r="BO428" s="427"/>
      <c r="BP428" s="427"/>
      <c r="BQ428" s="427"/>
      <c r="BR428" s="429"/>
      <c r="BS428" s="427"/>
      <c r="BT428" s="427"/>
      <c r="BU428" s="427"/>
      <c r="BV428" s="427"/>
      <c r="BW428" s="427"/>
      <c r="BX428" s="471"/>
    </row>
    <row r="429" spans="10:76" x14ac:dyDescent="0.3">
      <c r="J429" s="362" t="s">
        <v>238</v>
      </c>
      <c r="K429" s="363" t="s">
        <v>135</v>
      </c>
      <c r="L429" s="363"/>
      <c r="M429" s="363" t="s">
        <v>239</v>
      </c>
      <c r="N429" s="363" t="s">
        <v>240</v>
      </c>
      <c r="O429" s="363" t="s">
        <v>136</v>
      </c>
      <c r="P429" s="363">
        <v>2018</v>
      </c>
      <c r="Q429" s="432" t="s">
        <v>358</v>
      </c>
      <c r="R429" s="433" t="s">
        <v>359</v>
      </c>
      <c r="S429" s="439"/>
      <c r="T429" s="439"/>
      <c r="U429" s="363" t="s">
        <v>189</v>
      </c>
      <c r="V429" s="363"/>
      <c r="W429" s="363" t="s">
        <v>243</v>
      </c>
      <c r="X429" s="363">
        <v>2019</v>
      </c>
      <c r="Y429" s="439"/>
      <c r="Z429" s="363" t="str">
        <f>VLOOKUP(R429,KEY_Processes!$C$55:$E$130,3,FALSE)</f>
        <v>L_0_ELC06</v>
      </c>
      <c r="AA429" s="363" t="str">
        <f>VLOOKUP(R429,KEY_Processes!$C$55:$E$130,2,FALSE)</f>
        <v>L_PressureSodium_ELC_BAT</v>
      </c>
      <c r="AB429" s="363" t="str">
        <f>VLOOKUP(U429,KEY_FUELS!$C$4:$D$77,2,FALSE)</f>
        <v>ELC</v>
      </c>
      <c r="AC429" s="363" t="s">
        <v>150</v>
      </c>
      <c r="AD429" s="439"/>
      <c r="AE429" s="363" t="s">
        <v>152</v>
      </c>
      <c r="AF429" s="366" t="str">
        <f>VLOOKUP(W429,KEY_Other!$B$37:$C$89,2,FALSE)</f>
        <v>EUR</v>
      </c>
      <c r="AG429" s="439"/>
      <c r="AH429" s="363" t="str">
        <f>AC429&amp;VLOOKUP(U429,KEY_FUELS!$C$4:$D$78,2,FALSE)</f>
        <v>RSDELC</v>
      </c>
      <c r="AI429" s="363" t="str">
        <f>IFERROR(AC429&amp;VLOOKUP(V429,KEY_FUELS!$C$4:$D$78,2,FALSE),"")</f>
        <v/>
      </c>
      <c r="AJ429" s="363" t="str">
        <f t="shared" si="112"/>
        <v>RL</v>
      </c>
      <c r="AK429" s="363" t="str">
        <f t="shared" si="107"/>
        <v/>
      </c>
      <c r="AL429" s="363" t="str">
        <f t="shared" si="108"/>
        <v/>
      </c>
      <c r="AM429" s="364">
        <v>31.536000000000001</v>
      </c>
      <c r="AN429" s="439">
        <v>2019</v>
      </c>
      <c r="AO429" s="468"/>
      <c r="AP429" s="441"/>
      <c r="AQ429" s="445"/>
      <c r="AR429" s="441"/>
      <c r="AS429" s="441"/>
      <c r="AT429" s="441"/>
      <c r="AU429" s="445"/>
      <c r="AV429" s="445"/>
      <c r="AW429" s="445"/>
      <c r="AX429" s="441"/>
      <c r="AY429" s="439"/>
      <c r="AZ429" s="445">
        <v>3.6666667E-2</v>
      </c>
      <c r="BA429" s="441"/>
      <c r="BB429" s="441"/>
      <c r="BC429" s="439"/>
      <c r="BD429" s="441"/>
      <c r="BE429" s="441"/>
      <c r="BF429" s="439"/>
      <c r="BG429" s="439"/>
      <c r="BH429" s="439"/>
      <c r="BI429" s="439">
        <v>25</v>
      </c>
      <c r="BJ429" s="439"/>
      <c r="BK429" s="473">
        <v>2.0999999999999998E-4</v>
      </c>
      <c r="BL429" s="439"/>
      <c r="BM429" s="439"/>
      <c r="BN429" s="439"/>
      <c r="BO429" s="439"/>
      <c r="BP429" s="439"/>
      <c r="BQ429" s="439"/>
      <c r="BR429" s="441"/>
      <c r="BS429" s="439"/>
      <c r="BT429" s="439"/>
      <c r="BU429" s="439"/>
      <c r="BV429" s="439"/>
      <c r="BW429" s="439"/>
      <c r="BX429" s="469"/>
    </row>
    <row r="430" spans="10:76" x14ac:dyDescent="0.3">
      <c r="J430" s="378" t="s">
        <v>238</v>
      </c>
      <c r="K430" s="379" t="s">
        <v>135</v>
      </c>
      <c r="L430" s="379"/>
      <c r="M430" s="379" t="s">
        <v>239</v>
      </c>
      <c r="N430" s="379" t="s">
        <v>240</v>
      </c>
      <c r="O430" s="379" t="s">
        <v>136</v>
      </c>
      <c r="P430" s="379">
        <v>2018</v>
      </c>
      <c r="Q430" s="420" t="s">
        <v>360</v>
      </c>
      <c r="R430" s="474" t="s">
        <v>361</v>
      </c>
      <c r="S430" s="427"/>
      <c r="T430" s="427"/>
      <c r="U430" s="379" t="s">
        <v>189</v>
      </c>
      <c r="V430" s="379"/>
      <c r="W430" s="379" t="s">
        <v>243</v>
      </c>
      <c r="X430" s="379">
        <v>2019</v>
      </c>
      <c r="Y430" s="427"/>
      <c r="Z430" s="379" t="str">
        <f>VLOOKUP(R430,KEY_Processes!$C$55:$E$130,3,FALSE)</f>
        <v>L_0_ELC07</v>
      </c>
      <c r="AA430" s="379" t="str">
        <f>VLOOKUP(R430,KEY_Processes!$C$55:$E$130,2,FALSE)</f>
        <v>L_MetalHalide_ELC_BAT</v>
      </c>
      <c r="AB430" s="379" t="str">
        <f>VLOOKUP(U430,KEY_FUELS!$C$4:$D$77,2,FALSE)</f>
        <v>ELC</v>
      </c>
      <c r="AC430" s="379" t="s">
        <v>150</v>
      </c>
      <c r="AD430" s="427"/>
      <c r="AE430" s="379" t="s">
        <v>152</v>
      </c>
      <c r="AF430" s="382" t="str">
        <f>VLOOKUP(W430,KEY_Other!$B$37:$C$89,2,FALSE)</f>
        <v>EUR</v>
      </c>
      <c r="AG430" s="427"/>
      <c r="AH430" s="379" t="str">
        <f>AC430&amp;VLOOKUP(U430,KEY_FUELS!$C$4:$D$78,2,FALSE)</f>
        <v>RSDELC</v>
      </c>
      <c r="AI430" s="379" t="str">
        <f>IFERROR(AC430&amp;VLOOKUP(V430,KEY_FUELS!$C$4:$D$78,2,FALSE),"")</f>
        <v/>
      </c>
      <c r="AJ430" s="379" t="str">
        <f t="shared" si="112"/>
        <v>RL</v>
      </c>
      <c r="AK430" s="379" t="str">
        <f t="shared" si="107"/>
        <v/>
      </c>
      <c r="AL430" s="379" t="str">
        <f t="shared" si="108"/>
        <v/>
      </c>
      <c r="AM430" s="380">
        <v>31.536000000000001</v>
      </c>
      <c r="AN430" s="427">
        <v>2019</v>
      </c>
      <c r="AO430" s="470"/>
      <c r="AP430" s="429"/>
      <c r="AQ430" s="467"/>
      <c r="AR430" s="429"/>
      <c r="AS430" s="429"/>
      <c r="AT430" s="429"/>
      <c r="AU430" s="467"/>
      <c r="AV430" s="467"/>
      <c r="AW430" s="467"/>
      <c r="AX430" s="429"/>
      <c r="AY430" s="427"/>
      <c r="AZ430" s="467">
        <v>3.6666667E-2</v>
      </c>
      <c r="BA430" s="429"/>
      <c r="BB430" s="429"/>
      <c r="BC430" s="427"/>
      <c r="BD430" s="429"/>
      <c r="BE430" s="429"/>
      <c r="BF430" s="427"/>
      <c r="BG430" s="427"/>
      <c r="BH430" s="427"/>
      <c r="BI430" s="427">
        <v>5.7</v>
      </c>
      <c r="BJ430" s="427"/>
      <c r="BK430" s="472">
        <v>1.0128571428571428E-3</v>
      </c>
      <c r="BL430" s="427"/>
      <c r="BM430" s="427"/>
      <c r="BN430" s="427"/>
      <c r="BO430" s="427"/>
      <c r="BP430" s="427"/>
      <c r="BQ430" s="427"/>
      <c r="BR430" s="429"/>
      <c r="BS430" s="427"/>
      <c r="BT430" s="427"/>
      <c r="BU430" s="427"/>
      <c r="BV430" s="427"/>
      <c r="BW430" s="427"/>
      <c r="BX430" s="471"/>
    </row>
    <row r="431" spans="10:76" x14ac:dyDescent="0.3">
      <c r="J431" s="362" t="s">
        <v>238</v>
      </c>
      <c r="K431" s="363" t="s">
        <v>135</v>
      </c>
      <c r="L431" s="363"/>
      <c r="M431" s="363" t="s">
        <v>239</v>
      </c>
      <c r="N431" s="363" t="s">
        <v>240</v>
      </c>
      <c r="O431" s="363" t="s">
        <v>136</v>
      </c>
      <c r="P431" s="363">
        <v>2018</v>
      </c>
      <c r="Q431" s="366" t="s">
        <v>259</v>
      </c>
      <c r="R431" s="475" t="s">
        <v>362</v>
      </c>
      <c r="S431" s="476"/>
      <c r="T431" s="476"/>
      <c r="U431" s="366" t="s">
        <v>261</v>
      </c>
      <c r="V431" s="439"/>
      <c r="W431" s="363" t="s">
        <v>243</v>
      </c>
      <c r="X431" s="468" t="s">
        <v>363</v>
      </c>
      <c r="Y431" s="439"/>
      <c r="Z431" s="439" t="str">
        <f>VLOOKUP(R431,KEY_Processes!$C$131:$E$163,3,FALSE)</f>
        <v>H_FS_DST01</v>
      </c>
      <c r="AA431" s="439" t="str">
        <f>VLOOKUP(R431,KEY_Processes!$C$131:$E$163,2,FALSE)</f>
        <v>H_DieselFurnace_DST_SMALL</v>
      </c>
      <c r="AB431" s="439" t="str">
        <f>VLOOKUP(U431,KEY_FUELS!$C$4:$D$77,2,FALSE)</f>
        <v>DST</v>
      </c>
      <c r="AC431" s="439" t="s">
        <v>150</v>
      </c>
      <c r="AD431" s="439" t="s">
        <v>364</v>
      </c>
      <c r="AE431" s="439" t="s">
        <v>152</v>
      </c>
      <c r="AF431" s="439" t="str">
        <f>VLOOKUP(W431,KEY_Other!$B$37:$C$89,2,FALSE)</f>
        <v>EUR</v>
      </c>
      <c r="AG431" s="439"/>
      <c r="AH431" s="439" t="str">
        <f>AC431&amp;VLOOKUP(U431,KEY_FUELS!$C$4:$D$78,2,FALSE)</f>
        <v>RSDDST</v>
      </c>
      <c r="AI431" s="439" t="str">
        <f>IFERROR(AC431&amp;VLOOKUP(V431,KEY_FUELS!$C$4:$D$78,2,FALSE),"")</f>
        <v/>
      </c>
      <c r="AJ431" s="439" t="str">
        <f>LEFT(AC431,1)&amp;LEFT(Z431,1)&amp;AD431</f>
        <v>RHHS</v>
      </c>
      <c r="AK431" s="439" t="str">
        <f>IF(FIND("_",Z431)=3,LEFT(AC431,1)&amp;MID(Z431,2,1)&amp;AD431,IF(FIND("_",Z431)=4,LEFT(AC431,1)&amp;MID(Z431,2,1)&amp;AD431,""))</f>
        <v/>
      </c>
      <c r="AL431" s="439" t="str">
        <f>IF(FIND("_",Z431)=4,LEFT(AC431,1)&amp;MID(Z431,3,1)&amp;AD431,"")</f>
        <v/>
      </c>
      <c r="AM431" s="364">
        <v>31.536000000000001</v>
      </c>
      <c r="AN431" s="468" t="str">
        <f>X431</f>
        <v>2030</v>
      </c>
      <c r="AO431" s="468"/>
      <c r="AP431" s="441"/>
      <c r="AQ431" s="445"/>
      <c r="AR431" s="441"/>
      <c r="AS431" s="441"/>
      <c r="AT431" s="441"/>
      <c r="AU431" s="477"/>
      <c r="AV431" s="445"/>
      <c r="AW431" s="445"/>
      <c r="AX431" s="441"/>
      <c r="AY431" s="441"/>
      <c r="AZ431" s="445">
        <v>0.85</v>
      </c>
      <c r="BA431" s="441"/>
      <c r="BB431" s="441"/>
      <c r="BC431" s="439"/>
      <c r="BD431" s="441"/>
      <c r="BE431" s="441"/>
      <c r="BF431" s="439"/>
      <c r="BG431" s="439"/>
      <c r="BH431" s="439"/>
      <c r="BI431" s="439">
        <v>25</v>
      </c>
      <c r="BJ431" s="439"/>
      <c r="BK431" s="478">
        <v>58.524328410982925</v>
      </c>
      <c r="BL431" s="439"/>
      <c r="BM431" s="439"/>
      <c r="BN431" s="439"/>
      <c r="BO431" s="439"/>
      <c r="BP431" s="439"/>
      <c r="BQ431" s="439"/>
      <c r="BR431" s="441">
        <v>2.7967378178699804</v>
      </c>
      <c r="BS431" s="439"/>
      <c r="BT431" s="439"/>
      <c r="BU431" s="439"/>
      <c r="BV431" s="439"/>
      <c r="BW431" s="439"/>
      <c r="BX431" s="469"/>
    </row>
    <row r="432" spans="10:76" x14ac:dyDescent="0.3">
      <c r="J432" s="378" t="s">
        <v>238</v>
      </c>
      <c r="K432" s="379" t="s">
        <v>135</v>
      </c>
      <c r="L432" s="427"/>
      <c r="M432" s="379" t="s">
        <v>239</v>
      </c>
      <c r="N432" s="379" t="s">
        <v>240</v>
      </c>
      <c r="O432" s="379" t="s">
        <v>136</v>
      </c>
      <c r="P432" s="379">
        <v>2018</v>
      </c>
      <c r="Q432" s="382" t="s">
        <v>259</v>
      </c>
      <c r="R432" s="479" t="s">
        <v>362</v>
      </c>
      <c r="S432" s="480"/>
      <c r="T432" s="480"/>
      <c r="U432" s="382" t="s">
        <v>261</v>
      </c>
      <c r="V432" s="427"/>
      <c r="W432" s="379" t="s">
        <v>243</v>
      </c>
      <c r="X432" s="470">
        <v>2019</v>
      </c>
      <c r="Y432" s="427"/>
      <c r="Z432" s="427" t="str">
        <f>VLOOKUP(R432,KEY_Processes!$C$131:$E$163,3,FALSE)</f>
        <v>H_FS_DST01</v>
      </c>
      <c r="AA432" s="427" t="str">
        <f>VLOOKUP(R432,KEY_Processes!$C$131:$E$163,2,FALSE)</f>
        <v>H_DieselFurnace_DST_SMALL</v>
      </c>
      <c r="AB432" s="427" t="str">
        <f>VLOOKUP(U432,KEY_FUELS!$C$4:$D$77,2,FALSE)</f>
        <v>DST</v>
      </c>
      <c r="AC432" s="427" t="s">
        <v>150</v>
      </c>
      <c r="AD432" s="427" t="s">
        <v>364</v>
      </c>
      <c r="AE432" s="427" t="s">
        <v>152</v>
      </c>
      <c r="AF432" s="427" t="str">
        <f>VLOOKUP(W432,KEY_Other!$B$37:$C$89,2,FALSE)</f>
        <v>EUR</v>
      </c>
      <c r="AG432" s="427"/>
      <c r="AH432" s="427" t="str">
        <f>AC432&amp;VLOOKUP(U432,KEY_FUELS!$C$4:$D$78,2,FALSE)</f>
        <v>RSDDST</v>
      </c>
      <c r="AI432" s="427" t="str">
        <f>IFERROR(AC432&amp;VLOOKUP(V432,KEY_FUELS!$C$4:$D$78,2,FALSE),"")</f>
        <v/>
      </c>
      <c r="AJ432" s="427" t="str">
        <f t="shared" ref="AJ432:AJ526" si="113">LEFT(AC432,1)&amp;LEFT(Z432,1)&amp;AD432</f>
        <v>RHHS</v>
      </c>
      <c r="AK432" s="427" t="str">
        <f t="shared" ref="AK432:AK526" si="114">IF(FIND("_",Z432)=3,LEFT(AC432,1)&amp;MID(Z432,2,1)&amp;AD432,IF(FIND("_",Z432)=4,LEFT(AC432,1)&amp;MID(Z432,2,1)&amp;AD432,""))</f>
        <v/>
      </c>
      <c r="AL432" s="427" t="str">
        <f t="shared" ref="AL432:AL526" si="115">IF(FIND("_",Z432)=4,LEFT(AC432,1)&amp;MID(Z432,3,1)&amp;AD432,"")</f>
        <v/>
      </c>
      <c r="AM432" s="380">
        <v>31.536000000000001</v>
      </c>
      <c r="AN432" s="470">
        <f t="shared" ref="AN432:AN526" si="116">X432</f>
        <v>2019</v>
      </c>
      <c r="AO432" s="470"/>
      <c r="AP432" s="429"/>
      <c r="AQ432" s="467"/>
      <c r="AR432" s="429"/>
      <c r="AS432" s="429"/>
      <c r="AT432" s="429"/>
      <c r="AU432" s="481"/>
      <c r="AV432" s="467"/>
      <c r="AW432" s="467"/>
      <c r="AX432" s="429"/>
      <c r="AY432" s="429"/>
      <c r="AZ432" s="467">
        <v>0.84</v>
      </c>
      <c r="BA432" s="429"/>
      <c r="BB432" s="429"/>
      <c r="BC432" s="427"/>
      <c r="BD432" s="429"/>
      <c r="BE432" s="429"/>
      <c r="BF432" s="427"/>
      <c r="BG432" s="427"/>
      <c r="BH432" s="427"/>
      <c r="BI432" s="427">
        <v>25</v>
      </c>
      <c r="BJ432" s="427"/>
      <c r="BK432" s="482">
        <v>53.863098714532953</v>
      </c>
      <c r="BL432" s="427"/>
      <c r="BM432" s="427"/>
      <c r="BN432" s="427"/>
      <c r="BO432" s="427"/>
      <c r="BP432" s="427"/>
      <c r="BQ432" s="427"/>
      <c r="BR432" s="429">
        <v>2.7967378178699804</v>
      </c>
      <c r="BS432" s="427"/>
      <c r="BT432" s="427"/>
      <c r="BU432" s="427"/>
      <c r="BV432" s="427"/>
      <c r="BW432" s="427"/>
      <c r="BX432" s="471"/>
    </row>
    <row r="433" spans="10:76" x14ac:dyDescent="0.3">
      <c r="J433" s="362" t="s">
        <v>238</v>
      </c>
      <c r="K433" s="363" t="s">
        <v>135</v>
      </c>
      <c r="L433" s="439"/>
      <c r="M433" s="363" t="s">
        <v>239</v>
      </c>
      <c r="N433" s="363" t="s">
        <v>240</v>
      </c>
      <c r="O433" s="363" t="s">
        <v>136</v>
      </c>
      <c r="P433" s="363">
        <v>2018</v>
      </c>
      <c r="Q433" s="366" t="s">
        <v>320</v>
      </c>
      <c r="R433" s="475" t="s">
        <v>365</v>
      </c>
      <c r="S433" s="476"/>
      <c r="T433" s="476"/>
      <c r="U433" s="366" t="s">
        <v>322</v>
      </c>
      <c r="V433" s="439"/>
      <c r="W433" s="363" t="s">
        <v>243</v>
      </c>
      <c r="X433" s="468" t="s">
        <v>363</v>
      </c>
      <c r="Y433" s="439"/>
      <c r="Z433" s="439" t="str">
        <f>VLOOKUP(R433,KEY_Processes!$C$131:$E$163,3,FALSE)</f>
        <v>H_FS_LPG02</v>
      </c>
      <c r="AA433" s="439" t="str">
        <f>VLOOKUP(R433,KEY_Processes!$C$131:$E$163,2,FALSE)</f>
        <v>H_LPGFurnace_LPG_SMALL</v>
      </c>
      <c r="AB433" s="439" t="str">
        <f>VLOOKUP(U433,KEY_FUELS!$C$4:$D$77,2,FALSE)</f>
        <v>GAS</v>
      </c>
      <c r="AC433" s="439" t="s">
        <v>150</v>
      </c>
      <c r="AD433" s="439" t="s">
        <v>364</v>
      </c>
      <c r="AE433" s="439" t="s">
        <v>152</v>
      </c>
      <c r="AF433" s="439" t="str">
        <f>VLOOKUP(W433,KEY_Other!$B$37:$C$89,2,FALSE)</f>
        <v>EUR</v>
      </c>
      <c r="AG433" s="439"/>
      <c r="AH433" s="439" t="str">
        <f>AC433&amp;VLOOKUP(U433,KEY_FUELS!$C$4:$D$78,2,FALSE)</f>
        <v>RSDGAS</v>
      </c>
      <c r="AI433" s="439" t="str">
        <f>IFERROR(AC433&amp;VLOOKUP(V433,KEY_FUELS!$C$4:$D$78,2,FALSE),"")</f>
        <v/>
      </c>
      <c r="AJ433" s="439" t="str">
        <f t="shared" si="113"/>
        <v>RHHS</v>
      </c>
      <c r="AK433" s="439" t="str">
        <f t="shared" si="114"/>
        <v/>
      </c>
      <c r="AL433" s="439" t="str">
        <f t="shared" si="115"/>
        <v/>
      </c>
      <c r="AM433" s="364">
        <v>31.536000000000001</v>
      </c>
      <c r="AN433" s="468" t="str">
        <f t="shared" si="116"/>
        <v>2030</v>
      </c>
      <c r="AO433" s="468"/>
      <c r="AP433" s="441"/>
      <c r="AQ433" s="445"/>
      <c r="AR433" s="441"/>
      <c r="AS433" s="441"/>
      <c r="AT433" s="441"/>
      <c r="AU433" s="477"/>
      <c r="AV433" s="445"/>
      <c r="AW433" s="445"/>
      <c r="AX433" s="441"/>
      <c r="AY433" s="441"/>
      <c r="AZ433" s="445">
        <v>0.92</v>
      </c>
      <c r="BA433" s="441"/>
      <c r="BB433" s="441"/>
      <c r="BC433" s="439"/>
      <c r="BD433" s="441"/>
      <c r="BE433" s="441"/>
      <c r="BF433" s="439"/>
      <c r="BG433" s="439"/>
      <c r="BH433" s="439"/>
      <c r="BI433" s="439">
        <v>20</v>
      </c>
      <c r="BJ433" s="439"/>
      <c r="BK433" s="478">
        <v>37.975000000000001</v>
      </c>
      <c r="BL433" s="439"/>
      <c r="BM433" s="439"/>
      <c r="BN433" s="439"/>
      <c r="BO433" s="439"/>
      <c r="BP433" s="439"/>
      <c r="BQ433" s="439"/>
      <c r="BR433" s="441">
        <v>1.38</v>
      </c>
      <c r="BS433" s="439"/>
      <c r="BT433" s="439"/>
      <c r="BU433" s="439"/>
      <c r="BV433" s="439"/>
      <c r="BW433" s="439"/>
      <c r="BX433" s="469"/>
    </row>
    <row r="434" spans="10:76" x14ac:dyDescent="0.3">
      <c r="J434" s="378" t="s">
        <v>238</v>
      </c>
      <c r="K434" s="379" t="s">
        <v>135</v>
      </c>
      <c r="L434" s="427"/>
      <c r="M434" s="379" t="s">
        <v>239</v>
      </c>
      <c r="N434" s="379" t="s">
        <v>240</v>
      </c>
      <c r="O434" s="379" t="s">
        <v>136</v>
      </c>
      <c r="P434" s="379">
        <v>2018</v>
      </c>
      <c r="Q434" s="382" t="s">
        <v>320</v>
      </c>
      <c r="R434" s="479" t="s">
        <v>365</v>
      </c>
      <c r="S434" s="480"/>
      <c r="T434" s="480"/>
      <c r="U434" s="382" t="s">
        <v>322</v>
      </c>
      <c r="V434" s="427"/>
      <c r="W434" s="379" t="s">
        <v>243</v>
      </c>
      <c r="X434" s="470">
        <v>2019</v>
      </c>
      <c r="Y434" s="427"/>
      <c r="Z434" s="427" t="str">
        <f>VLOOKUP(R434,KEY_Processes!$C$131:$E$163,3,FALSE)</f>
        <v>H_FS_LPG02</v>
      </c>
      <c r="AA434" s="427" t="str">
        <f>VLOOKUP(R434,KEY_Processes!$C$131:$E$163,2,FALSE)</f>
        <v>H_LPGFurnace_LPG_SMALL</v>
      </c>
      <c r="AB434" s="427" t="str">
        <f>VLOOKUP(U434,KEY_FUELS!$C$4:$D$77,2,FALSE)</f>
        <v>GAS</v>
      </c>
      <c r="AC434" s="427" t="s">
        <v>150</v>
      </c>
      <c r="AD434" s="427" t="s">
        <v>364</v>
      </c>
      <c r="AE434" s="427" t="s">
        <v>152</v>
      </c>
      <c r="AF434" s="427" t="str">
        <f>VLOOKUP(W434,KEY_Other!$B$37:$C$89,2,FALSE)</f>
        <v>EUR</v>
      </c>
      <c r="AG434" s="427"/>
      <c r="AH434" s="427" t="str">
        <f>AC434&amp;VLOOKUP(U434,KEY_FUELS!$C$4:$D$78,2,FALSE)</f>
        <v>RSDGAS</v>
      </c>
      <c r="AI434" s="427" t="str">
        <f>IFERROR(AC434&amp;VLOOKUP(V434,KEY_FUELS!$C$4:$D$78,2,FALSE),"")</f>
        <v/>
      </c>
      <c r="AJ434" s="427" t="str">
        <f t="shared" si="113"/>
        <v>RHHS</v>
      </c>
      <c r="AK434" s="427" t="str">
        <f t="shared" si="114"/>
        <v/>
      </c>
      <c r="AL434" s="427" t="str">
        <f t="shared" si="115"/>
        <v/>
      </c>
      <c r="AM434" s="380">
        <v>31.536000000000001</v>
      </c>
      <c r="AN434" s="470">
        <f t="shared" si="116"/>
        <v>2019</v>
      </c>
      <c r="AO434" s="470"/>
      <c r="AP434" s="429"/>
      <c r="AQ434" s="467"/>
      <c r="AR434" s="429"/>
      <c r="AS434" s="429"/>
      <c r="AT434" s="429"/>
      <c r="AU434" s="481"/>
      <c r="AV434" s="467"/>
      <c r="AW434" s="467"/>
      <c r="AX434" s="429"/>
      <c r="AY434" s="429"/>
      <c r="AZ434" s="467">
        <v>0.89</v>
      </c>
      <c r="BA434" s="429"/>
      <c r="BB434" s="429"/>
      <c r="BC434" s="427"/>
      <c r="BD434" s="429"/>
      <c r="BE434" s="429"/>
      <c r="BF434" s="427"/>
      <c r="BG434" s="427"/>
      <c r="BH434" s="427"/>
      <c r="BI434" s="427">
        <v>20</v>
      </c>
      <c r="BJ434" s="427"/>
      <c r="BK434" s="482">
        <v>25.701210937499997</v>
      </c>
      <c r="BL434" s="427"/>
      <c r="BM434" s="427"/>
      <c r="BN434" s="427"/>
      <c r="BO434" s="427"/>
      <c r="BP434" s="427"/>
      <c r="BQ434" s="427"/>
      <c r="BR434" s="429">
        <v>1.38</v>
      </c>
      <c r="BS434" s="427"/>
      <c r="BT434" s="427"/>
      <c r="BU434" s="427"/>
      <c r="BV434" s="427"/>
      <c r="BW434" s="427"/>
      <c r="BX434" s="471"/>
    </row>
    <row r="435" spans="10:76" x14ac:dyDescent="0.3">
      <c r="J435" s="362" t="s">
        <v>238</v>
      </c>
      <c r="K435" s="363" t="s">
        <v>135</v>
      </c>
      <c r="L435" s="439"/>
      <c r="M435" s="363" t="s">
        <v>239</v>
      </c>
      <c r="N435" s="363" t="s">
        <v>240</v>
      </c>
      <c r="O435" s="363" t="s">
        <v>136</v>
      </c>
      <c r="P435" s="363">
        <v>2018</v>
      </c>
      <c r="Q435" s="366" t="s">
        <v>366</v>
      </c>
      <c r="R435" s="475" t="s">
        <v>367</v>
      </c>
      <c r="S435" s="476"/>
      <c r="T435" s="476"/>
      <c r="U435" s="366" t="s">
        <v>283</v>
      </c>
      <c r="V435" s="439"/>
      <c r="W435" s="363" t="s">
        <v>243</v>
      </c>
      <c r="X435" s="468" t="s">
        <v>363</v>
      </c>
      <c r="Y435" s="439"/>
      <c r="Z435" s="439" t="str">
        <f>VLOOKUP(R435,KEY_Processes!$C$131:$E$163,3,FALSE)</f>
        <v>H_BS_BPL01</v>
      </c>
      <c r="AA435" s="439" t="str">
        <f>VLOOKUP(R435,KEY_Processes!$C$131:$E$163,2,FALSE)</f>
        <v>H_Pelletboiler_BPL_SMALL</v>
      </c>
      <c r="AB435" s="439" t="str">
        <f>VLOOKUP(U435,KEY_FUELS!$C$4:$D$77,2,FALSE)</f>
        <v>BIO</v>
      </c>
      <c r="AC435" s="439" t="s">
        <v>150</v>
      </c>
      <c r="AD435" s="439" t="s">
        <v>364</v>
      </c>
      <c r="AE435" s="439" t="s">
        <v>152</v>
      </c>
      <c r="AF435" s="439" t="str">
        <f>VLOOKUP(W435,KEY_Other!$B$37:$C$89,2,FALSE)</f>
        <v>EUR</v>
      </c>
      <c r="AG435" s="439"/>
      <c r="AH435" s="439" t="str">
        <f>AC435&amp;VLOOKUP(U435,KEY_FUELS!$C$4:$D$78,2,FALSE)</f>
        <v>RSDBIO</v>
      </c>
      <c r="AI435" s="439" t="str">
        <f>IFERROR(AC435&amp;VLOOKUP(V435,KEY_FUELS!$C$4:$D$78,2,FALSE),"")</f>
        <v/>
      </c>
      <c r="AJ435" s="439" t="str">
        <f t="shared" si="113"/>
        <v>RHHS</v>
      </c>
      <c r="AK435" s="439" t="str">
        <f t="shared" si="114"/>
        <v/>
      </c>
      <c r="AL435" s="439" t="str">
        <f t="shared" si="115"/>
        <v/>
      </c>
      <c r="AM435" s="364">
        <v>31.536000000000001</v>
      </c>
      <c r="AN435" s="468" t="str">
        <f t="shared" si="116"/>
        <v>2030</v>
      </c>
      <c r="AO435" s="468"/>
      <c r="AP435" s="441"/>
      <c r="AQ435" s="445"/>
      <c r="AR435" s="441"/>
      <c r="AS435" s="441"/>
      <c r="AT435" s="441"/>
      <c r="AU435" s="477"/>
      <c r="AV435" s="445"/>
      <c r="AW435" s="445"/>
      <c r="AX435" s="441"/>
      <c r="AY435" s="441"/>
      <c r="AZ435" s="445">
        <v>0.81</v>
      </c>
      <c r="BA435" s="441"/>
      <c r="BB435" s="441"/>
      <c r="BC435" s="439"/>
      <c r="BD435" s="441"/>
      <c r="BE435" s="441"/>
      <c r="BF435" s="439"/>
      <c r="BG435" s="439"/>
      <c r="BH435" s="439"/>
      <c r="BI435" s="439">
        <v>20</v>
      </c>
      <c r="BJ435" s="439"/>
      <c r="BK435" s="478">
        <v>272.63014580125144</v>
      </c>
      <c r="BL435" s="439"/>
      <c r="BM435" s="439"/>
      <c r="BN435" s="439"/>
      <c r="BO435" s="439"/>
      <c r="BP435" s="439"/>
      <c r="BQ435" s="439"/>
      <c r="BR435" s="441">
        <v>8.7009621000399395</v>
      </c>
      <c r="BS435" s="439"/>
      <c r="BT435" s="439"/>
      <c r="BU435" s="439"/>
      <c r="BV435" s="439"/>
      <c r="BW435" s="439"/>
      <c r="BX435" s="469"/>
    </row>
    <row r="436" spans="10:76" x14ac:dyDescent="0.3">
      <c r="J436" s="378" t="s">
        <v>238</v>
      </c>
      <c r="K436" s="379" t="s">
        <v>135</v>
      </c>
      <c r="L436" s="427"/>
      <c r="M436" s="379" t="s">
        <v>239</v>
      </c>
      <c r="N436" s="379" t="s">
        <v>240</v>
      </c>
      <c r="O436" s="379" t="s">
        <v>136</v>
      </c>
      <c r="P436" s="379">
        <v>2018</v>
      </c>
      <c r="Q436" s="382" t="s">
        <v>366</v>
      </c>
      <c r="R436" s="479" t="s">
        <v>367</v>
      </c>
      <c r="S436" s="480"/>
      <c r="T436" s="480"/>
      <c r="U436" s="382" t="s">
        <v>283</v>
      </c>
      <c r="V436" s="427"/>
      <c r="W436" s="379" t="s">
        <v>243</v>
      </c>
      <c r="X436" s="470">
        <v>2019</v>
      </c>
      <c r="Y436" s="427"/>
      <c r="Z436" s="427" t="str">
        <f>VLOOKUP(R436,KEY_Processes!$C$131:$E$163,3,FALSE)</f>
        <v>H_BS_BPL01</v>
      </c>
      <c r="AA436" s="427" t="str">
        <f>VLOOKUP(R436,KEY_Processes!$C$131:$E$163,2,FALSE)</f>
        <v>H_Pelletboiler_BPL_SMALL</v>
      </c>
      <c r="AB436" s="427" t="str">
        <f>VLOOKUP(U436,KEY_FUELS!$C$4:$D$77,2,FALSE)</f>
        <v>BIO</v>
      </c>
      <c r="AC436" s="427" t="s">
        <v>150</v>
      </c>
      <c r="AD436" s="427" t="s">
        <v>364</v>
      </c>
      <c r="AE436" s="427" t="s">
        <v>152</v>
      </c>
      <c r="AF436" s="427" t="str">
        <f>VLOOKUP(W436,KEY_Other!$B$37:$C$89,2,FALSE)</f>
        <v>EUR</v>
      </c>
      <c r="AG436" s="427"/>
      <c r="AH436" s="427" t="str">
        <f>AC436&amp;VLOOKUP(U436,KEY_FUELS!$C$4:$D$78,2,FALSE)</f>
        <v>RSDBIO</v>
      </c>
      <c r="AI436" s="427" t="str">
        <f>IFERROR(AC436&amp;VLOOKUP(V436,KEY_FUELS!$C$4:$D$78,2,FALSE),"")</f>
        <v/>
      </c>
      <c r="AJ436" s="427" t="str">
        <f t="shared" si="113"/>
        <v>RHHS</v>
      </c>
      <c r="AK436" s="427" t="str">
        <f t="shared" si="114"/>
        <v/>
      </c>
      <c r="AL436" s="427" t="str">
        <f t="shared" si="115"/>
        <v/>
      </c>
      <c r="AM436" s="380">
        <v>31.536000000000001</v>
      </c>
      <c r="AN436" s="470">
        <f t="shared" si="116"/>
        <v>2019</v>
      </c>
      <c r="AO436" s="470"/>
      <c r="AP436" s="429"/>
      <c r="AQ436" s="467"/>
      <c r="AR436" s="429"/>
      <c r="AS436" s="429"/>
      <c r="AT436" s="429"/>
      <c r="AU436" s="481"/>
      <c r="AV436" s="467"/>
      <c r="AW436" s="467"/>
      <c r="AX436" s="429"/>
      <c r="AY436" s="429"/>
      <c r="AZ436" s="467">
        <v>0.78</v>
      </c>
      <c r="BA436" s="429"/>
      <c r="BB436" s="429"/>
      <c r="BC436" s="427"/>
      <c r="BD436" s="429"/>
      <c r="BE436" s="429"/>
      <c r="BF436" s="427"/>
      <c r="BG436" s="427"/>
      <c r="BH436" s="427"/>
      <c r="BI436" s="427">
        <v>20</v>
      </c>
      <c r="BJ436" s="427"/>
      <c r="BK436" s="482">
        <v>185.62052480085205</v>
      </c>
      <c r="BL436" s="427"/>
      <c r="BM436" s="427"/>
      <c r="BN436" s="427"/>
      <c r="BO436" s="427"/>
      <c r="BP436" s="427"/>
      <c r="BQ436" s="427"/>
      <c r="BR436" s="429">
        <v>8.7009621000399395</v>
      </c>
      <c r="BS436" s="427"/>
      <c r="BT436" s="427"/>
      <c r="BU436" s="427"/>
      <c r="BV436" s="427"/>
      <c r="BW436" s="427"/>
      <c r="BX436" s="471"/>
    </row>
    <row r="437" spans="10:76" x14ac:dyDescent="0.3">
      <c r="J437" s="362" t="s">
        <v>238</v>
      </c>
      <c r="K437" s="363" t="s">
        <v>135</v>
      </c>
      <c r="L437" s="439"/>
      <c r="M437" s="363" t="s">
        <v>239</v>
      </c>
      <c r="N437" s="363" t="s">
        <v>240</v>
      </c>
      <c r="O437" s="363" t="s">
        <v>136</v>
      </c>
      <c r="P437" s="363">
        <v>2018</v>
      </c>
      <c r="Q437" s="366" t="s">
        <v>245</v>
      </c>
      <c r="R437" s="475" t="s">
        <v>368</v>
      </c>
      <c r="S437" s="476"/>
      <c r="T437" s="476"/>
      <c r="U437" s="366" t="s">
        <v>189</v>
      </c>
      <c r="V437" s="439" t="s">
        <v>190</v>
      </c>
      <c r="W437" s="363" t="s">
        <v>243</v>
      </c>
      <c r="X437" s="468">
        <v>2019</v>
      </c>
      <c r="Y437" s="439"/>
      <c r="Z437" s="439" t="str">
        <f>VLOOKUP(R437,KEY_Processes!$C$131:$E$163,3,FALSE)</f>
        <v>H_AHPS_ELC02</v>
      </c>
      <c r="AA437" s="439" t="str">
        <f>VLOOKUP(R437,KEY_Processes!$C$131:$E$163,2,FALSE)</f>
        <v>H_AirHeatPump_ELC_SMALL</v>
      </c>
      <c r="AB437" s="439" t="str">
        <f>VLOOKUP(U437,KEY_FUELS!$C$4:$D$77,2,FALSE)</f>
        <v>ELC</v>
      </c>
      <c r="AC437" s="439" t="s">
        <v>150</v>
      </c>
      <c r="AD437" s="439" t="s">
        <v>364</v>
      </c>
      <c r="AE437" s="439" t="s">
        <v>152</v>
      </c>
      <c r="AF437" s="439" t="str">
        <f>VLOOKUP(W437,KEY_Other!$B$37:$C$89,2,FALSE)</f>
        <v>EUR</v>
      </c>
      <c r="AG437" s="439"/>
      <c r="AH437" s="439" t="str">
        <f>AC437&amp;VLOOKUP(U437,KEY_FUELS!$C$4:$D$78,2,FALSE)</f>
        <v>RSDELC</v>
      </c>
      <c r="AI437" s="439" t="str">
        <f>IFERROR(AC437&amp;VLOOKUP(V437,KEY_FUELS!$C$4:$D$78,2,FALSE),"")</f>
        <v>RSDAHT</v>
      </c>
      <c r="AJ437" s="439" t="str">
        <f t="shared" si="113"/>
        <v>RHHS</v>
      </c>
      <c r="AK437" s="439" t="str">
        <f t="shared" si="114"/>
        <v/>
      </c>
      <c r="AL437" s="439" t="str">
        <f t="shared" si="115"/>
        <v/>
      </c>
      <c r="AM437" s="364">
        <v>31.536000000000001</v>
      </c>
      <c r="AN437" s="468">
        <f t="shared" si="116"/>
        <v>2019</v>
      </c>
      <c r="AO437" s="468"/>
      <c r="AP437" s="441"/>
      <c r="AQ437" s="445"/>
      <c r="AR437" s="441"/>
      <c r="AS437" s="441"/>
      <c r="AT437" s="441"/>
      <c r="AU437" s="477"/>
      <c r="AV437" s="445"/>
      <c r="AW437" s="445"/>
      <c r="AX437" s="441"/>
      <c r="AY437" s="441">
        <f>AZ437</f>
        <v>3.2</v>
      </c>
      <c r="AZ437" s="445">
        <v>3.2</v>
      </c>
      <c r="BA437" s="441"/>
      <c r="BB437" s="441"/>
      <c r="BC437" s="439"/>
      <c r="BD437" s="441"/>
      <c r="BE437" s="441"/>
      <c r="BF437" s="439"/>
      <c r="BG437" s="439"/>
      <c r="BH437" s="439"/>
      <c r="BI437" s="439">
        <v>20</v>
      </c>
      <c r="BJ437" s="439"/>
      <c r="BK437" s="478">
        <v>172.29044117647061</v>
      </c>
      <c r="BL437" s="439"/>
      <c r="BM437" s="439"/>
      <c r="BN437" s="439"/>
      <c r="BO437" s="439"/>
      <c r="BP437" s="439"/>
      <c r="BQ437" s="439"/>
      <c r="BR437" s="441">
        <v>3.1627906976744184</v>
      </c>
      <c r="BS437" s="439"/>
      <c r="BT437" s="439"/>
      <c r="BU437" s="439"/>
      <c r="BV437" s="439"/>
      <c r="BW437" s="439"/>
      <c r="BX437" s="469"/>
    </row>
    <row r="438" spans="10:76" x14ac:dyDescent="0.3">
      <c r="J438" s="378" t="s">
        <v>238</v>
      </c>
      <c r="K438" s="379" t="s">
        <v>135</v>
      </c>
      <c r="L438" s="427"/>
      <c r="M438" s="379" t="s">
        <v>239</v>
      </c>
      <c r="N438" s="379" t="s">
        <v>240</v>
      </c>
      <c r="O438" s="379" t="s">
        <v>136</v>
      </c>
      <c r="P438" s="379">
        <v>2018</v>
      </c>
      <c r="Q438" s="382" t="s">
        <v>277</v>
      </c>
      <c r="R438" s="479" t="s">
        <v>369</v>
      </c>
      <c r="S438" s="480"/>
      <c r="T438" s="480"/>
      <c r="U438" s="382" t="s">
        <v>189</v>
      </c>
      <c r="V438" s="427" t="s">
        <v>198</v>
      </c>
      <c r="W438" s="379" t="s">
        <v>243</v>
      </c>
      <c r="X438" s="470" t="s">
        <v>363</v>
      </c>
      <c r="Y438" s="427"/>
      <c r="Z438" s="427" t="str">
        <f>VLOOKUP(R438,KEY_Processes!$C$131:$E$163,3,FALSE)</f>
        <v>H_GHPS_ELC01</v>
      </c>
      <c r="AA438" s="427" t="str">
        <f>VLOOKUP(R438,KEY_Processes!$C$131:$E$163,2,FALSE)</f>
        <v>H_GroundHeatPump_ELC_SMALL</v>
      </c>
      <c r="AB438" s="427" t="str">
        <f>VLOOKUP(U438,KEY_FUELS!$C$4:$D$77,2,FALSE)</f>
        <v>ELC</v>
      </c>
      <c r="AC438" s="427" t="s">
        <v>150</v>
      </c>
      <c r="AD438" s="427" t="s">
        <v>364</v>
      </c>
      <c r="AE438" s="427" t="s">
        <v>152</v>
      </c>
      <c r="AF438" s="427" t="str">
        <f>VLOOKUP(W438,KEY_Other!$B$37:$C$89,2,FALSE)</f>
        <v>EUR</v>
      </c>
      <c r="AG438" s="427"/>
      <c r="AH438" s="427" t="str">
        <f>AC438&amp;VLOOKUP(U438,KEY_FUELS!$C$4:$D$78,2,FALSE)</f>
        <v>RSDELC</v>
      </c>
      <c r="AI438" s="427" t="str">
        <f>IFERROR(AC438&amp;VLOOKUP(V438,KEY_FUELS!$C$4:$D$78,2,FALSE),"")</f>
        <v>RSDGEO</v>
      </c>
      <c r="AJ438" s="427" t="str">
        <f t="shared" si="113"/>
        <v>RHHS</v>
      </c>
      <c r="AK438" s="427" t="str">
        <f t="shared" si="114"/>
        <v/>
      </c>
      <c r="AL438" s="427" t="str">
        <f t="shared" si="115"/>
        <v/>
      </c>
      <c r="AM438" s="380">
        <v>31.536000000000001</v>
      </c>
      <c r="AN438" s="470" t="str">
        <f t="shared" si="116"/>
        <v>2030</v>
      </c>
      <c r="AO438" s="470"/>
      <c r="AP438" s="429"/>
      <c r="AQ438" s="467"/>
      <c r="AR438" s="429"/>
      <c r="AS438" s="429"/>
      <c r="AT438" s="429"/>
      <c r="AU438" s="481"/>
      <c r="AV438" s="467"/>
      <c r="AW438" s="467"/>
      <c r="AX438" s="429"/>
      <c r="AY438" s="429">
        <f t="shared" ref="AY438:AY439" si="117">AZ438</f>
        <v>6.5</v>
      </c>
      <c r="AZ438" s="467">
        <v>6.5</v>
      </c>
      <c r="BA438" s="429"/>
      <c r="BB438" s="429"/>
      <c r="BC438" s="427"/>
      <c r="BD438" s="429"/>
      <c r="BE438" s="429"/>
      <c r="BF438" s="427"/>
      <c r="BG438" s="427"/>
      <c r="BH438" s="427"/>
      <c r="BI438" s="427">
        <v>25</v>
      </c>
      <c r="BJ438" s="427"/>
      <c r="BK438" s="482">
        <v>1730</v>
      </c>
      <c r="BL438" s="427"/>
      <c r="BM438" s="427"/>
      <c r="BN438" s="427"/>
      <c r="BO438" s="427"/>
      <c r="BP438" s="427"/>
      <c r="BQ438" s="427"/>
      <c r="BR438" s="429">
        <v>1.5813953488372099</v>
      </c>
      <c r="BS438" s="427"/>
      <c r="BT438" s="427"/>
      <c r="BU438" s="427"/>
      <c r="BV438" s="427"/>
      <c r="BW438" s="427"/>
      <c r="BX438" s="471"/>
    </row>
    <row r="439" spans="10:76" x14ac:dyDescent="0.3">
      <c r="J439" s="362" t="s">
        <v>238</v>
      </c>
      <c r="K439" s="363" t="s">
        <v>135</v>
      </c>
      <c r="L439" s="439"/>
      <c r="M439" s="363" t="s">
        <v>239</v>
      </c>
      <c r="N439" s="363" t="s">
        <v>240</v>
      </c>
      <c r="O439" s="363" t="s">
        <v>136</v>
      </c>
      <c r="P439" s="363">
        <v>2018</v>
      </c>
      <c r="Q439" s="366" t="s">
        <v>277</v>
      </c>
      <c r="R439" s="475" t="s">
        <v>369</v>
      </c>
      <c r="S439" s="476"/>
      <c r="T439" s="476"/>
      <c r="U439" s="366" t="s">
        <v>189</v>
      </c>
      <c r="V439" s="439" t="s">
        <v>198</v>
      </c>
      <c r="W439" s="363" t="s">
        <v>243</v>
      </c>
      <c r="X439" s="468">
        <v>2019</v>
      </c>
      <c r="Y439" s="439"/>
      <c r="Z439" s="439" t="str">
        <f>VLOOKUP(R439,KEY_Processes!$C$131:$E$163,3,FALSE)</f>
        <v>H_GHPS_ELC01</v>
      </c>
      <c r="AA439" s="439" t="str">
        <f>VLOOKUP(R439,KEY_Processes!$C$131:$E$163,2,FALSE)</f>
        <v>H_GroundHeatPump_ELC_SMALL</v>
      </c>
      <c r="AB439" s="439" t="str">
        <f>VLOOKUP(U439,KEY_FUELS!$C$4:$D$77,2,FALSE)</f>
        <v>ELC</v>
      </c>
      <c r="AC439" s="439" t="s">
        <v>150</v>
      </c>
      <c r="AD439" s="439" t="s">
        <v>364</v>
      </c>
      <c r="AE439" s="439" t="s">
        <v>152</v>
      </c>
      <c r="AF439" s="439" t="str">
        <f>VLOOKUP(W439,KEY_Other!$B$37:$C$89,2,FALSE)</f>
        <v>EUR</v>
      </c>
      <c r="AG439" s="439"/>
      <c r="AH439" s="439" t="str">
        <f>AC439&amp;VLOOKUP(U439,KEY_FUELS!$C$4:$D$78,2,FALSE)</f>
        <v>RSDELC</v>
      </c>
      <c r="AI439" s="439" t="str">
        <f>IFERROR(AC439&amp;VLOOKUP(V439,KEY_FUELS!$C$4:$D$78,2,FALSE),"")</f>
        <v>RSDGEO</v>
      </c>
      <c r="AJ439" s="439" t="str">
        <f t="shared" si="113"/>
        <v>RHHS</v>
      </c>
      <c r="AK439" s="439" t="str">
        <f t="shared" si="114"/>
        <v/>
      </c>
      <c r="AL439" s="439" t="str">
        <f t="shared" si="115"/>
        <v/>
      </c>
      <c r="AM439" s="364">
        <v>31.536000000000001</v>
      </c>
      <c r="AN439" s="468">
        <f t="shared" si="116"/>
        <v>2019</v>
      </c>
      <c r="AO439" s="468"/>
      <c r="AP439" s="441"/>
      <c r="AQ439" s="445"/>
      <c r="AR439" s="441"/>
      <c r="AS439" s="441"/>
      <c r="AT439" s="441"/>
      <c r="AU439" s="477"/>
      <c r="AV439" s="445"/>
      <c r="AW439" s="445"/>
      <c r="AX439" s="441"/>
      <c r="AY439" s="441">
        <f t="shared" si="117"/>
        <v>5</v>
      </c>
      <c r="AZ439" s="445">
        <v>5</v>
      </c>
      <c r="BA439" s="441"/>
      <c r="BB439" s="441"/>
      <c r="BC439" s="439"/>
      <c r="BD439" s="441"/>
      <c r="BE439" s="441"/>
      <c r="BF439" s="439"/>
      <c r="BG439" s="439"/>
      <c r="BH439" s="439"/>
      <c r="BI439" s="439">
        <v>25</v>
      </c>
      <c r="BJ439" s="439"/>
      <c r="BK439" s="478">
        <v>1430</v>
      </c>
      <c r="BL439" s="439"/>
      <c r="BM439" s="439"/>
      <c r="BN439" s="439"/>
      <c r="BO439" s="439"/>
      <c r="BP439" s="439"/>
      <c r="BQ439" s="439"/>
      <c r="BR439" s="441">
        <v>1.5813953488372099</v>
      </c>
      <c r="BS439" s="439"/>
      <c r="BT439" s="439"/>
      <c r="BU439" s="439"/>
      <c r="BV439" s="439"/>
      <c r="BW439" s="439"/>
      <c r="BX439" s="469"/>
    </row>
    <row r="440" spans="10:76" x14ac:dyDescent="0.3">
      <c r="J440" s="378" t="s">
        <v>238</v>
      </c>
      <c r="K440" s="379" t="s">
        <v>135</v>
      </c>
      <c r="L440" s="427"/>
      <c r="M440" s="379" t="s">
        <v>239</v>
      </c>
      <c r="N440" s="379" t="s">
        <v>240</v>
      </c>
      <c r="O440" s="379" t="s">
        <v>136</v>
      </c>
      <c r="P440" s="379">
        <v>2018</v>
      </c>
      <c r="Q440" s="382" t="s">
        <v>294</v>
      </c>
      <c r="R440" s="479" t="s">
        <v>370</v>
      </c>
      <c r="S440" s="480"/>
      <c r="T440" s="480"/>
      <c r="U440" s="382" t="s">
        <v>296</v>
      </c>
      <c r="V440" s="427"/>
      <c r="W440" s="379" t="s">
        <v>243</v>
      </c>
      <c r="X440" s="470" t="s">
        <v>363</v>
      </c>
      <c r="Y440" s="427"/>
      <c r="Z440" s="427" t="str">
        <f>VLOOKUP(R440,KEY_Processes!$C$131:$E$163,3,FALSE)</f>
        <v>H_SS_BFW01</v>
      </c>
      <c r="AA440" s="427" t="str">
        <f>VLOOKUP(R440,KEY_Processes!$C$131:$E$163,2,FALSE)</f>
        <v>H_WoodStove_BFW_SMALL</v>
      </c>
      <c r="AB440" s="427" t="str">
        <f>VLOOKUP(U440,KEY_FUELS!$C$4:$D$77,2,FALSE)</f>
        <v>BIO</v>
      </c>
      <c r="AC440" s="427" t="s">
        <v>150</v>
      </c>
      <c r="AD440" s="427" t="s">
        <v>364</v>
      </c>
      <c r="AE440" s="427" t="s">
        <v>152</v>
      </c>
      <c r="AF440" s="427" t="str">
        <f>VLOOKUP(W440,KEY_Other!$B$37:$C$89,2,FALSE)</f>
        <v>EUR</v>
      </c>
      <c r="AG440" s="427"/>
      <c r="AH440" s="427" t="str">
        <f>AC440&amp;VLOOKUP(U440,KEY_FUELS!$C$4:$D$78,2,FALSE)</f>
        <v>RSDBIO</v>
      </c>
      <c r="AI440" s="427" t="str">
        <f>IFERROR(AC440&amp;VLOOKUP(V440,KEY_FUELS!$C$4:$D$78,2,FALSE),"")</f>
        <v/>
      </c>
      <c r="AJ440" s="427" t="str">
        <f t="shared" si="113"/>
        <v>RHHS</v>
      </c>
      <c r="AK440" s="427" t="str">
        <f t="shared" si="114"/>
        <v/>
      </c>
      <c r="AL440" s="427" t="str">
        <f t="shared" si="115"/>
        <v/>
      </c>
      <c r="AM440" s="380">
        <v>31.536000000000001</v>
      </c>
      <c r="AN440" s="470" t="str">
        <f t="shared" si="116"/>
        <v>2030</v>
      </c>
      <c r="AO440" s="470"/>
      <c r="AP440" s="429"/>
      <c r="AQ440" s="467"/>
      <c r="AR440" s="429"/>
      <c r="AS440" s="429"/>
      <c r="AT440" s="429"/>
      <c r="AU440" s="481"/>
      <c r="AV440" s="467"/>
      <c r="AW440" s="467"/>
      <c r="AX440" s="429"/>
      <c r="AY440" s="429"/>
      <c r="AZ440" s="467">
        <v>0.81</v>
      </c>
      <c r="BA440" s="429">
        <v>4.09</v>
      </c>
      <c r="BB440" s="429"/>
      <c r="BC440" s="427"/>
      <c r="BD440" s="429"/>
      <c r="BE440" s="429"/>
      <c r="BF440" s="427"/>
      <c r="BG440" s="427"/>
      <c r="BH440" s="427"/>
      <c r="BI440" s="427">
        <v>20</v>
      </c>
      <c r="BJ440" s="427"/>
      <c r="BK440" s="482">
        <v>191.42116620087867</v>
      </c>
      <c r="BL440" s="427"/>
      <c r="BM440" s="427"/>
      <c r="BN440" s="427"/>
      <c r="BO440" s="427"/>
      <c r="BP440" s="427"/>
      <c r="BQ440" s="427"/>
      <c r="BR440" s="429">
        <v>8.7009621000399395</v>
      </c>
      <c r="BS440" s="427"/>
      <c r="BT440" s="427"/>
      <c r="BU440" s="427"/>
      <c r="BV440" s="427"/>
      <c r="BW440" s="427"/>
      <c r="BX440" s="471"/>
    </row>
    <row r="441" spans="10:76" x14ac:dyDescent="0.3">
      <c r="J441" s="362" t="s">
        <v>238</v>
      </c>
      <c r="K441" s="363" t="s">
        <v>135</v>
      </c>
      <c r="L441" s="439"/>
      <c r="M441" s="363" t="s">
        <v>239</v>
      </c>
      <c r="N441" s="363" t="s">
        <v>240</v>
      </c>
      <c r="O441" s="363" t="s">
        <v>136</v>
      </c>
      <c r="P441" s="363">
        <v>2018</v>
      </c>
      <c r="Q441" s="366" t="s">
        <v>294</v>
      </c>
      <c r="R441" s="475" t="s">
        <v>370</v>
      </c>
      <c r="S441" s="476"/>
      <c r="T441" s="476"/>
      <c r="U441" s="366" t="s">
        <v>296</v>
      </c>
      <c r="V441" s="439"/>
      <c r="W441" s="363" t="s">
        <v>243</v>
      </c>
      <c r="X441" s="468">
        <v>2019</v>
      </c>
      <c r="Y441" s="439"/>
      <c r="Z441" s="439" t="str">
        <f>VLOOKUP(R441,KEY_Processes!$C$131:$E$163,3,FALSE)</f>
        <v>H_SS_BFW01</v>
      </c>
      <c r="AA441" s="439" t="str">
        <f>VLOOKUP(R441,KEY_Processes!$C$131:$E$163,2,FALSE)</f>
        <v>H_WoodStove_BFW_SMALL</v>
      </c>
      <c r="AB441" s="439" t="str">
        <f>VLOOKUP(U441,KEY_FUELS!$C$4:$D$77,2,FALSE)</f>
        <v>BIO</v>
      </c>
      <c r="AC441" s="439" t="s">
        <v>150</v>
      </c>
      <c r="AD441" s="439" t="s">
        <v>364</v>
      </c>
      <c r="AE441" s="439" t="s">
        <v>152</v>
      </c>
      <c r="AF441" s="439" t="str">
        <f>VLOOKUP(W441,KEY_Other!$B$37:$C$89,2,FALSE)</f>
        <v>EUR</v>
      </c>
      <c r="AG441" s="439"/>
      <c r="AH441" s="439" t="str">
        <f>AC441&amp;VLOOKUP(U441,KEY_FUELS!$C$4:$D$78,2,FALSE)</f>
        <v>RSDBIO</v>
      </c>
      <c r="AI441" s="439" t="str">
        <f>IFERROR(AC441&amp;VLOOKUP(V441,KEY_FUELS!$C$4:$D$78,2,FALSE),"")</f>
        <v/>
      </c>
      <c r="AJ441" s="439" t="str">
        <f t="shared" si="113"/>
        <v>RHHS</v>
      </c>
      <c r="AK441" s="439" t="str">
        <f t="shared" si="114"/>
        <v/>
      </c>
      <c r="AL441" s="439" t="str">
        <f t="shared" si="115"/>
        <v/>
      </c>
      <c r="AM441" s="364">
        <v>31.536000000000001</v>
      </c>
      <c r="AN441" s="468">
        <f t="shared" si="116"/>
        <v>2019</v>
      </c>
      <c r="AO441" s="468"/>
      <c r="AP441" s="441"/>
      <c r="AQ441" s="445"/>
      <c r="AR441" s="441"/>
      <c r="AS441" s="441"/>
      <c r="AT441" s="441"/>
      <c r="AU441" s="477"/>
      <c r="AV441" s="445"/>
      <c r="AW441" s="445"/>
      <c r="AX441" s="441"/>
      <c r="AY441" s="441"/>
      <c r="AZ441" s="445">
        <v>0.72</v>
      </c>
      <c r="BA441" s="441">
        <v>3.81</v>
      </c>
      <c r="BB441" s="441"/>
      <c r="BC441" s="439"/>
      <c r="BD441" s="441"/>
      <c r="BE441" s="441"/>
      <c r="BF441" s="439"/>
      <c r="BG441" s="439"/>
      <c r="BH441" s="439"/>
      <c r="BI441" s="439">
        <v>20</v>
      </c>
      <c r="BJ441" s="439"/>
      <c r="BK441" s="478">
        <v>139.21539360063903</v>
      </c>
      <c r="BL441" s="439"/>
      <c r="BM441" s="439"/>
      <c r="BN441" s="439"/>
      <c r="BO441" s="439"/>
      <c r="BP441" s="439"/>
      <c r="BQ441" s="439"/>
      <c r="BR441" s="441">
        <v>8.7009621000399395</v>
      </c>
      <c r="BS441" s="439"/>
      <c r="BT441" s="439"/>
      <c r="BU441" s="439"/>
      <c r="BV441" s="439"/>
      <c r="BW441" s="439"/>
      <c r="BX441" s="469"/>
    </row>
    <row r="442" spans="10:76" x14ac:dyDescent="0.3">
      <c r="J442" s="378" t="s">
        <v>238</v>
      </c>
      <c r="K442" s="379" t="s">
        <v>135</v>
      </c>
      <c r="L442" s="427"/>
      <c r="M442" s="379" t="s">
        <v>239</v>
      </c>
      <c r="N442" s="379" t="s">
        <v>240</v>
      </c>
      <c r="O442" s="379" t="s">
        <v>136</v>
      </c>
      <c r="P442" s="379">
        <v>2018</v>
      </c>
      <c r="Q442" s="382" t="s">
        <v>267</v>
      </c>
      <c r="R442" s="479" t="s">
        <v>371</v>
      </c>
      <c r="S442" s="480"/>
      <c r="T442" s="480"/>
      <c r="U442" s="382" t="s">
        <v>170</v>
      </c>
      <c r="V442" s="427"/>
      <c r="W442" s="379" t="s">
        <v>243</v>
      </c>
      <c r="X442" s="470" t="s">
        <v>363</v>
      </c>
      <c r="Y442" s="427"/>
      <c r="Z442" s="427" t="str">
        <f>VLOOKUP(R442,KEY_Processes!$C$131:$E$163,3,FALSE)</f>
        <v>H_HES_HTH01</v>
      </c>
      <c r="AA442" s="427" t="str">
        <f>VLOOKUP(R442,KEY_Processes!$C$131:$E$163,2,FALSE)</f>
        <v>H_DistrictHeating_HTH_SMALL</v>
      </c>
      <c r="AB442" s="427" t="str">
        <f>VLOOKUP(U442,KEY_FUELS!$C$4:$D$77,2,FALSE)</f>
        <v>HTH</v>
      </c>
      <c r="AC442" s="427" t="s">
        <v>150</v>
      </c>
      <c r="AD442" s="427" t="s">
        <v>364</v>
      </c>
      <c r="AE442" s="427" t="s">
        <v>152</v>
      </c>
      <c r="AF442" s="427" t="str">
        <f>VLOOKUP(W442,KEY_Other!$B$37:$C$89,2,FALSE)</f>
        <v>EUR</v>
      </c>
      <c r="AG442" s="427"/>
      <c r="AH442" s="427" t="str">
        <f>AC442&amp;VLOOKUP(U442,KEY_FUELS!$C$4:$D$78,2,FALSE)</f>
        <v>RSDHTH</v>
      </c>
      <c r="AI442" s="427" t="str">
        <f>IFERROR(AC442&amp;VLOOKUP(V442,KEY_FUELS!$C$4:$D$78,2,FALSE),"")</f>
        <v/>
      </c>
      <c r="AJ442" s="427" t="str">
        <f t="shared" si="113"/>
        <v>RHHS</v>
      </c>
      <c r="AK442" s="427" t="str">
        <f t="shared" si="114"/>
        <v/>
      </c>
      <c r="AL442" s="427" t="str">
        <f t="shared" si="115"/>
        <v/>
      </c>
      <c r="AM442" s="380">
        <v>31.536000000000001</v>
      </c>
      <c r="AN442" s="470" t="str">
        <f t="shared" si="116"/>
        <v>2030</v>
      </c>
      <c r="AO442" s="470"/>
      <c r="AP442" s="429"/>
      <c r="AQ442" s="467"/>
      <c r="AR442" s="429"/>
      <c r="AS442" s="429"/>
      <c r="AT442" s="429"/>
      <c r="AU442" s="481"/>
      <c r="AV442" s="467"/>
      <c r="AW442" s="467"/>
      <c r="AX442" s="429"/>
      <c r="AY442" s="429"/>
      <c r="AZ442" s="467">
        <v>0.98</v>
      </c>
      <c r="BA442" s="429">
        <v>3.81</v>
      </c>
      <c r="BB442" s="429"/>
      <c r="BC442" s="427"/>
      <c r="BD442" s="429"/>
      <c r="BE442" s="429"/>
      <c r="BF442" s="427"/>
      <c r="BG442" s="427"/>
      <c r="BH442" s="427"/>
      <c r="BI442" s="427">
        <v>20</v>
      </c>
      <c r="BJ442" s="427"/>
      <c r="BK442" s="482">
        <v>200</v>
      </c>
      <c r="BL442" s="427"/>
      <c r="BM442" s="427"/>
      <c r="BN442" s="427"/>
      <c r="BO442" s="427"/>
      <c r="BP442" s="427"/>
      <c r="BQ442" s="427"/>
      <c r="BR442" s="429">
        <v>15</v>
      </c>
      <c r="BS442" s="427"/>
      <c r="BT442" s="427"/>
      <c r="BU442" s="427"/>
      <c r="BV442" s="427"/>
      <c r="BW442" s="427"/>
      <c r="BX442" s="471"/>
    </row>
    <row r="443" spans="10:76" x14ac:dyDescent="0.3">
      <c r="J443" s="362" t="s">
        <v>238</v>
      </c>
      <c r="K443" s="363" t="s">
        <v>135</v>
      </c>
      <c r="L443" s="439"/>
      <c r="M443" s="363" t="s">
        <v>239</v>
      </c>
      <c r="N443" s="363" t="s">
        <v>240</v>
      </c>
      <c r="O443" s="363" t="s">
        <v>136</v>
      </c>
      <c r="P443" s="363">
        <v>2018</v>
      </c>
      <c r="Q443" s="366" t="s">
        <v>267</v>
      </c>
      <c r="R443" s="475" t="s">
        <v>371</v>
      </c>
      <c r="S443" s="476"/>
      <c r="T443" s="476"/>
      <c r="U443" s="366" t="s">
        <v>170</v>
      </c>
      <c r="V443" s="439"/>
      <c r="W443" s="363" t="s">
        <v>243</v>
      </c>
      <c r="X443" s="468">
        <v>2019</v>
      </c>
      <c r="Y443" s="439"/>
      <c r="Z443" s="439" t="str">
        <f>VLOOKUP(R443,KEY_Processes!$C$131:$E$163,3,FALSE)</f>
        <v>H_HES_HTH01</v>
      </c>
      <c r="AA443" s="439" t="str">
        <f>VLOOKUP(R443,KEY_Processes!$C$131:$E$163,2,FALSE)</f>
        <v>H_DistrictHeating_HTH_SMALL</v>
      </c>
      <c r="AB443" s="439" t="str">
        <f>VLOOKUP(U443,KEY_FUELS!$C$4:$D$77,2,FALSE)</f>
        <v>HTH</v>
      </c>
      <c r="AC443" s="439" t="s">
        <v>150</v>
      </c>
      <c r="AD443" s="439" t="s">
        <v>364</v>
      </c>
      <c r="AE443" s="439" t="s">
        <v>152</v>
      </c>
      <c r="AF443" s="439" t="str">
        <f>VLOOKUP(W443,KEY_Other!$B$37:$C$89,2,FALSE)</f>
        <v>EUR</v>
      </c>
      <c r="AG443" s="439"/>
      <c r="AH443" s="439" t="str">
        <f>AC443&amp;VLOOKUP(U443,KEY_FUELS!$C$4:$D$78,2,FALSE)</f>
        <v>RSDHTH</v>
      </c>
      <c r="AI443" s="439" t="str">
        <f>IFERROR(AC443&amp;VLOOKUP(V443,KEY_FUELS!$C$4:$D$78,2,FALSE),"")</f>
        <v/>
      </c>
      <c r="AJ443" s="439" t="str">
        <f t="shared" si="113"/>
        <v>RHHS</v>
      </c>
      <c r="AK443" s="439" t="str">
        <f t="shared" si="114"/>
        <v/>
      </c>
      <c r="AL443" s="439" t="str">
        <f t="shared" si="115"/>
        <v/>
      </c>
      <c r="AM443" s="364">
        <v>31.536000000000001</v>
      </c>
      <c r="AN443" s="468">
        <f t="shared" si="116"/>
        <v>2019</v>
      </c>
      <c r="AO443" s="468"/>
      <c r="AP443" s="441"/>
      <c r="AQ443" s="445"/>
      <c r="AR443" s="441"/>
      <c r="AS443" s="441"/>
      <c r="AT443" s="441"/>
      <c r="AU443" s="477"/>
      <c r="AV443" s="445"/>
      <c r="AW443" s="445"/>
      <c r="AX443" s="441"/>
      <c r="AY443" s="441"/>
      <c r="AZ443" s="445">
        <v>0.95</v>
      </c>
      <c r="BA443" s="441">
        <v>3.81</v>
      </c>
      <c r="BB443" s="441"/>
      <c r="BC443" s="439"/>
      <c r="BD443" s="441"/>
      <c r="BE443" s="441"/>
      <c r="BF443" s="439"/>
      <c r="BG443" s="439"/>
      <c r="BH443" s="439"/>
      <c r="BI443" s="439">
        <v>20</v>
      </c>
      <c r="BJ443" s="439"/>
      <c r="BK443" s="478">
        <v>187</v>
      </c>
      <c r="BL443" s="439"/>
      <c r="BM443" s="439"/>
      <c r="BN443" s="439"/>
      <c r="BO443" s="439"/>
      <c r="BP443" s="439"/>
      <c r="BQ443" s="439"/>
      <c r="BR443" s="441">
        <v>15</v>
      </c>
      <c r="BS443" s="439"/>
      <c r="BT443" s="439"/>
      <c r="BU443" s="439"/>
      <c r="BV443" s="439"/>
      <c r="BW443" s="439"/>
      <c r="BX443" s="469"/>
    </row>
    <row r="444" spans="10:76" x14ac:dyDescent="0.3">
      <c r="J444" s="378" t="s">
        <v>238</v>
      </c>
      <c r="K444" s="379" t="s">
        <v>135</v>
      </c>
      <c r="L444" s="427"/>
      <c r="M444" s="379" t="s">
        <v>239</v>
      </c>
      <c r="N444" s="379" t="s">
        <v>240</v>
      </c>
      <c r="O444" s="379" t="s">
        <v>136</v>
      </c>
      <c r="P444" s="379">
        <v>2018</v>
      </c>
      <c r="Q444" s="382" t="s">
        <v>294</v>
      </c>
      <c r="R444" s="479" t="s">
        <v>372</v>
      </c>
      <c r="S444" s="480"/>
      <c r="T444" s="480"/>
      <c r="U444" s="382" t="s">
        <v>296</v>
      </c>
      <c r="V444" s="427"/>
      <c r="W444" s="379" t="s">
        <v>243</v>
      </c>
      <c r="X444" s="470" t="s">
        <v>363</v>
      </c>
      <c r="Y444" s="427"/>
      <c r="Z444" s="427" t="str">
        <f>VLOOKUP(R444,KEY_Processes!$C$131:$E$163,3,FALSE)</f>
        <v>HW_SS_BFW01</v>
      </c>
      <c r="AA444" s="427" t="str">
        <f>VLOOKUP(R444,KEY_Processes!$C$131:$E$163,2,FALSE)</f>
        <v>HW_WoodStove_BFW_SMALL</v>
      </c>
      <c r="AB444" s="427" t="str">
        <f>VLOOKUP(U444,KEY_FUELS!$C$4:$D$77,2,FALSE)</f>
        <v>BIO</v>
      </c>
      <c r="AC444" s="427" t="s">
        <v>150</v>
      </c>
      <c r="AD444" s="427" t="s">
        <v>364</v>
      </c>
      <c r="AE444" s="427" t="s">
        <v>152</v>
      </c>
      <c r="AF444" s="427" t="str">
        <f>VLOOKUP(W444,KEY_Other!$B$37:$C$89,2,FALSE)</f>
        <v>EUR</v>
      </c>
      <c r="AG444" s="427"/>
      <c r="AH444" s="427" t="str">
        <f>AC444&amp;VLOOKUP(U444,KEY_FUELS!$C$4:$D$78,2,FALSE)</f>
        <v>RSDBIO</v>
      </c>
      <c r="AI444" s="427" t="str">
        <f>IFERROR(AC444&amp;VLOOKUP(V444,KEY_FUELS!$C$4:$D$78,2,FALSE),"")</f>
        <v/>
      </c>
      <c r="AJ444" s="427" t="str">
        <f t="shared" si="113"/>
        <v>RHHS</v>
      </c>
      <c r="AK444" s="427" t="str">
        <f t="shared" si="114"/>
        <v>RWHS</v>
      </c>
      <c r="AL444" s="427" t="str">
        <f t="shared" si="115"/>
        <v/>
      </c>
      <c r="AM444" s="380">
        <v>31.536000000000001</v>
      </c>
      <c r="AN444" s="470" t="str">
        <f t="shared" si="116"/>
        <v>2030</v>
      </c>
      <c r="AO444" s="428">
        <v>1</v>
      </c>
      <c r="AP444" s="429"/>
      <c r="AQ444" s="467"/>
      <c r="AR444" s="429"/>
      <c r="AS444" s="429"/>
      <c r="AT444" s="429"/>
      <c r="AU444" s="481"/>
      <c r="AV444" s="467"/>
      <c r="AW444" s="467"/>
      <c r="AX444" s="429"/>
      <c r="AY444" s="429"/>
      <c r="AZ444" s="467">
        <v>0.74</v>
      </c>
      <c r="BA444" s="429">
        <v>3.81</v>
      </c>
      <c r="BB444" s="429"/>
      <c r="BC444" s="427"/>
      <c r="BD444" s="429"/>
      <c r="BE444" s="429"/>
      <c r="BF444" s="427"/>
      <c r="BG444" s="427"/>
      <c r="BH444" s="427"/>
      <c r="BI444" s="427">
        <v>20</v>
      </c>
      <c r="BJ444" s="427"/>
      <c r="BK444" s="482">
        <v>237.82629740109169</v>
      </c>
      <c r="BL444" s="427"/>
      <c r="BM444" s="427"/>
      <c r="BN444" s="427"/>
      <c r="BO444" s="427"/>
      <c r="BP444" s="427"/>
      <c r="BQ444" s="427"/>
      <c r="BR444" s="429">
        <v>8.7009621000399395</v>
      </c>
      <c r="BS444" s="427"/>
      <c r="BT444" s="427"/>
      <c r="BU444" s="427"/>
      <c r="BV444" s="427"/>
      <c r="BW444" s="427"/>
      <c r="BX444" s="471"/>
    </row>
    <row r="445" spans="10:76" x14ac:dyDescent="0.3">
      <c r="J445" s="362" t="s">
        <v>238</v>
      </c>
      <c r="K445" s="363" t="s">
        <v>135</v>
      </c>
      <c r="L445" s="439"/>
      <c r="M445" s="363" t="s">
        <v>239</v>
      </c>
      <c r="N445" s="363" t="s">
        <v>240</v>
      </c>
      <c r="O445" s="363" t="s">
        <v>136</v>
      </c>
      <c r="P445" s="363">
        <v>2018</v>
      </c>
      <c r="Q445" s="366" t="s">
        <v>294</v>
      </c>
      <c r="R445" s="475" t="s">
        <v>372</v>
      </c>
      <c r="S445" s="476"/>
      <c r="T445" s="476"/>
      <c r="U445" s="366" t="s">
        <v>296</v>
      </c>
      <c r="V445" s="439"/>
      <c r="W445" s="363" t="s">
        <v>243</v>
      </c>
      <c r="X445" s="468">
        <v>2019</v>
      </c>
      <c r="Y445" s="439"/>
      <c r="Z445" s="439" t="str">
        <f>VLOOKUP(R445,KEY_Processes!$C$131:$E$163,3,FALSE)</f>
        <v>HW_SS_BFW01</v>
      </c>
      <c r="AA445" s="439" t="str">
        <f>VLOOKUP(R445,KEY_Processes!$C$131:$E$163,2,FALSE)</f>
        <v>HW_WoodStove_BFW_SMALL</v>
      </c>
      <c r="AB445" s="439" t="str">
        <f>VLOOKUP(U445,KEY_FUELS!$C$4:$D$77,2,FALSE)</f>
        <v>BIO</v>
      </c>
      <c r="AC445" s="439" t="s">
        <v>150</v>
      </c>
      <c r="AD445" s="439" t="s">
        <v>364</v>
      </c>
      <c r="AE445" s="439" t="s">
        <v>152</v>
      </c>
      <c r="AF445" s="439" t="str">
        <f>VLOOKUP(W445,KEY_Other!$B$37:$C$89,2,FALSE)</f>
        <v>EUR</v>
      </c>
      <c r="AG445" s="439"/>
      <c r="AH445" s="439" t="str">
        <f>AC445&amp;VLOOKUP(U445,KEY_FUELS!$C$4:$D$78,2,FALSE)</f>
        <v>RSDBIO</v>
      </c>
      <c r="AI445" s="439" t="str">
        <f>IFERROR(AC445&amp;VLOOKUP(V445,KEY_FUELS!$C$4:$D$78,2,FALSE),"")</f>
        <v/>
      </c>
      <c r="AJ445" s="439" t="str">
        <f t="shared" si="113"/>
        <v>RHHS</v>
      </c>
      <c r="AK445" s="439" t="str">
        <f t="shared" si="114"/>
        <v>RWHS</v>
      </c>
      <c r="AL445" s="439" t="str">
        <f t="shared" si="115"/>
        <v/>
      </c>
      <c r="AM445" s="364">
        <v>31.536000000000001</v>
      </c>
      <c r="AN445" s="468">
        <f t="shared" si="116"/>
        <v>2019</v>
      </c>
      <c r="AO445" s="439">
        <v>1</v>
      </c>
      <c r="AP445" s="441"/>
      <c r="AQ445" s="445"/>
      <c r="AR445" s="441"/>
      <c r="AS445" s="441"/>
      <c r="AT445" s="441" t="s">
        <v>155</v>
      </c>
      <c r="AU445" s="477">
        <v>0.5</v>
      </c>
      <c r="AV445" s="445"/>
      <c r="AW445" s="445"/>
      <c r="AX445" s="441"/>
      <c r="AY445" s="441"/>
      <c r="AZ445" s="445">
        <v>0.63</v>
      </c>
      <c r="BA445" s="441">
        <v>3.74</v>
      </c>
      <c r="BB445" s="441"/>
      <c r="BC445" s="439"/>
      <c r="BD445" s="441"/>
      <c r="BE445" s="441"/>
      <c r="BF445" s="439"/>
      <c r="BG445" s="439"/>
      <c r="BH445" s="439"/>
      <c r="BI445" s="439">
        <v>20</v>
      </c>
      <c r="BJ445" s="439"/>
      <c r="BK445" s="478">
        <v>185.62052480085205</v>
      </c>
      <c r="BL445" s="439"/>
      <c r="BM445" s="439"/>
      <c r="BN445" s="439"/>
      <c r="BO445" s="439"/>
      <c r="BP445" s="439"/>
      <c r="BQ445" s="439"/>
      <c r="BR445" s="441">
        <v>8.7009621000399395</v>
      </c>
      <c r="BS445" s="439"/>
      <c r="BT445" s="439"/>
      <c r="BU445" s="439"/>
      <c r="BV445" s="439"/>
      <c r="BW445" s="439"/>
      <c r="BX445" s="469"/>
    </row>
    <row r="446" spans="10:76" x14ac:dyDescent="0.3">
      <c r="J446" s="378" t="s">
        <v>238</v>
      </c>
      <c r="K446" s="379" t="s">
        <v>135</v>
      </c>
      <c r="L446" s="427"/>
      <c r="M446" s="379" t="s">
        <v>239</v>
      </c>
      <c r="N446" s="379" t="s">
        <v>240</v>
      </c>
      <c r="O446" s="379" t="s">
        <v>136</v>
      </c>
      <c r="P446" s="379">
        <v>2018</v>
      </c>
      <c r="Q446" s="382" t="s">
        <v>294</v>
      </c>
      <c r="R446" s="479" t="s">
        <v>372</v>
      </c>
      <c r="S446" s="480"/>
      <c r="T446" s="480"/>
      <c r="U446" s="382" t="s">
        <v>296</v>
      </c>
      <c r="V446" s="427"/>
      <c r="W446" s="379" t="s">
        <v>243</v>
      </c>
      <c r="X446" s="470">
        <v>2019</v>
      </c>
      <c r="Y446" s="427"/>
      <c r="Z446" s="427" t="str">
        <f>VLOOKUP(R446,KEY_Processes!$C$131:$E$163,3,FALSE)</f>
        <v>HW_SS_BFW01</v>
      </c>
      <c r="AA446" s="427" t="str">
        <f>VLOOKUP(R446,KEY_Processes!$C$131:$E$163,2,FALSE)</f>
        <v>HW_WoodStove_BFW_SMALL</v>
      </c>
      <c r="AB446" s="427" t="str">
        <f>VLOOKUP(U446,KEY_FUELS!$C$4:$D$77,2,FALSE)</f>
        <v>BIO</v>
      </c>
      <c r="AC446" s="427" t="s">
        <v>150</v>
      </c>
      <c r="AD446" s="427" t="s">
        <v>364</v>
      </c>
      <c r="AE446" s="427" t="s">
        <v>152</v>
      </c>
      <c r="AF446" s="427" t="str">
        <f>VLOOKUP(W446,KEY_Other!$B$37:$C$89,2,FALSE)</f>
        <v>EUR</v>
      </c>
      <c r="AG446" s="427"/>
      <c r="AH446" s="427" t="str">
        <f>AC446&amp;VLOOKUP(U446,KEY_FUELS!$C$4:$D$78,2,FALSE)</f>
        <v>RSDBIO</v>
      </c>
      <c r="AI446" s="427" t="str">
        <f>IFERROR(AC446&amp;VLOOKUP(V446,KEY_FUELS!$C$4:$D$78,2,FALSE),"")</f>
        <v/>
      </c>
      <c r="AJ446" s="427" t="str">
        <f t="shared" si="113"/>
        <v>RHHS</v>
      </c>
      <c r="AK446" s="427" t="str">
        <f t="shared" si="114"/>
        <v>RWHS</v>
      </c>
      <c r="AL446" s="427" t="str">
        <f t="shared" si="115"/>
        <v/>
      </c>
      <c r="AM446" s="380">
        <v>31.536000000000001</v>
      </c>
      <c r="AN446" s="470">
        <f t="shared" si="116"/>
        <v>2019</v>
      </c>
      <c r="AO446" s="427">
        <v>1</v>
      </c>
      <c r="AP446" s="429"/>
      <c r="AQ446" s="467"/>
      <c r="AR446" s="429"/>
      <c r="AS446" s="429"/>
      <c r="AT446" s="429" t="s">
        <v>151</v>
      </c>
      <c r="AU446" s="481">
        <v>0.62</v>
      </c>
      <c r="AV446" s="467"/>
      <c r="AW446" s="467"/>
      <c r="AX446" s="429"/>
      <c r="AY446" s="429"/>
      <c r="AZ446" s="467">
        <v>0.63</v>
      </c>
      <c r="BA446" s="429">
        <v>2.81</v>
      </c>
      <c r="BB446" s="429"/>
      <c r="BC446" s="427"/>
      <c r="BD446" s="429"/>
      <c r="BE446" s="429"/>
      <c r="BF446" s="427"/>
      <c r="BG446" s="427"/>
      <c r="BH446" s="427"/>
      <c r="BI446" s="427">
        <v>20</v>
      </c>
      <c r="BJ446" s="427"/>
      <c r="BK446" s="482">
        <v>185.62052480085205</v>
      </c>
      <c r="BL446" s="427"/>
      <c r="BM446" s="427"/>
      <c r="BN446" s="427"/>
      <c r="BO446" s="427"/>
      <c r="BP446" s="427"/>
      <c r="BQ446" s="427"/>
      <c r="BR446" s="429">
        <v>8.7009621000399395</v>
      </c>
      <c r="BS446" s="427"/>
      <c r="BT446" s="427"/>
      <c r="BU446" s="427"/>
      <c r="BV446" s="427"/>
      <c r="BW446" s="427"/>
      <c r="BX446" s="471"/>
    </row>
    <row r="447" spans="10:76" x14ac:dyDescent="0.3">
      <c r="J447" s="362" t="s">
        <v>238</v>
      </c>
      <c r="K447" s="363" t="s">
        <v>135</v>
      </c>
      <c r="L447" s="439"/>
      <c r="M447" s="363" t="s">
        <v>239</v>
      </c>
      <c r="N447" s="363" t="s">
        <v>240</v>
      </c>
      <c r="O447" s="363" t="s">
        <v>136</v>
      </c>
      <c r="P447" s="363">
        <v>2018</v>
      </c>
      <c r="Q447" s="366" t="s">
        <v>294</v>
      </c>
      <c r="R447" s="475" t="s">
        <v>372</v>
      </c>
      <c r="S447" s="476"/>
      <c r="T447" s="476"/>
      <c r="U447" s="366" t="s">
        <v>296</v>
      </c>
      <c r="V447" s="439"/>
      <c r="W447" s="363" t="s">
        <v>243</v>
      </c>
      <c r="X447" s="468">
        <v>2019</v>
      </c>
      <c r="Y447" s="439"/>
      <c r="Z447" s="439" t="str">
        <f>VLOOKUP(R447,KEY_Processes!$C$131:$E$163,3,FALSE)</f>
        <v>HW_SS_BFW01</v>
      </c>
      <c r="AA447" s="439" t="str">
        <f>VLOOKUP(R447,KEY_Processes!$C$131:$E$163,2,FALSE)</f>
        <v>HW_WoodStove_BFW_SMALL</v>
      </c>
      <c r="AB447" s="439" t="str">
        <f>VLOOKUP(U447,KEY_FUELS!$C$4:$D$77,2,FALSE)</f>
        <v>BIO</v>
      </c>
      <c r="AC447" s="439" t="s">
        <v>150</v>
      </c>
      <c r="AD447" s="439" t="s">
        <v>364</v>
      </c>
      <c r="AE447" s="439" t="s">
        <v>152</v>
      </c>
      <c r="AF447" s="439" t="str">
        <f>VLOOKUP(W447,KEY_Other!$B$37:$C$89,2,FALSE)</f>
        <v>EUR</v>
      </c>
      <c r="AG447" s="439"/>
      <c r="AH447" s="439" t="str">
        <f>AC447&amp;VLOOKUP(U447,KEY_FUELS!$C$4:$D$78,2,FALSE)</f>
        <v>RSDBIO</v>
      </c>
      <c r="AI447" s="439" t="str">
        <f>IFERROR(AC447&amp;VLOOKUP(V447,KEY_FUELS!$C$4:$D$78,2,FALSE),"")</f>
        <v/>
      </c>
      <c r="AJ447" s="439" t="str">
        <f t="shared" si="113"/>
        <v>RHHS</v>
      </c>
      <c r="AK447" s="439" t="str">
        <f t="shared" si="114"/>
        <v>RWHS</v>
      </c>
      <c r="AL447" s="439" t="str">
        <f t="shared" si="115"/>
        <v/>
      </c>
      <c r="AM447" s="364">
        <v>31.536000000000001</v>
      </c>
      <c r="AN447" s="468">
        <f t="shared" si="116"/>
        <v>2019</v>
      </c>
      <c r="AO447" s="439">
        <v>1</v>
      </c>
      <c r="AP447" s="441"/>
      <c r="AQ447" s="445"/>
      <c r="AR447" s="441"/>
      <c r="AS447" s="441"/>
      <c r="AT447" s="441" t="s">
        <v>220</v>
      </c>
      <c r="AU447" s="477">
        <v>0.77</v>
      </c>
      <c r="AV447" s="445"/>
      <c r="AW447" s="445"/>
      <c r="AX447" s="441"/>
      <c r="AY447" s="441"/>
      <c r="AZ447" s="445">
        <v>0.63</v>
      </c>
      <c r="BA447" s="441">
        <v>2.81</v>
      </c>
      <c r="BB447" s="441"/>
      <c r="BC447" s="439"/>
      <c r="BD447" s="441"/>
      <c r="BE447" s="441"/>
      <c r="BF447" s="439"/>
      <c r="BG447" s="439"/>
      <c r="BH447" s="439"/>
      <c r="BI447" s="439">
        <v>20</v>
      </c>
      <c r="BJ447" s="439"/>
      <c r="BK447" s="478">
        <v>185.62052480085205</v>
      </c>
      <c r="BL447" s="439"/>
      <c r="BM447" s="439"/>
      <c r="BN447" s="439"/>
      <c r="BO447" s="439"/>
      <c r="BP447" s="439"/>
      <c r="BQ447" s="439"/>
      <c r="BR447" s="441">
        <v>8.7009621000399395</v>
      </c>
      <c r="BS447" s="439"/>
      <c r="BT447" s="439"/>
      <c r="BU447" s="439"/>
      <c r="BV447" s="439"/>
      <c r="BW447" s="439"/>
      <c r="BX447" s="469"/>
    </row>
    <row r="448" spans="10:76" x14ac:dyDescent="0.3">
      <c r="J448" s="378" t="s">
        <v>238</v>
      </c>
      <c r="K448" s="379" t="s">
        <v>135</v>
      </c>
      <c r="L448" s="427"/>
      <c r="M448" s="379" t="s">
        <v>239</v>
      </c>
      <c r="N448" s="379" t="s">
        <v>240</v>
      </c>
      <c r="O448" s="379" t="s">
        <v>136</v>
      </c>
      <c r="P448" s="379">
        <v>2018</v>
      </c>
      <c r="Q448" s="382" t="s">
        <v>294</v>
      </c>
      <c r="R448" s="479" t="s">
        <v>372</v>
      </c>
      <c r="S448" s="480"/>
      <c r="T448" s="480"/>
      <c r="U448" s="382" t="s">
        <v>296</v>
      </c>
      <c r="V448" s="427"/>
      <c r="W448" s="379" t="s">
        <v>243</v>
      </c>
      <c r="X448" s="470">
        <v>2019</v>
      </c>
      <c r="Y448" s="427"/>
      <c r="Z448" s="427" t="str">
        <f>VLOOKUP(R448,KEY_Processes!$C$131:$E$163,3,FALSE)</f>
        <v>HW_SS_BFW01</v>
      </c>
      <c r="AA448" s="427" t="str">
        <f>VLOOKUP(R448,KEY_Processes!$C$131:$E$163,2,FALSE)</f>
        <v>HW_WoodStove_BFW_SMALL</v>
      </c>
      <c r="AB448" s="427" t="str">
        <f>VLOOKUP(U448,KEY_FUELS!$C$4:$D$77,2,FALSE)</f>
        <v>BIO</v>
      </c>
      <c r="AC448" s="427" t="s">
        <v>150</v>
      </c>
      <c r="AD448" s="427" t="s">
        <v>364</v>
      </c>
      <c r="AE448" s="427" t="s">
        <v>152</v>
      </c>
      <c r="AF448" s="427" t="str">
        <f>VLOOKUP(W448,KEY_Other!$B$37:$C$89,2,FALSE)</f>
        <v>EUR</v>
      </c>
      <c r="AG448" s="427"/>
      <c r="AH448" s="427" t="str">
        <f>AC448&amp;VLOOKUP(U448,KEY_FUELS!$C$4:$D$78,2,FALSE)</f>
        <v>RSDBIO</v>
      </c>
      <c r="AI448" s="427" t="str">
        <f>IFERROR(AC448&amp;VLOOKUP(V448,KEY_FUELS!$C$4:$D$78,2,FALSE),"")</f>
        <v/>
      </c>
      <c r="AJ448" s="427" t="str">
        <f t="shared" si="113"/>
        <v>RHHS</v>
      </c>
      <c r="AK448" s="427" t="str">
        <f t="shared" si="114"/>
        <v>RWHS</v>
      </c>
      <c r="AL448" s="427" t="str">
        <f t="shared" si="115"/>
        <v/>
      </c>
      <c r="AM448" s="380">
        <v>31.536000000000001</v>
      </c>
      <c r="AN448" s="470">
        <f t="shared" si="116"/>
        <v>2019</v>
      </c>
      <c r="AO448" s="427">
        <v>1</v>
      </c>
      <c r="AP448" s="429"/>
      <c r="AQ448" s="467"/>
      <c r="AR448" s="429"/>
      <c r="AS448" s="429"/>
      <c r="AT448" s="429" t="s">
        <v>373</v>
      </c>
      <c r="AU448" s="481">
        <v>0.81</v>
      </c>
      <c r="AV448" s="467"/>
      <c r="AW448" s="467"/>
      <c r="AX448" s="429"/>
      <c r="AY448" s="429"/>
      <c r="AZ448" s="467">
        <v>0.63</v>
      </c>
      <c r="BA448" s="429">
        <v>2.81</v>
      </c>
      <c r="BB448" s="429"/>
      <c r="BC448" s="427"/>
      <c r="BD448" s="429"/>
      <c r="BE448" s="429"/>
      <c r="BF448" s="427"/>
      <c r="BG448" s="427"/>
      <c r="BH448" s="427"/>
      <c r="BI448" s="427">
        <v>20</v>
      </c>
      <c r="BJ448" s="427"/>
      <c r="BK448" s="482">
        <v>185.62052480085205</v>
      </c>
      <c r="BL448" s="427"/>
      <c r="BM448" s="427"/>
      <c r="BN448" s="427"/>
      <c r="BO448" s="427"/>
      <c r="BP448" s="427"/>
      <c r="BQ448" s="427"/>
      <c r="BR448" s="429">
        <v>8.7009621000399395</v>
      </c>
      <c r="BS448" s="427"/>
      <c r="BT448" s="427"/>
      <c r="BU448" s="427"/>
      <c r="BV448" s="427"/>
      <c r="BW448" s="427"/>
      <c r="BX448" s="471"/>
    </row>
    <row r="449" spans="10:76" x14ac:dyDescent="0.3">
      <c r="J449" s="362" t="s">
        <v>238</v>
      </c>
      <c r="K449" s="363" t="s">
        <v>135</v>
      </c>
      <c r="L449" s="439"/>
      <c r="M449" s="363" t="s">
        <v>239</v>
      </c>
      <c r="N449" s="363" t="s">
        <v>240</v>
      </c>
      <c r="O449" s="363" t="s">
        <v>136</v>
      </c>
      <c r="P449" s="363">
        <v>2018</v>
      </c>
      <c r="Q449" s="366" t="s">
        <v>281</v>
      </c>
      <c r="R449" s="475" t="s">
        <v>374</v>
      </c>
      <c r="S449" s="476"/>
      <c r="T449" s="476"/>
      <c r="U449" s="366" t="s">
        <v>283</v>
      </c>
      <c r="V449" s="439"/>
      <c r="W449" s="363" t="s">
        <v>243</v>
      </c>
      <c r="X449" s="468" t="s">
        <v>363</v>
      </c>
      <c r="Y449" s="439"/>
      <c r="Z449" s="439" t="str">
        <f>VLOOKUP(R449,KEY_Processes!$C$131:$E$163,3,FALSE)</f>
        <v>HW_BS_BPL01</v>
      </c>
      <c r="AA449" s="439" t="str">
        <f>VLOOKUP(R449,KEY_Processes!$C$131:$E$163,2,FALSE)</f>
        <v>HW_PelletBoiler_BPL_SMALL</v>
      </c>
      <c r="AB449" s="439" t="str">
        <f>VLOOKUP(U449,KEY_FUELS!$C$4:$D$77,2,FALSE)</f>
        <v>BIO</v>
      </c>
      <c r="AC449" s="439" t="s">
        <v>150</v>
      </c>
      <c r="AD449" s="439" t="s">
        <v>364</v>
      </c>
      <c r="AE449" s="439" t="s">
        <v>152</v>
      </c>
      <c r="AF449" s="439" t="str">
        <f>VLOOKUP(W449,KEY_Other!$B$37:$C$89,2,FALSE)</f>
        <v>EUR</v>
      </c>
      <c r="AG449" s="439"/>
      <c r="AH449" s="439" t="str">
        <f>AC449&amp;VLOOKUP(U449,KEY_FUELS!$C$4:$D$78,2,FALSE)</f>
        <v>RSDBIO</v>
      </c>
      <c r="AI449" s="439" t="str">
        <f>IFERROR(AC449&amp;VLOOKUP(V449,KEY_FUELS!$C$4:$D$78,2,FALSE),"")</f>
        <v/>
      </c>
      <c r="AJ449" s="439" t="str">
        <f t="shared" si="113"/>
        <v>RHHS</v>
      </c>
      <c r="AK449" s="439" t="str">
        <f t="shared" si="114"/>
        <v>RWHS</v>
      </c>
      <c r="AL449" s="439" t="str">
        <f t="shared" si="115"/>
        <v/>
      </c>
      <c r="AM449" s="364">
        <v>31.536000000000001</v>
      </c>
      <c r="AN449" s="468" t="str">
        <f t="shared" si="116"/>
        <v>2030</v>
      </c>
      <c r="AO449" s="439">
        <v>1</v>
      </c>
      <c r="AP449" s="441"/>
      <c r="AQ449" s="445"/>
      <c r="AR449" s="441"/>
      <c r="AS449" s="441"/>
      <c r="AT449" s="441"/>
      <c r="AU449" s="477"/>
      <c r="AV449" s="445"/>
      <c r="AW449" s="445"/>
      <c r="AX449" s="441"/>
      <c r="AY449" s="441"/>
      <c r="AZ449" s="445">
        <v>0.78</v>
      </c>
      <c r="BA449" s="441">
        <v>2.81</v>
      </c>
      <c r="BB449" s="441"/>
      <c r="BC449" s="439"/>
      <c r="BD449" s="441"/>
      <c r="BE449" s="441"/>
      <c r="BF449" s="439"/>
      <c r="BG449" s="439"/>
      <c r="BH449" s="439"/>
      <c r="BI449" s="439">
        <v>20</v>
      </c>
      <c r="BJ449" s="439"/>
      <c r="BK449" s="478">
        <v>284.23142860130469</v>
      </c>
      <c r="BL449" s="439"/>
      <c r="BM449" s="439"/>
      <c r="BN449" s="439"/>
      <c r="BO449" s="439"/>
      <c r="BP449" s="439"/>
      <c r="BQ449" s="439"/>
      <c r="BR449" s="441">
        <v>8.7009621000399395</v>
      </c>
      <c r="BS449" s="439"/>
      <c r="BT449" s="439"/>
      <c r="BU449" s="439"/>
      <c r="BV449" s="439"/>
      <c r="BW449" s="439"/>
      <c r="BX449" s="469"/>
    </row>
    <row r="450" spans="10:76" x14ac:dyDescent="0.3">
      <c r="J450" s="378" t="s">
        <v>238</v>
      </c>
      <c r="K450" s="379" t="s">
        <v>135</v>
      </c>
      <c r="L450" s="427"/>
      <c r="M450" s="379" t="s">
        <v>239</v>
      </c>
      <c r="N450" s="379" t="s">
        <v>240</v>
      </c>
      <c r="O450" s="379" t="s">
        <v>136</v>
      </c>
      <c r="P450" s="379">
        <v>2018</v>
      </c>
      <c r="Q450" s="382" t="s">
        <v>281</v>
      </c>
      <c r="R450" s="479" t="s">
        <v>374</v>
      </c>
      <c r="S450" s="480"/>
      <c r="T450" s="480"/>
      <c r="U450" s="382" t="s">
        <v>283</v>
      </c>
      <c r="V450" s="427"/>
      <c r="W450" s="379" t="s">
        <v>243</v>
      </c>
      <c r="X450" s="470">
        <v>2019</v>
      </c>
      <c r="Y450" s="427"/>
      <c r="Z450" s="427" t="str">
        <f>VLOOKUP(R450,KEY_Processes!$C$131:$E$163,3,FALSE)</f>
        <v>HW_BS_BPL01</v>
      </c>
      <c r="AA450" s="427" t="str">
        <f>VLOOKUP(R450,KEY_Processes!$C$131:$E$163,2,FALSE)</f>
        <v>HW_PelletBoiler_BPL_SMALL</v>
      </c>
      <c r="AB450" s="427" t="str">
        <f>VLOOKUP(U450,KEY_FUELS!$C$4:$D$77,2,FALSE)</f>
        <v>BIO</v>
      </c>
      <c r="AC450" s="427" t="s">
        <v>150</v>
      </c>
      <c r="AD450" s="427" t="s">
        <v>364</v>
      </c>
      <c r="AE450" s="427" t="s">
        <v>152</v>
      </c>
      <c r="AF450" s="427" t="str">
        <f>VLOOKUP(W450,KEY_Other!$B$37:$C$89,2,FALSE)</f>
        <v>EUR</v>
      </c>
      <c r="AG450" s="427"/>
      <c r="AH450" s="427" t="str">
        <f>AC450&amp;VLOOKUP(U450,KEY_FUELS!$C$4:$D$78,2,FALSE)</f>
        <v>RSDBIO</v>
      </c>
      <c r="AI450" s="427" t="str">
        <f>IFERROR(AC450&amp;VLOOKUP(V450,KEY_FUELS!$C$4:$D$78,2,FALSE),"")</f>
        <v/>
      </c>
      <c r="AJ450" s="427" t="str">
        <f t="shared" si="113"/>
        <v>RHHS</v>
      </c>
      <c r="AK450" s="427" t="str">
        <f t="shared" si="114"/>
        <v>RWHS</v>
      </c>
      <c r="AL450" s="427" t="str">
        <f t="shared" si="115"/>
        <v/>
      </c>
      <c r="AM450" s="380">
        <v>31.536000000000001</v>
      </c>
      <c r="AN450" s="470">
        <f t="shared" si="116"/>
        <v>2019</v>
      </c>
      <c r="AO450" s="427">
        <v>1</v>
      </c>
      <c r="AP450" s="429"/>
      <c r="AQ450" s="467"/>
      <c r="AR450" s="429"/>
      <c r="AS450" s="429"/>
      <c r="AT450" s="429" t="s">
        <v>155</v>
      </c>
      <c r="AU450" s="481">
        <v>0.5</v>
      </c>
      <c r="AV450" s="467"/>
      <c r="AW450" s="467"/>
      <c r="AX450" s="429"/>
      <c r="AY450" s="429"/>
      <c r="AZ450" s="467">
        <v>0.65</v>
      </c>
      <c r="BA450" s="429">
        <v>2.4500000000000002</v>
      </c>
      <c r="BB450" s="429"/>
      <c r="BC450" s="427"/>
      <c r="BD450" s="429"/>
      <c r="BE450" s="429"/>
      <c r="BF450" s="427"/>
      <c r="BG450" s="427"/>
      <c r="BH450" s="427"/>
      <c r="BI450" s="427">
        <v>20</v>
      </c>
      <c r="BJ450" s="427"/>
      <c r="BK450" s="482">
        <v>232.02565600106504</v>
      </c>
      <c r="BL450" s="427"/>
      <c r="BM450" s="427"/>
      <c r="BN450" s="427"/>
      <c r="BO450" s="427"/>
      <c r="BP450" s="427"/>
      <c r="BQ450" s="427"/>
      <c r="BR450" s="429">
        <v>8.7009621000399395</v>
      </c>
      <c r="BS450" s="427"/>
      <c r="BT450" s="427"/>
      <c r="BU450" s="427"/>
      <c r="BV450" s="427"/>
      <c r="BW450" s="427"/>
      <c r="BX450" s="471"/>
    </row>
    <row r="451" spans="10:76" x14ac:dyDescent="0.3">
      <c r="J451" s="362" t="s">
        <v>238</v>
      </c>
      <c r="K451" s="363" t="s">
        <v>135</v>
      </c>
      <c r="L451" s="439"/>
      <c r="M451" s="363" t="s">
        <v>239</v>
      </c>
      <c r="N451" s="363" t="s">
        <v>240</v>
      </c>
      <c r="O451" s="363" t="s">
        <v>136</v>
      </c>
      <c r="P451" s="363">
        <v>2018</v>
      </c>
      <c r="Q451" s="366" t="s">
        <v>281</v>
      </c>
      <c r="R451" s="475" t="s">
        <v>374</v>
      </c>
      <c r="S451" s="476"/>
      <c r="T451" s="476"/>
      <c r="U451" s="366" t="s">
        <v>283</v>
      </c>
      <c r="V451" s="439"/>
      <c r="W451" s="363" t="s">
        <v>243</v>
      </c>
      <c r="X451" s="468">
        <v>2019</v>
      </c>
      <c r="Y451" s="439"/>
      <c r="Z451" s="439" t="str">
        <f>VLOOKUP(R451,KEY_Processes!$C$131:$E$163,3,FALSE)</f>
        <v>HW_BS_BPL01</v>
      </c>
      <c r="AA451" s="439" t="str">
        <f>VLOOKUP(R451,KEY_Processes!$C$131:$E$163,2,FALSE)</f>
        <v>HW_PelletBoiler_BPL_SMALL</v>
      </c>
      <c r="AB451" s="439" t="str">
        <f>VLOOKUP(U451,KEY_FUELS!$C$4:$D$77,2,FALSE)</f>
        <v>BIO</v>
      </c>
      <c r="AC451" s="439" t="s">
        <v>150</v>
      </c>
      <c r="AD451" s="439" t="s">
        <v>364</v>
      </c>
      <c r="AE451" s="439" t="s">
        <v>152</v>
      </c>
      <c r="AF451" s="439" t="str">
        <f>VLOOKUP(W451,KEY_Other!$B$37:$C$89,2,FALSE)</f>
        <v>EUR</v>
      </c>
      <c r="AG451" s="439"/>
      <c r="AH451" s="439" t="str">
        <f>AC451&amp;VLOOKUP(U451,KEY_FUELS!$C$4:$D$78,2,FALSE)</f>
        <v>RSDBIO</v>
      </c>
      <c r="AI451" s="439" t="str">
        <f>IFERROR(AC451&amp;VLOOKUP(V451,KEY_FUELS!$C$4:$D$78,2,FALSE),"")</f>
        <v/>
      </c>
      <c r="AJ451" s="439" t="str">
        <f t="shared" si="113"/>
        <v>RHHS</v>
      </c>
      <c r="AK451" s="439" t="str">
        <f t="shared" si="114"/>
        <v>RWHS</v>
      </c>
      <c r="AL451" s="439" t="str">
        <f t="shared" si="115"/>
        <v/>
      </c>
      <c r="AM451" s="364">
        <v>31.536000000000001</v>
      </c>
      <c r="AN451" s="468">
        <f t="shared" si="116"/>
        <v>2019</v>
      </c>
      <c r="AO451" s="439">
        <v>1</v>
      </c>
      <c r="AP451" s="441"/>
      <c r="AQ451" s="445"/>
      <c r="AR451" s="441"/>
      <c r="AS451" s="441"/>
      <c r="AT451" s="441" t="s">
        <v>151</v>
      </c>
      <c r="AU451" s="477">
        <v>0.62</v>
      </c>
      <c r="AV451" s="445"/>
      <c r="AW451" s="445"/>
      <c r="AX451" s="441"/>
      <c r="AY451" s="441"/>
      <c r="AZ451" s="445">
        <v>0.65</v>
      </c>
      <c r="BA451" s="441">
        <v>2</v>
      </c>
      <c r="BB451" s="441"/>
      <c r="BC451" s="439"/>
      <c r="BD451" s="441"/>
      <c r="BE451" s="441"/>
      <c r="BF451" s="439"/>
      <c r="BG451" s="439"/>
      <c r="BH451" s="439"/>
      <c r="BI451" s="439">
        <v>20</v>
      </c>
      <c r="BJ451" s="439"/>
      <c r="BK451" s="478">
        <v>232.02565600106504</v>
      </c>
      <c r="BL451" s="439"/>
      <c r="BM451" s="439"/>
      <c r="BN451" s="439"/>
      <c r="BO451" s="439"/>
      <c r="BP451" s="439"/>
      <c r="BQ451" s="439"/>
      <c r="BR451" s="441">
        <v>8.7009621000399395</v>
      </c>
      <c r="BS451" s="439"/>
      <c r="BT451" s="439"/>
      <c r="BU451" s="439"/>
      <c r="BV451" s="439"/>
      <c r="BW451" s="439"/>
      <c r="BX451" s="469"/>
    </row>
    <row r="452" spans="10:76" x14ac:dyDescent="0.3">
      <c r="J452" s="378" t="s">
        <v>238</v>
      </c>
      <c r="K452" s="379" t="s">
        <v>135</v>
      </c>
      <c r="L452" s="427"/>
      <c r="M452" s="379" t="s">
        <v>239</v>
      </c>
      <c r="N452" s="379" t="s">
        <v>240</v>
      </c>
      <c r="O452" s="379" t="s">
        <v>136</v>
      </c>
      <c r="P452" s="379">
        <v>2018</v>
      </c>
      <c r="Q452" s="382" t="s">
        <v>281</v>
      </c>
      <c r="R452" s="479" t="s">
        <v>374</v>
      </c>
      <c r="S452" s="480"/>
      <c r="T452" s="480"/>
      <c r="U452" s="382" t="s">
        <v>283</v>
      </c>
      <c r="V452" s="427"/>
      <c r="W452" s="379" t="s">
        <v>243</v>
      </c>
      <c r="X452" s="470">
        <v>2019</v>
      </c>
      <c r="Y452" s="427"/>
      <c r="Z452" s="427" t="str">
        <f>VLOOKUP(R452,KEY_Processes!$C$131:$E$163,3,FALSE)</f>
        <v>HW_BS_BPL01</v>
      </c>
      <c r="AA452" s="427" t="str">
        <f>VLOOKUP(R452,KEY_Processes!$C$131:$E$163,2,FALSE)</f>
        <v>HW_PelletBoiler_BPL_SMALL</v>
      </c>
      <c r="AB452" s="427" t="str">
        <f>VLOOKUP(U452,KEY_FUELS!$C$4:$D$77,2,FALSE)</f>
        <v>BIO</v>
      </c>
      <c r="AC452" s="427" t="s">
        <v>150</v>
      </c>
      <c r="AD452" s="427" t="s">
        <v>364</v>
      </c>
      <c r="AE452" s="427" t="s">
        <v>152</v>
      </c>
      <c r="AF452" s="427" t="str">
        <f>VLOOKUP(W452,KEY_Other!$B$37:$C$89,2,FALSE)</f>
        <v>EUR</v>
      </c>
      <c r="AG452" s="427"/>
      <c r="AH452" s="427" t="str">
        <f>AC452&amp;VLOOKUP(U452,KEY_FUELS!$C$4:$D$78,2,FALSE)</f>
        <v>RSDBIO</v>
      </c>
      <c r="AI452" s="427" t="str">
        <f>IFERROR(AC452&amp;VLOOKUP(V452,KEY_FUELS!$C$4:$D$78,2,FALSE),"")</f>
        <v/>
      </c>
      <c r="AJ452" s="427" t="str">
        <f t="shared" si="113"/>
        <v>RHHS</v>
      </c>
      <c r="AK452" s="427" t="str">
        <f t="shared" si="114"/>
        <v>RWHS</v>
      </c>
      <c r="AL452" s="427" t="str">
        <f t="shared" si="115"/>
        <v/>
      </c>
      <c r="AM452" s="380">
        <v>31.536000000000001</v>
      </c>
      <c r="AN452" s="470">
        <f t="shared" si="116"/>
        <v>2019</v>
      </c>
      <c r="AO452" s="427">
        <v>1</v>
      </c>
      <c r="AP452" s="429"/>
      <c r="AQ452" s="467"/>
      <c r="AR452" s="429"/>
      <c r="AS452" s="429"/>
      <c r="AT452" s="429" t="s">
        <v>220</v>
      </c>
      <c r="AU452" s="481">
        <v>0.77</v>
      </c>
      <c r="AV452" s="467"/>
      <c r="AW452" s="467"/>
      <c r="AX452" s="429"/>
      <c r="AY452" s="429"/>
      <c r="AZ452" s="467">
        <v>0.65</v>
      </c>
      <c r="BA452" s="429">
        <v>1.3</v>
      </c>
      <c r="BB452" s="429"/>
      <c r="BC452" s="427"/>
      <c r="BD452" s="429"/>
      <c r="BE452" s="429"/>
      <c r="BF452" s="427"/>
      <c r="BG452" s="427"/>
      <c r="BH452" s="427"/>
      <c r="BI452" s="427">
        <v>20</v>
      </c>
      <c r="BJ452" s="427"/>
      <c r="BK452" s="482">
        <v>232.02565600106504</v>
      </c>
      <c r="BL452" s="427"/>
      <c r="BM452" s="427"/>
      <c r="BN452" s="427"/>
      <c r="BO452" s="427"/>
      <c r="BP452" s="427"/>
      <c r="BQ452" s="427"/>
      <c r="BR452" s="429">
        <v>8.7009621000399395</v>
      </c>
      <c r="BS452" s="427"/>
      <c r="BT452" s="427"/>
      <c r="BU452" s="427"/>
      <c r="BV452" s="427"/>
      <c r="BW452" s="427"/>
      <c r="BX452" s="471"/>
    </row>
    <row r="453" spans="10:76" x14ac:dyDescent="0.3">
      <c r="J453" s="362" t="s">
        <v>238</v>
      </c>
      <c r="K453" s="363" t="s">
        <v>135</v>
      </c>
      <c r="L453" s="439"/>
      <c r="M453" s="363" t="s">
        <v>239</v>
      </c>
      <c r="N453" s="363" t="s">
        <v>240</v>
      </c>
      <c r="O453" s="363" t="s">
        <v>136</v>
      </c>
      <c r="P453" s="363">
        <v>2018</v>
      </c>
      <c r="Q453" s="366" t="s">
        <v>281</v>
      </c>
      <c r="R453" s="475" t="s">
        <v>374</v>
      </c>
      <c r="S453" s="476"/>
      <c r="T453" s="476"/>
      <c r="U453" s="366" t="s">
        <v>283</v>
      </c>
      <c r="V453" s="439"/>
      <c r="W453" s="363" t="s">
        <v>243</v>
      </c>
      <c r="X453" s="468">
        <v>2019</v>
      </c>
      <c r="Y453" s="439"/>
      <c r="Z453" s="439" t="str">
        <f>VLOOKUP(R453,KEY_Processes!$C$131:$E$163,3,FALSE)</f>
        <v>HW_BS_BPL01</v>
      </c>
      <c r="AA453" s="439" t="str">
        <f>VLOOKUP(R453,KEY_Processes!$C$131:$E$163,2,FALSE)</f>
        <v>HW_PelletBoiler_BPL_SMALL</v>
      </c>
      <c r="AB453" s="439" t="str">
        <f>VLOOKUP(U453,KEY_FUELS!$C$4:$D$77,2,FALSE)</f>
        <v>BIO</v>
      </c>
      <c r="AC453" s="439" t="s">
        <v>150</v>
      </c>
      <c r="AD453" s="439" t="s">
        <v>364</v>
      </c>
      <c r="AE453" s="439" t="s">
        <v>152</v>
      </c>
      <c r="AF453" s="439" t="str">
        <f>VLOOKUP(W453,KEY_Other!$B$37:$C$89,2,FALSE)</f>
        <v>EUR</v>
      </c>
      <c r="AG453" s="439"/>
      <c r="AH453" s="439" t="str">
        <f>AC453&amp;VLOOKUP(U453,KEY_FUELS!$C$4:$D$78,2,FALSE)</f>
        <v>RSDBIO</v>
      </c>
      <c r="AI453" s="439" t="str">
        <f>IFERROR(AC453&amp;VLOOKUP(V453,KEY_FUELS!$C$4:$D$78,2,FALSE),"")</f>
        <v/>
      </c>
      <c r="AJ453" s="439" t="str">
        <f t="shared" si="113"/>
        <v>RHHS</v>
      </c>
      <c r="AK453" s="439" t="str">
        <f t="shared" si="114"/>
        <v>RWHS</v>
      </c>
      <c r="AL453" s="439" t="str">
        <f t="shared" si="115"/>
        <v/>
      </c>
      <c r="AM453" s="364">
        <v>31.536000000000001</v>
      </c>
      <c r="AN453" s="468">
        <f t="shared" si="116"/>
        <v>2019</v>
      </c>
      <c r="AO453" s="439">
        <v>1</v>
      </c>
      <c r="AP453" s="441"/>
      <c r="AQ453" s="445"/>
      <c r="AR453" s="441"/>
      <c r="AS453" s="441"/>
      <c r="AT453" s="441" t="s">
        <v>373</v>
      </c>
      <c r="AU453" s="477">
        <v>0.81</v>
      </c>
      <c r="AV453" s="445"/>
      <c r="AW453" s="445"/>
      <c r="AX453" s="441"/>
      <c r="AY453" s="441"/>
      <c r="AZ453" s="445">
        <v>0.65</v>
      </c>
      <c r="BA453" s="441">
        <v>1.3</v>
      </c>
      <c r="BB453" s="441"/>
      <c r="BC453" s="439"/>
      <c r="BD453" s="441"/>
      <c r="BE453" s="441"/>
      <c r="BF453" s="439"/>
      <c r="BG453" s="439"/>
      <c r="BH453" s="439"/>
      <c r="BI453" s="439">
        <v>20</v>
      </c>
      <c r="BJ453" s="439"/>
      <c r="BK453" s="478">
        <v>232.02565600106504</v>
      </c>
      <c r="BL453" s="439"/>
      <c r="BM453" s="439"/>
      <c r="BN453" s="439"/>
      <c r="BO453" s="439"/>
      <c r="BP453" s="439"/>
      <c r="BQ453" s="439"/>
      <c r="BR453" s="441">
        <v>8.7009621000399395</v>
      </c>
      <c r="BS453" s="439"/>
      <c r="BT453" s="439"/>
      <c r="BU453" s="439"/>
      <c r="BV453" s="439"/>
      <c r="BW453" s="439"/>
      <c r="BX453" s="469"/>
    </row>
    <row r="454" spans="10:76" x14ac:dyDescent="0.3">
      <c r="J454" s="378" t="s">
        <v>238</v>
      </c>
      <c r="K454" s="379" t="s">
        <v>135</v>
      </c>
      <c r="L454" s="427"/>
      <c r="M454" s="379" t="s">
        <v>239</v>
      </c>
      <c r="N454" s="379" t="s">
        <v>240</v>
      </c>
      <c r="O454" s="379" t="s">
        <v>136</v>
      </c>
      <c r="P454" s="379">
        <v>2018</v>
      </c>
      <c r="Q454" s="382" t="s">
        <v>259</v>
      </c>
      <c r="R454" s="479" t="s">
        <v>375</v>
      </c>
      <c r="S454" s="480"/>
      <c r="T454" s="480"/>
      <c r="U454" s="382" t="s">
        <v>261</v>
      </c>
      <c r="V454" s="427"/>
      <c r="W454" s="379" t="s">
        <v>243</v>
      </c>
      <c r="X454" s="470" t="s">
        <v>363</v>
      </c>
      <c r="Y454" s="427"/>
      <c r="Z454" s="427" t="str">
        <f>VLOOKUP(R454,KEY_Processes!$C$131:$E$163,3,FALSE)</f>
        <v>HW_FS_DST01</v>
      </c>
      <c r="AA454" s="427" t="str">
        <f>VLOOKUP(R454,KEY_Processes!$C$131:$E$163,2,FALSE)</f>
        <v>HW_DieselFurnace_DST_SMALL</v>
      </c>
      <c r="AB454" s="427" t="str">
        <f>VLOOKUP(U454,KEY_FUELS!$C$4:$D$77,2,FALSE)</f>
        <v>DST</v>
      </c>
      <c r="AC454" s="427" t="s">
        <v>150</v>
      </c>
      <c r="AD454" s="427" t="s">
        <v>364</v>
      </c>
      <c r="AE454" s="427" t="s">
        <v>152</v>
      </c>
      <c r="AF454" s="427" t="str">
        <f>VLOOKUP(W454,KEY_Other!$B$37:$C$89,2,FALSE)</f>
        <v>EUR</v>
      </c>
      <c r="AG454" s="427"/>
      <c r="AH454" s="427" t="str">
        <f>AC454&amp;VLOOKUP(U454,KEY_FUELS!$C$4:$D$78,2,FALSE)</f>
        <v>RSDDST</v>
      </c>
      <c r="AI454" s="427" t="str">
        <f>IFERROR(AC454&amp;VLOOKUP(V454,KEY_FUELS!$C$4:$D$78,2,FALSE),"")</f>
        <v/>
      </c>
      <c r="AJ454" s="427" t="str">
        <f t="shared" si="113"/>
        <v>RHHS</v>
      </c>
      <c r="AK454" s="427" t="str">
        <f t="shared" si="114"/>
        <v>RWHS</v>
      </c>
      <c r="AL454" s="427" t="str">
        <f t="shared" si="115"/>
        <v/>
      </c>
      <c r="AM454" s="380">
        <v>31.536000000000001</v>
      </c>
      <c r="AN454" s="470" t="str">
        <f t="shared" si="116"/>
        <v>2030</v>
      </c>
      <c r="AO454" s="427">
        <v>1</v>
      </c>
      <c r="AP454" s="429"/>
      <c r="AQ454" s="467"/>
      <c r="AR454" s="429"/>
      <c r="AS454" s="429"/>
      <c r="AT454" s="429"/>
      <c r="AU454" s="481"/>
      <c r="AV454" s="467"/>
      <c r="AW454" s="467"/>
      <c r="AX454" s="429"/>
      <c r="AY454" s="429"/>
      <c r="AZ454" s="467">
        <v>0.91</v>
      </c>
      <c r="BA454" s="429">
        <v>1.3</v>
      </c>
      <c r="BB454" s="429"/>
      <c r="BC454" s="427"/>
      <c r="BD454" s="429"/>
      <c r="BE454" s="429"/>
      <c r="BF454" s="427"/>
      <c r="BG454" s="427"/>
      <c r="BH454" s="427"/>
      <c r="BI454" s="427">
        <v>25</v>
      </c>
      <c r="BJ454" s="427"/>
      <c r="BK454" s="482">
        <v>77.169247196782791</v>
      </c>
      <c r="BL454" s="427"/>
      <c r="BM454" s="427"/>
      <c r="BN454" s="427"/>
      <c r="BO454" s="427"/>
      <c r="BP454" s="427"/>
      <c r="BQ454" s="427"/>
      <c r="BR454" s="429">
        <v>2.7967378178699804</v>
      </c>
      <c r="BS454" s="427"/>
      <c r="BT454" s="427"/>
      <c r="BU454" s="427"/>
      <c r="BV454" s="427"/>
      <c r="BW454" s="427"/>
      <c r="BX454" s="471"/>
    </row>
    <row r="455" spans="10:76" x14ac:dyDescent="0.3">
      <c r="J455" s="362" t="s">
        <v>238</v>
      </c>
      <c r="K455" s="363" t="s">
        <v>135</v>
      </c>
      <c r="L455" s="439"/>
      <c r="M455" s="363" t="s">
        <v>239</v>
      </c>
      <c r="N455" s="363" t="s">
        <v>240</v>
      </c>
      <c r="O455" s="363" t="s">
        <v>136</v>
      </c>
      <c r="P455" s="363">
        <v>2018</v>
      </c>
      <c r="Q455" s="366" t="s">
        <v>259</v>
      </c>
      <c r="R455" s="475" t="s">
        <v>375</v>
      </c>
      <c r="S455" s="476"/>
      <c r="T455" s="476"/>
      <c r="U455" s="366" t="s">
        <v>261</v>
      </c>
      <c r="V455" s="439"/>
      <c r="W455" s="363" t="s">
        <v>243</v>
      </c>
      <c r="X455" s="468">
        <v>2019</v>
      </c>
      <c r="Y455" s="439"/>
      <c r="Z455" s="439" t="str">
        <f>VLOOKUP(R455,KEY_Processes!$C$131:$E$163,3,FALSE)</f>
        <v>HW_FS_DST01</v>
      </c>
      <c r="AA455" s="439" t="str">
        <f>VLOOKUP(R455,KEY_Processes!$C$131:$E$163,2,FALSE)</f>
        <v>HW_DieselFurnace_DST_SMALL</v>
      </c>
      <c r="AB455" s="439" t="str">
        <f>VLOOKUP(U455,KEY_FUELS!$C$4:$D$77,2,FALSE)</f>
        <v>DST</v>
      </c>
      <c r="AC455" s="439" t="s">
        <v>150</v>
      </c>
      <c r="AD455" s="439" t="s">
        <v>364</v>
      </c>
      <c r="AE455" s="439" t="s">
        <v>152</v>
      </c>
      <c r="AF455" s="439" t="str">
        <f>VLOOKUP(W455,KEY_Other!$B$37:$C$89,2,FALSE)</f>
        <v>EUR</v>
      </c>
      <c r="AG455" s="439"/>
      <c r="AH455" s="439" t="str">
        <f>AC455&amp;VLOOKUP(U455,KEY_FUELS!$C$4:$D$78,2,FALSE)</f>
        <v>RSDDST</v>
      </c>
      <c r="AI455" s="439" t="str">
        <f>IFERROR(AC455&amp;VLOOKUP(V455,KEY_FUELS!$C$4:$D$78,2,FALSE),"")</f>
        <v/>
      </c>
      <c r="AJ455" s="439" t="str">
        <f t="shared" si="113"/>
        <v>RHHS</v>
      </c>
      <c r="AK455" s="439" t="str">
        <f t="shared" si="114"/>
        <v>RWHS</v>
      </c>
      <c r="AL455" s="439" t="str">
        <f t="shared" si="115"/>
        <v/>
      </c>
      <c r="AM455" s="364">
        <v>31.536000000000001</v>
      </c>
      <c r="AN455" s="468">
        <f t="shared" si="116"/>
        <v>2019</v>
      </c>
      <c r="AO455" s="439">
        <v>1</v>
      </c>
      <c r="AP455" s="441"/>
      <c r="AQ455" s="445"/>
      <c r="AR455" s="441"/>
      <c r="AS455" s="441"/>
      <c r="AT455" s="441" t="s">
        <v>155</v>
      </c>
      <c r="AU455" s="477">
        <v>0.5</v>
      </c>
      <c r="AV455" s="445"/>
      <c r="AW455" s="445"/>
      <c r="AX455" s="441"/>
      <c r="AY455" s="441"/>
      <c r="AZ455" s="445">
        <v>0.84</v>
      </c>
      <c r="BA455" s="441">
        <v>1.3</v>
      </c>
      <c r="BB455" s="441"/>
      <c r="BC455" s="439"/>
      <c r="BD455" s="441"/>
      <c r="BE455" s="441"/>
      <c r="BF455" s="439"/>
      <c r="BG455" s="439"/>
      <c r="BH455" s="439"/>
      <c r="BI455" s="439">
        <v>25</v>
      </c>
      <c r="BJ455" s="439"/>
      <c r="BK455" s="478">
        <v>66.412499999999994</v>
      </c>
      <c r="BL455" s="439"/>
      <c r="BM455" s="439"/>
      <c r="BN455" s="439"/>
      <c r="BO455" s="439"/>
      <c r="BP455" s="439"/>
      <c r="BQ455" s="439"/>
      <c r="BR455" s="441">
        <v>2.7967378178699804</v>
      </c>
      <c r="BS455" s="439"/>
      <c r="BT455" s="439"/>
      <c r="BU455" s="439"/>
      <c r="BV455" s="439"/>
      <c r="BW455" s="439"/>
      <c r="BX455" s="469"/>
    </row>
    <row r="456" spans="10:76" x14ac:dyDescent="0.3">
      <c r="J456" s="378" t="s">
        <v>238</v>
      </c>
      <c r="K456" s="379" t="s">
        <v>135</v>
      </c>
      <c r="L456" s="427"/>
      <c r="M456" s="379" t="s">
        <v>239</v>
      </c>
      <c r="N456" s="379" t="s">
        <v>240</v>
      </c>
      <c r="O456" s="379" t="s">
        <v>136</v>
      </c>
      <c r="P456" s="379">
        <v>2018</v>
      </c>
      <c r="Q456" s="382" t="s">
        <v>259</v>
      </c>
      <c r="R456" s="479" t="s">
        <v>375</v>
      </c>
      <c r="S456" s="480"/>
      <c r="T456" s="480"/>
      <c r="U456" s="382" t="s">
        <v>261</v>
      </c>
      <c r="V456" s="427"/>
      <c r="W456" s="379" t="s">
        <v>243</v>
      </c>
      <c r="X456" s="470">
        <v>2019</v>
      </c>
      <c r="Y456" s="427"/>
      <c r="Z456" s="427" t="str">
        <f>VLOOKUP(R456,KEY_Processes!$C$131:$E$163,3,FALSE)</f>
        <v>HW_FS_DST01</v>
      </c>
      <c r="AA456" s="427" t="str">
        <f>VLOOKUP(R456,KEY_Processes!$C$131:$E$163,2,FALSE)</f>
        <v>HW_DieselFurnace_DST_SMALL</v>
      </c>
      <c r="AB456" s="427" t="str">
        <f>VLOOKUP(U456,KEY_FUELS!$C$4:$D$77,2,FALSE)</f>
        <v>DST</v>
      </c>
      <c r="AC456" s="427" t="s">
        <v>150</v>
      </c>
      <c r="AD456" s="427" t="s">
        <v>364</v>
      </c>
      <c r="AE456" s="427" t="s">
        <v>152</v>
      </c>
      <c r="AF456" s="427" t="str">
        <f>VLOOKUP(W456,KEY_Other!$B$37:$C$89,2,FALSE)</f>
        <v>EUR</v>
      </c>
      <c r="AG456" s="427"/>
      <c r="AH456" s="427" t="str">
        <f>AC456&amp;VLOOKUP(U456,KEY_FUELS!$C$4:$D$78,2,FALSE)</f>
        <v>RSDDST</v>
      </c>
      <c r="AI456" s="427" t="str">
        <f>IFERROR(AC456&amp;VLOOKUP(V456,KEY_FUELS!$C$4:$D$78,2,FALSE),"")</f>
        <v/>
      </c>
      <c r="AJ456" s="427" t="str">
        <f t="shared" si="113"/>
        <v>RHHS</v>
      </c>
      <c r="AK456" s="427" t="str">
        <f t="shared" si="114"/>
        <v>RWHS</v>
      </c>
      <c r="AL456" s="427" t="str">
        <f t="shared" si="115"/>
        <v/>
      </c>
      <c r="AM456" s="380">
        <v>31.536000000000001</v>
      </c>
      <c r="AN456" s="470">
        <f t="shared" si="116"/>
        <v>2019</v>
      </c>
      <c r="AO456" s="427">
        <v>1</v>
      </c>
      <c r="AP456" s="429"/>
      <c r="AQ456" s="467"/>
      <c r="AR456" s="429"/>
      <c r="AS456" s="429"/>
      <c r="AT456" s="429" t="s">
        <v>151</v>
      </c>
      <c r="AU456" s="481">
        <v>0.62</v>
      </c>
      <c r="AV456" s="467"/>
      <c r="AW456" s="467"/>
      <c r="AX456" s="429"/>
      <c r="AY456" s="429"/>
      <c r="AZ456" s="467">
        <v>0.84</v>
      </c>
      <c r="BA456" s="429">
        <v>4.0999999999999996</v>
      </c>
      <c r="BB456" s="429"/>
      <c r="BC456" s="427"/>
      <c r="BD456" s="429"/>
      <c r="BE456" s="429"/>
      <c r="BF456" s="427"/>
      <c r="BG456" s="427"/>
      <c r="BH456" s="427"/>
      <c r="BI456" s="427">
        <v>25</v>
      </c>
      <c r="BJ456" s="427"/>
      <c r="BK456" s="482">
        <v>66.412499999999994</v>
      </c>
      <c r="BL456" s="427"/>
      <c r="BM456" s="427"/>
      <c r="BN456" s="427"/>
      <c r="BO456" s="427"/>
      <c r="BP456" s="427"/>
      <c r="BQ456" s="427"/>
      <c r="BR456" s="429">
        <v>2.7967378178699804</v>
      </c>
      <c r="BS456" s="427"/>
      <c r="BT456" s="427"/>
      <c r="BU456" s="427"/>
      <c r="BV456" s="427"/>
      <c r="BW456" s="427"/>
      <c r="BX456" s="471"/>
    </row>
    <row r="457" spans="10:76" x14ac:dyDescent="0.3">
      <c r="J457" s="362" t="s">
        <v>238</v>
      </c>
      <c r="K457" s="363" t="s">
        <v>135</v>
      </c>
      <c r="L457" s="439"/>
      <c r="M457" s="363" t="s">
        <v>239</v>
      </c>
      <c r="N457" s="363" t="s">
        <v>240</v>
      </c>
      <c r="O457" s="363" t="s">
        <v>136</v>
      </c>
      <c r="P457" s="363">
        <v>2018</v>
      </c>
      <c r="Q457" s="366" t="s">
        <v>259</v>
      </c>
      <c r="R457" s="475" t="s">
        <v>375</v>
      </c>
      <c r="S457" s="476"/>
      <c r="T457" s="476"/>
      <c r="U457" s="366" t="s">
        <v>261</v>
      </c>
      <c r="V457" s="439"/>
      <c r="W457" s="363" t="s">
        <v>243</v>
      </c>
      <c r="X457" s="468">
        <v>2019</v>
      </c>
      <c r="Y457" s="439"/>
      <c r="Z457" s="439" t="str">
        <f>VLOOKUP(R457,KEY_Processes!$C$131:$E$163,3,FALSE)</f>
        <v>HW_FS_DST01</v>
      </c>
      <c r="AA457" s="439" t="str">
        <f>VLOOKUP(R457,KEY_Processes!$C$131:$E$163,2,FALSE)</f>
        <v>HW_DieselFurnace_DST_SMALL</v>
      </c>
      <c r="AB457" s="439" t="str">
        <f>VLOOKUP(U457,KEY_FUELS!$C$4:$D$77,2,FALSE)</f>
        <v>DST</v>
      </c>
      <c r="AC457" s="439" t="s">
        <v>150</v>
      </c>
      <c r="AD457" s="439" t="s">
        <v>364</v>
      </c>
      <c r="AE457" s="439" t="s">
        <v>152</v>
      </c>
      <c r="AF457" s="439" t="str">
        <f>VLOOKUP(W457,KEY_Other!$B$37:$C$89,2,FALSE)</f>
        <v>EUR</v>
      </c>
      <c r="AG457" s="439"/>
      <c r="AH457" s="439" t="str">
        <f>AC457&amp;VLOOKUP(U457,KEY_FUELS!$C$4:$D$78,2,FALSE)</f>
        <v>RSDDST</v>
      </c>
      <c r="AI457" s="439" t="str">
        <f>IFERROR(AC457&amp;VLOOKUP(V457,KEY_FUELS!$C$4:$D$78,2,FALSE),"")</f>
        <v/>
      </c>
      <c r="AJ457" s="439" t="str">
        <f t="shared" si="113"/>
        <v>RHHS</v>
      </c>
      <c r="AK457" s="439" t="str">
        <f t="shared" si="114"/>
        <v>RWHS</v>
      </c>
      <c r="AL457" s="439" t="str">
        <f t="shared" si="115"/>
        <v/>
      </c>
      <c r="AM457" s="364">
        <v>31.536000000000001</v>
      </c>
      <c r="AN457" s="468">
        <f t="shared" si="116"/>
        <v>2019</v>
      </c>
      <c r="AO457" s="439">
        <v>1</v>
      </c>
      <c r="AP457" s="441"/>
      <c r="AQ457" s="445"/>
      <c r="AR457" s="441"/>
      <c r="AS457" s="441"/>
      <c r="AT457" s="441" t="s">
        <v>220</v>
      </c>
      <c r="AU457" s="477">
        <v>0.77</v>
      </c>
      <c r="AV457" s="445"/>
      <c r="AW457" s="445"/>
      <c r="AX457" s="441"/>
      <c r="AY457" s="441"/>
      <c r="AZ457" s="445">
        <v>0.84</v>
      </c>
      <c r="BA457" s="441">
        <v>3.85</v>
      </c>
      <c r="BB457" s="441"/>
      <c r="BC457" s="439"/>
      <c r="BD457" s="441"/>
      <c r="BE457" s="441"/>
      <c r="BF457" s="439"/>
      <c r="BG457" s="439"/>
      <c r="BH457" s="439"/>
      <c r="BI457" s="439">
        <v>25</v>
      </c>
      <c r="BJ457" s="439"/>
      <c r="BK457" s="478">
        <v>66.412499999999994</v>
      </c>
      <c r="BL457" s="439"/>
      <c r="BM457" s="439"/>
      <c r="BN457" s="439"/>
      <c r="BO457" s="439"/>
      <c r="BP457" s="439"/>
      <c r="BQ457" s="439"/>
      <c r="BR457" s="441">
        <v>2.7967378178699804</v>
      </c>
      <c r="BS457" s="439"/>
      <c r="BT457" s="439"/>
      <c r="BU457" s="439"/>
      <c r="BV457" s="439"/>
      <c r="BW457" s="439"/>
      <c r="BX457" s="469"/>
    </row>
    <row r="458" spans="10:76" x14ac:dyDescent="0.3">
      <c r="J458" s="378" t="s">
        <v>238</v>
      </c>
      <c r="K458" s="379" t="s">
        <v>135</v>
      </c>
      <c r="L458" s="427"/>
      <c r="M458" s="379" t="s">
        <v>239</v>
      </c>
      <c r="N458" s="379" t="s">
        <v>240</v>
      </c>
      <c r="O458" s="379" t="s">
        <v>136</v>
      </c>
      <c r="P458" s="379">
        <v>2018</v>
      </c>
      <c r="Q458" s="382" t="s">
        <v>259</v>
      </c>
      <c r="R458" s="479" t="s">
        <v>375</v>
      </c>
      <c r="S458" s="480"/>
      <c r="T458" s="480"/>
      <c r="U458" s="382" t="s">
        <v>261</v>
      </c>
      <c r="V458" s="427"/>
      <c r="W458" s="379" t="s">
        <v>243</v>
      </c>
      <c r="X458" s="470">
        <v>2019</v>
      </c>
      <c r="Y458" s="427"/>
      <c r="Z458" s="427" t="str">
        <f>VLOOKUP(R458,KEY_Processes!$C$131:$E$163,3,FALSE)</f>
        <v>HW_FS_DST01</v>
      </c>
      <c r="AA458" s="427" t="str">
        <f>VLOOKUP(R458,KEY_Processes!$C$131:$E$163,2,FALSE)</f>
        <v>HW_DieselFurnace_DST_SMALL</v>
      </c>
      <c r="AB458" s="427" t="str">
        <f>VLOOKUP(U458,KEY_FUELS!$C$4:$D$77,2,FALSE)</f>
        <v>DST</v>
      </c>
      <c r="AC458" s="427" t="s">
        <v>150</v>
      </c>
      <c r="AD458" s="427" t="s">
        <v>364</v>
      </c>
      <c r="AE458" s="427" t="s">
        <v>152</v>
      </c>
      <c r="AF458" s="427" t="str">
        <f>VLOOKUP(W458,KEY_Other!$B$37:$C$89,2,FALSE)</f>
        <v>EUR</v>
      </c>
      <c r="AG458" s="427"/>
      <c r="AH458" s="427" t="str">
        <f>AC458&amp;VLOOKUP(U458,KEY_FUELS!$C$4:$D$78,2,FALSE)</f>
        <v>RSDDST</v>
      </c>
      <c r="AI458" s="427" t="str">
        <f>IFERROR(AC458&amp;VLOOKUP(V458,KEY_FUELS!$C$4:$D$78,2,FALSE),"")</f>
        <v/>
      </c>
      <c r="AJ458" s="427" t="str">
        <f t="shared" si="113"/>
        <v>RHHS</v>
      </c>
      <c r="AK458" s="427" t="str">
        <f t="shared" si="114"/>
        <v>RWHS</v>
      </c>
      <c r="AL458" s="427" t="str">
        <f t="shared" si="115"/>
        <v/>
      </c>
      <c r="AM458" s="380">
        <v>31.536000000000001</v>
      </c>
      <c r="AN458" s="470">
        <f t="shared" si="116"/>
        <v>2019</v>
      </c>
      <c r="AO458" s="427">
        <v>1</v>
      </c>
      <c r="AP458" s="429"/>
      <c r="AQ458" s="467"/>
      <c r="AR458" s="429"/>
      <c r="AS458" s="429"/>
      <c r="AT458" s="429" t="s">
        <v>373</v>
      </c>
      <c r="AU458" s="481">
        <v>0.81</v>
      </c>
      <c r="AV458" s="467"/>
      <c r="AW458" s="467"/>
      <c r="AX458" s="429"/>
      <c r="AY458" s="429"/>
      <c r="AZ458" s="467">
        <v>0.84</v>
      </c>
      <c r="BA458" s="429">
        <v>3.85</v>
      </c>
      <c r="BB458" s="429"/>
      <c r="BC458" s="427"/>
      <c r="BD458" s="429"/>
      <c r="BE458" s="429"/>
      <c r="BF458" s="427"/>
      <c r="BG458" s="427"/>
      <c r="BH458" s="427"/>
      <c r="BI458" s="427">
        <v>25</v>
      </c>
      <c r="BJ458" s="427"/>
      <c r="BK458" s="482">
        <v>66.412499999999994</v>
      </c>
      <c r="BL458" s="427"/>
      <c r="BM458" s="427"/>
      <c r="BN458" s="427"/>
      <c r="BO458" s="427"/>
      <c r="BP458" s="427"/>
      <c r="BQ458" s="427"/>
      <c r="BR458" s="429">
        <v>2.7967378178699804</v>
      </c>
      <c r="BS458" s="427"/>
      <c r="BT458" s="427"/>
      <c r="BU458" s="427"/>
      <c r="BV458" s="427"/>
      <c r="BW458" s="427"/>
      <c r="BX458" s="471"/>
    </row>
    <row r="459" spans="10:76" x14ac:dyDescent="0.3">
      <c r="J459" s="362" t="s">
        <v>238</v>
      </c>
      <c r="K459" s="363" t="s">
        <v>135</v>
      </c>
      <c r="L459" s="439"/>
      <c r="M459" s="363" t="s">
        <v>239</v>
      </c>
      <c r="N459" s="363" t="s">
        <v>240</v>
      </c>
      <c r="O459" s="363" t="s">
        <v>136</v>
      </c>
      <c r="P459" s="363">
        <v>2018</v>
      </c>
      <c r="Q459" s="366" t="s">
        <v>267</v>
      </c>
      <c r="R459" s="475" t="s">
        <v>376</v>
      </c>
      <c r="S459" s="476"/>
      <c r="T459" s="476"/>
      <c r="U459" s="366" t="s">
        <v>170</v>
      </c>
      <c r="V459" s="439"/>
      <c r="W459" s="363" t="s">
        <v>243</v>
      </c>
      <c r="X459" s="468" t="s">
        <v>363</v>
      </c>
      <c r="Y459" s="439"/>
      <c r="Z459" s="439" t="str">
        <f>VLOOKUP(R459,KEY_Processes!$C$131:$E$163,3,FALSE)</f>
        <v>HW_HES_HTH01</v>
      </c>
      <c r="AA459" s="439" t="str">
        <f>VLOOKUP(R459,KEY_Processes!$C$131:$E$163,2,FALSE)</f>
        <v>HW_DistrictHeating_HTH_SMALL</v>
      </c>
      <c r="AB459" s="439" t="str">
        <f>VLOOKUP(U459,KEY_FUELS!$C$4:$D$77,2,FALSE)</f>
        <v>HTH</v>
      </c>
      <c r="AC459" s="439" t="s">
        <v>150</v>
      </c>
      <c r="AD459" s="439" t="s">
        <v>364</v>
      </c>
      <c r="AE459" s="439" t="s">
        <v>152</v>
      </c>
      <c r="AF459" s="439" t="str">
        <f>VLOOKUP(W459,KEY_Other!$B$37:$C$89,2,FALSE)</f>
        <v>EUR</v>
      </c>
      <c r="AG459" s="439"/>
      <c r="AH459" s="439" t="str">
        <f>AC459&amp;VLOOKUP(U459,KEY_FUELS!$C$4:$D$78,2,FALSE)</f>
        <v>RSDHTH</v>
      </c>
      <c r="AI459" s="439" t="str">
        <f>IFERROR(AC459&amp;VLOOKUP(V459,KEY_FUELS!$C$4:$D$78,2,FALSE),"")</f>
        <v/>
      </c>
      <c r="AJ459" s="439" t="str">
        <f t="shared" si="113"/>
        <v>RHHS</v>
      </c>
      <c r="AK459" s="439" t="str">
        <f t="shared" si="114"/>
        <v>RWHS</v>
      </c>
      <c r="AL459" s="439" t="str">
        <f t="shared" si="115"/>
        <v/>
      </c>
      <c r="AM459" s="364">
        <v>31.536000000000001</v>
      </c>
      <c r="AN459" s="468" t="str">
        <f t="shared" si="116"/>
        <v>2030</v>
      </c>
      <c r="AO459" s="439">
        <v>1</v>
      </c>
      <c r="AP459" s="441"/>
      <c r="AQ459" s="445"/>
      <c r="AR459" s="441"/>
      <c r="AS459" s="441"/>
      <c r="AT459" s="441"/>
      <c r="AU459" s="477"/>
      <c r="AV459" s="445"/>
      <c r="AW459" s="445"/>
      <c r="AX459" s="441"/>
      <c r="AY459" s="441"/>
      <c r="AZ459" s="445">
        <v>0.98</v>
      </c>
      <c r="BA459" s="441">
        <v>3.85</v>
      </c>
      <c r="BB459" s="441"/>
      <c r="BC459" s="439"/>
      <c r="BD459" s="441"/>
      <c r="BE459" s="441"/>
      <c r="BF459" s="439"/>
      <c r="BG459" s="439"/>
      <c r="BH459" s="439"/>
      <c r="BI459" s="439">
        <v>20</v>
      </c>
      <c r="BJ459" s="439"/>
      <c r="BK459" s="478">
        <v>770.93920572181446</v>
      </c>
      <c r="BL459" s="439"/>
      <c r="BM459" s="439"/>
      <c r="BN459" s="439"/>
      <c r="BO459" s="439"/>
      <c r="BP459" s="439"/>
      <c r="BQ459" s="439"/>
      <c r="BR459" s="441">
        <v>15</v>
      </c>
      <c r="BS459" s="439"/>
      <c r="BT459" s="439"/>
      <c r="BU459" s="439"/>
      <c r="BV459" s="439"/>
      <c r="BW459" s="439"/>
      <c r="BX459" s="469"/>
    </row>
    <row r="460" spans="10:76" x14ac:dyDescent="0.3">
      <c r="J460" s="378" t="s">
        <v>238</v>
      </c>
      <c r="K460" s="379" t="s">
        <v>135</v>
      </c>
      <c r="L460" s="427"/>
      <c r="M460" s="379" t="s">
        <v>239</v>
      </c>
      <c r="N460" s="379" t="s">
        <v>240</v>
      </c>
      <c r="O460" s="379" t="s">
        <v>136</v>
      </c>
      <c r="P460" s="379">
        <v>2018</v>
      </c>
      <c r="Q460" s="382" t="s">
        <v>267</v>
      </c>
      <c r="R460" s="479" t="s">
        <v>376</v>
      </c>
      <c r="S460" s="480"/>
      <c r="T460" s="480"/>
      <c r="U460" s="382" t="s">
        <v>170</v>
      </c>
      <c r="V460" s="427"/>
      <c r="W460" s="379" t="s">
        <v>243</v>
      </c>
      <c r="X460" s="470">
        <v>2019</v>
      </c>
      <c r="Y460" s="427"/>
      <c r="Z460" s="427" t="str">
        <f>VLOOKUP(R460,KEY_Processes!$C$131:$E$163,3,FALSE)</f>
        <v>HW_HES_HTH01</v>
      </c>
      <c r="AA460" s="427" t="str">
        <f>VLOOKUP(R460,KEY_Processes!$C$131:$E$163,2,FALSE)</f>
        <v>HW_DistrictHeating_HTH_SMALL</v>
      </c>
      <c r="AB460" s="427" t="str">
        <f>VLOOKUP(U460,KEY_FUELS!$C$4:$D$77,2,FALSE)</f>
        <v>HTH</v>
      </c>
      <c r="AC460" s="427" t="s">
        <v>150</v>
      </c>
      <c r="AD460" s="427" t="s">
        <v>364</v>
      </c>
      <c r="AE460" s="427" t="s">
        <v>152</v>
      </c>
      <c r="AF460" s="427" t="str">
        <f>VLOOKUP(W460,KEY_Other!$B$37:$C$89,2,FALSE)</f>
        <v>EUR</v>
      </c>
      <c r="AG460" s="427"/>
      <c r="AH460" s="427" t="str">
        <f>AC460&amp;VLOOKUP(U460,KEY_FUELS!$C$4:$D$78,2,FALSE)</f>
        <v>RSDHTH</v>
      </c>
      <c r="AI460" s="427" t="str">
        <f>IFERROR(AC460&amp;VLOOKUP(V460,KEY_FUELS!$C$4:$D$78,2,FALSE),"")</f>
        <v/>
      </c>
      <c r="AJ460" s="427" t="str">
        <f t="shared" si="113"/>
        <v>RHHS</v>
      </c>
      <c r="AK460" s="427" t="str">
        <f t="shared" si="114"/>
        <v>RWHS</v>
      </c>
      <c r="AL460" s="427" t="str">
        <f t="shared" si="115"/>
        <v/>
      </c>
      <c r="AM460" s="380">
        <v>31.536000000000001</v>
      </c>
      <c r="AN460" s="470">
        <f t="shared" si="116"/>
        <v>2019</v>
      </c>
      <c r="AO460" s="427">
        <v>1</v>
      </c>
      <c r="AP460" s="429"/>
      <c r="AQ460" s="467"/>
      <c r="AR460" s="429"/>
      <c r="AS460" s="429"/>
      <c r="AT460" s="429" t="s">
        <v>155</v>
      </c>
      <c r="AU460" s="481">
        <v>0.5</v>
      </c>
      <c r="AV460" s="467"/>
      <c r="AW460" s="467"/>
      <c r="AX460" s="429"/>
      <c r="AY460" s="429"/>
      <c r="AZ460" s="467">
        <v>0.95</v>
      </c>
      <c r="BA460" s="429">
        <v>3.85</v>
      </c>
      <c r="BB460" s="429"/>
      <c r="BC460" s="427"/>
      <c r="BD460" s="429"/>
      <c r="BE460" s="429"/>
      <c r="BF460" s="427"/>
      <c r="BG460" s="427"/>
      <c r="BH460" s="427"/>
      <c r="BI460" s="427">
        <v>20</v>
      </c>
      <c r="BJ460" s="427"/>
      <c r="BK460" s="482">
        <v>256</v>
      </c>
      <c r="BL460" s="427"/>
      <c r="BM460" s="427"/>
      <c r="BN460" s="427"/>
      <c r="BO460" s="427"/>
      <c r="BP460" s="427"/>
      <c r="BQ460" s="427"/>
      <c r="BR460" s="429">
        <v>15</v>
      </c>
      <c r="BS460" s="427"/>
      <c r="BT460" s="427"/>
      <c r="BU460" s="427"/>
      <c r="BV460" s="427"/>
      <c r="BW460" s="427"/>
      <c r="BX460" s="471"/>
    </row>
    <row r="461" spans="10:76" x14ac:dyDescent="0.3">
      <c r="J461" s="362" t="s">
        <v>238</v>
      </c>
      <c r="K461" s="363" t="s">
        <v>135</v>
      </c>
      <c r="L461" s="439"/>
      <c r="M461" s="363" t="s">
        <v>239</v>
      </c>
      <c r="N461" s="363" t="s">
        <v>240</v>
      </c>
      <c r="O461" s="363" t="s">
        <v>136</v>
      </c>
      <c r="P461" s="363">
        <v>2018</v>
      </c>
      <c r="Q461" s="366" t="s">
        <v>267</v>
      </c>
      <c r="R461" s="475" t="s">
        <v>376</v>
      </c>
      <c r="S461" s="476"/>
      <c r="T461" s="476"/>
      <c r="U461" s="366" t="s">
        <v>170</v>
      </c>
      <c r="V461" s="439"/>
      <c r="W461" s="363" t="s">
        <v>243</v>
      </c>
      <c r="X461" s="468">
        <v>2019</v>
      </c>
      <c r="Y461" s="439"/>
      <c r="Z461" s="439" t="str">
        <f>VLOOKUP(R461,KEY_Processes!$C$131:$E$163,3,FALSE)</f>
        <v>HW_HES_HTH01</v>
      </c>
      <c r="AA461" s="439" t="str">
        <f>VLOOKUP(R461,KEY_Processes!$C$131:$E$163,2,FALSE)</f>
        <v>HW_DistrictHeating_HTH_SMALL</v>
      </c>
      <c r="AB461" s="439" t="str">
        <f>VLOOKUP(U461,KEY_FUELS!$C$4:$D$77,2,FALSE)</f>
        <v>HTH</v>
      </c>
      <c r="AC461" s="439" t="s">
        <v>150</v>
      </c>
      <c r="AD461" s="439" t="s">
        <v>364</v>
      </c>
      <c r="AE461" s="439" t="s">
        <v>152</v>
      </c>
      <c r="AF461" s="439" t="str">
        <f>VLOOKUP(W461,KEY_Other!$B$37:$C$89,2,FALSE)</f>
        <v>EUR</v>
      </c>
      <c r="AG461" s="439"/>
      <c r="AH461" s="439" t="str">
        <f>AC461&amp;VLOOKUP(U461,KEY_FUELS!$C$4:$D$78,2,FALSE)</f>
        <v>RSDHTH</v>
      </c>
      <c r="AI461" s="439" t="str">
        <f>IFERROR(AC461&amp;VLOOKUP(V461,KEY_FUELS!$C$4:$D$78,2,FALSE),"")</f>
        <v/>
      </c>
      <c r="AJ461" s="439" t="str">
        <f t="shared" si="113"/>
        <v>RHHS</v>
      </c>
      <c r="AK461" s="439" t="str">
        <f t="shared" si="114"/>
        <v>RWHS</v>
      </c>
      <c r="AL461" s="439" t="str">
        <f t="shared" si="115"/>
        <v/>
      </c>
      <c r="AM461" s="364">
        <v>31.536000000000001</v>
      </c>
      <c r="AN461" s="468">
        <f t="shared" si="116"/>
        <v>2019</v>
      </c>
      <c r="AO461" s="439">
        <v>1</v>
      </c>
      <c r="AP461" s="441"/>
      <c r="AQ461" s="445"/>
      <c r="AR461" s="441"/>
      <c r="AS461" s="441"/>
      <c r="AT461" s="441" t="s">
        <v>151</v>
      </c>
      <c r="AU461" s="477">
        <v>0.62</v>
      </c>
      <c r="AV461" s="445"/>
      <c r="AW461" s="445"/>
      <c r="AX461" s="441"/>
      <c r="AY461" s="441"/>
      <c r="AZ461" s="445">
        <v>0.95</v>
      </c>
      <c r="BA461" s="441">
        <v>5.5</v>
      </c>
      <c r="BB461" s="441"/>
      <c r="BC461" s="439"/>
      <c r="BD461" s="441"/>
      <c r="BE461" s="441"/>
      <c r="BF461" s="439"/>
      <c r="BG461" s="439"/>
      <c r="BH461" s="439"/>
      <c r="BI461" s="439">
        <v>20</v>
      </c>
      <c r="BJ461" s="439"/>
      <c r="BK461" s="478">
        <v>256</v>
      </c>
      <c r="BL461" s="439"/>
      <c r="BM461" s="439"/>
      <c r="BN461" s="439"/>
      <c r="BO461" s="439"/>
      <c r="BP461" s="439"/>
      <c r="BQ461" s="439"/>
      <c r="BR461" s="441">
        <v>15</v>
      </c>
      <c r="BS461" s="439"/>
      <c r="BT461" s="439"/>
      <c r="BU461" s="439"/>
      <c r="BV461" s="439"/>
      <c r="BW461" s="439"/>
      <c r="BX461" s="469"/>
    </row>
    <row r="462" spans="10:76" x14ac:dyDescent="0.3">
      <c r="J462" s="378" t="s">
        <v>238</v>
      </c>
      <c r="K462" s="379" t="s">
        <v>135</v>
      </c>
      <c r="L462" s="427"/>
      <c r="M462" s="379" t="s">
        <v>239</v>
      </c>
      <c r="N462" s="379" t="s">
        <v>240</v>
      </c>
      <c r="O462" s="379" t="s">
        <v>136</v>
      </c>
      <c r="P462" s="379">
        <v>2018</v>
      </c>
      <c r="Q462" s="382" t="s">
        <v>267</v>
      </c>
      <c r="R462" s="479" t="s">
        <v>376</v>
      </c>
      <c r="S462" s="480"/>
      <c r="T462" s="480"/>
      <c r="U462" s="382" t="s">
        <v>170</v>
      </c>
      <c r="V462" s="427"/>
      <c r="W462" s="379" t="s">
        <v>243</v>
      </c>
      <c r="X462" s="470">
        <v>2019</v>
      </c>
      <c r="Y462" s="427"/>
      <c r="Z462" s="427" t="str">
        <f>VLOOKUP(R462,KEY_Processes!$C$131:$E$163,3,FALSE)</f>
        <v>HW_HES_HTH01</v>
      </c>
      <c r="AA462" s="427" t="str">
        <f>VLOOKUP(R462,KEY_Processes!$C$131:$E$163,2,FALSE)</f>
        <v>HW_DistrictHeating_HTH_SMALL</v>
      </c>
      <c r="AB462" s="427" t="str">
        <f>VLOOKUP(U462,KEY_FUELS!$C$4:$D$77,2,FALSE)</f>
        <v>HTH</v>
      </c>
      <c r="AC462" s="427" t="s">
        <v>150</v>
      </c>
      <c r="AD462" s="427" t="s">
        <v>364</v>
      </c>
      <c r="AE462" s="427" t="s">
        <v>152</v>
      </c>
      <c r="AF462" s="427" t="str">
        <f>VLOOKUP(W462,KEY_Other!$B$37:$C$89,2,FALSE)</f>
        <v>EUR</v>
      </c>
      <c r="AG462" s="427"/>
      <c r="AH462" s="427" t="str">
        <f>AC462&amp;VLOOKUP(U462,KEY_FUELS!$C$4:$D$78,2,FALSE)</f>
        <v>RSDHTH</v>
      </c>
      <c r="AI462" s="427" t="str">
        <f>IFERROR(AC462&amp;VLOOKUP(V462,KEY_FUELS!$C$4:$D$78,2,FALSE),"")</f>
        <v/>
      </c>
      <c r="AJ462" s="427" t="str">
        <f t="shared" si="113"/>
        <v>RHHS</v>
      </c>
      <c r="AK462" s="427" t="str">
        <f t="shared" si="114"/>
        <v>RWHS</v>
      </c>
      <c r="AL462" s="427" t="str">
        <f t="shared" si="115"/>
        <v/>
      </c>
      <c r="AM462" s="380">
        <v>31.536000000000001</v>
      </c>
      <c r="AN462" s="470">
        <f t="shared" si="116"/>
        <v>2019</v>
      </c>
      <c r="AO462" s="427">
        <v>1</v>
      </c>
      <c r="AP462" s="429"/>
      <c r="AQ462" s="467"/>
      <c r="AR462" s="429"/>
      <c r="AS462" s="429"/>
      <c r="AT462" s="429" t="s">
        <v>220</v>
      </c>
      <c r="AU462" s="481">
        <v>0.77</v>
      </c>
      <c r="AV462" s="467"/>
      <c r="AW462" s="467"/>
      <c r="AX462" s="429"/>
      <c r="AY462" s="429"/>
      <c r="AZ462" s="467">
        <v>0.95</v>
      </c>
      <c r="BA462" s="429">
        <v>4.25</v>
      </c>
      <c r="BB462" s="429"/>
      <c r="BC462" s="427"/>
      <c r="BD462" s="429"/>
      <c r="BE462" s="429"/>
      <c r="BF462" s="427"/>
      <c r="BG462" s="427"/>
      <c r="BH462" s="427"/>
      <c r="BI462" s="427">
        <v>20</v>
      </c>
      <c r="BJ462" s="427"/>
      <c r="BK462" s="482">
        <v>256</v>
      </c>
      <c r="BL462" s="427"/>
      <c r="BM462" s="427"/>
      <c r="BN462" s="427"/>
      <c r="BO462" s="427"/>
      <c r="BP462" s="427"/>
      <c r="BQ462" s="427"/>
      <c r="BR462" s="429">
        <v>15</v>
      </c>
      <c r="BS462" s="427"/>
      <c r="BT462" s="427"/>
      <c r="BU462" s="427"/>
      <c r="BV462" s="427"/>
      <c r="BW462" s="427"/>
      <c r="BX462" s="471"/>
    </row>
    <row r="463" spans="10:76" x14ac:dyDescent="0.3">
      <c r="J463" s="362" t="s">
        <v>238</v>
      </c>
      <c r="K463" s="363" t="s">
        <v>135</v>
      </c>
      <c r="L463" s="439"/>
      <c r="M463" s="363" t="s">
        <v>239</v>
      </c>
      <c r="N463" s="363" t="s">
        <v>240</v>
      </c>
      <c r="O463" s="363" t="s">
        <v>136</v>
      </c>
      <c r="P463" s="363">
        <v>2018</v>
      </c>
      <c r="Q463" s="366" t="s">
        <v>267</v>
      </c>
      <c r="R463" s="475" t="s">
        <v>376</v>
      </c>
      <c r="S463" s="476"/>
      <c r="T463" s="476"/>
      <c r="U463" s="366" t="s">
        <v>170</v>
      </c>
      <c r="V463" s="439"/>
      <c r="W463" s="363" t="s">
        <v>243</v>
      </c>
      <c r="X463" s="468">
        <v>2019</v>
      </c>
      <c r="Y463" s="439"/>
      <c r="Z463" s="439" t="str">
        <f>VLOOKUP(R463,KEY_Processes!$C$131:$E$163,3,FALSE)</f>
        <v>HW_HES_HTH01</v>
      </c>
      <c r="AA463" s="439" t="str">
        <f>VLOOKUP(R463,KEY_Processes!$C$131:$E$163,2,FALSE)</f>
        <v>HW_DistrictHeating_HTH_SMALL</v>
      </c>
      <c r="AB463" s="439" t="str">
        <f>VLOOKUP(U463,KEY_FUELS!$C$4:$D$77,2,FALSE)</f>
        <v>HTH</v>
      </c>
      <c r="AC463" s="439" t="s">
        <v>150</v>
      </c>
      <c r="AD463" s="439" t="s">
        <v>364</v>
      </c>
      <c r="AE463" s="439" t="s">
        <v>152</v>
      </c>
      <c r="AF463" s="439" t="str">
        <f>VLOOKUP(W463,KEY_Other!$B$37:$C$89,2,FALSE)</f>
        <v>EUR</v>
      </c>
      <c r="AG463" s="439"/>
      <c r="AH463" s="439" t="str">
        <f>AC463&amp;VLOOKUP(U463,KEY_FUELS!$C$4:$D$78,2,FALSE)</f>
        <v>RSDHTH</v>
      </c>
      <c r="AI463" s="439" t="str">
        <f>IFERROR(AC463&amp;VLOOKUP(V463,KEY_FUELS!$C$4:$D$78,2,FALSE),"")</f>
        <v/>
      </c>
      <c r="AJ463" s="439" t="str">
        <f t="shared" si="113"/>
        <v>RHHS</v>
      </c>
      <c r="AK463" s="439" t="str">
        <f t="shared" si="114"/>
        <v>RWHS</v>
      </c>
      <c r="AL463" s="439" t="str">
        <f t="shared" si="115"/>
        <v/>
      </c>
      <c r="AM463" s="364">
        <v>31.536000000000001</v>
      </c>
      <c r="AN463" s="468">
        <f t="shared" si="116"/>
        <v>2019</v>
      </c>
      <c r="AO463" s="439">
        <v>1</v>
      </c>
      <c r="AP463" s="441"/>
      <c r="AQ463" s="445"/>
      <c r="AR463" s="441"/>
      <c r="AS463" s="441"/>
      <c r="AT463" s="441" t="s">
        <v>373</v>
      </c>
      <c r="AU463" s="477">
        <v>0.81</v>
      </c>
      <c r="AV463" s="445"/>
      <c r="AW463" s="445"/>
      <c r="AX463" s="441"/>
      <c r="AY463" s="441"/>
      <c r="AZ463" s="445">
        <v>0.95</v>
      </c>
      <c r="BA463" s="441">
        <v>4.25</v>
      </c>
      <c r="BB463" s="441"/>
      <c r="BC463" s="439"/>
      <c r="BD463" s="441"/>
      <c r="BE463" s="441"/>
      <c r="BF463" s="439"/>
      <c r="BG463" s="439"/>
      <c r="BH463" s="439"/>
      <c r="BI463" s="439">
        <v>20</v>
      </c>
      <c r="BJ463" s="439"/>
      <c r="BK463" s="478">
        <v>256</v>
      </c>
      <c r="BL463" s="439"/>
      <c r="BM463" s="439"/>
      <c r="BN463" s="439"/>
      <c r="BO463" s="439"/>
      <c r="BP463" s="439"/>
      <c r="BQ463" s="439"/>
      <c r="BR463" s="441">
        <v>15</v>
      </c>
      <c r="BS463" s="439"/>
      <c r="BT463" s="439"/>
      <c r="BU463" s="439"/>
      <c r="BV463" s="439"/>
      <c r="BW463" s="439"/>
      <c r="BX463" s="469"/>
    </row>
    <row r="464" spans="10:76" x14ac:dyDescent="0.3">
      <c r="J464" s="378" t="s">
        <v>238</v>
      </c>
      <c r="K464" s="379" t="s">
        <v>135</v>
      </c>
      <c r="L464" s="427"/>
      <c r="M464" s="379" t="s">
        <v>239</v>
      </c>
      <c r="N464" s="379" t="s">
        <v>240</v>
      </c>
      <c r="O464" s="379" t="s">
        <v>136</v>
      </c>
      <c r="P464" s="379">
        <v>2018</v>
      </c>
      <c r="Q464" s="382" t="s">
        <v>277</v>
      </c>
      <c r="R464" s="479" t="s">
        <v>377</v>
      </c>
      <c r="S464" s="480"/>
      <c r="T464" s="480"/>
      <c r="U464" s="382" t="s">
        <v>189</v>
      </c>
      <c r="V464" s="427" t="s">
        <v>198</v>
      </c>
      <c r="W464" s="379" t="s">
        <v>243</v>
      </c>
      <c r="X464" s="470" t="s">
        <v>363</v>
      </c>
      <c r="Y464" s="427"/>
      <c r="Z464" s="427" t="str">
        <f>VLOOKUP(R464,KEY_Processes!$C$131:$E$163,3,FALSE)</f>
        <v>HW_GHPS_ELC01</v>
      </c>
      <c r="AA464" s="427" t="str">
        <f>VLOOKUP(R464,KEY_Processes!$C$131:$E$163,2,FALSE)</f>
        <v>HW_GroundHeatPump_ELC_SMALL</v>
      </c>
      <c r="AB464" s="427" t="str">
        <f>VLOOKUP(U464,KEY_FUELS!$C$4:$D$77,2,FALSE)</f>
        <v>ELC</v>
      </c>
      <c r="AC464" s="427" t="s">
        <v>150</v>
      </c>
      <c r="AD464" s="427" t="s">
        <v>364</v>
      </c>
      <c r="AE464" s="427" t="s">
        <v>152</v>
      </c>
      <c r="AF464" s="427" t="str">
        <f>VLOOKUP(W464,KEY_Other!$B$37:$C$89,2,FALSE)</f>
        <v>EUR</v>
      </c>
      <c r="AG464" s="427"/>
      <c r="AH464" s="427" t="str">
        <f>AC464&amp;VLOOKUP(U464,KEY_FUELS!$C$4:$D$78,2,FALSE)</f>
        <v>RSDELC</v>
      </c>
      <c r="AI464" s="427" t="str">
        <f>IFERROR(AC464&amp;VLOOKUP(V464,KEY_FUELS!$C$4:$D$78,2,FALSE),"")</f>
        <v>RSDGEO</v>
      </c>
      <c r="AJ464" s="427" t="str">
        <f t="shared" si="113"/>
        <v>RHHS</v>
      </c>
      <c r="AK464" s="427" t="str">
        <f t="shared" si="114"/>
        <v>RWHS</v>
      </c>
      <c r="AL464" s="427" t="str">
        <f t="shared" si="115"/>
        <v/>
      </c>
      <c r="AM464" s="380">
        <v>31.536000000000001</v>
      </c>
      <c r="AN464" s="470" t="str">
        <f t="shared" si="116"/>
        <v>2030</v>
      </c>
      <c r="AO464" s="427">
        <v>1</v>
      </c>
      <c r="AP464" s="429"/>
      <c r="AQ464" s="467"/>
      <c r="AR464" s="429"/>
      <c r="AS464" s="429"/>
      <c r="AT464" s="429"/>
      <c r="AU464" s="481"/>
      <c r="AV464" s="467"/>
      <c r="AW464" s="467"/>
      <c r="AX464" s="429"/>
      <c r="AY464" s="429">
        <f t="shared" ref="AY464:AY473" si="118">AZ464</f>
        <v>4.09</v>
      </c>
      <c r="AZ464" s="467">
        <v>4.09</v>
      </c>
      <c r="BA464" s="429"/>
      <c r="BB464" s="429"/>
      <c r="BC464" s="427"/>
      <c r="BD464" s="429"/>
      <c r="BE464" s="429"/>
      <c r="BF464" s="427"/>
      <c r="BG464" s="427"/>
      <c r="BH464" s="427"/>
      <c r="BI464" s="427">
        <v>25</v>
      </c>
      <c r="BJ464" s="427"/>
      <c r="BK464" s="482">
        <v>1968</v>
      </c>
      <c r="BL464" s="427"/>
      <c r="BM464" s="427"/>
      <c r="BN464" s="427"/>
      <c r="BO464" s="427"/>
      <c r="BP464" s="427"/>
      <c r="BQ464" s="427"/>
      <c r="BR464" s="429">
        <v>1.5813953488372099</v>
      </c>
      <c r="BS464" s="427"/>
      <c r="BT464" s="427"/>
      <c r="BU464" s="427"/>
      <c r="BV464" s="427"/>
      <c r="BW464" s="427"/>
      <c r="BX464" s="471"/>
    </row>
    <row r="465" spans="10:76" x14ac:dyDescent="0.3">
      <c r="J465" s="362" t="s">
        <v>238</v>
      </c>
      <c r="K465" s="363" t="s">
        <v>135</v>
      </c>
      <c r="L465" s="439"/>
      <c r="M465" s="363" t="s">
        <v>239</v>
      </c>
      <c r="N465" s="363" t="s">
        <v>240</v>
      </c>
      <c r="O465" s="363" t="s">
        <v>136</v>
      </c>
      <c r="P465" s="363">
        <v>2018</v>
      </c>
      <c r="Q465" s="366" t="s">
        <v>277</v>
      </c>
      <c r="R465" s="475" t="s">
        <v>377</v>
      </c>
      <c r="S465" s="476"/>
      <c r="T465" s="476"/>
      <c r="U465" s="366" t="s">
        <v>189</v>
      </c>
      <c r="V465" s="439" t="s">
        <v>198</v>
      </c>
      <c r="W465" s="363" t="s">
        <v>243</v>
      </c>
      <c r="X465" s="468">
        <v>2019</v>
      </c>
      <c r="Y465" s="439"/>
      <c r="Z465" s="439" t="str">
        <f>VLOOKUP(R465,KEY_Processes!$C$131:$E$163,3,FALSE)</f>
        <v>HW_GHPS_ELC01</v>
      </c>
      <c r="AA465" s="439" t="str">
        <f>VLOOKUP(R465,KEY_Processes!$C$131:$E$163,2,FALSE)</f>
        <v>HW_GroundHeatPump_ELC_SMALL</v>
      </c>
      <c r="AB465" s="439" t="str">
        <f>VLOOKUP(U465,KEY_FUELS!$C$4:$D$77,2,FALSE)</f>
        <v>ELC</v>
      </c>
      <c r="AC465" s="439" t="s">
        <v>150</v>
      </c>
      <c r="AD465" s="439" t="s">
        <v>364</v>
      </c>
      <c r="AE465" s="439" t="s">
        <v>152</v>
      </c>
      <c r="AF465" s="439" t="str">
        <f>VLOOKUP(W465,KEY_Other!$B$37:$C$89,2,FALSE)</f>
        <v>EUR</v>
      </c>
      <c r="AG465" s="439"/>
      <c r="AH465" s="439" t="str">
        <f>AC465&amp;VLOOKUP(U465,KEY_FUELS!$C$4:$D$78,2,FALSE)</f>
        <v>RSDELC</v>
      </c>
      <c r="AI465" s="439" t="str">
        <f>IFERROR(AC465&amp;VLOOKUP(V465,KEY_FUELS!$C$4:$D$78,2,FALSE),"")</f>
        <v>RSDGEO</v>
      </c>
      <c r="AJ465" s="439" t="str">
        <f t="shared" si="113"/>
        <v>RHHS</v>
      </c>
      <c r="AK465" s="439" t="str">
        <f t="shared" si="114"/>
        <v>RWHS</v>
      </c>
      <c r="AL465" s="439" t="str">
        <f t="shared" si="115"/>
        <v/>
      </c>
      <c r="AM465" s="364">
        <v>31.536000000000001</v>
      </c>
      <c r="AN465" s="468">
        <f t="shared" si="116"/>
        <v>2019</v>
      </c>
      <c r="AO465" s="439">
        <v>1</v>
      </c>
      <c r="AP465" s="441"/>
      <c r="AQ465" s="445"/>
      <c r="AR465" s="441"/>
      <c r="AS465" s="441"/>
      <c r="AT465" s="441" t="s">
        <v>155</v>
      </c>
      <c r="AU465" s="477">
        <v>0.5</v>
      </c>
      <c r="AV465" s="445"/>
      <c r="AW465" s="445"/>
      <c r="AX465" s="441"/>
      <c r="AY465" s="441">
        <f t="shared" si="118"/>
        <v>3.81</v>
      </c>
      <c r="AZ465" s="445">
        <v>3.81</v>
      </c>
      <c r="BA465" s="441"/>
      <c r="BB465" s="441"/>
      <c r="BC465" s="439"/>
      <c r="BD465" s="441"/>
      <c r="BE465" s="441"/>
      <c r="BF465" s="439"/>
      <c r="BG465" s="439"/>
      <c r="BH465" s="439"/>
      <c r="BI465" s="439">
        <v>25</v>
      </c>
      <c r="BJ465" s="439"/>
      <c r="BK465" s="478">
        <v>1668</v>
      </c>
      <c r="BL465" s="439"/>
      <c r="BM465" s="439"/>
      <c r="BN465" s="439"/>
      <c r="BO465" s="439"/>
      <c r="BP465" s="439"/>
      <c r="BQ465" s="439"/>
      <c r="BR465" s="441">
        <v>1.5813953488372099</v>
      </c>
      <c r="BS465" s="439"/>
      <c r="BT465" s="439"/>
      <c r="BU465" s="439"/>
      <c r="BV465" s="439"/>
      <c r="BW465" s="439"/>
      <c r="BX465" s="469"/>
    </row>
    <row r="466" spans="10:76" x14ac:dyDescent="0.3">
      <c r="J466" s="378" t="s">
        <v>238</v>
      </c>
      <c r="K466" s="379" t="s">
        <v>135</v>
      </c>
      <c r="L466" s="427"/>
      <c r="M466" s="379" t="s">
        <v>239</v>
      </c>
      <c r="N466" s="379" t="s">
        <v>240</v>
      </c>
      <c r="O466" s="379" t="s">
        <v>136</v>
      </c>
      <c r="P466" s="379">
        <v>2018</v>
      </c>
      <c r="Q466" s="382" t="s">
        <v>277</v>
      </c>
      <c r="R466" s="479" t="s">
        <v>377</v>
      </c>
      <c r="S466" s="480"/>
      <c r="T466" s="480"/>
      <c r="U466" s="382" t="s">
        <v>189</v>
      </c>
      <c r="V466" s="427" t="s">
        <v>198</v>
      </c>
      <c r="W466" s="379" t="s">
        <v>243</v>
      </c>
      <c r="X466" s="470">
        <v>2019</v>
      </c>
      <c r="Y466" s="427"/>
      <c r="Z466" s="427" t="str">
        <f>VLOOKUP(R466,KEY_Processes!$C$131:$E$163,3,FALSE)</f>
        <v>HW_GHPS_ELC01</v>
      </c>
      <c r="AA466" s="427" t="str">
        <f>VLOOKUP(R466,KEY_Processes!$C$131:$E$163,2,FALSE)</f>
        <v>HW_GroundHeatPump_ELC_SMALL</v>
      </c>
      <c r="AB466" s="427" t="str">
        <f>VLOOKUP(U466,KEY_FUELS!$C$4:$D$77,2,FALSE)</f>
        <v>ELC</v>
      </c>
      <c r="AC466" s="427" t="s">
        <v>150</v>
      </c>
      <c r="AD466" s="427" t="s">
        <v>364</v>
      </c>
      <c r="AE466" s="427" t="s">
        <v>152</v>
      </c>
      <c r="AF466" s="427" t="str">
        <f>VLOOKUP(W466,KEY_Other!$B$37:$C$89,2,FALSE)</f>
        <v>EUR</v>
      </c>
      <c r="AG466" s="427"/>
      <c r="AH466" s="427" t="str">
        <f>AC466&amp;VLOOKUP(U466,KEY_FUELS!$C$4:$D$78,2,FALSE)</f>
        <v>RSDELC</v>
      </c>
      <c r="AI466" s="427" t="str">
        <f>IFERROR(AC466&amp;VLOOKUP(V466,KEY_FUELS!$C$4:$D$78,2,FALSE),"")</f>
        <v>RSDGEO</v>
      </c>
      <c r="AJ466" s="427" t="str">
        <f t="shared" si="113"/>
        <v>RHHS</v>
      </c>
      <c r="AK466" s="427" t="str">
        <f t="shared" si="114"/>
        <v>RWHS</v>
      </c>
      <c r="AL466" s="427" t="str">
        <f t="shared" si="115"/>
        <v/>
      </c>
      <c r="AM466" s="380">
        <v>31.536000000000001</v>
      </c>
      <c r="AN466" s="470">
        <f t="shared" si="116"/>
        <v>2019</v>
      </c>
      <c r="AO466" s="427">
        <v>1</v>
      </c>
      <c r="AP466" s="429"/>
      <c r="AQ466" s="467"/>
      <c r="AR466" s="429"/>
      <c r="AS466" s="429"/>
      <c r="AT466" s="429" t="s">
        <v>151</v>
      </c>
      <c r="AU466" s="481">
        <v>0.62</v>
      </c>
      <c r="AV466" s="467"/>
      <c r="AW466" s="467"/>
      <c r="AX466" s="429"/>
      <c r="AY466" s="429">
        <f t="shared" si="118"/>
        <v>3.81</v>
      </c>
      <c r="AZ466" s="467">
        <v>3.81</v>
      </c>
      <c r="BA466" s="429"/>
      <c r="BB466" s="429"/>
      <c r="BC466" s="427"/>
      <c r="BD466" s="429"/>
      <c r="BE466" s="429"/>
      <c r="BF466" s="427"/>
      <c r="BG466" s="427"/>
      <c r="BH466" s="427"/>
      <c r="BI466" s="427">
        <v>25</v>
      </c>
      <c r="BJ466" s="427"/>
      <c r="BK466" s="482">
        <v>1668</v>
      </c>
      <c r="BL466" s="427"/>
      <c r="BM466" s="427"/>
      <c r="BN466" s="427"/>
      <c r="BO466" s="427"/>
      <c r="BP466" s="427"/>
      <c r="BQ466" s="427"/>
      <c r="BR466" s="429">
        <v>1.5813953488372099</v>
      </c>
      <c r="BS466" s="427"/>
      <c r="BT466" s="427"/>
      <c r="BU466" s="427"/>
      <c r="BV466" s="427"/>
      <c r="BW466" s="427"/>
      <c r="BX466" s="471"/>
    </row>
    <row r="467" spans="10:76" x14ac:dyDescent="0.3">
      <c r="J467" s="362" t="s">
        <v>238</v>
      </c>
      <c r="K467" s="363" t="s">
        <v>135</v>
      </c>
      <c r="L467" s="439"/>
      <c r="M467" s="363" t="s">
        <v>239</v>
      </c>
      <c r="N467" s="363" t="s">
        <v>240</v>
      </c>
      <c r="O467" s="363" t="s">
        <v>136</v>
      </c>
      <c r="P467" s="363">
        <v>2018</v>
      </c>
      <c r="Q467" s="366" t="s">
        <v>277</v>
      </c>
      <c r="R467" s="475" t="s">
        <v>377</v>
      </c>
      <c r="S467" s="476"/>
      <c r="T467" s="476"/>
      <c r="U467" s="366" t="s">
        <v>189</v>
      </c>
      <c r="V467" s="439" t="s">
        <v>198</v>
      </c>
      <c r="W467" s="363" t="s">
        <v>243</v>
      </c>
      <c r="X467" s="468">
        <v>2019</v>
      </c>
      <c r="Y467" s="439"/>
      <c r="Z467" s="439" t="str">
        <f>VLOOKUP(R467,KEY_Processes!$C$131:$E$163,3,FALSE)</f>
        <v>HW_GHPS_ELC01</v>
      </c>
      <c r="AA467" s="439" t="str">
        <f>VLOOKUP(R467,KEY_Processes!$C$131:$E$163,2,FALSE)</f>
        <v>HW_GroundHeatPump_ELC_SMALL</v>
      </c>
      <c r="AB467" s="439" t="str">
        <f>VLOOKUP(U467,KEY_FUELS!$C$4:$D$77,2,FALSE)</f>
        <v>ELC</v>
      </c>
      <c r="AC467" s="439" t="s">
        <v>150</v>
      </c>
      <c r="AD467" s="439" t="s">
        <v>364</v>
      </c>
      <c r="AE467" s="439" t="s">
        <v>152</v>
      </c>
      <c r="AF467" s="439" t="str">
        <f>VLOOKUP(W467,KEY_Other!$B$37:$C$89,2,FALSE)</f>
        <v>EUR</v>
      </c>
      <c r="AG467" s="439"/>
      <c r="AH467" s="439" t="str">
        <f>AC467&amp;VLOOKUP(U467,KEY_FUELS!$C$4:$D$78,2,FALSE)</f>
        <v>RSDELC</v>
      </c>
      <c r="AI467" s="439" t="str">
        <f>IFERROR(AC467&amp;VLOOKUP(V467,KEY_FUELS!$C$4:$D$78,2,FALSE),"")</f>
        <v>RSDGEO</v>
      </c>
      <c r="AJ467" s="439" t="str">
        <f t="shared" si="113"/>
        <v>RHHS</v>
      </c>
      <c r="AK467" s="439" t="str">
        <f t="shared" si="114"/>
        <v>RWHS</v>
      </c>
      <c r="AL467" s="439" t="str">
        <f t="shared" si="115"/>
        <v/>
      </c>
      <c r="AM467" s="364">
        <v>31.536000000000001</v>
      </c>
      <c r="AN467" s="468">
        <f t="shared" si="116"/>
        <v>2019</v>
      </c>
      <c r="AO467" s="439">
        <v>1</v>
      </c>
      <c r="AP467" s="441"/>
      <c r="AQ467" s="445"/>
      <c r="AR467" s="441"/>
      <c r="AS467" s="441"/>
      <c r="AT467" s="441" t="s">
        <v>220</v>
      </c>
      <c r="AU467" s="477">
        <v>0.77</v>
      </c>
      <c r="AV467" s="445"/>
      <c r="AW467" s="445"/>
      <c r="AX467" s="441"/>
      <c r="AY467" s="441">
        <f t="shared" si="118"/>
        <v>3.81</v>
      </c>
      <c r="AZ467" s="445">
        <v>3.81</v>
      </c>
      <c r="BA467" s="441"/>
      <c r="BB467" s="441"/>
      <c r="BC467" s="439"/>
      <c r="BD467" s="441"/>
      <c r="BE467" s="441"/>
      <c r="BF467" s="439"/>
      <c r="BG467" s="439"/>
      <c r="BH467" s="439"/>
      <c r="BI467" s="439">
        <v>25</v>
      </c>
      <c r="BJ467" s="439"/>
      <c r="BK467" s="478">
        <v>1668</v>
      </c>
      <c r="BL467" s="439"/>
      <c r="BM467" s="439"/>
      <c r="BN467" s="439"/>
      <c r="BO467" s="439"/>
      <c r="BP467" s="439"/>
      <c r="BQ467" s="439"/>
      <c r="BR467" s="441">
        <v>1.5813953488372099</v>
      </c>
      <c r="BS467" s="439"/>
      <c r="BT467" s="439"/>
      <c r="BU467" s="439"/>
      <c r="BV467" s="439"/>
      <c r="BW467" s="439"/>
      <c r="BX467" s="469"/>
    </row>
    <row r="468" spans="10:76" x14ac:dyDescent="0.3">
      <c r="J468" s="378" t="s">
        <v>238</v>
      </c>
      <c r="K468" s="379" t="s">
        <v>135</v>
      </c>
      <c r="L468" s="427"/>
      <c r="M468" s="379" t="s">
        <v>239</v>
      </c>
      <c r="N468" s="379" t="s">
        <v>240</v>
      </c>
      <c r="O468" s="379" t="s">
        <v>136</v>
      </c>
      <c r="P468" s="379">
        <v>2018</v>
      </c>
      <c r="Q468" s="382" t="s">
        <v>277</v>
      </c>
      <c r="R468" s="479" t="s">
        <v>377</v>
      </c>
      <c r="S468" s="480"/>
      <c r="T468" s="480"/>
      <c r="U468" s="382" t="s">
        <v>189</v>
      </c>
      <c r="V468" s="427" t="s">
        <v>198</v>
      </c>
      <c r="W468" s="379" t="s">
        <v>243</v>
      </c>
      <c r="X468" s="470">
        <v>2019</v>
      </c>
      <c r="Y468" s="427"/>
      <c r="Z468" s="427" t="str">
        <f>VLOOKUP(R468,KEY_Processes!$C$131:$E$163,3,FALSE)</f>
        <v>HW_GHPS_ELC01</v>
      </c>
      <c r="AA468" s="427" t="str">
        <f>VLOOKUP(R468,KEY_Processes!$C$131:$E$163,2,FALSE)</f>
        <v>HW_GroundHeatPump_ELC_SMALL</v>
      </c>
      <c r="AB468" s="427" t="str">
        <f>VLOOKUP(U468,KEY_FUELS!$C$4:$D$77,2,FALSE)</f>
        <v>ELC</v>
      </c>
      <c r="AC468" s="427" t="s">
        <v>150</v>
      </c>
      <c r="AD468" s="427" t="s">
        <v>364</v>
      </c>
      <c r="AE468" s="427" t="s">
        <v>152</v>
      </c>
      <c r="AF468" s="427" t="str">
        <f>VLOOKUP(W468,KEY_Other!$B$37:$C$89,2,FALSE)</f>
        <v>EUR</v>
      </c>
      <c r="AG468" s="427"/>
      <c r="AH468" s="427" t="str">
        <f>AC468&amp;VLOOKUP(U468,KEY_FUELS!$C$4:$D$78,2,FALSE)</f>
        <v>RSDELC</v>
      </c>
      <c r="AI468" s="427" t="str">
        <f>IFERROR(AC468&amp;VLOOKUP(V468,KEY_FUELS!$C$4:$D$78,2,FALSE),"")</f>
        <v>RSDGEO</v>
      </c>
      <c r="AJ468" s="427" t="str">
        <f t="shared" si="113"/>
        <v>RHHS</v>
      </c>
      <c r="AK468" s="427" t="str">
        <f t="shared" si="114"/>
        <v>RWHS</v>
      </c>
      <c r="AL468" s="427" t="str">
        <f t="shared" si="115"/>
        <v/>
      </c>
      <c r="AM468" s="380">
        <v>31.536000000000001</v>
      </c>
      <c r="AN468" s="470">
        <f t="shared" si="116"/>
        <v>2019</v>
      </c>
      <c r="AO468" s="427">
        <v>1</v>
      </c>
      <c r="AP468" s="429"/>
      <c r="AQ468" s="467"/>
      <c r="AR468" s="429"/>
      <c r="AS468" s="429"/>
      <c r="AT468" s="429" t="s">
        <v>373</v>
      </c>
      <c r="AU468" s="481">
        <v>0.81</v>
      </c>
      <c r="AV468" s="467"/>
      <c r="AW468" s="467"/>
      <c r="AX468" s="429"/>
      <c r="AY468" s="429">
        <f t="shared" si="118"/>
        <v>3.81</v>
      </c>
      <c r="AZ468" s="467">
        <v>3.81</v>
      </c>
      <c r="BA468" s="429"/>
      <c r="BB468" s="429"/>
      <c r="BC468" s="427"/>
      <c r="BD468" s="429"/>
      <c r="BE468" s="429"/>
      <c r="BF468" s="427"/>
      <c r="BG468" s="427"/>
      <c r="BH468" s="427"/>
      <c r="BI468" s="427">
        <v>25</v>
      </c>
      <c r="BJ468" s="427"/>
      <c r="BK468" s="482">
        <v>1668</v>
      </c>
      <c r="BL468" s="427"/>
      <c r="BM468" s="427"/>
      <c r="BN468" s="427"/>
      <c r="BO468" s="427"/>
      <c r="BP468" s="427"/>
      <c r="BQ468" s="427"/>
      <c r="BR468" s="429">
        <v>1.5813953488372099</v>
      </c>
      <c r="BS468" s="427"/>
      <c r="BT468" s="427"/>
      <c r="BU468" s="427"/>
      <c r="BV468" s="427"/>
      <c r="BW468" s="427"/>
      <c r="BX468" s="471"/>
    </row>
    <row r="469" spans="10:76" x14ac:dyDescent="0.3">
      <c r="J469" s="362" t="s">
        <v>238</v>
      </c>
      <c r="K469" s="363" t="s">
        <v>135</v>
      </c>
      <c r="L469" s="439"/>
      <c r="M469" s="363" t="s">
        <v>239</v>
      </c>
      <c r="N469" s="363" t="s">
        <v>240</v>
      </c>
      <c r="O469" s="363" t="s">
        <v>136</v>
      </c>
      <c r="P469" s="363">
        <v>2018</v>
      </c>
      <c r="Q469" s="366" t="s">
        <v>245</v>
      </c>
      <c r="R469" s="475" t="s">
        <v>378</v>
      </c>
      <c r="S469" s="476"/>
      <c r="T469" s="476"/>
      <c r="U469" s="366" t="s">
        <v>189</v>
      </c>
      <c r="V469" s="439" t="s">
        <v>190</v>
      </c>
      <c r="W469" s="363" t="s">
        <v>243</v>
      </c>
      <c r="X469" s="468" t="s">
        <v>363</v>
      </c>
      <c r="Y469" s="439"/>
      <c r="Z469" s="439" t="str">
        <f>VLOOKUP(R469,KEY_Processes!$C$131:$E$163,3,FALSE)</f>
        <v>HW_AHPS_ELC01</v>
      </c>
      <c r="AA469" s="439" t="str">
        <f>VLOOKUP(R469,KEY_Processes!$C$131:$E$163,2,FALSE)</f>
        <v>HW_AirHeatPump_ELC_SMALL</v>
      </c>
      <c r="AB469" s="439" t="str">
        <f>VLOOKUP(U469,KEY_FUELS!$C$4:$D$77,2,FALSE)</f>
        <v>ELC</v>
      </c>
      <c r="AC469" s="439" t="s">
        <v>150</v>
      </c>
      <c r="AD469" s="439" t="s">
        <v>364</v>
      </c>
      <c r="AE469" s="439" t="s">
        <v>152</v>
      </c>
      <c r="AF469" s="439" t="str">
        <f>VLOOKUP(W469,KEY_Other!$B$37:$C$89,2,FALSE)</f>
        <v>EUR</v>
      </c>
      <c r="AG469" s="439"/>
      <c r="AH469" s="439" t="str">
        <f>AC469&amp;VLOOKUP(U469,KEY_FUELS!$C$4:$D$78,2,FALSE)</f>
        <v>RSDELC</v>
      </c>
      <c r="AI469" s="439" t="str">
        <f>IFERROR(AC469&amp;VLOOKUP(V469,KEY_FUELS!$C$4:$D$78,2,FALSE),"")</f>
        <v>RSDAHT</v>
      </c>
      <c r="AJ469" s="439" t="str">
        <f t="shared" si="113"/>
        <v>RHHS</v>
      </c>
      <c r="AK469" s="439" t="str">
        <f t="shared" si="114"/>
        <v>RWHS</v>
      </c>
      <c r="AL469" s="439" t="str">
        <f t="shared" si="115"/>
        <v/>
      </c>
      <c r="AM469" s="364">
        <v>31.536000000000001</v>
      </c>
      <c r="AN469" s="468" t="str">
        <f t="shared" si="116"/>
        <v>2030</v>
      </c>
      <c r="AO469" s="439">
        <v>1</v>
      </c>
      <c r="AP469" s="441"/>
      <c r="AQ469" s="445"/>
      <c r="AR469" s="441"/>
      <c r="AS469" s="441"/>
      <c r="AT469" s="441"/>
      <c r="AU469" s="477"/>
      <c r="AV469" s="445"/>
      <c r="AW469" s="445"/>
      <c r="AX469" s="441"/>
      <c r="AY469" s="441">
        <f t="shared" si="118"/>
        <v>3.74</v>
      </c>
      <c r="AZ469" s="445">
        <v>3.74</v>
      </c>
      <c r="BA469" s="441"/>
      <c r="BB469" s="441"/>
      <c r="BC469" s="439"/>
      <c r="BD469" s="441"/>
      <c r="BE469" s="441"/>
      <c r="BF469" s="439"/>
      <c r="BG469" s="439"/>
      <c r="BH469" s="439"/>
      <c r="BI469" s="439">
        <v>20</v>
      </c>
      <c r="BJ469" s="439"/>
      <c r="BK469" s="478">
        <v>365.69767441860466</v>
      </c>
      <c r="BL469" s="439"/>
      <c r="BM469" s="439"/>
      <c r="BN469" s="439"/>
      <c r="BO469" s="439"/>
      <c r="BP469" s="439"/>
      <c r="BQ469" s="439"/>
      <c r="BR469" s="441">
        <v>3.1627906976744184</v>
      </c>
      <c r="BS469" s="439"/>
      <c r="BT469" s="439"/>
      <c r="BU469" s="439"/>
      <c r="BV469" s="439"/>
      <c r="BW469" s="439"/>
      <c r="BX469" s="469"/>
    </row>
    <row r="470" spans="10:76" x14ac:dyDescent="0.3">
      <c r="J470" s="378" t="s">
        <v>238</v>
      </c>
      <c r="K470" s="379" t="s">
        <v>135</v>
      </c>
      <c r="L470" s="427"/>
      <c r="M470" s="379" t="s">
        <v>239</v>
      </c>
      <c r="N470" s="379" t="s">
        <v>240</v>
      </c>
      <c r="O470" s="379" t="s">
        <v>136</v>
      </c>
      <c r="P470" s="379">
        <v>2018</v>
      </c>
      <c r="Q470" s="382" t="s">
        <v>245</v>
      </c>
      <c r="R470" s="479" t="s">
        <v>378</v>
      </c>
      <c r="S470" s="480"/>
      <c r="T470" s="480"/>
      <c r="U470" s="382" t="s">
        <v>189</v>
      </c>
      <c r="V470" s="427" t="s">
        <v>190</v>
      </c>
      <c r="W470" s="379" t="s">
        <v>243</v>
      </c>
      <c r="X470" s="470">
        <v>2019</v>
      </c>
      <c r="Y470" s="427"/>
      <c r="Z470" s="427" t="str">
        <f>VLOOKUP(R470,KEY_Processes!$C$131:$E$163,3,FALSE)</f>
        <v>HW_AHPS_ELC01</v>
      </c>
      <c r="AA470" s="427" t="str">
        <f>VLOOKUP(R470,KEY_Processes!$C$131:$E$163,2,FALSE)</f>
        <v>HW_AirHeatPump_ELC_SMALL</v>
      </c>
      <c r="AB470" s="427" t="str">
        <f>VLOOKUP(U470,KEY_FUELS!$C$4:$D$77,2,FALSE)</f>
        <v>ELC</v>
      </c>
      <c r="AC470" s="427" t="s">
        <v>150</v>
      </c>
      <c r="AD470" s="427" t="s">
        <v>364</v>
      </c>
      <c r="AE470" s="427" t="s">
        <v>152</v>
      </c>
      <c r="AF470" s="427" t="str">
        <f>VLOOKUP(W470,KEY_Other!$B$37:$C$89,2,FALSE)</f>
        <v>EUR</v>
      </c>
      <c r="AG470" s="427"/>
      <c r="AH470" s="427" t="str">
        <f>AC470&amp;VLOOKUP(U470,KEY_FUELS!$C$4:$D$78,2,FALSE)</f>
        <v>RSDELC</v>
      </c>
      <c r="AI470" s="427" t="str">
        <f>IFERROR(AC470&amp;VLOOKUP(V470,KEY_FUELS!$C$4:$D$78,2,FALSE),"")</f>
        <v>RSDAHT</v>
      </c>
      <c r="AJ470" s="427" t="str">
        <f t="shared" si="113"/>
        <v>RHHS</v>
      </c>
      <c r="AK470" s="427" t="str">
        <f t="shared" si="114"/>
        <v>RWHS</v>
      </c>
      <c r="AL470" s="427" t="str">
        <f t="shared" si="115"/>
        <v/>
      </c>
      <c r="AM470" s="380">
        <v>31.536000000000001</v>
      </c>
      <c r="AN470" s="470">
        <f t="shared" si="116"/>
        <v>2019</v>
      </c>
      <c r="AO470" s="427">
        <v>1</v>
      </c>
      <c r="AP470" s="429"/>
      <c r="AQ470" s="467"/>
      <c r="AR470" s="429"/>
      <c r="AS470" s="429"/>
      <c r="AT470" s="429" t="s">
        <v>155</v>
      </c>
      <c r="AU470" s="481">
        <v>0.5</v>
      </c>
      <c r="AV470" s="467"/>
      <c r="AW470" s="467"/>
      <c r="AX470" s="429"/>
      <c r="AY470" s="429">
        <f t="shared" si="118"/>
        <v>2.81</v>
      </c>
      <c r="AZ470" s="467">
        <v>2.81</v>
      </c>
      <c r="BA470" s="429"/>
      <c r="BB470" s="429"/>
      <c r="BC470" s="427"/>
      <c r="BD470" s="429"/>
      <c r="BE470" s="429"/>
      <c r="BF470" s="427"/>
      <c r="BG470" s="427"/>
      <c r="BH470" s="427"/>
      <c r="BI470" s="427">
        <v>20</v>
      </c>
      <c r="BJ470" s="427"/>
      <c r="BK470" s="482">
        <v>326.16279069767444</v>
      </c>
      <c r="BL470" s="427"/>
      <c r="BM470" s="427"/>
      <c r="BN470" s="427"/>
      <c r="BO470" s="427"/>
      <c r="BP470" s="427"/>
      <c r="BQ470" s="427"/>
      <c r="BR470" s="429">
        <v>3.1627906976744184</v>
      </c>
      <c r="BS470" s="427"/>
      <c r="BT470" s="427"/>
      <c r="BU470" s="427"/>
      <c r="BV470" s="427"/>
      <c r="BW470" s="427"/>
      <c r="BX470" s="471"/>
    </row>
    <row r="471" spans="10:76" x14ac:dyDescent="0.3">
      <c r="J471" s="362" t="s">
        <v>238</v>
      </c>
      <c r="K471" s="363" t="s">
        <v>135</v>
      </c>
      <c r="L471" s="439"/>
      <c r="M471" s="363" t="s">
        <v>239</v>
      </c>
      <c r="N471" s="363" t="s">
        <v>240</v>
      </c>
      <c r="O471" s="363" t="s">
        <v>136</v>
      </c>
      <c r="P471" s="363">
        <v>2018</v>
      </c>
      <c r="Q471" s="366" t="s">
        <v>245</v>
      </c>
      <c r="R471" s="475" t="s">
        <v>378</v>
      </c>
      <c r="S471" s="476"/>
      <c r="T471" s="476"/>
      <c r="U471" s="366" t="s">
        <v>189</v>
      </c>
      <c r="V471" s="439" t="s">
        <v>190</v>
      </c>
      <c r="W471" s="363" t="s">
        <v>243</v>
      </c>
      <c r="X471" s="468">
        <v>2019</v>
      </c>
      <c r="Y471" s="439"/>
      <c r="Z471" s="439" t="str">
        <f>VLOOKUP(R471,KEY_Processes!$C$131:$E$163,3,FALSE)</f>
        <v>HW_AHPS_ELC01</v>
      </c>
      <c r="AA471" s="439" t="str">
        <f>VLOOKUP(R471,KEY_Processes!$C$131:$E$163,2,FALSE)</f>
        <v>HW_AirHeatPump_ELC_SMALL</v>
      </c>
      <c r="AB471" s="439" t="str">
        <f>VLOOKUP(U471,KEY_FUELS!$C$4:$D$77,2,FALSE)</f>
        <v>ELC</v>
      </c>
      <c r="AC471" s="439" t="s">
        <v>150</v>
      </c>
      <c r="AD471" s="439" t="s">
        <v>364</v>
      </c>
      <c r="AE471" s="439" t="s">
        <v>152</v>
      </c>
      <c r="AF471" s="439" t="str">
        <f>VLOOKUP(W471,KEY_Other!$B$37:$C$89,2,FALSE)</f>
        <v>EUR</v>
      </c>
      <c r="AG471" s="439"/>
      <c r="AH471" s="439" t="str">
        <f>AC471&amp;VLOOKUP(U471,KEY_FUELS!$C$4:$D$78,2,FALSE)</f>
        <v>RSDELC</v>
      </c>
      <c r="AI471" s="439" t="str">
        <f>IFERROR(AC471&amp;VLOOKUP(V471,KEY_FUELS!$C$4:$D$78,2,FALSE),"")</f>
        <v>RSDAHT</v>
      </c>
      <c r="AJ471" s="439" t="str">
        <f t="shared" si="113"/>
        <v>RHHS</v>
      </c>
      <c r="AK471" s="439" t="str">
        <f t="shared" si="114"/>
        <v>RWHS</v>
      </c>
      <c r="AL471" s="439" t="str">
        <f t="shared" si="115"/>
        <v/>
      </c>
      <c r="AM471" s="364">
        <v>31.536000000000001</v>
      </c>
      <c r="AN471" s="468">
        <f t="shared" si="116"/>
        <v>2019</v>
      </c>
      <c r="AO471" s="439">
        <v>1</v>
      </c>
      <c r="AP471" s="441"/>
      <c r="AQ471" s="445"/>
      <c r="AR471" s="441"/>
      <c r="AS471" s="441"/>
      <c r="AT471" s="441" t="s">
        <v>151</v>
      </c>
      <c r="AU471" s="477">
        <v>0.62</v>
      </c>
      <c r="AV471" s="445"/>
      <c r="AW471" s="445"/>
      <c r="AX471" s="441"/>
      <c r="AY471" s="441">
        <f t="shared" si="118"/>
        <v>2.81</v>
      </c>
      <c r="AZ471" s="445">
        <v>2.81</v>
      </c>
      <c r="BA471" s="441"/>
      <c r="BB471" s="441"/>
      <c r="BC471" s="439"/>
      <c r="BD471" s="441"/>
      <c r="BE471" s="441"/>
      <c r="BF471" s="439"/>
      <c r="BG471" s="439"/>
      <c r="BH471" s="439"/>
      <c r="BI471" s="439">
        <v>20</v>
      </c>
      <c r="BJ471" s="439"/>
      <c r="BK471" s="478">
        <v>326.16279069767444</v>
      </c>
      <c r="BL471" s="439"/>
      <c r="BM471" s="439"/>
      <c r="BN471" s="439"/>
      <c r="BO471" s="439"/>
      <c r="BP471" s="439"/>
      <c r="BQ471" s="439"/>
      <c r="BR471" s="441">
        <v>3.1627906976744184</v>
      </c>
      <c r="BS471" s="439"/>
      <c r="BT471" s="439"/>
      <c r="BU471" s="439"/>
      <c r="BV471" s="439"/>
      <c r="BW471" s="439"/>
      <c r="BX471" s="469"/>
    </row>
    <row r="472" spans="10:76" x14ac:dyDescent="0.3">
      <c r="J472" s="378" t="s">
        <v>238</v>
      </c>
      <c r="K472" s="379" t="s">
        <v>135</v>
      </c>
      <c r="L472" s="427"/>
      <c r="M472" s="379" t="s">
        <v>239</v>
      </c>
      <c r="N472" s="379" t="s">
        <v>240</v>
      </c>
      <c r="O472" s="379" t="s">
        <v>136</v>
      </c>
      <c r="P472" s="379">
        <v>2018</v>
      </c>
      <c r="Q472" s="382" t="s">
        <v>245</v>
      </c>
      <c r="R472" s="479" t="s">
        <v>378</v>
      </c>
      <c r="S472" s="480"/>
      <c r="T472" s="480"/>
      <c r="U472" s="382" t="s">
        <v>189</v>
      </c>
      <c r="V472" s="427" t="s">
        <v>190</v>
      </c>
      <c r="W472" s="379" t="s">
        <v>243</v>
      </c>
      <c r="X472" s="470">
        <v>2019</v>
      </c>
      <c r="Y472" s="427"/>
      <c r="Z472" s="427" t="str">
        <f>VLOOKUP(R472,KEY_Processes!$C$131:$E$163,3,FALSE)</f>
        <v>HW_AHPS_ELC01</v>
      </c>
      <c r="AA472" s="427" t="str">
        <f>VLOOKUP(R472,KEY_Processes!$C$131:$E$163,2,FALSE)</f>
        <v>HW_AirHeatPump_ELC_SMALL</v>
      </c>
      <c r="AB472" s="427" t="str">
        <f>VLOOKUP(U472,KEY_FUELS!$C$4:$D$77,2,FALSE)</f>
        <v>ELC</v>
      </c>
      <c r="AC472" s="427" t="s">
        <v>150</v>
      </c>
      <c r="AD472" s="427" t="s">
        <v>364</v>
      </c>
      <c r="AE472" s="427" t="s">
        <v>152</v>
      </c>
      <c r="AF472" s="427" t="str">
        <f>VLOOKUP(W472,KEY_Other!$B$37:$C$89,2,FALSE)</f>
        <v>EUR</v>
      </c>
      <c r="AG472" s="427"/>
      <c r="AH472" s="427" t="str">
        <f>AC472&amp;VLOOKUP(U472,KEY_FUELS!$C$4:$D$78,2,FALSE)</f>
        <v>RSDELC</v>
      </c>
      <c r="AI472" s="427" t="str">
        <f>IFERROR(AC472&amp;VLOOKUP(V472,KEY_FUELS!$C$4:$D$78,2,FALSE),"")</f>
        <v>RSDAHT</v>
      </c>
      <c r="AJ472" s="427" t="str">
        <f t="shared" si="113"/>
        <v>RHHS</v>
      </c>
      <c r="AK472" s="427" t="str">
        <f t="shared" si="114"/>
        <v>RWHS</v>
      </c>
      <c r="AL472" s="427" t="str">
        <f t="shared" si="115"/>
        <v/>
      </c>
      <c r="AM472" s="380">
        <v>31.536000000000001</v>
      </c>
      <c r="AN472" s="470">
        <f t="shared" si="116"/>
        <v>2019</v>
      </c>
      <c r="AO472" s="427">
        <v>1</v>
      </c>
      <c r="AP472" s="429"/>
      <c r="AQ472" s="467"/>
      <c r="AR472" s="429"/>
      <c r="AS472" s="429"/>
      <c r="AT472" s="429" t="s">
        <v>220</v>
      </c>
      <c r="AU472" s="481">
        <v>0.77</v>
      </c>
      <c r="AV472" s="467"/>
      <c r="AW472" s="467"/>
      <c r="AX472" s="429"/>
      <c r="AY472" s="429">
        <f t="shared" si="118"/>
        <v>2.81</v>
      </c>
      <c r="AZ472" s="467">
        <v>2.81</v>
      </c>
      <c r="BA472" s="429"/>
      <c r="BB472" s="429"/>
      <c r="BC472" s="427"/>
      <c r="BD472" s="429"/>
      <c r="BE472" s="429"/>
      <c r="BF472" s="427"/>
      <c r="BG472" s="427"/>
      <c r="BH472" s="427"/>
      <c r="BI472" s="427">
        <v>20</v>
      </c>
      <c r="BJ472" s="427"/>
      <c r="BK472" s="482">
        <v>326.16279069767444</v>
      </c>
      <c r="BL472" s="427"/>
      <c r="BM472" s="427"/>
      <c r="BN472" s="427"/>
      <c r="BO472" s="427"/>
      <c r="BP472" s="427"/>
      <c r="BQ472" s="427"/>
      <c r="BR472" s="429">
        <v>3.1627906976744184</v>
      </c>
      <c r="BS472" s="427"/>
      <c r="BT472" s="427"/>
      <c r="BU472" s="427"/>
      <c r="BV472" s="427"/>
      <c r="BW472" s="427"/>
      <c r="BX472" s="471"/>
    </row>
    <row r="473" spans="10:76" x14ac:dyDescent="0.3">
      <c r="J473" s="362" t="s">
        <v>238</v>
      </c>
      <c r="K473" s="363" t="s">
        <v>135</v>
      </c>
      <c r="L473" s="439"/>
      <c r="M473" s="363" t="s">
        <v>239</v>
      </c>
      <c r="N473" s="363" t="s">
        <v>240</v>
      </c>
      <c r="O473" s="363" t="s">
        <v>136</v>
      </c>
      <c r="P473" s="363">
        <v>2018</v>
      </c>
      <c r="Q473" s="366" t="s">
        <v>245</v>
      </c>
      <c r="R473" s="475" t="s">
        <v>378</v>
      </c>
      <c r="S473" s="476"/>
      <c r="T473" s="476"/>
      <c r="U473" s="366" t="s">
        <v>189</v>
      </c>
      <c r="V473" s="439" t="s">
        <v>190</v>
      </c>
      <c r="W473" s="363" t="s">
        <v>243</v>
      </c>
      <c r="X473" s="468">
        <v>2019</v>
      </c>
      <c r="Y473" s="439"/>
      <c r="Z473" s="439" t="str">
        <f>VLOOKUP(R473,KEY_Processes!$C$131:$E$163,3,FALSE)</f>
        <v>HW_AHPS_ELC01</v>
      </c>
      <c r="AA473" s="439" t="str">
        <f>VLOOKUP(R473,KEY_Processes!$C$131:$E$163,2,FALSE)</f>
        <v>HW_AirHeatPump_ELC_SMALL</v>
      </c>
      <c r="AB473" s="439" t="str">
        <f>VLOOKUP(U473,KEY_FUELS!$C$4:$D$77,2,FALSE)</f>
        <v>ELC</v>
      </c>
      <c r="AC473" s="439" t="s">
        <v>150</v>
      </c>
      <c r="AD473" s="439" t="s">
        <v>364</v>
      </c>
      <c r="AE473" s="439" t="s">
        <v>152</v>
      </c>
      <c r="AF473" s="439" t="str">
        <f>VLOOKUP(W473,KEY_Other!$B$37:$C$89,2,FALSE)</f>
        <v>EUR</v>
      </c>
      <c r="AG473" s="439"/>
      <c r="AH473" s="439" t="str">
        <f>AC473&amp;VLOOKUP(U473,KEY_FUELS!$C$4:$D$78,2,FALSE)</f>
        <v>RSDELC</v>
      </c>
      <c r="AI473" s="439" t="str">
        <f>IFERROR(AC473&amp;VLOOKUP(V473,KEY_FUELS!$C$4:$D$78,2,FALSE),"")</f>
        <v>RSDAHT</v>
      </c>
      <c r="AJ473" s="439" t="str">
        <f t="shared" si="113"/>
        <v>RHHS</v>
      </c>
      <c r="AK473" s="439" t="str">
        <f t="shared" si="114"/>
        <v>RWHS</v>
      </c>
      <c r="AL473" s="439" t="str">
        <f t="shared" si="115"/>
        <v/>
      </c>
      <c r="AM473" s="364">
        <v>31.536000000000001</v>
      </c>
      <c r="AN473" s="468">
        <f t="shared" si="116"/>
        <v>2019</v>
      </c>
      <c r="AO473" s="439">
        <v>1</v>
      </c>
      <c r="AP473" s="441"/>
      <c r="AQ473" s="445"/>
      <c r="AR473" s="441"/>
      <c r="AS473" s="441"/>
      <c r="AT473" s="441" t="s">
        <v>373</v>
      </c>
      <c r="AU473" s="477">
        <v>0.81</v>
      </c>
      <c r="AV473" s="445"/>
      <c r="AW473" s="445"/>
      <c r="AX473" s="441"/>
      <c r="AY473" s="441">
        <f t="shared" si="118"/>
        <v>2.81</v>
      </c>
      <c r="AZ473" s="445">
        <v>2.81</v>
      </c>
      <c r="BA473" s="441"/>
      <c r="BB473" s="441"/>
      <c r="BC473" s="439"/>
      <c r="BD473" s="441"/>
      <c r="BE473" s="441"/>
      <c r="BF473" s="439"/>
      <c r="BG473" s="439"/>
      <c r="BH473" s="439"/>
      <c r="BI473" s="439">
        <v>20</v>
      </c>
      <c r="BJ473" s="439"/>
      <c r="BK473" s="478">
        <v>326.16279069767444</v>
      </c>
      <c r="BL473" s="439"/>
      <c r="BM473" s="439"/>
      <c r="BN473" s="439"/>
      <c r="BO473" s="439"/>
      <c r="BP473" s="439"/>
      <c r="BQ473" s="439"/>
      <c r="BR473" s="441">
        <v>3.1627906976744184</v>
      </c>
      <c r="BS473" s="439"/>
      <c r="BT473" s="439"/>
      <c r="BU473" s="439"/>
      <c r="BV473" s="439"/>
      <c r="BW473" s="439"/>
      <c r="BX473" s="469"/>
    </row>
    <row r="474" spans="10:76" x14ac:dyDescent="0.3">
      <c r="J474" s="378" t="s">
        <v>238</v>
      </c>
      <c r="K474" s="379" t="s">
        <v>135</v>
      </c>
      <c r="L474" s="427"/>
      <c r="M474" s="379" t="s">
        <v>239</v>
      </c>
      <c r="N474" s="379" t="s">
        <v>240</v>
      </c>
      <c r="O474" s="379" t="s">
        <v>136</v>
      </c>
      <c r="P474" s="379">
        <v>2018</v>
      </c>
      <c r="Q474" s="382" t="s">
        <v>259</v>
      </c>
      <c r="R474" s="479" t="s">
        <v>379</v>
      </c>
      <c r="S474" s="480"/>
      <c r="T474" s="480"/>
      <c r="U474" s="382" t="s">
        <v>261</v>
      </c>
      <c r="V474" s="427"/>
      <c r="W474" s="379" t="s">
        <v>243</v>
      </c>
      <c r="X474" s="470" t="s">
        <v>363</v>
      </c>
      <c r="Y474" s="427"/>
      <c r="Z474" s="427" t="str">
        <f>VLOOKUP(R474,KEY_Processes!$C$131:$E$163,3,FALSE)</f>
        <v>W_FS_DST01</v>
      </c>
      <c r="AA474" s="427" t="str">
        <f>VLOOKUP(R474,KEY_Processes!$C$131:$E$163,2,FALSE)</f>
        <v>W_DieselFurnace_DST_SMALL</v>
      </c>
      <c r="AB474" s="427" t="str">
        <f>VLOOKUP(U474,KEY_FUELS!$C$4:$D$77,2,FALSE)</f>
        <v>DST</v>
      </c>
      <c r="AC474" s="427" t="s">
        <v>150</v>
      </c>
      <c r="AD474" s="427" t="s">
        <v>364</v>
      </c>
      <c r="AE474" s="427" t="s">
        <v>152</v>
      </c>
      <c r="AF474" s="427" t="str">
        <f>VLOOKUP(W474,KEY_Other!$B$37:$C$89,2,FALSE)</f>
        <v>EUR</v>
      </c>
      <c r="AG474" s="427"/>
      <c r="AH474" s="427" t="str">
        <f>AC474&amp;VLOOKUP(U474,KEY_FUELS!$C$4:$D$78,2,FALSE)</f>
        <v>RSDDST</v>
      </c>
      <c r="AI474" s="427" t="str">
        <f>IFERROR(AC474&amp;VLOOKUP(V474,KEY_FUELS!$C$4:$D$78,2,FALSE),"")</f>
        <v/>
      </c>
      <c r="AJ474" s="427" t="str">
        <f t="shared" si="113"/>
        <v>RWHS</v>
      </c>
      <c r="AK474" s="427" t="str">
        <f t="shared" si="114"/>
        <v/>
      </c>
      <c r="AL474" s="427" t="str">
        <f t="shared" si="115"/>
        <v/>
      </c>
      <c r="AM474" s="380">
        <v>31.536000000000001</v>
      </c>
      <c r="AN474" s="470" t="str">
        <f t="shared" si="116"/>
        <v>2030</v>
      </c>
      <c r="AO474" s="470"/>
      <c r="AP474" s="429"/>
      <c r="AQ474" s="467"/>
      <c r="AR474" s="429"/>
      <c r="AS474" s="429"/>
      <c r="AT474" s="429"/>
      <c r="AU474" s="481"/>
      <c r="AV474" s="467"/>
      <c r="AW474" s="467"/>
      <c r="AX474" s="429"/>
      <c r="AY474" s="429"/>
      <c r="AZ474" s="467">
        <v>0.85</v>
      </c>
      <c r="BA474" s="429"/>
      <c r="BB474" s="429"/>
      <c r="BC474" s="427"/>
      <c r="BD474" s="429"/>
      <c r="BE474" s="429"/>
      <c r="BF474" s="427"/>
      <c r="BG474" s="427"/>
      <c r="BH474" s="427"/>
      <c r="BI474" s="427">
        <v>25</v>
      </c>
      <c r="BJ474" s="427"/>
      <c r="BK474" s="482">
        <v>44.471584066870804</v>
      </c>
      <c r="BL474" s="427"/>
      <c r="BM474" s="427"/>
      <c r="BN474" s="427"/>
      <c r="BO474" s="427"/>
      <c r="BP474" s="427"/>
      <c r="BQ474" s="427"/>
      <c r="BR474" s="429">
        <v>1.7401924200079879</v>
      </c>
      <c r="BS474" s="427"/>
      <c r="BT474" s="427"/>
      <c r="BU474" s="427"/>
      <c r="BV474" s="427"/>
      <c r="BW474" s="427"/>
      <c r="BX474" s="471"/>
    </row>
    <row r="475" spans="10:76" x14ac:dyDescent="0.3">
      <c r="J475" s="362" t="s">
        <v>238</v>
      </c>
      <c r="K475" s="363" t="s">
        <v>135</v>
      </c>
      <c r="L475" s="439"/>
      <c r="M475" s="363" t="s">
        <v>239</v>
      </c>
      <c r="N475" s="363" t="s">
        <v>240</v>
      </c>
      <c r="O475" s="363" t="s">
        <v>136</v>
      </c>
      <c r="P475" s="363">
        <v>2018</v>
      </c>
      <c r="Q475" s="366" t="s">
        <v>259</v>
      </c>
      <c r="R475" s="475" t="s">
        <v>379</v>
      </c>
      <c r="S475" s="476"/>
      <c r="T475" s="476"/>
      <c r="U475" s="366" t="s">
        <v>261</v>
      </c>
      <c r="V475" s="439"/>
      <c r="W475" s="363" t="s">
        <v>243</v>
      </c>
      <c r="X475" s="468">
        <v>2019</v>
      </c>
      <c r="Y475" s="439"/>
      <c r="Z475" s="439" t="str">
        <f>VLOOKUP(R475,KEY_Processes!$C$131:$E$163,3,FALSE)</f>
        <v>W_FS_DST01</v>
      </c>
      <c r="AA475" s="439" t="str">
        <f>VLOOKUP(R475,KEY_Processes!$C$131:$E$163,2,FALSE)</f>
        <v>W_DieselFurnace_DST_SMALL</v>
      </c>
      <c r="AB475" s="439" t="str">
        <f>VLOOKUP(U475,KEY_FUELS!$C$4:$D$77,2,FALSE)</f>
        <v>DST</v>
      </c>
      <c r="AC475" s="439" t="s">
        <v>150</v>
      </c>
      <c r="AD475" s="439" t="s">
        <v>364</v>
      </c>
      <c r="AE475" s="439" t="s">
        <v>152</v>
      </c>
      <c r="AF475" s="439" t="str">
        <f>VLOOKUP(W475,KEY_Other!$B$37:$C$89,2,FALSE)</f>
        <v>EUR</v>
      </c>
      <c r="AG475" s="439"/>
      <c r="AH475" s="439" t="str">
        <f>AC475&amp;VLOOKUP(U475,KEY_FUELS!$C$4:$D$78,2,FALSE)</f>
        <v>RSDDST</v>
      </c>
      <c r="AI475" s="439" t="str">
        <f>IFERROR(AC475&amp;VLOOKUP(V475,KEY_FUELS!$C$4:$D$78,2,FALSE),"")</f>
        <v/>
      </c>
      <c r="AJ475" s="439" t="str">
        <f t="shared" si="113"/>
        <v>RWHS</v>
      </c>
      <c r="AK475" s="439" t="str">
        <f t="shared" si="114"/>
        <v/>
      </c>
      <c r="AL475" s="439" t="str">
        <f t="shared" si="115"/>
        <v/>
      </c>
      <c r="AM475" s="364">
        <v>31.536000000000001</v>
      </c>
      <c r="AN475" s="468">
        <f t="shared" si="116"/>
        <v>2019</v>
      </c>
      <c r="AO475" s="468"/>
      <c r="AP475" s="441"/>
      <c r="AQ475" s="445"/>
      <c r="AR475" s="441"/>
      <c r="AS475" s="441"/>
      <c r="AT475" s="441"/>
      <c r="AU475" s="477"/>
      <c r="AV475" s="445"/>
      <c r="AW475" s="445"/>
      <c r="AX475" s="441"/>
      <c r="AY475" s="441"/>
      <c r="AZ475" s="445">
        <v>0.83</v>
      </c>
      <c r="BA475" s="441"/>
      <c r="BB475" s="441"/>
      <c r="BC475" s="439"/>
      <c r="BD475" s="441"/>
      <c r="BE475" s="441"/>
      <c r="BF475" s="439"/>
      <c r="BG475" s="439"/>
      <c r="BH475" s="439"/>
      <c r="BI475" s="439">
        <v>25</v>
      </c>
      <c r="BJ475" s="439"/>
      <c r="BK475" s="478">
        <v>35.770621966830866</v>
      </c>
      <c r="BL475" s="439"/>
      <c r="BM475" s="439"/>
      <c r="BN475" s="439"/>
      <c r="BO475" s="439"/>
      <c r="BP475" s="439"/>
      <c r="BQ475" s="439"/>
      <c r="BR475" s="441">
        <v>1.7401924200079879</v>
      </c>
      <c r="BS475" s="439"/>
      <c r="BT475" s="439"/>
      <c r="BU475" s="439"/>
      <c r="BV475" s="439"/>
      <c r="BW475" s="439"/>
      <c r="BX475" s="469"/>
    </row>
    <row r="476" spans="10:76" x14ac:dyDescent="0.3">
      <c r="J476" s="378" t="s">
        <v>238</v>
      </c>
      <c r="K476" s="379" t="s">
        <v>135</v>
      </c>
      <c r="L476" s="427"/>
      <c r="M476" s="379" t="s">
        <v>239</v>
      </c>
      <c r="N476" s="379" t="s">
        <v>240</v>
      </c>
      <c r="O476" s="379" t="s">
        <v>136</v>
      </c>
      <c r="P476" s="379">
        <v>2018</v>
      </c>
      <c r="Q476" s="382" t="s">
        <v>245</v>
      </c>
      <c r="R476" s="479" t="s">
        <v>380</v>
      </c>
      <c r="S476" s="480"/>
      <c r="T476" s="480"/>
      <c r="U476" s="382" t="s">
        <v>189</v>
      </c>
      <c r="V476" s="427" t="s">
        <v>190</v>
      </c>
      <c r="W476" s="379" t="s">
        <v>243</v>
      </c>
      <c r="X476" s="470" t="s">
        <v>363</v>
      </c>
      <c r="Y476" s="427"/>
      <c r="Z476" s="427" t="str">
        <f>VLOOKUP(R476,KEY_Processes!$C$131:$E$163,3,FALSE)</f>
        <v>W_AHPS_ELC01</v>
      </c>
      <c r="AA476" s="427" t="str">
        <f>VLOOKUP(R476,KEY_Processes!$C$131:$E$163,2,FALSE)</f>
        <v>W_AirHeatPump_ELC_SMALL</v>
      </c>
      <c r="AB476" s="427" t="str">
        <f>VLOOKUP(U476,KEY_FUELS!$C$4:$D$77,2,FALSE)</f>
        <v>ELC</v>
      </c>
      <c r="AC476" s="427" t="s">
        <v>150</v>
      </c>
      <c r="AD476" s="427" t="s">
        <v>364</v>
      </c>
      <c r="AE476" s="427" t="s">
        <v>152</v>
      </c>
      <c r="AF476" s="427" t="str">
        <f>VLOOKUP(W476,KEY_Other!$B$37:$C$89,2,FALSE)</f>
        <v>EUR</v>
      </c>
      <c r="AG476" s="427"/>
      <c r="AH476" s="427" t="str">
        <f>AC476&amp;VLOOKUP(U476,KEY_FUELS!$C$4:$D$78,2,FALSE)</f>
        <v>RSDELC</v>
      </c>
      <c r="AI476" s="427" t="str">
        <f>IFERROR(AC476&amp;VLOOKUP(V476,KEY_FUELS!$C$4:$D$78,2,FALSE),"")</f>
        <v>RSDAHT</v>
      </c>
      <c r="AJ476" s="427" t="str">
        <f t="shared" si="113"/>
        <v>RWHS</v>
      </c>
      <c r="AK476" s="427" t="str">
        <f t="shared" si="114"/>
        <v/>
      </c>
      <c r="AL476" s="427" t="str">
        <f t="shared" si="115"/>
        <v/>
      </c>
      <c r="AM476" s="380">
        <v>31.536000000000001</v>
      </c>
      <c r="AN476" s="470" t="str">
        <f t="shared" si="116"/>
        <v>2030</v>
      </c>
      <c r="AO476" s="470"/>
      <c r="AP476" s="429"/>
      <c r="AQ476" s="467"/>
      <c r="AR476" s="429"/>
      <c r="AS476" s="429"/>
      <c r="AT476" s="429"/>
      <c r="AU476" s="481"/>
      <c r="AV476" s="467"/>
      <c r="AW476" s="467"/>
      <c r="AX476" s="429"/>
      <c r="AY476" s="429">
        <f t="shared" ref="AY476:AY477" si="119">AZ476</f>
        <v>2.4500000000000002</v>
      </c>
      <c r="AZ476" s="467">
        <v>2.4500000000000002</v>
      </c>
      <c r="BA476" s="429"/>
      <c r="BB476" s="429"/>
      <c r="BC476" s="427"/>
      <c r="BD476" s="429"/>
      <c r="BE476" s="429"/>
      <c r="BF476" s="427"/>
      <c r="BG476" s="427"/>
      <c r="BH476" s="427"/>
      <c r="BI476" s="427">
        <v>20</v>
      </c>
      <c r="BJ476" s="427"/>
      <c r="BK476" s="482">
        <v>365.69767441860466</v>
      </c>
      <c r="BL476" s="427"/>
      <c r="BM476" s="427"/>
      <c r="BN476" s="427"/>
      <c r="BO476" s="427"/>
      <c r="BP476" s="427"/>
      <c r="BQ476" s="427"/>
      <c r="BR476" s="429">
        <v>3.1627906976744184</v>
      </c>
      <c r="BS476" s="427"/>
      <c r="BT476" s="427"/>
      <c r="BU476" s="427"/>
      <c r="BV476" s="427"/>
      <c r="BW476" s="427"/>
      <c r="BX476" s="471"/>
    </row>
    <row r="477" spans="10:76" x14ac:dyDescent="0.3">
      <c r="J477" s="362" t="s">
        <v>238</v>
      </c>
      <c r="K477" s="363" t="s">
        <v>135</v>
      </c>
      <c r="L477" s="439"/>
      <c r="M477" s="363" t="s">
        <v>239</v>
      </c>
      <c r="N477" s="363" t="s">
        <v>240</v>
      </c>
      <c r="O477" s="363" t="s">
        <v>136</v>
      </c>
      <c r="P477" s="363">
        <v>2018</v>
      </c>
      <c r="Q477" s="366" t="s">
        <v>245</v>
      </c>
      <c r="R477" s="475" t="s">
        <v>380</v>
      </c>
      <c r="S477" s="476"/>
      <c r="T477" s="476"/>
      <c r="U477" s="366" t="s">
        <v>189</v>
      </c>
      <c r="V477" s="439" t="s">
        <v>190</v>
      </c>
      <c r="W477" s="363" t="s">
        <v>243</v>
      </c>
      <c r="X477" s="468">
        <v>2019</v>
      </c>
      <c r="Y477" s="439"/>
      <c r="Z477" s="439" t="str">
        <f>VLOOKUP(R477,KEY_Processes!$C$131:$E$163,3,FALSE)</f>
        <v>W_AHPS_ELC01</v>
      </c>
      <c r="AA477" s="439" t="str">
        <f>VLOOKUP(R477,KEY_Processes!$C$131:$E$163,2,FALSE)</f>
        <v>W_AirHeatPump_ELC_SMALL</v>
      </c>
      <c r="AB477" s="439" t="str">
        <f>VLOOKUP(U477,KEY_FUELS!$C$4:$D$77,2,FALSE)</f>
        <v>ELC</v>
      </c>
      <c r="AC477" s="439" t="s">
        <v>150</v>
      </c>
      <c r="AD477" s="439" t="s">
        <v>364</v>
      </c>
      <c r="AE477" s="439" t="s">
        <v>152</v>
      </c>
      <c r="AF477" s="439" t="str">
        <f>VLOOKUP(W477,KEY_Other!$B$37:$C$89,2,FALSE)</f>
        <v>EUR</v>
      </c>
      <c r="AG477" s="439"/>
      <c r="AH477" s="439" t="str">
        <f>AC477&amp;VLOOKUP(U477,KEY_FUELS!$C$4:$D$78,2,FALSE)</f>
        <v>RSDELC</v>
      </c>
      <c r="AI477" s="439" t="str">
        <f>IFERROR(AC477&amp;VLOOKUP(V477,KEY_FUELS!$C$4:$D$78,2,FALSE),"")</f>
        <v>RSDAHT</v>
      </c>
      <c r="AJ477" s="439" t="str">
        <f t="shared" si="113"/>
        <v>RWHS</v>
      </c>
      <c r="AK477" s="439" t="str">
        <f t="shared" si="114"/>
        <v/>
      </c>
      <c r="AL477" s="439" t="str">
        <f t="shared" si="115"/>
        <v/>
      </c>
      <c r="AM477" s="364">
        <v>31.536000000000001</v>
      </c>
      <c r="AN477" s="468">
        <f t="shared" si="116"/>
        <v>2019</v>
      </c>
      <c r="AO477" s="468"/>
      <c r="AP477" s="441"/>
      <c r="AQ477" s="445"/>
      <c r="AR477" s="441"/>
      <c r="AS477" s="441"/>
      <c r="AT477" s="441"/>
      <c r="AU477" s="477"/>
      <c r="AV477" s="445"/>
      <c r="AW477" s="445"/>
      <c r="AX477" s="441"/>
      <c r="AY477" s="441">
        <f t="shared" si="119"/>
        <v>2</v>
      </c>
      <c r="AZ477" s="445">
        <v>2</v>
      </c>
      <c r="BA477" s="441"/>
      <c r="BB477" s="441"/>
      <c r="BC477" s="439"/>
      <c r="BD477" s="441"/>
      <c r="BE477" s="441"/>
      <c r="BF477" s="439"/>
      <c r="BG477" s="439"/>
      <c r="BH477" s="439"/>
      <c r="BI477" s="439">
        <v>20</v>
      </c>
      <c r="BJ477" s="439"/>
      <c r="BK477" s="478">
        <v>326.16279069767444</v>
      </c>
      <c r="BL477" s="439"/>
      <c r="BM477" s="439"/>
      <c r="BN477" s="439"/>
      <c r="BO477" s="439"/>
      <c r="BP477" s="439"/>
      <c r="BQ477" s="439"/>
      <c r="BR477" s="441">
        <v>3.1627906976744184</v>
      </c>
      <c r="BS477" s="439"/>
      <c r="BT477" s="439"/>
      <c r="BU477" s="439"/>
      <c r="BV477" s="439"/>
      <c r="BW477" s="439"/>
      <c r="BX477" s="469"/>
    </row>
    <row r="478" spans="10:76" x14ac:dyDescent="0.3">
      <c r="J478" s="378" t="s">
        <v>238</v>
      </c>
      <c r="K478" s="379" t="s">
        <v>135</v>
      </c>
      <c r="L478" s="427"/>
      <c r="M478" s="379" t="s">
        <v>239</v>
      </c>
      <c r="N478" s="379" t="s">
        <v>240</v>
      </c>
      <c r="O478" s="379" t="s">
        <v>136</v>
      </c>
      <c r="P478" s="379">
        <v>2018</v>
      </c>
      <c r="Q478" s="382" t="s">
        <v>381</v>
      </c>
      <c r="R478" s="479" t="s">
        <v>382</v>
      </c>
      <c r="S478" s="480"/>
      <c r="T478" s="480"/>
      <c r="U478" s="382" t="s">
        <v>219</v>
      </c>
      <c r="V478" s="427"/>
      <c r="W478" s="379" t="s">
        <v>243</v>
      </c>
      <c r="X478" s="470" t="s">
        <v>363</v>
      </c>
      <c r="Y478" s="427"/>
      <c r="Z478" s="427" t="str">
        <f>VLOOKUP(R478,KEY_Processes!$C$131:$E$163,3,FALSE)</f>
        <v>W_STS_SOL01</v>
      </c>
      <c r="AA478" s="427" t="str">
        <f>VLOOKUP(R478,KEY_Processes!$C$131:$E$163,2,FALSE)</f>
        <v>W_SolarThermalW_SOL_SMALL</v>
      </c>
      <c r="AB478" s="427" t="str">
        <f>VLOOKUP(U478,KEY_FUELS!$C$4:$D$77,2,FALSE)</f>
        <v>SOL</v>
      </c>
      <c r="AC478" s="427" t="s">
        <v>150</v>
      </c>
      <c r="AD478" s="427" t="s">
        <v>364</v>
      </c>
      <c r="AE478" s="427" t="s">
        <v>152</v>
      </c>
      <c r="AF478" s="427" t="str">
        <f>VLOOKUP(W478,KEY_Other!$B$37:$C$89,2,FALSE)</f>
        <v>EUR</v>
      </c>
      <c r="AG478" s="427"/>
      <c r="AH478" s="427" t="str">
        <f>AC478&amp;VLOOKUP(U478,KEY_FUELS!$C$4:$D$78,2,FALSE)</f>
        <v>RSDSOL</v>
      </c>
      <c r="AI478" s="427" t="str">
        <f>IFERROR(AC478&amp;VLOOKUP(V478,KEY_FUELS!$C$4:$D$78,2,FALSE),"")</f>
        <v/>
      </c>
      <c r="AJ478" s="427" t="str">
        <f t="shared" si="113"/>
        <v>RWHS</v>
      </c>
      <c r="AK478" s="427" t="str">
        <f t="shared" si="114"/>
        <v/>
      </c>
      <c r="AL478" s="427" t="str">
        <f t="shared" si="115"/>
        <v/>
      </c>
      <c r="AM478" s="380">
        <v>31.536000000000001</v>
      </c>
      <c r="AN478" s="470" t="str">
        <f t="shared" si="116"/>
        <v>2030</v>
      </c>
      <c r="AO478" s="470"/>
      <c r="AP478" s="429"/>
      <c r="AQ478" s="467">
        <v>0.8</v>
      </c>
      <c r="AR478" s="429">
        <v>0.2</v>
      </c>
      <c r="AS478" s="429"/>
      <c r="AT478" s="429"/>
      <c r="AU478" s="481"/>
      <c r="AV478" s="467"/>
      <c r="AW478" s="467"/>
      <c r="AX478" s="429"/>
      <c r="AY478" s="429"/>
      <c r="AZ478" s="467">
        <v>0.82</v>
      </c>
      <c r="BA478" s="429"/>
      <c r="BB478" s="429"/>
      <c r="BC478" s="427"/>
      <c r="BD478" s="429"/>
      <c r="BE478" s="429"/>
      <c r="BF478" s="427"/>
      <c r="BG478" s="427"/>
      <c r="BH478" s="427"/>
      <c r="BI478" s="427">
        <v>20</v>
      </c>
      <c r="BJ478" s="427"/>
      <c r="BK478" s="482">
        <v>640</v>
      </c>
      <c r="BL478" s="427"/>
      <c r="BM478" s="427"/>
      <c r="BN478" s="427"/>
      <c r="BO478" s="427"/>
      <c r="BP478" s="427"/>
      <c r="BQ478" s="427"/>
      <c r="BR478" s="429">
        <v>5</v>
      </c>
      <c r="BS478" s="427"/>
      <c r="BT478" s="427"/>
      <c r="BU478" s="427"/>
      <c r="BV478" s="427"/>
      <c r="BW478" s="427"/>
      <c r="BX478" s="471"/>
    </row>
    <row r="479" spans="10:76" x14ac:dyDescent="0.3">
      <c r="J479" s="362" t="s">
        <v>238</v>
      </c>
      <c r="K479" s="363" t="s">
        <v>135</v>
      </c>
      <c r="L479" s="439"/>
      <c r="M479" s="363" t="s">
        <v>239</v>
      </c>
      <c r="N479" s="363" t="s">
        <v>240</v>
      </c>
      <c r="O479" s="363" t="s">
        <v>136</v>
      </c>
      <c r="P479" s="363">
        <v>2018</v>
      </c>
      <c r="Q479" s="366" t="s">
        <v>381</v>
      </c>
      <c r="R479" s="475" t="s">
        <v>382</v>
      </c>
      <c r="S479" s="476"/>
      <c r="T479" s="476"/>
      <c r="U479" s="366" t="s">
        <v>219</v>
      </c>
      <c r="V479" s="439"/>
      <c r="W479" s="363" t="s">
        <v>243</v>
      </c>
      <c r="X479" s="468">
        <v>2019</v>
      </c>
      <c r="Y479" s="439"/>
      <c r="Z479" s="439" t="str">
        <f>VLOOKUP(R479,KEY_Processes!$C$131:$E$163,3,FALSE)</f>
        <v>W_STS_SOL01</v>
      </c>
      <c r="AA479" s="439" t="str">
        <f>VLOOKUP(R479,KEY_Processes!$C$131:$E$163,2,FALSE)</f>
        <v>W_SolarThermalW_SOL_SMALL</v>
      </c>
      <c r="AB479" s="439" t="str">
        <f>VLOOKUP(U479,KEY_FUELS!$C$4:$D$77,2,FALSE)</f>
        <v>SOL</v>
      </c>
      <c r="AC479" s="439" t="s">
        <v>150</v>
      </c>
      <c r="AD479" s="439" t="s">
        <v>364</v>
      </c>
      <c r="AE479" s="439" t="s">
        <v>152</v>
      </c>
      <c r="AF479" s="439" t="str">
        <f>VLOOKUP(W479,KEY_Other!$B$37:$C$89,2,FALSE)</f>
        <v>EUR</v>
      </c>
      <c r="AG479" s="439"/>
      <c r="AH479" s="439" t="str">
        <f>AC479&amp;VLOOKUP(U479,KEY_FUELS!$C$4:$D$78,2,FALSE)</f>
        <v>RSDSOL</v>
      </c>
      <c r="AI479" s="439" t="str">
        <f>IFERROR(AC479&amp;VLOOKUP(V479,KEY_FUELS!$C$4:$D$78,2,FALSE),"")</f>
        <v/>
      </c>
      <c r="AJ479" s="439" t="str">
        <f t="shared" si="113"/>
        <v>RWHS</v>
      </c>
      <c r="AK479" s="439" t="str">
        <f t="shared" si="114"/>
        <v/>
      </c>
      <c r="AL479" s="439" t="str">
        <f t="shared" si="115"/>
        <v/>
      </c>
      <c r="AM479" s="364">
        <v>31.536000000000001</v>
      </c>
      <c r="AN479" s="468">
        <f t="shared" si="116"/>
        <v>2019</v>
      </c>
      <c r="AO479" s="468"/>
      <c r="AP479" s="441"/>
      <c r="AQ479" s="445">
        <v>0.8</v>
      </c>
      <c r="AR479" s="441">
        <v>0.2</v>
      </c>
      <c r="AS479" s="441"/>
      <c r="AT479" s="441"/>
      <c r="AU479" s="477"/>
      <c r="AV479" s="445"/>
      <c r="AW479" s="445"/>
      <c r="AX479" s="441"/>
      <c r="AY479" s="441"/>
      <c r="AZ479" s="445">
        <v>0.77</v>
      </c>
      <c r="BA479" s="441"/>
      <c r="BB479" s="441"/>
      <c r="BC479" s="439"/>
      <c r="BD479" s="441"/>
      <c r="BE479" s="441"/>
      <c r="BF479" s="439"/>
      <c r="BG479" s="439"/>
      <c r="BH479" s="439"/>
      <c r="BI479" s="439">
        <v>20</v>
      </c>
      <c r="BJ479" s="439"/>
      <c r="BK479" s="478">
        <v>440</v>
      </c>
      <c r="BL479" s="439"/>
      <c r="BM479" s="439"/>
      <c r="BN479" s="439"/>
      <c r="BO479" s="439"/>
      <c r="BP479" s="439"/>
      <c r="BQ479" s="439"/>
      <c r="BR479" s="441">
        <v>5</v>
      </c>
      <c r="BS479" s="439"/>
      <c r="BT479" s="439"/>
      <c r="BU479" s="439"/>
      <c r="BV479" s="439"/>
      <c r="BW479" s="439"/>
      <c r="BX479" s="469"/>
    </row>
    <row r="480" spans="10:76" x14ac:dyDescent="0.3">
      <c r="J480" s="378" t="s">
        <v>238</v>
      </c>
      <c r="K480" s="379" t="s">
        <v>135</v>
      </c>
      <c r="L480" s="427"/>
      <c r="M480" s="379" t="s">
        <v>239</v>
      </c>
      <c r="N480" s="379" t="s">
        <v>240</v>
      </c>
      <c r="O480" s="379" t="s">
        <v>136</v>
      </c>
      <c r="P480" s="379">
        <v>2018</v>
      </c>
      <c r="Q480" s="382" t="s">
        <v>383</v>
      </c>
      <c r="R480" s="479" t="s">
        <v>384</v>
      </c>
      <c r="S480" s="480"/>
      <c r="T480" s="480"/>
      <c r="U480" s="382" t="s">
        <v>385</v>
      </c>
      <c r="V480" s="427" t="s">
        <v>190</v>
      </c>
      <c r="W480" s="379" t="s">
        <v>243</v>
      </c>
      <c r="X480" s="470">
        <v>2019</v>
      </c>
      <c r="Y480" s="427"/>
      <c r="Z480" s="427" t="str">
        <f>VLOOKUP(R480,KEY_Processes!$C$131:$E$163,3,FALSE)</f>
        <v>HWC_AHPFS_GAS01</v>
      </c>
      <c r="AA480" s="427" t="str">
        <f>VLOOKUP(R480,KEY_Processes!$C$131:$E$163,2,FALSE)</f>
        <v>HWC_HeatPump_GAS_SMALL</v>
      </c>
      <c r="AB480" s="427" t="str">
        <f>VLOOKUP(U480,KEY_FUELS!$C$4:$D$77,2,FALSE)</f>
        <v>GAS</v>
      </c>
      <c r="AC480" s="427" t="s">
        <v>150</v>
      </c>
      <c r="AD480" s="427" t="s">
        <v>364</v>
      </c>
      <c r="AE480" s="427" t="s">
        <v>152</v>
      </c>
      <c r="AF480" s="427" t="str">
        <f>VLOOKUP(W480,KEY_Other!$B$37:$C$89,2,FALSE)</f>
        <v>EUR</v>
      </c>
      <c r="AG480" s="427"/>
      <c r="AH480" s="427" t="str">
        <f>AC480&amp;VLOOKUP(U480,KEY_FUELS!$C$4:$D$78,2,FALSE)</f>
        <v>RSDGAS</v>
      </c>
      <c r="AI480" s="427" t="str">
        <f>IFERROR(AC480&amp;VLOOKUP(V480,KEY_FUELS!$C$4:$D$78,2,FALSE),"")</f>
        <v>RSDAHT</v>
      </c>
      <c r="AJ480" s="427" t="str">
        <f>LEFT(AC480,1)&amp;LEFT(Z480,1)&amp;AD480</f>
        <v>RHHS</v>
      </c>
      <c r="AK480" s="427" t="str">
        <f t="shared" si="114"/>
        <v>RWHS</v>
      </c>
      <c r="AL480" s="427" t="str">
        <f t="shared" si="115"/>
        <v>RCHS</v>
      </c>
      <c r="AM480" s="380">
        <v>31.536000000000001</v>
      </c>
      <c r="AN480" s="470">
        <f t="shared" si="116"/>
        <v>2019</v>
      </c>
      <c r="AO480" s="427">
        <v>1</v>
      </c>
      <c r="AP480" s="429">
        <f>0.6/AZ480</f>
        <v>0.46153846153846151</v>
      </c>
      <c r="AQ480" s="467"/>
      <c r="AR480" s="429"/>
      <c r="AS480" s="429"/>
      <c r="AT480" s="429" t="s">
        <v>155</v>
      </c>
      <c r="AU480" s="481">
        <v>0.4</v>
      </c>
      <c r="AV480" s="467"/>
      <c r="AW480" s="467"/>
      <c r="AX480" s="429"/>
      <c r="AY480" s="429">
        <f t="shared" ref="AY480:AY497" si="120">AZ480</f>
        <v>1.3</v>
      </c>
      <c r="AZ480" s="467">
        <v>1.3</v>
      </c>
      <c r="BA480" s="429"/>
      <c r="BB480" s="429"/>
      <c r="BC480" s="427"/>
      <c r="BD480" s="429"/>
      <c r="BE480" s="429"/>
      <c r="BF480" s="427"/>
      <c r="BG480" s="427"/>
      <c r="BH480" s="427"/>
      <c r="BI480" s="427">
        <v>15</v>
      </c>
      <c r="BJ480" s="427"/>
      <c r="BK480" s="482">
        <v>536.5593295024629</v>
      </c>
      <c r="BL480" s="427"/>
      <c r="BM480" s="427"/>
      <c r="BN480" s="427"/>
      <c r="BO480" s="427"/>
      <c r="BP480" s="427"/>
      <c r="BQ480" s="427"/>
      <c r="BR480" s="429">
        <v>7.7341885333688349</v>
      </c>
      <c r="BS480" s="427"/>
      <c r="BT480" s="427"/>
      <c r="BU480" s="427"/>
      <c r="BV480" s="427"/>
      <c r="BW480" s="427"/>
      <c r="BX480" s="471"/>
    </row>
    <row r="481" spans="10:76" x14ac:dyDescent="0.3">
      <c r="J481" s="362" t="s">
        <v>238</v>
      </c>
      <c r="K481" s="363" t="s">
        <v>135</v>
      </c>
      <c r="L481" s="439"/>
      <c r="M481" s="363" t="s">
        <v>239</v>
      </c>
      <c r="N481" s="363" t="s">
        <v>240</v>
      </c>
      <c r="O481" s="363" t="s">
        <v>136</v>
      </c>
      <c r="P481" s="363">
        <v>2018</v>
      </c>
      <c r="Q481" s="366" t="s">
        <v>383</v>
      </c>
      <c r="R481" s="475" t="s">
        <v>384</v>
      </c>
      <c r="S481" s="476"/>
      <c r="T481" s="476"/>
      <c r="U481" s="366" t="s">
        <v>385</v>
      </c>
      <c r="V481" s="439" t="s">
        <v>190</v>
      </c>
      <c r="W481" s="363" t="s">
        <v>243</v>
      </c>
      <c r="X481" s="468">
        <v>2019</v>
      </c>
      <c r="Y481" s="439"/>
      <c r="Z481" s="439" t="str">
        <f>VLOOKUP(R481,KEY_Processes!$C$131:$E$163,3,FALSE)</f>
        <v>HWC_AHPFS_GAS01</v>
      </c>
      <c r="AA481" s="439" t="str">
        <f>VLOOKUP(R481,KEY_Processes!$C$131:$E$163,2,FALSE)</f>
        <v>HWC_HeatPump_GAS_SMALL</v>
      </c>
      <c r="AB481" s="439" t="str">
        <f>VLOOKUP(U481,KEY_FUELS!$C$4:$D$77,2,FALSE)</f>
        <v>GAS</v>
      </c>
      <c r="AC481" s="439" t="s">
        <v>150</v>
      </c>
      <c r="AD481" s="439" t="s">
        <v>364</v>
      </c>
      <c r="AE481" s="439" t="s">
        <v>152</v>
      </c>
      <c r="AF481" s="439" t="str">
        <f>VLOOKUP(W481,KEY_Other!$B$37:$C$89,2,FALSE)</f>
        <v>EUR</v>
      </c>
      <c r="AG481" s="439"/>
      <c r="AH481" s="439" t="str">
        <f>AC481&amp;VLOOKUP(U481,KEY_FUELS!$C$4:$D$78,2,FALSE)</f>
        <v>RSDGAS</v>
      </c>
      <c r="AI481" s="439" t="str">
        <f>IFERROR(AC481&amp;VLOOKUP(V481,KEY_FUELS!$C$4:$D$78,2,FALSE),"")</f>
        <v>RSDAHT</v>
      </c>
      <c r="AJ481" s="439" t="str">
        <f>LEFT(AC481,1)&amp;LEFT(Z481,1)&amp;AD481</f>
        <v>RHHS</v>
      </c>
      <c r="AK481" s="439" t="str">
        <f t="shared" si="114"/>
        <v>RWHS</v>
      </c>
      <c r="AL481" s="439" t="str">
        <f t="shared" si="115"/>
        <v>RCHS</v>
      </c>
      <c r="AM481" s="364">
        <v>31.536000000000001</v>
      </c>
      <c r="AN481" s="468">
        <f t="shared" si="116"/>
        <v>2019</v>
      </c>
      <c r="AO481" s="439">
        <v>1</v>
      </c>
      <c r="AP481" s="441">
        <f>0.6/AZ481</f>
        <v>0.46153846153846151</v>
      </c>
      <c r="AQ481" s="445"/>
      <c r="AR481" s="441"/>
      <c r="AS481" s="441"/>
      <c r="AT481" s="441" t="s">
        <v>151</v>
      </c>
      <c r="AU481" s="477">
        <v>0.49</v>
      </c>
      <c r="AV481" s="445"/>
      <c r="AW481" s="445"/>
      <c r="AX481" s="441"/>
      <c r="AY481" s="441">
        <f t="shared" si="120"/>
        <v>1.3</v>
      </c>
      <c r="AZ481" s="445">
        <v>1.3</v>
      </c>
      <c r="BA481" s="441"/>
      <c r="BB481" s="441"/>
      <c r="BC481" s="439"/>
      <c r="BD481" s="441"/>
      <c r="BE481" s="441"/>
      <c r="BF481" s="439"/>
      <c r="BG481" s="439"/>
      <c r="BH481" s="439"/>
      <c r="BI481" s="439">
        <v>15</v>
      </c>
      <c r="BJ481" s="439"/>
      <c r="BK481" s="478">
        <v>536.5593295024629</v>
      </c>
      <c r="BL481" s="439"/>
      <c r="BM481" s="439"/>
      <c r="BN481" s="439"/>
      <c r="BO481" s="439"/>
      <c r="BP481" s="439"/>
      <c r="BQ481" s="439"/>
      <c r="BR481" s="441">
        <v>7.7341885333688349</v>
      </c>
      <c r="BS481" s="439"/>
      <c r="BT481" s="439"/>
      <c r="BU481" s="439"/>
      <c r="BV481" s="439"/>
      <c r="BW481" s="439"/>
      <c r="BX481" s="469"/>
    </row>
    <row r="482" spans="10:76" x14ac:dyDescent="0.3">
      <c r="J482" s="378" t="s">
        <v>238</v>
      </c>
      <c r="K482" s="379" t="s">
        <v>135</v>
      </c>
      <c r="L482" s="427"/>
      <c r="M482" s="379" t="s">
        <v>239</v>
      </c>
      <c r="N482" s="379" t="s">
        <v>240</v>
      </c>
      <c r="O482" s="379" t="s">
        <v>136</v>
      </c>
      <c r="P482" s="379">
        <v>2018</v>
      </c>
      <c r="Q482" s="382" t="s">
        <v>383</v>
      </c>
      <c r="R482" s="479" t="s">
        <v>384</v>
      </c>
      <c r="S482" s="480"/>
      <c r="T482" s="480"/>
      <c r="U482" s="382" t="s">
        <v>385</v>
      </c>
      <c r="V482" s="427" t="s">
        <v>190</v>
      </c>
      <c r="W482" s="379" t="s">
        <v>243</v>
      </c>
      <c r="X482" s="470">
        <v>2019</v>
      </c>
      <c r="Y482" s="427"/>
      <c r="Z482" s="427" t="str">
        <f>VLOOKUP(R482,KEY_Processes!$C$131:$E$163,3,FALSE)</f>
        <v>HWC_AHPFS_GAS01</v>
      </c>
      <c r="AA482" s="427" t="str">
        <f>VLOOKUP(R482,KEY_Processes!$C$131:$E$163,2,FALSE)</f>
        <v>HWC_HeatPump_GAS_SMALL</v>
      </c>
      <c r="AB482" s="427" t="str">
        <f>VLOOKUP(U482,KEY_FUELS!$C$4:$D$77,2,FALSE)</f>
        <v>GAS</v>
      </c>
      <c r="AC482" s="427" t="s">
        <v>150</v>
      </c>
      <c r="AD482" s="427" t="s">
        <v>364</v>
      </c>
      <c r="AE482" s="427" t="s">
        <v>152</v>
      </c>
      <c r="AF482" s="427" t="str">
        <f>VLOOKUP(W482,KEY_Other!$B$37:$C$89,2,FALSE)</f>
        <v>EUR</v>
      </c>
      <c r="AG482" s="427"/>
      <c r="AH482" s="427" t="str">
        <f>AC482&amp;VLOOKUP(U482,KEY_FUELS!$C$4:$D$78,2,FALSE)</f>
        <v>RSDGAS</v>
      </c>
      <c r="AI482" s="427" t="str">
        <f>IFERROR(AC482&amp;VLOOKUP(V482,KEY_FUELS!$C$4:$D$78,2,FALSE),"")</f>
        <v>RSDAHT</v>
      </c>
      <c r="AJ482" s="427" t="str">
        <f>LEFT(AC482,1)&amp;LEFT(Z482,1)&amp;AD482</f>
        <v>RHHS</v>
      </c>
      <c r="AK482" s="427" t="str">
        <f t="shared" si="114"/>
        <v>RWHS</v>
      </c>
      <c r="AL482" s="427" t="str">
        <f t="shared" si="115"/>
        <v>RCHS</v>
      </c>
      <c r="AM482" s="380">
        <v>31.536000000000001</v>
      </c>
      <c r="AN482" s="470">
        <f t="shared" si="116"/>
        <v>2019</v>
      </c>
      <c r="AO482" s="427">
        <v>1</v>
      </c>
      <c r="AP482" s="429">
        <f>0.6/AZ482</f>
        <v>0.46153846153846151</v>
      </c>
      <c r="AQ482" s="467"/>
      <c r="AR482" s="429"/>
      <c r="AS482" s="429"/>
      <c r="AT482" s="429" t="s">
        <v>220</v>
      </c>
      <c r="AU482" s="481">
        <v>0.62</v>
      </c>
      <c r="AV482" s="467"/>
      <c r="AW482" s="467"/>
      <c r="AX482" s="429"/>
      <c r="AY482" s="429">
        <f t="shared" si="120"/>
        <v>1.3</v>
      </c>
      <c r="AZ482" s="467">
        <v>1.3</v>
      </c>
      <c r="BA482" s="429"/>
      <c r="BB482" s="429"/>
      <c r="BC482" s="427"/>
      <c r="BD482" s="429"/>
      <c r="BE482" s="429"/>
      <c r="BF482" s="427"/>
      <c r="BG482" s="427"/>
      <c r="BH482" s="427"/>
      <c r="BI482" s="427">
        <v>15</v>
      </c>
      <c r="BJ482" s="427"/>
      <c r="BK482" s="482">
        <v>536.5593295024629</v>
      </c>
      <c r="BL482" s="427"/>
      <c r="BM482" s="427"/>
      <c r="BN482" s="427"/>
      <c r="BO482" s="427"/>
      <c r="BP482" s="427"/>
      <c r="BQ482" s="427"/>
      <c r="BR482" s="429">
        <v>7.7341885333688349</v>
      </c>
      <c r="BS482" s="427"/>
      <c r="BT482" s="427"/>
      <c r="BU482" s="427"/>
      <c r="BV482" s="427"/>
      <c r="BW482" s="427"/>
      <c r="BX482" s="471"/>
    </row>
    <row r="483" spans="10:76" x14ac:dyDescent="0.3">
      <c r="J483" s="362" t="s">
        <v>238</v>
      </c>
      <c r="K483" s="363" t="s">
        <v>135</v>
      </c>
      <c r="L483" s="439"/>
      <c r="M483" s="363" t="s">
        <v>239</v>
      </c>
      <c r="N483" s="363" t="s">
        <v>240</v>
      </c>
      <c r="O483" s="363" t="s">
        <v>136</v>
      </c>
      <c r="P483" s="363">
        <v>2018</v>
      </c>
      <c r="Q483" s="366" t="s">
        <v>383</v>
      </c>
      <c r="R483" s="475" t="s">
        <v>384</v>
      </c>
      <c r="S483" s="476"/>
      <c r="T483" s="476"/>
      <c r="U483" s="366" t="s">
        <v>385</v>
      </c>
      <c r="V483" s="439" t="s">
        <v>190</v>
      </c>
      <c r="W483" s="363" t="s">
        <v>243</v>
      </c>
      <c r="X483" s="468">
        <v>2019</v>
      </c>
      <c r="Y483" s="439"/>
      <c r="Z483" s="439" t="str">
        <f>VLOOKUP(R483,KEY_Processes!$C$131:$E$163,3,FALSE)</f>
        <v>HWC_AHPFS_GAS01</v>
      </c>
      <c r="AA483" s="439" t="str">
        <f>VLOOKUP(R483,KEY_Processes!$C$131:$E$163,2,FALSE)</f>
        <v>HWC_HeatPump_GAS_SMALL</v>
      </c>
      <c r="AB483" s="439" t="str">
        <f>VLOOKUP(U483,KEY_FUELS!$C$4:$D$77,2,FALSE)</f>
        <v>GAS</v>
      </c>
      <c r="AC483" s="439" t="s">
        <v>150</v>
      </c>
      <c r="AD483" s="439" t="s">
        <v>364</v>
      </c>
      <c r="AE483" s="439" t="s">
        <v>152</v>
      </c>
      <c r="AF483" s="439" t="str">
        <f>VLOOKUP(W483,KEY_Other!$B$37:$C$89,2,FALSE)</f>
        <v>EUR</v>
      </c>
      <c r="AG483" s="439"/>
      <c r="AH483" s="439" t="str">
        <f>AC483&amp;VLOOKUP(U483,KEY_FUELS!$C$4:$D$78,2,FALSE)</f>
        <v>RSDGAS</v>
      </c>
      <c r="AI483" s="439" t="str">
        <f>IFERROR(AC483&amp;VLOOKUP(V483,KEY_FUELS!$C$4:$D$78,2,FALSE),"")</f>
        <v>RSDAHT</v>
      </c>
      <c r="AJ483" s="439" t="str">
        <f>LEFT(AC483,1)&amp;LEFT(Z483,1)&amp;AD483</f>
        <v>RHHS</v>
      </c>
      <c r="AK483" s="439" t="str">
        <f t="shared" si="114"/>
        <v>RWHS</v>
      </c>
      <c r="AL483" s="439" t="str">
        <f t="shared" si="115"/>
        <v>RCHS</v>
      </c>
      <c r="AM483" s="364">
        <v>31.536000000000001</v>
      </c>
      <c r="AN483" s="468">
        <f t="shared" si="116"/>
        <v>2019</v>
      </c>
      <c r="AO483" s="439">
        <v>1</v>
      </c>
      <c r="AP483" s="441">
        <f>0.6/AZ483</f>
        <v>0.46153846153846151</v>
      </c>
      <c r="AQ483" s="445"/>
      <c r="AR483" s="441"/>
      <c r="AS483" s="441"/>
      <c r="AT483" s="441" t="s">
        <v>373</v>
      </c>
      <c r="AU483" s="477">
        <v>0.65</v>
      </c>
      <c r="AV483" s="445"/>
      <c r="AW483" s="445"/>
      <c r="AX483" s="441"/>
      <c r="AY483" s="441">
        <f t="shared" si="120"/>
        <v>1.3</v>
      </c>
      <c r="AZ483" s="445">
        <v>1.3</v>
      </c>
      <c r="BA483" s="441"/>
      <c r="BB483" s="441"/>
      <c r="BC483" s="439"/>
      <c r="BD483" s="441"/>
      <c r="BE483" s="441"/>
      <c r="BF483" s="439"/>
      <c r="BG483" s="439"/>
      <c r="BH483" s="439"/>
      <c r="BI483" s="439">
        <v>15</v>
      </c>
      <c r="BJ483" s="439"/>
      <c r="BK483" s="478">
        <v>536.5593295024629</v>
      </c>
      <c r="BL483" s="439"/>
      <c r="BM483" s="439"/>
      <c r="BN483" s="439"/>
      <c r="BO483" s="439"/>
      <c r="BP483" s="439"/>
      <c r="BQ483" s="439"/>
      <c r="BR483" s="441">
        <v>7.7341885333688349</v>
      </c>
      <c r="BS483" s="439"/>
      <c r="BT483" s="439"/>
      <c r="BU483" s="439"/>
      <c r="BV483" s="439"/>
      <c r="BW483" s="439"/>
      <c r="BX483" s="469"/>
    </row>
    <row r="484" spans="10:76" x14ac:dyDescent="0.3">
      <c r="J484" s="378" t="s">
        <v>238</v>
      </c>
      <c r="K484" s="379" t="s">
        <v>135</v>
      </c>
      <c r="L484" s="427"/>
      <c r="M484" s="379" t="s">
        <v>239</v>
      </c>
      <c r="N484" s="379" t="s">
        <v>240</v>
      </c>
      <c r="O484" s="379" t="s">
        <v>136</v>
      </c>
      <c r="P484" s="379">
        <v>2018</v>
      </c>
      <c r="Q484" s="382" t="s">
        <v>245</v>
      </c>
      <c r="R484" s="479" t="s">
        <v>386</v>
      </c>
      <c r="S484" s="480"/>
      <c r="T484" s="480"/>
      <c r="U484" s="382" t="s">
        <v>189</v>
      </c>
      <c r="V484" s="427" t="s">
        <v>190</v>
      </c>
      <c r="W484" s="379" t="s">
        <v>243</v>
      </c>
      <c r="X484" s="470" t="s">
        <v>363</v>
      </c>
      <c r="Y484" s="427"/>
      <c r="Z484" s="427" t="str">
        <f>VLOOKUP(R484,KEY_Processes!$C$131:$E$163,3,FALSE)</f>
        <v>HC_AHPS_ELC02</v>
      </c>
      <c r="AA484" s="427" t="str">
        <f>VLOOKUP(R484,KEY_Processes!$C$131:$E$163,2,FALSE)</f>
        <v>HC_AirHeatPump_ELC_SMALL</v>
      </c>
      <c r="AB484" s="427" t="str">
        <f>VLOOKUP(U484,KEY_FUELS!$C$4:$D$77,2,FALSE)</f>
        <v>ELC</v>
      </c>
      <c r="AC484" s="427" t="s">
        <v>150</v>
      </c>
      <c r="AD484" s="427" t="s">
        <v>364</v>
      </c>
      <c r="AE484" s="427" t="s">
        <v>152</v>
      </c>
      <c r="AF484" s="427" t="str">
        <f>VLOOKUP(W484,KEY_Other!$B$37:$C$89,2,FALSE)</f>
        <v>EUR</v>
      </c>
      <c r="AG484" s="427"/>
      <c r="AH484" s="427" t="str">
        <f>AC484&amp;VLOOKUP(U484,KEY_FUELS!$C$4:$D$78,2,FALSE)</f>
        <v>RSDELC</v>
      </c>
      <c r="AI484" s="427" t="str">
        <f>IFERROR(AC484&amp;VLOOKUP(V484,KEY_FUELS!$C$4:$D$78,2,FALSE),"")</f>
        <v>RSDAHT</v>
      </c>
      <c r="AJ484" s="427" t="str">
        <f t="shared" si="113"/>
        <v>RHHS</v>
      </c>
      <c r="AK484" s="427" t="str">
        <f t="shared" si="114"/>
        <v>RCHS</v>
      </c>
      <c r="AL484" s="427" t="str">
        <f t="shared" si="115"/>
        <v/>
      </c>
      <c r="AM484" s="380">
        <v>31.536000000000001</v>
      </c>
      <c r="AN484" s="470" t="str">
        <f t="shared" si="116"/>
        <v>2030</v>
      </c>
      <c r="AO484" s="429">
        <f>2.94/AZ484</f>
        <v>0.7170731707317074</v>
      </c>
      <c r="AP484" s="429"/>
      <c r="AQ484" s="467"/>
      <c r="AR484" s="429"/>
      <c r="AS484" s="429"/>
      <c r="AT484" s="429"/>
      <c r="AU484" s="481"/>
      <c r="AV484" s="467"/>
      <c r="AW484" s="467"/>
      <c r="AX484" s="429"/>
      <c r="AY484" s="429">
        <f t="shared" si="120"/>
        <v>4.0999999999999996</v>
      </c>
      <c r="AZ484" s="467">
        <v>4.0999999999999996</v>
      </c>
      <c r="BA484" s="429"/>
      <c r="BB484" s="429"/>
      <c r="BC484" s="427"/>
      <c r="BD484" s="429"/>
      <c r="BE484" s="429"/>
      <c r="BF484" s="427"/>
      <c r="BG484" s="427"/>
      <c r="BH484" s="427"/>
      <c r="BI484" s="427">
        <v>20</v>
      </c>
      <c r="BJ484" s="427"/>
      <c r="BK484" s="482">
        <v>342.39897152934947</v>
      </c>
      <c r="BL484" s="427"/>
      <c r="BM484" s="427"/>
      <c r="BN484" s="427"/>
      <c r="BO484" s="427"/>
      <c r="BP484" s="427"/>
      <c r="BQ484" s="427"/>
      <c r="BR484" s="429">
        <v>3.1627906976744184</v>
      </c>
      <c r="BS484" s="427"/>
      <c r="BT484" s="427"/>
      <c r="BU484" s="427"/>
      <c r="BV484" s="427"/>
      <c r="BW484" s="427"/>
      <c r="BX484" s="471"/>
    </row>
    <row r="485" spans="10:76" x14ac:dyDescent="0.3">
      <c r="J485" s="362" t="s">
        <v>238</v>
      </c>
      <c r="K485" s="363" t="s">
        <v>135</v>
      </c>
      <c r="L485" s="439"/>
      <c r="M485" s="363" t="s">
        <v>239</v>
      </c>
      <c r="N485" s="363" t="s">
        <v>240</v>
      </c>
      <c r="O485" s="363" t="s">
        <v>136</v>
      </c>
      <c r="P485" s="363">
        <v>2018</v>
      </c>
      <c r="Q485" s="366" t="s">
        <v>245</v>
      </c>
      <c r="R485" s="475" t="s">
        <v>386</v>
      </c>
      <c r="S485" s="476"/>
      <c r="T485" s="476"/>
      <c r="U485" s="366" t="s">
        <v>189</v>
      </c>
      <c r="V485" s="439" t="s">
        <v>190</v>
      </c>
      <c r="W485" s="363" t="s">
        <v>243</v>
      </c>
      <c r="X485" s="468">
        <v>2019</v>
      </c>
      <c r="Y485" s="439"/>
      <c r="Z485" s="439" t="str">
        <f>VLOOKUP(R485,KEY_Processes!$C$131:$E$163,3,FALSE)</f>
        <v>HC_AHPS_ELC02</v>
      </c>
      <c r="AA485" s="439" t="str">
        <f>VLOOKUP(R485,KEY_Processes!$C$131:$E$163,2,FALSE)</f>
        <v>HC_AirHeatPump_ELC_SMALL</v>
      </c>
      <c r="AB485" s="439" t="str">
        <f>VLOOKUP(U485,KEY_FUELS!$C$4:$D$77,2,FALSE)</f>
        <v>ELC</v>
      </c>
      <c r="AC485" s="439" t="s">
        <v>150</v>
      </c>
      <c r="AD485" s="439" t="s">
        <v>364</v>
      </c>
      <c r="AE485" s="439" t="s">
        <v>152</v>
      </c>
      <c r="AF485" s="439" t="str">
        <f>VLOOKUP(W485,KEY_Other!$B$37:$C$89,2,FALSE)</f>
        <v>EUR</v>
      </c>
      <c r="AG485" s="439"/>
      <c r="AH485" s="439" t="str">
        <f>AC485&amp;VLOOKUP(U485,KEY_FUELS!$C$4:$D$78,2,FALSE)</f>
        <v>RSDELC</v>
      </c>
      <c r="AI485" s="439" t="str">
        <f>IFERROR(AC485&amp;VLOOKUP(V485,KEY_FUELS!$C$4:$D$78,2,FALSE),"")</f>
        <v>RSDAHT</v>
      </c>
      <c r="AJ485" s="439" t="str">
        <f t="shared" si="113"/>
        <v>RHHS</v>
      </c>
      <c r="AK485" s="439" t="str">
        <f t="shared" si="114"/>
        <v>RCHS</v>
      </c>
      <c r="AL485" s="439" t="str">
        <f t="shared" si="115"/>
        <v/>
      </c>
      <c r="AM485" s="364">
        <v>31.536000000000001</v>
      </c>
      <c r="AN485" s="468">
        <f t="shared" si="116"/>
        <v>2019</v>
      </c>
      <c r="AO485" s="441">
        <f>2.88/AZ485</f>
        <v>0.74805194805194797</v>
      </c>
      <c r="AP485" s="441"/>
      <c r="AQ485" s="445"/>
      <c r="AR485" s="441"/>
      <c r="AS485" s="441"/>
      <c r="AT485" s="441" t="s">
        <v>155</v>
      </c>
      <c r="AU485" s="477">
        <v>0.7</v>
      </c>
      <c r="AV485" s="445"/>
      <c r="AW485" s="445"/>
      <c r="AX485" s="441"/>
      <c r="AY485" s="441">
        <f t="shared" si="120"/>
        <v>3.85</v>
      </c>
      <c r="AZ485" s="445">
        <v>3.85</v>
      </c>
      <c r="BA485" s="441"/>
      <c r="BB485" s="441"/>
      <c r="BC485" s="439"/>
      <c r="BD485" s="441"/>
      <c r="BE485" s="441"/>
      <c r="BF485" s="439"/>
      <c r="BG485" s="439"/>
      <c r="BH485" s="439"/>
      <c r="BI485" s="439">
        <v>20</v>
      </c>
      <c r="BJ485" s="439"/>
      <c r="BK485" s="478">
        <v>247.7357264594705</v>
      </c>
      <c r="BL485" s="439"/>
      <c r="BM485" s="439"/>
      <c r="BN485" s="439"/>
      <c r="BO485" s="439"/>
      <c r="BP485" s="439"/>
      <c r="BQ485" s="439"/>
      <c r="BR485" s="441">
        <v>3.1627906976744184</v>
      </c>
      <c r="BS485" s="439"/>
      <c r="BT485" s="439"/>
      <c r="BU485" s="439"/>
      <c r="BV485" s="439"/>
      <c r="BW485" s="439"/>
      <c r="BX485" s="469"/>
    </row>
    <row r="486" spans="10:76" x14ac:dyDescent="0.3">
      <c r="J486" s="378" t="s">
        <v>238</v>
      </c>
      <c r="K486" s="379" t="s">
        <v>135</v>
      </c>
      <c r="L486" s="427"/>
      <c r="M486" s="379" t="s">
        <v>239</v>
      </c>
      <c r="N486" s="379" t="s">
        <v>240</v>
      </c>
      <c r="O486" s="379" t="s">
        <v>136</v>
      </c>
      <c r="P486" s="379">
        <v>2018</v>
      </c>
      <c r="Q486" s="382" t="s">
        <v>245</v>
      </c>
      <c r="R486" s="479" t="s">
        <v>386</v>
      </c>
      <c r="S486" s="480"/>
      <c r="T486" s="480"/>
      <c r="U486" s="382" t="s">
        <v>189</v>
      </c>
      <c r="V486" s="427" t="s">
        <v>190</v>
      </c>
      <c r="W486" s="379" t="s">
        <v>243</v>
      </c>
      <c r="X486" s="470">
        <v>2019</v>
      </c>
      <c r="Y486" s="427"/>
      <c r="Z486" s="427" t="str">
        <f>VLOOKUP(R486,KEY_Processes!$C$131:$E$163,3,FALSE)</f>
        <v>HC_AHPS_ELC02</v>
      </c>
      <c r="AA486" s="427" t="str">
        <f>VLOOKUP(R486,KEY_Processes!$C$131:$E$163,2,FALSE)</f>
        <v>HC_AirHeatPump_ELC_SMALL</v>
      </c>
      <c r="AB486" s="427" t="str">
        <f>VLOOKUP(U486,KEY_FUELS!$C$4:$D$77,2,FALSE)</f>
        <v>ELC</v>
      </c>
      <c r="AC486" s="427" t="s">
        <v>150</v>
      </c>
      <c r="AD486" s="427" t="s">
        <v>364</v>
      </c>
      <c r="AE486" s="427" t="s">
        <v>152</v>
      </c>
      <c r="AF486" s="427" t="str">
        <f>VLOOKUP(W486,KEY_Other!$B$37:$C$89,2,FALSE)</f>
        <v>EUR</v>
      </c>
      <c r="AG486" s="427"/>
      <c r="AH486" s="427" t="str">
        <f>AC486&amp;VLOOKUP(U486,KEY_FUELS!$C$4:$D$78,2,FALSE)</f>
        <v>RSDELC</v>
      </c>
      <c r="AI486" s="427" t="str">
        <f>IFERROR(AC486&amp;VLOOKUP(V486,KEY_FUELS!$C$4:$D$78,2,FALSE),"")</f>
        <v>RSDAHT</v>
      </c>
      <c r="AJ486" s="427" t="str">
        <f t="shared" si="113"/>
        <v>RHHS</v>
      </c>
      <c r="AK486" s="427" t="str">
        <f t="shared" si="114"/>
        <v>RCHS</v>
      </c>
      <c r="AL486" s="427" t="str">
        <f t="shared" si="115"/>
        <v/>
      </c>
      <c r="AM486" s="380">
        <v>31.536000000000001</v>
      </c>
      <c r="AN486" s="470">
        <f t="shared" si="116"/>
        <v>2019</v>
      </c>
      <c r="AO486" s="429">
        <f>2.88/AZ486</f>
        <v>0.74805194805194797</v>
      </c>
      <c r="AP486" s="429"/>
      <c r="AQ486" s="467"/>
      <c r="AR486" s="429"/>
      <c r="AS486" s="429"/>
      <c r="AT486" s="429" t="s">
        <v>151</v>
      </c>
      <c r="AU486" s="481">
        <v>0.8</v>
      </c>
      <c r="AV486" s="467"/>
      <c r="AW486" s="467"/>
      <c r="AX486" s="429"/>
      <c r="AY486" s="429">
        <f t="shared" si="120"/>
        <v>3.85</v>
      </c>
      <c r="AZ486" s="467">
        <v>3.85</v>
      </c>
      <c r="BA486" s="429"/>
      <c r="BB486" s="429"/>
      <c r="BC486" s="427"/>
      <c r="BD486" s="429"/>
      <c r="BE486" s="429"/>
      <c r="BF486" s="427"/>
      <c r="BG486" s="427"/>
      <c r="BH486" s="427"/>
      <c r="BI486" s="427">
        <v>20</v>
      </c>
      <c r="BJ486" s="427"/>
      <c r="BK486" s="482">
        <v>247.7357264594705</v>
      </c>
      <c r="BL486" s="427"/>
      <c r="BM486" s="427"/>
      <c r="BN486" s="427"/>
      <c r="BO486" s="427"/>
      <c r="BP486" s="427"/>
      <c r="BQ486" s="427"/>
      <c r="BR486" s="429">
        <v>3.1627906976744184</v>
      </c>
      <c r="BS486" s="427"/>
      <c r="BT486" s="427"/>
      <c r="BU486" s="427"/>
      <c r="BV486" s="427"/>
      <c r="BW486" s="427"/>
      <c r="BX486" s="471"/>
    </row>
    <row r="487" spans="10:76" x14ac:dyDescent="0.3">
      <c r="J487" s="362" t="s">
        <v>238</v>
      </c>
      <c r="K487" s="363" t="s">
        <v>135</v>
      </c>
      <c r="L487" s="439"/>
      <c r="M487" s="363" t="s">
        <v>239</v>
      </c>
      <c r="N487" s="363" t="s">
        <v>240</v>
      </c>
      <c r="O487" s="363" t="s">
        <v>136</v>
      </c>
      <c r="P487" s="363">
        <v>2018</v>
      </c>
      <c r="Q487" s="366" t="s">
        <v>245</v>
      </c>
      <c r="R487" s="475" t="s">
        <v>386</v>
      </c>
      <c r="S487" s="476"/>
      <c r="T487" s="476"/>
      <c r="U487" s="366" t="s">
        <v>189</v>
      </c>
      <c r="V487" s="439" t="s">
        <v>190</v>
      </c>
      <c r="W487" s="363" t="s">
        <v>243</v>
      </c>
      <c r="X487" s="468">
        <v>2019</v>
      </c>
      <c r="Y487" s="439"/>
      <c r="Z487" s="439" t="str">
        <f>VLOOKUP(R487,KEY_Processes!$C$131:$E$163,3,FALSE)</f>
        <v>HC_AHPS_ELC02</v>
      </c>
      <c r="AA487" s="439" t="str">
        <f>VLOOKUP(R487,KEY_Processes!$C$131:$E$163,2,FALSE)</f>
        <v>HC_AirHeatPump_ELC_SMALL</v>
      </c>
      <c r="AB487" s="439" t="str">
        <f>VLOOKUP(U487,KEY_FUELS!$C$4:$D$77,2,FALSE)</f>
        <v>ELC</v>
      </c>
      <c r="AC487" s="439" t="s">
        <v>150</v>
      </c>
      <c r="AD487" s="439" t="s">
        <v>364</v>
      </c>
      <c r="AE487" s="439" t="s">
        <v>152</v>
      </c>
      <c r="AF487" s="439" t="str">
        <f>VLOOKUP(W487,KEY_Other!$B$37:$C$89,2,FALSE)</f>
        <v>EUR</v>
      </c>
      <c r="AG487" s="439"/>
      <c r="AH487" s="439" t="str">
        <f>AC487&amp;VLOOKUP(U487,KEY_FUELS!$C$4:$D$78,2,FALSE)</f>
        <v>RSDELC</v>
      </c>
      <c r="AI487" s="439" t="str">
        <f>IFERROR(AC487&amp;VLOOKUP(V487,KEY_FUELS!$C$4:$D$78,2,FALSE),"")</f>
        <v>RSDAHT</v>
      </c>
      <c r="AJ487" s="439" t="str">
        <f t="shared" si="113"/>
        <v>RHHS</v>
      </c>
      <c r="AK487" s="439" t="str">
        <f t="shared" si="114"/>
        <v>RCHS</v>
      </c>
      <c r="AL487" s="439" t="str">
        <f t="shared" si="115"/>
        <v/>
      </c>
      <c r="AM487" s="364">
        <v>31.536000000000001</v>
      </c>
      <c r="AN487" s="468">
        <f t="shared" si="116"/>
        <v>2019</v>
      </c>
      <c r="AO487" s="441">
        <f>2.88/AZ487</f>
        <v>0.74805194805194797</v>
      </c>
      <c r="AP487" s="441"/>
      <c r="AQ487" s="445"/>
      <c r="AR487" s="441"/>
      <c r="AS487" s="441"/>
      <c r="AT487" s="441" t="s">
        <v>220</v>
      </c>
      <c r="AU487" s="477">
        <v>0.8</v>
      </c>
      <c r="AV487" s="445"/>
      <c r="AW487" s="445"/>
      <c r="AX487" s="441"/>
      <c r="AY487" s="441">
        <f t="shared" si="120"/>
        <v>3.85</v>
      </c>
      <c r="AZ487" s="445">
        <v>3.85</v>
      </c>
      <c r="BA487" s="441"/>
      <c r="BB487" s="441"/>
      <c r="BC487" s="439"/>
      <c r="BD487" s="441"/>
      <c r="BE487" s="441"/>
      <c r="BF487" s="439"/>
      <c r="BG487" s="439"/>
      <c r="BH487" s="439"/>
      <c r="BI487" s="439">
        <v>20</v>
      </c>
      <c r="BJ487" s="439"/>
      <c r="BK487" s="478">
        <v>247.7357264594705</v>
      </c>
      <c r="BL487" s="439"/>
      <c r="BM487" s="439"/>
      <c r="BN487" s="439"/>
      <c r="BO487" s="439"/>
      <c r="BP487" s="439"/>
      <c r="BQ487" s="439"/>
      <c r="BR487" s="441">
        <v>3.1627906976744184</v>
      </c>
      <c r="BS487" s="439"/>
      <c r="BT487" s="439"/>
      <c r="BU487" s="439"/>
      <c r="BV487" s="439"/>
      <c r="BW487" s="439"/>
      <c r="BX487" s="469"/>
    </row>
    <row r="488" spans="10:76" x14ac:dyDescent="0.3">
      <c r="J488" s="378" t="s">
        <v>238</v>
      </c>
      <c r="K488" s="379" t="s">
        <v>135</v>
      </c>
      <c r="L488" s="427"/>
      <c r="M488" s="379" t="s">
        <v>239</v>
      </c>
      <c r="N488" s="379" t="s">
        <v>240</v>
      </c>
      <c r="O488" s="379" t="s">
        <v>136</v>
      </c>
      <c r="P488" s="379">
        <v>2018</v>
      </c>
      <c r="Q488" s="382" t="s">
        <v>245</v>
      </c>
      <c r="R488" s="479" t="s">
        <v>386</v>
      </c>
      <c r="S488" s="480"/>
      <c r="T488" s="480"/>
      <c r="U488" s="382" t="s">
        <v>189</v>
      </c>
      <c r="V488" s="427" t="s">
        <v>190</v>
      </c>
      <c r="W488" s="379" t="s">
        <v>243</v>
      </c>
      <c r="X488" s="470">
        <v>2019</v>
      </c>
      <c r="Y488" s="427"/>
      <c r="Z488" s="427" t="str">
        <f>VLOOKUP(R488,KEY_Processes!$C$131:$E$163,3,FALSE)</f>
        <v>HC_AHPS_ELC02</v>
      </c>
      <c r="AA488" s="427" t="str">
        <f>VLOOKUP(R488,KEY_Processes!$C$131:$E$163,2,FALSE)</f>
        <v>HC_AirHeatPump_ELC_SMALL</v>
      </c>
      <c r="AB488" s="427" t="str">
        <f>VLOOKUP(U488,KEY_FUELS!$C$4:$D$77,2,FALSE)</f>
        <v>ELC</v>
      </c>
      <c r="AC488" s="427" t="s">
        <v>150</v>
      </c>
      <c r="AD488" s="427" t="s">
        <v>364</v>
      </c>
      <c r="AE488" s="427" t="s">
        <v>152</v>
      </c>
      <c r="AF488" s="427" t="str">
        <f>VLOOKUP(W488,KEY_Other!$B$37:$C$89,2,FALSE)</f>
        <v>EUR</v>
      </c>
      <c r="AG488" s="427"/>
      <c r="AH488" s="427" t="str">
        <f>AC488&amp;VLOOKUP(U488,KEY_FUELS!$C$4:$D$78,2,FALSE)</f>
        <v>RSDELC</v>
      </c>
      <c r="AI488" s="427" t="str">
        <f>IFERROR(AC488&amp;VLOOKUP(V488,KEY_FUELS!$C$4:$D$78,2,FALSE),"")</f>
        <v>RSDAHT</v>
      </c>
      <c r="AJ488" s="427" t="str">
        <f t="shared" si="113"/>
        <v>RHHS</v>
      </c>
      <c r="AK488" s="427" t="str">
        <f t="shared" si="114"/>
        <v>RCHS</v>
      </c>
      <c r="AL488" s="427" t="str">
        <f t="shared" si="115"/>
        <v/>
      </c>
      <c r="AM488" s="380">
        <v>31.536000000000001</v>
      </c>
      <c r="AN488" s="470">
        <f t="shared" si="116"/>
        <v>2019</v>
      </c>
      <c r="AO488" s="429">
        <f>2.88/AZ488</f>
        <v>0.74805194805194797</v>
      </c>
      <c r="AP488" s="429"/>
      <c r="AQ488" s="467"/>
      <c r="AR488" s="429"/>
      <c r="AS488" s="429"/>
      <c r="AT488" s="429" t="s">
        <v>373</v>
      </c>
      <c r="AU488" s="481">
        <v>0.8</v>
      </c>
      <c r="AV488" s="467"/>
      <c r="AW488" s="467"/>
      <c r="AX488" s="429"/>
      <c r="AY488" s="429">
        <f t="shared" si="120"/>
        <v>3.85</v>
      </c>
      <c r="AZ488" s="467">
        <v>3.85</v>
      </c>
      <c r="BA488" s="429"/>
      <c r="BB488" s="429"/>
      <c r="BC488" s="427"/>
      <c r="BD488" s="429"/>
      <c r="BE488" s="429"/>
      <c r="BF488" s="427"/>
      <c r="BG488" s="427"/>
      <c r="BH488" s="427"/>
      <c r="BI488" s="427">
        <v>20</v>
      </c>
      <c r="BJ488" s="427"/>
      <c r="BK488" s="482">
        <v>247.7357264594705</v>
      </c>
      <c r="BL488" s="427"/>
      <c r="BM488" s="427"/>
      <c r="BN488" s="427"/>
      <c r="BO488" s="427"/>
      <c r="BP488" s="427"/>
      <c r="BQ488" s="427"/>
      <c r="BR488" s="429">
        <v>3.1627906976744184</v>
      </c>
      <c r="BS488" s="427"/>
      <c r="BT488" s="427"/>
      <c r="BU488" s="427"/>
      <c r="BV488" s="427"/>
      <c r="BW488" s="427"/>
      <c r="BX488" s="471"/>
    </row>
    <row r="489" spans="10:76" x14ac:dyDescent="0.3">
      <c r="J489" s="362" t="s">
        <v>238</v>
      </c>
      <c r="K489" s="363" t="s">
        <v>135</v>
      </c>
      <c r="L489" s="439"/>
      <c r="M489" s="363" t="s">
        <v>239</v>
      </c>
      <c r="N489" s="363" t="s">
        <v>240</v>
      </c>
      <c r="O489" s="363" t="s">
        <v>136</v>
      </c>
      <c r="P489" s="363">
        <v>2018</v>
      </c>
      <c r="Q489" s="366" t="s">
        <v>277</v>
      </c>
      <c r="R489" s="475" t="s">
        <v>387</v>
      </c>
      <c r="S489" s="476"/>
      <c r="T489" s="476"/>
      <c r="U489" s="366" t="s">
        <v>189</v>
      </c>
      <c r="V489" s="439" t="s">
        <v>198</v>
      </c>
      <c r="W489" s="363" t="s">
        <v>243</v>
      </c>
      <c r="X489" s="468" t="s">
        <v>363</v>
      </c>
      <c r="Y489" s="439"/>
      <c r="Z489" s="439" t="str">
        <f>VLOOKUP(R489,KEY_Processes!$C$131:$E$163,3,FALSE)</f>
        <v>HC_GHPS_ELC01</v>
      </c>
      <c r="AA489" s="439" t="str">
        <f>VLOOKUP(R489,KEY_Processes!$C$131:$E$163,2,FALSE)</f>
        <v>HC_GroundHeatPump_ELC_SMALL</v>
      </c>
      <c r="AB489" s="439" t="str">
        <f>VLOOKUP(U489,KEY_FUELS!$C$4:$D$77,2,FALSE)</f>
        <v>ELC</v>
      </c>
      <c r="AC489" s="439" t="s">
        <v>150</v>
      </c>
      <c r="AD489" s="439" t="s">
        <v>364</v>
      </c>
      <c r="AE489" s="439" t="s">
        <v>152</v>
      </c>
      <c r="AF489" s="439" t="str">
        <f>VLOOKUP(W489,KEY_Other!$B$37:$C$89,2,FALSE)</f>
        <v>EUR</v>
      </c>
      <c r="AG489" s="439"/>
      <c r="AH489" s="439" t="str">
        <f>AC489&amp;VLOOKUP(U489,KEY_FUELS!$C$4:$D$78,2,FALSE)</f>
        <v>RSDELC</v>
      </c>
      <c r="AI489" s="439" t="str">
        <f>IFERROR(AC489&amp;VLOOKUP(V489,KEY_FUELS!$C$4:$D$78,2,FALSE),"")</f>
        <v>RSDGEO</v>
      </c>
      <c r="AJ489" s="439" t="str">
        <f t="shared" si="113"/>
        <v>RHHS</v>
      </c>
      <c r="AK489" s="439" t="str">
        <f t="shared" si="114"/>
        <v>RCHS</v>
      </c>
      <c r="AL489" s="439" t="str">
        <f t="shared" si="115"/>
        <v/>
      </c>
      <c r="AM489" s="364">
        <v>31.536000000000001</v>
      </c>
      <c r="AN489" s="468" t="str">
        <f t="shared" si="116"/>
        <v>2030</v>
      </c>
      <c r="AO489" s="441">
        <f>5.25/AZ489</f>
        <v>0.95454545454545459</v>
      </c>
      <c r="AP489" s="441"/>
      <c r="AQ489" s="445"/>
      <c r="AR489" s="441"/>
      <c r="AS489" s="441"/>
      <c r="AT489" s="441"/>
      <c r="AU489" s="477"/>
      <c r="AV489" s="445"/>
      <c r="AW489" s="445"/>
      <c r="AX489" s="441"/>
      <c r="AY489" s="441">
        <f t="shared" si="120"/>
        <v>5.5</v>
      </c>
      <c r="AZ489" s="445">
        <v>5.5</v>
      </c>
      <c r="BA489" s="441"/>
      <c r="BB489" s="441"/>
      <c r="BC489" s="439"/>
      <c r="BD489" s="441"/>
      <c r="BE489" s="441"/>
      <c r="BF489" s="439"/>
      <c r="BG489" s="439"/>
      <c r="BH489" s="439"/>
      <c r="BI489" s="439">
        <v>25</v>
      </c>
      <c r="BJ489" s="439"/>
      <c r="BK489" s="478">
        <v>1730</v>
      </c>
      <c r="BL489" s="439"/>
      <c r="BM489" s="439"/>
      <c r="BN489" s="439"/>
      <c r="BO489" s="439"/>
      <c r="BP489" s="439"/>
      <c r="BQ489" s="439"/>
      <c r="BR489" s="441">
        <v>1.5813953488372099</v>
      </c>
      <c r="BS489" s="439"/>
      <c r="BT489" s="439"/>
      <c r="BU489" s="439"/>
      <c r="BV489" s="439"/>
      <c r="BW489" s="439"/>
      <c r="BX489" s="469"/>
    </row>
    <row r="490" spans="10:76" x14ac:dyDescent="0.3">
      <c r="J490" s="378" t="s">
        <v>238</v>
      </c>
      <c r="K490" s="379" t="s">
        <v>135</v>
      </c>
      <c r="L490" s="427"/>
      <c r="M490" s="379" t="s">
        <v>239</v>
      </c>
      <c r="N490" s="379" t="s">
        <v>240</v>
      </c>
      <c r="O490" s="379" t="s">
        <v>136</v>
      </c>
      <c r="P490" s="379">
        <v>2018</v>
      </c>
      <c r="Q490" s="382" t="s">
        <v>277</v>
      </c>
      <c r="R490" s="479" t="s">
        <v>387</v>
      </c>
      <c r="S490" s="480"/>
      <c r="T490" s="480"/>
      <c r="U490" s="382" t="s">
        <v>189</v>
      </c>
      <c r="V490" s="427" t="s">
        <v>198</v>
      </c>
      <c r="W490" s="379" t="s">
        <v>243</v>
      </c>
      <c r="X490" s="470">
        <v>2019</v>
      </c>
      <c r="Y490" s="427"/>
      <c r="Z490" s="427" t="str">
        <f>VLOOKUP(R490,KEY_Processes!$C$131:$E$163,3,FALSE)</f>
        <v>HC_GHPS_ELC01</v>
      </c>
      <c r="AA490" s="427" t="str">
        <f>VLOOKUP(R490,KEY_Processes!$C$131:$E$163,2,FALSE)</f>
        <v>HC_GroundHeatPump_ELC_SMALL</v>
      </c>
      <c r="AB490" s="427" t="str">
        <f>VLOOKUP(U490,KEY_FUELS!$C$4:$D$77,2,FALSE)</f>
        <v>ELC</v>
      </c>
      <c r="AC490" s="427" t="s">
        <v>150</v>
      </c>
      <c r="AD490" s="427" t="s">
        <v>364</v>
      </c>
      <c r="AE490" s="427" t="s">
        <v>152</v>
      </c>
      <c r="AF490" s="427" t="str">
        <f>VLOOKUP(W490,KEY_Other!$B$37:$C$89,2,FALSE)</f>
        <v>EUR</v>
      </c>
      <c r="AG490" s="427"/>
      <c r="AH490" s="427" t="str">
        <f>AC490&amp;VLOOKUP(U490,KEY_FUELS!$C$4:$D$78,2,FALSE)</f>
        <v>RSDELC</v>
      </c>
      <c r="AI490" s="427" t="str">
        <f>IFERROR(AC490&amp;VLOOKUP(V490,KEY_FUELS!$C$4:$D$78,2,FALSE),"")</f>
        <v>RSDGEO</v>
      </c>
      <c r="AJ490" s="427" t="str">
        <f t="shared" si="113"/>
        <v>RHHS</v>
      </c>
      <c r="AK490" s="427" t="str">
        <f t="shared" si="114"/>
        <v>RCHS</v>
      </c>
      <c r="AL490" s="427" t="str">
        <f t="shared" si="115"/>
        <v/>
      </c>
      <c r="AM490" s="380">
        <v>31.536000000000001</v>
      </c>
      <c r="AN490" s="470">
        <f t="shared" si="116"/>
        <v>2019</v>
      </c>
      <c r="AO490" s="429">
        <f>3.8/AZ490</f>
        <v>0.89411764705882346</v>
      </c>
      <c r="AP490" s="429"/>
      <c r="AQ490" s="467"/>
      <c r="AR490" s="429"/>
      <c r="AS490" s="429"/>
      <c r="AT490" s="429" t="s">
        <v>155</v>
      </c>
      <c r="AU490" s="481">
        <v>0.7</v>
      </c>
      <c r="AV490" s="467"/>
      <c r="AW490" s="467"/>
      <c r="AX490" s="429"/>
      <c r="AY490" s="429">
        <f t="shared" si="120"/>
        <v>4.25</v>
      </c>
      <c r="AZ490" s="467">
        <v>4.25</v>
      </c>
      <c r="BA490" s="429"/>
      <c r="BB490" s="429"/>
      <c r="BC490" s="427"/>
      <c r="BD490" s="429"/>
      <c r="BE490" s="429"/>
      <c r="BF490" s="427"/>
      <c r="BG490" s="427"/>
      <c r="BH490" s="427"/>
      <c r="BI490" s="427">
        <v>25</v>
      </c>
      <c r="BJ490" s="427"/>
      <c r="BK490" s="482">
        <v>1430</v>
      </c>
      <c r="BL490" s="427"/>
      <c r="BM490" s="427"/>
      <c r="BN490" s="427"/>
      <c r="BO490" s="427"/>
      <c r="BP490" s="427"/>
      <c r="BQ490" s="427"/>
      <c r="BR490" s="429">
        <v>1.5813953488372099</v>
      </c>
      <c r="BS490" s="427"/>
      <c r="BT490" s="427"/>
      <c r="BU490" s="427"/>
      <c r="BV490" s="427"/>
      <c r="BW490" s="427"/>
      <c r="BX490" s="471"/>
    </row>
    <row r="491" spans="10:76" x14ac:dyDescent="0.3">
      <c r="J491" s="362" t="s">
        <v>238</v>
      </c>
      <c r="K491" s="363" t="s">
        <v>135</v>
      </c>
      <c r="L491" s="439"/>
      <c r="M491" s="363" t="s">
        <v>239</v>
      </c>
      <c r="N491" s="363" t="s">
        <v>240</v>
      </c>
      <c r="O491" s="363" t="s">
        <v>136</v>
      </c>
      <c r="P491" s="363">
        <v>2018</v>
      </c>
      <c r="Q491" s="366" t="s">
        <v>277</v>
      </c>
      <c r="R491" s="475" t="s">
        <v>387</v>
      </c>
      <c r="S491" s="476"/>
      <c r="T491" s="476"/>
      <c r="U491" s="366" t="s">
        <v>189</v>
      </c>
      <c r="V491" s="439" t="s">
        <v>198</v>
      </c>
      <c r="W491" s="363" t="s">
        <v>243</v>
      </c>
      <c r="X491" s="468">
        <v>2019</v>
      </c>
      <c r="Y491" s="439"/>
      <c r="Z491" s="439" t="str">
        <f>VLOOKUP(R491,KEY_Processes!$C$131:$E$163,3,FALSE)</f>
        <v>HC_GHPS_ELC01</v>
      </c>
      <c r="AA491" s="439" t="str">
        <f>VLOOKUP(R491,KEY_Processes!$C$131:$E$163,2,FALSE)</f>
        <v>HC_GroundHeatPump_ELC_SMALL</v>
      </c>
      <c r="AB491" s="439" t="str">
        <f>VLOOKUP(U491,KEY_FUELS!$C$4:$D$77,2,FALSE)</f>
        <v>ELC</v>
      </c>
      <c r="AC491" s="439" t="s">
        <v>150</v>
      </c>
      <c r="AD491" s="439" t="s">
        <v>364</v>
      </c>
      <c r="AE491" s="439" t="s">
        <v>152</v>
      </c>
      <c r="AF491" s="439" t="str">
        <f>VLOOKUP(W491,KEY_Other!$B$37:$C$89,2,FALSE)</f>
        <v>EUR</v>
      </c>
      <c r="AG491" s="439"/>
      <c r="AH491" s="439" t="str">
        <f>AC491&amp;VLOOKUP(U491,KEY_FUELS!$C$4:$D$78,2,FALSE)</f>
        <v>RSDELC</v>
      </c>
      <c r="AI491" s="439" t="str">
        <f>IFERROR(AC491&amp;VLOOKUP(V491,KEY_FUELS!$C$4:$D$78,2,FALSE),"")</f>
        <v>RSDGEO</v>
      </c>
      <c r="AJ491" s="439" t="str">
        <f t="shared" si="113"/>
        <v>RHHS</v>
      </c>
      <c r="AK491" s="439" t="str">
        <f t="shared" si="114"/>
        <v>RCHS</v>
      </c>
      <c r="AL491" s="439" t="str">
        <f t="shared" si="115"/>
        <v/>
      </c>
      <c r="AM491" s="364">
        <v>31.536000000000001</v>
      </c>
      <c r="AN491" s="468">
        <f t="shared" si="116"/>
        <v>2019</v>
      </c>
      <c r="AO491" s="441">
        <f>3.8/AZ491</f>
        <v>0.89411764705882346</v>
      </c>
      <c r="AP491" s="441"/>
      <c r="AQ491" s="445"/>
      <c r="AR491" s="441"/>
      <c r="AS491" s="441"/>
      <c r="AT491" s="441" t="s">
        <v>151</v>
      </c>
      <c r="AU491" s="477">
        <v>0.8</v>
      </c>
      <c r="AV491" s="445"/>
      <c r="AW491" s="445"/>
      <c r="AX491" s="441"/>
      <c r="AY491" s="441">
        <f t="shared" si="120"/>
        <v>4.25</v>
      </c>
      <c r="AZ491" s="445">
        <v>4.25</v>
      </c>
      <c r="BA491" s="441"/>
      <c r="BB491" s="441"/>
      <c r="BC491" s="439"/>
      <c r="BD491" s="441"/>
      <c r="BE491" s="441"/>
      <c r="BF491" s="439"/>
      <c r="BG491" s="439"/>
      <c r="BH491" s="439"/>
      <c r="BI491" s="439">
        <v>25</v>
      </c>
      <c r="BJ491" s="439"/>
      <c r="BK491" s="478">
        <v>1430</v>
      </c>
      <c r="BL491" s="439"/>
      <c r="BM491" s="439"/>
      <c r="BN491" s="439"/>
      <c r="BO491" s="439"/>
      <c r="BP491" s="439"/>
      <c r="BQ491" s="439"/>
      <c r="BR491" s="441">
        <v>1.5813953488372099</v>
      </c>
      <c r="BS491" s="439"/>
      <c r="BT491" s="439"/>
      <c r="BU491" s="439"/>
      <c r="BV491" s="439"/>
      <c r="BW491" s="439"/>
      <c r="BX491" s="469"/>
    </row>
    <row r="492" spans="10:76" x14ac:dyDescent="0.3">
      <c r="J492" s="378" t="s">
        <v>238</v>
      </c>
      <c r="K492" s="379" t="s">
        <v>135</v>
      </c>
      <c r="L492" s="427"/>
      <c r="M492" s="379" t="s">
        <v>239</v>
      </c>
      <c r="N492" s="379" t="s">
        <v>240</v>
      </c>
      <c r="O492" s="379" t="s">
        <v>136</v>
      </c>
      <c r="P492" s="379">
        <v>2018</v>
      </c>
      <c r="Q492" s="382" t="s">
        <v>277</v>
      </c>
      <c r="R492" s="479" t="s">
        <v>387</v>
      </c>
      <c r="S492" s="480"/>
      <c r="T492" s="480"/>
      <c r="U492" s="382" t="s">
        <v>189</v>
      </c>
      <c r="V492" s="427" t="s">
        <v>198</v>
      </c>
      <c r="W492" s="379" t="s">
        <v>243</v>
      </c>
      <c r="X492" s="470">
        <v>2019</v>
      </c>
      <c r="Y492" s="427"/>
      <c r="Z492" s="427" t="str">
        <f>VLOOKUP(R492,KEY_Processes!$C$131:$E$163,3,FALSE)</f>
        <v>HC_GHPS_ELC01</v>
      </c>
      <c r="AA492" s="427" t="str">
        <f>VLOOKUP(R492,KEY_Processes!$C$131:$E$163,2,FALSE)</f>
        <v>HC_GroundHeatPump_ELC_SMALL</v>
      </c>
      <c r="AB492" s="427" t="str">
        <f>VLOOKUP(U492,KEY_FUELS!$C$4:$D$77,2,FALSE)</f>
        <v>ELC</v>
      </c>
      <c r="AC492" s="427" t="s">
        <v>150</v>
      </c>
      <c r="AD492" s="427" t="s">
        <v>364</v>
      </c>
      <c r="AE492" s="427" t="s">
        <v>152</v>
      </c>
      <c r="AF492" s="427" t="str">
        <f>VLOOKUP(W492,KEY_Other!$B$37:$C$89,2,FALSE)</f>
        <v>EUR</v>
      </c>
      <c r="AG492" s="427"/>
      <c r="AH492" s="427" t="str">
        <f>AC492&amp;VLOOKUP(U492,KEY_FUELS!$C$4:$D$78,2,FALSE)</f>
        <v>RSDELC</v>
      </c>
      <c r="AI492" s="427" t="str">
        <f>IFERROR(AC492&amp;VLOOKUP(V492,KEY_FUELS!$C$4:$D$78,2,FALSE),"")</f>
        <v>RSDGEO</v>
      </c>
      <c r="AJ492" s="427" t="str">
        <f t="shared" si="113"/>
        <v>RHHS</v>
      </c>
      <c r="AK492" s="427" t="str">
        <f t="shared" si="114"/>
        <v>RCHS</v>
      </c>
      <c r="AL492" s="427" t="str">
        <f t="shared" si="115"/>
        <v/>
      </c>
      <c r="AM492" s="380">
        <v>31.536000000000001</v>
      </c>
      <c r="AN492" s="470">
        <f t="shared" si="116"/>
        <v>2019</v>
      </c>
      <c r="AO492" s="429">
        <f>3.8/AZ492</f>
        <v>0.89411764705882346</v>
      </c>
      <c r="AP492" s="429"/>
      <c r="AQ492" s="467"/>
      <c r="AR492" s="429"/>
      <c r="AS492" s="429"/>
      <c r="AT492" s="429" t="s">
        <v>220</v>
      </c>
      <c r="AU492" s="481">
        <v>0.8</v>
      </c>
      <c r="AV492" s="467"/>
      <c r="AW492" s="467"/>
      <c r="AX492" s="429"/>
      <c r="AY492" s="429">
        <f t="shared" si="120"/>
        <v>4.25</v>
      </c>
      <c r="AZ492" s="467">
        <v>4.25</v>
      </c>
      <c r="BA492" s="429"/>
      <c r="BB492" s="429"/>
      <c r="BC492" s="427"/>
      <c r="BD492" s="429"/>
      <c r="BE492" s="429"/>
      <c r="BF492" s="427"/>
      <c r="BG492" s="427"/>
      <c r="BH492" s="427"/>
      <c r="BI492" s="427">
        <v>25</v>
      </c>
      <c r="BJ492" s="427"/>
      <c r="BK492" s="482">
        <v>1430</v>
      </c>
      <c r="BL492" s="427"/>
      <c r="BM492" s="427"/>
      <c r="BN492" s="427"/>
      <c r="BO492" s="427"/>
      <c r="BP492" s="427"/>
      <c r="BQ492" s="427"/>
      <c r="BR492" s="429">
        <v>1.5813953488372099</v>
      </c>
      <c r="BS492" s="427"/>
      <c r="BT492" s="427"/>
      <c r="BU492" s="427"/>
      <c r="BV492" s="427"/>
      <c r="BW492" s="427"/>
      <c r="BX492" s="471"/>
    </row>
    <row r="493" spans="10:76" x14ac:dyDescent="0.3">
      <c r="J493" s="362" t="s">
        <v>238</v>
      </c>
      <c r="K493" s="363" t="s">
        <v>135</v>
      </c>
      <c r="L493" s="439"/>
      <c r="M493" s="363" t="s">
        <v>239</v>
      </c>
      <c r="N493" s="363" t="s">
        <v>240</v>
      </c>
      <c r="O493" s="363" t="s">
        <v>136</v>
      </c>
      <c r="P493" s="363">
        <v>2018</v>
      </c>
      <c r="Q493" s="366" t="s">
        <v>277</v>
      </c>
      <c r="R493" s="475" t="s">
        <v>387</v>
      </c>
      <c r="S493" s="476"/>
      <c r="T493" s="476"/>
      <c r="U493" s="366" t="s">
        <v>189</v>
      </c>
      <c r="V493" s="439" t="s">
        <v>198</v>
      </c>
      <c r="W493" s="363" t="s">
        <v>243</v>
      </c>
      <c r="X493" s="468">
        <v>2019</v>
      </c>
      <c r="Y493" s="439"/>
      <c r="Z493" s="439" t="str">
        <f>VLOOKUP(R493,KEY_Processes!$C$131:$E$163,3,FALSE)</f>
        <v>HC_GHPS_ELC01</v>
      </c>
      <c r="AA493" s="439" t="str">
        <f>VLOOKUP(R493,KEY_Processes!$C$131:$E$163,2,FALSE)</f>
        <v>HC_GroundHeatPump_ELC_SMALL</v>
      </c>
      <c r="AB493" s="439" t="str">
        <f>VLOOKUP(U493,KEY_FUELS!$C$4:$D$77,2,FALSE)</f>
        <v>ELC</v>
      </c>
      <c r="AC493" s="439" t="s">
        <v>150</v>
      </c>
      <c r="AD493" s="439" t="s">
        <v>364</v>
      </c>
      <c r="AE493" s="439" t="s">
        <v>152</v>
      </c>
      <c r="AF493" s="439" t="str">
        <f>VLOOKUP(W493,KEY_Other!$B$37:$C$89,2,FALSE)</f>
        <v>EUR</v>
      </c>
      <c r="AG493" s="439"/>
      <c r="AH493" s="439" t="str">
        <f>AC493&amp;VLOOKUP(U493,KEY_FUELS!$C$4:$D$78,2,FALSE)</f>
        <v>RSDELC</v>
      </c>
      <c r="AI493" s="439" t="str">
        <f>IFERROR(AC493&amp;VLOOKUP(V493,KEY_FUELS!$C$4:$D$78,2,FALSE),"")</f>
        <v>RSDGEO</v>
      </c>
      <c r="AJ493" s="439" t="str">
        <f t="shared" si="113"/>
        <v>RHHS</v>
      </c>
      <c r="AK493" s="439" t="str">
        <f t="shared" si="114"/>
        <v>RCHS</v>
      </c>
      <c r="AL493" s="439" t="str">
        <f t="shared" si="115"/>
        <v/>
      </c>
      <c r="AM493" s="364">
        <v>31.536000000000001</v>
      </c>
      <c r="AN493" s="468">
        <f t="shared" si="116"/>
        <v>2019</v>
      </c>
      <c r="AO493" s="441">
        <f>3.8/AZ493</f>
        <v>0.89411764705882346</v>
      </c>
      <c r="AP493" s="441"/>
      <c r="AQ493" s="445"/>
      <c r="AR493" s="441"/>
      <c r="AS493" s="441"/>
      <c r="AT493" s="441" t="s">
        <v>373</v>
      </c>
      <c r="AU493" s="477">
        <v>0.8</v>
      </c>
      <c r="AV493" s="445"/>
      <c r="AW493" s="445"/>
      <c r="AX493" s="441"/>
      <c r="AY493" s="441">
        <f t="shared" si="120"/>
        <v>4.25</v>
      </c>
      <c r="AZ493" s="445">
        <v>4.25</v>
      </c>
      <c r="BA493" s="441"/>
      <c r="BB493" s="441"/>
      <c r="BC493" s="439"/>
      <c r="BD493" s="441"/>
      <c r="BE493" s="441"/>
      <c r="BF493" s="439"/>
      <c r="BG493" s="439"/>
      <c r="BH493" s="439"/>
      <c r="BI493" s="439">
        <v>25</v>
      </c>
      <c r="BJ493" s="439"/>
      <c r="BK493" s="478">
        <v>1430</v>
      </c>
      <c r="BL493" s="439"/>
      <c r="BM493" s="439"/>
      <c r="BN493" s="439"/>
      <c r="BO493" s="439"/>
      <c r="BP493" s="439"/>
      <c r="BQ493" s="439"/>
      <c r="BR493" s="441">
        <v>1.5813953488372099</v>
      </c>
      <c r="BS493" s="439"/>
      <c r="BT493" s="439"/>
      <c r="BU493" s="439"/>
      <c r="BV493" s="439"/>
      <c r="BW493" s="439"/>
      <c r="BX493" s="469"/>
    </row>
    <row r="494" spans="10:76" x14ac:dyDescent="0.3">
      <c r="J494" s="378" t="s">
        <v>238</v>
      </c>
      <c r="K494" s="379" t="s">
        <v>135</v>
      </c>
      <c r="L494" s="427"/>
      <c r="M494" s="379" t="s">
        <v>239</v>
      </c>
      <c r="N494" s="379" t="s">
        <v>240</v>
      </c>
      <c r="O494" s="379" t="s">
        <v>136</v>
      </c>
      <c r="P494" s="379">
        <v>2018</v>
      </c>
      <c r="Q494" s="382" t="s">
        <v>383</v>
      </c>
      <c r="R494" s="479" t="s">
        <v>388</v>
      </c>
      <c r="S494" s="480"/>
      <c r="T494" s="480"/>
      <c r="U494" s="382" t="s">
        <v>385</v>
      </c>
      <c r="V494" s="427" t="s">
        <v>190</v>
      </c>
      <c r="W494" s="379" t="s">
        <v>243</v>
      </c>
      <c r="X494" s="470">
        <v>2019</v>
      </c>
      <c r="Y494" s="427"/>
      <c r="Z494" s="427" t="str">
        <f>VLOOKUP(R494,KEY_Processes!$C$131:$E$163,3,FALSE)</f>
        <v>HC_AHPFS_GAS01</v>
      </c>
      <c r="AA494" s="427" t="str">
        <f>VLOOKUP(R494,KEY_Processes!$C$131:$E$163,2,FALSE)</f>
        <v>HC_HeatPump_GAS_SMALL</v>
      </c>
      <c r="AB494" s="427" t="str">
        <f>VLOOKUP(U494,KEY_FUELS!$C$4:$D$77,2,FALSE)</f>
        <v>GAS</v>
      </c>
      <c r="AC494" s="427" t="s">
        <v>150</v>
      </c>
      <c r="AD494" s="427" t="s">
        <v>364</v>
      </c>
      <c r="AE494" s="427" t="s">
        <v>152</v>
      </c>
      <c r="AF494" s="427" t="str">
        <f>VLOOKUP(W494,KEY_Other!$B$37:$C$89,2,FALSE)</f>
        <v>EUR</v>
      </c>
      <c r="AG494" s="427"/>
      <c r="AH494" s="427" t="str">
        <f>AC494&amp;VLOOKUP(U494,KEY_FUELS!$C$4:$D$78,2,FALSE)</f>
        <v>RSDGAS</v>
      </c>
      <c r="AI494" s="427" t="str">
        <f>IFERROR(AC494&amp;VLOOKUP(V494,KEY_FUELS!$C$4:$D$78,2,FALSE),"")</f>
        <v>RSDAHT</v>
      </c>
      <c r="AJ494" s="427" t="str">
        <f t="shared" si="113"/>
        <v>RHHS</v>
      </c>
      <c r="AK494" s="427" t="str">
        <f t="shared" si="114"/>
        <v>RCHS</v>
      </c>
      <c r="AL494" s="427" t="str">
        <f t="shared" si="115"/>
        <v/>
      </c>
      <c r="AM494" s="380">
        <v>31.536000000000001</v>
      </c>
      <c r="AN494" s="470">
        <f t="shared" si="116"/>
        <v>2019</v>
      </c>
      <c r="AO494" s="429">
        <f>0.6/1.3</f>
        <v>0.46153846153846151</v>
      </c>
      <c r="AP494" s="429"/>
      <c r="AQ494" s="467"/>
      <c r="AR494" s="429"/>
      <c r="AS494" s="429"/>
      <c r="AT494" s="429" t="s">
        <v>155</v>
      </c>
      <c r="AU494" s="481">
        <v>0.7</v>
      </c>
      <c r="AV494" s="467"/>
      <c r="AW494" s="467"/>
      <c r="AX494" s="429"/>
      <c r="AY494" s="429">
        <f t="shared" si="120"/>
        <v>1.3</v>
      </c>
      <c r="AZ494" s="467">
        <v>1.3</v>
      </c>
      <c r="BA494" s="429"/>
      <c r="BB494" s="429"/>
      <c r="BC494" s="427"/>
      <c r="BD494" s="429"/>
      <c r="BE494" s="429"/>
      <c r="BF494" s="427"/>
      <c r="BG494" s="427"/>
      <c r="BH494" s="427"/>
      <c r="BI494" s="427">
        <v>15</v>
      </c>
      <c r="BJ494" s="427"/>
      <c r="BK494" s="482">
        <v>536.5593295024629</v>
      </c>
      <c r="BL494" s="427"/>
      <c r="BM494" s="427"/>
      <c r="BN494" s="427"/>
      <c r="BO494" s="427"/>
      <c r="BP494" s="427"/>
      <c r="BQ494" s="427"/>
      <c r="BR494" s="429">
        <v>3.1627906976744184</v>
      </c>
      <c r="BS494" s="427"/>
      <c r="BT494" s="427"/>
      <c r="BU494" s="427"/>
      <c r="BV494" s="427"/>
      <c r="BW494" s="427"/>
      <c r="BX494" s="471"/>
    </row>
    <row r="495" spans="10:76" x14ac:dyDescent="0.3">
      <c r="J495" s="362" t="s">
        <v>238</v>
      </c>
      <c r="K495" s="363" t="s">
        <v>135</v>
      </c>
      <c r="L495" s="439"/>
      <c r="M495" s="363" t="s">
        <v>239</v>
      </c>
      <c r="N495" s="363" t="s">
        <v>240</v>
      </c>
      <c r="O495" s="363" t="s">
        <v>136</v>
      </c>
      <c r="P495" s="363">
        <v>2018</v>
      </c>
      <c r="Q495" s="366" t="s">
        <v>383</v>
      </c>
      <c r="R495" s="475" t="s">
        <v>388</v>
      </c>
      <c r="S495" s="476"/>
      <c r="T495" s="476"/>
      <c r="U495" s="366" t="s">
        <v>385</v>
      </c>
      <c r="V495" s="439" t="s">
        <v>190</v>
      </c>
      <c r="W495" s="363" t="s">
        <v>243</v>
      </c>
      <c r="X495" s="468">
        <v>2019</v>
      </c>
      <c r="Y495" s="439"/>
      <c r="Z495" s="439" t="str">
        <f>VLOOKUP(R495,KEY_Processes!$C$131:$E$163,3,FALSE)</f>
        <v>HC_AHPFS_GAS01</v>
      </c>
      <c r="AA495" s="439" t="str">
        <f>VLOOKUP(R495,KEY_Processes!$C$131:$E$163,2,FALSE)</f>
        <v>HC_HeatPump_GAS_SMALL</v>
      </c>
      <c r="AB495" s="439" t="str">
        <f>VLOOKUP(U495,KEY_FUELS!$C$4:$D$77,2,FALSE)</f>
        <v>GAS</v>
      </c>
      <c r="AC495" s="439" t="s">
        <v>150</v>
      </c>
      <c r="AD495" s="439" t="s">
        <v>364</v>
      </c>
      <c r="AE495" s="439" t="s">
        <v>152</v>
      </c>
      <c r="AF495" s="439" t="str">
        <f>VLOOKUP(W495,KEY_Other!$B$37:$C$89,2,FALSE)</f>
        <v>EUR</v>
      </c>
      <c r="AG495" s="439"/>
      <c r="AH495" s="439" t="str">
        <f>AC495&amp;VLOOKUP(U495,KEY_FUELS!$C$4:$D$78,2,FALSE)</f>
        <v>RSDGAS</v>
      </c>
      <c r="AI495" s="439" t="str">
        <f>IFERROR(AC495&amp;VLOOKUP(V495,KEY_FUELS!$C$4:$D$78,2,FALSE),"")</f>
        <v>RSDAHT</v>
      </c>
      <c r="AJ495" s="439" t="str">
        <f t="shared" si="113"/>
        <v>RHHS</v>
      </c>
      <c r="AK495" s="439" t="str">
        <f t="shared" si="114"/>
        <v>RCHS</v>
      </c>
      <c r="AL495" s="439" t="str">
        <f t="shared" si="115"/>
        <v/>
      </c>
      <c r="AM495" s="364">
        <v>31.536000000000001</v>
      </c>
      <c r="AN495" s="468">
        <f t="shared" si="116"/>
        <v>2019</v>
      </c>
      <c r="AO495" s="441">
        <f>0.6/1.3</f>
        <v>0.46153846153846151</v>
      </c>
      <c r="AP495" s="441"/>
      <c r="AQ495" s="445"/>
      <c r="AR495" s="441"/>
      <c r="AS495" s="441"/>
      <c r="AT495" s="441" t="s">
        <v>151</v>
      </c>
      <c r="AU495" s="477">
        <v>0.8</v>
      </c>
      <c r="AV495" s="445"/>
      <c r="AW495" s="445"/>
      <c r="AX495" s="441"/>
      <c r="AY495" s="441">
        <f t="shared" si="120"/>
        <v>1.3</v>
      </c>
      <c r="AZ495" s="445">
        <v>1.3</v>
      </c>
      <c r="BA495" s="441"/>
      <c r="BB495" s="441"/>
      <c r="BC495" s="439"/>
      <c r="BD495" s="441"/>
      <c r="BE495" s="441"/>
      <c r="BF495" s="439"/>
      <c r="BG495" s="439"/>
      <c r="BH495" s="439"/>
      <c r="BI495" s="439">
        <v>15</v>
      </c>
      <c r="BJ495" s="439"/>
      <c r="BK495" s="478">
        <v>536.5593295024629</v>
      </c>
      <c r="BL495" s="439"/>
      <c r="BM495" s="439"/>
      <c r="BN495" s="439"/>
      <c r="BO495" s="439"/>
      <c r="BP495" s="439"/>
      <c r="BQ495" s="439"/>
      <c r="BR495" s="441">
        <v>3.1627906976744184</v>
      </c>
      <c r="BS495" s="439"/>
      <c r="BT495" s="439"/>
      <c r="BU495" s="439"/>
      <c r="BV495" s="439"/>
      <c r="BW495" s="439"/>
      <c r="BX495" s="469"/>
    </row>
    <row r="496" spans="10:76" x14ac:dyDescent="0.3">
      <c r="J496" s="378" t="s">
        <v>238</v>
      </c>
      <c r="K496" s="379" t="s">
        <v>135</v>
      </c>
      <c r="L496" s="427"/>
      <c r="M496" s="379" t="s">
        <v>239</v>
      </c>
      <c r="N496" s="379" t="s">
        <v>240</v>
      </c>
      <c r="O496" s="379" t="s">
        <v>136</v>
      </c>
      <c r="P496" s="379">
        <v>2018</v>
      </c>
      <c r="Q496" s="382" t="s">
        <v>383</v>
      </c>
      <c r="R496" s="479" t="s">
        <v>388</v>
      </c>
      <c r="S496" s="480"/>
      <c r="T496" s="480"/>
      <c r="U496" s="382" t="s">
        <v>385</v>
      </c>
      <c r="V496" s="427" t="s">
        <v>190</v>
      </c>
      <c r="W496" s="379" t="s">
        <v>243</v>
      </c>
      <c r="X496" s="470">
        <v>2019</v>
      </c>
      <c r="Y496" s="427"/>
      <c r="Z496" s="427" t="str">
        <f>VLOOKUP(R496,KEY_Processes!$C$131:$E$163,3,FALSE)</f>
        <v>HC_AHPFS_GAS01</v>
      </c>
      <c r="AA496" s="427" t="str">
        <f>VLOOKUP(R496,KEY_Processes!$C$131:$E$163,2,FALSE)</f>
        <v>HC_HeatPump_GAS_SMALL</v>
      </c>
      <c r="AB496" s="427" t="str">
        <f>VLOOKUP(U496,KEY_FUELS!$C$4:$D$77,2,FALSE)</f>
        <v>GAS</v>
      </c>
      <c r="AC496" s="427" t="s">
        <v>150</v>
      </c>
      <c r="AD496" s="427" t="s">
        <v>364</v>
      </c>
      <c r="AE496" s="427" t="s">
        <v>152</v>
      </c>
      <c r="AF496" s="427" t="str">
        <f>VLOOKUP(W496,KEY_Other!$B$37:$C$89,2,FALSE)</f>
        <v>EUR</v>
      </c>
      <c r="AG496" s="427"/>
      <c r="AH496" s="427" t="str">
        <f>AC496&amp;VLOOKUP(U496,KEY_FUELS!$C$4:$D$78,2,FALSE)</f>
        <v>RSDGAS</v>
      </c>
      <c r="AI496" s="427" t="str">
        <f>IFERROR(AC496&amp;VLOOKUP(V496,KEY_FUELS!$C$4:$D$78,2,FALSE),"")</f>
        <v>RSDAHT</v>
      </c>
      <c r="AJ496" s="427" t="str">
        <f t="shared" si="113"/>
        <v>RHHS</v>
      </c>
      <c r="AK496" s="427" t="str">
        <f t="shared" si="114"/>
        <v>RCHS</v>
      </c>
      <c r="AL496" s="427" t="str">
        <f t="shared" si="115"/>
        <v/>
      </c>
      <c r="AM496" s="380">
        <v>31.536000000000001</v>
      </c>
      <c r="AN496" s="470">
        <f t="shared" si="116"/>
        <v>2019</v>
      </c>
      <c r="AO496" s="429">
        <f>0.6/1.3</f>
        <v>0.46153846153846151</v>
      </c>
      <c r="AP496" s="429"/>
      <c r="AQ496" s="467"/>
      <c r="AR496" s="429"/>
      <c r="AS496" s="429"/>
      <c r="AT496" s="429" t="s">
        <v>220</v>
      </c>
      <c r="AU496" s="481">
        <v>0.8</v>
      </c>
      <c r="AV496" s="467"/>
      <c r="AW496" s="467"/>
      <c r="AX496" s="429"/>
      <c r="AY496" s="429">
        <f t="shared" si="120"/>
        <v>1.3</v>
      </c>
      <c r="AZ496" s="467">
        <v>1.3</v>
      </c>
      <c r="BA496" s="429"/>
      <c r="BB496" s="429"/>
      <c r="BC496" s="427"/>
      <c r="BD496" s="429"/>
      <c r="BE496" s="429"/>
      <c r="BF496" s="427"/>
      <c r="BG496" s="427"/>
      <c r="BH496" s="427"/>
      <c r="BI496" s="427">
        <v>15</v>
      </c>
      <c r="BJ496" s="427"/>
      <c r="BK496" s="482">
        <v>536.5593295024629</v>
      </c>
      <c r="BL496" s="427"/>
      <c r="BM496" s="427"/>
      <c r="BN496" s="427"/>
      <c r="BO496" s="427"/>
      <c r="BP496" s="427"/>
      <c r="BQ496" s="427"/>
      <c r="BR496" s="429">
        <v>3.1627906976744184</v>
      </c>
      <c r="BS496" s="427"/>
      <c r="BT496" s="427"/>
      <c r="BU496" s="427"/>
      <c r="BV496" s="427"/>
      <c r="BW496" s="427"/>
      <c r="BX496" s="471"/>
    </row>
    <row r="497" spans="10:76" x14ac:dyDescent="0.3">
      <c r="J497" s="362" t="s">
        <v>238</v>
      </c>
      <c r="K497" s="363" t="s">
        <v>135</v>
      </c>
      <c r="L497" s="439"/>
      <c r="M497" s="363" t="s">
        <v>239</v>
      </c>
      <c r="N497" s="363" t="s">
        <v>240</v>
      </c>
      <c r="O497" s="363" t="s">
        <v>136</v>
      </c>
      <c r="P497" s="363">
        <v>2018</v>
      </c>
      <c r="Q497" s="366" t="s">
        <v>383</v>
      </c>
      <c r="R497" s="475" t="s">
        <v>388</v>
      </c>
      <c r="S497" s="476"/>
      <c r="T497" s="476"/>
      <c r="U497" s="366" t="s">
        <v>385</v>
      </c>
      <c r="V497" s="439" t="s">
        <v>190</v>
      </c>
      <c r="W497" s="363" t="s">
        <v>243</v>
      </c>
      <c r="X497" s="468">
        <v>2019</v>
      </c>
      <c r="Y497" s="439"/>
      <c r="Z497" s="439" t="str">
        <f>VLOOKUP(R497,KEY_Processes!$C$131:$E$163,3,FALSE)</f>
        <v>HC_AHPFS_GAS01</v>
      </c>
      <c r="AA497" s="439" t="str">
        <f>VLOOKUP(R497,KEY_Processes!$C$131:$E$163,2,FALSE)</f>
        <v>HC_HeatPump_GAS_SMALL</v>
      </c>
      <c r="AB497" s="439" t="str">
        <f>VLOOKUP(U497,KEY_FUELS!$C$4:$D$77,2,FALSE)</f>
        <v>GAS</v>
      </c>
      <c r="AC497" s="439" t="s">
        <v>150</v>
      </c>
      <c r="AD497" s="439" t="s">
        <v>364</v>
      </c>
      <c r="AE497" s="439" t="s">
        <v>152</v>
      </c>
      <c r="AF497" s="439" t="str">
        <f>VLOOKUP(W497,KEY_Other!$B$37:$C$89,2,FALSE)</f>
        <v>EUR</v>
      </c>
      <c r="AG497" s="439"/>
      <c r="AH497" s="439" t="str">
        <f>AC497&amp;VLOOKUP(U497,KEY_FUELS!$C$4:$D$78,2,FALSE)</f>
        <v>RSDGAS</v>
      </c>
      <c r="AI497" s="439" t="str">
        <f>IFERROR(AC497&amp;VLOOKUP(V497,KEY_FUELS!$C$4:$D$78,2,FALSE),"")</f>
        <v>RSDAHT</v>
      </c>
      <c r="AJ497" s="439" t="str">
        <f t="shared" si="113"/>
        <v>RHHS</v>
      </c>
      <c r="AK497" s="439" t="str">
        <f t="shared" si="114"/>
        <v>RCHS</v>
      </c>
      <c r="AL497" s="439" t="str">
        <f t="shared" si="115"/>
        <v/>
      </c>
      <c r="AM497" s="364">
        <v>31.536000000000001</v>
      </c>
      <c r="AN497" s="468">
        <f t="shared" si="116"/>
        <v>2019</v>
      </c>
      <c r="AO497" s="441">
        <f>0.6/1.3</f>
        <v>0.46153846153846151</v>
      </c>
      <c r="AP497" s="441"/>
      <c r="AQ497" s="445"/>
      <c r="AR497" s="441"/>
      <c r="AS497" s="441"/>
      <c r="AT497" s="441" t="s">
        <v>373</v>
      </c>
      <c r="AU497" s="477">
        <v>0.8</v>
      </c>
      <c r="AV497" s="445"/>
      <c r="AW497" s="445"/>
      <c r="AX497" s="441"/>
      <c r="AY497" s="441">
        <f t="shared" si="120"/>
        <v>1.3</v>
      </c>
      <c r="AZ497" s="445">
        <v>1.3</v>
      </c>
      <c r="BA497" s="441"/>
      <c r="BB497" s="441"/>
      <c r="BC497" s="439"/>
      <c r="BD497" s="441"/>
      <c r="BE497" s="441"/>
      <c r="BF497" s="439"/>
      <c r="BG497" s="439"/>
      <c r="BH497" s="439"/>
      <c r="BI497" s="439">
        <v>15</v>
      </c>
      <c r="BJ497" s="439"/>
      <c r="BK497" s="478">
        <v>536.5593295024629</v>
      </c>
      <c r="BL497" s="439"/>
      <c r="BM497" s="439"/>
      <c r="BN497" s="439"/>
      <c r="BO497" s="439"/>
      <c r="BP497" s="439"/>
      <c r="BQ497" s="439"/>
      <c r="BR497" s="441">
        <v>3.1627906976744184</v>
      </c>
      <c r="BS497" s="439"/>
      <c r="BT497" s="439"/>
      <c r="BU497" s="439"/>
      <c r="BV497" s="439"/>
      <c r="BW497" s="439"/>
      <c r="BX497" s="469"/>
    </row>
    <row r="498" spans="10:76" x14ac:dyDescent="0.3">
      <c r="J498" s="378" t="s">
        <v>238</v>
      </c>
      <c r="K498" s="379" t="s">
        <v>135</v>
      </c>
      <c r="L498" s="427"/>
      <c r="M498" s="379" t="s">
        <v>239</v>
      </c>
      <c r="N498" s="379" t="s">
        <v>240</v>
      </c>
      <c r="O498" s="379" t="s">
        <v>136</v>
      </c>
      <c r="P498" s="379">
        <v>2018</v>
      </c>
      <c r="Q498" s="382" t="s">
        <v>308</v>
      </c>
      <c r="R498" s="479" t="s">
        <v>389</v>
      </c>
      <c r="S498" s="480"/>
      <c r="T498" s="480"/>
      <c r="U498" s="382" t="s">
        <v>189</v>
      </c>
      <c r="V498" s="427"/>
      <c r="W498" s="379" t="s">
        <v>243</v>
      </c>
      <c r="X498" s="470" t="s">
        <v>363</v>
      </c>
      <c r="Y498" s="427"/>
      <c r="Z498" s="427" t="str">
        <f>VLOOKUP(R498,KEY_Processes!$C$131:$E$163,3,FALSE)</f>
        <v>H_BS_ELC02</v>
      </c>
      <c r="AA498" s="427" t="str">
        <f>VLOOKUP(R498,KEY_Processes!$C$131:$E$163,2,FALSE)</f>
        <v>H_ElectricHeater_ELC_SMALL</v>
      </c>
      <c r="AB498" s="427" t="str">
        <f>VLOOKUP(U498,KEY_FUELS!$C$4:$D$77,2,FALSE)</f>
        <v>ELC</v>
      </c>
      <c r="AC498" s="427" t="s">
        <v>150</v>
      </c>
      <c r="AD498" s="427" t="s">
        <v>364</v>
      </c>
      <c r="AE498" s="427" t="s">
        <v>152</v>
      </c>
      <c r="AF498" s="427" t="str">
        <f>VLOOKUP(W498,KEY_Other!$B$37:$C$89,2,FALSE)</f>
        <v>EUR</v>
      </c>
      <c r="AG498" s="427"/>
      <c r="AH498" s="427" t="str">
        <f>AC498&amp;VLOOKUP(U498,KEY_FUELS!$C$4:$D$78,2,FALSE)</f>
        <v>RSDELC</v>
      </c>
      <c r="AI498" s="427" t="str">
        <f>IFERROR(AC498&amp;VLOOKUP(V498,KEY_FUELS!$C$4:$D$78,2,FALSE),"")</f>
        <v/>
      </c>
      <c r="AJ498" s="427" t="str">
        <f t="shared" si="113"/>
        <v>RHHS</v>
      </c>
      <c r="AK498" s="427" t="str">
        <f t="shared" si="114"/>
        <v/>
      </c>
      <c r="AL498" s="427" t="str">
        <f t="shared" si="115"/>
        <v/>
      </c>
      <c r="AM498" s="380">
        <v>31.536000000000001</v>
      </c>
      <c r="AN498" s="470" t="str">
        <f t="shared" si="116"/>
        <v>2030</v>
      </c>
      <c r="AO498" s="470"/>
      <c r="AP498" s="429"/>
      <c r="AQ498" s="467"/>
      <c r="AR498" s="429"/>
      <c r="AS498" s="429"/>
      <c r="AT498" s="429"/>
      <c r="AU498" s="481"/>
      <c r="AV498" s="467"/>
      <c r="AW498" s="467"/>
      <c r="AX498" s="429"/>
      <c r="AY498" s="429"/>
      <c r="AZ498" s="467">
        <v>0.99</v>
      </c>
      <c r="BA498" s="429"/>
      <c r="BB498" s="429"/>
      <c r="BC498" s="427"/>
      <c r="BD498" s="429"/>
      <c r="BE498" s="429"/>
      <c r="BF498" s="427"/>
      <c r="BG498" s="427"/>
      <c r="BH498" s="427"/>
      <c r="BI498" s="427">
        <v>15</v>
      </c>
      <c r="BJ498" s="427"/>
      <c r="BK498" s="482">
        <v>18</v>
      </c>
      <c r="BL498" s="427"/>
      <c r="BM498" s="427"/>
      <c r="BN498" s="427"/>
      <c r="BO498" s="427"/>
      <c r="BP498" s="427"/>
      <c r="BQ498" s="427"/>
      <c r="BR498" s="429">
        <v>0.18</v>
      </c>
      <c r="BS498" s="427"/>
      <c r="BT498" s="427"/>
      <c r="BU498" s="427"/>
      <c r="BV498" s="427"/>
      <c r="BW498" s="427"/>
      <c r="BX498" s="471"/>
    </row>
    <row r="499" spans="10:76" x14ac:dyDescent="0.3">
      <c r="J499" s="362" t="s">
        <v>238</v>
      </c>
      <c r="K499" s="363" t="s">
        <v>135</v>
      </c>
      <c r="L499" s="439"/>
      <c r="M499" s="363" t="s">
        <v>239</v>
      </c>
      <c r="N499" s="363" t="s">
        <v>240</v>
      </c>
      <c r="O499" s="363" t="s">
        <v>136</v>
      </c>
      <c r="P499" s="363">
        <v>2018</v>
      </c>
      <c r="Q499" s="366" t="s">
        <v>308</v>
      </c>
      <c r="R499" s="475" t="s">
        <v>389</v>
      </c>
      <c r="S499" s="476"/>
      <c r="T499" s="476"/>
      <c r="U499" s="366" t="s">
        <v>189</v>
      </c>
      <c r="V499" s="439"/>
      <c r="W499" s="363" t="s">
        <v>243</v>
      </c>
      <c r="X499" s="468">
        <v>2019</v>
      </c>
      <c r="Y499" s="439"/>
      <c r="Z499" s="439" t="str">
        <f>VLOOKUP(R499,KEY_Processes!$C$131:$E$163,3,FALSE)</f>
        <v>H_BS_ELC02</v>
      </c>
      <c r="AA499" s="439" t="str">
        <f>VLOOKUP(R499,KEY_Processes!$C$131:$E$163,2,FALSE)</f>
        <v>H_ElectricHeater_ELC_SMALL</v>
      </c>
      <c r="AB499" s="439" t="str">
        <f>VLOOKUP(U499,KEY_FUELS!$C$4:$D$77,2,FALSE)</f>
        <v>ELC</v>
      </c>
      <c r="AC499" s="439" t="s">
        <v>150</v>
      </c>
      <c r="AD499" s="439" t="s">
        <v>364</v>
      </c>
      <c r="AE499" s="439" t="s">
        <v>152</v>
      </c>
      <c r="AF499" s="439" t="str">
        <f>VLOOKUP(W499,KEY_Other!$B$37:$C$89,2,FALSE)</f>
        <v>EUR</v>
      </c>
      <c r="AG499" s="439"/>
      <c r="AH499" s="439" t="str">
        <f>AC499&amp;VLOOKUP(U499,KEY_FUELS!$C$4:$D$78,2,FALSE)</f>
        <v>RSDELC</v>
      </c>
      <c r="AI499" s="439" t="str">
        <f>IFERROR(AC499&amp;VLOOKUP(V499,KEY_FUELS!$C$4:$D$78,2,FALSE),"")</f>
        <v/>
      </c>
      <c r="AJ499" s="439" t="str">
        <f t="shared" si="113"/>
        <v>RHHS</v>
      </c>
      <c r="AK499" s="439" t="str">
        <f t="shared" si="114"/>
        <v/>
      </c>
      <c r="AL499" s="439" t="str">
        <f t="shared" si="115"/>
        <v/>
      </c>
      <c r="AM499" s="364">
        <v>31.536000000000001</v>
      </c>
      <c r="AN499" s="468">
        <f t="shared" si="116"/>
        <v>2019</v>
      </c>
      <c r="AO499" s="468"/>
      <c r="AP499" s="441"/>
      <c r="AQ499" s="445"/>
      <c r="AR499" s="441"/>
      <c r="AS499" s="441"/>
      <c r="AT499" s="441"/>
      <c r="AU499" s="477"/>
      <c r="AV499" s="445"/>
      <c r="AW499" s="445"/>
      <c r="AX499" s="441"/>
      <c r="AY499" s="441"/>
      <c r="AZ499" s="445">
        <v>0.98</v>
      </c>
      <c r="BA499" s="441"/>
      <c r="BB499" s="441"/>
      <c r="BC499" s="439"/>
      <c r="BD499" s="441"/>
      <c r="BE499" s="441"/>
      <c r="BF499" s="439"/>
      <c r="BG499" s="439"/>
      <c r="BH499" s="439"/>
      <c r="BI499" s="439">
        <v>15</v>
      </c>
      <c r="BJ499" s="439"/>
      <c r="BK499" s="478">
        <v>16.7</v>
      </c>
      <c r="BL499" s="439"/>
      <c r="BM499" s="439"/>
      <c r="BN499" s="439"/>
      <c r="BO499" s="439"/>
      <c r="BP499" s="439"/>
      <c r="BQ499" s="439"/>
      <c r="BR499" s="441">
        <v>0.16700000000000001</v>
      </c>
      <c r="BS499" s="439"/>
      <c r="BT499" s="439"/>
      <c r="BU499" s="439"/>
      <c r="BV499" s="439"/>
      <c r="BW499" s="439"/>
      <c r="BX499" s="469"/>
    </row>
    <row r="500" spans="10:76" x14ac:dyDescent="0.3">
      <c r="J500" s="378" t="s">
        <v>238</v>
      </c>
      <c r="K500" s="379" t="s">
        <v>135</v>
      </c>
      <c r="L500" s="427"/>
      <c r="M500" s="379" t="s">
        <v>239</v>
      </c>
      <c r="N500" s="379" t="s">
        <v>240</v>
      </c>
      <c r="O500" s="379" t="s">
        <v>136</v>
      </c>
      <c r="P500" s="379">
        <v>2018</v>
      </c>
      <c r="Q500" s="382" t="s">
        <v>287</v>
      </c>
      <c r="R500" s="479" t="s">
        <v>390</v>
      </c>
      <c r="S500" s="480"/>
      <c r="T500" s="480"/>
      <c r="U500" s="382" t="s">
        <v>219</v>
      </c>
      <c r="V500" s="427"/>
      <c r="W500" s="379" t="s">
        <v>243</v>
      </c>
      <c r="X500" s="470" t="s">
        <v>363</v>
      </c>
      <c r="Y500" s="427"/>
      <c r="Z500" s="427" t="str">
        <f>VLOOKUP(R500,KEY_Processes!$C$131:$E$163,3,FALSE)</f>
        <v>HW_STS_SOL01</v>
      </c>
      <c r="AA500" s="427" t="str">
        <f>VLOOKUP(R500,KEY_Processes!$C$131:$E$163,2,FALSE)</f>
        <v>HW_SolarThermal_SOL_SMALL</v>
      </c>
      <c r="AB500" s="427" t="str">
        <f>VLOOKUP(U500,KEY_FUELS!$C$4:$D$77,2,FALSE)</f>
        <v>SOL</v>
      </c>
      <c r="AC500" s="427" t="s">
        <v>150</v>
      </c>
      <c r="AD500" s="427" t="s">
        <v>364</v>
      </c>
      <c r="AE500" s="427" t="s">
        <v>152</v>
      </c>
      <c r="AF500" s="427" t="str">
        <f>VLOOKUP(W500,KEY_Other!$B$37:$C$89,2,FALSE)</f>
        <v>EUR</v>
      </c>
      <c r="AG500" s="427"/>
      <c r="AH500" s="427" t="str">
        <f>AC500&amp;VLOOKUP(U500,KEY_FUELS!$C$4:$D$78,2,FALSE)</f>
        <v>RSDSOL</v>
      </c>
      <c r="AI500" s="427" t="str">
        <f>IFERROR(AC500&amp;VLOOKUP(V500,KEY_FUELS!$C$4:$D$78,2,FALSE),"")</f>
        <v/>
      </c>
      <c r="AJ500" s="427" t="str">
        <f t="shared" si="113"/>
        <v>RHHS</v>
      </c>
      <c r="AK500" s="427" t="str">
        <f t="shared" si="114"/>
        <v>RWHS</v>
      </c>
      <c r="AL500" s="427" t="str">
        <f t="shared" si="115"/>
        <v/>
      </c>
      <c r="AM500" s="380">
        <v>31.536000000000001</v>
      </c>
      <c r="AN500" s="470" t="str">
        <f t="shared" si="116"/>
        <v>2030</v>
      </c>
      <c r="AO500" s="427"/>
      <c r="AP500" s="429"/>
      <c r="AQ500" s="483"/>
      <c r="AR500" s="429"/>
      <c r="AS500" s="429"/>
      <c r="AT500" s="429"/>
      <c r="AU500" s="481"/>
      <c r="AV500" s="467"/>
      <c r="AW500" s="467"/>
      <c r="AX500" s="429"/>
      <c r="AY500" s="429"/>
      <c r="AZ500" s="429">
        <v>0.82</v>
      </c>
      <c r="BA500" s="429"/>
      <c r="BB500" s="429"/>
      <c r="BC500" s="427"/>
      <c r="BD500" s="429"/>
      <c r="BE500" s="429"/>
      <c r="BF500" s="427"/>
      <c r="BG500" s="427"/>
      <c r="BH500" s="427"/>
      <c r="BI500" s="427">
        <v>20</v>
      </c>
      <c r="BJ500" s="427"/>
      <c r="BK500" s="482">
        <v>640</v>
      </c>
      <c r="BL500" s="427"/>
      <c r="BM500" s="427"/>
      <c r="BN500" s="427"/>
      <c r="BO500" s="427"/>
      <c r="BP500" s="427"/>
      <c r="BQ500" s="427"/>
      <c r="BR500" s="429">
        <v>5</v>
      </c>
      <c r="BS500" s="427"/>
      <c r="BT500" s="427"/>
      <c r="BU500" s="427"/>
      <c r="BV500" s="427"/>
      <c r="BW500" s="427"/>
      <c r="BX500" s="471"/>
    </row>
    <row r="501" spans="10:76" x14ac:dyDescent="0.3">
      <c r="J501" s="362" t="s">
        <v>238</v>
      </c>
      <c r="K501" s="363" t="s">
        <v>135</v>
      </c>
      <c r="L501" s="439"/>
      <c r="M501" s="363" t="s">
        <v>239</v>
      </c>
      <c r="N501" s="363" t="s">
        <v>240</v>
      </c>
      <c r="O501" s="363" t="s">
        <v>136</v>
      </c>
      <c r="P501" s="363">
        <v>2018</v>
      </c>
      <c r="Q501" s="366" t="s">
        <v>287</v>
      </c>
      <c r="R501" s="475" t="s">
        <v>390</v>
      </c>
      <c r="S501" s="476"/>
      <c r="T501" s="476"/>
      <c r="U501" s="366" t="s">
        <v>219</v>
      </c>
      <c r="V501" s="439"/>
      <c r="W501" s="363" t="s">
        <v>243</v>
      </c>
      <c r="X501" s="468">
        <v>2019</v>
      </c>
      <c r="Y501" s="439"/>
      <c r="Z501" s="439" t="str">
        <f>VLOOKUP(R501,KEY_Processes!$C$131:$E$163,3,FALSE)</f>
        <v>HW_STS_SOL01</v>
      </c>
      <c r="AA501" s="439" t="str">
        <f>VLOOKUP(R501,KEY_Processes!$C$131:$E$163,2,FALSE)</f>
        <v>HW_SolarThermal_SOL_SMALL</v>
      </c>
      <c r="AB501" s="439" t="str">
        <f>VLOOKUP(U501,KEY_FUELS!$C$4:$D$77,2,FALSE)</f>
        <v>SOL</v>
      </c>
      <c r="AC501" s="439" t="s">
        <v>150</v>
      </c>
      <c r="AD501" s="439" t="s">
        <v>364</v>
      </c>
      <c r="AE501" s="439" t="s">
        <v>152</v>
      </c>
      <c r="AF501" s="439" t="str">
        <f>VLOOKUP(W501,KEY_Other!$B$37:$C$89,2,FALSE)</f>
        <v>EUR</v>
      </c>
      <c r="AG501" s="439"/>
      <c r="AH501" s="439" t="str">
        <f>AC501&amp;VLOOKUP(U501,KEY_FUELS!$C$4:$D$78,2,FALSE)</f>
        <v>RSDSOL</v>
      </c>
      <c r="AI501" s="439" t="str">
        <f>IFERROR(AC501&amp;VLOOKUP(V501,KEY_FUELS!$C$4:$D$78,2,FALSE),"")</f>
        <v/>
      </c>
      <c r="AJ501" s="439" t="str">
        <f t="shared" si="113"/>
        <v>RHHS</v>
      </c>
      <c r="AK501" s="439" t="str">
        <f t="shared" si="114"/>
        <v>RWHS</v>
      </c>
      <c r="AL501" s="439" t="str">
        <f t="shared" si="115"/>
        <v/>
      </c>
      <c r="AM501" s="364">
        <v>31.536000000000001</v>
      </c>
      <c r="AN501" s="468">
        <f t="shared" si="116"/>
        <v>2019</v>
      </c>
      <c r="AO501" s="439">
        <v>1</v>
      </c>
      <c r="AP501" s="441"/>
      <c r="AQ501" s="484">
        <v>0.65</v>
      </c>
      <c r="AR501" s="441">
        <v>0.35</v>
      </c>
      <c r="AS501" s="441"/>
      <c r="AT501" s="441" t="s">
        <v>155</v>
      </c>
      <c r="AU501" s="477">
        <v>0.5</v>
      </c>
      <c r="AV501" s="445"/>
      <c r="AW501" s="445"/>
      <c r="AX501" s="441"/>
      <c r="AY501" s="441"/>
      <c r="AZ501" s="441">
        <v>0.77</v>
      </c>
      <c r="BA501" s="441"/>
      <c r="BB501" s="441"/>
      <c r="BC501" s="439"/>
      <c r="BD501" s="441"/>
      <c r="BE501" s="441"/>
      <c r="BF501" s="439"/>
      <c r="BG501" s="439"/>
      <c r="BH501" s="439"/>
      <c r="BI501" s="439">
        <v>20</v>
      </c>
      <c r="BJ501" s="439"/>
      <c r="BK501" s="478">
        <v>440</v>
      </c>
      <c r="BL501" s="439"/>
      <c r="BM501" s="439"/>
      <c r="BN501" s="439"/>
      <c r="BO501" s="439"/>
      <c r="BP501" s="439"/>
      <c r="BQ501" s="439"/>
      <c r="BR501" s="441">
        <v>5</v>
      </c>
      <c r="BS501" s="439"/>
      <c r="BT501" s="439"/>
      <c r="BU501" s="439"/>
      <c r="BV501" s="439"/>
      <c r="BW501" s="439"/>
      <c r="BX501" s="469"/>
    </row>
    <row r="502" spans="10:76" x14ac:dyDescent="0.3">
      <c r="J502" s="378" t="s">
        <v>238</v>
      </c>
      <c r="K502" s="379" t="s">
        <v>135</v>
      </c>
      <c r="L502" s="427"/>
      <c r="M502" s="379" t="s">
        <v>239</v>
      </c>
      <c r="N502" s="379" t="s">
        <v>240</v>
      </c>
      <c r="O502" s="379" t="s">
        <v>136</v>
      </c>
      <c r="P502" s="379">
        <v>2018</v>
      </c>
      <c r="Q502" s="382" t="s">
        <v>287</v>
      </c>
      <c r="R502" s="479" t="s">
        <v>390</v>
      </c>
      <c r="S502" s="480"/>
      <c r="T502" s="480"/>
      <c r="U502" s="382" t="s">
        <v>219</v>
      </c>
      <c r="V502" s="427"/>
      <c r="W502" s="379" t="s">
        <v>243</v>
      </c>
      <c r="X502" s="470">
        <v>2019</v>
      </c>
      <c r="Y502" s="427"/>
      <c r="Z502" s="427" t="str">
        <f>VLOOKUP(R502,KEY_Processes!$C$131:$E$163,3,FALSE)</f>
        <v>HW_STS_SOL01</v>
      </c>
      <c r="AA502" s="427" t="str">
        <f>VLOOKUP(R502,KEY_Processes!$C$131:$E$163,2,FALSE)</f>
        <v>HW_SolarThermal_SOL_SMALL</v>
      </c>
      <c r="AB502" s="427" t="str">
        <f>VLOOKUP(U502,KEY_FUELS!$C$4:$D$77,2,FALSE)</f>
        <v>SOL</v>
      </c>
      <c r="AC502" s="427" t="s">
        <v>150</v>
      </c>
      <c r="AD502" s="427" t="s">
        <v>364</v>
      </c>
      <c r="AE502" s="427" t="s">
        <v>152</v>
      </c>
      <c r="AF502" s="427" t="str">
        <f>VLOOKUP(W502,KEY_Other!$B$37:$C$89,2,FALSE)</f>
        <v>EUR</v>
      </c>
      <c r="AG502" s="427"/>
      <c r="AH502" s="427" t="str">
        <f>AC502&amp;VLOOKUP(U502,KEY_FUELS!$C$4:$D$78,2,FALSE)</f>
        <v>RSDSOL</v>
      </c>
      <c r="AI502" s="427" t="str">
        <f>IFERROR(AC502&amp;VLOOKUP(V502,KEY_FUELS!$C$4:$D$78,2,FALSE),"")</f>
        <v/>
      </c>
      <c r="AJ502" s="427" t="str">
        <f t="shared" si="113"/>
        <v>RHHS</v>
      </c>
      <c r="AK502" s="427" t="str">
        <f t="shared" si="114"/>
        <v>RWHS</v>
      </c>
      <c r="AL502" s="427" t="str">
        <f t="shared" si="115"/>
        <v/>
      </c>
      <c r="AM502" s="380">
        <v>31.536000000000001</v>
      </c>
      <c r="AN502" s="470">
        <f t="shared" si="116"/>
        <v>2019</v>
      </c>
      <c r="AO502" s="427">
        <v>1</v>
      </c>
      <c r="AP502" s="429"/>
      <c r="AQ502" s="483">
        <v>0.65</v>
      </c>
      <c r="AR502" s="429">
        <v>0.35</v>
      </c>
      <c r="AS502" s="429"/>
      <c r="AT502" s="429" t="s">
        <v>151</v>
      </c>
      <c r="AU502" s="481">
        <v>0.62</v>
      </c>
      <c r="AV502" s="467"/>
      <c r="AW502" s="467"/>
      <c r="AX502" s="429"/>
      <c r="AY502" s="429"/>
      <c r="AZ502" s="429">
        <v>0.77</v>
      </c>
      <c r="BA502" s="429"/>
      <c r="BB502" s="429"/>
      <c r="BC502" s="427"/>
      <c r="BD502" s="429"/>
      <c r="BE502" s="429"/>
      <c r="BF502" s="427"/>
      <c r="BG502" s="427"/>
      <c r="BH502" s="427"/>
      <c r="BI502" s="427">
        <v>20</v>
      </c>
      <c r="BJ502" s="427"/>
      <c r="BK502" s="482">
        <v>440</v>
      </c>
      <c r="BL502" s="427"/>
      <c r="BM502" s="427"/>
      <c r="BN502" s="427"/>
      <c r="BO502" s="427"/>
      <c r="BP502" s="427"/>
      <c r="BQ502" s="427"/>
      <c r="BR502" s="429">
        <v>5</v>
      </c>
      <c r="BS502" s="427"/>
      <c r="BT502" s="427"/>
      <c r="BU502" s="427"/>
      <c r="BV502" s="427"/>
      <c r="BW502" s="427"/>
      <c r="BX502" s="471"/>
    </row>
    <row r="503" spans="10:76" x14ac:dyDescent="0.3">
      <c r="J503" s="362" t="s">
        <v>238</v>
      </c>
      <c r="K503" s="363" t="s">
        <v>135</v>
      </c>
      <c r="L503" s="439"/>
      <c r="M503" s="363" t="s">
        <v>239</v>
      </c>
      <c r="N503" s="363" t="s">
        <v>240</v>
      </c>
      <c r="O503" s="363" t="s">
        <v>136</v>
      </c>
      <c r="P503" s="363">
        <v>2018</v>
      </c>
      <c r="Q503" s="366" t="s">
        <v>287</v>
      </c>
      <c r="R503" s="475" t="s">
        <v>390</v>
      </c>
      <c r="S503" s="476"/>
      <c r="T503" s="476"/>
      <c r="U503" s="366" t="s">
        <v>219</v>
      </c>
      <c r="V503" s="439"/>
      <c r="W503" s="363" t="s">
        <v>243</v>
      </c>
      <c r="X503" s="468">
        <v>2019</v>
      </c>
      <c r="Y503" s="439"/>
      <c r="Z503" s="439" t="str">
        <f>VLOOKUP(R503,KEY_Processes!$C$131:$E$163,3,FALSE)</f>
        <v>HW_STS_SOL01</v>
      </c>
      <c r="AA503" s="439" t="str">
        <f>VLOOKUP(R503,KEY_Processes!$C$131:$E$163,2,FALSE)</f>
        <v>HW_SolarThermal_SOL_SMALL</v>
      </c>
      <c r="AB503" s="439" t="str">
        <f>VLOOKUP(U503,KEY_FUELS!$C$4:$D$77,2,FALSE)</f>
        <v>SOL</v>
      </c>
      <c r="AC503" s="439" t="s">
        <v>150</v>
      </c>
      <c r="AD503" s="439" t="s">
        <v>364</v>
      </c>
      <c r="AE503" s="439" t="s">
        <v>152</v>
      </c>
      <c r="AF503" s="439" t="str">
        <f>VLOOKUP(W503,KEY_Other!$B$37:$C$89,2,FALSE)</f>
        <v>EUR</v>
      </c>
      <c r="AG503" s="439"/>
      <c r="AH503" s="439" t="str">
        <f>AC503&amp;VLOOKUP(U503,KEY_FUELS!$C$4:$D$78,2,FALSE)</f>
        <v>RSDSOL</v>
      </c>
      <c r="AI503" s="439" t="str">
        <f>IFERROR(AC503&amp;VLOOKUP(V503,KEY_FUELS!$C$4:$D$78,2,FALSE),"")</f>
        <v/>
      </c>
      <c r="AJ503" s="439" t="str">
        <f t="shared" si="113"/>
        <v>RHHS</v>
      </c>
      <c r="AK503" s="439" t="str">
        <f t="shared" si="114"/>
        <v>RWHS</v>
      </c>
      <c r="AL503" s="439" t="str">
        <f t="shared" si="115"/>
        <v/>
      </c>
      <c r="AM503" s="364">
        <v>31.536000000000001</v>
      </c>
      <c r="AN503" s="468">
        <f t="shared" si="116"/>
        <v>2019</v>
      </c>
      <c r="AO503" s="439">
        <v>1</v>
      </c>
      <c r="AP503" s="441"/>
      <c r="AQ503" s="484">
        <v>0.65</v>
      </c>
      <c r="AR503" s="441">
        <v>0.35</v>
      </c>
      <c r="AS503" s="441"/>
      <c r="AT503" s="441" t="s">
        <v>220</v>
      </c>
      <c r="AU503" s="477">
        <v>0.77</v>
      </c>
      <c r="AV503" s="445"/>
      <c r="AW503" s="445"/>
      <c r="AX503" s="441"/>
      <c r="AY503" s="441"/>
      <c r="AZ503" s="441">
        <v>0.77</v>
      </c>
      <c r="BA503" s="441"/>
      <c r="BB503" s="441"/>
      <c r="BC503" s="439"/>
      <c r="BD503" s="441"/>
      <c r="BE503" s="441"/>
      <c r="BF503" s="439"/>
      <c r="BG503" s="439"/>
      <c r="BH503" s="439"/>
      <c r="BI503" s="439">
        <v>20</v>
      </c>
      <c r="BJ503" s="439"/>
      <c r="BK503" s="478">
        <v>440</v>
      </c>
      <c r="BL503" s="439"/>
      <c r="BM503" s="439"/>
      <c r="BN503" s="439"/>
      <c r="BO503" s="439"/>
      <c r="BP503" s="439"/>
      <c r="BQ503" s="439"/>
      <c r="BR503" s="441">
        <v>5</v>
      </c>
      <c r="BS503" s="439"/>
      <c r="BT503" s="439"/>
      <c r="BU503" s="439"/>
      <c r="BV503" s="439"/>
      <c r="BW503" s="439"/>
      <c r="BX503" s="469"/>
    </row>
    <row r="504" spans="10:76" x14ac:dyDescent="0.3">
      <c r="J504" s="378" t="s">
        <v>238</v>
      </c>
      <c r="K504" s="379" t="s">
        <v>135</v>
      </c>
      <c r="L504" s="427"/>
      <c r="M504" s="379" t="s">
        <v>239</v>
      </c>
      <c r="N504" s="379" t="s">
        <v>240</v>
      </c>
      <c r="O504" s="379" t="s">
        <v>136</v>
      </c>
      <c r="P504" s="379">
        <v>2018</v>
      </c>
      <c r="Q504" s="382" t="s">
        <v>287</v>
      </c>
      <c r="R504" s="479" t="s">
        <v>390</v>
      </c>
      <c r="S504" s="480"/>
      <c r="T504" s="480"/>
      <c r="U504" s="382" t="s">
        <v>219</v>
      </c>
      <c r="V504" s="427"/>
      <c r="W504" s="379" t="s">
        <v>243</v>
      </c>
      <c r="X504" s="470">
        <v>2019</v>
      </c>
      <c r="Y504" s="427"/>
      <c r="Z504" s="427" t="str">
        <f>VLOOKUP(R504,KEY_Processes!$C$131:$E$163,3,FALSE)</f>
        <v>HW_STS_SOL01</v>
      </c>
      <c r="AA504" s="427" t="str">
        <f>VLOOKUP(R504,KEY_Processes!$C$131:$E$163,2,FALSE)</f>
        <v>HW_SolarThermal_SOL_SMALL</v>
      </c>
      <c r="AB504" s="427" t="str">
        <f>VLOOKUP(U504,KEY_FUELS!$C$4:$D$77,2,FALSE)</f>
        <v>SOL</v>
      </c>
      <c r="AC504" s="427" t="s">
        <v>150</v>
      </c>
      <c r="AD504" s="427" t="s">
        <v>364</v>
      </c>
      <c r="AE504" s="427" t="s">
        <v>152</v>
      </c>
      <c r="AF504" s="427" t="str">
        <f>VLOOKUP(W504,KEY_Other!$B$37:$C$89,2,FALSE)</f>
        <v>EUR</v>
      </c>
      <c r="AG504" s="427"/>
      <c r="AH504" s="427" t="str">
        <f>AC504&amp;VLOOKUP(U504,KEY_FUELS!$C$4:$D$78,2,FALSE)</f>
        <v>RSDSOL</v>
      </c>
      <c r="AI504" s="427" t="str">
        <f>IFERROR(AC504&amp;VLOOKUP(V504,KEY_FUELS!$C$4:$D$78,2,FALSE),"")</f>
        <v/>
      </c>
      <c r="AJ504" s="427" t="str">
        <f t="shared" si="113"/>
        <v>RHHS</v>
      </c>
      <c r="AK504" s="427" t="str">
        <f t="shared" si="114"/>
        <v>RWHS</v>
      </c>
      <c r="AL504" s="427" t="str">
        <f t="shared" si="115"/>
        <v/>
      </c>
      <c r="AM504" s="380">
        <v>31.536000000000001</v>
      </c>
      <c r="AN504" s="470">
        <f t="shared" si="116"/>
        <v>2019</v>
      </c>
      <c r="AO504" s="427">
        <v>1</v>
      </c>
      <c r="AP504" s="429"/>
      <c r="AQ504" s="483">
        <v>0.65</v>
      </c>
      <c r="AR504" s="429">
        <v>0.35</v>
      </c>
      <c r="AS504" s="429"/>
      <c r="AT504" s="429" t="s">
        <v>373</v>
      </c>
      <c r="AU504" s="481">
        <v>0.81</v>
      </c>
      <c r="AV504" s="467"/>
      <c r="AW504" s="467"/>
      <c r="AX504" s="429"/>
      <c r="AY504" s="429"/>
      <c r="AZ504" s="429">
        <v>0.77</v>
      </c>
      <c r="BA504" s="429"/>
      <c r="BB504" s="429"/>
      <c r="BC504" s="427"/>
      <c r="BD504" s="429"/>
      <c r="BE504" s="429"/>
      <c r="BF504" s="427"/>
      <c r="BG504" s="427"/>
      <c r="BH504" s="427"/>
      <c r="BI504" s="427">
        <v>20</v>
      </c>
      <c r="BJ504" s="427"/>
      <c r="BK504" s="482">
        <v>440</v>
      </c>
      <c r="BL504" s="427"/>
      <c r="BM504" s="427"/>
      <c r="BN504" s="427"/>
      <c r="BO504" s="427"/>
      <c r="BP504" s="427"/>
      <c r="BQ504" s="427"/>
      <c r="BR504" s="429">
        <v>5</v>
      </c>
      <c r="BS504" s="427"/>
      <c r="BT504" s="427"/>
      <c r="BU504" s="427"/>
      <c r="BV504" s="427"/>
      <c r="BW504" s="427"/>
      <c r="BX504" s="471"/>
    </row>
    <row r="505" spans="10:76" x14ac:dyDescent="0.3">
      <c r="J505" s="362" t="s">
        <v>238</v>
      </c>
      <c r="K505" s="363" t="s">
        <v>135</v>
      </c>
      <c r="L505" s="439"/>
      <c r="M505" s="363" t="s">
        <v>239</v>
      </c>
      <c r="N505" s="363" t="s">
        <v>240</v>
      </c>
      <c r="O505" s="363" t="s">
        <v>136</v>
      </c>
      <c r="P505" s="363">
        <v>2018</v>
      </c>
      <c r="Q505" s="366" t="s">
        <v>287</v>
      </c>
      <c r="R505" s="475" t="s">
        <v>390</v>
      </c>
      <c r="S505" s="476"/>
      <c r="T505" s="476"/>
      <c r="U505" s="366" t="s">
        <v>219</v>
      </c>
      <c r="V505" s="439"/>
      <c r="W505" s="363" t="s">
        <v>243</v>
      </c>
      <c r="X505" s="468" t="s">
        <v>363</v>
      </c>
      <c r="Y505" s="439"/>
      <c r="Z505" s="439" t="str">
        <f>VLOOKUP(R505,KEY_Processes!$C$131:$E$163,3,FALSE)</f>
        <v>HW_STS_SOL01</v>
      </c>
      <c r="AA505" s="439" t="str">
        <f>VLOOKUP(R505,KEY_Processes!$C$131:$E$163,2,FALSE)</f>
        <v>HW_SolarThermal_SOL_SMALL</v>
      </c>
      <c r="AB505" s="439" t="str">
        <f>VLOOKUP(U505,KEY_FUELS!$C$4:$D$77,2,FALSE)</f>
        <v>SOL</v>
      </c>
      <c r="AC505" s="439" t="s">
        <v>150</v>
      </c>
      <c r="AD505" s="439" t="s">
        <v>364</v>
      </c>
      <c r="AE505" s="439" t="s">
        <v>152</v>
      </c>
      <c r="AF505" s="439" t="str">
        <f>VLOOKUP(W505,KEY_Other!$B$37:$C$89,2,FALSE)</f>
        <v>EUR</v>
      </c>
      <c r="AG505" s="439"/>
      <c r="AH505" s="439" t="str">
        <f>AC505&amp;VLOOKUP(U505,KEY_FUELS!$C$4:$D$78,2,FALSE)</f>
        <v>RSDSOL</v>
      </c>
      <c r="AI505" s="439" t="str">
        <f>IFERROR(AC505&amp;VLOOKUP(V505,KEY_FUELS!$C$4:$D$78,2,FALSE),"")</f>
        <v/>
      </c>
      <c r="AJ505" s="439" t="str">
        <f t="shared" si="113"/>
        <v>RHHS</v>
      </c>
      <c r="AK505" s="439" t="str">
        <f t="shared" si="114"/>
        <v>RWHS</v>
      </c>
      <c r="AL505" s="439" t="str">
        <f t="shared" si="115"/>
        <v/>
      </c>
      <c r="AM505" s="364">
        <v>31.536000000000001</v>
      </c>
      <c r="AN505" s="468" t="str">
        <f t="shared" si="116"/>
        <v>2030</v>
      </c>
      <c r="AO505" s="439"/>
      <c r="AP505" s="441"/>
      <c r="AQ505" s="484"/>
      <c r="AR505" s="441"/>
      <c r="AS505" s="441"/>
      <c r="AT505" s="441"/>
      <c r="AU505" s="477"/>
      <c r="AV505" s="445"/>
      <c r="AW505" s="445"/>
      <c r="AX505" s="441"/>
      <c r="AY505" s="441"/>
      <c r="AZ505" s="441">
        <v>0.82</v>
      </c>
      <c r="BA505" s="441"/>
      <c r="BB505" s="441"/>
      <c r="BC505" s="439"/>
      <c r="BD505" s="441"/>
      <c r="BE505" s="441"/>
      <c r="BF505" s="439"/>
      <c r="BG505" s="439"/>
      <c r="BH505" s="439"/>
      <c r="BI505" s="439">
        <v>20</v>
      </c>
      <c r="BJ505" s="439"/>
      <c r="BK505" s="478">
        <v>640</v>
      </c>
      <c r="BL505" s="439"/>
      <c r="BM505" s="439"/>
      <c r="BN505" s="439"/>
      <c r="BO505" s="439"/>
      <c r="BP505" s="439"/>
      <c r="BQ505" s="439"/>
      <c r="BR505" s="441">
        <v>5</v>
      </c>
      <c r="BS505" s="439"/>
      <c r="BT505" s="439"/>
      <c r="BU505" s="439"/>
      <c r="BV505" s="439"/>
      <c r="BW505" s="439"/>
      <c r="BX505" s="469"/>
    </row>
    <row r="506" spans="10:76" x14ac:dyDescent="0.3">
      <c r="J506" s="378" t="s">
        <v>238</v>
      </c>
      <c r="K506" s="379" t="s">
        <v>135</v>
      </c>
      <c r="L506" s="427"/>
      <c r="M506" s="379" t="s">
        <v>239</v>
      </c>
      <c r="N506" s="379" t="s">
        <v>240</v>
      </c>
      <c r="O506" s="379" t="s">
        <v>136</v>
      </c>
      <c r="P506" s="379">
        <v>2018</v>
      </c>
      <c r="Q506" s="382" t="s">
        <v>287</v>
      </c>
      <c r="R506" s="479" t="s">
        <v>390</v>
      </c>
      <c r="S506" s="480"/>
      <c r="T506" s="480"/>
      <c r="U506" s="382" t="s">
        <v>219</v>
      </c>
      <c r="V506" s="427"/>
      <c r="W506" s="379" t="s">
        <v>243</v>
      </c>
      <c r="X506" s="470">
        <v>2019</v>
      </c>
      <c r="Y506" s="427"/>
      <c r="Z506" s="427" t="str">
        <f>VLOOKUP(R506,KEY_Processes!$C$131:$E$163,3,FALSE)</f>
        <v>HW_STS_SOL01</v>
      </c>
      <c r="AA506" s="427" t="str">
        <f>VLOOKUP(R506,KEY_Processes!$C$131:$E$163,2,FALSE)</f>
        <v>HW_SolarThermal_SOL_SMALL</v>
      </c>
      <c r="AB506" s="427" t="str">
        <f>VLOOKUP(U506,KEY_FUELS!$C$4:$D$77,2,FALSE)</f>
        <v>SOL</v>
      </c>
      <c r="AC506" s="427" t="s">
        <v>150</v>
      </c>
      <c r="AD506" s="427" t="s">
        <v>364</v>
      </c>
      <c r="AE506" s="427" t="s">
        <v>152</v>
      </c>
      <c r="AF506" s="427" t="str">
        <f>VLOOKUP(W506,KEY_Other!$B$37:$C$89,2,FALSE)</f>
        <v>EUR</v>
      </c>
      <c r="AG506" s="427"/>
      <c r="AH506" s="427" t="str">
        <f>AC506&amp;VLOOKUP(U506,KEY_FUELS!$C$4:$D$78,2,FALSE)</f>
        <v>RSDSOL</v>
      </c>
      <c r="AI506" s="427" t="str">
        <f>IFERROR(AC506&amp;VLOOKUP(V506,KEY_FUELS!$C$4:$D$78,2,FALSE),"")</f>
        <v/>
      </c>
      <c r="AJ506" s="427" t="str">
        <f t="shared" si="113"/>
        <v>RHHS</v>
      </c>
      <c r="AK506" s="427" t="str">
        <f t="shared" si="114"/>
        <v>RWHS</v>
      </c>
      <c r="AL506" s="427" t="str">
        <f t="shared" si="115"/>
        <v/>
      </c>
      <c r="AM506" s="380">
        <v>31.536000000000001</v>
      </c>
      <c r="AN506" s="470">
        <f t="shared" si="116"/>
        <v>2019</v>
      </c>
      <c r="AO506" s="427">
        <v>1</v>
      </c>
      <c r="AP506" s="429"/>
      <c r="AQ506" s="483">
        <v>0.65</v>
      </c>
      <c r="AR506" s="429">
        <v>0.35</v>
      </c>
      <c r="AS506" s="429"/>
      <c r="AT506" s="429" t="s">
        <v>155</v>
      </c>
      <c r="AU506" s="481">
        <v>0.5</v>
      </c>
      <c r="AV506" s="467"/>
      <c r="AW506" s="467"/>
      <c r="AX506" s="429"/>
      <c r="AY506" s="429"/>
      <c r="AZ506" s="429">
        <v>0.77</v>
      </c>
      <c r="BA506" s="429"/>
      <c r="BB506" s="429"/>
      <c r="BC506" s="427"/>
      <c r="BD506" s="429"/>
      <c r="BE506" s="429"/>
      <c r="BF506" s="427"/>
      <c r="BG506" s="427"/>
      <c r="BH506" s="427"/>
      <c r="BI506" s="427">
        <v>20</v>
      </c>
      <c r="BJ506" s="427"/>
      <c r="BK506" s="482">
        <v>440</v>
      </c>
      <c r="BL506" s="427"/>
      <c r="BM506" s="427"/>
      <c r="BN506" s="427"/>
      <c r="BO506" s="427"/>
      <c r="BP506" s="427"/>
      <c r="BQ506" s="427"/>
      <c r="BR506" s="429">
        <v>5</v>
      </c>
      <c r="BS506" s="427"/>
      <c r="BT506" s="427"/>
      <c r="BU506" s="427"/>
      <c r="BV506" s="427"/>
      <c r="BW506" s="427"/>
      <c r="BX506" s="471"/>
    </row>
    <row r="507" spans="10:76" x14ac:dyDescent="0.3">
      <c r="J507" s="362" t="s">
        <v>238</v>
      </c>
      <c r="K507" s="363" t="s">
        <v>135</v>
      </c>
      <c r="L507" s="439"/>
      <c r="M507" s="363" t="s">
        <v>239</v>
      </c>
      <c r="N507" s="363" t="s">
        <v>240</v>
      </c>
      <c r="O507" s="363" t="s">
        <v>136</v>
      </c>
      <c r="P507" s="363">
        <v>2018</v>
      </c>
      <c r="Q507" s="366" t="s">
        <v>264</v>
      </c>
      <c r="R507" s="475" t="s">
        <v>391</v>
      </c>
      <c r="S507" s="476"/>
      <c r="T507" s="476"/>
      <c r="U507" s="366" t="s">
        <v>266</v>
      </c>
      <c r="V507" s="439"/>
      <c r="W507" s="363" t="s">
        <v>243</v>
      </c>
      <c r="X507" s="468" t="s">
        <v>363</v>
      </c>
      <c r="Y507" s="439"/>
      <c r="Z507" s="439" t="str">
        <f>VLOOKUP(R507,KEY_Processes!$C$131:$E$163,3,FALSE)</f>
        <v>C_HES_COO01</v>
      </c>
      <c r="AA507" s="439" t="str">
        <f>VLOOKUP(R507,KEY_Processes!$C$131:$E$163,2,FALSE)</f>
        <v>C_DistrictCooling_COO_SMALL</v>
      </c>
      <c r="AB507" s="439" t="str">
        <f>VLOOKUP(U507,KEY_FUELS!$C$4:$D$77,2,FALSE)</f>
        <v>COO</v>
      </c>
      <c r="AC507" s="439" t="s">
        <v>150</v>
      </c>
      <c r="AD507" s="439" t="s">
        <v>364</v>
      </c>
      <c r="AE507" s="439" t="s">
        <v>152</v>
      </c>
      <c r="AF507" s="439" t="str">
        <f>VLOOKUP(W507,KEY_Other!$B$37:$C$89,2,FALSE)</f>
        <v>EUR</v>
      </c>
      <c r="AG507" s="439"/>
      <c r="AH507" s="439" t="str">
        <f>AC507&amp;VLOOKUP(U507,KEY_FUELS!$C$4:$D$78,2,FALSE)</f>
        <v>RSDCOO</v>
      </c>
      <c r="AI507" s="439" t="str">
        <f>IFERROR(AC507&amp;VLOOKUP(V507,KEY_FUELS!$C$4:$D$78,2,FALSE),"")</f>
        <v/>
      </c>
      <c r="AJ507" s="439" t="str">
        <f t="shared" si="113"/>
        <v>RCHS</v>
      </c>
      <c r="AK507" s="439" t="str">
        <f t="shared" si="114"/>
        <v/>
      </c>
      <c r="AL507" s="439" t="str">
        <f t="shared" si="115"/>
        <v/>
      </c>
      <c r="AM507" s="364">
        <v>31.536000000000001</v>
      </c>
      <c r="AN507" s="468" t="str">
        <f t="shared" si="116"/>
        <v>2030</v>
      </c>
      <c r="AO507" s="468"/>
      <c r="AP507" s="441"/>
      <c r="AQ507" s="445"/>
      <c r="AR507" s="441"/>
      <c r="AS507" s="441"/>
      <c r="AT507" s="441"/>
      <c r="AU507" s="477"/>
      <c r="AV507" s="445"/>
      <c r="AW507" s="445"/>
      <c r="AX507" s="441"/>
      <c r="AY507" s="441"/>
      <c r="AZ507" s="445">
        <v>0.98</v>
      </c>
      <c r="BA507" s="441"/>
      <c r="BB507" s="441"/>
      <c r="BC507" s="439"/>
      <c r="BD507" s="441"/>
      <c r="BE507" s="441"/>
      <c r="BF507" s="439"/>
      <c r="BG507" s="439"/>
      <c r="BH507" s="439"/>
      <c r="BI507" s="439">
        <v>20</v>
      </c>
      <c r="BJ507" s="439"/>
      <c r="BK507" s="478">
        <v>770.93920572181446</v>
      </c>
      <c r="BL507" s="439"/>
      <c r="BM507" s="439"/>
      <c r="BN507" s="439"/>
      <c r="BO507" s="439"/>
      <c r="BP507" s="439"/>
      <c r="BQ507" s="439"/>
      <c r="BR507" s="441">
        <v>15</v>
      </c>
      <c r="BS507" s="439"/>
      <c r="BT507" s="439"/>
      <c r="BU507" s="439"/>
      <c r="BV507" s="439"/>
      <c r="BW507" s="439"/>
      <c r="BX507" s="469"/>
    </row>
    <row r="508" spans="10:76" x14ac:dyDescent="0.3">
      <c r="J508" s="378" t="s">
        <v>238</v>
      </c>
      <c r="K508" s="379" t="s">
        <v>135</v>
      </c>
      <c r="L508" s="427"/>
      <c r="M508" s="379" t="s">
        <v>239</v>
      </c>
      <c r="N508" s="379" t="s">
        <v>240</v>
      </c>
      <c r="O508" s="379" t="s">
        <v>136</v>
      </c>
      <c r="P508" s="379">
        <v>2018</v>
      </c>
      <c r="Q508" s="382" t="s">
        <v>264</v>
      </c>
      <c r="R508" s="479" t="s">
        <v>391</v>
      </c>
      <c r="S508" s="480"/>
      <c r="T508" s="480"/>
      <c r="U508" s="382" t="s">
        <v>266</v>
      </c>
      <c r="V508" s="427"/>
      <c r="W508" s="379" t="s">
        <v>243</v>
      </c>
      <c r="X508" s="470">
        <v>2019</v>
      </c>
      <c r="Y508" s="427"/>
      <c r="Z508" s="427" t="str">
        <f>VLOOKUP(R508,KEY_Processes!$C$131:$E$163,3,FALSE)</f>
        <v>C_HES_COO01</v>
      </c>
      <c r="AA508" s="427" t="str">
        <f>VLOOKUP(R508,KEY_Processes!$C$131:$E$163,2,FALSE)</f>
        <v>C_DistrictCooling_COO_SMALL</v>
      </c>
      <c r="AB508" s="427" t="str">
        <f>VLOOKUP(U508,KEY_FUELS!$C$4:$D$77,2,FALSE)</f>
        <v>COO</v>
      </c>
      <c r="AC508" s="427" t="s">
        <v>150</v>
      </c>
      <c r="AD508" s="427" t="s">
        <v>364</v>
      </c>
      <c r="AE508" s="427" t="s">
        <v>152</v>
      </c>
      <c r="AF508" s="427" t="str">
        <f>VLOOKUP(W508,KEY_Other!$B$37:$C$89,2,FALSE)</f>
        <v>EUR</v>
      </c>
      <c r="AG508" s="427"/>
      <c r="AH508" s="427" t="str">
        <f>AC508&amp;VLOOKUP(U508,KEY_FUELS!$C$4:$D$78,2,FALSE)</f>
        <v>RSDCOO</v>
      </c>
      <c r="AI508" s="427" t="str">
        <f>IFERROR(AC508&amp;VLOOKUP(V508,KEY_FUELS!$C$4:$D$78,2,FALSE),"")</f>
        <v/>
      </c>
      <c r="AJ508" s="427" t="str">
        <f t="shared" si="113"/>
        <v>RCHS</v>
      </c>
      <c r="AK508" s="427" t="str">
        <f t="shared" si="114"/>
        <v/>
      </c>
      <c r="AL508" s="427" t="str">
        <f t="shared" si="115"/>
        <v/>
      </c>
      <c r="AM508" s="380">
        <v>31.536000000000001</v>
      </c>
      <c r="AN508" s="470">
        <f t="shared" si="116"/>
        <v>2019</v>
      </c>
      <c r="AO508" s="470"/>
      <c r="AP508" s="429"/>
      <c r="AQ508" s="467"/>
      <c r="AR508" s="429"/>
      <c r="AS508" s="429"/>
      <c r="AT508" s="429"/>
      <c r="AU508" s="481"/>
      <c r="AV508" s="467"/>
      <c r="AW508" s="467"/>
      <c r="AX508" s="429"/>
      <c r="AY508" s="429"/>
      <c r="AZ508" s="467">
        <v>0.95</v>
      </c>
      <c r="BA508" s="429"/>
      <c r="BB508" s="429"/>
      <c r="BC508" s="427"/>
      <c r="BD508" s="429"/>
      <c r="BE508" s="429"/>
      <c r="BF508" s="427"/>
      <c r="BG508" s="427"/>
      <c r="BH508" s="427"/>
      <c r="BI508" s="427">
        <v>20</v>
      </c>
      <c r="BJ508" s="427"/>
      <c r="BK508" s="482">
        <v>256</v>
      </c>
      <c r="BL508" s="427"/>
      <c r="BM508" s="427"/>
      <c r="BN508" s="427"/>
      <c r="BO508" s="427"/>
      <c r="BP508" s="427"/>
      <c r="BQ508" s="427"/>
      <c r="BR508" s="429">
        <v>15</v>
      </c>
      <c r="BS508" s="427"/>
      <c r="BT508" s="427"/>
      <c r="BU508" s="427"/>
      <c r="BV508" s="427"/>
      <c r="BW508" s="427"/>
      <c r="BX508" s="471"/>
    </row>
    <row r="509" spans="10:76" x14ac:dyDescent="0.3">
      <c r="J509" s="362" t="s">
        <v>238</v>
      </c>
      <c r="K509" s="363" t="s">
        <v>135</v>
      </c>
      <c r="L509" s="439"/>
      <c r="M509" s="363" t="s">
        <v>239</v>
      </c>
      <c r="N509" s="363" t="s">
        <v>240</v>
      </c>
      <c r="O509" s="363" t="s">
        <v>136</v>
      </c>
      <c r="P509" s="363">
        <v>2018</v>
      </c>
      <c r="Q509" s="366" t="s">
        <v>292</v>
      </c>
      <c r="R509" s="475" t="s">
        <v>392</v>
      </c>
      <c r="S509" s="476"/>
      <c r="T509" s="476"/>
      <c r="U509" s="366" t="s">
        <v>189</v>
      </c>
      <c r="V509" s="439"/>
      <c r="W509" s="363" t="s">
        <v>243</v>
      </c>
      <c r="X509" s="468">
        <v>2019</v>
      </c>
      <c r="Y509" s="439"/>
      <c r="Z509" s="439" t="str">
        <f>VLOOKUP(R509,KEY_Processes!$C$131:$E$163,3,FALSE)</f>
        <v>C_CWL_ELC02</v>
      </c>
      <c r="AA509" s="439" t="str">
        <f>VLOOKUP(R509,KEY_Processes!$C$131:$E$163,2,FALSE)</f>
        <v>C_WaterChiller_ELC_LARGE</v>
      </c>
      <c r="AB509" s="439" t="str">
        <f>VLOOKUP(U509,KEY_FUELS!$C$4:$D$77,2,FALSE)</f>
        <v>ELC</v>
      </c>
      <c r="AC509" s="439" t="s">
        <v>150</v>
      </c>
      <c r="AD509" s="439" t="s">
        <v>364</v>
      </c>
      <c r="AE509" s="439" t="s">
        <v>152</v>
      </c>
      <c r="AF509" s="439" t="str">
        <f>VLOOKUP(W509,KEY_Other!$B$37:$C$89,2,FALSE)</f>
        <v>EUR</v>
      </c>
      <c r="AG509" s="439"/>
      <c r="AH509" s="439" t="str">
        <f>AC509&amp;VLOOKUP(U509,KEY_FUELS!$C$4:$D$78,2,FALSE)</f>
        <v>RSDELC</v>
      </c>
      <c r="AI509" s="439" t="str">
        <f>IFERROR(AC509&amp;VLOOKUP(V509,KEY_FUELS!$C$4:$D$78,2,FALSE),"")</f>
        <v/>
      </c>
      <c r="AJ509" s="439" t="str">
        <f t="shared" si="113"/>
        <v>RCHS</v>
      </c>
      <c r="AK509" s="439" t="str">
        <f t="shared" si="114"/>
        <v/>
      </c>
      <c r="AL509" s="439" t="str">
        <f t="shared" si="115"/>
        <v/>
      </c>
      <c r="AM509" s="364">
        <v>31.536000000000001</v>
      </c>
      <c r="AN509" s="468">
        <f t="shared" si="116"/>
        <v>2019</v>
      </c>
      <c r="AO509" s="468"/>
      <c r="AP509" s="441"/>
      <c r="AQ509" s="445"/>
      <c r="AR509" s="441"/>
      <c r="AS509" s="441"/>
      <c r="AT509" s="441"/>
      <c r="AU509" s="477"/>
      <c r="AV509" s="445"/>
      <c r="AW509" s="445"/>
      <c r="AX509" s="441"/>
      <c r="AY509" s="441"/>
      <c r="AZ509" s="445">
        <v>5.1749999999999998</v>
      </c>
      <c r="BA509" s="441"/>
      <c r="BB509" s="441"/>
      <c r="BC509" s="439"/>
      <c r="BD509" s="441"/>
      <c r="BE509" s="441"/>
      <c r="BF509" s="439"/>
      <c r="BG509" s="439"/>
      <c r="BH509" s="439"/>
      <c r="BI509" s="439">
        <v>20</v>
      </c>
      <c r="BJ509" s="439"/>
      <c r="BK509" s="478">
        <v>126</v>
      </c>
      <c r="BL509" s="439"/>
      <c r="BM509" s="439"/>
      <c r="BN509" s="439"/>
      <c r="BO509" s="439"/>
      <c r="BP509" s="439"/>
      <c r="BQ509" s="439"/>
      <c r="BR509" s="441">
        <v>2.2139534883720935</v>
      </c>
      <c r="BS509" s="439"/>
      <c r="BT509" s="439"/>
      <c r="BU509" s="439"/>
      <c r="BV509" s="439"/>
      <c r="BW509" s="439"/>
      <c r="BX509" s="469"/>
    </row>
    <row r="510" spans="10:76" x14ac:dyDescent="0.3">
      <c r="J510" s="378" t="s">
        <v>238</v>
      </c>
      <c r="K510" s="379" t="s">
        <v>135</v>
      </c>
      <c r="L510" s="427"/>
      <c r="M510" s="379" t="s">
        <v>239</v>
      </c>
      <c r="N510" s="379" t="s">
        <v>240</v>
      </c>
      <c r="O510" s="379" t="s">
        <v>136</v>
      </c>
      <c r="P510" s="379">
        <v>2018</v>
      </c>
      <c r="Q510" s="382" t="s">
        <v>393</v>
      </c>
      <c r="R510" s="479" t="s">
        <v>394</v>
      </c>
      <c r="S510" s="480"/>
      <c r="T510" s="480"/>
      <c r="U510" s="382" t="s">
        <v>189</v>
      </c>
      <c r="V510" s="427"/>
      <c r="W510" s="379" t="s">
        <v>243</v>
      </c>
      <c r="X510" s="470">
        <v>2019</v>
      </c>
      <c r="Y510" s="427"/>
      <c r="Z510" s="427" t="str">
        <f>VLOOKUP(R510,KEY_Processes!$C$131:$E$163,3,FALSE)</f>
        <v>C_CASL_ELC02</v>
      </c>
      <c r="AA510" s="427" t="str">
        <f>VLOOKUP(R510,KEY_Processes!$C$131:$E$163,2,FALSE)</f>
        <v>C_Split_ELC_LARGE</v>
      </c>
      <c r="AB510" s="427" t="str">
        <f>VLOOKUP(U510,KEY_FUELS!$C$4:$D$77,2,FALSE)</f>
        <v>ELC</v>
      </c>
      <c r="AC510" s="427" t="s">
        <v>150</v>
      </c>
      <c r="AD510" s="427" t="s">
        <v>364</v>
      </c>
      <c r="AE510" s="427" t="s">
        <v>152</v>
      </c>
      <c r="AF510" s="427" t="str">
        <f>VLOOKUP(W510,KEY_Other!$B$37:$C$89,2,FALSE)</f>
        <v>EUR</v>
      </c>
      <c r="AG510" s="427"/>
      <c r="AH510" s="427" t="str">
        <f>AC510&amp;VLOOKUP(U510,KEY_FUELS!$C$4:$D$78,2,FALSE)</f>
        <v>RSDELC</v>
      </c>
      <c r="AI510" s="427" t="str">
        <f>IFERROR(AC510&amp;VLOOKUP(V510,KEY_FUELS!$C$4:$D$78,2,FALSE),"")</f>
        <v/>
      </c>
      <c r="AJ510" s="427" t="str">
        <f t="shared" si="113"/>
        <v>RCHS</v>
      </c>
      <c r="AK510" s="427" t="str">
        <f t="shared" si="114"/>
        <v/>
      </c>
      <c r="AL510" s="427" t="str">
        <f t="shared" si="115"/>
        <v/>
      </c>
      <c r="AM510" s="380">
        <v>31.536000000000001</v>
      </c>
      <c r="AN510" s="470">
        <f t="shared" si="116"/>
        <v>2019</v>
      </c>
      <c r="AO510" s="470"/>
      <c r="AP510" s="429"/>
      <c r="AQ510" s="467"/>
      <c r="AR510" s="429"/>
      <c r="AS510" s="429"/>
      <c r="AT510" s="429"/>
      <c r="AU510" s="481"/>
      <c r="AV510" s="467"/>
      <c r="AW510" s="467"/>
      <c r="AX510" s="429"/>
      <c r="AY510" s="429"/>
      <c r="AZ510" s="467">
        <v>3.63</v>
      </c>
      <c r="BA510" s="429"/>
      <c r="BB510" s="429"/>
      <c r="BC510" s="427"/>
      <c r="BD510" s="429"/>
      <c r="BE510" s="429"/>
      <c r="BF510" s="427"/>
      <c r="BG510" s="427"/>
      <c r="BH510" s="427"/>
      <c r="BI510" s="427">
        <v>10</v>
      </c>
      <c r="BJ510" s="427"/>
      <c r="BK510" s="482">
        <v>88.459781350406033</v>
      </c>
      <c r="BL510" s="427"/>
      <c r="BM510" s="427"/>
      <c r="BN510" s="427"/>
      <c r="BO510" s="427"/>
      <c r="BP510" s="427"/>
      <c r="BQ510" s="427"/>
      <c r="BR510" s="429">
        <v>0.7161029918842392</v>
      </c>
      <c r="BS510" s="427"/>
      <c r="BT510" s="427"/>
      <c r="BU510" s="427"/>
      <c r="BV510" s="427"/>
      <c r="BW510" s="427"/>
      <c r="BX510" s="471"/>
    </row>
    <row r="511" spans="10:76" x14ac:dyDescent="0.3">
      <c r="J511" s="362" t="s">
        <v>238</v>
      </c>
      <c r="K511" s="363" t="s">
        <v>135</v>
      </c>
      <c r="L511" s="439"/>
      <c r="M511" s="363" t="s">
        <v>239</v>
      </c>
      <c r="N511" s="363" t="s">
        <v>240</v>
      </c>
      <c r="O511" s="363" t="s">
        <v>136</v>
      </c>
      <c r="P511" s="363">
        <v>2018</v>
      </c>
      <c r="Q511" s="366" t="s">
        <v>254</v>
      </c>
      <c r="R511" s="475" t="s">
        <v>395</v>
      </c>
      <c r="S511" s="476"/>
      <c r="T511" s="476"/>
      <c r="U511" s="366" t="s">
        <v>256</v>
      </c>
      <c r="V511" s="439"/>
      <c r="W511" s="363" t="s">
        <v>243</v>
      </c>
      <c r="X511" s="468" t="s">
        <v>363</v>
      </c>
      <c r="Y511" s="439"/>
      <c r="Z511" s="439" t="str">
        <f>VLOOKUP(R511,KEY_Processes!$C$131:$E$163,3,FALSE)</f>
        <v>H_BS_COA01</v>
      </c>
      <c r="AA511" s="439" t="str">
        <f>VLOOKUP(R511,KEY_Processes!$C$131:$E$163,2,FALSE)</f>
        <v>H_CoalBoiler_COA_SMALL</v>
      </c>
      <c r="AB511" s="439" t="str">
        <f>VLOOKUP(U511,KEY_FUELS!$C$4:$D$77,2,FALSE)</f>
        <v>COA</v>
      </c>
      <c r="AC511" s="439" t="s">
        <v>150</v>
      </c>
      <c r="AD511" s="439" t="s">
        <v>364</v>
      </c>
      <c r="AE511" s="439" t="s">
        <v>152</v>
      </c>
      <c r="AF511" s="439" t="str">
        <f>VLOOKUP(W511,KEY_Other!$B$37:$C$89,2,FALSE)</f>
        <v>EUR</v>
      </c>
      <c r="AG511" s="439"/>
      <c r="AH511" s="439" t="str">
        <f>AC511&amp;VLOOKUP(U511,KEY_FUELS!$C$4:$D$78,2,FALSE)</f>
        <v>RSDCOA</v>
      </c>
      <c r="AI511" s="439" t="str">
        <f>IFERROR(AC511&amp;VLOOKUP(V511,KEY_FUELS!$C$4:$D$78,2,FALSE),"")</f>
        <v/>
      </c>
      <c r="AJ511" s="439" t="str">
        <f t="shared" si="113"/>
        <v>RHHS</v>
      </c>
      <c r="AK511" s="439" t="str">
        <f t="shared" si="114"/>
        <v/>
      </c>
      <c r="AL511" s="439" t="str">
        <f t="shared" si="115"/>
        <v/>
      </c>
      <c r="AM511" s="364">
        <v>31.536000000000001</v>
      </c>
      <c r="AN511" s="468" t="str">
        <f t="shared" si="116"/>
        <v>2030</v>
      </c>
      <c r="AO511" s="468"/>
      <c r="AP511" s="441"/>
      <c r="AQ511" s="445"/>
      <c r="AR511" s="441"/>
      <c r="AS511" s="441"/>
      <c r="AT511" s="441"/>
      <c r="AU511" s="477"/>
      <c r="AV511" s="445"/>
      <c r="AW511" s="445"/>
      <c r="AX511" s="441"/>
      <c r="AY511" s="441"/>
      <c r="AZ511" s="445">
        <v>0.83</v>
      </c>
      <c r="BA511" s="441"/>
      <c r="BB511" s="441"/>
      <c r="BC511" s="439"/>
      <c r="BD511" s="441"/>
      <c r="BE511" s="441"/>
      <c r="BF511" s="439"/>
      <c r="BG511" s="439"/>
      <c r="BH511" s="439"/>
      <c r="BI511" s="439">
        <v>20</v>
      </c>
      <c r="BJ511" s="439"/>
      <c r="BK511" s="478">
        <v>181.45</v>
      </c>
      <c r="BL511" s="439"/>
      <c r="BM511" s="439"/>
      <c r="BN511" s="439"/>
      <c r="BO511" s="439"/>
      <c r="BP511" s="439"/>
      <c r="BQ511" s="439"/>
      <c r="BR511" s="441">
        <v>9.0724999999999998</v>
      </c>
      <c r="BS511" s="439"/>
      <c r="BT511" s="439"/>
      <c r="BU511" s="439"/>
      <c r="BV511" s="439"/>
      <c r="BW511" s="439"/>
      <c r="BX511" s="469"/>
    </row>
    <row r="512" spans="10:76" x14ac:dyDescent="0.3">
      <c r="J512" s="378" t="s">
        <v>238</v>
      </c>
      <c r="K512" s="379" t="s">
        <v>135</v>
      </c>
      <c r="L512" s="427"/>
      <c r="M512" s="379" t="s">
        <v>239</v>
      </c>
      <c r="N512" s="379" t="s">
        <v>240</v>
      </c>
      <c r="O512" s="379" t="s">
        <v>136</v>
      </c>
      <c r="P512" s="379">
        <v>2018</v>
      </c>
      <c r="Q512" s="382" t="s">
        <v>254</v>
      </c>
      <c r="R512" s="479" t="s">
        <v>395</v>
      </c>
      <c r="S512" s="480"/>
      <c r="T512" s="480"/>
      <c r="U512" s="382" t="s">
        <v>256</v>
      </c>
      <c r="V512" s="427"/>
      <c r="W512" s="379" t="s">
        <v>243</v>
      </c>
      <c r="X512" s="470">
        <v>2019</v>
      </c>
      <c r="Y512" s="427"/>
      <c r="Z512" s="427" t="str">
        <f>VLOOKUP(R512,KEY_Processes!$C$131:$E$163,3,FALSE)</f>
        <v>H_BS_COA01</v>
      </c>
      <c r="AA512" s="427" t="str">
        <f>VLOOKUP(R512,KEY_Processes!$C$131:$E$163,2,FALSE)</f>
        <v>H_CoalBoiler_COA_SMALL</v>
      </c>
      <c r="AB512" s="427" t="str">
        <f>VLOOKUP(U512,KEY_FUELS!$C$4:$D$77,2,FALSE)</f>
        <v>COA</v>
      </c>
      <c r="AC512" s="427" t="s">
        <v>150</v>
      </c>
      <c r="AD512" s="427" t="s">
        <v>364</v>
      </c>
      <c r="AE512" s="427" t="s">
        <v>152</v>
      </c>
      <c r="AF512" s="427" t="str">
        <f>VLOOKUP(W512,KEY_Other!$B$37:$C$89,2,FALSE)</f>
        <v>EUR</v>
      </c>
      <c r="AG512" s="427"/>
      <c r="AH512" s="427" t="str">
        <f>AC512&amp;VLOOKUP(U512,KEY_FUELS!$C$4:$D$78,2,FALSE)</f>
        <v>RSDCOA</v>
      </c>
      <c r="AI512" s="427" t="str">
        <f>IFERROR(AC512&amp;VLOOKUP(V512,KEY_FUELS!$C$4:$D$78,2,FALSE),"")</f>
        <v/>
      </c>
      <c r="AJ512" s="427" t="str">
        <f t="shared" si="113"/>
        <v>RHHS</v>
      </c>
      <c r="AK512" s="427" t="str">
        <f t="shared" si="114"/>
        <v/>
      </c>
      <c r="AL512" s="427" t="str">
        <f t="shared" si="115"/>
        <v/>
      </c>
      <c r="AM512" s="380">
        <v>31.536000000000001</v>
      </c>
      <c r="AN512" s="470">
        <f t="shared" si="116"/>
        <v>2019</v>
      </c>
      <c r="AO512" s="470"/>
      <c r="AP512" s="429"/>
      <c r="AQ512" s="467"/>
      <c r="AR512" s="429"/>
      <c r="AS512" s="429"/>
      <c r="AT512" s="429"/>
      <c r="AU512" s="481"/>
      <c r="AV512" s="467"/>
      <c r="AW512" s="467"/>
      <c r="AX512" s="429"/>
      <c r="AY512" s="429"/>
      <c r="AZ512" s="467">
        <v>0.8</v>
      </c>
      <c r="BA512" s="429"/>
      <c r="BB512" s="429"/>
      <c r="BC512" s="427"/>
      <c r="BD512" s="429"/>
      <c r="BE512" s="429"/>
      <c r="BF512" s="427"/>
      <c r="BG512" s="427"/>
      <c r="BH512" s="427"/>
      <c r="BI512" s="427">
        <v>20</v>
      </c>
      <c r="BJ512" s="427"/>
      <c r="BK512" s="482">
        <v>172.37749999999997</v>
      </c>
      <c r="BL512" s="427"/>
      <c r="BM512" s="427"/>
      <c r="BN512" s="427"/>
      <c r="BO512" s="427"/>
      <c r="BP512" s="427"/>
      <c r="BQ512" s="427"/>
      <c r="BR512" s="429">
        <v>9.0724999999999998</v>
      </c>
      <c r="BS512" s="427"/>
      <c r="BT512" s="427"/>
      <c r="BU512" s="427"/>
      <c r="BV512" s="427"/>
      <c r="BW512" s="427"/>
      <c r="BX512" s="471"/>
    </row>
    <row r="513" spans="10:76" x14ac:dyDescent="0.3">
      <c r="J513" s="362" t="s">
        <v>238</v>
      </c>
      <c r="K513" s="363" t="s">
        <v>135</v>
      </c>
      <c r="L513" s="439"/>
      <c r="M513" s="363" t="s">
        <v>239</v>
      </c>
      <c r="N513" s="363" t="s">
        <v>240</v>
      </c>
      <c r="O513" s="363" t="s">
        <v>136</v>
      </c>
      <c r="P513" s="363">
        <v>2018</v>
      </c>
      <c r="Q513" s="366" t="s">
        <v>294</v>
      </c>
      <c r="R513" s="475" t="s">
        <v>396</v>
      </c>
      <c r="S513" s="476"/>
      <c r="T513" s="476"/>
      <c r="U513" s="366" t="s">
        <v>296</v>
      </c>
      <c r="V513" s="439"/>
      <c r="W513" s="363" t="s">
        <v>243</v>
      </c>
      <c r="X513" s="468" t="s">
        <v>363</v>
      </c>
      <c r="Y513" s="439"/>
      <c r="Z513" s="439" t="str">
        <f>VLOOKUP(R513,KEY_Processes!$C$131:$E$163,3,FALSE)</f>
        <v>W_SS_BFW01</v>
      </c>
      <c r="AA513" s="439" t="str">
        <f>VLOOKUP(R513,KEY_Processes!$C$131:$E$163,2,FALSE)</f>
        <v>W_WoodStove_BFW_SMALL</v>
      </c>
      <c r="AB513" s="439" t="str">
        <f>VLOOKUP(U513,KEY_FUELS!$C$4:$D$77,2,FALSE)</f>
        <v>BIO</v>
      </c>
      <c r="AC513" s="439" t="s">
        <v>150</v>
      </c>
      <c r="AD513" s="439" t="s">
        <v>364</v>
      </c>
      <c r="AE513" s="439" t="s">
        <v>152</v>
      </c>
      <c r="AF513" s="439" t="str">
        <f>VLOOKUP(W513,KEY_Other!$B$37:$C$89,2,FALSE)</f>
        <v>EUR</v>
      </c>
      <c r="AG513" s="439"/>
      <c r="AH513" s="439" t="str">
        <f>AC513&amp;VLOOKUP(U513,KEY_FUELS!$C$4:$D$78,2,FALSE)</f>
        <v>RSDBIO</v>
      </c>
      <c r="AI513" s="439" t="str">
        <f>IFERROR(AC513&amp;VLOOKUP(V513,KEY_FUELS!$C$4:$D$78,2,FALSE),"")</f>
        <v/>
      </c>
      <c r="AJ513" s="439" t="str">
        <f t="shared" si="113"/>
        <v>RWHS</v>
      </c>
      <c r="AK513" s="439" t="str">
        <f t="shared" si="114"/>
        <v/>
      </c>
      <c r="AL513" s="439" t="str">
        <f t="shared" si="115"/>
        <v/>
      </c>
      <c r="AM513" s="364">
        <v>31.536000000000001</v>
      </c>
      <c r="AN513" s="468" t="str">
        <f t="shared" si="116"/>
        <v>2030</v>
      </c>
      <c r="AO513" s="468"/>
      <c r="AP513" s="441"/>
      <c r="AQ513" s="445"/>
      <c r="AR513" s="441"/>
      <c r="AS513" s="441"/>
      <c r="AT513" s="441"/>
      <c r="AU513" s="477"/>
      <c r="AV513" s="445"/>
      <c r="AW513" s="445"/>
      <c r="AX513" s="441"/>
      <c r="AY513" s="441"/>
      <c r="AZ513" s="445">
        <v>0.74</v>
      </c>
      <c r="BA513" s="441"/>
      <c r="BB513" s="441"/>
      <c r="BC513" s="439"/>
      <c r="BD513" s="441"/>
      <c r="BE513" s="441"/>
      <c r="BF513" s="439"/>
      <c r="BG513" s="439"/>
      <c r="BH513" s="439"/>
      <c r="BI513" s="439">
        <v>20</v>
      </c>
      <c r="BJ513" s="439"/>
      <c r="BK513" s="478">
        <v>145.48008631266802</v>
      </c>
      <c r="BL513" s="439"/>
      <c r="BM513" s="439"/>
      <c r="BN513" s="439"/>
      <c r="BO513" s="439"/>
      <c r="BP513" s="439"/>
      <c r="BQ513" s="439"/>
      <c r="BR513" s="441">
        <v>8.6999999999999993</v>
      </c>
      <c r="BS513" s="439"/>
      <c r="BT513" s="439"/>
      <c r="BU513" s="439"/>
      <c r="BV513" s="439"/>
      <c r="BW513" s="439"/>
      <c r="BX513" s="469"/>
    </row>
    <row r="514" spans="10:76" x14ac:dyDescent="0.3">
      <c r="J514" s="378" t="s">
        <v>238</v>
      </c>
      <c r="K514" s="379" t="s">
        <v>135</v>
      </c>
      <c r="L514" s="427"/>
      <c r="M514" s="379" t="s">
        <v>239</v>
      </c>
      <c r="N514" s="379" t="s">
        <v>240</v>
      </c>
      <c r="O514" s="379" t="s">
        <v>136</v>
      </c>
      <c r="P514" s="379">
        <v>2018</v>
      </c>
      <c r="Q514" s="382" t="s">
        <v>294</v>
      </c>
      <c r="R514" s="479" t="s">
        <v>396</v>
      </c>
      <c r="S514" s="480"/>
      <c r="T514" s="480"/>
      <c r="U514" s="382" t="s">
        <v>296</v>
      </c>
      <c r="V514" s="427"/>
      <c r="W514" s="379" t="s">
        <v>243</v>
      </c>
      <c r="X514" s="470">
        <v>2019</v>
      </c>
      <c r="Y514" s="427"/>
      <c r="Z514" s="427" t="str">
        <f>VLOOKUP(R514,KEY_Processes!$C$131:$E$163,3,FALSE)</f>
        <v>W_SS_BFW01</v>
      </c>
      <c r="AA514" s="427" t="str">
        <f>VLOOKUP(R514,KEY_Processes!$C$131:$E$163,2,FALSE)</f>
        <v>W_WoodStove_BFW_SMALL</v>
      </c>
      <c r="AB514" s="427" t="str">
        <f>VLOOKUP(U514,KEY_FUELS!$C$4:$D$77,2,FALSE)</f>
        <v>BIO</v>
      </c>
      <c r="AC514" s="427" t="s">
        <v>150</v>
      </c>
      <c r="AD514" s="427" t="s">
        <v>364</v>
      </c>
      <c r="AE514" s="427" t="s">
        <v>152</v>
      </c>
      <c r="AF514" s="427" t="str">
        <f>VLOOKUP(W514,KEY_Other!$B$37:$C$89,2,FALSE)</f>
        <v>EUR</v>
      </c>
      <c r="AG514" s="427"/>
      <c r="AH514" s="427" t="str">
        <f>AC514&amp;VLOOKUP(U514,KEY_FUELS!$C$4:$D$78,2,FALSE)</f>
        <v>RSDBIO</v>
      </c>
      <c r="AI514" s="427" t="str">
        <f>IFERROR(AC514&amp;VLOOKUP(V514,KEY_FUELS!$C$4:$D$78,2,FALSE),"")</f>
        <v/>
      </c>
      <c r="AJ514" s="427" t="str">
        <f t="shared" si="113"/>
        <v>RWHS</v>
      </c>
      <c r="AK514" s="427" t="str">
        <f t="shared" si="114"/>
        <v/>
      </c>
      <c r="AL514" s="427" t="str">
        <f t="shared" si="115"/>
        <v/>
      </c>
      <c r="AM514" s="380">
        <v>31.536000000000001</v>
      </c>
      <c r="AN514" s="470">
        <f t="shared" si="116"/>
        <v>2019</v>
      </c>
      <c r="AO514" s="470"/>
      <c r="AP514" s="429"/>
      <c r="AQ514" s="467"/>
      <c r="AR514" s="429"/>
      <c r="AS514" s="429"/>
      <c r="AT514" s="429"/>
      <c r="AU514" s="481"/>
      <c r="AV514" s="467"/>
      <c r="AW514" s="467"/>
      <c r="AX514" s="429"/>
      <c r="AY514" s="429"/>
      <c r="AZ514" s="467">
        <v>0.63</v>
      </c>
      <c r="BA514" s="429"/>
      <c r="BB514" s="429"/>
      <c r="BC514" s="427"/>
      <c r="BD514" s="429"/>
      <c r="BE514" s="429"/>
      <c r="BF514" s="427"/>
      <c r="BG514" s="427"/>
      <c r="BH514" s="427"/>
      <c r="BI514" s="427">
        <v>20</v>
      </c>
      <c r="BJ514" s="427"/>
      <c r="BK514" s="482">
        <v>105.64</v>
      </c>
      <c r="BL514" s="427"/>
      <c r="BM514" s="427"/>
      <c r="BN514" s="427"/>
      <c r="BO514" s="427"/>
      <c r="BP514" s="427"/>
      <c r="BQ514" s="427"/>
      <c r="BR514" s="429">
        <v>8.6999999999999993</v>
      </c>
      <c r="BS514" s="427"/>
      <c r="BT514" s="427"/>
      <c r="BU514" s="427"/>
      <c r="BV514" s="427"/>
      <c r="BW514" s="427"/>
      <c r="BX514" s="471"/>
    </row>
    <row r="515" spans="10:76" x14ac:dyDescent="0.3">
      <c r="J515" s="362" t="s">
        <v>238</v>
      </c>
      <c r="K515" s="363" t="s">
        <v>135</v>
      </c>
      <c r="L515" s="439"/>
      <c r="M515" s="363" t="s">
        <v>239</v>
      </c>
      <c r="N515" s="363" t="s">
        <v>240</v>
      </c>
      <c r="O515" s="363" t="s">
        <v>136</v>
      </c>
      <c r="P515" s="363">
        <v>2018</v>
      </c>
      <c r="Q515" s="366" t="s">
        <v>397</v>
      </c>
      <c r="R515" s="475" t="s">
        <v>398</v>
      </c>
      <c r="S515" s="476"/>
      <c r="T515" s="476"/>
      <c r="U515" s="366" t="s">
        <v>283</v>
      </c>
      <c r="V515" s="439"/>
      <c r="W515" s="363" t="s">
        <v>243</v>
      </c>
      <c r="X515" s="468" t="s">
        <v>363</v>
      </c>
      <c r="Y515" s="439"/>
      <c r="Z515" s="439" t="str">
        <f>VLOOKUP(R515,KEY_Processes!$C$131:$E$163,3,FALSE)</f>
        <v>W_SS_BPL01</v>
      </c>
      <c r="AA515" s="439" t="str">
        <f>VLOOKUP(R515,KEY_Processes!$C$131:$E$163,2,FALSE)</f>
        <v>W_Pelletstove_BPL_SMALL</v>
      </c>
      <c r="AB515" s="439" t="str">
        <f>VLOOKUP(U515,KEY_FUELS!$C$4:$D$77,2,FALSE)</f>
        <v>BIO</v>
      </c>
      <c r="AC515" s="439" t="s">
        <v>150</v>
      </c>
      <c r="AD515" s="439" t="s">
        <v>364</v>
      </c>
      <c r="AE515" s="439" t="s">
        <v>152</v>
      </c>
      <c r="AF515" s="439" t="str">
        <f>VLOOKUP(W515,KEY_Other!$B$37:$C$89,2,FALSE)</f>
        <v>EUR</v>
      </c>
      <c r="AG515" s="439"/>
      <c r="AH515" s="439" t="str">
        <f>AC515&amp;VLOOKUP(U515,KEY_FUELS!$C$4:$D$78,2,FALSE)</f>
        <v>RSDBIO</v>
      </c>
      <c r="AI515" s="439" t="str">
        <f>IFERROR(AC515&amp;VLOOKUP(V515,KEY_FUELS!$C$4:$D$78,2,FALSE),"")</f>
        <v/>
      </c>
      <c r="AJ515" s="439" t="str">
        <f t="shared" si="113"/>
        <v>RWHS</v>
      </c>
      <c r="AK515" s="439" t="str">
        <f t="shared" si="114"/>
        <v/>
      </c>
      <c r="AL515" s="439" t="str">
        <f t="shared" si="115"/>
        <v/>
      </c>
      <c r="AM515" s="364">
        <v>31.536000000000001</v>
      </c>
      <c r="AN515" s="468" t="str">
        <f t="shared" si="116"/>
        <v>2030</v>
      </c>
      <c r="AO515" s="468"/>
      <c r="AP515" s="441"/>
      <c r="AQ515" s="445"/>
      <c r="AR515" s="441"/>
      <c r="AS515" s="441"/>
      <c r="AT515" s="441"/>
      <c r="AU515" s="477"/>
      <c r="AV515" s="445"/>
      <c r="AW515" s="445"/>
      <c r="AX515" s="441"/>
      <c r="AY515" s="441"/>
      <c r="AZ515" s="445">
        <v>0.78</v>
      </c>
      <c r="BA515" s="441"/>
      <c r="BB515" s="441"/>
      <c r="BC515" s="439"/>
      <c r="BD515" s="441"/>
      <c r="BE515" s="441"/>
      <c r="BF515" s="439"/>
      <c r="BG515" s="439"/>
      <c r="BH515" s="439"/>
      <c r="BI515" s="439">
        <v>20</v>
      </c>
      <c r="BJ515" s="439"/>
      <c r="BK515" s="478">
        <v>207.19891080895076</v>
      </c>
      <c r="BL515" s="439"/>
      <c r="BM515" s="439"/>
      <c r="BN515" s="439"/>
      <c r="BO515" s="439"/>
      <c r="BP515" s="439"/>
      <c r="BQ515" s="439"/>
      <c r="BR515" s="441">
        <v>8.6999999999999993</v>
      </c>
      <c r="BS515" s="439"/>
      <c r="BT515" s="439"/>
      <c r="BU515" s="439"/>
      <c r="BV515" s="439"/>
      <c r="BW515" s="439"/>
      <c r="BX515" s="469"/>
    </row>
    <row r="516" spans="10:76" x14ac:dyDescent="0.3">
      <c r="J516" s="378" t="s">
        <v>238</v>
      </c>
      <c r="K516" s="379" t="s">
        <v>135</v>
      </c>
      <c r="L516" s="427"/>
      <c r="M516" s="379" t="s">
        <v>239</v>
      </c>
      <c r="N516" s="379" t="s">
        <v>240</v>
      </c>
      <c r="O516" s="379" t="s">
        <v>136</v>
      </c>
      <c r="P516" s="379">
        <v>2018</v>
      </c>
      <c r="Q516" s="382" t="s">
        <v>397</v>
      </c>
      <c r="R516" s="479" t="s">
        <v>398</v>
      </c>
      <c r="S516" s="480"/>
      <c r="T516" s="480"/>
      <c r="U516" s="382" t="s">
        <v>283</v>
      </c>
      <c r="V516" s="427"/>
      <c r="W516" s="379" t="s">
        <v>243</v>
      </c>
      <c r="X516" s="470">
        <v>2019</v>
      </c>
      <c r="Y516" s="427"/>
      <c r="Z516" s="427" t="str">
        <f>VLOOKUP(R516,KEY_Processes!$C$131:$E$163,3,FALSE)</f>
        <v>W_SS_BPL01</v>
      </c>
      <c r="AA516" s="427" t="str">
        <f>VLOOKUP(R516,KEY_Processes!$C$131:$E$163,2,FALSE)</f>
        <v>W_Pelletstove_BPL_SMALL</v>
      </c>
      <c r="AB516" s="427" t="str">
        <f>VLOOKUP(U516,KEY_FUELS!$C$4:$D$77,2,FALSE)</f>
        <v>BIO</v>
      </c>
      <c r="AC516" s="427" t="s">
        <v>150</v>
      </c>
      <c r="AD516" s="427" t="s">
        <v>364</v>
      </c>
      <c r="AE516" s="427" t="s">
        <v>152</v>
      </c>
      <c r="AF516" s="427" t="str">
        <f>VLOOKUP(W516,KEY_Other!$B$37:$C$89,2,FALSE)</f>
        <v>EUR</v>
      </c>
      <c r="AG516" s="427"/>
      <c r="AH516" s="427" t="str">
        <f>AC516&amp;VLOOKUP(U516,KEY_FUELS!$C$4:$D$78,2,FALSE)</f>
        <v>RSDBIO</v>
      </c>
      <c r="AI516" s="427" t="str">
        <f>IFERROR(AC516&amp;VLOOKUP(V516,KEY_FUELS!$C$4:$D$78,2,FALSE),"")</f>
        <v/>
      </c>
      <c r="AJ516" s="427" t="str">
        <f t="shared" si="113"/>
        <v>RWHS</v>
      </c>
      <c r="AK516" s="427" t="str">
        <f t="shared" si="114"/>
        <v/>
      </c>
      <c r="AL516" s="427" t="str">
        <f t="shared" si="115"/>
        <v/>
      </c>
      <c r="AM516" s="380">
        <v>31.536000000000001</v>
      </c>
      <c r="AN516" s="470">
        <f t="shared" si="116"/>
        <v>2019</v>
      </c>
      <c r="AO516" s="470"/>
      <c r="AP516" s="429"/>
      <c r="AQ516" s="467"/>
      <c r="AR516" s="429"/>
      <c r="AS516" s="429"/>
      <c r="AT516" s="429"/>
      <c r="AU516" s="481"/>
      <c r="AV516" s="467"/>
      <c r="AW516" s="467"/>
      <c r="AX516" s="429"/>
      <c r="AY516" s="429"/>
      <c r="AZ516" s="467">
        <v>0.65</v>
      </c>
      <c r="BA516" s="429"/>
      <c r="BB516" s="429"/>
      <c r="BC516" s="427"/>
      <c r="BD516" s="429"/>
      <c r="BE516" s="429"/>
      <c r="BF516" s="427"/>
      <c r="BG516" s="427"/>
      <c r="BH516" s="427"/>
      <c r="BI516" s="427">
        <v>20</v>
      </c>
      <c r="BJ516" s="427"/>
      <c r="BK516" s="482">
        <v>141.07159884864751</v>
      </c>
      <c r="BL516" s="427"/>
      <c r="BM516" s="427"/>
      <c r="BN516" s="427"/>
      <c r="BO516" s="427"/>
      <c r="BP516" s="427"/>
      <c r="BQ516" s="427"/>
      <c r="BR516" s="429">
        <v>8.6999999999999993</v>
      </c>
      <c r="BS516" s="427"/>
      <c r="BT516" s="427"/>
      <c r="BU516" s="427"/>
      <c r="BV516" s="427"/>
      <c r="BW516" s="427"/>
      <c r="BX516" s="471"/>
    </row>
    <row r="517" spans="10:76" x14ac:dyDescent="0.3">
      <c r="J517" s="362" t="s">
        <v>238</v>
      </c>
      <c r="K517" s="363" t="s">
        <v>135</v>
      </c>
      <c r="L517" s="439"/>
      <c r="M517" s="363" t="s">
        <v>239</v>
      </c>
      <c r="N517" s="363" t="s">
        <v>240</v>
      </c>
      <c r="O517" s="363" t="s">
        <v>136</v>
      </c>
      <c r="P517" s="363">
        <v>2018</v>
      </c>
      <c r="Q517" s="366" t="s">
        <v>254</v>
      </c>
      <c r="R517" s="475" t="s">
        <v>399</v>
      </c>
      <c r="S517" s="476"/>
      <c r="T517" s="476"/>
      <c r="U517" s="366" t="s">
        <v>256</v>
      </c>
      <c r="V517" s="439"/>
      <c r="W517" s="363" t="s">
        <v>243</v>
      </c>
      <c r="X517" s="468" t="s">
        <v>363</v>
      </c>
      <c r="Y517" s="439"/>
      <c r="Z517" s="439" t="str">
        <f>VLOOKUP(R517,KEY_Processes!$C$131:$E$163,3,FALSE)</f>
        <v>W_BS_COA01</v>
      </c>
      <c r="AA517" s="439" t="str">
        <f>VLOOKUP(R517,KEY_Processes!$C$131:$E$163,2,FALSE)</f>
        <v>W_CoalBoiler_COA_SMALL</v>
      </c>
      <c r="AB517" s="439" t="str">
        <f>VLOOKUP(U517,KEY_FUELS!$C$4:$D$77,2,FALSE)</f>
        <v>COA</v>
      </c>
      <c r="AC517" s="439" t="s">
        <v>150</v>
      </c>
      <c r="AD517" s="439" t="s">
        <v>364</v>
      </c>
      <c r="AE517" s="439" t="s">
        <v>152</v>
      </c>
      <c r="AF517" s="439" t="str">
        <f>VLOOKUP(W517,KEY_Other!$B$37:$C$89,2,FALSE)</f>
        <v>EUR</v>
      </c>
      <c r="AG517" s="439"/>
      <c r="AH517" s="439" t="str">
        <f>AC517&amp;VLOOKUP(U517,KEY_FUELS!$C$4:$D$78,2,FALSE)</f>
        <v>RSDCOA</v>
      </c>
      <c r="AI517" s="439" t="str">
        <f>IFERROR(AC517&amp;VLOOKUP(V517,KEY_FUELS!$C$4:$D$78,2,FALSE),"")</f>
        <v/>
      </c>
      <c r="AJ517" s="439" t="str">
        <f t="shared" si="113"/>
        <v>RWHS</v>
      </c>
      <c r="AK517" s="439" t="str">
        <f t="shared" si="114"/>
        <v/>
      </c>
      <c r="AL517" s="439" t="str">
        <f t="shared" si="115"/>
        <v/>
      </c>
      <c r="AM517" s="364">
        <v>31.536000000000001</v>
      </c>
      <c r="AN517" s="468" t="str">
        <f t="shared" si="116"/>
        <v>2030</v>
      </c>
      <c r="AO517" s="468"/>
      <c r="AP517" s="441"/>
      <c r="AQ517" s="445"/>
      <c r="AR517" s="441"/>
      <c r="AS517" s="441"/>
      <c r="AT517" s="441"/>
      <c r="AU517" s="477"/>
      <c r="AV517" s="445"/>
      <c r="AW517" s="445"/>
      <c r="AX517" s="441"/>
      <c r="AY517" s="441"/>
      <c r="AZ517" s="445">
        <v>0.83</v>
      </c>
      <c r="BA517" s="441"/>
      <c r="BB517" s="441"/>
      <c r="BC517" s="439"/>
      <c r="BD517" s="441"/>
      <c r="BE517" s="441"/>
      <c r="BF517" s="439"/>
      <c r="BG517" s="439"/>
      <c r="BH517" s="439"/>
      <c r="BI517" s="439">
        <v>20</v>
      </c>
      <c r="BJ517" s="439"/>
      <c r="BK517" s="478">
        <v>137.90199999999999</v>
      </c>
      <c r="BL517" s="439"/>
      <c r="BM517" s="439"/>
      <c r="BN517" s="439"/>
      <c r="BO517" s="439"/>
      <c r="BP517" s="439"/>
      <c r="BQ517" s="439"/>
      <c r="BR517" s="441">
        <v>9.07</v>
      </c>
      <c r="BS517" s="439"/>
      <c r="BT517" s="439"/>
      <c r="BU517" s="439"/>
      <c r="BV517" s="439"/>
      <c r="BW517" s="439"/>
      <c r="BX517" s="469"/>
    </row>
    <row r="518" spans="10:76" x14ac:dyDescent="0.3">
      <c r="J518" s="378" t="s">
        <v>238</v>
      </c>
      <c r="K518" s="379" t="s">
        <v>135</v>
      </c>
      <c r="L518" s="427"/>
      <c r="M518" s="379" t="s">
        <v>239</v>
      </c>
      <c r="N518" s="379" t="s">
        <v>240</v>
      </c>
      <c r="O518" s="379" t="s">
        <v>136</v>
      </c>
      <c r="P518" s="379">
        <v>2018</v>
      </c>
      <c r="Q518" s="382" t="s">
        <v>254</v>
      </c>
      <c r="R518" s="479" t="s">
        <v>399</v>
      </c>
      <c r="S518" s="480"/>
      <c r="T518" s="480"/>
      <c r="U518" s="382" t="s">
        <v>256</v>
      </c>
      <c r="V518" s="427"/>
      <c r="W518" s="379" t="s">
        <v>243</v>
      </c>
      <c r="X518" s="470">
        <v>2019</v>
      </c>
      <c r="Y518" s="427"/>
      <c r="Z518" s="427" t="str">
        <f>VLOOKUP(R518,KEY_Processes!$C$131:$E$163,3,FALSE)</f>
        <v>W_BS_COA01</v>
      </c>
      <c r="AA518" s="427" t="str">
        <f>VLOOKUP(R518,KEY_Processes!$C$131:$E$163,2,FALSE)</f>
        <v>W_CoalBoiler_COA_SMALL</v>
      </c>
      <c r="AB518" s="427" t="str">
        <f>VLOOKUP(U518,KEY_FUELS!$C$4:$D$77,2,FALSE)</f>
        <v>COA</v>
      </c>
      <c r="AC518" s="427" t="s">
        <v>150</v>
      </c>
      <c r="AD518" s="427" t="s">
        <v>364</v>
      </c>
      <c r="AE518" s="427" t="s">
        <v>152</v>
      </c>
      <c r="AF518" s="427" t="str">
        <f>VLOOKUP(W518,KEY_Other!$B$37:$C$89,2,FALSE)</f>
        <v>EUR</v>
      </c>
      <c r="AG518" s="427"/>
      <c r="AH518" s="427" t="str">
        <f>AC518&amp;VLOOKUP(U518,KEY_FUELS!$C$4:$D$78,2,FALSE)</f>
        <v>RSDCOA</v>
      </c>
      <c r="AI518" s="427" t="str">
        <f>IFERROR(AC518&amp;VLOOKUP(V518,KEY_FUELS!$C$4:$D$78,2,FALSE),"")</f>
        <v/>
      </c>
      <c r="AJ518" s="427" t="str">
        <f t="shared" si="113"/>
        <v>RWHS</v>
      </c>
      <c r="AK518" s="427" t="str">
        <f t="shared" si="114"/>
        <v/>
      </c>
      <c r="AL518" s="427" t="str">
        <f t="shared" si="115"/>
        <v/>
      </c>
      <c r="AM518" s="380">
        <v>31.536000000000001</v>
      </c>
      <c r="AN518" s="470">
        <f t="shared" si="116"/>
        <v>2019</v>
      </c>
      <c r="AO518" s="470"/>
      <c r="AP518" s="429"/>
      <c r="AQ518" s="467"/>
      <c r="AR518" s="429"/>
      <c r="AS518" s="429"/>
      <c r="AT518" s="429"/>
      <c r="AU518" s="481"/>
      <c r="AV518" s="467"/>
      <c r="AW518" s="467"/>
      <c r="AX518" s="429"/>
      <c r="AY518" s="429"/>
      <c r="AZ518" s="467">
        <v>0.8</v>
      </c>
      <c r="BA518" s="429"/>
      <c r="BB518" s="429"/>
      <c r="BC518" s="427"/>
      <c r="BD518" s="429"/>
      <c r="BE518" s="429"/>
      <c r="BF518" s="427"/>
      <c r="BG518" s="427"/>
      <c r="BH518" s="427"/>
      <c r="BI518" s="427">
        <v>20</v>
      </c>
      <c r="BJ518" s="427"/>
      <c r="BK518" s="482">
        <v>131.0069</v>
      </c>
      <c r="BL518" s="427"/>
      <c r="BM518" s="427"/>
      <c r="BN518" s="427"/>
      <c r="BO518" s="427"/>
      <c r="BP518" s="427"/>
      <c r="BQ518" s="427"/>
      <c r="BR518" s="429">
        <v>9.07</v>
      </c>
      <c r="BS518" s="427"/>
      <c r="BT518" s="427"/>
      <c r="BU518" s="427"/>
      <c r="BV518" s="427"/>
      <c r="BW518" s="427"/>
      <c r="BX518" s="471"/>
    </row>
    <row r="519" spans="10:76" x14ac:dyDescent="0.3">
      <c r="J519" s="362" t="s">
        <v>238</v>
      </c>
      <c r="K519" s="363" t="s">
        <v>135</v>
      </c>
      <c r="L519" s="439"/>
      <c r="M519" s="363" t="s">
        <v>239</v>
      </c>
      <c r="N519" s="363" t="s">
        <v>240</v>
      </c>
      <c r="O519" s="363" t="s">
        <v>136</v>
      </c>
      <c r="P519" s="363">
        <v>2018</v>
      </c>
      <c r="Q519" s="366" t="s">
        <v>277</v>
      </c>
      <c r="R519" s="475" t="s">
        <v>400</v>
      </c>
      <c r="S519" s="476"/>
      <c r="T519" s="476"/>
      <c r="U519" s="366" t="s">
        <v>189</v>
      </c>
      <c r="V519" s="439" t="s">
        <v>198</v>
      </c>
      <c r="W519" s="363" t="s">
        <v>243</v>
      </c>
      <c r="X519" s="468" t="s">
        <v>363</v>
      </c>
      <c r="Y519" s="439"/>
      <c r="Z519" s="439" t="str">
        <f>VLOOKUP(R519,KEY_Processes!$C$131:$E$163,3,FALSE)</f>
        <v>W_GHPS_ELC01</v>
      </c>
      <c r="AA519" s="439" t="str">
        <f>VLOOKUP(R519,KEY_Processes!$C$131:$E$163,2,FALSE)</f>
        <v>W_GroundHeatPump_ELC_SMALL</v>
      </c>
      <c r="AB519" s="439" t="str">
        <f>VLOOKUP(U519,KEY_FUELS!$C$4:$D$77,2,FALSE)</f>
        <v>ELC</v>
      </c>
      <c r="AC519" s="439" t="s">
        <v>150</v>
      </c>
      <c r="AD519" s="439" t="s">
        <v>364</v>
      </c>
      <c r="AE519" s="439" t="s">
        <v>152</v>
      </c>
      <c r="AF519" s="439" t="str">
        <f>VLOOKUP(W519,KEY_Other!$B$37:$C$89,2,FALSE)</f>
        <v>EUR</v>
      </c>
      <c r="AG519" s="439"/>
      <c r="AH519" s="439" t="str">
        <f>AC519&amp;VLOOKUP(U519,KEY_FUELS!$C$4:$D$78,2,FALSE)</f>
        <v>RSDELC</v>
      </c>
      <c r="AI519" s="439" t="str">
        <f>IFERROR(AC519&amp;VLOOKUP(V519,KEY_FUELS!$C$4:$D$78,2,FALSE),"")</f>
        <v>RSDGEO</v>
      </c>
      <c r="AJ519" s="439" t="str">
        <f t="shared" si="113"/>
        <v>RWHS</v>
      </c>
      <c r="AK519" s="439" t="str">
        <f t="shared" si="114"/>
        <v/>
      </c>
      <c r="AL519" s="439" t="str">
        <f t="shared" si="115"/>
        <v/>
      </c>
      <c r="AM519" s="364">
        <v>31.536000000000001</v>
      </c>
      <c r="AN519" s="468" t="str">
        <f t="shared" si="116"/>
        <v>2030</v>
      </c>
      <c r="AO519" s="468"/>
      <c r="AP519" s="441"/>
      <c r="AQ519" s="445"/>
      <c r="AR519" s="441"/>
      <c r="AS519" s="441"/>
      <c r="AT519" s="441"/>
      <c r="AU519" s="477"/>
      <c r="AV519" s="445"/>
      <c r="AW519" s="445"/>
      <c r="AX519" s="441"/>
      <c r="AY519" s="441">
        <f t="shared" ref="AY519:AY520" si="121">AZ519</f>
        <v>4.09</v>
      </c>
      <c r="AZ519" s="445">
        <v>4.09</v>
      </c>
      <c r="BA519" s="441"/>
      <c r="BB519" s="441"/>
      <c r="BC519" s="439"/>
      <c r="BD519" s="441"/>
      <c r="BE519" s="441"/>
      <c r="BF519" s="439"/>
      <c r="BG519" s="439"/>
      <c r="BH519" s="439"/>
      <c r="BI519" s="439">
        <v>25</v>
      </c>
      <c r="BJ519" s="439"/>
      <c r="BK519" s="478">
        <v>1968</v>
      </c>
      <c r="BL519" s="439"/>
      <c r="BM519" s="439"/>
      <c r="BN519" s="439"/>
      <c r="BO519" s="439"/>
      <c r="BP519" s="439"/>
      <c r="BQ519" s="439"/>
      <c r="BR519" s="441">
        <v>1.5813953488372099</v>
      </c>
      <c r="BS519" s="439"/>
      <c r="BT519" s="439"/>
      <c r="BU519" s="439"/>
      <c r="BV519" s="439"/>
      <c r="BW519" s="439"/>
      <c r="BX519" s="469"/>
    </row>
    <row r="520" spans="10:76" x14ac:dyDescent="0.3">
      <c r="J520" s="378" t="s">
        <v>238</v>
      </c>
      <c r="K520" s="379" t="s">
        <v>135</v>
      </c>
      <c r="L520" s="427"/>
      <c r="M520" s="379" t="s">
        <v>239</v>
      </c>
      <c r="N520" s="379" t="s">
        <v>240</v>
      </c>
      <c r="O520" s="379" t="s">
        <v>136</v>
      </c>
      <c r="P520" s="379">
        <v>2018</v>
      </c>
      <c r="Q520" s="382" t="s">
        <v>277</v>
      </c>
      <c r="R520" s="479" t="s">
        <v>400</v>
      </c>
      <c r="S520" s="480"/>
      <c r="T520" s="480"/>
      <c r="U520" s="382" t="s">
        <v>189</v>
      </c>
      <c r="V520" s="427" t="s">
        <v>198</v>
      </c>
      <c r="W520" s="379" t="s">
        <v>243</v>
      </c>
      <c r="X520" s="470">
        <v>2019</v>
      </c>
      <c r="Y520" s="427"/>
      <c r="Z520" s="427" t="str">
        <f>VLOOKUP(R520,KEY_Processes!$C$131:$E$163,3,FALSE)</f>
        <v>W_GHPS_ELC01</v>
      </c>
      <c r="AA520" s="427" t="str">
        <f>VLOOKUP(R520,KEY_Processes!$C$131:$E$163,2,FALSE)</f>
        <v>W_GroundHeatPump_ELC_SMALL</v>
      </c>
      <c r="AB520" s="427" t="str">
        <f>VLOOKUP(U520,KEY_FUELS!$C$4:$D$77,2,FALSE)</f>
        <v>ELC</v>
      </c>
      <c r="AC520" s="427" t="s">
        <v>150</v>
      </c>
      <c r="AD520" s="427" t="s">
        <v>364</v>
      </c>
      <c r="AE520" s="427" t="s">
        <v>152</v>
      </c>
      <c r="AF520" s="427" t="str">
        <f>VLOOKUP(W520,KEY_Other!$B$37:$C$89,2,FALSE)</f>
        <v>EUR</v>
      </c>
      <c r="AG520" s="427"/>
      <c r="AH520" s="427" t="str">
        <f>AC520&amp;VLOOKUP(U520,KEY_FUELS!$C$4:$D$78,2,FALSE)</f>
        <v>RSDELC</v>
      </c>
      <c r="AI520" s="427" t="str">
        <f>IFERROR(AC520&amp;VLOOKUP(V520,KEY_FUELS!$C$4:$D$78,2,FALSE),"")</f>
        <v>RSDGEO</v>
      </c>
      <c r="AJ520" s="427" t="str">
        <f t="shared" si="113"/>
        <v>RWHS</v>
      </c>
      <c r="AK520" s="427" t="str">
        <f t="shared" si="114"/>
        <v/>
      </c>
      <c r="AL520" s="427" t="str">
        <f t="shared" si="115"/>
        <v/>
      </c>
      <c r="AM520" s="380">
        <v>31.536000000000001</v>
      </c>
      <c r="AN520" s="470">
        <f t="shared" si="116"/>
        <v>2019</v>
      </c>
      <c r="AO520" s="470"/>
      <c r="AP520" s="429"/>
      <c r="AQ520" s="467"/>
      <c r="AR520" s="429"/>
      <c r="AS520" s="429"/>
      <c r="AT520" s="429"/>
      <c r="AU520" s="481"/>
      <c r="AV520" s="467"/>
      <c r="AW520" s="467"/>
      <c r="AX520" s="429"/>
      <c r="AY520" s="429">
        <f t="shared" si="121"/>
        <v>3.81</v>
      </c>
      <c r="AZ520" s="467">
        <v>3.81</v>
      </c>
      <c r="BA520" s="429"/>
      <c r="BB520" s="429"/>
      <c r="BC520" s="427"/>
      <c r="BD520" s="429"/>
      <c r="BE520" s="429"/>
      <c r="BF520" s="427"/>
      <c r="BG520" s="427"/>
      <c r="BH520" s="427"/>
      <c r="BI520" s="427">
        <v>25</v>
      </c>
      <c r="BJ520" s="427"/>
      <c r="BK520" s="482">
        <v>1668</v>
      </c>
      <c r="BL520" s="427"/>
      <c r="BM520" s="427"/>
      <c r="BN520" s="427"/>
      <c r="BO520" s="427"/>
      <c r="BP520" s="427"/>
      <c r="BQ520" s="427"/>
      <c r="BR520" s="429">
        <v>1.5813953488372099</v>
      </c>
      <c r="BS520" s="427"/>
      <c r="BT520" s="427"/>
      <c r="BU520" s="427"/>
      <c r="BV520" s="427"/>
      <c r="BW520" s="427"/>
      <c r="BX520" s="471"/>
    </row>
    <row r="521" spans="10:76" x14ac:dyDescent="0.3">
      <c r="J521" s="362" t="s">
        <v>238</v>
      </c>
      <c r="K521" s="363" t="s">
        <v>135</v>
      </c>
      <c r="L521" s="439"/>
      <c r="M521" s="363" t="s">
        <v>239</v>
      </c>
      <c r="N521" s="363" t="s">
        <v>240</v>
      </c>
      <c r="O521" s="363" t="s">
        <v>136</v>
      </c>
      <c r="P521" s="363">
        <v>2018</v>
      </c>
      <c r="Q521" s="366" t="s">
        <v>320</v>
      </c>
      <c r="R521" s="475" t="s">
        <v>401</v>
      </c>
      <c r="S521" s="476"/>
      <c r="T521" s="476"/>
      <c r="U521" s="366" t="s">
        <v>322</v>
      </c>
      <c r="V521" s="439"/>
      <c r="W521" s="363" t="s">
        <v>243</v>
      </c>
      <c r="X521" s="468" t="s">
        <v>363</v>
      </c>
      <c r="Y521" s="439"/>
      <c r="Z521" s="439" t="str">
        <f>VLOOKUP(R521,KEY_Processes!$C$131:$E$163,3,FALSE)</f>
        <v>W_FS_LPG02</v>
      </c>
      <c r="AA521" s="439" t="str">
        <f>VLOOKUP(R521,KEY_Processes!$C$131:$E$163,2,FALSE)</f>
        <v>W_LPGFurnace_LPG_SMALL</v>
      </c>
      <c r="AB521" s="439" t="str">
        <f>VLOOKUP(U521,KEY_FUELS!$C$4:$D$77,2,FALSE)</f>
        <v>GAS</v>
      </c>
      <c r="AC521" s="439" t="s">
        <v>150</v>
      </c>
      <c r="AD521" s="439" t="s">
        <v>364</v>
      </c>
      <c r="AE521" s="439" t="s">
        <v>152</v>
      </c>
      <c r="AF521" s="439" t="str">
        <f>VLOOKUP(W521,KEY_Other!$B$37:$C$89,2,FALSE)</f>
        <v>EUR</v>
      </c>
      <c r="AG521" s="439"/>
      <c r="AH521" s="439" t="str">
        <f>AC521&amp;VLOOKUP(U521,KEY_FUELS!$C$4:$D$78,2,FALSE)</f>
        <v>RSDGAS</v>
      </c>
      <c r="AI521" s="439" t="str">
        <f>IFERROR(AC521&amp;VLOOKUP(V521,KEY_FUELS!$C$4:$D$78,2,FALSE),"")</f>
        <v/>
      </c>
      <c r="AJ521" s="439" t="str">
        <f t="shared" si="113"/>
        <v>RWHS</v>
      </c>
      <c r="AK521" s="439" t="str">
        <f t="shared" si="114"/>
        <v/>
      </c>
      <c r="AL521" s="439" t="str">
        <f t="shared" si="115"/>
        <v/>
      </c>
      <c r="AM521" s="364">
        <v>31.536000000000001</v>
      </c>
      <c r="AN521" s="468" t="str">
        <f t="shared" si="116"/>
        <v>2030</v>
      </c>
      <c r="AO521" s="468"/>
      <c r="AP521" s="441"/>
      <c r="AQ521" s="445"/>
      <c r="AR521" s="441"/>
      <c r="AS521" s="441"/>
      <c r="AT521" s="441"/>
      <c r="AU521" s="477"/>
      <c r="AV521" s="445"/>
      <c r="AW521" s="445"/>
      <c r="AX521" s="441"/>
      <c r="AY521" s="441"/>
      <c r="AZ521" s="445">
        <v>0.92</v>
      </c>
      <c r="BA521" s="441"/>
      <c r="BB521" s="441"/>
      <c r="BC521" s="439"/>
      <c r="BD521" s="441"/>
      <c r="BE521" s="441"/>
      <c r="BF521" s="439"/>
      <c r="BG521" s="439"/>
      <c r="BH521" s="439"/>
      <c r="BI521" s="439">
        <v>20</v>
      </c>
      <c r="BJ521" s="439"/>
      <c r="BK521" s="478">
        <v>28.861000000000001</v>
      </c>
      <c r="BL521" s="439"/>
      <c r="BM521" s="439"/>
      <c r="BN521" s="439"/>
      <c r="BO521" s="439"/>
      <c r="BP521" s="439"/>
      <c r="BQ521" s="439"/>
      <c r="BR521" s="441">
        <v>0.85559999999999992</v>
      </c>
      <c r="BS521" s="439"/>
      <c r="BT521" s="439"/>
      <c r="BU521" s="439"/>
      <c r="BV521" s="439"/>
      <c r="BW521" s="439"/>
      <c r="BX521" s="469"/>
    </row>
    <row r="522" spans="10:76" x14ac:dyDescent="0.3">
      <c r="J522" s="378" t="s">
        <v>238</v>
      </c>
      <c r="K522" s="379" t="s">
        <v>135</v>
      </c>
      <c r="L522" s="427"/>
      <c r="M522" s="379" t="s">
        <v>239</v>
      </c>
      <c r="N522" s="379" t="s">
        <v>240</v>
      </c>
      <c r="O522" s="379" t="s">
        <v>136</v>
      </c>
      <c r="P522" s="379">
        <v>2018</v>
      </c>
      <c r="Q522" s="382" t="s">
        <v>320</v>
      </c>
      <c r="R522" s="479" t="s">
        <v>401</v>
      </c>
      <c r="S522" s="480"/>
      <c r="T522" s="480"/>
      <c r="U522" s="382" t="s">
        <v>322</v>
      </c>
      <c r="V522" s="427"/>
      <c r="W522" s="379" t="s">
        <v>243</v>
      </c>
      <c r="X522" s="470">
        <v>2019</v>
      </c>
      <c r="Y522" s="427"/>
      <c r="Z522" s="427" t="str">
        <f>VLOOKUP(R522,KEY_Processes!$C$131:$E$163,3,FALSE)</f>
        <v>W_FS_LPG02</v>
      </c>
      <c r="AA522" s="427" t="str">
        <f>VLOOKUP(R522,KEY_Processes!$C$131:$E$163,2,FALSE)</f>
        <v>W_LPGFurnace_LPG_SMALL</v>
      </c>
      <c r="AB522" s="427" t="str">
        <f>VLOOKUP(U522,KEY_FUELS!$C$4:$D$77,2,FALSE)</f>
        <v>GAS</v>
      </c>
      <c r="AC522" s="427" t="s">
        <v>150</v>
      </c>
      <c r="AD522" s="427" t="s">
        <v>364</v>
      </c>
      <c r="AE522" s="427" t="s">
        <v>152</v>
      </c>
      <c r="AF522" s="427" t="str">
        <f>VLOOKUP(W522,KEY_Other!$B$37:$C$89,2,FALSE)</f>
        <v>EUR</v>
      </c>
      <c r="AG522" s="427"/>
      <c r="AH522" s="427" t="str">
        <f>AC522&amp;VLOOKUP(U522,KEY_FUELS!$C$4:$D$78,2,FALSE)</f>
        <v>RSDGAS</v>
      </c>
      <c r="AI522" s="427" t="str">
        <f>IFERROR(AC522&amp;VLOOKUP(V522,KEY_FUELS!$C$4:$D$78,2,FALSE),"")</f>
        <v/>
      </c>
      <c r="AJ522" s="427" t="str">
        <f t="shared" si="113"/>
        <v>RWHS</v>
      </c>
      <c r="AK522" s="427" t="str">
        <f t="shared" si="114"/>
        <v/>
      </c>
      <c r="AL522" s="427" t="str">
        <f t="shared" si="115"/>
        <v/>
      </c>
      <c r="AM522" s="380">
        <v>31.536000000000001</v>
      </c>
      <c r="AN522" s="470">
        <f t="shared" si="116"/>
        <v>2019</v>
      </c>
      <c r="AO522" s="470"/>
      <c r="AP522" s="429"/>
      <c r="AQ522" s="467"/>
      <c r="AR522" s="429"/>
      <c r="AS522" s="429"/>
      <c r="AT522" s="429"/>
      <c r="AU522" s="481"/>
      <c r="AV522" s="467"/>
      <c r="AW522" s="467"/>
      <c r="AX522" s="429"/>
      <c r="AY522" s="429"/>
      <c r="AZ522" s="467">
        <v>0.89</v>
      </c>
      <c r="BA522" s="429"/>
      <c r="BB522" s="429"/>
      <c r="BC522" s="427"/>
      <c r="BD522" s="429"/>
      <c r="BE522" s="429"/>
      <c r="BF522" s="427"/>
      <c r="BG522" s="427"/>
      <c r="BH522" s="427"/>
      <c r="BI522" s="427">
        <v>20</v>
      </c>
      <c r="BJ522" s="427"/>
      <c r="BK522" s="482">
        <v>19.5329203125</v>
      </c>
      <c r="BL522" s="427"/>
      <c r="BM522" s="427"/>
      <c r="BN522" s="427"/>
      <c r="BO522" s="427"/>
      <c r="BP522" s="427"/>
      <c r="BQ522" s="427"/>
      <c r="BR522" s="429">
        <v>0.85559999999999992</v>
      </c>
      <c r="BS522" s="427"/>
      <c r="BT522" s="427"/>
      <c r="BU522" s="427"/>
      <c r="BV522" s="427"/>
      <c r="BW522" s="427"/>
      <c r="BX522" s="471"/>
    </row>
    <row r="523" spans="10:76" x14ac:dyDescent="0.3">
      <c r="J523" s="362" t="s">
        <v>238</v>
      </c>
      <c r="K523" s="363" t="s">
        <v>135</v>
      </c>
      <c r="L523" s="439"/>
      <c r="M523" s="363" t="s">
        <v>239</v>
      </c>
      <c r="N523" s="363" t="s">
        <v>240</v>
      </c>
      <c r="O523" s="363" t="s">
        <v>136</v>
      </c>
      <c r="P523" s="363">
        <v>2018</v>
      </c>
      <c r="Q523" s="366" t="s">
        <v>267</v>
      </c>
      <c r="R523" s="475" t="s">
        <v>402</v>
      </c>
      <c r="S523" s="476"/>
      <c r="T523" s="476"/>
      <c r="U523" s="366" t="s">
        <v>170</v>
      </c>
      <c r="V523" s="439"/>
      <c r="W523" s="363" t="s">
        <v>243</v>
      </c>
      <c r="X523" s="468" t="s">
        <v>363</v>
      </c>
      <c r="Y523" s="439"/>
      <c r="Z523" s="439" t="str">
        <f>VLOOKUP(R523,KEY_Processes!$C$131:$E$163,3,FALSE)</f>
        <v>W_HES_HTH01</v>
      </c>
      <c r="AA523" s="439" t="str">
        <f>VLOOKUP(R523,KEY_Processes!$C$131:$E$163,2,FALSE)</f>
        <v>W_DistrictHeating_HTH_SMALL</v>
      </c>
      <c r="AB523" s="439" t="str">
        <f>VLOOKUP(U523,KEY_FUELS!$C$4:$D$77,2,FALSE)</f>
        <v>HTH</v>
      </c>
      <c r="AC523" s="439" t="s">
        <v>150</v>
      </c>
      <c r="AD523" s="439" t="s">
        <v>364</v>
      </c>
      <c r="AE523" s="439" t="s">
        <v>152</v>
      </c>
      <c r="AF523" s="439" t="str">
        <f>VLOOKUP(W523,KEY_Other!$B$37:$C$89,2,FALSE)</f>
        <v>EUR</v>
      </c>
      <c r="AG523" s="439"/>
      <c r="AH523" s="439" t="str">
        <f>AC523&amp;VLOOKUP(U523,KEY_FUELS!$C$4:$D$78,2,FALSE)</f>
        <v>RSDHTH</v>
      </c>
      <c r="AI523" s="439" t="str">
        <f>IFERROR(AC523&amp;VLOOKUP(V523,KEY_FUELS!$C$4:$D$78,2,FALSE),"")</f>
        <v/>
      </c>
      <c r="AJ523" s="439" t="str">
        <f t="shared" si="113"/>
        <v>RWHS</v>
      </c>
      <c r="AK523" s="439" t="str">
        <f t="shared" si="114"/>
        <v/>
      </c>
      <c r="AL523" s="439" t="str">
        <f t="shared" si="115"/>
        <v/>
      </c>
      <c r="AM523" s="364">
        <v>31.536000000000001</v>
      </c>
      <c r="AN523" s="468" t="str">
        <f t="shared" si="116"/>
        <v>2030</v>
      </c>
      <c r="AO523" s="468"/>
      <c r="AP523" s="441"/>
      <c r="AQ523" s="445"/>
      <c r="AR523" s="441"/>
      <c r="AS523" s="441"/>
      <c r="AT523" s="441"/>
      <c r="AU523" s="477"/>
      <c r="AV523" s="445"/>
      <c r="AW523" s="445"/>
      <c r="AX523" s="441"/>
      <c r="AY523" s="441"/>
      <c r="AZ523" s="445">
        <v>0.98</v>
      </c>
      <c r="BA523" s="441"/>
      <c r="BB523" s="441"/>
      <c r="BC523" s="439"/>
      <c r="BD523" s="441"/>
      <c r="BE523" s="441"/>
      <c r="BF523" s="439"/>
      <c r="BG523" s="439"/>
      <c r="BH523" s="439"/>
      <c r="BI523" s="439">
        <v>20</v>
      </c>
      <c r="BJ523" s="439"/>
      <c r="BK523" s="478">
        <v>200</v>
      </c>
      <c r="BL523" s="439"/>
      <c r="BM523" s="439"/>
      <c r="BN523" s="439"/>
      <c r="BO523" s="439"/>
      <c r="BP523" s="439"/>
      <c r="BQ523" s="439"/>
      <c r="BR523" s="441">
        <v>15</v>
      </c>
      <c r="BS523" s="439"/>
      <c r="BT523" s="439"/>
      <c r="BU523" s="439"/>
      <c r="BV523" s="439"/>
      <c r="BW523" s="439"/>
      <c r="BX523" s="469"/>
    </row>
    <row r="524" spans="10:76" x14ac:dyDescent="0.3">
      <c r="J524" s="378" t="s">
        <v>238</v>
      </c>
      <c r="K524" s="379" t="s">
        <v>135</v>
      </c>
      <c r="L524" s="427"/>
      <c r="M524" s="379" t="s">
        <v>239</v>
      </c>
      <c r="N524" s="379" t="s">
        <v>240</v>
      </c>
      <c r="O524" s="379" t="s">
        <v>136</v>
      </c>
      <c r="P524" s="379">
        <v>2018</v>
      </c>
      <c r="Q524" s="382" t="s">
        <v>267</v>
      </c>
      <c r="R524" s="479" t="s">
        <v>402</v>
      </c>
      <c r="S524" s="480"/>
      <c r="T524" s="480"/>
      <c r="U524" s="382" t="s">
        <v>170</v>
      </c>
      <c r="V524" s="427"/>
      <c r="W524" s="379" t="s">
        <v>243</v>
      </c>
      <c r="X524" s="470">
        <v>2019</v>
      </c>
      <c r="Y524" s="427"/>
      <c r="Z524" s="427" t="str">
        <f>VLOOKUP(R524,KEY_Processes!$C$131:$E$163,3,FALSE)</f>
        <v>W_HES_HTH01</v>
      </c>
      <c r="AA524" s="427" t="str">
        <f>VLOOKUP(R524,KEY_Processes!$C$131:$E$163,2,FALSE)</f>
        <v>W_DistrictHeating_HTH_SMALL</v>
      </c>
      <c r="AB524" s="427" t="str">
        <f>VLOOKUP(U524,KEY_FUELS!$C$4:$D$77,2,FALSE)</f>
        <v>HTH</v>
      </c>
      <c r="AC524" s="427" t="s">
        <v>150</v>
      </c>
      <c r="AD524" s="427" t="s">
        <v>364</v>
      </c>
      <c r="AE524" s="427" t="s">
        <v>152</v>
      </c>
      <c r="AF524" s="427" t="str">
        <f>VLOOKUP(W524,KEY_Other!$B$37:$C$89,2,FALSE)</f>
        <v>EUR</v>
      </c>
      <c r="AG524" s="427"/>
      <c r="AH524" s="427" t="str">
        <f>AC524&amp;VLOOKUP(U524,KEY_FUELS!$C$4:$D$78,2,FALSE)</f>
        <v>RSDHTH</v>
      </c>
      <c r="AI524" s="427" t="str">
        <f>IFERROR(AC524&amp;VLOOKUP(V524,KEY_FUELS!$C$4:$D$78,2,FALSE),"")</f>
        <v/>
      </c>
      <c r="AJ524" s="427" t="str">
        <f t="shared" si="113"/>
        <v>RWHS</v>
      </c>
      <c r="AK524" s="427" t="str">
        <f t="shared" si="114"/>
        <v/>
      </c>
      <c r="AL524" s="427" t="str">
        <f t="shared" si="115"/>
        <v/>
      </c>
      <c r="AM524" s="380">
        <v>31.536000000000001</v>
      </c>
      <c r="AN524" s="470">
        <f t="shared" si="116"/>
        <v>2019</v>
      </c>
      <c r="AO524" s="470"/>
      <c r="AP524" s="429"/>
      <c r="AQ524" s="467"/>
      <c r="AR524" s="429"/>
      <c r="AS524" s="429"/>
      <c r="AT524" s="429"/>
      <c r="AU524" s="481"/>
      <c r="AV524" s="467"/>
      <c r="AW524" s="467"/>
      <c r="AX524" s="429"/>
      <c r="AY524" s="429"/>
      <c r="AZ524" s="467">
        <v>0.95</v>
      </c>
      <c r="BA524" s="429"/>
      <c r="BB524" s="429"/>
      <c r="BC524" s="427"/>
      <c r="BD524" s="429"/>
      <c r="BE524" s="429"/>
      <c r="BF524" s="427"/>
      <c r="BG524" s="427"/>
      <c r="BH524" s="427"/>
      <c r="BI524" s="427">
        <v>20</v>
      </c>
      <c r="BJ524" s="427"/>
      <c r="BK524" s="482">
        <v>187</v>
      </c>
      <c r="BL524" s="427"/>
      <c r="BM524" s="427"/>
      <c r="BN524" s="427"/>
      <c r="BO524" s="427"/>
      <c r="BP524" s="427"/>
      <c r="BQ524" s="427"/>
      <c r="BR524" s="429">
        <v>15</v>
      </c>
      <c r="BS524" s="427"/>
      <c r="BT524" s="427"/>
      <c r="BU524" s="427"/>
      <c r="BV524" s="427"/>
      <c r="BW524" s="427"/>
      <c r="BX524" s="471"/>
    </row>
    <row r="525" spans="10:76" x14ac:dyDescent="0.3">
      <c r="J525" s="362" t="s">
        <v>238</v>
      </c>
      <c r="K525" s="363" t="s">
        <v>135</v>
      </c>
      <c r="L525" s="439"/>
      <c r="M525" s="363" t="s">
        <v>239</v>
      </c>
      <c r="N525" s="363" t="s">
        <v>240</v>
      </c>
      <c r="O525" s="363" t="s">
        <v>136</v>
      </c>
      <c r="P525" s="363">
        <v>2018</v>
      </c>
      <c r="Q525" s="366" t="s">
        <v>254</v>
      </c>
      <c r="R525" s="475" t="s">
        <v>403</v>
      </c>
      <c r="S525" s="476"/>
      <c r="T525" s="476"/>
      <c r="U525" s="366" t="s">
        <v>256</v>
      </c>
      <c r="V525" s="439"/>
      <c r="W525" s="363" t="s">
        <v>243</v>
      </c>
      <c r="X525" s="468" t="s">
        <v>363</v>
      </c>
      <c r="Y525" s="439"/>
      <c r="Z525" s="439" t="str">
        <f>VLOOKUP(R525,KEY_Processes!$C$131:$E$163,3,FALSE)</f>
        <v>HW_BS_COA01</v>
      </c>
      <c r="AA525" s="439" t="str">
        <f>VLOOKUP(R525,KEY_Processes!$C$131:$E$163,2,FALSE)</f>
        <v>HW_CoalBoiler_COA_SMALL</v>
      </c>
      <c r="AB525" s="439" t="str">
        <f>VLOOKUP(U525,KEY_FUELS!$C$4:$D$77,2,FALSE)</f>
        <v>COA</v>
      </c>
      <c r="AC525" s="439" t="s">
        <v>150</v>
      </c>
      <c r="AD525" s="439" t="s">
        <v>364</v>
      </c>
      <c r="AE525" s="439" t="s">
        <v>152</v>
      </c>
      <c r="AF525" s="439" t="str">
        <f>VLOOKUP(W525,KEY_Other!$B$37:$C$89,2,FALSE)</f>
        <v>EUR</v>
      </c>
      <c r="AG525" s="439"/>
      <c r="AH525" s="439" t="str">
        <f>AC525&amp;VLOOKUP(U525,KEY_FUELS!$C$4:$D$78,2,FALSE)</f>
        <v>RSDCOA</v>
      </c>
      <c r="AI525" s="439" t="str">
        <f>IFERROR(AC525&amp;VLOOKUP(V525,KEY_FUELS!$C$4:$D$78,2,FALSE),"")</f>
        <v/>
      </c>
      <c r="AJ525" s="439" t="str">
        <f t="shared" si="113"/>
        <v>RHHS</v>
      </c>
      <c r="AK525" s="439" t="str">
        <f t="shared" si="114"/>
        <v>RWHS</v>
      </c>
      <c r="AL525" s="439" t="str">
        <f t="shared" si="115"/>
        <v/>
      </c>
      <c r="AM525" s="364">
        <v>31.536000000000001</v>
      </c>
      <c r="AN525" s="468" t="str">
        <f t="shared" si="116"/>
        <v>2030</v>
      </c>
      <c r="AO525" s="468"/>
      <c r="AP525" s="441"/>
      <c r="AQ525" s="445"/>
      <c r="AR525" s="441"/>
      <c r="AS525" s="441"/>
      <c r="AT525" s="441"/>
      <c r="AU525" s="477"/>
      <c r="AV525" s="445"/>
      <c r="AW525" s="445"/>
      <c r="AX525" s="441"/>
      <c r="AY525" s="441"/>
      <c r="AZ525" s="445">
        <v>0.83</v>
      </c>
      <c r="BA525" s="441"/>
      <c r="BB525" s="441"/>
      <c r="BC525" s="439"/>
      <c r="BD525" s="441"/>
      <c r="BE525" s="441"/>
      <c r="BF525" s="439"/>
      <c r="BG525" s="439"/>
      <c r="BH525" s="439"/>
      <c r="BI525" s="439">
        <v>20</v>
      </c>
      <c r="BJ525" s="439"/>
      <c r="BK525" s="478">
        <v>235.88499999999999</v>
      </c>
      <c r="BL525" s="439"/>
      <c r="BM525" s="439"/>
      <c r="BN525" s="439"/>
      <c r="BO525" s="439"/>
      <c r="BP525" s="439"/>
      <c r="BQ525" s="439"/>
      <c r="BR525" s="441">
        <v>9.0724999999999998</v>
      </c>
      <c r="BS525" s="439"/>
      <c r="BT525" s="439"/>
      <c r="BU525" s="439"/>
      <c r="BV525" s="439"/>
      <c r="BW525" s="439"/>
      <c r="BX525" s="469"/>
    </row>
    <row r="526" spans="10:76" x14ac:dyDescent="0.3">
      <c r="J526" s="378" t="s">
        <v>238</v>
      </c>
      <c r="K526" s="379" t="s">
        <v>135</v>
      </c>
      <c r="L526" s="427"/>
      <c r="M526" s="379" t="s">
        <v>239</v>
      </c>
      <c r="N526" s="379" t="s">
        <v>240</v>
      </c>
      <c r="O526" s="379" t="s">
        <v>136</v>
      </c>
      <c r="P526" s="379">
        <v>2018</v>
      </c>
      <c r="Q526" s="382" t="s">
        <v>254</v>
      </c>
      <c r="R526" s="479" t="s">
        <v>404</v>
      </c>
      <c r="S526" s="480"/>
      <c r="T526" s="480"/>
      <c r="U526" s="382" t="s">
        <v>256</v>
      </c>
      <c r="V526" s="427"/>
      <c r="W526" s="379" t="s">
        <v>243</v>
      </c>
      <c r="X526" s="470">
        <v>2019</v>
      </c>
      <c r="Y526" s="427"/>
      <c r="Z526" s="427" t="str">
        <f>VLOOKUP(R526,KEY_Processes!$C$131:$E$163,3,FALSE)</f>
        <v>HW_BS_COA01</v>
      </c>
      <c r="AA526" s="427" t="str">
        <f>VLOOKUP(R526,KEY_Processes!$C$131:$E$163,2,FALSE)</f>
        <v>HW_CoalBoiler_COA_SMALL</v>
      </c>
      <c r="AB526" s="427" t="str">
        <f>VLOOKUP(U526,KEY_FUELS!$C$4:$D$77,2,FALSE)</f>
        <v>COA</v>
      </c>
      <c r="AC526" s="427" t="s">
        <v>150</v>
      </c>
      <c r="AD526" s="427" t="s">
        <v>364</v>
      </c>
      <c r="AE526" s="427" t="s">
        <v>152</v>
      </c>
      <c r="AF526" s="427" t="str">
        <f>VLOOKUP(W526,KEY_Other!$B$37:$C$89,2,FALSE)</f>
        <v>EUR</v>
      </c>
      <c r="AG526" s="427"/>
      <c r="AH526" s="427" t="str">
        <f>AC526&amp;VLOOKUP(U526,KEY_FUELS!$C$4:$D$78,2,FALSE)</f>
        <v>RSDCOA</v>
      </c>
      <c r="AI526" s="427" t="str">
        <f>IFERROR(AC526&amp;VLOOKUP(V526,KEY_FUELS!$C$4:$D$78,2,FALSE),"")</f>
        <v/>
      </c>
      <c r="AJ526" s="427" t="str">
        <f t="shared" si="113"/>
        <v>RHHS</v>
      </c>
      <c r="AK526" s="427" t="str">
        <f t="shared" si="114"/>
        <v>RWHS</v>
      </c>
      <c r="AL526" s="427" t="str">
        <f t="shared" si="115"/>
        <v/>
      </c>
      <c r="AM526" s="380">
        <v>31.536000000000001</v>
      </c>
      <c r="AN526" s="470">
        <f t="shared" si="116"/>
        <v>2019</v>
      </c>
      <c r="AO526" s="470" t="s">
        <v>405</v>
      </c>
      <c r="AP526" s="429"/>
      <c r="AQ526" s="467"/>
      <c r="AR526" s="429"/>
      <c r="AS526" s="429"/>
      <c r="AT526" s="429" t="s">
        <v>155</v>
      </c>
      <c r="AU526" s="481">
        <v>0.5</v>
      </c>
      <c r="AV526" s="467"/>
      <c r="AW526" s="467"/>
      <c r="AX526" s="429"/>
      <c r="AY526" s="429"/>
      <c r="AZ526" s="467">
        <v>0.8</v>
      </c>
      <c r="BA526" s="429"/>
      <c r="BB526" s="429"/>
      <c r="BC526" s="427"/>
      <c r="BD526" s="429"/>
      <c r="BE526" s="429"/>
      <c r="BF526" s="427"/>
      <c r="BG526" s="427"/>
      <c r="BH526" s="427"/>
      <c r="BI526" s="427">
        <v>20</v>
      </c>
      <c r="BJ526" s="427"/>
      <c r="BK526" s="482">
        <v>224.09074999999996</v>
      </c>
      <c r="BL526" s="427"/>
      <c r="BM526" s="427"/>
      <c r="BN526" s="427"/>
      <c r="BO526" s="427"/>
      <c r="BP526" s="427"/>
      <c r="BQ526" s="427"/>
      <c r="BR526" s="429">
        <v>9.0724999999999998</v>
      </c>
      <c r="BS526" s="427"/>
      <c r="BT526" s="427"/>
      <c r="BU526" s="427"/>
      <c r="BV526" s="427"/>
      <c r="BW526" s="427"/>
      <c r="BX526" s="471"/>
    </row>
    <row r="527" spans="10:76" x14ac:dyDescent="0.3">
      <c r="J527" s="362" t="s">
        <v>238</v>
      </c>
      <c r="K527" s="363" t="s">
        <v>135</v>
      </c>
      <c r="L527" s="439"/>
      <c r="M527" s="363" t="s">
        <v>239</v>
      </c>
      <c r="N527" s="363" t="s">
        <v>240</v>
      </c>
      <c r="O527" s="363" t="s">
        <v>136</v>
      </c>
      <c r="P527" s="363">
        <v>2018</v>
      </c>
      <c r="Q527" s="366" t="s">
        <v>254</v>
      </c>
      <c r="R527" s="475" t="s">
        <v>404</v>
      </c>
      <c r="S527" s="476"/>
      <c r="T527" s="476"/>
      <c r="U527" s="366" t="s">
        <v>256</v>
      </c>
      <c r="V527" s="439"/>
      <c r="W527" s="363" t="s">
        <v>243</v>
      </c>
      <c r="X527" s="468">
        <v>2019</v>
      </c>
      <c r="Y527" s="439"/>
      <c r="Z527" s="439" t="str">
        <f>VLOOKUP(R527,KEY_Processes!$C$131:$E$163,3,FALSE)</f>
        <v>HW_BS_COA01</v>
      </c>
      <c r="AA527" s="439" t="str">
        <f>VLOOKUP(R527,KEY_Processes!$C$131:$E$163,2,FALSE)</f>
        <v>HW_CoalBoiler_COA_SMALL</v>
      </c>
      <c r="AB527" s="439" t="str">
        <f>VLOOKUP(U527,KEY_FUELS!$C$4:$D$77,2,FALSE)</f>
        <v>COA</v>
      </c>
      <c r="AC527" s="439" t="s">
        <v>150</v>
      </c>
      <c r="AD527" s="439" t="s">
        <v>364</v>
      </c>
      <c r="AE527" s="439" t="s">
        <v>152</v>
      </c>
      <c r="AF527" s="439" t="str">
        <f>VLOOKUP(W527,KEY_Other!$B$37:$C$89,2,FALSE)</f>
        <v>EUR</v>
      </c>
      <c r="AG527" s="439"/>
      <c r="AH527" s="439" t="str">
        <f>AC527&amp;VLOOKUP(U527,KEY_FUELS!$C$4:$D$78,2,FALSE)</f>
        <v>RSDCOA</v>
      </c>
      <c r="AI527" s="439" t="str">
        <f>IFERROR(AC527&amp;VLOOKUP(V527,KEY_FUELS!$C$4:$D$78,2,FALSE),"")</f>
        <v/>
      </c>
      <c r="AJ527" s="439" t="str">
        <f t="shared" ref="AJ527:AJ529" si="122">LEFT(AC527,1)&amp;LEFT(Z527,1)&amp;AD527</f>
        <v>RHHS</v>
      </c>
      <c r="AK527" s="439" t="str">
        <f t="shared" ref="AK527:AK529" si="123">IF(FIND("_",Z527)=3,LEFT(AC527,1)&amp;MID(Z527,2,1)&amp;AD527,IF(FIND("_",Z527)=4,LEFT(AC527,1)&amp;MID(Z527,2,1)&amp;AD527,""))</f>
        <v>RWHS</v>
      </c>
      <c r="AL527" s="439" t="str">
        <f t="shared" ref="AL527:AL529" si="124">IF(FIND("_",Z527)=4,LEFT(AC527,1)&amp;MID(Z527,3,1)&amp;AD527,"")</f>
        <v/>
      </c>
      <c r="AM527" s="364">
        <v>31.536000000000001</v>
      </c>
      <c r="AN527" s="468">
        <f t="shared" ref="AN527:AN529" si="125">X527</f>
        <v>2019</v>
      </c>
      <c r="AO527" s="468" t="s">
        <v>405</v>
      </c>
      <c r="AP527" s="441"/>
      <c r="AQ527" s="445"/>
      <c r="AR527" s="441"/>
      <c r="AS527" s="441"/>
      <c r="AT527" s="441" t="s">
        <v>151</v>
      </c>
      <c r="AU527" s="477">
        <v>0.62</v>
      </c>
      <c r="AV527" s="445"/>
      <c r="AW527" s="445"/>
      <c r="AX527" s="441"/>
      <c r="AY527" s="441"/>
      <c r="AZ527" s="445">
        <v>0.8</v>
      </c>
      <c r="BA527" s="441"/>
      <c r="BB527" s="441"/>
      <c r="BC527" s="439"/>
      <c r="BD527" s="441"/>
      <c r="BE527" s="441"/>
      <c r="BF527" s="439"/>
      <c r="BG527" s="439"/>
      <c r="BH527" s="439"/>
      <c r="BI527" s="439">
        <v>20</v>
      </c>
      <c r="BJ527" s="439"/>
      <c r="BK527" s="478">
        <v>224.09074999999996</v>
      </c>
      <c r="BL527" s="439"/>
      <c r="BM527" s="439"/>
      <c r="BN527" s="439"/>
      <c r="BO527" s="439"/>
      <c r="BP527" s="439"/>
      <c r="BQ527" s="439"/>
      <c r="BR527" s="441">
        <v>9.0724999999999998</v>
      </c>
      <c r="BS527" s="439"/>
      <c r="BT527" s="439"/>
      <c r="BU527" s="439"/>
      <c r="BV527" s="439"/>
      <c r="BW527" s="439"/>
      <c r="BX527" s="469"/>
    </row>
    <row r="528" spans="10:76" x14ac:dyDescent="0.3">
      <c r="J528" s="378" t="s">
        <v>238</v>
      </c>
      <c r="K528" s="379" t="s">
        <v>135</v>
      </c>
      <c r="L528" s="427"/>
      <c r="M528" s="379" t="s">
        <v>239</v>
      </c>
      <c r="N528" s="379" t="s">
        <v>240</v>
      </c>
      <c r="O528" s="379" t="s">
        <v>136</v>
      </c>
      <c r="P528" s="379">
        <v>2018</v>
      </c>
      <c r="Q528" s="382" t="s">
        <v>254</v>
      </c>
      <c r="R528" s="479" t="s">
        <v>404</v>
      </c>
      <c r="S528" s="480"/>
      <c r="T528" s="480"/>
      <c r="U528" s="382" t="s">
        <v>256</v>
      </c>
      <c r="V528" s="427"/>
      <c r="W528" s="379" t="s">
        <v>243</v>
      </c>
      <c r="X528" s="470">
        <v>2019</v>
      </c>
      <c r="Y528" s="427"/>
      <c r="Z528" s="427" t="str">
        <f>VLOOKUP(R528,KEY_Processes!$C$131:$E$163,3,FALSE)</f>
        <v>HW_BS_COA01</v>
      </c>
      <c r="AA528" s="427" t="str">
        <f>VLOOKUP(R528,KEY_Processes!$C$131:$E$163,2,FALSE)</f>
        <v>HW_CoalBoiler_COA_SMALL</v>
      </c>
      <c r="AB528" s="427" t="str">
        <f>VLOOKUP(U528,KEY_FUELS!$C$4:$D$77,2,FALSE)</f>
        <v>COA</v>
      </c>
      <c r="AC528" s="427" t="s">
        <v>150</v>
      </c>
      <c r="AD528" s="427" t="s">
        <v>364</v>
      </c>
      <c r="AE528" s="427" t="s">
        <v>152</v>
      </c>
      <c r="AF528" s="427" t="str">
        <f>VLOOKUP(W528,KEY_Other!$B$37:$C$89,2,FALSE)</f>
        <v>EUR</v>
      </c>
      <c r="AG528" s="427"/>
      <c r="AH528" s="427" t="str">
        <f>AC528&amp;VLOOKUP(U528,KEY_FUELS!$C$4:$D$78,2,FALSE)</f>
        <v>RSDCOA</v>
      </c>
      <c r="AI528" s="427" t="str">
        <f>IFERROR(AC528&amp;VLOOKUP(V528,KEY_FUELS!$C$4:$D$78,2,FALSE),"")</f>
        <v/>
      </c>
      <c r="AJ528" s="427" t="str">
        <f t="shared" si="122"/>
        <v>RHHS</v>
      </c>
      <c r="AK528" s="427" t="str">
        <f t="shared" si="123"/>
        <v>RWHS</v>
      </c>
      <c r="AL528" s="427" t="str">
        <f t="shared" si="124"/>
        <v/>
      </c>
      <c r="AM528" s="380">
        <v>31.536000000000001</v>
      </c>
      <c r="AN528" s="470">
        <f t="shared" si="125"/>
        <v>2019</v>
      </c>
      <c r="AO528" s="470" t="s">
        <v>405</v>
      </c>
      <c r="AP528" s="429"/>
      <c r="AQ528" s="467"/>
      <c r="AR528" s="429"/>
      <c r="AS528" s="429"/>
      <c r="AT528" s="429" t="s">
        <v>220</v>
      </c>
      <c r="AU528" s="481">
        <v>0.77</v>
      </c>
      <c r="AV528" s="467"/>
      <c r="AW528" s="467"/>
      <c r="AX528" s="429"/>
      <c r="AY528" s="429"/>
      <c r="AZ528" s="467">
        <v>0.8</v>
      </c>
      <c r="BA528" s="429"/>
      <c r="BB528" s="429"/>
      <c r="BC528" s="427"/>
      <c r="BD528" s="429"/>
      <c r="BE528" s="429"/>
      <c r="BF528" s="427"/>
      <c r="BG528" s="427"/>
      <c r="BH528" s="427"/>
      <c r="BI528" s="427">
        <v>20</v>
      </c>
      <c r="BJ528" s="427"/>
      <c r="BK528" s="482">
        <v>224.09074999999996</v>
      </c>
      <c r="BL528" s="427"/>
      <c r="BM528" s="427"/>
      <c r="BN528" s="427"/>
      <c r="BO528" s="427"/>
      <c r="BP528" s="427"/>
      <c r="BQ528" s="427"/>
      <c r="BR528" s="429">
        <v>9.0724999999999998</v>
      </c>
      <c r="BS528" s="427"/>
      <c r="BT528" s="427"/>
      <c r="BU528" s="427"/>
      <c r="BV528" s="427"/>
      <c r="BW528" s="427"/>
      <c r="BX528" s="471"/>
    </row>
    <row r="529" spans="10:76" x14ac:dyDescent="0.3">
      <c r="J529" s="485" t="s">
        <v>238</v>
      </c>
      <c r="K529" s="486" t="s">
        <v>135</v>
      </c>
      <c r="L529" s="487"/>
      <c r="M529" s="486" t="s">
        <v>239</v>
      </c>
      <c r="N529" s="486" t="s">
        <v>240</v>
      </c>
      <c r="O529" s="486" t="s">
        <v>136</v>
      </c>
      <c r="P529" s="486">
        <v>2018</v>
      </c>
      <c r="Q529" s="488" t="s">
        <v>254</v>
      </c>
      <c r="R529" s="489" t="s">
        <v>404</v>
      </c>
      <c r="S529" s="490"/>
      <c r="T529" s="490"/>
      <c r="U529" s="488" t="s">
        <v>256</v>
      </c>
      <c r="V529" s="487"/>
      <c r="W529" s="486" t="s">
        <v>243</v>
      </c>
      <c r="X529" s="491">
        <v>2019</v>
      </c>
      <c r="Y529" s="487"/>
      <c r="Z529" s="487" t="str">
        <f>VLOOKUP(R529,KEY_Processes!$C$131:$E$163,3,FALSE)</f>
        <v>HW_BS_COA01</v>
      </c>
      <c r="AA529" s="487" t="str">
        <f>VLOOKUP(R529,KEY_Processes!$C$131:$E$163,2,FALSE)</f>
        <v>HW_CoalBoiler_COA_SMALL</v>
      </c>
      <c r="AB529" s="487" t="str">
        <f>VLOOKUP(U529,KEY_FUELS!$C$4:$D$77,2,FALSE)</f>
        <v>COA</v>
      </c>
      <c r="AC529" s="487" t="s">
        <v>150</v>
      </c>
      <c r="AD529" s="487" t="s">
        <v>364</v>
      </c>
      <c r="AE529" s="487" t="s">
        <v>152</v>
      </c>
      <c r="AF529" s="487" t="str">
        <f>VLOOKUP(W529,KEY_Other!$B$37:$C$89,2,FALSE)</f>
        <v>EUR</v>
      </c>
      <c r="AG529" s="487"/>
      <c r="AH529" s="487" t="str">
        <f>AC529&amp;VLOOKUP(U529,KEY_FUELS!$C$4:$D$78,2,FALSE)</f>
        <v>RSDCOA</v>
      </c>
      <c r="AI529" s="487" t="str">
        <f>IFERROR(AC529&amp;VLOOKUP(V529,KEY_FUELS!$C$4:$D$78,2,FALSE),"")</f>
        <v/>
      </c>
      <c r="AJ529" s="487" t="str">
        <f t="shared" si="122"/>
        <v>RHHS</v>
      </c>
      <c r="AK529" s="487" t="str">
        <f t="shared" si="123"/>
        <v>RWHS</v>
      </c>
      <c r="AL529" s="487" t="str">
        <f t="shared" si="124"/>
        <v/>
      </c>
      <c r="AM529" s="492">
        <v>31.536000000000001</v>
      </c>
      <c r="AN529" s="491">
        <f t="shared" si="125"/>
        <v>2019</v>
      </c>
      <c r="AO529" s="491" t="s">
        <v>405</v>
      </c>
      <c r="AP529" s="493"/>
      <c r="AQ529" s="494"/>
      <c r="AR529" s="493"/>
      <c r="AS529" s="493"/>
      <c r="AT529" s="493" t="s">
        <v>373</v>
      </c>
      <c r="AU529" s="495">
        <v>0.81</v>
      </c>
      <c r="AV529" s="494"/>
      <c r="AW529" s="494"/>
      <c r="AX529" s="493"/>
      <c r="AY529" s="493"/>
      <c r="AZ529" s="494">
        <v>0.8</v>
      </c>
      <c r="BA529" s="493"/>
      <c r="BB529" s="493"/>
      <c r="BC529" s="487"/>
      <c r="BD529" s="493"/>
      <c r="BE529" s="493"/>
      <c r="BF529" s="487"/>
      <c r="BG529" s="487"/>
      <c r="BH529" s="487"/>
      <c r="BI529" s="487">
        <v>20</v>
      </c>
      <c r="BJ529" s="487"/>
      <c r="BK529" s="496">
        <v>224.09074999999996</v>
      </c>
      <c r="BL529" s="487"/>
      <c r="BM529" s="487"/>
      <c r="BN529" s="487"/>
      <c r="BO529" s="487"/>
      <c r="BP529" s="487"/>
      <c r="BQ529" s="487"/>
      <c r="BR529" s="493">
        <v>9.0724999999999998</v>
      </c>
      <c r="BS529" s="487"/>
      <c r="BT529" s="487"/>
      <c r="BU529" s="487"/>
      <c r="BV529" s="487"/>
      <c r="BW529" s="487"/>
      <c r="BX529" s="497"/>
    </row>
  </sheetData>
  <dataConsolidate/>
  <mergeCells count="6">
    <mergeCell ref="B6:G6"/>
    <mergeCell ref="AQ3:AS3"/>
    <mergeCell ref="AO4:AP4"/>
    <mergeCell ref="AQ4:AS4"/>
    <mergeCell ref="AU4:AW4"/>
    <mergeCell ref="AU3:AW3"/>
  </mergeCells>
  <dataValidations disablePrompts="1" count="1">
    <dataValidation type="list" allowBlank="1" showInputMessage="1" showErrorMessage="1" sqref="R106:R109" xr:uid="{00000000-0002-0000-0100-000000000000}">
      <formula1>"HF,HR"</formula1>
    </dataValidation>
  </dataValidation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B2:G25"/>
  <sheetViews>
    <sheetView zoomScale="80" zoomScaleNormal="80" workbookViewId="0">
      <selection activeCell="E13" sqref="E13"/>
    </sheetView>
  </sheetViews>
  <sheetFormatPr defaultColWidth="8.88671875" defaultRowHeight="13.2" x14ac:dyDescent="0.25"/>
  <cols>
    <col min="1" max="1" width="8.88671875" style="8"/>
    <col min="2" max="2" width="29.33203125" style="8" bestFit="1" customWidth="1"/>
    <col min="3" max="3" width="37.109375" style="8" customWidth="1"/>
    <col min="4" max="4" width="88.88671875" style="8" bestFit="1" customWidth="1"/>
    <col min="5" max="5" width="93.6640625" style="8" bestFit="1" customWidth="1"/>
    <col min="6" max="6" width="64.109375" style="8" bestFit="1" customWidth="1"/>
    <col min="7" max="16384" width="8.88671875" style="8"/>
  </cols>
  <sheetData>
    <row r="2" spans="2:7" ht="13.8" thickBot="1" x14ac:dyDescent="0.3"/>
    <row r="3" spans="2:7" ht="15" thickBot="1" x14ac:dyDescent="0.35">
      <c r="B3" s="43" t="s">
        <v>28</v>
      </c>
      <c r="C3" s="43" t="s">
        <v>406</v>
      </c>
      <c r="D3" s="43" t="s">
        <v>407</v>
      </c>
      <c r="E3" s="43" t="s">
        <v>408</v>
      </c>
      <c r="F3" s="43" t="s">
        <v>409</v>
      </c>
    </row>
    <row r="4" spans="2:7" ht="15.6" thickTop="1" thickBot="1" x14ac:dyDescent="0.35">
      <c r="B4" s="44" t="s">
        <v>124</v>
      </c>
      <c r="C4" s="44" t="s">
        <v>127</v>
      </c>
      <c r="D4" s="44" t="s">
        <v>127</v>
      </c>
      <c r="E4" s="44" t="s">
        <v>127</v>
      </c>
      <c r="F4" s="45"/>
    </row>
    <row r="5" spans="2:7" x14ac:dyDescent="0.25">
      <c r="B5" s="10" t="s">
        <v>410</v>
      </c>
      <c r="C5" s="10" t="s">
        <v>411</v>
      </c>
      <c r="D5" s="10" t="s">
        <v>412</v>
      </c>
      <c r="E5" s="46" t="s">
        <v>413</v>
      </c>
      <c r="F5" s="10" t="s">
        <v>414</v>
      </c>
    </row>
    <row r="6" spans="2:7" x14ac:dyDescent="0.25">
      <c r="B6" s="10" t="s">
        <v>415</v>
      </c>
      <c r="C6" s="10" t="s">
        <v>416</v>
      </c>
      <c r="D6" s="10" t="s">
        <v>417</v>
      </c>
      <c r="E6" s="10" t="s">
        <v>418</v>
      </c>
      <c r="F6" s="10" t="s">
        <v>419</v>
      </c>
    </row>
    <row r="7" spans="2:7" x14ac:dyDescent="0.25">
      <c r="B7" s="10" t="s">
        <v>420</v>
      </c>
      <c r="C7" s="10" t="s">
        <v>421</v>
      </c>
      <c r="D7" s="10" t="s">
        <v>422</v>
      </c>
      <c r="E7" s="46" t="s">
        <v>423</v>
      </c>
      <c r="F7" s="10" t="s">
        <v>424</v>
      </c>
      <c r="G7" s="10"/>
    </row>
    <row r="8" spans="2:7" x14ac:dyDescent="0.25">
      <c r="B8" s="10" t="s">
        <v>425</v>
      </c>
      <c r="C8" s="10" t="s">
        <v>421</v>
      </c>
      <c r="D8" s="10" t="s">
        <v>426</v>
      </c>
      <c r="E8" s="35" t="s">
        <v>427</v>
      </c>
    </row>
    <row r="9" spans="2:7" x14ac:dyDescent="0.25">
      <c r="B9" s="10" t="s">
        <v>428</v>
      </c>
      <c r="C9" s="10" t="s">
        <v>429</v>
      </c>
      <c r="D9" s="10" t="s">
        <v>430</v>
      </c>
      <c r="E9" s="8" t="s">
        <v>431</v>
      </c>
      <c r="F9" s="10" t="s">
        <v>432</v>
      </c>
    </row>
    <row r="10" spans="2:7" x14ac:dyDescent="0.25">
      <c r="B10" s="10" t="s">
        <v>134</v>
      </c>
      <c r="C10" s="10" t="s">
        <v>433</v>
      </c>
      <c r="D10" s="10" t="s">
        <v>434</v>
      </c>
      <c r="E10" s="10" t="s">
        <v>435</v>
      </c>
      <c r="F10" s="8" t="s">
        <v>436</v>
      </c>
    </row>
    <row r="11" spans="2:7" x14ac:dyDescent="0.25">
      <c r="B11" s="1" t="s">
        <v>238</v>
      </c>
      <c r="C11" s="88"/>
      <c r="D11" s="1" t="s">
        <v>1094</v>
      </c>
      <c r="E11" s="10" t="s">
        <v>1095</v>
      </c>
    </row>
    <row r="12" spans="2:7" x14ac:dyDescent="0.25">
      <c r="C12" s="88"/>
    </row>
    <row r="17" spans="2:6" x14ac:dyDescent="0.25">
      <c r="B17" s="10" t="s">
        <v>437</v>
      </c>
    </row>
    <row r="18" spans="2:6" ht="13.8" thickBot="1" x14ac:dyDescent="0.3"/>
    <row r="19" spans="2:6" ht="15" thickBot="1" x14ac:dyDescent="0.35">
      <c r="B19" s="43" t="s">
        <v>438</v>
      </c>
      <c r="C19" s="43" t="s">
        <v>439</v>
      </c>
      <c r="D19" s="43" t="s">
        <v>440</v>
      </c>
      <c r="E19" s="43" t="s">
        <v>441</v>
      </c>
      <c r="F19" s="47" t="s">
        <v>442</v>
      </c>
    </row>
    <row r="20" spans="2:6" ht="13.8" thickTop="1" x14ac:dyDescent="0.25">
      <c r="B20" s="8" t="s">
        <v>443</v>
      </c>
      <c r="C20" s="10" t="s">
        <v>444</v>
      </c>
      <c r="D20" s="10" t="s">
        <v>445</v>
      </c>
      <c r="F20" s="35" t="s">
        <v>446</v>
      </c>
    </row>
    <row r="21" spans="2:6" x14ac:dyDescent="0.25">
      <c r="B21" s="10" t="s">
        <v>447</v>
      </c>
      <c r="C21" s="8" t="s">
        <v>448</v>
      </c>
      <c r="D21" s="8" t="s">
        <v>445</v>
      </c>
      <c r="E21" s="48" t="s">
        <v>449</v>
      </c>
      <c r="F21" s="48" t="s">
        <v>446</v>
      </c>
    </row>
    <row r="22" spans="2:6" x14ac:dyDescent="0.25">
      <c r="B22" s="10" t="s">
        <v>450</v>
      </c>
      <c r="C22" s="8" t="s">
        <v>451</v>
      </c>
      <c r="D22" s="8" t="s">
        <v>445</v>
      </c>
      <c r="E22" s="48" t="s">
        <v>446</v>
      </c>
      <c r="F22" s="48" t="s">
        <v>446</v>
      </c>
    </row>
    <row r="23" spans="2:6" x14ac:dyDescent="0.25">
      <c r="B23" s="10" t="s">
        <v>452</v>
      </c>
      <c r="C23" s="8" t="s">
        <v>453</v>
      </c>
      <c r="D23" s="8" t="s">
        <v>445</v>
      </c>
      <c r="E23" s="35" t="s">
        <v>454</v>
      </c>
      <c r="F23" s="48" t="s">
        <v>446</v>
      </c>
    </row>
    <row r="24" spans="2:6" x14ac:dyDescent="0.25">
      <c r="B24" s="10" t="s">
        <v>135</v>
      </c>
      <c r="C24" s="8" t="s">
        <v>453</v>
      </c>
      <c r="D24" s="8" t="s">
        <v>445</v>
      </c>
      <c r="E24" s="48" t="s">
        <v>455</v>
      </c>
      <c r="F24" s="48" t="s">
        <v>446</v>
      </c>
    </row>
    <row r="25" spans="2:6" x14ac:dyDescent="0.25">
      <c r="F25" s="48"/>
    </row>
  </sheetData>
  <hyperlinks>
    <hyperlink ref="F20" r:id="rId1" xr:uid="{00000000-0004-0000-0200-000000000000}"/>
    <hyperlink ref="F21" r:id="rId2" xr:uid="{00000000-0004-0000-0200-000001000000}"/>
    <hyperlink ref="E21" r:id="rId3" xr:uid="{00000000-0004-0000-0200-000002000000}"/>
    <hyperlink ref="E7" r:id="rId4" xr:uid="{00000000-0004-0000-0200-000003000000}"/>
    <hyperlink ref="E8" r:id="rId5" xr:uid="{00000000-0004-0000-0200-000004000000}"/>
    <hyperlink ref="E22" r:id="rId6" xr:uid="{00000000-0004-0000-0200-000005000000}"/>
    <hyperlink ref="E23" r:id="rId7" xr:uid="{00000000-0004-0000-0200-000006000000}"/>
    <hyperlink ref="E5" r:id="rId8" xr:uid="{00000000-0004-0000-0200-000007000000}"/>
    <hyperlink ref="F24" r:id="rId9" xr:uid="{00000000-0004-0000-0200-000008000000}"/>
    <hyperlink ref="F23" r:id="rId10" xr:uid="{00000000-0004-0000-0200-000009000000}"/>
    <hyperlink ref="F22" r:id="rId11" xr:uid="{00000000-0004-0000-0200-00000A000000}"/>
    <hyperlink ref="E24" r:id="rId12" xr:uid="{00000000-0004-0000-0200-00000B000000}"/>
  </hyperlinks>
  <pageMargins left="0.7" right="0.7" top="0.75" bottom="0.75" header="0.3" footer="0.3"/>
  <pageSetup paperSize="9" orientation="portrait" horizontalDpi="1200" verticalDpi="1200"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B2:F93"/>
  <sheetViews>
    <sheetView zoomScale="80" zoomScaleNormal="80" workbookViewId="0">
      <selection activeCell="E33" sqref="E33"/>
    </sheetView>
  </sheetViews>
  <sheetFormatPr defaultColWidth="8.88671875" defaultRowHeight="13.2" x14ac:dyDescent="0.25"/>
  <cols>
    <col min="1" max="1" width="8.88671875" style="8"/>
    <col min="2" max="2" width="12.33203125" style="8" bestFit="1" customWidth="1"/>
    <col min="3" max="3" width="39.44140625" style="8" customWidth="1"/>
    <col min="4" max="4" width="56.44140625" style="9" customWidth="1"/>
    <col min="5" max="5" width="94.33203125" style="8" customWidth="1"/>
    <col min="6" max="6" width="51" style="8" customWidth="1"/>
    <col min="7" max="16384" width="8.88671875" style="8"/>
  </cols>
  <sheetData>
    <row r="2" spans="2:6" x14ac:dyDescent="0.25">
      <c r="C2" s="8" t="s">
        <v>456</v>
      </c>
    </row>
    <row r="3" spans="2:6" x14ac:dyDescent="0.25">
      <c r="C3" s="10" t="s">
        <v>457</v>
      </c>
    </row>
    <row r="4" spans="2:6" ht="13.8" thickBot="1" x14ac:dyDescent="0.3"/>
    <row r="5" spans="2:6" ht="15" thickBot="1" x14ac:dyDescent="0.35">
      <c r="B5" s="49" t="s">
        <v>28</v>
      </c>
      <c r="C5" s="49" t="s">
        <v>458</v>
      </c>
      <c r="D5" s="49" t="s">
        <v>459</v>
      </c>
      <c r="E5" s="49" t="s">
        <v>460</v>
      </c>
      <c r="F5" s="49" t="s">
        <v>32</v>
      </c>
    </row>
    <row r="6" spans="2:6" ht="13.8" thickTop="1" x14ac:dyDescent="0.25">
      <c r="B6" s="10" t="s">
        <v>134</v>
      </c>
      <c r="C6" s="8" t="s">
        <v>41</v>
      </c>
      <c r="D6" s="9" t="s">
        <v>149</v>
      </c>
      <c r="E6" s="11" t="s">
        <v>461</v>
      </c>
      <c r="F6" s="10" t="s">
        <v>462</v>
      </c>
    </row>
    <row r="7" spans="2:6" x14ac:dyDescent="0.25">
      <c r="B7" s="10"/>
      <c r="E7" s="11"/>
    </row>
    <row r="8" spans="2:6" x14ac:dyDescent="0.25">
      <c r="B8" s="10"/>
      <c r="E8" s="11"/>
    </row>
    <row r="9" spans="2:6" x14ac:dyDescent="0.25">
      <c r="B9" s="10"/>
      <c r="E9" s="11"/>
    </row>
    <row r="10" spans="2:6" x14ac:dyDescent="0.25">
      <c r="B10" s="10"/>
      <c r="E10" s="11"/>
    </row>
    <row r="11" spans="2:6" x14ac:dyDescent="0.25">
      <c r="B11" s="10"/>
      <c r="E11" s="11"/>
    </row>
    <row r="12" spans="2:6" x14ac:dyDescent="0.25">
      <c r="B12" s="10"/>
      <c r="E12" s="11"/>
    </row>
    <row r="13" spans="2:6" x14ac:dyDescent="0.25">
      <c r="B13" s="10"/>
      <c r="E13" s="11"/>
    </row>
    <row r="14" spans="2:6" x14ac:dyDescent="0.25">
      <c r="C14" s="10"/>
      <c r="E14" s="11"/>
    </row>
    <row r="15" spans="2:6" x14ac:dyDescent="0.25">
      <c r="C15" s="10"/>
      <c r="E15" s="11"/>
    </row>
    <row r="16" spans="2:6" x14ac:dyDescent="0.25">
      <c r="C16" s="11"/>
      <c r="D16" s="12"/>
      <c r="E16" s="11"/>
    </row>
    <row r="17" spans="2:5" x14ac:dyDescent="0.25">
      <c r="C17" s="10"/>
      <c r="E17" s="11"/>
    </row>
    <row r="18" spans="2:5" x14ac:dyDescent="0.25">
      <c r="C18" s="10"/>
      <c r="E18" s="11"/>
    </row>
    <row r="19" spans="2:5" x14ac:dyDescent="0.25">
      <c r="C19" s="10"/>
      <c r="E19" s="11"/>
    </row>
    <row r="20" spans="2:5" x14ac:dyDescent="0.25">
      <c r="B20" s="10"/>
      <c r="C20" s="10"/>
      <c r="E20" s="11"/>
    </row>
    <row r="21" spans="2:5" x14ac:dyDescent="0.25">
      <c r="C21" s="10"/>
      <c r="E21" s="11"/>
    </row>
    <row r="22" spans="2:5" x14ac:dyDescent="0.25">
      <c r="C22" s="10"/>
    </row>
    <row r="23" spans="2:5" x14ac:dyDescent="0.25">
      <c r="C23" s="10"/>
      <c r="D23" s="13"/>
    </row>
    <row r="24" spans="2:5" x14ac:dyDescent="0.25">
      <c r="C24" s="10"/>
      <c r="D24" s="13"/>
      <c r="E24" s="11"/>
    </row>
    <row r="25" spans="2:5" x14ac:dyDescent="0.25">
      <c r="C25" s="10"/>
      <c r="D25" s="13"/>
      <c r="E25" s="11"/>
    </row>
    <row r="26" spans="2:5" x14ac:dyDescent="0.25">
      <c r="C26" s="10"/>
      <c r="D26" s="13"/>
      <c r="E26" s="11"/>
    </row>
    <row r="27" spans="2:5" x14ac:dyDescent="0.25">
      <c r="C27" s="10"/>
      <c r="D27" s="13"/>
      <c r="E27" s="11"/>
    </row>
    <row r="28" spans="2:5" x14ac:dyDescent="0.25">
      <c r="C28" s="10"/>
      <c r="D28" s="13"/>
      <c r="E28" s="11"/>
    </row>
    <row r="29" spans="2:5" x14ac:dyDescent="0.25">
      <c r="C29" s="10"/>
      <c r="D29" s="13"/>
      <c r="E29" s="11"/>
    </row>
    <row r="30" spans="2:5" x14ac:dyDescent="0.25">
      <c r="C30" s="10"/>
      <c r="D30" s="13"/>
      <c r="E30" s="11"/>
    </row>
    <row r="31" spans="2:5" x14ac:dyDescent="0.25">
      <c r="C31" s="10"/>
      <c r="D31" s="13"/>
      <c r="E31" s="11"/>
    </row>
    <row r="32" spans="2:5" x14ac:dyDescent="0.25">
      <c r="C32" s="10"/>
      <c r="D32" s="13"/>
      <c r="E32" s="11"/>
    </row>
    <row r="33" spans="3:5" x14ac:dyDescent="0.25">
      <c r="C33" s="10"/>
      <c r="D33" s="13"/>
      <c r="E33" s="11"/>
    </row>
    <row r="34" spans="3:5" x14ac:dyDescent="0.25">
      <c r="C34" s="10"/>
      <c r="D34" s="13"/>
      <c r="E34" s="11"/>
    </row>
    <row r="35" spans="3:5" x14ac:dyDescent="0.25">
      <c r="C35" s="10"/>
      <c r="D35" s="13"/>
      <c r="E35" s="11"/>
    </row>
    <row r="36" spans="3:5" x14ac:dyDescent="0.25">
      <c r="C36" s="10"/>
      <c r="D36" s="13"/>
      <c r="E36" s="11"/>
    </row>
    <row r="37" spans="3:5" x14ac:dyDescent="0.25">
      <c r="C37" s="10"/>
      <c r="D37" s="13"/>
      <c r="E37" s="11"/>
    </row>
    <row r="38" spans="3:5" x14ac:dyDescent="0.25">
      <c r="C38" s="10"/>
      <c r="D38" s="13"/>
      <c r="E38" s="11"/>
    </row>
    <row r="39" spans="3:5" x14ac:dyDescent="0.25">
      <c r="C39" s="10"/>
      <c r="D39" s="13"/>
      <c r="E39" s="11"/>
    </row>
    <row r="40" spans="3:5" x14ac:dyDescent="0.25">
      <c r="C40" s="10"/>
      <c r="D40" s="13"/>
      <c r="E40" s="11"/>
    </row>
    <row r="41" spans="3:5" x14ac:dyDescent="0.25">
      <c r="C41" s="10"/>
      <c r="D41" s="13"/>
      <c r="E41" s="11"/>
    </row>
    <row r="42" spans="3:5" x14ac:dyDescent="0.25">
      <c r="C42" s="10"/>
      <c r="D42" s="13"/>
      <c r="E42" s="11"/>
    </row>
    <row r="43" spans="3:5" x14ac:dyDescent="0.25">
      <c r="C43" s="10"/>
      <c r="D43" s="13"/>
      <c r="E43" s="11"/>
    </row>
    <row r="44" spans="3:5" x14ac:dyDescent="0.25">
      <c r="C44" s="10"/>
      <c r="D44" s="13"/>
      <c r="E44" s="11"/>
    </row>
    <row r="45" spans="3:5" x14ac:dyDescent="0.25">
      <c r="C45" s="10"/>
      <c r="D45" s="13"/>
      <c r="E45" s="11"/>
    </row>
    <row r="46" spans="3:5" x14ac:dyDescent="0.25">
      <c r="C46" s="10"/>
      <c r="D46" s="13"/>
      <c r="E46" s="11"/>
    </row>
    <row r="47" spans="3:5" x14ac:dyDescent="0.25">
      <c r="C47" s="10"/>
      <c r="D47" s="13"/>
      <c r="E47" s="11"/>
    </row>
    <row r="48" spans="3:5" x14ac:dyDescent="0.25">
      <c r="C48" s="10"/>
      <c r="D48" s="13"/>
      <c r="E48" s="11"/>
    </row>
    <row r="49" spans="3:5" x14ac:dyDescent="0.25">
      <c r="C49" s="10"/>
      <c r="D49" s="13"/>
      <c r="E49" s="11"/>
    </row>
    <row r="50" spans="3:5" x14ac:dyDescent="0.25">
      <c r="C50" s="10"/>
      <c r="D50" s="13"/>
      <c r="E50" s="11"/>
    </row>
    <row r="51" spans="3:5" x14ac:dyDescent="0.25">
      <c r="C51" s="10"/>
      <c r="D51" s="13"/>
      <c r="E51" s="11"/>
    </row>
    <row r="52" spans="3:5" x14ac:dyDescent="0.25">
      <c r="C52" s="10"/>
      <c r="D52" s="13"/>
      <c r="E52" s="11"/>
    </row>
    <row r="53" spans="3:5" x14ac:dyDescent="0.25">
      <c r="C53" s="10"/>
      <c r="D53" s="13"/>
      <c r="E53" s="11"/>
    </row>
    <row r="54" spans="3:5" x14ac:dyDescent="0.25">
      <c r="C54" s="10"/>
      <c r="D54" s="13"/>
      <c r="E54" s="11"/>
    </row>
    <row r="55" spans="3:5" x14ac:dyDescent="0.25">
      <c r="C55" s="10"/>
      <c r="D55" s="13"/>
      <c r="E55" s="11"/>
    </row>
    <row r="56" spans="3:5" x14ac:dyDescent="0.25">
      <c r="C56" s="10"/>
      <c r="D56" s="13"/>
      <c r="E56" s="11"/>
    </row>
    <row r="57" spans="3:5" x14ac:dyDescent="0.25">
      <c r="C57" s="10"/>
      <c r="D57" s="13"/>
      <c r="E57" s="11"/>
    </row>
    <row r="58" spans="3:5" x14ac:dyDescent="0.25">
      <c r="C58" s="10"/>
      <c r="D58" s="13"/>
      <c r="E58" s="11"/>
    </row>
    <row r="59" spans="3:5" x14ac:dyDescent="0.25">
      <c r="C59" s="10"/>
      <c r="D59" s="13"/>
      <c r="E59" s="11"/>
    </row>
    <row r="60" spans="3:5" x14ac:dyDescent="0.25">
      <c r="C60" s="10"/>
      <c r="D60" s="13"/>
      <c r="E60" s="11"/>
    </row>
    <row r="61" spans="3:5" x14ac:dyDescent="0.25">
      <c r="C61" s="10"/>
      <c r="D61" s="13"/>
      <c r="E61" s="11"/>
    </row>
    <row r="62" spans="3:5" x14ac:dyDescent="0.25">
      <c r="C62" s="10"/>
      <c r="D62" s="13"/>
      <c r="E62" s="11"/>
    </row>
    <row r="63" spans="3:5" x14ac:dyDescent="0.25">
      <c r="C63" s="10"/>
      <c r="D63" s="13"/>
      <c r="E63" s="11"/>
    </row>
    <row r="64" spans="3:5" x14ac:dyDescent="0.25">
      <c r="C64" s="10"/>
      <c r="D64" s="13"/>
      <c r="E64" s="11"/>
    </row>
    <row r="65" spans="3:5" x14ac:dyDescent="0.25">
      <c r="C65" s="10"/>
      <c r="D65" s="13"/>
      <c r="E65" s="11"/>
    </row>
    <row r="66" spans="3:5" x14ac:dyDescent="0.25">
      <c r="C66" s="10"/>
      <c r="D66" s="13"/>
      <c r="E66" s="11"/>
    </row>
    <row r="67" spans="3:5" x14ac:dyDescent="0.25">
      <c r="C67" s="10"/>
      <c r="D67" s="13"/>
      <c r="E67" s="11"/>
    </row>
    <row r="68" spans="3:5" x14ac:dyDescent="0.25">
      <c r="C68" s="10"/>
      <c r="D68" s="13"/>
      <c r="E68" s="11"/>
    </row>
    <row r="69" spans="3:5" x14ac:dyDescent="0.25">
      <c r="C69" s="10"/>
      <c r="D69" s="13"/>
      <c r="E69" s="11"/>
    </row>
    <row r="70" spans="3:5" x14ac:dyDescent="0.25">
      <c r="C70" s="10"/>
      <c r="D70" s="13"/>
      <c r="E70" s="11"/>
    </row>
    <row r="71" spans="3:5" x14ac:dyDescent="0.25">
      <c r="C71" s="10"/>
      <c r="D71" s="13"/>
      <c r="E71" s="11"/>
    </row>
    <row r="72" spans="3:5" x14ac:dyDescent="0.25">
      <c r="C72" s="10"/>
      <c r="D72" s="13"/>
      <c r="E72" s="11"/>
    </row>
    <row r="73" spans="3:5" x14ac:dyDescent="0.25">
      <c r="C73" s="10"/>
      <c r="D73" s="13"/>
      <c r="E73" s="11"/>
    </row>
    <row r="74" spans="3:5" x14ac:dyDescent="0.25">
      <c r="C74" s="10"/>
      <c r="D74" s="13"/>
      <c r="E74" s="11"/>
    </row>
    <row r="75" spans="3:5" x14ac:dyDescent="0.25">
      <c r="C75" s="10"/>
      <c r="D75" s="13"/>
      <c r="E75" s="11"/>
    </row>
    <row r="76" spans="3:5" x14ac:dyDescent="0.25">
      <c r="C76" s="10"/>
      <c r="D76" s="13"/>
      <c r="E76" s="11"/>
    </row>
    <row r="77" spans="3:5" x14ac:dyDescent="0.25">
      <c r="C77" s="10"/>
      <c r="D77" s="13"/>
      <c r="E77" s="11"/>
    </row>
    <row r="78" spans="3:5" x14ac:dyDescent="0.25">
      <c r="C78" s="10"/>
      <c r="D78" s="13"/>
      <c r="E78" s="11"/>
    </row>
    <row r="79" spans="3:5" x14ac:dyDescent="0.25">
      <c r="C79" s="10"/>
      <c r="D79" s="13"/>
      <c r="E79" s="11"/>
    </row>
    <row r="80" spans="3:5" x14ac:dyDescent="0.25">
      <c r="C80" s="10"/>
      <c r="D80" s="13"/>
      <c r="E80" s="11"/>
    </row>
    <row r="81" spans="3:5" x14ac:dyDescent="0.25">
      <c r="C81" s="10"/>
      <c r="D81" s="13"/>
      <c r="E81" s="11"/>
    </row>
    <row r="82" spans="3:5" x14ac:dyDescent="0.25">
      <c r="C82" s="10"/>
      <c r="D82" s="13"/>
      <c r="E82" s="11"/>
    </row>
    <row r="83" spans="3:5" x14ac:dyDescent="0.25">
      <c r="C83" s="10"/>
      <c r="D83" s="13"/>
      <c r="E83" s="11"/>
    </row>
    <row r="84" spans="3:5" x14ac:dyDescent="0.25">
      <c r="C84" s="10"/>
      <c r="D84" s="13"/>
      <c r="E84" s="11"/>
    </row>
    <row r="85" spans="3:5" x14ac:dyDescent="0.25">
      <c r="C85" s="10"/>
      <c r="D85" s="13"/>
      <c r="E85" s="11"/>
    </row>
    <row r="86" spans="3:5" x14ac:dyDescent="0.25">
      <c r="C86" s="10"/>
      <c r="D86" s="13"/>
      <c r="E86" s="11"/>
    </row>
    <row r="87" spans="3:5" x14ac:dyDescent="0.25">
      <c r="C87" s="10"/>
      <c r="D87" s="13"/>
      <c r="E87" s="11"/>
    </row>
    <row r="88" spans="3:5" x14ac:dyDescent="0.25">
      <c r="C88" s="10"/>
      <c r="D88" s="13"/>
      <c r="E88" s="11"/>
    </row>
    <row r="89" spans="3:5" x14ac:dyDescent="0.25">
      <c r="C89" s="10"/>
      <c r="D89" s="13"/>
      <c r="E89" s="11"/>
    </row>
    <row r="90" spans="3:5" x14ac:dyDescent="0.25">
      <c r="C90" s="10"/>
      <c r="D90" s="13"/>
      <c r="E90" s="11"/>
    </row>
    <row r="91" spans="3:5" x14ac:dyDescent="0.25">
      <c r="C91" s="10"/>
      <c r="D91" s="13"/>
      <c r="E91" s="11"/>
    </row>
    <row r="92" spans="3:5" x14ac:dyDescent="0.25">
      <c r="C92" s="10"/>
      <c r="D92" s="13"/>
      <c r="E92" s="11"/>
    </row>
    <row r="93" spans="3:5" x14ac:dyDescent="0.25">
      <c r="C93" s="10"/>
      <c r="D93" s="13"/>
      <c r="E93" s="1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B1:V440"/>
  <sheetViews>
    <sheetView topLeftCell="B1" zoomScale="80" zoomScaleNormal="80" workbookViewId="0">
      <selection activeCell="D142" sqref="D142"/>
    </sheetView>
  </sheetViews>
  <sheetFormatPr defaultColWidth="9.109375" defaultRowHeight="13.2" x14ac:dyDescent="0.3"/>
  <cols>
    <col min="1" max="1" width="9.109375" style="59"/>
    <col min="2" max="2" width="108.44140625" style="59" bestFit="1" customWidth="1"/>
    <col min="3" max="3" width="46.109375" style="59" bestFit="1" customWidth="1"/>
    <col min="4" max="4" width="60.6640625" style="59" bestFit="1" customWidth="1"/>
    <col min="5" max="5" width="38.44140625" style="59" customWidth="1"/>
    <col min="6" max="6" width="11" style="59" customWidth="1"/>
    <col min="7" max="7" width="9.6640625" style="59" customWidth="1"/>
    <col min="8" max="8" width="16" style="59" bestFit="1" customWidth="1"/>
    <col min="9" max="9" width="38.6640625" style="59" customWidth="1"/>
    <col min="10" max="10" width="32.33203125" style="59" customWidth="1"/>
    <col min="11" max="11" width="43.88671875" style="59" bestFit="1" customWidth="1"/>
    <col min="12" max="12" width="39.5546875" style="59" bestFit="1" customWidth="1"/>
    <col min="13" max="13" width="16.33203125" style="59" customWidth="1"/>
    <col min="14" max="14" width="26.6640625" style="59" customWidth="1"/>
    <col min="15" max="15" width="18.5546875" style="59" customWidth="1"/>
    <col min="16" max="18" width="9.109375" style="59"/>
    <col min="19" max="19" width="14.33203125" style="59" bestFit="1" customWidth="1"/>
    <col min="20" max="20" width="4.5546875" style="59" bestFit="1" customWidth="1"/>
    <col min="21" max="21" width="6.6640625" style="59" bestFit="1" customWidth="1"/>
    <col min="22" max="22" width="8.109375" style="59" bestFit="1" customWidth="1"/>
    <col min="23" max="23" width="14.5546875" style="59" bestFit="1" customWidth="1"/>
    <col min="24" max="24" width="23" style="59" customWidth="1"/>
    <col min="25" max="25" width="18.88671875" style="59" bestFit="1" customWidth="1"/>
    <col min="26" max="26" width="17.6640625" style="59" customWidth="1"/>
    <col min="27" max="16384" width="9.109375" style="59"/>
  </cols>
  <sheetData>
    <row r="1" spans="2:22" x14ac:dyDescent="0.3">
      <c r="B1" s="59" t="s">
        <v>463</v>
      </c>
    </row>
    <row r="2" spans="2:22" x14ac:dyDescent="0.3">
      <c r="G2" s="206"/>
      <c r="H2" s="206"/>
    </row>
    <row r="3" spans="2:22" ht="14.4" x14ac:dyDescent="0.3">
      <c r="B3" s="60" t="s">
        <v>464</v>
      </c>
      <c r="C3" s="207" t="s">
        <v>465</v>
      </c>
      <c r="D3" s="207" t="s">
        <v>466</v>
      </c>
      <c r="E3" s="207" t="s">
        <v>467</v>
      </c>
    </row>
    <row r="4" spans="2:22" x14ac:dyDescent="0.25">
      <c r="B4" s="72" t="s">
        <v>147</v>
      </c>
      <c r="C4" s="61" t="s">
        <v>146</v>
      </c>
      <c r="D4" s="61" t="s">
        <v>468</v>
      </c>
      <c r="E4" s="61" t="s">
        <v>469</v>
      </c>
      <c r="G4" s="10"/>
      <c r="H4" s="10"/>
      <c r="T4" s="208"/>
      <c r="U4" s="209"/>
      <c r="V4" s="210"/>
    </row>
    <row r="5" spans="2:22" x14ac:dyDescent="0.25">
      <c r="B5" s="72" t="s">
        <v>153</v>
      </c>
      <c r="C5" s="61" t="s">
        <v>146</v>
      </c>
      <c r="D5" s="61" t="s">
        <v>470</v>
      </c>
      <c r="E5" s="61" t="s">
        <v>1230</v>
      </c>
      <c r="G5" s="10"/>
      <c r="H5" s="10"/>
      <c r="T5" s="208"/>
      <c r="U5" s="209"/>
      <c r="V5" s="210"/>
    </row>
    <row r="6" spans="2:22" x14ac:dyDescent="0.25">
      <c r="B6" s="72" t="s">
        <v>157</v>
      </c>
      <c r="C6" s="61" t="s">
        <v>146</v>
      </c>
      <c r="D6" s="61" t="s">
        <v>468</v>
      </c>
      <c r="E6" s="61" t="s">
        <v>471</v>
      </c>
      <c r="G6" s="10"/>
      <c r="H6" s="10"/>
      <c r="T6" s="208"/>
      <c r="U6" s="209"/>
      <c r="V6" s="210"/>
    </row>
    <row r="7" spans="2:22" x14ac:dyDescent="0.25">
      <c r="B7" s="72" t="s">
        <v>160</v>
      </c>
      <c r="C7" s="61" t="s">
        <v>146</v>
      </c>
      <c r="D7" s="61" t="s">
        <v>470</v>
      </c>
      <c r="E7" s="61" t="s">
        <v>1231</v>
      </c>
      <c r="G7" s="10"/>
      <c r="H7" s="10"/>
      <c r="T7" s="208"/>
      <c r="U7" s="209"/>
      <c r="V7" s="210"/>
    </row>
    <row r="8" spans="2:22" ht="13.95" customHeight="1" x14ac:dyDescent="0.25">
      <c r="B8" s="72" t="s">
        <v>163</v>
      </c>
      <c r="C8" s="72" t="s">
        <v>162</v>
      </c>
      <c r="D8" s="61" t="s">
        <v>472</v>
      </c>
      <c r="E8" s="61" t="s">
        <v>473</v>
      </c>
      <c r="G8" s="10"/>
      <c r="H8" s="10"/>
      <c r="T8" s="208"/>
      <c r="U8" s="208"/>
      <c r="V8" s="211"/>
    </row>
    <row r="9" spans="2:22" ht="13.95" customHeight="1" x14ac:dyDescent="0.25">
      <c r="B9" s="72" t="s">
        <v>165</v>
      </c>
      <c r="C9" s="72" t="s">
        <v>162</v>
      </c>
      <c r="D9" s="61" t="s">
        <v>472</v>
      </c>
      <c r="E9" s="61" t="s">
        <v>474</v>
      </c>
      <c r="G9" s="10"/>
      <c r="H9" s="10"/>
      <c r="V9" s="212"/>
    </row>
    <row r="10" spans="2:22" ht="13.95" customHeight="1" x14ac:dyDescent="0.3">
      <c r="B10" s="72" t="s">
        <v>166</v>
      </c>
      <c r="C10" s="72" t="s">
        <v>162</v>
      </c>
      <c r="D10" s="61" t="s">
        <v>472</v>
      </c>
      <c r="E10" s="61" t="s">
        <v>475</v>
      </c>
      <c r="V10" s="212"/>
    </row>
    <row r="11" spans="2:22" ht="13.95" customHeight="1" x14ac:dyDescent="0.3">
      <c r="B11" s="72" t="s">
        <v>167</v>
      </c>
      <c r="C11" s="72" t="s">
        <v>162</v>
      </c>
      <c r="D11" s="61" t="s">
        <v>472</v>
      </c>
      <c r="E11" s="61" t="s">
        <v>476</v>
      </c>
      <c r="V11" s="212"/>
    </row>
    <row r="12" spans="2:22" x14ac:dyDescent="0.3">
      <c r="B12" s="72" t="s">
        <v>169</v>
      </c>
      <c r="C12" s="72" t="s">
        <v>477</v>
      </c>
      <c r="D12" s="72" t="s">
        <v>170</v>
      </c>
      <c r="E12" s="72" t="s">
        <v>478</v>
      </c>
    </row>
    <row r="13" spans="2:22" x14ac:dyDescent="0.3">
      <c r="B13" s="72" t="s">
        <v>171</v>
      </c>
      <c r="C13" s="72" t="s">
        <v>477</v>
      </c>
      <c r="D13" s="72" t="s">
        <v>170</v>
      </c>
      <c r="E13" s="72" t="s">
        <v>479</v>
      </c>
    </row>
    <row r="14" spans="2:22" x14ac:dyDescent="0.3">
      <c r="B14" s="72" t="s">
        <v>172</v>
      </c>
      <c r="C14" s="72" t="s">
        <v>477</v>
      </c>
      <c r="D14" s="72" t="s">
        <v>170</v>
      </c>
      <c r="E14" s="72" t="s">
        <v>480</v>
      </c>
    </row>
    <row r="15" spans="2:22" x14ac:dyDescent="0.3">
      <c r="B15" s="72" t="s">
        <v>173</v>
      </c>
      <c r="C15" s="72" t="s">
        <v>477</v>
      </c>
      <c r="D15" s="72" t="s">
        <v>170</v>
      </c>
      <c r="E15" s="72" t="s">
        <v>481</v>
      </c>
    </row>
    <row r="16" spans="2:22" x14ac:dyDescent="0.3">
      <c r="B16" s="72" t="s">
        <v>174</v>
      </c>
      <c r="C16" s="72" t="s">
        <v>482</v>
      </c>
      <c r="D16" s="72" t="s">
        <v>170</v>
      </c>
      <c r="E16" s="72" t="s">
        <v>483</v>
      </c>
      <c r="G16" s="206"/>
      <c r="H16" s="206"/>
      <c r="I16" s="206"/>
      <c r="J16" s="206"/>
      <c r="K16" s="206"/>
      <c r="L16" s="206"/>
      <c r="M16" s="206"/>
      <c r="N16" s="206"/>
      <c r="O16" s="206"/>
      <c r="P16" s="206"/>
      <c r="Q16" s="206"/>
      <c r="R16" s="206"/>
      <c r="S16" s="206"/>
    </row>
    <row r="17" spans="2:19" x14ac:dyDescent="0.3">
      <c r="B17" s="72" t="s">
        <v>175</v>
      </c>
      <c r="C17" s="72" t="s">
        <v>482</v>
      </c>
      <c r="D17" s="72" t="s">
        <v>170</v>
      </c>
      <c r="E17" s="72" t="s">
        <v>484</v>
      </c>
      <c r="G17" s="206"/>
      <c r="H17" s="206"/>
      <c r="I17" s="206"/>
      <c r="J17" s="206"/>
      <c r="K17" s="206"/>
      <c r="L17" s="206"/>
      <c r="M17" s="206"/>
      <c r="N17" s="206"/>
      <c r="O17" s="206"/>
      <c r="P17" s="206"/>
      <c r="Q17" s="206"/>
      <c r="R17" s="206"/>
      <c r="S17" s="206"/>
    </row>
    <row r="18" spans="2:19" x14ac:dyDescent="0.3">
      <c r="B18" s="72" t="s">
        <v>176</v>
      </c>
      <c r="C18" s="72" t="s">
        <v>482</v>
      </c>
      <c r="D18" s="72" t="s">
        <v>170</v>
      </c>
      <c r="E18" s="72" t="s">
        <v>485</v>
      </c>
      <c r="G18" s="206"/>
      <c r="H18" s="206"/>
      <c r="I18" s="206"/>
      <c r="J18" s="206"/>
      <c r="K18" s="206"/>
      <c r="L18" s="206"/>
      <c r="M18" s="206"/>
      <c r="N18" s="206"/>
      <c r="O18" s="206"/>
      <c r="P18" s="206"/>
      <c r="Q18" s="206"/>
      <c r="R18" s="206"/>
      <c r="S18" s="206"/>
    </row>
    <row r="19" spans="2:19" x14ac:dyDescent="0.3">
      <c r="B19" s="72" t="s">
        <v>178</v>
      </c>
      <c r="C19" s="72" t="s">
        <v>486</v>
      </c>
      <c r="D19" s="73" t="s">
        <v>487</v>
      </c>
      <c r="E19" s="72" t="s">
        <v>1232</v>
      </c>
    </row>
    <row r="20" spans="2:19" x14ac:dyDescent="0.3">
      <c r="B20" s="72" t="s">
        <v>180</v>
      </c>
      <c r="C20" s="72" t="s">
        <v>486</v>
      </c>
      <c r="D20" s="73" t="s">
        <v>487</v>
      </c>
      <c r="E20" s="72" t="s">
        <v>1233</v>
      </c>
    </row>
    <row r="21" spans="2:19" x14ac:dyDescent="0.3">
      <c r="B21" s="72" t="s">
        <v>181</v>
      </c>
      <c r="C21" s="72" t="s">
        <v>486</v>
      </c>
      <c r="D21" s="73" t="s">
        <v>487</v>
      </c>
      <c r="E21" s="72" t="s">
        <v>1234</v>
      </c>
    </row>
    <row r="22" spans="2:19" x14ac:dyDescent="0.3">
      <c r="B22" s="72" t="s">
        <v>182</v>
      </c>
      <c r="C22" s="72" t="s">
        <v>486</v>
      </c>
      <c r="D22" s="73" t="s">
        <v>487</v>
      </c>
      <c r="E22" s="72" t="s">
        <v>1235</v>
      </c>
    </row>
    <row r="23" spans="2:19" x14ac:dyDescent="0.3">
      <c r="B23" s="72" t="s">
        <v>183</v>
      </c>
      <c r="C23" s="72" t="s">
        <v>488</v>
      </c>
      <c r="D23" s="73" t="s">
        <v>487</v>
      </c>
      <c r="E23" s="72" t="s">
        <v>1236</v>
      </c>
      <c r="J23" s="213"/>
    </row>
    <row r="24" spans="2:19" x14ac:dyDescent="0.3">
      <c r="B24" s="72" t="s">
        <v>185</v>
      </c>
      <c r="C24" s="72" t="s">
        <v>184</v>
      </c>
      <c r="D24" s="72" t="s">
        <v>489</v>
      </c>
      <c r="E24" s="72" t="s">
        <v>1237</v>
      </c>
    </row>
    <row r="25" spans="2:19" x14ac:dyDescent="0.3">
      <c r="B25" s="72" t="s">
        <v>186</v>
      </c>
      <c r="C25" s="72" t="s">
        <v>184</v>
      </c>
      <c r="D25" s="72" t="s">
        <v>489</v>
      </c>
      <c r="E25" s="72" t="s">
        <v>1238</v>
      </c>
    </row>
    <row r="26" spans="2:19" x14ac:dyDescent="0.3">
      <c r="B26" s="72" t="s">
        <v>188</v>
      </c>
      <c r="C26" s="72" t="s">
        <v>490</v>
      </c>
      <c r="D26" s="72" t="s">
        <v>491</v>
      </c>
      <c r="E26" s="72" t="s">
        <v>492</v>
      </c>
    </row>
    <row r="27" spans="2:19" x14ac:dyDescent="0.3">
      <c r="B27" s="72" t="s">
        <v>191</v>
      </c>
      <c r="C27" s="72" t="s">
        <v>490</v>
      </c>
      <c r="D27" s="72" t="s">
        <v>491</v>
      </c>
      <c r="E27" s="72" t="s">
        <v>493</v>
      </c>
      <c r="L27" s="214"/>
    </row>
    <row r="28" spans="2:19" x14ac:dyDescent="0.3">
      <c r="B28" s="72" t="s">
        <v>192</v>
      </c>
      <c r="C28" s="72" t="s">
        <v>494</v>
      </c>
      <c r="D28" s="72" t="s">
        <v>491</v>
      </c>
      <c r="E28" s="72" t="s">
        <v>495</v>
      </c>
    </row>
    <row r="29" spans="2:19" x14ac:dyDescent="0.3">
      <c r="B29" s="72" t="s">
        <v>194</v>
      </c>
      <c r="C29" s="72" t="s">
        <v>494</v>
      </c>
      <c r="D29" s="72" t="s">
        <v>491</v>
      </c>
      <c r="E29" s="72" t="s">
        <v>496</v>
      </c>
    </row>
    <row r="30" spans="2:19" x14ac:dyDescent="0.3">
      <c r="B30" s="72" t="s">
        <v>195</v>
      </c>
      <c r="C30" s="72" t="s">
        <v>494</v>
      </c>
      <c r="D30" s="72" t="s">
        <v>491</v>
      </c>
      <c r="E30" s="72" t="s">
        <v>497</v>
      </c>
    </row>
    <row r="31" spans="2:19" x14ac:dyDescent="0.3">
      <c r="B31" s="72" t="s">
        <v>196</v>
      </c>
      <c r="C31" s="72" t="s">
        <v>494</v>
      </c>
      <c r="D31" s="72" t="s">
        <v>491</v>
      </c>
      <c r="E31" s="72" t="s">
        <v>498</v>
      </c>
    </row>
    <row r="32" spans="2:19" x14ac:dyDescent="0.3">
      <c r="B32" s="61" t="s">
        <v>197</v>
      </c>
      <c r="C32" s="72" t="s">
        <v>499</v>
      </c>
      <c r="D32" s="72" t="s">
        <v>491</v>
      </c>
      <c r="E32" s="72" t="s">
        <v>500</v>
      </c>
    </row>
    <row r="33" spans="2:10" x14ac:dyDescent="0.3">
      <c r="B33" s="61" t="s">
        <v>199</v>
      </c>
      <c r="C33" s="72" t="s">
        <v>499</v>
      </c>
      <c r="D33" s="72" t="s">
        <v>491</v>
      </c>
      <c r="E33" s="72" t="s">
        <v>501</v>
      </c>
    </row>
    <row r="34" spans="2:10" x14ac:dyDescent="0.3">
      <c r="B34" s="61" t="s">
        <v>200</v>
      </c>
      <c r="C34" s="72" t="s">
        <v>499</v>
      </c>
      <c r="D34" s="72" t="s">
        <v>491</v>
      </c>
      <c r="E34" s="72" t="s">
        <v>502</v>
      </c>
    </row>
    <row r="35" spans="2:10" x14ac:dyDescent="0.3">
      <c r="B35" s="61" t="s">
        <v>201</v>
      </c>
      <c r="C35" s="72" t="s">
        <v>499</v>
      </c>
      <c r="D35" s="72" t="s">
        <v>491</v>
      </c>
      <c r="E35" s="72" t="s">
        <v>503</v>
      </c>
    </row>
    <row r="36" spans="2:10" x14ac:dyDescent="0.3">
      <c r="B36" s="72" t="s">
        <v>203</v>
      </c>
      <c r="C36" s="72" t="s">
        <v>504</v>
      </c>
      <c r="D36" s="72" t="s">
        <v>491</v>
      </c>
      <c r="E36" s="72" t="s">
        <v>505</v>
      </c>
    </row>
    <row r="37" spans="2:10" x14ac:dyDescent="0.3">
      <c r="B37" s="72" t="s">
        <v>204</v>
      </c>
      <c r="C37" s="72" t="s">
        <v>504</v>
      </c>
      <c r="D37" s="72" t="s">
        <v>491</v>
      </c>
      <c r="E37" s="72" t="s">
        <v>506</v>
      </c>
    </row>
    <row r="38" spans="2:10" x14ac:dyDescent="0.3">
      <c r="B38" s="72" t="s">
        <v>206</v>
      </c>
      <c r="C38" s="72" t="s">
        <v>507</v>
      </c>
      <c r="D38" s="72" t="s">
        <v>508</v>
      </c>
      <c r="E38" s="72" t="s">
        <v>509</v>
      </c>
    </row>
    <row r="39" spans="2:10" x14ac:dyDescent="0.3">
      <c r="B39" s="72" t="s">
        <v>208</v>
      </c>
      <c r="C39" s="72" t="s">
        <v>510</v>
      </c>
      <c r="D39" s="72" t="s">
        <v>508</v>
      </c>
      <c r="E39" s="72" t="s">
        <v>511</v>
      </c>
    </row>
    <row r="40" spans="2:10" x14ac:dyDescent="0.3">
      <c r="B40" s="72" t="s">
        <v>210</v>
      </c>
      <c r="C40" s="72" t="s">
        <v>507</v>
      </c>
      <c r="D40" s="72" t="s">
        <v>508</v>
      </c>
      <c r="E40" s="72" t="s">
        <v>512</v>
      </c>
      <c r="J40" s="213"/>
    </row>
    <row r="41" spans="2:10" x14ac:dyDescent="0.3">
      <c r="B41" s="72" t="s">
        <v>211</v>
      </c>
      <c r="C41" s="72" t="s">
        <v>510</v>
      </c>
      <c r="D41" s="72" t="s">
        <v>508</v>
      </c>
      <c r="E41" s="72" t="s">
        <v>513</v>
      </c>
      <c r="J41" s="213"/>
    </row>
    <row r="42" spans="2:10" x14ac:dyDescent="0.3">
      <c r="B42" s="72" t="s">
        <v>213</v>
      </c>
      <c r="C42" s="72" t="s">
        <v>514</v>
      </c>
      <c r="D42" s="72" t="s">
        <v>508</v>
      </c>
      <c r="E42" s="72" t="s">
        <v>515</v>
      </c>
      <c r="J42" s="213"/>
    </row>
    <row r="43" spans="2:10" x14ac:dyDescent="0.3">
      <c r="B43" s="72" t="s">
        <v>214</v>
      </c>
      <c r="C43" s="72" t="s">
        <v>516</v>
      </c>
      <c r="D43" s="72" t="s">
        <v>508</v>
      </c>
      <c r="E43" s="72" t="s">
        <v>517</v>
      </c>
      <c r="J43" s="213"/>
    </row>
    <row r="44" spans="2:10" x14ac:dyDescent="0.3">
      <c r="B44" s="72" t="s">
        <v>216</v>
      </c>
      <c r="C44" s="72" t="s">
        <v>518</v>
      </c>
      <c r="D44" s="72" t="s">
        <v>508</v>
      </c>
      <c r="E44" s="72" t="s">
        <v>519</v>
      </c>
      <c r="J44" s="213"/>
    </row>
    <row r="45" spans="2:10" x14ac:dyDescent="0.3">
      <c r="B45" s="72" t="s">
        <v>218</v>
      </c>
      <c r="C45" s="72" t="s">
        <v>217</v>
      </c>
      <c r="D45" s="72" t="s">
        <v>520</v>
      </c>
      <c r="E45" s="72" t="s">
        <v>521</v>
      </c>
      <c r="J45" s="213"/>
    </row>
    <row r="46" spans="2:10" x14ac:dyDescent="0.3">
      <c r="B46" s="72" t="s">
        <v>221</v>
      </c>
      <c r="C46" s="72" t="s">
        <v>217</v>
      </c>
      <c r="D46" s="72" t="s">
        <v>520</v>
      </c>
      <c r="E46" s="72" t="s">
        <v>522</v>
      </c>
      <c r="J46" s="213"/>
    </row>
    <row r="47" spans="2:10" x14ac:dyDescent="0.3">
      <c r="B47" s="72" t="s">
        <v>222</v>
      </c>
      <c r="C47" s="72" t="s">
        <v>217</v>
      </c>
      <c r="D47" s="72" t="s">
        <v>520</v>
      </c>
      <c r="E47" s="72" t="s">
        <v>523</v>
      </c>
      <c r="J47" s="213"/>
    </row>
    <row r="48" spans="2:10" x14ac:dyDescent="0.3">
      <c r="B48" s="72" t="s">
        <v>223</v>
      </c>
      <c r="C48" s="72" t="s">
        <v>217</v>
      </c>
      <c r="D48" s="72" t="s">
        <v>520</v>
      </c>
      <c r="E48" s="72" t="s">
        <v>524</v>
      </c>
      <c r="J48" s="213"/>
    </row>
    <row r="49" spans="2:19" ht="13.95" customHeight="1" x14ac:dyDescent="0.3">
      <c r="B49" s="72" t="s">
        <v>224</v>
      </c>
      <c r="C49" s="72" t="s">
        <v>217</v>
      </c>
      <c r="D49" s="72" t="s">
        <v>520</v>
      </c>
      <c r="E49" s="72" t="s">
        <v>525</v>
      </c>
      <c r="J49" s="213"/>
    </row>
    <row r="50" spans="2:19" x14ac:dyDescent="0.3">
      <c r="B50" s="72" t="s">
        <v>226</v>
      </c>
      <c r="C50" s="72" t="s">
        <v>225</v>
      </c>
      <c r="D50" s="72" t="s">
        <v>526</v>
      </c>
      <c r="E50" s="72" t="s">
        <v>527</v>
      </c>
      <c r="J50" s="213"/>
    </row>
    <row r="51" spans="2:19" x14ac:dyDescent="0.3">
      <c r="B51" s="72" t="s">
        <v>227</v>
      </c>
      <c r="C51" s="72" t="s">
        <v>225</v>
      </c>
      <c r="D51" s="72" t="s">
        <v>526</v>
      </c>
      <c r="E51" s="72" t="s">
        <v>528</v>
      </c>
      <c r="J51" s="213"/>
    </row>
    <row r="52" spans="2:19" x14ac:dyDescent="0.3">
      <c r="B52" s="72" t="s">
        <v>229</v>
      </c>
      <c r="C52" s="72" t="s">
        <v>228</v>
      </c>
      <c r="D52" s="72" t="s">
        <v>529</v>
      </c>
      <c r="E52" s="72" t="s">
        <v>530</v>
      </c>
      <c r="J52" s="213"/>
    </row>
    <row r="53" spans="2:19" x14ac:dyDescent="0.3">
      <c r="B53" s="72" t="s">
        <v>232</v>
      </c>
      <c r="C53" s="72" t="s">
        <v>231</v>
      </c>
      <c r="D53" s="72" t="s">
        <v>531</v>
      </c>
      <c r="E53" s="72" t="s">
        <v>532</v>
      </c>
      <c r="J53" s="213"/>
    </row>
    <row r="54" spans="2:19" x14ac:dyDescent="0.3">
      <c r="B54" s="72" t="s">
        <v>236</v>
      </c>
      <c r="C54" s="72" t="s">
        <v>235</v>
      </c>
      <c r="D54" s="72" t="s">
        <v>531</v>
      </c>
      <c r="E54" s="72" t="s">
        <v>533</v>
      </c>
      <c r="J54" s="213"/>
    </row>
    <row r="55" spans="2:19" x14ac:dyDescent="0.25">
      <c r="B55" s="215" t="s">
        <v>241</v>
      </c>
      <c r="C55" s="215" t="s">
        <v>242</v>
      </c>
      <c r="D55" s="215" t="s">
        <v>534</v>
      </c>
      <c r="E55" s="215" t="s">
        <v>535</v>
      </c>
      <c r="S55" s="216"/>
    </row>
    <row r="56" spans="2:19" x14ac:dyDescent="0.25">
      <c r="B56" s="215" t="s">
        <v>245</v>
      </c>
      <c r="C56" s="215" t="s">
        <v>246</v>
      </c>
      <c r="D56" s="215" t="s">
        <v>536</v>
      </c>
      <c r="E56" s="215" t="s">
        <v>537</v>
      </c>
      <c r="S56" s="216"/>
    </row>
    <row r="57" spans="2:19" x14ac:dyDescent="0.25">
      <c r="B57" s="217" t="s">
        <v>245</v>
      </c>
      <c r="C57" s="217" t="s">
        <v>247</v>
      </c>
      <c r="D57" s="217" t="s">
        <v>538</v>
      </c>
      <c r="E57" s="217" t="s">
        <v>539</v>
      </c>
      <c r="S57" s="216"/>
    </row>
    <row r="58" spans="2:19" x14ac:dyDescent="0.25">
      <c r="B58" s="217" t="s">
        <v>245</v>
      </c>
      <c r="C58" s="217" t="s">
        <v>250</v>
      </c>
      <c r="D58" s="217" t="s">
        <v>540</v>
      </c>
      <c r="E58" s="217" t="s">
        <v>541</v>
      </c>
      <c r="S58" s="216"/>
    </row>
    <row r="59" spans="2:19" x14ac:dyDescent="0.25">
      <c r="B59" s="215" t="s">
        <v>251</v>
      </c>
      <c r="C59" s="215" t="s">
        <v>252</v>
      </c>
      <c r="D59" s="215" t="s">
        <v>542</v>
      </c>
      <c r="E59" s="215" t="s">
        <v>543</v>
      </c>
      <c r="S59" s="216"/>
    </row>
    <row r="60" spans="2:19" x14ac:dyDescent="0.25">
      <c r="B60" s="215" t="s">
        <v>251</v>
      </c>
      <c r="C60" s="215" t="s">
        <v>253</v>
      </c>
      <c r="D60" s="215" t="s">
        <v>544</v>
      </c>
      <c r="E60" s="215" t="s">
        <v>545</v>
      </c>
      <c r="S60" s="216"/>
    </row>
    <row r="61" spans="2:19" x14ac:dyDescent="0.25">
      <c r="B61" s="217" t="s">
        <v>254</v>
      </c>
      <c r="C61" s="217" t="s">
        <v>255</v>
      </c>
      <c r="D61" s="217" t="s">
        <v>546</v>
      </c>
      <c r="E61" s="217" t="s">
        <v>547</v>
      </c>
      <c r="S61" s="216"/>
    </row>
    <row r="62" spans="2:19" x14ac:dyDescent="0.25">
      <c r="B62" s="217" t="s">
        <v>254</v>
      </c>
      <c r="C62" s="217" t="s">
        <v>257</v>
      </c>
      <c r="D62" s="217" t="s">
        <v>548</v>
      </c>
      <c r="E62" s="217" t="s">
        <v>549</v>
      </c>
      <c r="S62" s="216"/>
    </row>
    <row r="63" spans="2:19" x14ac:dyDescent="0.25">
      <c r="B63" s="217" t="s">
        <v>254</v>
      </c>
      <c r="C63" s="217" t="s">
        <v>258</v>
      </c>
      <c r="D63" s="217" t="s">
        <v>550</v>
      </c>
      <c r="E63" s="217" t="s">
        <v>551</v>
      </c>
      <c r="S63" s="216"/>
    </row>
    <row r="64" spans="2:19" x14ac:dyDescent="0.25">
      <c r="B64" s="217" t="s">
        <v>259</v>
      </c>
      <c r="C64" s="217" t="s">
        <v>260</v>
      </c>
      <c r="D64" s="217" t="s">
        <v>552</v>
      </c>
      <c r="E64" s="217" t="s">
        <v>553</v>
      </c>
      <c r="S64" s="216"/>
    </row>
    <row r="65" spans="2:20" x14ac:dyDescent="0.25">
      <c r="B65" s="215" t="s">
        <v>259</v>
      </c>
      <c r="C65" s="215" t="s">
        <v>262</v>
      </c>
      <c r="D65" s="215" t="s">
        <v>554</v>
      </c>
      <c r="E65" s="215" t="s">
        <v>555</v>
      </c>
      <c r="T65" s="216"/>
    </row>
    <row r="66" spans="2:20" x14ac:dyDescent="0.25">
      <c r="B66" s="215" t="s">
        <v>259</v>
      </c>
      <c r="C66" s="215" t="s">
        <v>263</v>
      </c>
      <c r="D66" s="215" t="s">
        <v>556</v>
      </c>
      <c r="E66" s="215" t="s">
        <v>557</v>
      </c>
      <c r="T66" s="216"/>
    </row>
    <row r="67" spans="2:20" x14ac:dyDescent="0.25">
      <c r="B67" s="215" t="s">
        <v>264</v>
      </c>
      <c r="C67" s="215" t="s">
        <v>265</v>
      </c>
      <c r="D67" s="215" t="s">
        <v>558</v>
      </c>
      <c r="E67" s="215" t="s">
        <v>559</v>
      </c>
      <c r="T67" s="216"/>
    </row>
    <row r="68" spans="2:20" x14ac:dyDescent="0.25">
      <c r="B68" s="215" t="s">
        <v>267</v>
      </c>
      <c r="C68" s="215" t="s">
        <v>268</v>
      </c>
      <c r="D68" s="215" t="s">
        <v>560</v>
      </c>
      <c r="E68" s="215" t="s">
        <v>561</v>
      </c>
      <c r="T68" s="216"/>
    </row>
    <row r="69" spans="2:20" x14ac:dyDescent="0.25">
      <c r="B69" s="215" t="s">
        <v>267</v>
      </c>
      <c r="C69" s="215" t="s">
        <v>269</v>
      </c>
      <c r="D69" s="215" t="s">
        <v>562</v>
      </c>
      <c r="E69" s="215" t="s">
        <v>563</v>
      </c>
      <c r="T69" s="216"/>
    </row>
    <row r="70" spans="2:20" x14ac:dyDescent="0.25">
      <c r="B70" s="215" t="s">
        <v>267</v>
      </c>
      <c r="C70" s="215" t="s">
        <v>564</v>
      </c>
      <c r="D70" s="215" t="s">
        <v>565</v>
      </c>
      <c r="E70" s="215" t="s">
        <v>566</v>
      </c>
      <c r="T70" s="216"/>
    </row>
    <row r="71" spans="2:20" x14ac:dyDescent="0.25">
      <c r="B71" s="215" t="s">
        <v>270</v>
      </c>
      <c r="C71" s="215" t="s">
        <v>271</v>
      </c>
      <c r="D71" s="215" t="s">
        <v>567</v>
      </c>
      <c r="E71" s="215" t="s">
        <v>568</v>
      </c>
      <c r="T71" s="216"/>
    </row>
    <row r="72" spans="2:20" x14ac:dyDescent="0.25">
      <c r="B72" s="215" t="s">
        <v>270</v>
      </c>
      <c r="C72" s="215" t="s">
        <v>272</v>
      </c>
      <c r="D72" s="215" t="s">
        <v>569</v>
      </c>
      <c r="E72" s="215" t="s">
        <v>570</v>
      </c>
      <c r="T72" s="216"/>
    </row>
    <row r="73" spans="2:20" x14ac:dyDescent="0.25">
      <c r="B73" s="215" t="s">
        <v>273</v>
      </c>
      <c r="C73" s="215" t="s">
        <v>274</v>
      </c>
      <c r="D73" s="215" t="s">
        <v>571</v>
      </c>
      <c r="E73" s="215" t="s">
        <v>572</v>
      </c>
      <c r="T73" s="216"/>
    </row>
    <row r="74" spans="2:20" x14ac:dyDescent="0.25">
      <c r="B74" s="215" t="s">
        <v>273</v>
      </c>
      <c r="C74" s="215" t="s">
        <v>275</v>
      </c>
      <c r="D74" s="215" t="s">
        <v>573</v>
      </c>
      <c r="E74" s="215" t="s">
        <v>574</v>
      </c>
      <c r="T74" s="216"/>
    </row>
    <row r="75" spans="2:20" x14ac:dyDescent="0.25">
      <c r="B75" s="215" t="s">
        <v>273</v>
      </c>
      <c r="C75" s="215" t="s">
        <v>276</v>
      </c>
      <c r="D75" s="215" t="s">
        <v>575</v>
      </c>
      <c r="E75" s="215" t="s">
        <v>576</v>
      </c>
      <c r="T75" s="216"/>
    </row>
    <row r="76" spans="2:20" x14ac:dyDescent="0.25">
      <c r="B76" s="215" t="s">
        <v>277</v>
      </c>
      <c r="C76" s="215" t="s">
        <v>278</v>
      </c>
      <c r="D76" s="215" t="s">
        <v>577</v>
      </c>
      <c r="E76" s="215" t="s">
        <v>578</v>
      </c>
      <c r="T76" s="216"/>
    </row>
    <row r="77" spans="2:20" x14ac:dyDescent="0.25">
      <c r="B77" s="215" t="s">
        <v>277</v>
      </c>
      <c r="C77" s="215" t="s">
        <v>279</v>
      </c>
      <c r="D77" s="215" t="s">
        <v>579</v>
      </c>
      <c r="E77" s="215" t="s">
        <v>580</v>
      </c>
      <c r="T77" s="216"/>
    </row>
    <row r="78" spans="2:20" x14ac:dyDescent="0.25">
      <c r="B78" s="215" t="s">
        <v>277</v>
      </c>
      <c r="C78" s="215" t="s">
        <v>280</v>
      </c>
      <c r="D78" s="215" t="s">
        <v>581</v>
      </c>
      <c r="E78" s="215" t="s">
        <v>582</v>
      </c>
      <c r="T78" s="216"/>
    </row>
    <row r="79" spans="2:20" x14ac:dyDescent="0.25">
      <c r="B79" s="215" t="s">
        <v>277</v>
      </c>
      <c r="C79" s="215" t="s">
        <v>278</v>
      </c>
      <c r="D79" s="215" t="s">
        <v>577</v>
      </c>
      <c r="E79" s="215" t="s">
        <v>583</v>
      </c>
      <c r="T79" s="216"/>
    </row>
    <row r="80" spans="2:20" x14ac:dyDescent="0.25">
      <c r="B80" s="215" t="s">
        <v>281</v>
      </c>
      <c r="C80" s="215" t="s">
        <v>282</v>
      </c>
      <c r="D80" s="215" t="s">
        <v>584</v>
      </c>
      <c r="E80" s="215" t="s">
        <v>585</v>
      </c>
      <c r="T80" s="216"/>
    </row>
    <row r="81" spans="2:20" x14ac:dyDescent="0.25">
      <c r="B81" s="215" t="s">
        <v>281</v>
      </c>
      <c r="C81" s="215" t="s">
        <v>284</v>
      </c>
      <c r="D81" s="215" t="s">
        <v>586</v>
      </c>
      <c r="E81" s="215" t="s">
        <v>587</v>
      </c>
      <c r="T81" s="216"/>
    </row>
    <row r="82" spans="2:20" x14ac:dyDescent="0.25">
      <c r="B82" s="215" t="s">
        <v>285</v>
      </c>
      <c r="C82" s="215" t="s">
        <v>286</v>
      </c>
      <c r="D82" s="215" t="s">
        <v>588</v>
      </c>
      <c r="E82" s="215" t="s">
        <v>589</v>
      </c>
      <c r="T82" s="216"/>
    </row>
    <row r="83" spans="2:20" x14ac:dyDescent="0.25">
      <c r="B83" s="215" t="s">
        <v>287</v>
      </c>
      <c r="C83" s="215" t="s">
        <v>288</v>
      </c>
      <c r="D83" s="215" t="s">
        <v>590</v>
      </c>
      <c r="E83" s="215" t="s">
        <v>591</v>
      </c>
      <c r="T83" s="216"/>
    </row>
    <row r="84" spans="2:20" x14ac:dyDescent="0.25">
      <c r="B84" s="215" t="s">
        <v>287</v>
      </c>
      <c r="C84" s="215" t="s">
        <v>288</v>
      </c>
      <c r="D84" s="215" t="s">
        <v>590</v>
      </c>
      <c r="E84" s="215" t="s">
        <v>592</v>
      </c>
      <c r="T84" s="216"/>
    </row>
    <row r="85" spans="2:20" x14ac:dyDescent="0.25">
      <c r="B85" s="215" t="s">
        <v>287</v>
      </c>
      <c r="C85" s="215" t="s">
        <v>289</v>
      </c>
      <c r="D85" s="215" t="s">
        <v>593</v>
      </c>
      <c r="E85" s="215" t="s">
        <v>594</v>
      </c>
      <c r="T85" s="216"/>
    </row>
    <row r="86" spans="2:20" x14ac:dyDescent="0.25">
      <c r="B86" s="215" t="s">
        <v>287</v>
      </c>
      <c r="C86" s="215" t="s">
        <v>289</v>
      </c>
      <c r="D86" s="215" t="s">
        <v>593</v>
      </c>
      <c r="E86" s="215" t="s">
        <v>595</v>
      </c>
      <c r="T86" s="216"/>
    </row>
    <row r="87" spans="2:20" x14ac:dyDescent="0.25">
      <c r="B87" s="215" t="s">
        <v>287</v>
      </c>
      <c r="C87" s="215" t="s">
        <v>289</v>
      </c>
      <c r="D87" s="215" t="s">
        <v>593</v>
      </c>
      <c r="E87" s="215" t="s">
        <v>596</v>
      </c>
      <c r="T87" s="216"/>
    </row>
    <row r="88" spans="2:20" x14ac:dyDescent="0.25">
      <c r="B88" s="215" t="s">
        <v>287</v>
      </c>
      <c r="C88" s="215" t="s">
        <v>289</v>
      </c>
      <c r="D88" s="215" t="s">
        <v>593</v>
      </c>
      <c r="E88" s="215" t="s">
        <v>597</v>
      </c>
      <c r="T88" s="216"/>
    </row>
    <row r="89" spans="2:20" x14ac:dyDescent="0.25">
      <c r="B89" s="215" t="s">
        <v>290</v>
      </c>
      <c r="C89" s="215" t="s">
        <v>291</v>
      </c>
      <c r="D89" s="215" t="s">
        <v>598</v>
      </c>
      <c r="E89" s="215" t="s">
        <v>599</v>
      </c>
      <c r="T89" s="216"/>
    </row>
    <row r="90" spans="2:20" x14ac:dyDescent="0.25">
      <c r="B90" s="215" t="s">
        <v>292</v>
      </c>
      <c r="C90" s="215" t="s">
        <v>293</v>
      </c>
      <c r="D90" s="215" t="s">
        <v>600</v>
      </c>
      <c r="E90" s="215" t="s">
        <v>601</v>
      </c>
      <c r="T90" s="216"/>
    </row>
    <row r="91" spans="2:20" x14ac:dyDescent="0.25">
      <c r="B91" s="215" t="s">
        <v>294</v>
      </c>
      <c r="C91" s="215" t="s">
        <v>295</v>
      </c>
      <c r="D91" s="215" t="s">
        <v>602</v>
      </c>
      <c r="E91" s="215" t="s">
        <v>603</v>
      </c>
      <c r="T91" s="216"/>
    </row>
    <row r="92" spans="2:20" x14ac:dyDescent="0.25">
      <c r="B92" s="215" t="s">
        <v>294</v>
      </c>
      <c r="C92" s="215" t="s">
        <v>297</v>
      </c>
      <c r="D92" s="215" t="s">
        <v>604</v>
      </c>
      <c r="E92" s="215" t="s">
        <v>605</v>
      </c>
      <c r="T92" s="216"/>
    </row>
    <row r="93" spans="2:20" x14ac:dyDescent="0.25">
      <c r="B93" s="215" t="s">
        <v>294</v>
      </c>
      <c r="C93" s="215" t="s">
        <v>298</v>
      </c>
      <c r="D93" s="215" t="s">
        <v>606</v>
      </c>
      <c r="E93" s="215" t="s">
        <v>607</v>
      </c>
      <c r="T93" s="216"/>
    </row>
    <row r="94" spans="2:20" x14ac:dyDescent="0.25">
      <c r="B94" s="215" t="s">
        <v>299</v>
      </c>
      <c r="C94" s="215" t="s">
        <v>300</v>
      </c>
      <c r="D94" s="215" t="s">
        <v>608</v>
      </c>
      <c r="E94" s="215" t="s">
        <v>609</v>
      </c>
      <c r="T94" s="216"/>
    </row>
    <row r="95" spans="2:20" x14ac:dyDescent="0.25">
      <c r="B95" s="217" t="s">
        <v>241</v>
      </c>
      <c r="C95" s="217" t="s">
        <v>301</v>
      </c>
      <c r="D95" s="217" t="s">
        <v>610</v>
      </c>
      <c r="E95" s="217" t="s">
        <v>611</v>
      </c>
      <c r="T95" s="216"/>
    </row>
    <row r="96" spans="2:20" x14ac:dyDescent="0.25">
      <c r="B96" s="217" t="s">
        <v>245</v>
      </c>
      <c r="C96" s="217" t="s">
        <v>302</v>
      </c>
      <c r="D96" s="217" t="s">
        <v>612</v>
      </c>
      <c r="E96" s="217" t="s">
        <v>613</v>
      </c>
      <c r="T96" s="216"/>
    </row>
    <row r="97" spans="2:20" x14ac:dyDescent="0.25">
      <c r="B97" s="217" t="s">
        <v>245</v>
      </c>
      <c r="C97" s="217" t="s">
        <v>303</v>
      </c>
      <c r="D97" s="217" t="s">
        <v>614</v>
      </c>
      <c r="E97" s="217" t="s">
        <v>615</v>
      </c>
      <c r="T97" s="216"/>
    </row>
    <row r="98" spans="2:20" x14ac:dyDescent="0.25">
      <c r="B98" s="217" t="s">
        <v>304</v>
      </c>
      <c r="C98" s="217" t="s">
        <v>305</v>
      </c>
      <c r="D98" s="217" t="s">
        <v>616</v>
      </c>
      <c r="E98" s="217" t="s">
        <v>617</v>
      </c>
      <c r="T98" s="216"/>
    </row>
    <row r="99" spans="2:20" x14ac:dyDescent="0.25">
      <c r="B99" s="217" t="s">
        <v>306</v>
      </c>
      <c r="C99" s="217" t="s">
        <v>307</v>
      </c>
      <c r="D99" s="217" t="s">
        <v>618</v>
      </c>
      <c r="E99" s="217" t="s">
        <v>619</v>
      </c>
      <c r="T99" s="216"/>
    </row>
    <row r="100" spans="2:20" x14ac:dyDescent="0.25">
      <c r="B100" s="217" t="s">
        <v>308</v>
      </c>
      <c r="C100" s="217" t="s">
        <v>309</v>
      </c>
      <c r="D100" s="217" t="s">
        <v>620</v>
      </c>
      <c r="E100" s="217" t="s">
        <v>621</v>
      </c>
      <c r="T100" s="216"/>
    </row>
    <row r="101" spans="2:20" x14ac:dyDescent="0.25">
      <c r="B101" s="217" t="s">
        <v>310</v>
      </c>
      <c r="C101" s="217" t="s">
        <v>311</v>
      </c>
      <c r="D101" s="217" t="s">
        <v>622</v>
      </c>
      <c r="E101" s="217" t="s">
        <v>623</v>
      </c>
      <c r="T101" s="216"/>
    </row>
    <row r="102" spans="2:20" x14ac:dyDescent="0.25">
      <c r="B102" s="217" t="s">
        <v>310</v>
      </c>
      <c r="C102" s="217" t="s">
        <v>312</v>
      </c>
      <c r="D102" s="217" t="s">
        <v>624</v>
      </c>
      <c r="E102" s="217" t="s">
        <v>625</v>
      </c>
      <c r="T102" s="216"/>
    </row>
    <row r="103" spans="2:20" x14ac:dyDescent="0.25">
      <c r="B103" s="215" t="s">
        <v>313</v>
      </c>
      <c r="C103" s="215" t="s">
        <v>314</v>
      </c>
      <c r="D103" s="215" t="s">
        <v>626</v>
      </c>
      <c r="E103" s="215" t="s">
        <v>627</v>
      </c>
      <c r="T103" s="216"/>
    </row>
    <row r="104" spans="2:20" x14ac:dyDescent="0.25">
      <c r="B104" s="215" t="s">
        <v>270</v>
      </c>
      <c r="C104" s="215" t="s">
        <v>315</v>
      </c>
      <c r="D104" s="215" t="s">
        <v>628</v>
      </c>
      <c r="E104" s="215" t="s">
        <v>629</v>
      </c>
      <c r="T104" s="216"/>
    </row>
    <row r="105" spans="2:20" x14ac:dyDescent="0.25">
      <c r="B105" s="215" t="s">
        <v>270</v>
      </c>
      <c r="C105" s="215" t="s">
        <v>316</v>
      </c>
      <c r="D105" s="215" t="s">
        <v>630</v>
      </c>
      <c r="E105" s="215" t="s">
        <v>631</v>
      </c>
      <c r="T105" s="216"/>
    </row>
    <row r="106" spans="2:20" x14ac:dyDescent="0.25">
      <c r="B106" s="215" t="s">
        <v>273</v>
      </c>
      <c r="C106" s="215" t="s">
        <v>317</v>
      </c>
      <c r="D106" s="215" t="s">
        <v>632</v>
      </c>
      <c r="E106" s="215" t="s">
        <v>633</v>
      </c>
      <c r="T106" s="216"/>
    </row>
    <row r="107" spans="2:20" x14ac:dyDescent="0.25">
      <c r="B107" s="215" t="s">
        <v>273</v>
      </c>
      <c r="C107" s="215" t="s">
        <v>318</v>
      </c>
      <c r="D107" s="215" t="s">
        <v>634</v>
      </c>
      <c r="E107" s="215" t="s">
        <v>635</v>
      </c>
      <c r="T107" s="216"/>
    </row>
    <row r="108" spans="2:20" x14ac:dyDescent="0.25">
      <c r="B108" s="215" t="s">
        <v>273</v>
      </c>
      <c r="C108" s="215" t="s">
        <v>319</v>
      </c>
      <c r="D108" s="215" t="s">
        <v>636</v>
      </c>
      <c r="E108" s="215" t="s">
        <v>637</v>
      </c>
      <c r="T108" s="216"/>
    </row>
    <row r="109" spans="2:20" x14ac:dyDescent="0.25">
      <c r="B109" s="215" t="s">
        <v>320</v>
      </c>
      <c r="C109" s="215" t="s">
        <v>321</v>
      </c>
      <c r="D109" s="215" t="s">
        <v>638</v>
      </c>
      <c r="E109" s="215" t="s">
        <v>639</v>
      </c>
      <c r="T109" s="216"/>
    </row>
    <row r="110" spans="2:20" x14ac:dyDescent="0.25">
      <c r="B110" s="215" t="s">
        <v>320</v>
      </c>
      <c r="C110" s="215" t="s">
        <v>323</v>
      </c>
      <c r="D110" s="215" t="s">
        <v>640</v>
      </c>
      <c r="E110" s="215" t="s">
        <v>641</v>
      </c>
      <c r="T110" s="216"/>
    </row>
    <row r="111" spans="2:20" x14ac:dyDescent="0.25">
      <c r="B111" s="215" t="s">
        <v>290</v>
      </c>
      <c r="C111" s="215" t="s">
        <v>324</v>
      </c>
      <c r="D111" s="215" t="s">
        <v>642</v>
      </c>
      <c r="E111" s="215" t="s">
        <v>643</v>
      </c>
      <c r="T111" s="216"/>
    </row>
    <row r="112" spans="2:20" x14ac:dyDescent="0.25">
      <c r="B112" s="215" t="s">
        <v>292</v>
      </c>
      <c r="C112" s="215" t="s">
        <v>325</v>
      </c>
      <c r="D112" s="215" t="s">
        <v>644</v>
      </c>
      <c r="E112" s="215" t="s">
        <v>645</v>
      </c>
      <c r="T112" s="216"/>
    </row>
    <row r="113" spans="2:20" x14ac:dyDescent="0.3">
      <c r="B113" s="186" t="s">
        <v>326</v>
      </c>
      <c r="C113" s="186" t="s">
        <v>327</v>
      </c>
      <c r="D113" s="186" t="s">
        <v>646</v>
      </c>
      <c r="E113" s="186" t="s">
        <v>647</v>
      </c>
      <c r="T113" s="216"/>
    </row>
    <row r="114" spans="2:20" x14ac:dyDescent="0.3">
      <c r="B114" s="186" t="s">
        <v>328</v>
      </c>
      <c r="C114" s="186" t="s">
        <v>329</v>
      </c>
      <c r="D114" s="186" t="s">
        <v>648</v>
      </c>
      <c r="E114" s="186" t="s">
        <v>649</v>
      </c>
      <c r="T114" s="216"/>
    </row>
    <row r="115" spans="2:20" x14ac:dyDescent="0.3">
      <c r="B115" s="186" t="s">
        <v>330</v>
      </c>
      <c r="C115" s="186" t="s">
        <v>331</v>
      </c>
      <c r="D115" s="186" t="s">
        <v>650</v>
      </c>
      <c r="E115" s="186" t="s">
        <v>651</v>
      </c>
      <c r="T115" s="216"/>
    </row>
    <row r="116" spans="2:20" x14ac:dyDescent="0.3">
      <c r="B116" s="186" t="s">
        <v>332</v>
      </c>
      <c r="C116" s="186" t="s">
        <v>333</v>
      </c>
      <c r="D116" s="186" t="s">
        <v>652</v>
      </c>
      <c r="E116" s="186" t="s">
        <v>653</v>
      </c>
      <c r="T116" s="216"/>
    </row>
    <row r="117" spans="2:20" x14ac:dyDescent="0.3">
      <c r="B117" s="186" t="s">
        <v>334</v>
      </c>
      <c r="C117" s="186" t="s">
        <v>335</v>
      </c>
      <c r="D117" s="186" t="s">
        <v>654</v>
      </c>
      <c r="E117" s="186" t="s">
        <v>655</v>
      </c>
      <c r="T117" s="216"/>
    </row>
    <row r="118" spans="2:20" x14ac:dyDescent="0.3">
      <c r="B118" s="186" t="s">
        <v>336</v>
      </c>
      <c r="C118" s="186" t="s">
        <v>337</v>
      </c>
      <c r="D118" s="186" t="s">
        <v>656</v>
      </c>
      <c r="E118" s="186" t="s">
        <v>657</v>
      </c>
      <c r="T118" s="216"/>
    </row>
    <row r="119" spans="2:20" x14ac:dyDescent="0.3">
      <c r="B119" s="186" t="s">
        <v>338</v>
      </c>
      <c r="C119" s="186" t="s">
        <v>339</v>
      </c>
      <c r="D119" s="186" t="s">
        <v>658</v>
      </c>
      <c r="E119" s="186" t="s">
        <v>659</v>
      </c>
      <c r="T119" s="216"/>
    </row>
    <row r="120" spans="2:20" x14ac:dyDescent="0.3">
      <c r="B120" s="186" t="s">
        <v>340</v>
      </c>
      <c r="C120" s="186" t="s">
        <v>341</v>
      </c>
      <c r="D120" s="186" t="s">
        <v>660</v>
      </c>
      <c r="E120" s="186" t="s">
        <v>661</v>
      </c>
      <c r="T120" s="216"/>
    </row>
    <row r="121" spans="2:20" x14ac:dyDescent="0.3">
      <c r="B121" s="186" t="s">
        <v>342</v>
      </c>
      <c r="C121" s="186" t="s">
        <v>343</v>
      </c>
      <c r="D121" s="186" t="s">
        <v>662</v>
      </c>
      <c r="E121" s="186" t="s">
        <v>663</v>
      </c>
      <c r="T121" s="216"/>
    </row>
    <row r="122" spans="2:20" x14ac:dyDescent="0.3">
      <c r="B122" s="186" t="s">
        <v>344</v>
      </c>
      <c r="C122" s="186" t="s">
        <v>345</v>
      </c>
      <c r="D122" s="186" t="s">
        <v>664</v>
      </c>
      <c r="E122" s="186" t="s">
        <v>665</v>
      </c>
      <c r="T122" s="216"/>
    </row>
    <row r="123" spans="2:20" x14ac:dyDescent="0.3">
      <c r="B123" s="186" t="s">
        <v>346</v>
      </c>
      <c r="C123" s="186" t="s">
        <v>347</v>
      </c>
      <c r="D123" s="186" t="s">
        <v>666</v>
      </c>
      <c r="E123" s="186" t="s">
        <v>667</v>
      </c>
      <c r="T123" s="216"/>
    </row>
    <row r="124" spans="2:20" x14ac:dyDescent="0.3">
      <c r="B124" s="61" t="s">
        <v>348</v>
      </c>
      <c r="C124" s="61" t="s">
        <v>349</v>
      </c>
      <c r="D124" s="61" t="s">
        <v>668</v>
      </c>
      <c r="E124" s="61" t="s">
        <v>669</v>
      </c>
      <c r="T124" s="216"/>
    </row>
    <row r="125" spans="2:20" x14ac:dyDescent="0.3">
      <c r="B125" s="61" t="s">
        <v>350</v>
      </c>
      <c r="C125" s="61" t="s">
        <v>351</v>
      </c>
      <c r="D125" s="61" t="s">
        <v>670</v>
      </c>
      <c r="E125" s="61" t="s">
        <v>671</v>
      </c>
      <c r="T125" s="216"/>
    </row>
    <row r="126" spans="2:20" x14ac:dyDescent="0.3">
      <c r="B126" s="61" t="s">
        <v>352</v>
      </c>
      <c r="C126" s="61" t="s">
        <v>353</v>
      </c>
      <c r="D126" s="61" t="s">
        <v>672</v>
      </c>
      <c r="E126" s="61" t="s">
        <v>673</v>
      </c>
      <c r="T126" s="216"/>
    </row>
    <row r="127" spans="2:20" x14ac:dyDescent="0.3">
      <c r="B127" s="61" t="s">
        <v>354</v>
      </c>
      <c r="C127" s="61" t="s">
        <v>355</v>
      </c>
      <c r="D127" s="61" t="s">
        <v>674</v>
      </c>
      <c r="E127" s="61" t="s">
        <v>675</v>
      </c>
      <c r="T127" s="216"/>
    </row>
    <row r="128" spans="2:20" x14ac:dyDescent="0.3">
      <c r="B128" s="61" t="s">
        <v>356</v>
      </c>
      <c r="C128" s="61" t="s">
        <v>357</v>
      </c>
      <c r="D128" s="61" t="s">
        <v>676</v>
      </c>
      <c r="E128" s="61" t="s">
        <v>677</v>
      </c>
      <c r="T128" s="216"/>
    </row>
    <row r="129" spans="2:20" x14ac:dyDescent="0.3">
      <c r="B129" s="61" t="s">
        <v>358</v>
      </c>
      <c r="C129" s="61" t="s">
        <v>359</v>
      </c>
      <c r="D129" s="61" t="s">
        <v>678</v>
      </c>
      <c r="E129" s="61" t="s">
        <v>679</v>
      </c>
      <c r="T129" s="216"/>
    </row>
    <row r="130" spans="2:20" x14ac:dyDescent="0.3">
      <c r="B130" s="61" t="s">
        <v>360</v>
      </c>
      <c r="C130" s="61" t="s">
        <v>361</v>
      </c>
      <c r="D130" s="61" t="s">
        <v>680</v>
      </c>
      <c r="E130" s="61" t="s">
        <v>681</v>
      </c>
      <c r="T130" s="216"/>
    </row>
    <row r="131" spans="2:20" ht="14.4" x14ac:dyDescent="0.3">
      <c r="B131" s="218" t="s">
        <v>245</v>
      </c>
      <c r="C131" s="219" t="s">
        <v>368</v>
      </c>
      <c r="D131" s="218" t="s">
        <v>612</v>
      </c>
      <c r="E131" s="220" t="s">
        <v>682</v>
      </c>
      <c r="T131" s="216"/>
    </row>
    <row r="132" spans="2:20" ht="14.4" x14ac:dyDescent="0.3">
      <c r="B132" s="218" t="s">
        <v>245</v>
      </c>
      <c r="C132" s="219" t="s">
        <v>378</v>
      </c>
      <c r="D132" s="218" t="s">
        <v>683</v>
      </c>
      <c r="E132" s="220" t="s">
        <v>684</v>
      </c>
      <c r="T132" s="216"/>
    </row>
    <row r="133" spans="2:20" ht="14.4" x14ac:dyDescent="0.3">
      <c r="B133" s="218" t="s">
        <v>245</v>
      </c>
      <c r="C133" s="219" t="s">
        <v>380</v>
      </c>
      <c r="D133" s="218" t="s">
        <v>685</v>
      </c>
      <c r="E133" s="220" t="s">
        <v>686</v>
      </c>
      <c r="T133" s="216"/>
    </row>
    <row r="134" spans="2:20" ht="14.4" x14ac:dyDescent="0.3">
      <c r="B134" s="218" t="s">
        <v>245</v>
      </c>
      <c r="C134" s="219" t="s">
        <v>386</v>
      </c>
      <c r="D134" s="218" t="s">
        <v>614</v>
      </c>
      <c r="E134" s="220" t="s">
        <v>687</v>
      </c>
      <c r="T134" s="216"/>
    </row>
    <row r="135" spans="2:20" ht="14.4" x14ac:dyDescent="0.3">
      <c r="B135" s="218" t="s">
        <v>254</v>
      </c>
      <c r="C135" s="219" t="s">
        <v>395</v>
      </c>
      <c r="D135" s="218" t="s">
        <v>688</v>
      </c>
      <c r="E135" s="220" t="s">
        <v>689</v>
      </c>
      <c r="T135" s="216"/>
    </row>
    <row r="136" spans="2:20" ht="14.4" x14ac:dyDescent="0.3">
      <c r="B136" s="218" t="s">
        <v>254</v>
      </c>
      <c r="C136" s="219" t="s">
        <v>399</v>
      </c>
      <c r="D136" s="218" t="s">
        <v>690</v>
      </c>
      <c r="E136" s="220" t="s">
        <v>691</v>
      </c>
      <c r="T136" s="216"/>
    </row>
    <row r="137" spans="2:20" ht="14.4" x14ac:dyDescent="0.3">
      <c r="B137" s="218" t="s">
        <v>254</v>
      </c>
      <c r="C137" s="219" t="s">
        <v>403</v>
      </c>
      <c r="D137" s="218" t="s">
        <v>692</v>
      </c>
      <c r="E137" s="220" t="s">
        <v>693</v>
      </c>
      <c r="T137" s="216"/>
    </row>
    <row r="138" spans="2:20" ht="14.4" x14ac:dyDescent="0.3">
      <c r="B138" s="218" t="s">
        <v>259</v>
      </c>
      <c r="C138" s="219" t="s">
        <v>362</v>
      </c>
      <c r="D138" s="218" t="s">
        <v>694</v>
      </c>
      <c r="E138" s="220" t="s">
        <v>695</v>
      </c>
      <c r="T138" s="216"/>
    </row>
    <row r="139" spans="2:20" ht="14.4" x14ac:dyDescent="0.3">
      <c r="B139" s="218" t="s">
        <v>259</v>
      </c>
      <c r="C139" s="219" t="s">
        <v>375</v>
      </c>
      <c r="D139" s="218" t="s">
        <v>696</v>
      </c>
      <c r="E139" s="220" t="s">
        <v>697</v>
      </c>
      <c r="T139" s="216"/>
    </row>
    <row r="140" spans="2:20" ht="14.4" x14ac:dyDescent="0.3">
      <c r="B140" s="218" t="s">
        <v>259</v>
      </c>
      <c r="C140" s="219" t="s">
        <v>379</v>
      </c>
      <c r="D140" s="218" t="s">
        <v>698</v>
      </c>
      <c r="E140" s="220" t="s">
        <v>699</v>
      </c>
      <c r="T140" s="216"/>
    </row>
    <row r="141" spans="2:20" ht="14.4" x14ac:dyDescent="0.3">
      <c r="B141" s="218" t="s">
        <v>264</v>
      </c>
      <c r="C141" s="219" t="s">
        <v>391</v>
      </c>
      <c r="D141" s="218" t="s">
        <v>700</v>
      </c>
      <c r="E141" s="221" t="s">
        <v>701</v>
      </c>
      <c r="T141" s="216"/>
    </row>
    <row r="142" spans="2:20" ht="14.4" x14ac:dyDescent="0.3">
      <c r="B142" s="218" t="s">
        <v>267</v>
      </c>
      <c r="C142" s="219" t="s">
        <v>371</v>
      </c>
      <c r="D142" s="218" t="s">
        <v>702</v>
      </c>
      <c r="E142" s="221" t="s">
        <v>703</v>
      </c>
      <c r="T142" s="216"/>
    </row>
    <row r="143" spans="2:20" ht="14.4" x14ac:dyDescent="0.3">
      <c r="B143" s="218" t="s">
        <v>267</v>
      </c>
      <c r="C143" s="219" t="s">
        <v>376</v>
      </c>
      <c r="D143" s="218" t="s">
        <v>704</v>
      </c>
      <c r="E143" s="221" t="s">
        <v>705</v>
      </c>
      <c r="T143" s="216"/>
    </row>
    <row r="144" spans="2:20" ht="14.4" x14ac:dyDescent="0.3">
      <c r="B144" s="218" t="s">
        <v>267</v>
      </c>
      <c r="C144" s="219" t="s">
        <v>402</v>
      </c>
      <c r="D144" s="218" t="s">
        <v>706</v>
      </c>
      <c r="E144" s="221" t="s">
        <v>707</v>
      </c>
      <c r="T144" s="216"/>
    </row>
    <row r="145" spans="2:20" ht="14.4" x14ac:dyDescent="0.3">
      <c r="B145" s="218" t="s">
        <v>308</v>
      </c>
      <c r="C145" s="219" t="s">
        <v>389</v>
      </c>
      <c r="D145" s="218" t="s">
        <v>708</v>
      </c>
      <c r="E145" s="220" t="s">
        <v>709</v>
      </c>
      <c r="T145" s="216"/>
    </row>
    <row r="146" spans="2:20" ht="14.4" x14ac:dyDescent="0.3">
      <c r="B146" s="218" t="s">
        <v>277</v>
      </c>
      <c r="C146" s="219" t="s">
        <v>369</v>
      </c>
      <c r="D146" s="218" t="s">
        <v>710</v>
      </c>
      <c r="E146" s="221" t="s">
        <v>711</v>
      </c>
      <c r="T146" s="216"/>
    </row>
    <row r="147" spans="2:20" ht="14.4" x14ac:dyDescent="0.3">
      <c r="B147" s="218" t="s">
        <v>277</v>
      </c>
      <c r="C147" s="219" t="s">
        <v>377</v>
      </c>
      <c r="D147" s="218" t="s">
        <v>712</v>
      </c>
      <c r="E147" s="221" t="s">
        <v>713</v>
      </c>
      <c r="T147" s="216"/>
    </row>
    <row r="148" spans="2:20" ht="14.4" x14ac:dyDescent="0.3">
      <c r="B148" s="218" t="s">
        <v>277</v>
      </c>
      <c r="C148" s="219" t="s">
        <v>387</v>
      </c>
      <c r="D148" s="218" t="s">
        <v>714</v>
      </c>
      <c r="E148" s="221" t="s">
        <v>715</v>
      </c>
      <c r="T148" s="216"/>
    </row>
    <row r="149" spans="2:20" ht="14.4" x14ac:dyDescent="0.3">
      <c r="B149" s="218" t="s">
        <v>277</v>
      </c>
      <c r="C149" s="219" t="s">
        <v>400</v>
      </c>
      <c r="D149" s="218" t="s">
        <v>716</v>
      </c>
      <c r="E149" s="221" t="s">
        <v>717</v>
      </c>
      <c r="T149" s="216"/>
    </row>
    <row r="150" spans="2:20" ht="14.4" x14ac:dyDescent="0.3">
      <c r="B150" s="218" t="s">
        <v>718</v>
      </c>
      <c r="C150" s="219" t="s">
        <v>384</v>
      </c>
      <c r="D150" s="218" t="s">
        <v>719</v>
      </c>
      <c r="E150" s="221" t="s">
        <v>720</v>
      </c>
      <c r="T150" s="216"/>
    </row>
    <row r="151" spans="2:20" ht="14.4" x14ac:dyDescent="0.3">
      <c r="B151" s="218" t="s">
        <v>718</v>
      </c>
      <c r="C151" s="219" t="s">
        <v>388</v>
      </c>
      <c r="D151" s="218" t="s">
        <v>721</v>
      </c>
      <c r="E151" s="221" t="s">
        <v>722</v>
      </c>
      <c r="T151" s="216"/>
    </row>
    <row r="152" spans="2:20" ht="14.4" x14ac:dyDescent="0.3">
      <c r="B152" s="218" t="s">
        <v>320</v>
      </c>
      <c r="C152" s="219" t="s">
        <v>365</v>
      </c>
      <c r="D152" s="218" t="s">
        <v>638</v>
      </c>
      <c r="E152" s="221" t="s">
        <v>723</v>
      </c>
      <c r="T152" s="216"/>
    </row>
    <row r="153" spans="2:20" ht="14.4" x14ac:dyDescent="0.3">
      <c r="B153" s="218" t="s">
        <v>320</v>
      </c>
      <c r="C153" s="219" t="s">
        <v>401</v>
      </c>
      <c r="D153" s="218" t="s">
        <v>640</v>
      </c>
      <c r="E153" s="221" t="s">
        <v>724</v>
      </c>
      <c r="T153" s="216"/>
    </row>
    <row r="154" spans="2:20" ht="14.4" x14ac:dyDescent="0.3">
      <c r="B154" s="218" t="s">
        <v>366</v>
      </c>
      <c r="C154" s="219" t="s">
        <v>367</v>
      </c>
      <c r="D154" s="218" t="s">
        <v>725</v>
      </c>
      <c r="E154" s="221" t="s">
        <v>726</v>
      </c>
      <c r="T154" s="216"/>
    </row>
    <row r="155" spans="2:20" ht="14.4" x14ac:dyDescent="0.3">
      <c r="B155" s="218" t="s">
        <v>281</v>
      </c>
      <c r="C155" s="219" t="s">
        <v>374</v>
      </c>
      <c r="D155" s="218" t="s">
        <v>727</v>
      </c>
      <c r="E155" s="221" t="s">
        <v>728</v>
      </c>
      <c r="T155" s="216"/>
    </row>
    <row r="156" spans="2:20" ht="14.4" x14ac:dyDescent="0.3">
      <c r="B156" s="218" t="s">
        <v>397</v>
      </c>
      <c r="C156" s="219" t="s">
        <v>398</v>
      </c>
      <c r="D156" s="218" t="s">
        <v>729</v>
      </c>
      <c r="E156" s="221" t="s">
        <v>730</v>
      </c>
      <c r="T156" s="216"/>
    </row>
    <row r="157" spans="2:20" ht="14.4" x14ac:dyDescent="0.3">
      <c r="B157" s="218" t="s">
        <v>287</v>
      </c>
      <c r="C157" s="219" t="s">
        <v>390</v>
      </c>
      <c r="D157" s="218" t="s">
        <v>731</v>
      </c>
      <c r="E157" s="221" t="s">
        <v>732</v>
      </c>
      <c r="T157" s="216"/>
    </row>
    <row r="158" spans="2:20" ht="14.4" x14ac:dyDescent="0.3">
      <c r="B158" s="218" t="s">
        <v>381</v>
      </c>
      <c r="C158" s="219" t="s">
        <v>382</v>
      </c>
      <c r="D158" s="218" t="s">
        <v>733</v>
      </c>
      <c r="E158" s="221" t="s">
        <v>734</v>
      </c>
      <c r="T158" s="216"/>
    </row>
    <row r="159" spans="2:20" ht="14.4" x14ac:dyDescent="0.3">
      <c r="B159" s="218" t="s">
        <v>290</v>
      </c>
      <c r="C159" s="219" t="s">
        <v>394</v>
      </c>
      <c r="D159" s="218" t="s">
        <v>598</v>
      </c>
      <c r="E159" s="221" t="s">
        <v>735</v>
      </c>
      <c r="T159" s="216"/>
    </row>
    <row r="160" spans="2:20" ht="14.4" x14ac:dyDescent="0.3">
      <c r="B160" s="218" t="s">
        <v>292</v>
      </c>
      <c r="C160" s="219" t="s">
        <v>392</v>
      </c>
      <c r="D160" s="218" t="s">
        <v>600</v>
      </c>
      <c r="E160" s="221" t="s">
        <v>736</v>
      </c>
      <c r="T160" s="216"/>
    </row>
    <row r="161" spans="2:20" ht="14.4" x14ac:dyDescent="0.3">
      <c r="B161" s="218" t="s">
        <v>294</v>
      </c>
      <c r="C161" s="219" t="s">
        <v>370</v>
      </c>
      <c r="D161" s="218" t="s">
        <v>737</v>
      </c>
      <c r="E161" s="221" t="s">
        <v>738</v>
      </c>
      <c r="T161" s="216"/>
    </row>
    <row r="162" spans="2:20" ht="14.4" x14ac:dyDescent="0.3">
      <c r="B162" s="218" t="s">
        <v>294</v>
      </c>
      <c r="C162" s="219" t="s">
        <v>372</v>
      </c>
      <c r="D162" s="218" t="s">
        <v>739</v>
      </c>
      <c r="E162" s="221" t="s">
        <v>740</v>
      </c>
      <c r="T162" s="216"/>
    </row>
    <row r="163" spans="2:20" ht="14.4" x14ac:dyDescent="0.3">
      <c r="B163" s="218" t="s">
        <v>294</v>
      </c>
      <c r="C163" s="219" t="s">
        <v>396</v>
      </c>
      <c r="D163" s="218" t="s">
        <v>741</v>
      </c>
      <c r="E163" s="221" t="s">
        <v>742</v>
      </c>
      <c r="T163" s="216"/>
    </row>
    <row r="164" spans="2:20" ht="14.4" x14ac:dyDescent="0.3">
      <c r="C164"/>
      <c r="T164" s="216"/>
    </row>
    <row r="165" spans="2:20" ht="14.4" x14ac:dyDescent="0.3">
      <c r="C165"/>
      <c r="T165" s="216"/>
    </row>
    <row r="166" spans="2:20" ht="14.4" x14ac:dyDescent="0.3">
      <c r="C166"/>
      <c r="T166" s="216"/>
    </row>
    <row r="167" spans="2:20" ht="14.4" x14ac:dyDescent="0.3">
      <c r="C167"/>
      <c r="T167" s="216"/>
    </row>
    <row r="168" spans="2:20" ht="14.4" x14ac:dyDescent="0.3">
      <c r="C168"/>
      <c r="T168" s="216"/>
    </row>
    <row r="169" spans="2:20" ht="14.4" x14ac:dyDescent="0.3">
      <c r="C169"/>
      <c r="T169" s="216"/>
    </row>
    <row r="170" spans="2:20" ht="14.4" x14ac:dyDescent="0.3">
      <c r="C170"/>
      <c r="T170" s="216"/>
    </row>
    <row r="171" spans="2:20" ht="14.4" x14ac:dyDescent="0.3">
      <c r="C171"/>
      <c r="T171" s="216"/>
    </row>
    <row r="172" spans="2:20" ht="14.4" x14ac:dyDescent="0.3">
      <c r="C172"/>
      <c r="T172" s="216"/>
    </row>
    <row r="173" spans="2:20" ht="14.4" x14ac:dyDescent="0.3">
      <c r="C173"/>
      <c r="T173" s="216"/>
    </row>
    <row r="174" spans="2:20" ht="14.4" x14ac:dyDescent="0.3">
      <c r="C174"/>
      <c r="T174" s="216"/>
    </row>
    <row r="175" spans="2:20" ht="14.4" x14ac:dyDescent="0.3">
      <c r="C175"/>
      <c r="T175" s="216"/>
    </row>
    <row r="176" spans="2:20" ht="14.4" x14ac:dyDescent="0.3">
      <c r="C176"/>
      <c r="T176" s="216"/>
    </row>
    <row r="177" spans="3:20" ht="14.4" x14ac:dyDescent="0.3">
      <c r="C177"/>
      <c r="T177" s="216"/>
    </row>
    <row r="178" spans="3:20" ht="14.4" x14ac:dyDescent="0.3">
      <c r="C178"/>
      <c r="T178" s="216"/>
    </row>
    <row r="179" spans="3:20" ht="14.4" x14ac:dyDescent="0.3">
      <c r="C179"/>
      <c r="T179" s="216"/>
    </row>
    <row r="180" spans="3:20" ht="14.4" x14ac:dyDescent="0.3">
      <c r="C180"/>
      <c r="T180" s="216"/>
    </row>
    <row r="181" spans="3:20" ht="14.4" x14ac:dyDescent="0.3">
      <c r="C181"/>
      <c r="T181" s="216"/>
    </row>
    <row r="182" spans="3:20" ht="14.4" x14ac:dyDescent="0.3">
      <c r="C182"/>
      <c r="T182" s="216"/>
    </row>
    <row r="183" spans="3:20" ht="14.4" x14ac:dyDescent="0.3">
      <c r="C183"/>
      <c r="T183" s="216"/>
    </row>
    <row r="184" spans="3:20" ht="14.4" x14ac:dyDescent="0.3">
      <c r="C184"/>
      <c r="T184" s="216"/>
    </row>
    <row r="185" spans="3:20" ht="14.4" x14ac:dyDescent="0.3">
      <c r="C185"/>
      <c r="T185" s="216"/>
    </row>
    <row r="186" spans="3:20" ht="14.4" x14ac:dyDescent="0.3">
      <c r="C186"/>
      <c r="T186" s="216"/>
    </row>
    <row r="187" spans="3:20" ht="14.4" x14ac:dyDescent="0.3">
      <c r="C187"/>
      <c r="T187" s="216"/>
    </row>
    <row r="188" spans="3:20" ht="14.4" x14ac:dyDescent="0.3">
      <c r="C188"/>
      <c r="T188" s="216"/>
    </row>
    <row r="189" spans="3:20" ht="14.4" x14ac:dyDescent="0.3">
      <c r="C189"/>
      <c r="T189" s="216"/>
    </row>
    <row r="190" spans="3:20" ht="14.4" x14ac:dyDescent="0.3">
      <c r="C190"/>
      <c r="T190" s="216"/>
    </row>
    <row r="191" spans="3:20" ht="14.4" x14ac:dyDescent="0.3">
      <c r="C191"/>
      <c r="T191" s="216"/>
    </row>
    <row r="192" spans="3:20" ht="14.4" x14ac:dyDescent="0.3">
      <c r="C192"/>
      <c r="T192" s="216"/>
    </row>
    <row r="193" spans="3:20" ht="14.4" x14ac:dyDescent="0.3">
      <c r="C193"/>
      <c r="T193" s="216"/>
    </row>
    <row r="194" spans="3:20" x14ac:dyDescent="0.3">
      <c r="T194" s="216"/>
    </row>
    <row r="195" spans="3:20" x14ac:dyDescent="0.3">
      <c r="T195" s="216"/>
    </row>
    <row r="196" spans="3:20" x14ac:dyDescent="0.3">
      <c r="T196" s="216"/>
    </row>
    <row r="197" spans="3:20" x14ac:dyDescent="0.3">
      <c r="T197" s="216"/>
    </row>
    <row r="198" spans="3:20" x14ac:dyDescent="0.3">
      <c r="T198" s="216"/>
    </row>
    <row r="199" spans="3:20" x14ac:dyDescent="0.3">
      <c r="T199" s="216"/>
    </row>
    <row r="200" spans="3:20" x14ac:dyDescent="0.3">
      <c r="T200" s="216"/>
    </row>
    <row r="201" spans="3:20" x14ac:dyDescent="0.3">
      <c r="T201" s="216"/>
    </row>
    <row r="202" spans="3:20" x14ac:dyDescent="0.3">
      <c r="T202" s="216"/>
    </row>
    <row r="203" spans="3:20" x14ac:dyDescent="0.3">
      <c r="T203" s="216"/>
    </row>
    <row r="204" spans="3:20" x14ac:dyDescent="0.3">
      <c r="T204" s="216"/>
    </row>
    <row r="205" spans="3:20" x14ac:dyDescent="0.3">
      <c r="T205" s="216"/>
    </row>
    <row r="206" spans="3:20" x14ac:dyDescent="0.3">
      <c r="T206" s="216"/>
    </row>
    <row r="207" spans="3:20" x14ac:dyDescent="0.3">
      <c r="T207" s="216"/>
    </row>
    <row r="208" spans="3:20" x14ac:dyDescent="0.3">
      <c r="T208" s="216"/>
    </row>
    <row r="209" spans="20:20" x14ac:dyDescent="0.3">
      <c r="T209" s="216"/>
    </row>
    <row r="210" spans="20:20" x14ac:dyDescent="0.3">
      <c r="T210" s="216"/>
    </row>
    <row r="211" spans="20:20" x14ac:dyDescent="0.3">
      <c r="T211" s="216"/>
    </row>
    <row r="212" spans="20:20" x14ac:dyDescent="0.3">
      <c r="T212" s="216"/>
    </row>
    <row r="213" spans="20:20" x14ac:dyDescent="0.3">
      <c r="T213" s="216"/>
    </row>
    <row r="214" spans="20:20" x14ac:dyDescent="0.3">
      <c r="T214" s="216"/>
    </row>
    <row r="215" spans="20:20" x14ac:dyDescent="0.3">
      <c r="T215" s="216"/>
    </row>
    <row r="216" spans="20:20" x14ac:dyDescent="0.3">
      <c r="T216" s="216"/>
    </row>
    <row r="217" spans="20:20" x14ac:dyDescent="0.3">
      <c r="T217" s="216"/>
    </row>
    <row r="218" spans="20:20" x14ac:dyDescent="0.3">
      <c r="T218" s="216"/>
    </row>
    <row r="219" spans="20:20" x14ac:dyDescent="0.3">
      <c r="T219" s="216"/>
    </row>
    <row r="220" spans="20:20" x14ac:dyDescent="0.3">
      <c r="T220" s="216"/>
    </row>
    <row r="221" spans="20:20" x14ac:dyDescent="0.3">
      <c r="T221" s="216"/>
    </row>
    <row r="222" spans="20:20" x14ac:dyDescent="0.3">
      <c r="T222" s="216"/>
    </row>
    <row r="223" spans="20:20" x14ac:dyDescent="0.3">
      <c r="T223" s="216"/>
    </row>
    <row r="224" spans="20:20" x14ac:dyDescent="0.3">
      <c r="T224" s="216"/>
    </row>
    <row r="225" spans="20:20" x14ac:dyDescent="0.3">
      <c r="T225" s="216"/>
    </row>
    <row r="226" spans="20:20" x14ac:dyDescent="0.3">
      <c r="T226" s="216"/>
    </row>
    <row r="227" spans="20:20" x14ac:dyDescent="0.3">
      <c r="T227" s="216"/>
    </row>
    <row r="228" spans="20:20" x14ac:dyDescent="0.3">
      <c r="T228" s="216"/>
    </row>
    <row r="229" spans="20:20" x14ac:dyDescent="0.3">
      <c r="T229" s="216"/>
    </row>
    <row r="230" spans="20:20" x14ac:dyDescent="0.3">
      <c r="T230" s="216"/>
    </row>
    <row r="231" spans="20:20" x14ac:dyDescent="0.3">
      <c r="T231" s="216"/>
    </row>
    <row r="232" spans="20:20" x14ac:dyDescent="0.3">
      <c r="T232" s="216"/>
    </row>
    <row r="233" spans="20:20" x14ac:dyDescent="0.3">
      <c r="T233" s="216"/>
    </row>
    <row r="234" spans="20:20" x14ac:dyDescent="0.3">
      <c r="T234" s="216"/>
    </row>
    <row r="235" spans="20:20" x14ac:dyDescent="0.3">
      <c r="T235" s="216"/>
    </row>
    <row r="236" spans="20:20" x14ac:dyDescent="0.3">
      <c r="T236" s="216"/>
    </row>
    <row r="237" spans="20:20" x14ac:dyDescent="0.3">
      <c r="T237" s="216"/>
    </row>
    <row r="238" spans="20:20" x14ac:dyDescent="0.3">
      <c r="T238" s="216"/>
    </row>
    <row r="239" spans="20:20" x14ac:dyDescent="0.3">
      <c r="T239" s="216"/>
    </row>
    <row r="240" spans="20:20" x14ac:dyDescent="0.3">
      <c r="T240" s="216"/>
    </row>
    <row r="241" spans="20:20" x14ac:dyDescent="0.3">
      <c r="T241" s="216"/>
    </row>
    <row r="242" spans="20:20" x14ac:dyDescent="0.3">
      <c r="T242" s="216"/>
    </row>
    <row r="243" spans="20:20" x14ac:dyDescent="0.3">
      <c r="T243" s="216"/>
    </row>
    <row r="244" spans="20:20" x14ac:dyDescent="0.3">
      <c r="T244" s="216"/>
    </row>
    <row r="245" spans="20:20" x14ac:dyDescent="0.3">
      <c r="T245" s="216"/>
    </row>
    <row r="246" spans="20:20" x14ac:dyDescent="0.3">
      <c r="T246" s="216"/>
    </row>
    <row r="247" spans="20:20" x14ac:dyDescent="0.3">
      <c r="T247" s="216"/>
    </row>
    <row r="248" spans="20:20" x14ac:dyDescent="0.3">
      <c r="T248" s="216"/>
    </row>
    <row r="249" spans="20:20" x14ac:dyDescent="0.3">
      <c r="T249" s="216"/>
    </row>
    <row r="250" spans="20:20" x14ac:dyDescent="0.3">
      <c r="T250" s="216"/>
    </row>
    <row r="251" spans="20:20" x14ac:dyDescent="0.3">
      <c r="T251" s="216"/>
    </row>
    <row r="252" spans="20:20" x14ac:dyDescent="0.3">
      <c r="T252" s="216"/>
    </row>
    <row r="253" spans="20:20" x14ac:dyDescent="0.3">
      <c r="T253" s="216"/>
    </row>
    <row r="254" spans="20:20" x14ac:dyDescent="0.3">
      <c r="T254" s="216"/>
    </row>
    <row r="255" spans="20:20" x14ac:dyDescent="0.3">
      <c r="T255" s="216"/>
    </row>
    <row r="256" spans="20:20" x14ac:dyDescent="0.3">
      <c r="T256" s="216"/>
    </row>
    <row r="257" spans="20:20" x14ac:dyDescent="0.3">
      <c r="T257" s="216"/>
    </row>
    <row r="258" spans="20:20" x14ac:dyDescent="0.3">
      <c r="T258" s="216"/>
    </row>
    <row r="259" spans="20:20" x14ac:dyDescent="0.3">
      <c r="T259" s="216"/>
    </row>
    <row r="260" spans="20:20" x14ac:dyDescent="0.3">
      <c r="T260" s="216"/>
    </row>
    <row r="261" spans="20:20" x14ac:dyDescent="0.3">
      <c r="T261" s="216"/>
    </row>
    <row r="262" spans="20:20" x14ac:dyDescent="0.3">
      <c r="T262" s="216"/>
    </row>
    <row r="263" spans="20:20" x14ac:dyDescent="0.3">
      <c r="T263" s="216"/>
    </row>
    <row r="264" spans="20:20" x14ac:dyDescent="0.3">
      <c r="T264" s="216"/>
    </row>
    <row r="265" spans="20:20" x14ac:dyDescent="0.3">
      <c r="T265" s="216"/>
    </row>
    <row r="266" spans="20:20" x14ac:dyDescent="0.3">
      <c r="T266" s="216"/>
    </row>
    <row r="267" spans="20:20" x14ac:dyDescent="0.3">
      <c r="T267" s="216"/>
    </row>
    <row r="268" spans="20:20" x14ac:dyDescent="0.3">
      <c r="T268" s="216"/>
    </row>
    <row r="269" spans="20:20" x14ac:dyDescent="0.3">
      <c r="T269" s="216"/>
    </row>
    <row r="270" spans="20:20" x14ac:dyDescent="0.3">
      <c r="T270" s="216"/>
    </row>
    <row r="271" spans="20:20" x14ac:dyDescent="0.3">
      <c r="T271" s="216"/>
    </row>
    <row r="272" spans="20:20" x14ac:dyDescent="0.3">
      <c r="T272" s="216"/>
    </row>
    <row r="273" spans="20:20" x14ac:dyDescent="0.3">
      <c r="T273" s="216"/>
    </row>
    <row r="274" spans="20:20" x14ac:dyDescent="0.3">
      <c r="T274" s="216"/>
    </row>
    <row r="275" spans="20:20" x14ac:dyDescent="0.3">
      <c r="T275" s="216"/>
    </row>
    <row r="276" spans="20:20" x14ac:dyDescent="0.3">
      <c r="T276" s="216"/>
    </row>
    <row r="277" spans="20:20" x14ac:dyDescent="0.3">
      <c r="T277" s="216"/>
    </row>
    <row r="278" spans="20:20" x14ac:dyDescent="0.3">
      <c r="T278" s="216"/>
    </row>
    <row r="279" spans="20:20" x14ac:dyDescent="0.3">
      <c r="T279" s="216"/>
    </row>
    <row r="280" spans="20:20" x14ac:dyDescent="0.3">
      <c r="T280" s="216"/>
    </row>
    <row r="281" spans="20:20" x14ac:dyDescent="0.3">
      <c r="T281" s="216"/>
    </row>
    <row r="282" spans="20:20" x14ac:dyDescent="0.3">
      <c r="T282" s="216"/>
    </row>
    <row r="283" spans="20:20" x14ac:dyDescent="0.3">
      <c r="T283" s="216"/>
    </row>
    <row r="284" spans="20:20" x14ac:dyDescent="0.3">
      <c r="T284" s="216"/>
    </row>
    <row r="285" spans="20:20" x14ac:dyDescent="0.3">
      <c r="T285" s="216"/>
    </row>
    <row r="286" spans="20:20" x14ac:dyDescent="0.3">
      <c r="T286" s="216"/>
    </row>
    <row r="287" spans="20:20" x14ac:dyDescent="0.3">
      <c r="T287" s="216"/>
    </row>
    <row r="288" spans="20:20" x14ac:dyDescent="0.3">
      <c r="T288" s="216"/>
    </row>
    <row r="289" spans="20:20" x14ac:dyDescent="0.3">
      <c r="T289" s="216"/>
    </row>
    <row r="290" spans="20:20" x14ac:dyDescent="0.3">
      <c r="T290" s="216"/>
    </row>
    <row r="291" spans="20:20" x14ac:dyDescent="0.3">
      <c r="T291" s="216"/>
    </row>
    <row r="292" spans="20:20" x14ac:dyDescent="0.3">
      <c r="T292" s="216"/>
    </row>
    <row r="293" spans="20:20" x14ac:dyDescent="0.3">
      <c r="T293" s="216"/>
    </row>
    <row r="294" spans="20:20" x14ac:dyDescent="0.3">
      <c r="T294" s="216"/>
    </row>
    <row r="295" spans="20:20" x14ac:dyDescent="0.3">
      <c r="T295" s="216"/>
    </row>
    <row r="296" spans="20:20" x14ac:dyDescent="0.3">
      <c r="T296" s="216"/>
    </row>
    <row r="297" spans="20:20" x14ac:dyDescent="0.3">
      <c r="T297" s="216"/>
    </row>
    <row r="298" spans="20:20" x14ac:dyDescent="0.3">
      <c r="T298" s="216"/>
    </row>
    <row r="299" spans="20:20" x14ac:dyDescent="0.3">
      <c r="T299" s="216"/>
    </row>
    <row r="300" spans="20:20" x14ac:dyDescent="0.3">
      <c r="T300" s="216"/>
    </row>
    <row r="301" spans="20:20" x14ac:dyDescent="0.3">
      <c r="T301" s="216"/>
    </row>
    <row r="302" spans="20:20" x14ac:dyDescent="0.3">
      <c r="T302" s="216"/>
    </row>
    <row r="303" spans="20:20" x14ac:dyDescent="0.3">
      <c r="T303" s="216"/>
    </row>
    <row r="304" spans="20:20" x14ac:dyDescent="0.3">
      <c r="T304" s="216"/>
    </row>
    <row r="305" spans="20:20" x14ac:dyDescent="0.3">
      <c r="T305" s="216"/>
    </row>
    <row r="306" spans="20:20" x14ac:dyDescent="0.3">
      <c r="T306" s="216"/>
    </row>
    <row r="307" spans="20:20" x14ac:dyDescent="0.3">
      <c r="T307" s="216"/>
    </row>
    <row r="308" spans="20:20" x14ac:dyDescent="0.3">
      <c r="T308" s="216"/>
    </row>
    <row r="309" spans="20:20" x14ac:dyDescent="0.3">
      <c r="T309" s="216"/>
    </row>
    <row r="310" spans="20:20" x14ac:dyDescent="0.3">
      <c r="T310" s="216"/>
    </row>
    <row r="311" spans="20:20" x14ac:dyDescent="0.3">
      <c r="T311" s="216"/>
    </row>
    <row r="312" spans="20:20" x14ac:dyDescent="0.3">
      <c r="T312" s="216"/>
    </row>
    <row r="313" spans="20:20" x14ac:dyDescent="0.3">
      <c r="T313" s="216"/>
    </row>
    <row r="314" spans="20:20" x14ac:dyDescent="0.3">
      <c r="T314" s="216"/>
    </row>
    <row r="315" spans="20:20" x14ac:dyDescent="0.3">
      <c r="T315" s="216"/>
    </row>
    <row r="316" spans="20:20" x14ac:dyDescent="0.3">
      <c r="T316" s="216"/>
    </row>
    <row r="317" spans="20:20" x14ac:dyDescent="0.3">
      <c r="T317" s="216"/>
    </row>
    <row r="318" spans="20:20" x14ac:dyDescent="0.3">
      <c r="T318" s="216"/>
    </row>
    <row r="319" spans="20:20" x14ac:dyDescent="0.3">
      <c r="T319" s="216"/>
    </row>
    <row r="320" spans="20:20" x14ac:dyDescent="0.3">
      <c r="T320" s="216"/>
    </row>
    <row r="321" spans="20:20" x14ac:dyDescent="0.3">
      <c r="T321" s="216"/>
    </row>
    <row r="322" spans="20:20" x14ac:dyDescent="0.3">
      <c r="T322" s="216"/>
    </row>
    <row r="323" spans="20:20" x14ac:dyDescent="0.3">
      <c r="T323" s="216"/>
    </row>
    <row r="324" spans="20:20" x14ac:dyDescent="0.3">
      <c r="T324" s="216"/>
    </row>
    <row r="325" spans="20:20" x14ac:dyDescent="0.3">
      <c r="T325" s="216"/>
    </row>
    <row r="326" spans="20:20" x14ac:dyDescent="0.3">
      <c r="T326" s="216"/>
    </row>
    <row r="327" spans="20:20" x14ac:dyDescent="0.3">
      <c r="T327" s="216"/>
    </row>
    <row r="328" spans="20:20" x14ac:dyDescent="0.3">
      <c r="T328" s="216"/>
    </row>
    <row r="329" spans="20:20" x14ac:dyDescent="0.3">
      <c r="T329" s="216"/>
    </row>
    <row r="330" spans="20:20" x14ac:dyDescent="0.3">
      <c r="T330" s="216"/>
    </row>
    <row r="331" spans="20:20" x14ac:dyDescent="0.3">
      <c r="T331" s="216"/>
    </row>
    <row r="332" spans="20:20" x14ac:dyDescent="0.3">
      <c r="T332" s="216"/>
    </row>
    <row r="333" spans="20:20" x14ac:dyDescent="0.3">
      <c r="T333" s="216"/>
    </row>
    <row r="334" spans="20:20" x14ac:dyDescent="0.3">
      <c r="T334" s="216"/>
    </row>
    <row r="335" spans="20:20" x14ac:dyDescent="0.3">
      <c r="T335" s="216"/>
    </row>
    <row r="336" spans="20:20" x14ac:dyDescent="0.3">
      <c r="T336" s="216"/>
    </row>
    <row r="337" spans="20:20" x14ac:dyDescent="0.3">
      <c r="T337" s="216"/>
    </row>
    <row r="338" spans="20:20" x14ac:dyDescent="0.3">
      <c r="T338" s="216"/>
    </row>
    <row r="339" spans="20:20" x14ac:dyDescent="0.3">
      <c r="T339" s="216"/>
    </row>
    <row r="340" spans="20:20" x14ac:dyDescent="0.3">
      <c r="T340" s="216"/>
    </row>
    <row r="341" spans="20:20" x14ac:dyDescent="0.3">
      <c r="T341" s="216"/>
    </row>
    <row r="342" spans="20:20" x14ac:dyDescent="0.3">
      <c r="T342" s="216"/>
    </row>
    <row r="343" spans="20:20" x14ac:dyDescent="0.3">
      <c r="T343" s="216"/>
    </row>
    <row r="344" spans="20:20" x14ac:dyDescent="0.3">
      <c r="T344" s="216"/>
    </row>
    <row r="345" spans="20:20" x14ac:dyDescent="0.3">
      <c r="T345" s="216"/>
    </row>
    <row r="346" spans="20:20" x14ac:dyDescent="0.3">
      <c r="T346" s="216"/>
    </row>
    <row r="347" spans="20:20" x14ac:dyDescent="0.3">
      <c r="T347" s="216"/>
    </row>
    <row r="348" spans="20:20" x14ac:dyDescent="0.3">
      <c r="T348" s="216"/>
    </row>
    <row r="349" spans="20:20" x14ac:dyDescent="0.3">
      <c r="T349" s="216"/>
    </row>
    <row r="350" spans="20:20" x14ac:dyDescent="0.3">
      <c r="T350" s="216"/>
    </row>
    <row r="351" spans="20:20" x14ac:dyDescent="0.3">
      <c r="T351" s="216"/>
    </row>
    <row r="352" spans="20:20" x14ac:dyDescent="0.3">
      <c r="T352" s="216"/>
    </row>
    <row r="353" spans="20:20" x14ac:dyDescent="0.3">
      <c r="T353" s="216"/>
    </row>
    <row r="354" spans="20:20" x14ac:dyDescent="0.3">
      <c r="T354" s="216"/>
    </row>
    <row r="355" spans="20:20" x14ac:dyDescent="0.3">
      <c r="T355" s="216"/>
    </row>
    <row r="356" spans="20:20" x14ac:dyDescent="0.3">
      <c r="T356" s="216"/>
    </row>
    <row r="357" spans="20:20" x14ac:dyDescent="0.3">
      <c r="T357" s="216"/>
    </row>
    <row r="358" spans="20:20" x14ac:dyDescent="0.3">
      <c r="T358" s="216"/>
    </row>
    <row r="359" spans="20:20" x14ac:dyDescent="0.3">
      <c r="T359" s="216"/>
    </row>
    <row r="360" spans="20:20" x14ac:dyDescent="0.3">
      <c r="T360" s="216"/>
    </row>
    <row r="361" spans="20:20" x14ac:dyDescent="0.3">
      <c r="T361" s="216"/>
    </row>
    <row r="362" spans="20:20" x14ac:dyDescent="0.3">
      <c r="T362" s="216"/>
    </row>
    <row r="363" spans="20:20" x14ac:dyDescent="0.3">
      <c r="T363" s="216"/>
    </row>
    <row r="364" spans="20:20" x14ac:dyDescent="0.3">
      <c r="T364" s="216"/>
    </row>
    <row r="365" spans="20:20" x14ac:dyDescent="0.3">
      <c r="T365" s="216"/>
    </row>
    <row r="366" spans="20:20" x14ac:dyDescent="0.3">
      <c r="T366" s="216"/>
    </row>
    <row r="367" spans="20:20" x14ac:dyDescent="0.3">
      <c r="T367" s="216"/>
    </row>
    <row r="368" spans="20:20" x14ac:dyDescent="0.3">
      <c r="T368" s="216"/>
    </row>
    <row r="369" spans="20:20" x14ac:dyDescent="0.3">
      <c r="T369" s="216"/>
    </row>
    <row r="370" spans="20:20" x14ac:dyDescent="0.3">
      <c r="T370" s="216"/>
    </row>
    <row r="371" spans="20:20" x14ac:dyDescent="0.3">
      <c r="T371" s="216"/>
    </row>
    <row r="372" spans="20:20" x14ac:dyDescent="0.3">
      <c r="T372" s="216"/>
    </row>
    <row r="373" spans="20:20" x14ac:dyDescent="0.3">
      <c r="T373" s="216"/>
    </row>
    <row r="374" spans="20:20" x14ac:dyDescent="0.3">
      <c r="T374" s="216"/>
    </row>
    <row r="375" spans="20:20" x14ac:dyDescent="0.3">
      <c r="T375" s="216"/>
    </row>
    <row r="376" spans="20:20" x14ac:dyDescent="0.3">
      <c r="T376" s="216"/>
    </row>
    <row r="377" spans="20:20" x14ac:dyDescent="0.3">
      <c r="T377" s="216"/>
    </row>
    <row r="378" spans="20:20" x14ac:dyDescent="0.3">
      <c r="T378" s="216"/>
    </row>
    <row r="379" spans="20:20" x14ac:dyDescent="0.3">
      <c r="T379" s="216"/>
    </row>
    <row r="380" spans="20:20" x14ac:dyDescent="0.3">
      <c r="T380" s="216"/>
    </row>
    <row r="381" spans="20:20" x14ac:dyDescent="0.3">
      <c r="T381" s="216"/>
    </row>
    <row r="382" spans="20:20" x14ac:dyDescent="0.3">
      <c r="T382" s="216"/>
    </row>
    <row r="383" spans="20:20" x14ac:dyDescent="0.3">
      <c r="T383" s="216"/>
    </row>
    <row r="384" spans="20:20" x14ac:dyDescent="0.3">
      <c r="T384" s="216"/>
    </row>
    <row r="385" spans="20:20" x14ac:dyDescent="0.3">
      <c r="T385" s="216"/>
    </row>
    <row r="386" spans="20:20" x14ac:dyDescent="0.3">
      <c r="T386" s="216"/>
    </row>
    <row r="387" spans="20:20" x14ac:dyDescent="0.3">
      <c r="T387" s="216"/>
    </row>
    <row r="388" spans="20:20" x14ac:dyDescent="0.3">
      <c r="T388" s="216"/>
    </row>
    <row r="389" spans="20:20" x14ac:dyDescent="0.3">
      <c r="T389" s="216"/>
    </row>
    <row r="390" spans="20:20" x14ac:dyDescent="0.3">
      <c r="T390" s="216"/>
    </row>
    <row r="391" spans="20:20" x14ac:dyDescent="0.3">
      <c r="T391" s="216"/>
    </row>
    <row r="392" spans="20:20" x14ac:dyDescent="0.3">
      <c r="T392" s="216"/>
    </row>
    <row r="393" spans="20:20" x14ac:dyDescent="0.3">
      <c r="T393" s="216"/>
    </row>
    <row r="394" spans="20:20" x14ac:dyDescent="0.3">
      <c r="T394" s="216"/>
    </row>
    <row r="395" spans="20:20" x14ac:dyDescent="0.3">
      <c r="T395" s="216"/>
    </row>
    <row r="396" spans="20:20" x14ac:dyDescent="0.3">
      <c r="T396" s="216"/>
    </row>
    <row r="397" spans="20:20" x14ac:dyDescent="0.3">
      <c r="T397" s="216"/>
    </row>
    <row r="398" spans="20:20" x14ac:dyDescent="0.3">
      <c r="T398" s="216"/>
    </row>
    <row r="399" spans="20:20" x14ac:dyDescent="0.3">
      <c r="T399" s="216"/>
    </row>
    <row r="400" spans="20:20" x14ac:dyDescent="0.3">
      <c r="T400" s="216"/>
    </row>
    <row r="401" spans="20:20" x14ac:dyDescent="0.3">
      <c r="T401" s="216"/>
    </row>
    <row r="402" spans="20:20" x14ac:dyDescent="0.3">
      <c r="T402" s="216"/>
    </row>
    <row r="403" spans="20:20" x14ac:dyDescent="0.3">
      <c r="T403" s="216"/>
    </row>
    <row r="404" spans="20:20" x14ac:dyDescent="0.3">
      <c r="T404" s="216"/>
    </row>
    <row r="405" spans="20:20" x14ac:dyDescent="0.3">
      <c r="T405" s="216"/>
    </row>
    <row r="406" spans="20:20" x14ac:dyDescent="0.3">
      <c r="T406" s="216"/>
    </row>
    <row r="407" spans="20:20" x14ac:dyDescent="0.3">
      <c r="T407" s="216"/>
    </row>
    <row r="408" spans="20:20" x14ac:dyDescent="0.3">
      <c r="T408" s="216"/>
    </row>
    <row r="409" spans="20:20" x14ac:dyDescent="0.3">
      <c r="T409" s="216"/>
    </row>
    <row r="410" spans="20:20" x14ac:dyDescent="0.3">
      <c r="T410" s="216"/>
    </row>
    <row r="411" spans="20:20" x14ac:dyDescent="0.3">
      <c r="T411" s="216"/>
    </row>
    <row r="412" spans="20:20" x14ac:dyDescent="0.3">
      <c r="T412" s="216"/>
    </row>
    <row r="413" spans="20:20" x14ac:dyDescent="0.3">
      <c r="T413" s="216"/>
    </row>
    <row r="414" spans="20:20" x14ac:dyDescent="0.3">
      <c r="T414" s="216"/>
    </row>
    <row r="415" spans="20:20" x14ac:dyDescent="0.3">
      <c r="T415" s="216"/>
    </row>
    <row r="416" spans="20:20" x14ac:dyDescent="0.3">
      <c r="T416" s="216"/>
    </row>
    <row r="417" spans="20:20" x14ac:dyDescent="0.3">
      <c r="T417" s="216"/>
    </row>
    <row r="418" spans="20:20" x14ac:dyDescent="0.3">
      <c r="T418" s="216"/>
    </row>
    <row r="419" spans="20:20" x14ac:dyDescent="0.3">
      <c r="T419" s="216"/>
    </row>
    <row r="420" spans="20:20" x14ac:dyDescent="0.3">
      <c r="T420" s="216"/>
    </row>
    <row r="421" spans="20:20" x14ac:dyDescent="0.3">
      <c r="T421" s="216"/>
    </row>
    <row r="422" spans="20:20" x14ac:dyDescent="0.3">
      <c r="T422" s="216"/>
    </row>
    <row r="423" spans="20:20" x14ac:dyDescent="0.3">
      <c r="T423" s="216"/>
    </row>
    <row r="424" spans="20:20" x14ac:dyDescent="0.3">
      <c r="T424" s="216"/>
    </row>
    <row r="425" spans="20:20" x14ac:dyDescent="0.3">
      <c r="T425" s="216"/>
    </row>
    <row r="426" spans="20:20" x14ac:dyDescent="0.3">
      <c r="T426" s="216"/>
    </row>
    <row r="427" spans="20:20" x14ac:dyDescent="0.3">
      <c r="T427" s="216"/>
    </row>
    <row r="428" spans="20:20" x14ac:dyDescent="0.3">
      <c r="T428" s="216"/>
    </row>
    <row r="429" spans="20:20" x14ac:dyDescent="0.3">
      <c r="T429" s="216"/>
    </row>
    <row r="430" spans="20:20" x14ac:dyDescent="0.3">
      <c r="T430" s="216"/>
    </row>
    <row r="431" spans="20:20" x14ac:dyDescent="0.3">
      <c r="T431" s="216"/>
    </row>
    <row r="432" spans="20:20" x14ac:dyDescent="0.3">
      <c r="T432" s="216"/>
    </row>
    <row r="433" spans="20:20" x14ac:dyDescent="0.3">
      <c r="T433" s="216"/>
    </row>
    <row r="434" spans="20:20" x14ac:dyDescent="0.3">
      <c r="T434" s="216"/>
    </row>
    <row r="435" spans="20:20" x14ac:dyDescent="0.3">
      <c r="T435" s="216"/>
    </row>
    <row r="436" spans="20:20" x14ac:dyDescent="0.3">
      <c r="T436" s="216"/>
    </row>
    <row r="437" spans="20:20" x14ac:dyDescent="0.3">
      <c r="T437" s="216"/>
    </row>
    <row r="438" spans="20:20" x14ac:dyDescent="0.3">
      <c r="T438" s="216"/>
    </row>
    <row r="439" spans="20:20" x14ac:dyDescent="0.3">
      <c r="T439" s="216"/>
    </row>
    <row r="440" spans="20:20" x14ac:dyDescent="0.3">
      <c r="T440" s="216"/>
    </row>
  </sheetData>
  <phoneticPr fontId="12" type="noConversion"/>
  <conditionalFormatting sqref="V4:V7">
    <cfRule type="cellIs" dxfId="45" priority="85" operator="equal">
      <formula>"Nuclear"</formula>
    </cfRule>
    <cfRule type="cellIs" priority="86" operator="equal">
      <formula>"Nuclear"</formula>
    </cfRule>
    <cfRule type="cellIs" priority="87" operator="equal">
      <formula>"Nuclear"</formula>
    </cfRule>
    <cfRule type="cellIs" dxfId="44" priority="88" operator="equal">
      <formula>"""Nuclear"""</formula>
    </cfRule>
  </conditionalFormatting>
  <conditionalFormatting sqref="V4:V7">
    <cfRule type="cellIs" dxfId="43" priority="84" operator="equal">
      <formula>"Wind"</formula>
    </cfRule>
  </conditionalFormatting>
  <conditionalFormatting sqref="V8:V11">
    <cfRule type="cellIs" dxfId="42" priority="80" operator="equal">
      <formula>"Nuclear"</formula>
    </cfRule>
    <cfRule type="cellIs" priority="81" operator="equal">
      <formula>"Nuclear"</formula>
    </cfRule>
    <cfRule type="cellIs" priority="82" operator="equal">
      <formula>"Nuclear"</formula>
    </cfRule>
    <cfRule type="cellIs" dxfId="41" priority="83" operator="equal">
      <formula>"""Nuclear"""</formula>
    </cfRule>
  </conditionalFormatting>
  <conditionalFormatting sqref="V8:V11">
    <cfRule type="cellIs" dxfId="40" priority="79" operator="equal">
      <formula>"Wind"</formula>
    </cfRule>
  </conditionalFormatting>
  <conditionalFormatting sqref="B77">
    <cfRule type="cellIs" dxfId="39" priority="65" operator="equal">
      <formula>"Nuclear"</formula>
    </cfRule>
    <cfRule type="cellIs" priority="66" operator="equal">
      <formula>"Nuclear"</formula>
    </cfRule>
    <cfRule type="cellIs" priority="67" operator="equal">
      <formula>"Nuclear"</formula>
    </cfRule>
    <cfRule type="cellIs" dxfId="38" priority="68" operator="equal">
      <formula>"""Nuclear"""</formula>
    </cfRule>
  </conditionalFormatting>
  <conditionalFormatting sqref="B77">
    <cfRule type="cellIs" dxfId="37" priority="64" operator="equal">
      <formula>"Wind"</formula>
    </cfRule>
  </conditionalFormatting>
  <conditionalFormatting sqref="D77:E77">
    <cfRule type="cellIs" dxfId="36" priority="39" operator="equal">
      <formula>"Nuclear"</formula>
    </cfRule>
    <cfRule type="cellIs" priority="40" operator="equal">
      <formula>"Nuclear"</formula>
    </cfRule>
    <cfRule type="cellIs" priority="41" operator="equal">
      <formula>"Nuclear"</formula>
    </cfRule>
    <cfRule type="cellIs" dxfId="35" priority="42" operator="equal">
      <formula>"""Nuclear"""</formula>
    </cfRule>
  </conditionalFormatting>
  <conditionalFormatting sqref="D77:E77">
    <cfRule type="cellIs" dxfId="34" priority="38" operator="equal">
      <formula>"Wind"</formula>
    </cfRule>
  </conditionalFormatting>
  <conditionalFormatting sqref="C77">
    <cfRule type="cellIs" dxfId="33" priority="34" operator="equal">
      <formula>"Nuclear"</formula>
    </cfRule>
    <cfRule type="cellIs" priority="35" operator="equal">
      <formula>"Nuclear"</formula>
    </cfRule>
    <cfRule type="cellIs" priority="36" operator="equal">
      <formula>"Nuclear"</formula>
    </cfRule>
    <cfRule type="cellIs" dxfId="32" priority="37" operator="equal">
      <formula>"""Nuclear"""</formula>
    </cfRule>
  </conditionalFormatting>
  <conditionalFormatting sqref="C77">
    <cfRule type="cellIs" dxfId="31" priority="33" operator="equal">
      <formula>"Wind"</formula>
    </cfRule>
  </conditionalFormatting>
  <conditionalFormatting sqref="E55:E130">
    <cfRule type="duplicateValues" dxfId="30" priority="32"/>
  </conditionalFormatting>
  <conditionalFormatting sqref="D77">
    <cfRule type="cellIs" dxfId="29" priority="28" operator="equal">
      <formula>"Nuclear"</formula>
    </cfRule>
    <cfRule type="cellIs" priority="29" operator="equal">
      <formula>"Nuclear"</formula>
    </cfRule>
    <cfRule type="cellIs" priority="30" operator="equal">
      <formula>"Nuclear"</formula>
    </cfRule>
    <cfRule type="cellIs" dxfId="28" priority="31" operator="equal">
      <formula>"""Nuclear"""</formula>
    </cfRule>
  </conditionalFormatting>
  <conditionalFormatting sqref="D77">
    <cfRule type="cellIs" dxfId="27" priority="27" operator="equal">
      <formula>"Wind"</formula>
    </cfRule>
  </conditionalFormatting>
  <conditionalFormatting sqref="E164:E1048576 E1:E130 K77:K105">
    <cfRule type="duplicateValues" dxfId="26" priority="89"/>
  </conditionalFormatting>
  <conditionalFormatting sqref="E131:E149">
    <cfRule type="duplicateValues" dxfId="25" priority="24"/>
  </conditionalFormatting>
  <conditionalFormatting sqref="E131:E163">
    <cfRule type="duplicateValues" dxfId="24" priority="23"/>
    <cfRule type="duplicateValues" dxfId="23" priority="25"/>
  </conditionalFormatting>
  <conditionalFormatting sqref="B138">
    <cfRule type="cellIs" dxfId="22" priority="19" operator="equal">
      <formula>"Nuclear"</formula>
    </cfRule>
    <cfRule type="cellIs" priority="20" operator="equal">
      <formula>"Nuclear"</formula>
    </cfRule>
    <cfRule type="cellIs" priority="21" operator="equal">
      <formula>"Nuclear"</formula>
    </cfRule>
    <cfRule type="cellIs" dxfId="21" priority="22" operator="equal">
      <formula>"""Nuclear"""</formula>
    </cfRule>
  </conditionalFormatting>
  <conditionalFormatting sqref="B138">
    <cfRule type="cellIs" dxfId="20" priority="18" operator="equal">
      <formula>"Wind"</formula>
    </cfRule>
  </conditionalFormatting>
  <conditionalFormatting sqref="D138:E138 E139:E140">
    <cfRule type="cellIs" dxfId="19" priority="14" operator="equal">
      <formula>"Nuclear"</formula>
    </cfRule>
    <cfRule type="cellIs" priority="15" operator="equal">
      <formula>"Nuclear"</formula>
    </cfRule>
    <cfRule type="cellIs" priority="16" operator="equal">
      <formula>"Nuclear"</formula>
    </cfRule>
    <cfRule type="cellIs" dxfId="18" priority="17" operator="equal">
      <formula>"""Nuclear"""</formula>
    </cfRule>
  </conditionalFormatting>
  <conditionalFormatting sqref="D138:E138 E139:E140">
    <cfRule type="cellIs" dxfId="17" priority="13" operator="equal">
      <formula>"Wind"</formula>
    </cfRule>
  </conditionalFormatting>
  <conditionalFormatting sqref="C138">
    <cfRule type="cellIs" dxfId="16" priority="9" operator="equal">
      <formula>"Nuclear"</formula>
    </cfRule>
    <cfRule type="cellIs" priority="10" operator="equal">
      <formula>"Nuclear"</formula>
    </cfRule>
    <cfRule type="cellIs" priority="11" operator="equal">
      <formula>"Nuclear"</formula>
    </cfRule>
    <cfRule type="cellIs" dxfId="15" priority="12" operator="equal">
      <formula>"""Nuclear"""</formula>
    </cfRule>
  </conditionalFormatting>
  <conditionalFormatting sqref="C138">
    <cfRule type="cellIs" dxfId="14" priority="8" operator="equal">
      <formula>"Wind"</formula>
    </cfRule>
  </conditionalFormatting>
  <conditionalFormatting sqref="D138">
    <cfRule type="cellIs" dxfId="13" priority="4" operator="equal">
      <formula>"Nuclear"</formula>
    </cfRule>
    <cfRule type="cellIs" priority="5" operator="equal">
      <formula>"Nuclear"</formula>
    </cfRule>
    <cfRule type="cellIs" priority="6" operator="equal">
      <formula>"Nuclear"</formula>
    </cfRule>
    <cfRule type="cellIs" dxfId="12" priority="7" operator="equal">
      <formula>"""Nuclear"""</formula>
    </cfRule>
  </conditionalFormatting>
  <conditionalFormatting sqref="D138">
    <cfRule type="cellIs" dxfId="11" priority="3" operator="equal">
      <formula>"Wind"</formula>
    </cfRule>
  </conditionalFormatting>
  <conditionalFormatting sqref="E150:E151">
    <cfRule type="duplicateValues" dxfId="10" priority="2"/>
  </conditionalFormatting>
  <conditionalFormatting sqref="E1:E1048576">
    <cfRule type="duplicateValues" dxfId="9" priority="1"/>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Y153"/>
  <sheetViews>
    <sheetView zoomScale="80" zoomScaleNormal="80" workbookViewId="0">
      <selection activeCell="G57" sqref="G57"/>
    </sheetView>
  </sheetViews>
  <sheetFormatPr defaultColWidth="8.88671875" defaultRowHeight="13.2" x14ac:dyDescent="0.25"/>
  <cols>
    <col min="1" max="1" width="8.44140625" style="8" customWidth="1"/>
    <col min="2" max="2" width="29.109375" style="8" bestFit="1" customWidth="1"/>
    <col min="3" max="3" width="16.6640625" style="8" bestFit="1" customWidth="1"/>
    <col min="4" max="5" width="8.88671875" style="8"/>
    <col min="6" max="7" width="29.109375" style="8" bestFit="1" customWidth="1"/>
    <col min="8" max="8" width="10.6640625" style="8" bestFit="1" customWidth="1"/>
    <col min="9" max="9" width="30.109375" style="8" bestFit="1" customWidth="1"/>
    <col min="10" max="10" width="30.33203125" style="8" bestFit="1" customWidth="1"/>
    <col min="11" max="16384" width="8.88671875" style="8"/>
  </cols>
  <sheetData>
    <row r="1" spans="2:10" ht="26.4" x14ac:dyDescent="0.25">
      <c r="C1" s="18" t="s">
        <v>743</v>
      </c>
    </row>
    <row r="2" spans="2:10" x14ac:dyDescent="0.25">
      <c r="B2" s="10" t="s">
        <v>744</v>
      </c>
      <c r="F2" s="10" t="s">
        <v>744</v>
      </c>
      <c r="I2" s="10"/>
    </row>
    <row r="3" spans="2:10" x14ac:dyDescent="0.25">
      <c r="B3" s="19" t="s">
        <v>745</v>
      </c>
      <c r="C3" s="19" t="s">
        <v>746</v>
      </c>
      <c r="F3" s="19" t="s">
        <v>746</v>
      </c>
      <c r="G3" s="20" t="s">
        <v>747</v>
      </c>
      <c r="H3" s="21" t="s">
        <v>748</v>
      </c>
      <c r="I3" s="21" t="s">
        <v>748</v>
      </c>
      <c r="J3" s="21" t="s">
        <v>748</v>
      </c>
    </row>
    <row r="4" spans="2:10" x14ac:dyDescent="0.25">
      <c r="B4" s="10" t="s">
        <v>749</v>
      </c>
      <c r="C4" s="10" t="s">
        <v>750</v>
      </c>
      <c r="D4" s="8">
        <f t="shared" ref="D4:D9" si="0">IF(COUNTIF($F$4:$F$58,C4)=1,"ok",COUNTIF($F$4:$F$58,C4))</f>
        <v>0</v>
      </c>
      <c r="G4" s="10"/>
    </row>
    <row r="5" spans="2:10" x14ac:dyDescent="0.25">
      <c r="B5" s="10" t="s">
        <v>751</v>
      </c>
      <c r="C5" s="10" t="s">
        <v>752</v>
      </c>
      <c r="D5" s="8">
        <f t="shared" si="0"/>
        <v>0</v>
      </c>
    </row>
    <row r="6" spans="2:10" x14ac:dyDescent="0.25">
      <c r="B6" s="10" t="s">
        <v>753</v>
      </c>
      <c r="C6" s="10" t="s">
        <v>754</v>
      </c>
      <c r="D6" s="8">
        <f t="shared" si="0"/>
        <v>0</v>
      </c>
    </row>
    <row r="7" spans="2:10" x14ac:dyDescent="0.25">
      <c r="B7" s="10" t="s">
        <v>755</v>
      </c>
      <c r="C7" s="10" t="s">
        <v>756</v>
      </c>
      <c r="D7" s="8">
        <f t="shared" si="0"/>
        <v>0</v>
      </c>
    </row>
    <row r="8" spans="2:10" x14ac:dyDescent="0.25">
      <c r="B8" s="10" t="s">
        <v>757</v>
      </c>
      <c r="C8" s="10" t="s">
        <v>758</v>
      </c>
      <c r="D8" s="8">
        <f t="shared" si="0"/>
        <v>0</v>
      </c>
      <c r="G8" s="10"/>
    </row>
    <row r="9" spans="2:10" x14ac:dyDescent="0.25">
      <c r="B9" s="10" t="s">
        <v>759</v>
      </c>
      <c r="C9" s="10" t="s">
        <v>760</v>
      </c>
      <c r="D9" s="8">
        <f t="shared" si="0"/>
        <v>0</v>
      </c>
    </row>
    <row r="16" spans="2:10" x14ac:dyDescent="0.25">
      <c r="B16" s="14"/>
      <c r="C16" s="14"/>
      <c r="F16" s="14"/>
      <c r="G16" s="14"/>
    </row>
    <row r="17" spans="2:7" x14ac:dyDescent="0.25">
      <c r="F17" s="14"/>
      <c r="G17" s="14"/>
    </row>
    <row r="18" spans="2:7" x14ac:dyDescent="0.25">
      <c r="B18" s="10"/>
      <c r="C18" s="10"/>
      <c r="F18" s="14"/>
      <c r="G18" s="14"/>
    </row>
    <row r="19" spans="2:7" x14ac:dyDescent="0.25">
      <c r="F19" s="14"/>
      <c r="G19" s="14"/>
    </row>
    <row r="20" spans="2:7" x14ac:dyDescent="0.25">
      <c r="E20" s="14"/>
      <c r="F20" s="14"/>
      <c r="G20" s="14"/>
    </row>
    <row r="21" spans="2:7" x14ac:dyDescent="0.25">
      <c r="E21" s="14"/>
    </row>
    <row r="22" spans="2:7" x14ac:dyDescent="0.25">
      <c r="E22" s="14"/>
    </row>
    <row r="23" spans="2:7" x14ac:dyDescent="0.25">
      <c r="B23" s="14"/>
      <c r="C23" s="14"/>
      <c r="E23" s="14"/>
    </row>
    <row r="24" spans="2:7" x14ac:dyDescent="0.25">
      <c r="E24" s="14"/>
    </row>
    <row r="25" spans="2:7" x14ac:dyDescent="0.25">
      <c r="B25" s="14"/>
      <c r="C25" s="14"/>
      <c r="E25" s="14"/>
    </row>
    <row r="26" spans="2:7" x14ac:dyDescent="0.25">
      <c r="B26" s="14"/>
      <c r="C26" s="14"/>
      <c r="E26" s="14"/>
    </row>
    <row r="27" spans="2:7" x14ac:dyDescent="0.25">
      <c r="B27" s="14"/>
      <c r="C27" s="14"/>
      <c r="E27" s="14"/>
    </row>
    <row r="28" spans="2:7" x14ac:dyDescent="0.25">
      <c r="B28" s="14"/>
      <c r="C28" s="14"/>
      <c r="E28" s="14"/>
    </row>
    <row r="29" spans="2:7" x14ac:dyDescent="0.25">
      <c r="E29" s="14"/>
    </row>
    <row r="30" spans="2:7" x14ac:dyDescent="0.25">
      <c r="E30" s="14"/>
    </row>
    <row r="31" spans="2:7" x14ac:dyDescent="0.25">
      <c r="E31" s="14"/>
    </row>
    <row r="38" spans="2:3" x14ac:dyDescent="0.25">
      <c r="B38" s="14"/>
      <c r="C38" s="14"/>
    </row>
    <row r="40" spans="2:3" x14ac:dyDescent="0.25">
      <c r="B40" s="10"/>
    </row>
    <row r="45" spans="2:3" x14ac:dyDescent="0.25">
      <c r="B45" s="14"/>
      <c r="C45" s="14"/>
    </row>
    <row r="49" spans="1:25" x14ac:dyDescent="0.25">
      <c r="B49" s="14"/>
      <c r="C49" s="14"/>
    </row>
    <row r="50" spans="1:25" x14ac:dyDescent="0.25">
      <c r="B50" s="14"/>
      <c r="C50" s="14"/>
    </row>
    <row r="51" spans="1:25" x14ac:dyDescent="0.25">
      <c r="B51" s="14"/>
    </row>
    <row r="53" spans="1:25" x14ac:dyDescent="0.25">
      <c r="B53" s="14"/>
      <c r="C53" s="14"/>
    </row>
    <row r="54" spans="1:25" ht="14.4" x14ac:dyDescent="0.3">
      <c r="B54" s="14"/>
      <c r="C54" s="14"/>
      <c r="Q54" s="22"/>
      <c r="R54" s="22"/>
    </row>
    <row r="55" spans="1:25" ht="14.4" x14ac:dyDescent="0.3">
      <c r="B55" s="14"/>
      <c r="C55" s="14"/>
      <c r="L55" s="22"/>
      <c r="M55" s="22"/>
      <c r="N55" s="22"/>
      <c r="O55" s="22"/>
      <c r="P55" s="22"/>
      <c r="Q55" s="22"/>
      <c r="R55" s="22"/>
      <c r="S55" s="22"/>
      <c r="T55" s="22"/>
      <c r="U55" s="22"/>
      <c r="V55" s="22"/>
      <c r="W55" s="22"/>
      <c r="X55" s="22"/>
      <c r="Y55" s="22"/>
    </row>
    <row r="56" spans="1:25" s="22" customFormat="1" ht="14.4" x14ac:dyDescent="0.3">
      <c r="A56" s="8"/>
      <c r="B56" s="14"/>
      <c r="C56" s="14"/>
      <c r="D56" s="8"/>
      <c r="E56" s="8"/>
      <c r="F56" s="8"/>
      <c r="G56" s="8"/>
      <c r="H56" s="8"/>
      <c r="I56" s="8"/>
      <c r="J56" s="8"/>
      <c r="K56" s="8"/>
    </row>
    <row r="57" spans="1:25" s="22" customFormat="1" ht="14.4" x14ac:dyDescent="0.3">
      <c r="A57" s="8"/>
      <c r="B57" s="8"/>
      <c r="C57" s="8"/>
      <c r="D57" s="8"/>
      <c r="E57" s="8"/>
      <c r="F57" s="8"/>
      <c r="G57" s="8"/>
      <c r="H57" s="8"/>
      <c r="I57" s="8"/>
      <c r="J57" s="8"/>
      <c r="K57" s="8"/>
    </row>
    <row r="58" spans="1:25" s="22" customFormat="1" ht="14.4" x14ac:dyDescent="0.3">
      <c r="A58" s="8"/>
      <c r="B58" s="8"/>
      <c r="C58" s="8"/>
      <c r="D58" s="8"/>
      <c r="F58" s="8"/>
      <c r="G58" s="8"/>
      <c r="H58" s="8"/>
      <c r="I58" s="8"/>
      <c r="J58" s="8"/>
      <c r="K58" s="8"/>
    </row>
    <row r="59" spans="1:25" s="22" customFormat="1" ht="14.4" x14ac:dyDescent="0.3">
      <c r="A59" s="8"/>
      <c r="B59" s="8"/>
      <c r="C59" s="8"/>
      <c r="D59" s="8"/>
      <c r="F59" s="8"/>
      <c r="G59" s="8"/>
      <c r="H59" s="8"/>
      <c r="I59" s="8"/>
      <c r="J59" s="8"/>
      <c r="K59" s="8"/>
    </row>
    <row r="60" spans="1:25" s="22" customFormat="1" ht="14.4" x14ac:dyDescent="0.3">
      <c r="A60" s="8"/>
      <c r="B60" s="8"/>
      <c r="C60" s="8"/>
      <c r="D60" s="8"/>
    </row>
    <row r="61" spans="1:25" s="22" customFormat="1" ht="14.4" x14ac:dyDescent="0.3">
      <c r="A61" s="8"/>
      <c r="B61" s="8"/>
      <c r="C61" s="8"/>
      <c r="D61" s="8"/>
      <c r="Q61" s="14"/>
      <c r="R61" s="14"/>
    </row>
    <row r="62" spans="1:25" s="22" customFormat="1" ht="14.4" x14ac:dyDescent="0.3">
      <c r="A62" s="8"/>
      <c r="B62" s="8"/>
      <c r="C62" s="8"/>
      <c r="D62" s="8"/>
      <c r="L62" s="14"/>
      <c r="M62" s="14"/>
      <c r="N62" s="14"/>
      <c r="O62" s="14"/>
      <c r="P62" s="14"/>
      <c r="Q62" s="14"/>
      <c r="R62" s="14"/>
      <c r="S62" s="14"/>
      <c r="T62" s="14"/>
      <c r="U62" s="14"/>
      <c r="V62" s="14"/>
      <c r="W62" s="14"/>
      <c r="X62" s="14"/>
      <c r="Y62" s="14"/>
    </row>
    <row r="63" spans="1:25" s="14" customFormat="1" ht="14.4" x14ac:dyDescent="0.3">
      <c r="A63" s="22"/>
      <c r="B63" s="22"/>
      <c r="C63" s="10"/>
      <c r="D63" s="8"/>
      <c r="E63" s="22"/>
      <c r="F63" s="22"/>
      <c r="G63" s="22"/>
      <c r="H63" s="22"/>
      <c r="I63" s="22"/>
      <c r="J63" s="22"/>
      <c r="K63" s="22"/>
    </row>
    <row r="64" spans="1:25" s="14" customFormat="1" ht="14.4" x14ac:dyDescent="0.3">
      <c r="A64" s="22"/>
      <c r="B64" s="22"/>
      <c r="C64" s="22"/>
      <c r="D64" s="8"/>
      <c r="E64" s="22"/>
      <c r="F64" s="22"/>
      <c r="G64" s="22"/>
      <c r="H64" s="22"/>
      <c r="I64" s="22"/>
      <c r="J64" s="22"/>
      <c r="K64" s="22"/>
    </row>
    <row r="65" spans="1:25" s="14" customFormat="1" ht="14.4" x14ac:dyDescent="0.3">
      <c r="B65" s="8"/>
      <c r="C65" s="8"/>
      <c r="D65" s="8"/>
      <c r="F65" s="22"/>
      <c r="G65" s="22"/>
      <c r="H65" s="22"/>
      <c r="I65" s="22"/>
      <c r="J65" s="22"/>
      <c r="K65" s="22"/>
    </row>
    <row r="66" spans="1:25" s="14" customFormat="1" ht="14.4" x14ac:dyDescent="0.3">
      <c r="B66" s="8"/>
      <c r="C66" s="8"/>
      <c r="D66" s="8"/>
      <c r="G66" s="22"/>
      <c r="H66" s="22"/>
      <c r="I66" s="22"/>
      <c r="J66" s="22"/>
      <c r="K66" s="22"/>
      <c r="Q66" s="8"/>
      <c r="R66" s="8"/>
    </row>
    <row r="67" spans="1:25" s="14" customFormat="1" ht="14.4" x14ac:dyDescent="0.3">
      <c r="I67" s="22"/>
      <c r="J67" s="22"/>
      <c r="K67" s="22"/>
      <c r="P67" s="8"/>
      <c r="Q67" s="8"/>
      <c r="R67" s="8"/>
      <c r="S67" s="8"/>
      <c r="T67" s="8"/>
      <c r="U67" s="8"/>
      <c r="V67" s="8"/>
      <c r="W67" s="8"/>
      <c r="X67" s="8"/>
      <c r="Y67" s="8"/>
    </row>
    <row r="68" spans="1:25" ht="14.4" x14ac:dyDescent="0.3">
      <c r="A68" s="14"/>
      <c r="B68" s="14"/>
      <c r="C68" s="14"/>
      <c r="D68" s="14"/>
      <c r="E68" s="14"/>
      <c r="F68" s="14"/>
      <c r="G68" s="14"/>
      <c r="H68" s="14"/>
      <c r="I68" s="22"/>
      <c r="J68" s="22"/>
      <c r="K68" s="22"/>
      <c r="L68" s="14"/>
      <c r="M68" s="14"/>
      <c r="N68" s="14"/>
      <c r="O68" s="14"/>
    </row>
    <row r="69" spans="1:25" ht="14.4" x14ac:dyDescent="0.3">
      <c r="A69" s="14"/>
      <c r="B69" s="14"/>
      <c r="C69" s="14"/>
      <c r="D69" s="14"/>
      <c r="E69" s="14"/>
      <c r="F69" s="14"/>
      <c r="G69" s="14"/>
      <c r="H69" s="14"/>
      <c r="I69" s="22"/>
      <c r="J69" s="22"/>
      <c r="K69" s="22"/>
      <c r="L69" s="14"/>
      <c r="M69" s="14"/>
      <c r="N69" s="14"/>
    </row>
    <row r="70" spans="1:25" ht="14.4" x14ac:dyDescent="0.3">
      <c r="B70" s="14"/>
      <c r="C70" s="14"/>
      <c r="D70" s="14"/>
      <c r="E70" s="14"/>
      <c r="F70" s="14"/>
      <c r="G70" s="14"/>
      <c r="H70" s="14"/>
      <c r="I70" s="22"/>
      <c r="J70" s="22"/>
      <c r="K70" s="22"/>
      <c r="L70" s="14"/>
      <c r="M70" s="14"/>
      <c r="N70" s="14"/>
    </row>
    <row r="71" spans="1:25" ht="14.4" x14ac:dyDescent="0.3">
      <c r="B71" s="14"/>
      <c r="C71" s="14"/>
      <c r="D71" s="14"/>
      <c r="E71" s="14"/>
      <c r="G71" s="14"/>
      <c r="H71" s="14"/>
      <c r="I71" s="22"/>
      <c r="J71" s="22"/>
      <c r="K71" s="22"/>
      <c r="L71" s="14"/>
      <c r="M71" s="14"/>
      <c r="N71" s="14"/>
    </row>
    <row r="72" spans="1:25" ht="14.4" x14ac:dyDescent="0.3">
      <c r="B72" s="14"/>
      <c r="C72" s="14"/>
      <c r="D72" s="14"/>
      <c r="E72" s="14"/>
      <c r="H72" s="14"/>
      <c r="I72" s="22"/>
      <c r="J72" s="22"/>
      <c r="K72" s="22"/>
    </row>
    <row r="73" spans="1:25" ht="14.4" x14ac:dyDescent="0.3">
      <c r="B73" s="14"/>
      <c r="C73" s="14"/>
      <c r="E73" s="14"/>
      <c r="H73" s="14"/>
      <c r="I73" s="22"/>
      <c r="J73" s="22"/>
      <c r="K73" s="22"/>
    </row>
    <row r="74" spans="1:25" ht="14.4" x14ac:dyDescent="0.3">
      <c r="B74" s="14"/>
      <c r="C74" s="14"/>
      <c r="H74" s="14"/>
      <c r="I74" s="22"/>
      <c r="J74" s="22"/>
      <c r="K74" s="22"/>
    </row>
    <row r="75" spans="1:25" ht="14.4" x14ac:dyDescent="0.3">
      <c r="B75" s="14"/>
      <c r="C75" s="14"/>
      <c r="H75" s="14"/>
      <c r="I75" s="22"/>
      <c r="J75" s="22"/>
      <c r="K75" s="22"/>
    </row>
    <row r="76" spans="1:25" ht="14.4" x14ac:dyDescent="0.3">
      <c r="H76" s="14"/>
      <c r="I76" s="22"/>
      <c r="J76" s="22"/>
      <c r="K76" s="22"/>
    </row>
    <row r="77" spans="1:25" ht="14.4" x14ac:dyDescent="0.3">
      <c r="H77" s="14"/>
      <c r="I77" s="22"/>
      <c r="J77" s="22"/>
      <c r="K77" s="22"/>
    </row>
    <row r="78" spans="1:25" ht="14.4" x14ac:dyDescent="0.3">
      <c r="H78" s="14"/>
      <c r="I78" s="22"/>
      <c r="J78" s="22"/>
      <c r="K78" s="22"/>
    </row>
    <row r="79" spans="1:25" ht="14.4" x14ac:dyDescent="0.3">
      <c r="H79" s="14"/>
      <c r="I79" s="22"/>
      <c r="J79" s="22"/>
      <c r="K79" s="22"/>
    </row>
    <row r="80" spans="1:25" ht="14.4" x14ac:dyDescent="0.3">
      <c r="H80" s="14"/>
      <c r="I80" s="22"/>
      <c r="J80" s="22"/>
      <c r="K80" s="22"/>
    </row>
    <row r="81" spans="8:11" ht="14.4" x14ac:dyDescent="0.3">
      <c r="H81" s="14"/>
      <c r="I81" s="22"/>
      <c r="J81" s="22"/>
      <c r="K81" s="22"/>
    </row>
    <row r="82" spans="8:11" ht="14.4" x14ac:dyDescent="0.3">
      <c r="H82" s="14"/>
      <c r="I82" s="22"/>
      <c r="J82" s="22"/>
      <c r="K82" s="22"/>
    </row>
    <row r="83" spans="8:11" ht="14.4" x14ac:dyDescent="0.3">
      <c r="H83" s="14"/>
      <c r="I83" s="22"/>
      <c r="J83" s="22"/>
      <c r="K83" s="22"/>
    </row>
    <row r="84" spans="8:11" ht="14.4" x14ac:dyDescent="0.3">
      <c r="H84" s="14"/>
      <c r="I84" s="22"/>
      <c r="J84" s="22"/>
      <c r="K84" s="22"/>
    </row>
    <row r="85" spans="8:11" ht="14.4" x14ac:dyDescent="0.3">
      <c r="H85" s="14"/>
      <c r="I85" s="22"/>
      <c r="J85" s="22"/>
      <c r="K85" s="22"/>
    </row>
    <row r="86" spans="8:11" ht="14.4" x14ac:dyDescent="0.3">
      <c r="H86" s="14"/>
      <c r="I86" s="22"/>
      <c r="J86" s="22"/>
      <c r="K86" s="22"/>
    </row>
    <row r="87" spans="8:11" ht="14.4" x14ac:dyDescent="0.3">
      <c r="H87" s="14"/>
      <c r="I87" s="22"/>
      <c r="J87" s="22"/>
      <c r="K87" s="22"/>
    </row>
    <row r="88" spans="8:11" ht="14.4" x14ac:dyDescent="0.3">
      <c r="H88" s="14"/>
      <c r="I88" s="22"/>
      <c r="J88" s="22"/>
      <c r="K88" s="22"/>
    </row>
    <row r="89" spans="8:11" ht="14.4" x14ac:dyDescent="0.3">
      <c r="H89" s="14"/>
      <c r="I89" s="22"/>
      <c r="J89" s="22"/>
      <c r="K89" s="22"/>
    </row>
    <row r="90" spans="8:11" ht="14.4" x14ac:dyDescent="0.3">
      <c r="H90" s="14"/>
      <c r="I90" s="22"/>
      <c r="J90" s="22"/>
      <c r="K90" s="22"/>
    </row>
    <row r="91" spans="8:11" ht="14.4" x14ac:dyDescent="0.3">
      <c r="H91" s="14"/>
      <c r="I91" s="22"/>
      <c r="J91" s="22"/>
      <c r="K91" s="22"/>
    </row>
    <row r="92" spans="8:11" ht="14.4" x14ac:dyDescent="0.3">
      <c r="H92" s="14"/>
      <c r="I92" s="22"/>
      <c r="J92" s="22"/>
      <c r="K92" s="22"/>
    </row>
    <row r="93" spans="8:11" ht="14.4" x14ac:dyDescent="0.3">
      <c r="H93" s="14"/>
      <c r="I93" s="22"/>
      <c r="J93" s="22"/>
      <c r="K93" s="22"/>
    </row>
    <row r="94" spans="8:11" ht="14.4" x14ac:dyDescent="0.3">
      <c r="H94" s="14"/>
      <c r="I94" s="22"/>
      <c r="J94" s="22"/>
      <c r="K94" s="22"/>
    </row>
    <row r="95" spans="8:11" ht="14.4" x14ac:dyDescent="0.3">
      <c r="H95" s="14"/>
      <c r="I95" s="22"/>
      <c r="J95" s="22"/>
      <c r="K95" s="22"/>
    </row>
    <row r="96" spans="8:11" ht="14.4" x14ac:dyDescent="0.3">
      <c r="H96" s="14"/>
      <c r="I96" s="22"/>
      <c r="J96" s="22"/>
      <c r="K96" s="22"/>
    </row>
    <row r="97" spans="1:25" ht="14.4" x14ac:dyDescent="0.3">
      <c r="H97" s="14"/>
      <c r="I97" s="22"/>
      <c r="J97" s="22"/>
      <c r="K97" s="22"/>
    </row>
    <row r="98" spans="1:25" ht="14.4" x14ac:dyDescent="0.3">
      <c r="H98" s="14"/>
      <c r="I98" s="22"/>
      <c r="J98" s="22"/>
      <c r="K98" s="22"/>
    </row>
    <row r="99" spans="1:25" ht="14.4" x14ac:dyDescent="0.3">
      <c r="H99" s="14"/>
      <c r="I99" s="22"/>
      <c r="J99" s="22"/>
      <c r="K99" s="22"/>
    </row>
    <row r="100" spans="1:25" ht="14.4" x14ac:dyDescent="0.3">
      <c r="H100" s="14"/>
      <c r="I100" s="22"/>
      <c r="J100" s="22"/>
      <c r="K100" s="22"/>
    </row>
    <row r="101" spans="1:25" ht="14.4" x14ac:dyDescent="0.3">
      <c r="H101" s="14"/>
      <c r="I101" s="22"/>
      <c r="J101" s="22"/>
      <c r="K101" s="22"/>
    </row>
    <row r="102" spans="1:25" ht="14.4" x14ac:dyDescent="0.3">
      <c r="H102" s="14"/>
      <c r="I102" s="22"/>
      <c r="J102" s="22"/>
      <c r="K102" s="22"/>
    </row>
    <row r="103" spans="1:25" ht="14.4" x14ac:dyDescent="0.3">
      <c r="H103" s="14"/>
      <c r="I103" s="22"/>
      <c r="J103" s="22"/>
      <c r="K103" s="22"/>
    </row>
    <row r="104" spans="1:25" ht="14.4" x14ac:dyDescent="0.3">
      <c r="H104" s="14"/>
      <c r="I104" s="22"/>
      <c r="J104" s="22"/>
      <c r="K104" s="22"/>
    </row>
    <row r="105" spans="1:25" ht="14.4" x14ac:dyDescent="0.3">
      <c r="H105" s="14"/>
      <c r="I105" s="22"/>
      <c r="J105" s="22"/>
      <c r="K105" s="22"/>
    </row>
    <row r="106" spans="1:25" ht="14.4" x14ac:dyDescent="0.3">
      <c r="H106" s="14"/>
      <c r="I106" s="22"/>
      <c r="J106" s="22"/>
      <c r="K106" s="22"/>
    </row>
    <row r="107" spans="1:25" ht="14.4" x14ac:dyDescent="0.3">
      <c r="H107" s="14"/>
      <c r="I107" s="22"/>
      <c r="J107" s="22"/>
      <c r="K107" s="22"/>
      <c r="Q107" s="14"/>
      <c r="R107" s="14"/>
    </row>
    <row r="108" spans="1:25" ht="14.4" x14ac:dyDescent="0.3">
      <c r="H108" s="14"/>
      <c r="I108" s="22"/>
      <c r="J108" s="22"/>
      <c r="K108" s="22"/>
      <c r="P108" s="14"/>
      <c r="Q108" s="14"/>
      <c r="R108" s="14"/>
      <c r="S108" s="14"/>
      <c r="T108" s="14"/>
      <c r="U108" s="14"/>
      <c r="V108" s="14"/>
      <c r="W108" s="14"/>
      <c r="X108" s="14"/>
      <c r="Y108" s="14"/>
    </row>
    <row r="109" spans="1:25" s="14" customFormat="1" ht="14.4" x14ac:dyDescent="0.3">
      <c r="A109" s="8"/>
      <c r="B109" s="8"/>
      <c r="C109" s="8"/>
      <c r="D109" s="8"/>
      <c r="E109" s="8"/>
      <c r="F109" s="8"/>
      <c r="G109" s="8"/>
      <c r="I109" s="22"/>
      <c r="J109" s="22"/>
      <c r="K109" s="22"/>
      <c r="L109" s="8"/>
      <c r="M109" s="8"/>
      <c r="N109" s="8"/>
      <c r="O109" s="8"/>
    </row>
    <row r="110" spans="1:25" s="14" customFormat="1" ht="14.4" x14ac:dyDescent="0.3">
      <c r="A110" s="8"/>
      <c r="B110" s="8"/>
      <c r="C110" s="8"/>
      <c r="D110" s="8"/>
      <c r="E110" s="8"/>
      <c r="F110" s="8"/>
      <c r="G110" s="8"/>
      <c r="I110" s="22"/>
      <c r="J110" s="22"/>
      <c r="K110" s="22"/>
      <c r="L110" s="8"/>
      <c r="M110" s="8"/>
      <c r="N110" s="8"/>
    </row>
    <row r="111" spans="1:25" s="14" customFormat="1" ht="14.4" x14ac:dyDescent="0.3">
      <c r="B111" s="8"/>
      <c r="C111" s="8"/>
      <c r="D111" s="8"/>
      <c r="E111" s="8"/>
      <c r="F111" s="8"/>
      <c r="G111" s="8"/>
      <c r="I111" s="22"/>
      <c r="J111" s="22"/>
      <c r="K111" s="22"/>
      <c r="L111" s="8"/>
      <c r="M111" s="8"/>
      <c r="N111" s="8"/>
    </row>
    <row r="112" spans="1:25" s="14" customFormat="1" ht="14.4" x14ac:dyDescent="0.3">
      <c r="B112" s="8"/>
      <c r="C112" s="8"/>
      <c r="D112" s="8"/>
      <c r="E112" s="8"/>
      <c r="G112" s="8"/>
      <c r="I112" s="22"/>
      <c r="J112" s="22"/>
      <c r="K112" s="22"/>
      <c r="L112" s="8"/>
      <c r="M112" s="8"/>
      <c r="N112" s="8"/>
      <c r="Q112" s="22"/>
      <c r="R112" s="22"/>
    </row>
    <row r="113" spans="1:25" s="14" customFormat="1" ht="14.4" x14ac:dyDescent="0.3">
      <c r="B113" s="8"/>
      <c r="C113" s="8"/>
      <c r="D113" s="8"/>
      <c r="E113" s="8"/>
      <c r="I113" s="22"/>
      <c r="J113" s="22"/>
      <c r="K113" s="22"/>
      <c r="L113" s="22"/>
      <c r="M113" s="22"/>
      <c r="N113" s="22"/>
      <c r="O113" s="22"/>
      <c r="P113" s="22"/>
      <c r="Q113" s="22"/>
      <c r="R113" s="22"/>
      <c r="S113" s="22"/>
      <c r="T113" s="22"/>
      <c r="U113" s="22"/>
      <c r="V113" s="22"/>
      <c r="W113" s="22"/>
      <c r="X113" s="22"/>
      <c r="Y113" s="22"/>
    </row>
    <row r="114" spans="1:25" s="22" customFormat="1" ht="14.4" x14ac:dyDescent="0.3">
      <c r="A114" s="14"/>
      <c r="B114" s="8"/>
      <c r="C114" s="8"/>
      <c r="E114" s="8"/>
      <c r="F114" s="14"/>
      <c r="G114" s="14"/>
      <c r="H114" s="14"/>
    </row>
    <row r="115" spans="1:25" s="22" customFormat="1" ht="14.4" x14ac:dyDescent="0.3">
      <c r="B115" s="8"/>
      <c r="C115" s="8"/>
      <c r="F115" s="14"/>
      <c r="G115" s="14"/>
      <c r="H115" s="14"/>
    </row>
    <row r="116" spans="1:25" s="22" customFormat="1" ht="14.4" x14ac:dyDescent="0.3">
      <c r="B116" s="8"/>
      <c r="C116" s="8"/>
      <c r="F116" s="14"/>
      <c r="G116" s="14"/>
      <c r="H116" s="14"/>
    </row>
    <row r="117" spans="1:25" s="22" customFormat="1" ht="14.4" x14ac:dyDescent="0.3">
      <c r="G117" s="14"/>
      <c r="H117" s="14"/>
    </row>
    <row r="118" spans="1:25" s="22" customFormat="1" ht="14.4" x14ac:dyDescent="0.3"/>
    <row r="119" spans="1:25" s="22" customFormat="1" ht="14.4" x14ac:dyDescent="0.3"/>
    <row r="120" spans="1:25" s="22" customFormat="1" ht="14.4" x14ac:dyDescent="0.3"/>
    <row r="121" spans="1:25" s="22" customFormat="1" ht="14.4" x14ac:dyDescent="0.3"/>
    <row r="122" spans="1:25" s="22" customFormat="1" ht="14.4" x14ac:dyDescent="0.3"/>
    <row r="123" spans="1:25" s="22" customFormat="1" ht="14.4" x14ac:dyDescent="0.3"/>
    <row r="124" spans="1:25" s="22" customFormat="1" ht="14.4" x14ac:dyDescent="0.3"/>
    <row r="125" spans="1:25" s="22" customFormat="1" ht="14.4" x14ac:dyDescent="0.3"/>
    <row r="126" spans="1:25" s="22" customFormat="1" ht="14.4" x14ac:dyDescent="0.3"/>
    <row r="127" spans="1:25" s="22" customFormat="1" ht="14.4" x14ac:dyDescent="0.3"/>
    <row r="128" spans="1:25" s="22" customFormat="1" ht="14.4" x14ac:dyDescent="0.3"/>
    <row r="129" spans="1:25" s="22" customFormat="1" ht="14.4" x14ac:dyDescent="0.3"/>
    <row r="130" spans="1:25" s="22" customFormat="1" ht="14.4" x14ac:dyDescent="0.3"/>
    <row r="131" spans="1:25" s="22" customFormat="1" ht="14.4" x14ac:dyDescent="0.3"/>
    <row r="132" spans="1:25" s="22" customFormat="1" ht="14.4" x14ac:dyDescent="0.3"/>
    <row r="133" spans="1:25" s="22" customFormat="1" ht="14.4" x14ac:dyDescent="0.3">
      <c r="Q133" s="8"/>
      <c r="R133" s="8"/>
    </row>
    <row r="134" spans="1:25" s="22" customFormat="1" ht="14.4" x14ac:dyDescent="0.3">
      <c r="L134" s="8"/>
      <c r="M134" s="8"/>
      <c r="N134" s="8"/>
      <c r="O134" s="8"/>
      <c r="P134" s="8"/>
      <c r="Q134" s="8"/>
      <c r="R134" s="8"/>
      <c r="S134" s="8"/>
      <c r="T134" s="8"/>
      <c r="U134" s="8"/>
      <c r="V134" s="8"/>
      <c r="W134" s="8"/>
      <c r="X134" s="8"/>
      <c r="Y134" s="8"/>
    </row>
    <row r="135" spans="1:25" ht="14.4" x14ac:dyDescent="0.3">
      <c r="A135" s="22"/>
      <c r="B135" s="22"/>
      <c r="C135" s="22"/>
      <c r="E135" s="22"/>
      <c r="F135" s="22"/>
      <c r="G135" s="22"/>
      <c r="H135" s="22"/>
      <c r="I135" s="22"/>
      <c r="J135" s="22"/>
      <c r="K135" s="22"/>
    </row>
    <row r="136" spans="1:25" ht="14.4" x14ac:dyDescent="0.3">
      <c r="B136" s="22"/>
      <c r="C136" s="22"/>
      <c r="F136" s="22"/>
      <c r="G136" s="22"/>
      <c r="H136" s="22"/>
      <c r="I136" s="22"/>
      <c r="J136" s="22"/>
      <c r="K136" s="22"/>
    </row>
    <row r="137" spans="1:25" ht="14.4" x14ac:dyDescent="0.3">
      <c r="B137" s="22"/>
      <c r="C137" s="22"/>
      <c r="F137" s="22"/>
      <c r="G137" s="22"/>
      <c r="H137" s="22"/>
      <c r="I137" s="22"/>
      <c r="J137" s="22"/>
      <c r="K137" s="22"/>
    </row>
    <row r="138" spans="1:25" ht="14.4" x14ac:dyDescent="0.3">
      <c r="G138" s="22"/>
      <c r="H138" s="22"/>
      <c r="I138" s="22"/>
      <c r="J138" s="22"/>
      <c r="K138" s="22"/>
    </row>
    <row r="139" spans="1:25" ht="14.4" x14ac:dyDescent="0.3">
      <c r="I139" s="22"/>
      <c r="J139" s="22"/>
      <c r="K139" s="22"/>
    </row>
    <row r="140" spans="1:25" ht="14.4" x14ac:dyDescent="0.3">
      <c r="I140" s="22"/>
      <c r="J140" s="22"/>
      <c r="K140" s="22"/>
    </row>
    <row r="141" spans="1:25" ht="14.4" x14ac:dyDescent="0.3">
      <c r="I141" s="22"/>
      <c r="J141" s="22"/>
      <c r="K141" s="22"/>
    </row>
    <row r="142" spans="1:25" ht="14.4" x14ac:dyDescent="0.3">
      <c r="I142" s="22"/>
      <c r="J142" s="22"/>
      <c r="K142" s="22"/>
    </row>
    <row r="143" spans="1:25" ht="14.4" x14ac:dyDescent="0.3">
      <c r="I143" s="22"/>
      <c r="J143" s="22"/>
      <c r="K143" s="22"/>
    </row>
    <row r="144" spans="1:25" ht="14.4" x14ac:dyDescent="0.3">
      <c r="I144" s="22"/>
      <c r="J144" s="22"/>
      <c r="K144" s="22"/>
    </row>
    <row r="145" spans="9:11" ht="14.4" x14ac:dyDescent="0.3">
      <c r="I145" s="22"/>
      <c r="J145" s="22"/>
      <c r="K145" s="22"/>
    </row>
    <row r="146" spans="9:11" ht="14.4" x14ac:dyDescent="0.3">
      <c r="I146" s="22"/>
      <c r="J146" s="22"/>
      <c r="K146" s="22"/>
    </row>
    <row r="147" spans="9:11" ht="14.4" x14ac:dyDescent="0.3">
      <c r="I147" s="22"/>
      <c r="J147" s="22"/>
      <c r="K147" s="22"/>
    </row>
    <row r="148" spans="9:11" ht="14.4" x14ac:dyDescent="0.3">
      <c r="I148" s="22"/>
      <c r="J148" s="22"/>
      <c r="K148" s="22"/>
    </row>
    <row r="149" spans="9:11" ht="14.4" x14ac:dyDescent="0.3">
      <c r="I149" s="22"/>
      <c r="J149" s="22"/>
      <c r="K149" s="22"/>
    </row>
    <row r="150" spans="9:11" ht="14.4" x14ac:dyDescent="0.3">
      <c r="I150" s="22"/>
      <c r="J150" s="22"/>
      <c r="K150" s="22"/>
    </row>
    <row r="151" spans="9:11" ht="14.4" x14ac:dyDescent="0.3">
      <c r="I151" s="22"/>
      <c r="J151" s="22"/>
      <c r="K151" s="22"/>
    </row>
    <row r="152" spans="9:11" ht="14.4" x14ac:dyDescent="0.3">
      <c r="I152" s="22"/>
      <c r="J152" s="22"/>
      <c r="K152" s="22"/>
    </row>
    <row r="153" spans="9:11" ht="14.4" x14ac:dyDescent="0.3">
      <c r="I153" s="22"/>
      <c r="J153" s="22"/>
      <c r="K153" s="22"/>
    </row>
  </sheetData>
  <conditionalFormatting sqref="Q86:Q106">
    <cfRule type="cellIs" dxfId="8" priority="2" operator="equal">
      <formula>"Nuclear"</formula>
    </cfRule>
    <cfRule type="cellIs" priority="3" operator="equal">
      <formula>"Nuclear"</formula>
    </cfRule>
    <cfRule type="cellIs" priority="4" operator="equal">
      <formula>"Nuclear"</formula>
    </cfRule>
    <cfRule type="cellIs" dxfId="7" priority="5" operator="equal">
      <formula>"""Nuclear"""</formula>
    </cfRule>
  </conditionalFormatting>
  <conditionalFormatting sqref="Q86:Q106">
    <cfRule type="cellIs" dxfId="6" priority="1" operator="equal">
      <formula>"Wind"</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B3:I34"/>
  <sheetViews>
    <sheetView zoomScale="80" zoomScaleNormal="80" workbookViewId="0">
      <selection activeCell="F29" sqref="F29:G36"/>
    </sheetView>
  </sheetViews>
  <sheetFormatPr defaultColWidth="8.88671875" defaultRowHeight="13.2" x14ac:dyDescent="0.25"/>
  <cols>
    <col min="1" max="1" width="8.88671875" style="8"/>
    <col min="2" max="2" width="9.6640625" style="8" customWidth="1"/>
    <col min="3" max="3" width="38.33203125" style="8" bestFit="1" customWidth="1"/>
    <col min="4" max="5" width="8.88671875" style="8"/>
    <col min="6" max="6" width="11.6640625" style="8" bestFit="1" customWidth="1"/>
    <col min="7" max="8" width="34.33203125" style="8" bestFit="1" customWidth="1"/>
    <col min="9" max="9" width="68.88671875" style="8" bestFit="1" customWidth="1"/>
    <col min="10" max="16384" width="8.88671875" style="8"/>
  </cols>
  <sheetData>
    <row r="3" spans="2:9" x14ac:dyDescent="0.25">
      <c r="B3" s="10" t="s">
        <v>761</v>
      </c>
      <c r="F3" s="10" t="s">
        <v>762</v>
      </c>
    </row>
    <row r="5" spans="2:9" x14ac:dyDescent="0.25">
      <c r="B5" s="19" t="s">
        <v>763</v>
      </c>
      <c r="C5" s="19" t="s">
        <v>464</v>
      </c>
      <c r="F5" s="19" t="s">
        <v>763</v>
      </c>
      <c r="G5" s="19" t="s">
        <v>762</v>
      </c>
      <c r="H5" s="19" t="s">
        <v>764</v>
      </c>
      <c r="I5" s="19" t="s">
        <v>765</v>
      </c>
    </row>
    <row r="6" spans="2:9" x14ac:dyDescent="0.25">
      <c r="B6" s="28" t="s">
        <v>766</v>
      </c>
      <c r="C6" s="28" t="s">
        <v>767</v>
      </c>
      <c r="F6" s="28" t="s">
        <v>150</v>
      </c>
      <c r="G6" s="28" t="s">
        <v>244</v>
      </c>
      <c r="H6" s="15" t="s">
        <v>768</v>
      </c>
      <c r="I6" s="15" t="s">
        <v>769</v>
      </c>
    </row>
    <row r="7" spans="2:9" x14ac:dyDescent="0.25">
      <c r="B7" s="28" t="s">
        <v>770</v>
      </c>
      <c r="C7" s="28" t="s">
        <v>771</v>
      </c>
      <c r="F7" s="28" t="s">
        <v>150</v>
      </c>
      <c r="G7" s="28" t="s">
        <v>364</v>
      </c>
      <c r="H7" s="15" t="s">
        <v>772</v>
      </c>
      <c r="I7" s="15" t="s">
        <v>773</v>
      </c>
    </row>
    <row r="8" spans="2:9" x14ac:dyDescent="0.25">
      <c r="B8" s="28" t="s">
        <v>150</v>
      </c>
      <c r="C8" s="28" t="s">
        <v>774</v>
      </c>
      <c r="F8" s="28" t="s">
        <v>150</v>
      </c>
      <c r="G8" s="28" t="s">
        <v>161</v>
      </c>
      <c r="H8" s="28" t="s">
        <v>775</v>
      </c>
      <c r="I8" s="15" t="s">
        <v>776</v>
      </c>
    </row>
    <row r="9" spans="2:9" x14ac:dyDescent="0.25">
      <c r="B9" s="28" t="s">
        <v>777</v>
      </c>
      <c r="C9" s="28" t="s">
        <v>778</v>
      </c>
      <c r="F9" s="28" t="s">
        <v>150</v>
      </c>
      <c r="G9" s="28" t="s">
        <v>248</v>
      </c>
      <c r="H9" s="28" t="s">
        <v>779</v>
      </c>
      <c r="I9" s="15" t="s">
        <v>780</v>
      </c>
    </row>
    <row r="10" spans="2:9" x14ac:dyDescent="0.25">
      <c r="B10" s="28" t="s">
        <v>781</v>
      </c>
      <c r="C10" s="28" t="s">
        <v>782</v>
      </c>
      <c r="F10" s="28" t="s">
        <v>150</v>
      </c>
      <c r="G10" s="15" t="s">
        <v>158</v>
      </c>
      <c r="H10" s="28" t="s">
        <v>783</v>
      </c>
      <c r="I10" s="28" t="s">
        <v>784</v>
      </c>
    </row>
    <row r="11" spans="2:9" x14ac:dyDescent="0.25">
      <c r="B11" s="28" t="s">
        <v>785</v>
      </c>
      <c r="C11" s="28" t="s">
        <v>786</v>
      </c>
      <c r="F11" s="28" t="s">
        <v>150</v>
      </c>
      <c r="G11" s="15" t="s">
        <v>249</v>
      </c>
      <c r="H11" s="28" t="s">
        <v>787</v>
      </c>
      <c r="I11" s="28"/>
    </row>
    <row r="12" spans="2:9" x14ac:dyDescent="0.25">
      <c r="B12" s="28" t="s">
        <v>788</v>
      </c>
      <c r="C12" s="28" t="s">
        <v>789</v>
      </c>
      <c r="F12" s="28" t="s">
        <v>150</v>
      </c>
      <c r="G12" s="15" t="s">
        <v>155</v>
      </c>
      <c r="H12" s="28" t="s">
        <v>790</v>
      </c>
      <c r="I12" s="15" t="s">
        <v>791</v>
      </c>
    </row>
    <row r="13" spans="2:9" x14ac:dyDescent="0.25">
      <c r="B13" s="28" t="s">
        <v>99</v>
      </c>
      <c r="C13" s="28" t="s">
        <v>792</v>
      </c>
      <c r="F13" s="28" t="s">
        <v>150</v>
      </c>
      <c r="G13" s="15" t="s">
        <v>151</v>
      </c>
      <c r="H13" s="28" t="s">
        <v>793</v>
      </c>
      <c r="I13" s="28" t="s">
        <v>794</v>
      </c>
    </row>
    <row r="14" spans="2:9" x14ac:dyDescent="0.25">
      <c r="F14" s="28" t="s">
        <v>150</v>
      </c>
      <c r="G14" s="15" t="s">
        <v>220</v>
      </c>
      <c r="H14" s="28" t="s">
        <v>795</v>
      </c>
      <c r="I14" s="15" t="s">
        <v>791</v>
      </c>
    </row>
    <row r="15" spans="2:9" x14ac:dyDescent="0.25">
      <c r="F15" s="28" t="s">
        <v>150</v>
      </c>
      <c r="G15" s="15" t="s">
        <v>373</v>
      </c>
      <c r="H15" s="28" t="s">
        <v>796</v>
      </c>
      <c r="I15" s="28"/>
    </row>
    <row r="16" spans="2:9" x14ac:dyDescent="0.25">
      <c r="G16" s="10"/>
    </row>
    <row r="19" spans="2:9" x14ac:dyDescent="0.25">
      <c r="I19" s="10"/>
    </row>
    <row r="20" spans="2:9" x14ac:dyDescent="0.25">
      <c r="I20" s="10"/>
    </row>
    <row r="21" spans="2:9" x14ac:dyDescent="0.25">
      <c r="I21" s="10"/>
    </row>
    <row r="22" spans="2:9" x14ac:dyDescent="0.25">
      <c r="B22" s="10"/>
      <c r="C22" s="10"/>
      <c r="F22" s="10" t="s">
        <v>797</v>
      </c>
      <c r="G22" s="10"/>
      <c r="I22" s="10"/>
    </row>
    <row r="23" spans="2:9" x14ac:dyDescent="0.25">
      <c r="F23" s="10"/>
      <c r="G23" s="10"/>
    </row>
    <row r="24" spans="2:9" x14ac:dyDescent="0.25">
      <c r="F24" s="19" t="s">
        <v>798</v>
      </c>
      <c r="G24" s="19" t="s">
        <v>764</v>
      </c>
    </row>
    <row r="25" spans="2:9" x14ac:dyDescent="0.25">
      <c r="B25" s="10"/>
      <c r="F25" s="28" t="s">
        <v>193</v>
      </c>
      <c r="G25" s="28" t="s">
        <v>799</v>
      </c>
    </row>
    <row r="26" spans="2:9" x14ac:dyDescent="0.25">
      <c r="F26" s="28" t="s">
        <v>202</v>
      </c>
      <c r="G26" s="28" t="s">
        <v>800</v>
      </c>
    </row>
    <row r="29" spans="2:9" x14ac:dyDescent="0.25">
      <c r="F29" s="19"/>
    </row>
    <row r="30" spans="2:9" x14ac:dyDescent="0.25">
      <c r="F30" s="10"/>
      <c r="G30" s="10"/>
    </row>
    <row r="31" spans="2:9" x14ac:dyDescent="0.25">
      <c r="F31" s="10"/>
      <c r="G31" s="10"/>
    </row>
    <row r="32" spans="2:9" x14ac:dyDescent="0.25">
      <c r="F32" s="10"/>
      <c r="G32" s="10"/>
    </row>
    <row r="33" spans="6:7" x14ac:dyDescent="0.25">
      <c r="F33" s="10"/>
      <c r="G33" s="10"/>
    </row>
    <row r="34" spans="6:7" x14ac:dyDescent="0.25">
      <c r="F34" s="10"/>
      <c r="G34" s="10"/>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A1:Z165"/>
  <sheetViews>
    <sheetView zoomScale="80" zoomScaleNormal="80" workbookViewId="0">
      <selection activeCell="D12" sqref="D12"/>
    </sheetView>
  </sheetViews>
  <sheetFormatPr defaultColWidth="8.88671875" defaultRowHeight="13.2" x14ac:dyDescent="0.25"/>
  <cols>
    <col min="1" max="1" width="36.21875" style="8" bestFit="1" customWidth="1"/>
    <col min="2" max="2" width="19.5546875" style="8" bestFit="1" customWidth="1"/>
    <col min="3" max="3" width="39" style="8" customWidth="1"/>
    <col min="4" max="4" width="16.6640625" style="8" bestFit="1" customWidth="1"/>
    <col min="5" max="5" width="8.88671875" style="188"/>
    <col min="6" max="6" width="8.88671875" style="8"/>
    <col min="7" max="8" width="29.109375" style="8" bestFit="1" customWidth="1"/>
    <col min="9" max="9" width="10.6640625" style="8" bestFit="1" customWidth="1"/>
    <col min="10" max="10" width="30.109375" style="8" bestFit="1" customWidth="1"/>
    <col min="11" max="11" width="30.33203125" style="8" bestFit="1" customWidth="1"/>
    <col min="12" max="16384" width="8.88671875" style="8"/>
  </cols>
  <sheetData>
    <row r="1" spans="1:11" ht="39.6" x14ac:dyDescent="0.25">
      <c r="C1" s="62" t="s">
        <v>801</v>
      </c>
      <c r="D1" s="71" t="s">
        <v>743</v>
      </c>
    </row>
    <row r="2" spans="1:11" x14ac:dyDescent="0.25">
      <c r="C2" s="10" t="s">
        <v>744</v>
      </c>
      <c r="G2" s="10" t="s">
        <v>744</v>
      </c>
      <c r="J2" s="10"/>
    </row>
    <row r="3" spans="1:11" x14ac:dyDescent="0.25">
      <c r="C3" s="19" t="s">
        <v>745</v>
      </c>
      <c r="D3" s="19" t="s">
        <v>746</v>
      </c>
      <c r="E3" s="189"/>
      <c r="G3" s="19" t="s">
        <v>746</v>
      </c>
      <c r="H3" s="20" t="s">
        <v>747</v>
      </c>
      <c r="I3" s="21" t="s">
        <v>748</v>
      </c>
      <c r="J3" s="21" t="s">
        <v>748</v>
      </c>
      <c r="K3" s="21" t="s">
        <v>748</v>
      </c>
    </row>
    <row r="4" spans="1:11" x14ac:dyDescent="0.25">
      <c r="C4" s="8" t="s">
        <v>802</v>
      </c>
      <c r="D4" s="8" t="s">
        <v>803</v>
      </c>
      <c r="E4" s="188" t="str">
        <f>IF(COUNTIF($G$4:$G$66,D4)=1,"ok",COUNTIF($G$4:$G$66,D4))</f>
        <v>ok</v>
      </c>
      <c r="G4" s="10" t="s">
        <v>804</v>
      </c>
      <c r="H4" s="10" t="s">
        <v>190</v>
      </c>
      <c r="I4" s="8">
        <v>1</v>
      </c>
    </row>
    <row r="5" spans="1:11" x14ac:dyDescent="0.25">
      <c r="C5" s="10" t="s">
        <v>190</v>
      </c>
      <c r="D5" s="10" t="s">
        <v>804</v>
      </c>
      <c r="E5" s="188">
        <f t="shared" ref="E5:E68" si="0">IF(COUNTIF($G$4:$G$66,D5)=1,"ok",COUNTIF($G$4:$G$66,D5))</f>
        <v>3</v>
      </c>
      <c r="G5" s="10" t="s">
        <v>804</v>
      </c>
      <c r="H5" s="10" t="s">
        <v>805</v>
      </c>
      <c r="I5" s="8">
        <v>1</v>
      </c>
    </row>
    <row r="6" spans="1:11" ht="14.4" x14ac:dyDescent="0.3">
      <c r="C6" s="10" t="s">
        <v>805</v>
      </c>
      <c r="D6" s="10" t="s">
        <v>804</v>
      </c>
      <c r="E6" s="188">
        <f t="shared" si="0"/>
        <v>3</v>
      </c>
      <c r="G6" s="10" t="s">
        <v>804</v>
      </c>
      <c r="H6" s="22" t="s">
        <v>209</v>
      </c>
      <c r="I6" s="8">
        <v>1</v>
      </c>
    </row>
    <row r="7" spans="1:11" x14ac:dyDescent="0.25">
      <c r="C7" s="8" t="s">
        <v>806</v>
      </c>
      <c r="D7" s="8" t="s">
        <v>807</v>
      </c>
      <c r="E7" s="188" t="str">
        <f t="shared" si="0"/>
        <v>ok</v>
      </c>
      <c r="G7" s="8" t="s">
        <v>803</v>
      </c>
      <c r="H7" s="8" t="s">
        <v>802</v>
      </c>
      <c r="I7" s="8">
        <v>1</v>
      </c>
    </row>
    <row r="8" spans="1:11" x14ac:dyDescent="0.25">
      <c r="C8" s="57" t="s">
        <v>808</v>
      </c>
      <c r="D8" s="10" t="s">
        <v>809</v>
      </c>
      <c r="E8" s="188" t="str">
        <f t="shared" si="0"/>
        <v>ok</v>
      </c>
      <c r="G8" s="8" t="s">
        <v>810</v>
      </c>
      <c r="H8" s="8" t="s">
        <v>811</v>
      </c>
      <c r="I8" s="8">
        <v>1</v>
      </c>
    </row>
    <row r="9" spans="1:11" x14ac:dyDescent="0.25">
      <c r="C9" s="8" t="s">
        <v>812</v>
      </c>
      <c r="D9" s="8" t="s">
        <v>813</v>
      </c>
      <c r="E9" s="188" t="str">
        <f t="shared" si="0"/>
        <v>ok</v>
      </c>
      <c r="G9" s="10" t="s">
        <v>809</v>
      </c>
      <c r="H9" s="57" t="s">
        <v>808</v>
      </c>
      <c r="I9" s="8">
        <v>1</v>
      </c>
    </row>
    <row r="10" spans="1:11" x14ac:dyDescent="0.25">
      <c r="C10" s="8" t="s">
        <v>814</v>
      </c>
      <c r="D10" s="8" t="s">
        <v>815</v>
      </c>
      <c r="E10" s="188" t="str">
        <f t="shared" si="0"/>
        <v>ok</v>
      </c>
      <c r="G10" s="10" t="s">
        <v>816</v>
      </c>
      <c r="H10" s="57" t="s">
        <v>179</v>
      </c>
      <c r="I10" s="8">
        <v>1</v>
      </c>
    </row>
    <row r="11" spans="1:11" x14ac:dyDescent="0.25">
      <c r="C11" s="8" t="s">
        <v>817</v>
      </c>
      <c r="D11" s="8" t="s">
        <v>818</v>
      </c>
      <c r="E11" s="188" t="str">
        <f t="shared" si="0"/>
        <v>ok</v>
      </c>
      <c r="G11" s="8" t="s">
        <v>816</v>
      </c>
      <c r="H11" s="10" t="s">
        <v>819</v>
      </c>
      <c r="I11" s="8">
        <v>1</v>
      </c>
    </row>
    <row r="12" spans="1:11" x14ac:dyDescent="0.25">
      <c r="A12" s="10" t="s">
        <v>1227</v>
      </c>
      <c r="B12" s="16" t="s">
        <v>820</v>
      </c>
      <c r="C12" s="16" t="s">
        <v>154</v>
      </c>
      <c r="D12" s="556" t="s">
        <v>1228</v>
      </c>
      <c r="E12" s="188">
        <f t="shared" si="0"/>
        <v>0</v>
      </c>
      <c r="G12" s="8" t="s">
        <v>816</v>
      </c>
      <c r="H12" s="10" t="s">
        <v>283</v>
      </c>
      <c r="I12" s="8">
        <v>1</v>
      </c>
    </row>
    <row r="13" spans="1:11" x14ac:dyDescent="0.25">
      <c r="C13" s="8" t="s">
        <v>821</v>
      </c>
      <c r="D13" s="8" t="s">
        <v>820</v>
      </c>
      <c r="E13" s="188">
        <f t="shared" si="0"/>
        <v>2</v>
      </c>
      <c r="G13" s="8" t="s">
        <v>816</v>
      </c>
      <c r="H13" s="10" t="s">
        <v>296</v>
      </c>
      <c r="I13" s="8">
        <v>1</v>
      </c>
    </row>
    <row r="14" spans="1:11" x14ac:dyDescent="0.25">
      <c r="C14" s="8" t="s">
        <v>822</v>
      </c>
      <c r="D14" s="8" t="s">
        <v>823</v>
      </c>
      <c r="E14" s="188" t="str">
        <f t="shared" si="0"/>
        <v>ok</v>
      </c>
      <c r="G14" s="8" t="s">
        <v>824</v>
      </c>
      <c r="H14" s="8" t="s">
        <v>825</v>
      </c>
      <c r="I14" s="8">
        <v>1</v>
      </c>
    </row>
    <row r="15" spans="1:11" x14ac:dyDescent="0.25">
      <c r="C15" s="8" t="s">
        <v>826</v>
      </c>
      <c r="D15" s="8" t="s">
        <v>827</v>
      </c>
      <c r="E15" s="188" t="str">
        <f t="shared" si="0"/>
        <v>ok</v>
      </c>
      <c r="G15" s="8" t="s">
        <v>828</v>
      </c>
      <c r="H15" s="8" t="s">
        <v>829</v>
      </c>
      <c r="I15" s="8">
        <v>1</v>
      </c>
    </row>
    <row r="16" spans="1:11" x14ac:dyDescent="0.25">
      <c r="C16" s="8" t="s">
        <v>830</v>
      </c>
      <c r="D16" s="8" t="s">
        <v>831</v>
      </c>
      <c r="E16" s="188">
        <f t="shared" si="0"/>
        <v>0</v>
      </c>
      <c r="G16" s="16" t="s">
        <v>820</v>
      </c>
      <c r="H16" s="16" t="s">
        <v>154</v>
      </c>
      <c r="I16" s="8">
        <v>1</v>
      </c>
    </row>
    <row r="17" spans="2:9" x14ac:dyDescent="0.25">
      <c r="C17" s="8" t="s">
        <v>832</v>
      </c>
      <c r="D17" s="8" t="s">
        <v>833</v>
      </c>
      <c r="E17" s="188" t="str">
        <f t="shared" si="0"/>
        <v>ok</v>
      </c>
      <c r="G17" s="8" t="s">
        <v>820</v>
      </c>
      <c r="H17" s="8" t="s">
        <v>821</v>
      </c>
      <c r="I17" s="8">
        <v>1</v>
      </c>
    </row>
    <row r="18" spans="2:9" x14ac:dyDescent="0.25">
      <c r="C18" s="8" t="s">
        <v>834</v>
      </c>
      <c r="D18" s="8" t="s">
        <v>835</v>
      </c>
      <c r="E18" s="188" t="str">
        <f t="shared" si="0"/>
        <v>ok</v>
      </c>
      <c r="G18" s="8" t="s">
        <v>836</v>
      </c>
      <c r="H18" s="8" t="s">
        <v>837</v>
      </c>
      <c r="I18" s="8">
        <v>1</v>
      </c>
    </row>
    <row r="19" spans="2:9" x14ac:dyDescent="0.25">
      <c r="B19" s="10" t="s">
        <v>816</v>
      </c>
      <c r="C19" s="57" t="s">
        <v>179</v>
      </c>
      <c r="D19" s="556" t="s">
        <v>1229</v>
      </c>
      <c r="E19" s="188">
        <f t="shared" si="0"/>
        <v>0</v>
      </c>
      <c r="G19" s="8" t="s">
        <v>838</v>
      </c>
      <c r="H19" s="8" t="s">
        <v>839</v>
      </c>
      <c r="I19" s="8">
        <v>1</v>
      </c>
    </row>
    <row r="20" spans="2:9" x14ac:dyDescent="0.25">
      <c r="C20" s="10" t="s">
        <v>819</v>
      </c>
      <c r="D20" s="8" t="s">
        <v>816</v>
      </c>
      <c r="E20" s="188">
        <f t="shared" si="0"/>
        <v>4</v>
      </c>
      <c r="G20" s="14" t="s">
        <v>840</v>
      </c>
      <c r="H20" s="14" t="s">
        <v>256</v>
      </c>
      <c r="I20" s="8">
        <v>1</v>
      </c>
    </row>
    <row r="21" spans="2:9" x14ac:dyDescent="0.25">
      <c r="C21" s="8" t="s">
        <v>811</v>
      </c>
      <c r="D21" s="8" t="s">
        <v>810</v>
      </c>
      <c r="E21" s="188" t="str">
        <f t="shared" si="0"/>
        <v>ok</v>
      </c>
      <c r="G21" s="8" t="s">
        <v>841</v>
      </c>
      <c r="H21" s="8" t="s">
        <v>842</v>
      </c>
      <c r="I21" s="8">
        <v>1</v>
      </c>
    </row>
    <row r="22" spans="2:9" x14ac:dyDescent="0.25">
      <c r="C22" s="8" t="s">
        <v>825</v>
      </c>
      <c r="D22" s="8" t="s">
        <v>824</v>
      </c>
      <c r="E22" s="188" t="str">
        <f t="shared" si="0"/>
        <v>ok</v>
      </c>
      <c r="G22" s="8" t="s">
        <v>843</v>
      </c>
      <c r="H22" s="8" t="s">
        <v>844</v>
      </c>
      <c r="I22" s="8">
        <v>1</v>
      </c>
    </row>
    <row r="23" spans="2:9" x14ac:dyDescent="0.25">
      <c r="C23" s="8" t="s">
        <v>829</v>
      </c>
      <c r="D23" s="8" t="s">
        <v>828</v>
      </c>
      <c r="E23" s="188" t="str">
        <f t="shared" si="0"/>
        <v>ok</v>
      </c>
      <c r="G23" s="14" t="s">
        <v>845</v>
      </c>
      <c r="H23" s="14" t="s">
        <v>846</v>
      </c>
      <c r="I23" s="8">
        <v>1</v>
      </c>
    </row>
    <row r="24" spans="2:9" x14ac:dyDescent="0.25">
      <c r="C24" s="14" t="s">
        <v>256</v>
      </c>
      <c r="D24" s="14" t="s">
        <v>840</v>
      </c>
      <c r="E24" s="188" t="str">
        <f t="shared" si="0"/>
        <v>ok</v>
      </c>
      <c r="F24" s="14"/>
      <c r="G24" s="14" t="s">
        <v>845</v>
      </c>
      <c r="H24" s="14" t="s">
        <v>847</v>
      </c>
      <c r="I24" s="8">
        <v>1</v>
      </c>
    </row>
    <row r="25" spans="2:9" x14ac:dyDescent="0.25">
      <c r="C25" s="8" t="s">
        <v>842</v>
      </c>
      <c r="D25" s="8" t="s">
        <v>841</v>
      </c>
      <c r="E25" s="188" t="str">
        <f t="shared" si="0"/>
        <v>ok</v>
      </c>
      <c r="F25" s="14"/>
      <c r="G25" s="1" t="s">
        <v>848</v>
      </c>
      <c r="H25" s="57" t="s">
        <v>266</v>
      </c>
      <c r="I25" s="8">
        <v>1</v>
      </c>
    </row>
    <row r="26" spans="2:9" x14ac:dyDescent="0.25">
      <c r="C26" s="14" t="s">
        <v>849</v>
      </c>
      <c r="D26" s="14" t="s">
        <v>850</v>
      </c>
      <c r="E26" s="188" t="str">
        <f t="shared" si="0"/>
        <v>ok</v>
      </c>
      <c r="F26" s="14"/>
      <c r="G26" s="14" t="s">
        <v>850</v>
      </c>
      <c r="H26" s="14" t="s">
        <v>849</v>
      </c>
      <c r="I26" s="8">
        <v>1</v>
      </c>
    </row>
    <row r="27" spans="2:9" x14ac:dyDescent="0.25">
      <c r="C27" s="14" t="s">
        <v>261</v>
      </c>
      <c r="D27" s="14" t="s">
        <v>851</v>
      </c>
      <c r="E27" s="188">
        <f t="shared" si="0"/>
        <v>3</v>
      </c>
      <c r="F27" s="14"/>
      <c r="G27" s="14" t="s">
        <v>851</v>
      </c>
      <c r="H27" s="14" t="s">
        <v>261</v>
      </c>
      <c r="I27" s="8">
        <v>1</v>
      </c>
    </row>
    <row r="28" spans="2:9" x14ac:dyDescent="0.25">
      <c r="C28" s="1" t="s">
        <v>852</v>
      </c>
      <c r="D28" s="14" t="s">
        <v>851</v>
      </c>
      <c r="E28" s="188">
        <f t="shared" si="0"/>
        <v>3</v>
      </c>
      <c r="F28" s="14"/>
      <c r="G28" s="14" t="s">
        <v>851</v>
      </c>
      <c r="H28" s="1" t="s">
        <v>852</v>
      </c>
      <c r="I28" s="8">
        <v>1</v>
      </c>
    </row>
    <row r="29" spans="2:9" x14ac:dyDescent="0.25">
      <c r="C29" s="14" t="s">
        <v>853</v>
      </c>
      <c r="D29" s="14" t="s">
        <v>851</v>
      </c>
      <c r="E29" s="188">
        <f t="shared" si="0"/>
        <v>3</v>
      </c>
      <c r="F29" s="14"/>
      <c r="G29" s="14" t="s">
        <v>851</v>
      </c>
      <c r="H29" s="14" t="s">
        <v>853</v>
      </c>
      <c r="I29" s="8">
        <v>1</v>
      </c>
    </row>
    <row r="30" spans="2:9" x14ac:dyDescent="0.25">
      <c r="C30" s="57" t="s">
        <v>266</v>
      </c>
      <c r="D30" s="1" t="s">
        <v>848</v>
      </c>
      <c r="E30" s="188" t="str">
        <f t="shared" si="0"/>
        <v>ok</v>
      </c>
      <c r="F30" s="14"/>
      <c r="G30" s="14" t="s">
        <v>99</v>
      </c>
      <c r="H30" s="57" t="s">
        <v>189</v>
      </c>
      <c r="I30" s="8">
        <v>1</v>
      </c>
    </row>
    <row r="31" spans="2:9" s="88" customFormat="1" x14ac:dyDescent="0.25">
      <c r="C31" s="57" t="s">
        <v>170</v>
      </c>
      <c r="D31" s="14" t="s">
        <v>854</v>
      </c>
      <c r="E31" s="188" t="str">
        <f t="shared" si="0"/>
        <v>ok</v>
      </c>
      <c r="G31" s="14" t="s">
        <v>385</v>
      </c>
      <c r="H31" s="58" t="s">
        <v>207</v>
      </c>
      <c r="I31" s="8">
        <v>1</v>
      </c>
    </row>
    <row r="32" spans="2:9" x14ac:dyDescent="0.25">
      <c r="C32" s="57" t="s">
        <v>189</v>
      </c>
      <c r="D32" s="14" t="s">
        <v>99</v>
      </c>
      <c r="E32" s="188" t="str">
        <f t="shared" si="0"/>
        <v>ok</v>
      </c>
      <c r="F32" s="14"/>
      <c r="G32" s="14" t="s">
        <v>385</v>
      </c>
      <c r="H32" s="77" t="s">
        <v>322</v>
      </c>
      <c r="I32" s="8">
        <v>1</v>
      </c>
    </row>
    <row r="33" spans="3:9" s="88" customFormat="1" x14ac:dyDescent="0.25">
      <c r="C33" s="8" t="s">
        <v>855</v>
      </c>
      <c r="D33" s="8" t="s">
        <v>856</v>
      </c>
      <c r="E33" s="188">
        <f t="shared" si="0"/>
        <v>0</v>
      </c>
      <c r="G33" s="14" t="s">
        <v>385</v>
      </c>
      <c r="H33" s="58" t="s">
        <v>857</v>
      </c>
      <c r="I33" s="8">
        <v>1</v>
      </c>
    </row>
    <row r="34" spans="3:9" x14ac:dyDescent="0.25">
      <c r="C34" s="8" t="s">
        <v>858</v>
      </c>
      <c r="D34" s="8" t="s">
        <v>859</v>
      </c>
      <c r="E34" s="188">
        <f t="shared" si="0"/>
        <v>0</v>
      </c>
      <c r="F34" s="14"/>
      <c r="G34" s="14" t="s">
        <v>385</v>
      </c>
      <c r="H34" s="14" t="s">
        <v>164</v>
      </c>
      <c r="I34" s="8">
        <v>1</v>
      </c>
    </row>
    <row r="35" spans="3:9" x14ac:dyDescent="0.25">
      <c r="C35" s="8" t="s">
        <v>860</v>
      </c>
      <c r="D35" s="8" t="s">
        <v>861</v>
      </c>
      <c r="E35" s="188" t="str">
        <f t="shared" si="0"/>
        <v>ok</v>
      </c>
      <c r="F35" s="14"/>
      <c r="G35" s="14" t="s">
        <v>385</v>
      </c>
      <c r="H35" s="77" t="s">
        <v>862</v>
      </c>
      <c r="I35" s="8">
        <v>1</v>
      </c>
    </row>
    <row r="36" spans="3:9" x14ac:dyDescent="0.25">
      <c r="C36" s="8" t="s">
        <v>863</v>
      </c>
      <c r="D36" s="8" t="s">
        <v>322</v>
      </c>
      <c r="E36" s="188" t="str">
        <f t="shared" si="0"/>
        <v>ok</v>
      </c>
      <c r="F36" s="14"/>
      <c r="G36" s="8" t="s">
        <v>833</v>
      </c>
      <c r="H36" s="8" t="s">
        <v>832</v>
      </c>
      <c r="I36" s="8">
        <v>1</v>
      </c>
    </row>
    <row r="37" spans="3:9" x14ac:dyDescent="0.25">
      <c r="C37" s="8" t="s">
        <v>864</v>
      </c>
      <c r="D37" s="8" t="s">
        <v>865</v>
      </c>
      <c r="E37" s="188" t="str">
        <f t="shared" si="0"/>
        <v>ok</v>
      </c>
      <c r="F37" s="14"/>
      <c r="G37" s="8" t="s">
        <v>861</v>
      </c>
      <c r="H37" s="8" t="s">
        <v>860</v>
      </c>
      <c r="I37" s="8">
        <v>1</v>
      </c>
    </row>
    <row r="38" spans="3:9" x14ac:dyDescent="0.25">
      <c r="C38" s="8" t="s">
        <v>866</v>
      </c>
      <c r="D38" s="8" t="s">
        <v>867</v>
      </c>
      <c r="E38" s="188" t="str">
        <f t="shared" si="0"/>
        <v>ok</v>
      </c>
      <c r="F38" s="14"/>
      <c r="G38" s="8" t="s">
        <v>807</v>
      </c>
      <c r="H38" s="8" t="s">
        <v>806</v>
      </c>
      <c r="I38" s="8">
        <v>1</v>
      </c>
    </row>
    <row r="39" spans="3:9" x14ac:dyDescent="0.25">
      <c r="C39" s="8" t="s">
        <v>868</v>
      </c>
      <c r="D39" s="8" t="s">
        <v>869</v>
      </c>
      <c r="E39" s="188" t="str">
        <f t="shared" si="0"/>
        <v>ok</v>
      </c>
      <c r="G39" s="8" t="s">
        <v>870</v>
      </c>
      <c r="H39" s="10" t="s">
        <v>871</v>
      </c>
      <c r="I39" s="8">
        <v>1</v>
      </c>
    </row>
    <row r="40" spans="3:9" x14ac:dyDescent="0.25">
      <c r="C40" s="8" t="s">
        <v>872</v>
      </c>
      <c r="D40" s="8" t="s">
        <v>873</v>
      </c>
      <c r="E40" s="188">
        <f t="shared" si="0"/>
        <v>0</v>
      </c>
      <c r="G40" s="8" t="s">
        <v>870</v>
      </c>
      <c r="H40" s="8" t="s">
        <v>874</v>
      </c>
      <c r="I40" s="8">
        <v>1</v>
      </c>
    </row>
    <row r="41" spans="3:9" x14ac:dyDescent="0.25">
      <c r="C41" s="8" t="s">
        <v>875</v>
      </c>
      <c r="D41" s="8" t="s">
        <v>876</v>
      </c>
      <c r="E41" s="188" t="str">
        <f t="shared" si="0"/>
        <v>ok</v>
      </c>
      <c r="G41" s="10" t="s">
        <v>870</v>
      </c>
      <c r="H41" s="10" t="s">
        <v>198</v>
      </c>
      <c r="I41" s="8">
        <v>1</v>
      </c>
    </row>
    <row r="42" spans="3:9" x14ac:dyDescent="0.25">
      <c r="C42" s="58" t="s">
        <v>207</v>
      </c>
      <c r="D42" s="14" t="s">
        <v>385</v>
      </c>
      <c r="E42" s="188">
        <f t="shared" si="0"/>
        <v>5</v>
      </c>
      <c r="G42" s="8" t="s">
        <v>876</v>
      </c>
      <c r="H42" s="8" t="s">
        <v>875</v>
      </c>
      <c r="I42" s="8">
        <v>1</v>
      </c>
    </row>
    <row r="43" spans="3:9" x14ac:dyDescent="0.25">
      <c r="C43" s="8" t="s">
        <v>877</v>
      </c>
      <c r="D43" s="8" t="s">
        <v>878</v>
      </c>
      <c r="E43" s="188" t="str">
        <f t="shared" si="0"/>
        <v>ok</v>
      </c>
      <c r="G43" s="8" t="s">
        <v>835</v>
      </c>
      <c r="H43" s="8" t="s">
        <v>834</v>
      </c>
      <c r="I43" s="8">
        <v>1</v>
      </c>
    </row>
    <row r="44" spans="3:9" x14ac:dyDescent="0.25">
      <c r="C44" s="10" t="s">
        <v>871</v>
      </c>
      <c r="D44" s="8" t="s">
        <v>870</v>
      </c>
      <c r="E44" s="188">
        <f t="shared" si="0"/>
        <v>3</v>
      </c>
      <c r="G44" s="8" t="s">
        <v>867</v>
      </c>
      <c r="H44" s="8" t="s">
        <v>866</v>
      </c>
      <c r="I44" s="8">
        <v>1</v>
      </c>
    </row>
    <row r="45" spans="3:9" x14ac:dyDescent="0.25">
      <c r="C45" s="8" t="s">
        <v>874</v>
      </c>
      <c r="D45" s="8" t="s">
        <v>870</v>
      </c>
      <c r="E45" s="188">
        <f t="shared" si="0"/>
        <v>3</v>
      </c>
      <c r="G45" s="8" t="s">
        <v>823</v>
      </c>
      <c r="H45" s="8" t="s">
        <v>822</v>
      </c>
      <c r="I45" s="8">
        <v>1</v>
      </c>
    </row>
    <row r="46" spans="3:9" x14ac:dyDescent="0.25">
      <c r="C46" s="10" t="s">
        <v>198</v>
      </c>
      <c r="D46" s="8" t="s">
        <v>870</v>
      </c>
      <c r="E46" s="188">
        <f t="shared" si="0"/>
        <v>3</v>
      </c>
      <c r="G46" s="8" t="s">
        <v>869</v>
      </c>
      <c r="H46" s="8" t="s">
        <v>868</v>
      </c>
      <c r="I46" s="8">
        <v>1</v>
      </c>
    </row>
    <row r="47" spans="3:9" x14ac:dyDescent="0.25">
      <c r="C47" s="8" t="s">
        <v>844</v>
      </c>
      <c r="D47" s="8" t="s">
        <v>843</v>
      </c>
      <c r="E47" s="188" t="str">
        <f t="shared" si="0"/>
        <v>ok</v>
      </c>
      <c r="G47" s="8" t="s">
        <v>827</v>
      </c>
      <c r="H47" s="8" t="s">
        <v>826</v>
      </c>
      <c r="I47" s="8">
        <v>1</v>
      </c>
    </row>
    <row r="48" spans="3:9" x14ac:dyDescent="0.25">
      <c r="C48" s="8" t="s">
        <v>879</v>
      </c>
      <c r="D48" s="8" t="s">
        <v>880</v>
      </c>
      <c r="E48" s="188" t="str">
        <f t="shared" si="0"/>
        <v>ok</v>
      </c>
      <c r="G48" s="8" t="s">
        <v>878</v>
      </c>
      <c r="H48" s="8" t="s">
        <v>877</v>
      </c>
      <c r="I48" s="8">
        <v>1</v>
      </c>
    </row>
    <row r="49" spans="3:19" x14ac:dyDescent="0.25">
      <c r="C49" s="8" t="s">
        <v>881</v>
      </c>
      <c r="D49" s="8" t="s">
        <v>882</v>
      </c>
      <c r="E49" s="188" t="str">
        <f t="shared" si="0"/>
        <v>ok</v>
      </c>
      <c r="G49" s="14" t="s">
        <v>883</v>
      </c>
      <c r="H49" s="14" t="s">
        <v>233</v>
      </c>
      <c r="I49" s="8">
        <v>1</v>
      </c>
    </row>
    <row r="50" spans="3:19" x14ac:dyDescent="0.25">
      <c r="C50" s="14" t="s">
        <v>233</v>
      </c>
      <c r="D50" s="14" t="s">
        <v>883</v>
      </c>
      <c r="E50" s="188">
        <f t="shared" si="0"/>
        <v>2</v>
      </c>
      <c r="G50" s="8" t="s">
        <v>883</v>
      </c>
      <c r="H50" s="8" t="s">
        <v>884</v>
      </c>
      <c r="I50" s="8">
        <v>1</v>
      </c>
    </row>
    <row r="51" spans="3:19" x14ac:dyDescent="0.25">
      <c r="C51" s="8" t="s">
        <v>884</v>
      </c>
      <c r="D51" s="8" t="s">
        <v>883</v>
      </c>
      <c r="E51" s="188">
        <f t="shared" si="0"/>
        <v>2</v>
      </c>
      <c r="G51" s="8" t="s">
        <v>885</v>
      </c>
      <c r="H51" s="8" t="s">
        <v>886</v>
      </c>
      <c r="I51" s="8">
        <v>1</v>
      </c>
    </row>
    <row r="52" spans="3:19" x14ac:dyDescent="0.25">
      <c r="C52" s="8" t="s">
        <v>886</v>
      </c>
      <c r="D52" s="8" t="s">
        <v>885</v>
      </c>
      <c r="E52" s="188" t="str">
        <f t="shared" si="0"/>
        <v>ok</v>
      </c>
      <c r="G52" s="8" t="s">
        <v>880</v>
      </c>
      <c r="H52" s="8" t="s">
        <v>879</v>
      </c>
      <c r="I52" s="8">
        <v>1</v>
      </c>
    </row>
    <row r="53" spans="3:19" x14ac:dyDescent="0.25">
      <c r="C53" s="8" t="s">
        <v>887</v>
      </c>
      <c r="D53" s="8" t="s">
        <v>888</v>
      </c>
      <c r="E53" s="188" t="str">
        <f t="shared" si="0"/>
        <v>ok</v>
      </c>
      <c r="G53" s="14" t="s">
        <v>854</v>
      </c>
      <c r="H53" s="57" t="s">
        <v>170</v>
      </c>
      <c r="I53" s="8">
        <v>1</v>
      </c>
    </row>
    <row r="54" spans="3:19" x14ac:dyDescent="0.25">
      <c r="C54" s="14" t="s">
        <v>846</v>
      </c>
      <c r="D54" s="14" t="s">
        <v>845</v>
      </c>
      <c r="E54" s="188">
        <f t="shared" si="0"/>
        <v>2</v>
      </c>
      <c r="G54" s="8" t="s">
        <v>882</v>
      </c>
      <c r="H54" s="8" t="s">
        <v>881</v>
      </c>
      <c r="I54" s="8">
        <v>1</v>
      </c>
    </row>
    <row r="55" spans="3:19" x14ac:dyDescent="0.25">
      <c r="C55" s="14" t="s">
        <v>847</v>
      </c>
      <c r="D55" s="14" t="s">
        <v>845</v>
      </c>
      <c r="E55" s="188">
        <f t="shared" si="0"/>
        <v>2</v>
      </c>
      <c r="G55" s="8" t="s">
        <v>888</v>
      </c>
      <c r="H55" s="8" t="s">
        <v>887</v>
      </c>
      <c r="I55" s="8">
        <v>1</v>
      </c>
    </row>
    <row r="56" spans="3:19" x14ac:dyDescent="0.25">
      <c r="C56" s="77" t="s">
        <v>322</v>
      </c>
      <c r="D56" s="14" t="s">
        <v>385</v>
      </c>
      <c r="E56" s="188">
        <f t="shared" si="0"/>
        <v>5</v>
      </c>
      <c r="G56" s="8" t="s">
        <v>813</v>
      </c>
      <c r="H56" s="8" t="s">
        <v>812</v>
      </c>
      <c r="I56" s="8">
        <v>1</v>
      </c>
    </row>
    <row r="57" spans="3:19" x14ac:dyDescent="0.25">
      <c r="C57" s="58" t="s">
        <v>857</v>
      </c>
      <c r="D57" s="14" t="s">
        <v>385</v>
      </c>
      <c r="E57" s="188">
        <f t="shared" si="0"/>
        <v>5</v>
      </c>
      <c r="G57" s="8" t="s">
        <v>322</v>
      </c>
      <c r="H57" s="8" t="s">
        <v>863</v>
      </c>
      <c r="I57" s="8">
        <v>1</v>
      </c>
    </row>
    <row r="58" spans="3:19" x14ac:dyDescent="0.25">
      <c r="C58" s="14" t="s">
        <v>889</v>
      </c>
      <c r="D58" s="8" t="s">
        <v>766</v>
      </c>
      <c r="E58" s="188">
        <f t="shared" si="0"/>
        <v>2</v>
      </c>
      <c r="G58" s="8" t="s">
        <v>815</v>
      </c>
      <c r="H58" s="8" t="s">
        <v>814</v>
      </c>
      <c r="I58" s="8">
        <v>1</v>
      </c>
    </row>
    <row r="59" spans="3:19" x14ac:dyDescent="0.25">
      <c r="C59" s="8" t="s">
        <v>890</v>
      </c>
      <c r="D59" s="8" t="s">
        <v>766</v>
      </c>
      <c r="E59" s="188">
        <f t="shared" si="0"/>
        <v>2</v>
      </c>
      <c r="G59" s="8" t="s">
        <v>818</v>
      </c>
      <c r="H59" s="8" t="s">
        <v>817</v>
      </c>
      <c r="I59" s="8">
        <v>1</v>
      </c>
    </row>
    <row r="60" spans="3:19" x14ac:dyDescent="0.25">
      <c r="C60" s="14" t="s">
        <v>164</v>
      </c>
      <c r="D60" s="14" t="s">
        <v>385</v>
      </c>
      <c r="E60" s="188">
        <f t="shared" si="0"/>
        <v>5</v>
      </c>
      <c r="G60" s="8" t="s">
        <v>865</v>
      </c>
      <c r="H60" s="8" t="s">
        <v>864</v>
      </c>
      <c r="I60" s="8">
        <v>1</v>
      </c>
    </row>
    <row r="61" spans="3:19" ht="14.4" x14ac:dyDescent="0.3">
      <c r="C61" s="77" t="s">
        <v>862</v>
      </c>
      <c r="D61" s="14" t="s">
        <v>385</v>
      </c>
      <c r="E61" s="188">
        <f t="shared" si="0"/>
        <v>5</v>
      </c>
      <c r="G61" s="8" t="s">
        <v>766</v>
      </c>
      <c r="H61" s="14" t="s">
        <v>889</v>
      </c>
      <c r="I61" s="8">
        <v>1</v>
      </c>
      <c r="N61" s="22"/>
    </row>
    <row r="62" spans="3:19" s="75" customFormat="1" x14ac:dyDescent="0.25">
      <c r="C62" s="14" t="s">
        <v>891</v>
      </c>
      <c r="D62" s="14" t="s">
        <v>892</v>
      </c>
      <c r="E62" s="188">
        <f t="shared" si="0"/>
        <v>2</v>
      </c>
      <c r="G62" s="8" t="s">
        <v>766</v>
      </c>
      <c r="H62" s="8" t="s">
        <v>890</v>
      </c>
      <c r="I62" s="8">
        <v>1</v>
      </c>
    </row>
    <row r="63" spans="3:19" s="75" customFormat="1" x14ac:dyDescent="0.25">
      <c r="C63" s="58" t="s">
        <v>148</v>
      </c>
      <c r="D63" s="14" t="s">
        <v>100</v>
      </c>
      <c r="E63" s="188" t="str">
        <f t="shared" si="0"/>
        <v>ok</v>
      </c>
      <c r="G63" s="14" t="s">
        <v>892</v>
      </c>
      <c r="H63" s="14" t="s">
        <v>891</v>
      </c>
      <c r="I63" s="8">
        <v>1</v>
      </c>
    </row>
    <row r="64" spans="3:19" ht="14.4" x14ac:dyDescent="0.3">
      <c r="C64" s="14" t="s">
        <v>893</v>
      </c>
      <c r="D64" s="14" t="s">
        <v>894</v>
      </c>
      <c r="E64" s="188" t="str">
        <f t="shared" si="0"/>
        <v>ok</v>
      </c>
      <c r="G64" s="10" t="s">
        <v>892</v>
      </c>
      <c r="H64" s="22" t="s">
        <v>895</v>
      </c>
      <c r="I64" s="8">
        <v>1</v>
      </c>
      <c r="M64" s="22"/>
      <c r="N64" s="22"/>
      <c r="O64" s="22"/>
      <c r="P64" s="22"/>
      <c r="R64" s="22"/>
      <c r="S64" s="22"/>
    </row>
    <row r="65" spans="2:26" ht="14.4" x14ac:dyDescent="0.3">
      <c r="C65" s="8" t="s">
        <v>893</v>
      </c>
      <c r="D65" s="8" t="s">
        <v>894</v>
      </c>
      <c r="E65" s="188" t="str">
        <f t="shared" si="0"/>
        <v>ok</v>
      </c>
      <c r="G65" s="14" t="s">
        <v>100</v>
      </c>
      <c r="H65" s="58" t="s">
        <v>148</v>
      </c>
      <c r="I65" s="8">
        <v>1</v>
      </c>
      <c r="M65" s="22"/>
      <c r="N65" s="22"/>
      <c r="O65" s="22"/>
      <c r="P65" s="22"/>
      <c r="Q65" s="22"/>
      <c r="R65" s="22"/>
      <c r="S65" s="22"/>
      <c r="T65" s="22"/>
    </row>
    <row r="66" spans="2:26" ht="14.4" x14ac:dyDescent="0.3">
      <c r="C66" s="10" t="s">
        <v>283</v>
      </c>
      <c r="D66" s="8" t="s">
        <v>816</v>
      </c>
      <c r="E66" s="188">
        <f t="shared" si="0"/>
        <v>4</v>
      </c>
      <c r="G66" s="14" t="s">
        <v>894</v>
      </c>
      <c r="H66" s="14" t="s">
        <v>893</v>
      </c>
      <c r="I66" s="8">
        <v>1</v>
      </c>
      <c r="M66" s="22"/>
      <c r="N66" s="22"/>
      <c r="O66" s="22"/>
      <c r="P66" s="22"/>
      <c r="Q66" s="22"/>
      <c r="R66" s="22"/>
      <c r="S66" s="22"/>
      <c r="T66" s="22"/>
      <c r="U66" s="22"/>
    </row>
    <row r="67" spans="2:26" ht="14.4" x14ac:dyDescent="0.3">
      <c r="C67" s="8" t="s">
        <v>896</v>
      </c>
      <c r="D67" s="8" t="s">
        <v>897</v>
      </c>
      <c r="E67" s="188">
        <f t="shared" si="0"/>
        <v>0</v>
      </c>
      <c r="G67" s="8" t="s">
        <v>894</v>
      </c>
      <c r="H67" s="8" t="s">
        <v>893</v>
      </c>
      <c r="I67" s="8">
        <v>1</v>
      </c>
      <c r="M67" s="22"/>
      <c r="N67" s="22"/>
      <c r="O67" s="22"/>
      <c r="P67" s="22"/>
      <c r="Q67" s="22"/>
      <c r="R67" s="22"/>
      <c r="S67" s="22"/>
      <c r="T67" s="22"/>
      <c r="U67" s="22"/>
      <c r="V67" s="22"/>
      <c r="W67" s="22"/>
      <c r="X67" s="22"/>
      <c r="Y67" s="22"/>
      <c r="Z67" s="22"/>
    </row>
    <row r="68" spans="2:26" s="22" customFormat="1" ht="14.4" x14ac:dyDescent="0.3">
      <c r="B68" s="8"/>
      <c r="C68" s="8" t="s">
        <v>898</v>
      </c>
      <c r="D68" s="8" t="s">
        <v>899</v>
      </c>
      <c r="E68" s="188">
        <f t="shared" si="0"/>
        <v>0</v>
      </c>
      <c r="F68" s="8"/>
      <c r="G68" s="8" t="s">
        <v>897</v>
      </c>
      <c r="H68" s="8" t="s">
        <v>896</v>
      </c>
      <c r="I68" s="8">
        <v>1</v>
      </c>
      <c r="J68" s="8"/>
      <c r="K68" s="8"/>
      <c r="L68" s="8"/>
    </row>
    <row r="69" spans="2:26" s="22" customFormat="1" ht="14.4" x14ac:dyDescent="0.3">
      <c r="B69" s="8"/>
      <c r="C69" s="8" t="s">
        <v>900</v>
      </c>
      <c r="D69" s="8" t="s">
        <v>901</v>
      </c>
      <c r="E69" s="188">
        <f t="shared" ref="E69:E77" si="1">IF(COUNTIF($G$4:$G$66,D69)=1,"ok",COUNTIF($G$4:$G$66,D69))</f>
        <v>0</v>
      </c>
      <c r="F69" s="8"/>
      <c r="G69" s="8" t="s">
        <v>856</v>
      </c>
      <c r="H69" s="8" t="s">
        <v>855</v>
      </c>
      <c r="I69" s="8">
        <v>1</v>
      </c>
    </row>
    <row r="70" spans="2:26" s="22" customFormat="1" ht="14.4" x14ac:dyDescent="0.3">
      <c r="B70" s="8"/>
      <c r="C70" s="8" t="s">
        <v>219</v>
      </c>
      <c r="D70" s="8" t="s">
        <v>98</v>
      </c>
      <c r="E70" s="188">
        <f t="shared" si="1"/>
        <v>0</v>
      </c>
      <c r="G70" s="8" t="s">
        <v>859</v>
      </c>
      <c r="H70" s="8" t="s">
        <v>858</v>
      </c>
      <c r="I70" s="8">
        <v>1</v>
      </c>
      <c r="N70" s="14"/>
    </row>
    <row r="71" spans="2:26" s="22" customFormat="1" ht="14.4" x14ac:dyDescent="0.3">
      <c r="B71" s="8"/>
      <c r="C71" s="8" t="s">
        <v>902</v>
      </c>
      <c r="D71" s="8" t="s">
        <v>903</v>
      </c>
      <c r="E71" s="188">
        <f t="shared" si="1"/>
        <v>0</v>
      </c>
      <c r="G71" s="8" t="s">
        <v>873</v>
      </c>
      <c r="H71" s="8" t="s">
        <v>872</v>
      </c>
      <c r="I71" s="8">
        <v>1</v>
      </c>
      <c r="M71" s="14"/>
      <c r="N71" s="14"/>
      <c r="O71" s="14"/>
      <c r="P71" s="14"/>
      <c r="R71" s="14"/>
      <c r="S71" s="14"/>
    </row>
    <row r="72" spans="2:26" s="22" customFormat="1" ht="14.4" x14ac:dyDescent="0.3">
      <c r="B72" s="8"/>
      <c r="C72" s="22" t="s">
        <v>895</v>
      </c>
      <c r="D72" s="10" t="s">
        <v>892</v>
      </c>
      <c r="E72" s="188">
        <f t="shared" si="1"/>
        <v>2</v>
      </c>
      <c r="G72" s="8" t="s">
        <v>831</v>
      </c>
      <c r="H72" s="8" t="s">
        <v>830</v>
      </c>
      <c r="I72" s="8">
        <v>1</v>
      </c>
      <c r="M72" s="14"/>
      <c r="N72" s="14"/>
      <c r="O72" s="14"/>
      <c r="P72" s="14"/>
      <c r="Q72" s="14"/>
      <c r="R72" s="14"/>
      <c r="S72" s="14"/>
      <c r="T72" s="14"/>
    </row>
    <row r="73" spans="2:26" s="22" customFormat="1" ht="14.4" x14ac:dyDescent="0.3">
      <c r="B73" s="8"/>
      <c r="C73" s="22" t="s">
        <v>209</v>
      </c>
      <c r="D73" s="10" t="s">
        <v>804</v>
      </c>
      <c r="E73" s="188">
        <f t="shared" si="1"/>
        <v>3</v>
      </c>
      <c r="G73" s="8" t="s">
        <v>901</v>
      </c>
      <c r="H73" s="8" t="s">
        <v>900</v>
      </c>
      <c r="I73" s="8">
        <v>1</v>
      </c>
      <c r="M73" s="14"/>
      <c r="N73" s="14"/>
      <c r="O73" s="14"/>
      <c r="P73" s="14"/>
      <c r="Q73" s="14"/>
      <c r="R73" s="14"/>
      <c r="S73" s="14"/>
      <c r="T73" s="14"/>
    </row>
    <row r="74" spans="2:26" s="22" customFormat="1" ht="14.4" x14ac:dyDescent="0.3">
      <c r="B74" s="8"/>
      <c r="C74" s="22" t="s">
        <v>904</v>
      </c>
      <c r="D74" s="22" t="s">
        <v>905</v>
      </c>
      <c r="E74" s="188">
        <f t="shared" si="1"/>
        <v>0</v>
      </c>
      <c r="G74" s="8" t="s">
        <v>98</v>
      </c>
      <c r="H74" s="8" t="s">
        <v>219</v>
      </c>
      <c r="I74" s="8">
        <v>1</v>
      </c>
      <c r="M74" s="14"/>
      <c r="N74" s="14"/>
      <c r="O74" s="14"/>
      <c r="P74" s="14"/>
      <c r="Q74" s="14"/>
      <c r="R74" s="14"/>
      <c r="S74" s="14"/>
      <c r="T74" s="14"/>
      <c r="U74" s="14"/>
    </row>
    <row r="75" spans="2:26" s="22" customFormat="1" ht="14.4" x14ac:dyDescent="0.3">
      <c r="C75" s="10" t="s">
        <v>296</v>
      </c>
      <c r="D75" s="8" t="s">
        <v>816</v>
      </c>
      <c r="E75" s="188">
        <f t="shared" si="1"/>
        <v>4</v>
      </c>
      <c r="G75" s="8" t="s">
        <v>903</v>
      </c>
      <c r="H75" s="8" t="s">
        <v>902</v>
      </c>
      <c r="I75" s="8">
        <v>1</v>
      </c>
      <c r="M75" s="14"/>
      <c r="N75" s="14"/>
      <c r="O75" s="14"/>
      <c r="P75" s="14"/>
      <c r="Q75" s="14"/>
      <c r="R75" s="14"/>
      <c r="S75" s="14"/>
      <c r="T75" s="14"/>
      <c r="U75" s="14"/>
      <c r="V75" s="14"/>
      <c r="W75" s="14"/>
      <c r="X75" s="14"/>
      <c r="Y75" s="14"/>
      <c r="Z75" s="14"/>
    </row>
    <row r="76" spans="2:26" s="14" customFormat="1" ht="14.4" x14ac:dyDescent="0.3">
      <c r="B76" s="22"/>
      <c r="C76" s="8" t="s">
        <v>837</v>
      </c>
      <c r="D76" s="8" t="s">
        <v>836</v>
      </c>
      <c r="E76" s="188" t="str">
        <f t="shared" si="1"/>
        <v>ok</v>
      </c>
      <c r="F76" s="22"/>
      <c r="G76" s="8" t="s">
        <v>899</v>
      </c>
      <c r="H76" s="8" t="s">
        <v>898</v>
      </c>
      <c r="I76" s="8">
        <v>1</v>
      </c>
      <c r="J76" s="22"/>
      <c r="K76" s="22"/>
      <c r="L76" s="22"/>
    </row>
    <row r="77" spans="2:26" s="14" customFormat="1" ht="14.4" x14ac:dyDescent="0.3">
      <c r="B77" s="22"/>
      <c r="C77" s="8" t="s">
        <v>839</v>
      </c>
      <c r="D77" s="8" t="s">
        <v>838</v>
      </c>
      <c r="E77" s="188" t="str">
        <f t="shared" si="1"/>
        <v>ok</v>
      </c>
      <c r="F77" s="22"/>
      <c r="G77" s="22" t="s">
        <v>905</v>
      </c>
      <c r="H77" s="22" t="s">
        <v>904</v>
      </c>
      <c r="I77" s="8">
        <v>1</v>
      </c>
      <c r="J77" s="22"/>
      <c r="K77" s="22"/>
      <c r="L77" s="22"/>
    </row>
    <row r="78" spans="2:26" s="14" customFormat="1" ht="14.4" x14ac:dyDescent="0.3">
      <c r="B78" s="22"/>
      <c r="E78" s="188"/>
      <c r="F78" s="22"/>
      <c r="J78" s="22"/>
      <c r="K78" s="22"/>
      <c r="L78" s="22"/>
    </row>
    <row r="79" spans="2:26" s="14" customFormat="1" ht="14.4" x14ac:dyDescent="0.3">
      <c r="E79" s="190"/>
      <c r="F79" s="22"/>
      <c r="J79" s="22"/>
      <c r="K79" s="22"/>
      <c r="L79" s="22"/>
      <c r="R79" s="8"/>
      <c r="S79" s="8"/>
    </row>
    <row r="80" spans="2:26" s="14" customFormat="1" ht="14.4" x14ac:dyDescent="0.3">
      <c r="E80" s="190"/>
      <c r="J80" s="22"/>
      <c r="K80" s="22"/>
      <c r="L80" s="22"/>
      <c r="Q80" s="8"/>
      <c r="R80" s="8"/>
      <c r="S80" s="8"/>
      <c r="T80" s="8"/>
    </row>
    <row r="81" spans="2:26" s="14" customFormat="1" ht="14.4" x14ac:dyDescent="0.3">
      <c r="E81" s="190"/>
      <c r="J81" s="22"/>
      <c r="K81" s="22"/>
      <c r="L81" s="22"/>
      <c r="P81" s="8"/>
      <c r="Q81" s="8"/>
      <c r="R81" s="8"/>
      <c r="S81" s="8"/>
      <c r="T81" s="8"/>
      <c r="U81" s="8"/>
    </row>
    <row r="82" spans="2:26" s="14" customFormat="1" ht="14.4" x14ac:dyDescent="0.3">
      <c r="E82" s="190"/>
      <c r="G82" s="8"/>
      <c r="J82" s="22"/>
      <c r="K82" s="22"/>
      <c r="L82" s="22"/>
      <c r="P82" s="8"/>
      <c r="Q82" s="8"/>
      <c r="R82" s="8"/>
      <c r="S82" s="8"/>
      <c r="T82" s="8"/>
      <c r="U82" s="8"/>
      <c r="V82" s="8"/>
      <c r="W82" s="8"/>
      <c r="X82" s="8"/>
      <c r="Y82" s="8"/>
      <c r="Z82" s="8"/>
    </row>
    <row r="83" spans="2:26" ht="14.4" x14ac:dyDescent="0.3">
      <c r="B83" s="14"/>
      <c r="C83" s="14"/>
      <c r="D83" s="14"/>
      <c r="E83" s="190"/>
      <c r="F83" s="14"/>
      <c r="I83" s="14"/>
      <c r="J83" s="22"/>
      <c r="K83" s="22"/>
      <c r="L83" s="22"/>
      <c r="M83" s="14"/>
      <c r="O83" s="14"/>
    </row>
    <row r="84" spans="2:26" ht="14.4" x14ac:dyDescent="0.3">
      <c r="C84" s="14"/>
      <c r="D84" s="14"/>
      <c r="E84" s="190"/>
      <c r="F84" s="14"/>
      <c r="I84" s="14"/>
      <c r="J84" s="22"/>
      <c r="K84" s="22"/>
      <c r="L84" s="22"/>
    </row>
    <row r="85" spans="2:26" ht="14.4" x14ac:dyDescent="0.3">
      <c r="C85" s="14"/>
      <c r="D85" s="14"/>
      <c r="F85" s="14"/>
      <c r="I85" s="14"/>
      <c r="J85" s="22"/>
      <c r="K85" s="22"/>
      <c r="L85" s="22"/>
    </row>
    <row r="86" spans="2:26" ht="14.4" x14ac:dyDescent="0.3">
      <c r="C86" s="14"/>
      <c r="D86" s="14"/>
      <c r="F86" s="14"/>
      <c r="I86" s="14"/>
      <c r="J86" s="22"/>
      <c r="K86" s="22"/>
      <c r="L86" s="22"/>
    </row>
    <row r="87" spans="2:26" ht="14.4" x14ac:dyDescent="0.3">
      <c r="F87" s="14"/>
      <c r="I87" s="14"/>
      <c r="J87" s="22"/>
      <c r="K87" s="22"/>
      <c r="L87" s="22"/>
    </row>
    <row r="88" spans="2:26" ht="14.4" x14ac:dyDescent="0.3">
      <c r="F88" s="14"/>
      <c r="I88" s="14"/>
      <c r="J88" s="22"/>
      <c r="K88" s="22"/>
      <c r="L88" s="22"/>
    </row>
    <row r="89" spans="2:26" ht="14.4" x14ac:dyDescent="0.3">
      <c r="I89" s="14"/>
      <c r="J89" s="22"/>
      <c r="K89" s="22"/>
      <c r="L89" s="22"/>
    </row>
    <row r="90" spans="2:26" ht="14.4" x14ac:dyDescent="0.3">
      <c r="I90" s="14"/>
      <c r="J90" s="22"/>
      <c r="K90" s="22"/>
      <c r="L90" s="22"/>
    </row>
    <row r="91" spans="2:26" ht="14.4" x14ac:dyDescent="0.3">
      <c r="I91" s="14"/>
      <c r="J91" s="22"/>
      <c r="K91" s="22"/>
      <c r="L91" s="22"/>
    </row>
    <row r="92" spans="2:26" ht="14.4" x14ac:dyDescent="0.3">
      <c r="I92" s="14"/>
      <c r="J92" s="22"/>
      <c r="K92" s="22"/>
      <c r="L92" s="22"/>
    </row>
    <row r="93" spans="2:26" ht="14.4" x14ac:dyDescent="0.3">
      <c r="I93" s="14"/>
      <c r="J93" s="22"/>
      <c r="K93" s="22"/>
      <c r="L93" s="22"/>
    </row>
    <row r="94" spans="2:26" ht="14.4" x14ac:dyDescent="0.3">
      <c r="I94" s="14"/>
      <c r="J94" s="22"/>
      <c r="K94" s="22"/>
      <c r="L94" s="22"/>
    </row>
    <row r="95" spans="2:26" ht="14.4" x14ac:dyDescent="0.3">
      <c r="I95" s="14"/>
      <c r="J95" s="22"/>
      <c r="K95" s="22"/>
      <c r="L95" s="22"/>
    </row>
    <row r="96" spans="2:26" ht="14.4" x14ac:dyDescent="0.3">
      <c r="I96" s="14"/>
      <c r="J96" s="22"/>
      <c r="K96" s="22"/>
      <c r="L96" s="22"/>
    </row>
    <row r="97" spans="9:12" ht="14.4" x14ac:dyDescent="0.3">
      <c r="I97" s="14"/>
      <c r="J97" s="22"/>
      <c r="K97" s="22"/>
      <c r="L97" s="22"/>
    </row>
    <row r="98" spans="9:12" ht="14.4" x14ac:dyDescent="0.3">
      <c r="I98" s="14"/>
      <c r="J98" s="22"/>
      <c r="K98" s="22"/>
      <c r="L98" s="22"/>
    </row>
    <row r="99" spans="9:12" ht="14.4" x14ac:dyDescent="0.3">
      <c r="I99" s="14"/>
      <c r="J99" s="22"/>
      <c r="K99" s="22"/>
      <c r="L99" s="22"/>
    </row>
    <row r="100" spans="9:12" ht="14.4" x14ac:dyDescent="0.3">
      <c r="I100" s="14"/>
      <c r="J100" s="22"/>
      <c r="K100" s="22"/>
      <c r="L100" s="22"/>
    </row>
    <row r="101" spans="9:12" ht="14.4" x14ac:dyDescent="0.3">
      <c r="I101" s="14"/>
      <c r="J101" s="22"/>
      <c r="K101" s="22"/>
      <c r="L101" s="22"/>
    </row>
    <row r="102" spans="9:12" ht="14.4" x14ac:dyDescent="0.3">
      <c r="I102" s="14"/>
      <c r="J102" s="22"/>
      <c r="K102" s="22"/>
      <c r="L102" s="22"/>
    </row>
    <row r="103" spans="9:12" ht="14.4" x14ac:dyDescent="0.3">
      <c r="I103" s="14"/>
      <c r="J103" s="22"/>
      <c r="K103" s="22"/>
      <c r="L103" s="22"/>
    </row>
    <row r="104" spans="9:12" ht="14.4" x14ac:dyDescent="0.3">
      <c r="I104" s="14"/>
      <c r="J104" s="22"/>
      <c r="K104" s="22"/>
      <c r="L104" s="22"/>
    </row>
    <row r="105" spans="9:12" ht="14.4" x14ac:dyDescent="0.3">
      <c r="I105" s="14"/>
      <c r="J105" s="22"/>
      <c r="K105" s="22"/>
      <c r="L105" s="22"/>
    </row>
    <row r="106" spans="9:12" ht="14.4" x14ac:dyDescent="0.3">
      <c r="I106" s="14"/>
      <c r="J106" s="22"/>
      <c r="K106" s="22"/>
      <c r="L106" s="22"/>
    </row>
    <row r="107" spans="9:12" ht="14.4" x14ac:dyDescent="0.3">
      <c r="I107" s="14"/>
      <c r="J107" s="22"/>
      <c r="K107" s="22"/>
      <c r="L107" s="22"/>
    </row>
    <row r="108" spans="9:12" ht="14.4" x14ac:dyDescent="0.3">
      <c r="I108" s="14"/>
      <c r="J108" s="22"/>
      <c r="K108" s="22"/>
      <c r="L108" s="22"/>
    </row>
    <row r="109" spans="9:12" ht="14.4" x14ac:dyDescent="0.3">
      <c r="I109" s="14"/>
      <c r="J109" s="22"/>
      <c r="K109" s="22"/>
      <c r="L109" s="22"/>
    </row>
    <row r="110" spans="9:12" ht="14.4" x14ac:dyDescent="0.3">
      <c r="I110" s="14"/>
      <c r="J110" s="22"/>
      <c r="K110" s="22"/>
      <c r="L110" s="22"/>
    </row>
    <row r="111" spans="9:12" ht="14.4" x14ac:dyDescent="0.3">
      <c r="I111" s="14"/>
      <c r="J111" s="22"/>
      <c r="K111" s="22"/>
      <c r="L111" s="22"/>
    </row>
    <row r="112" spans="9:12" ht="14.4" x14ac:dyDescent="0.3">
      <c r="I112" s="14"/>
      <c r="J112" s="22"/>
      <c r="K112" s="22"/>
      <c r="L112" s="22"/>
    </row>
    <row r="113" spans="2:26" ht="14.4" x14ac:dyDescent="0.3">
      <c r="I113" s="14"/>
      <c r="J113" s="22"/>
      <c r="K113" s="22"/>
      <c r="L113" s="22"/>
    </row>
    <row r="114" spans="2:26" ht="14.4" x14ac:dyDescent="0.3">
      <c r="I114" s="14"/>
      <c r="J114" s="22"/>
      <c r="K114" s="22"/>
      <c r="L114" s="22"/>
    </row>
    <row r="115" spans="2:26" ht="14.4" x14ac:dyDescent="0.3">
      <c r="I115" s="14"/>
      <c r="J115" s="22"/>
      <c r="K115" s="22"/>
      <c r="L115" s="22"/>
    </row>
    <row r="116" spans="2:26" ht="14.4" x14ac:dyDescent="0.3">
      <c r="I116" s="14"/>
      <c r="J116" s="22"/>
      <c r="K116" s="22"/>
      <c r="L116" s="22"/>
    </row>
    <row r="117" spans="2:26" ht="14.4" x14ac:dyDescent="0.3">
      <c r="I117" s="14"/>
      <c r="J117" s="22"/>
      <c r="K117" s="22"/>
      <c r="L117" s="22"/>
    </row>
    <row r="118" spans="2:26" ht="14.4" x14ac:dyDescent="0.3">
      <c r="I118" s="14"/>
      <c r="J118" s="22"/>
      <c r="K118" s="22"/>
      <c r="L118" s="22"/>
    </row>
    <row r="119" spans="2:26" ht="14.4" x14ac:dyDescent="0.3">
      <c r="I119" s="14"/>
      <c r="J119" s="22"/>
      <c r="K119" s="22"/>
      <c r="L119" s="22"/>
    </row>
    <row r="120" spans="2:26" ht="14.4" x14ac:dyDescent="0.3">
      <c r="I120" s="14"/>
      <c r="J120" s="22"/>
      <c r="K120" s="22"/>
      <c r="L120" s="22"/>
      <c r="R120" s="14"/>
      <c r="S120" s="14"/>
    </row>
    <row r="121" spans="2:26" ht="14.4" x14ac:dyDescent="0.3">
      <c r="I121" s="14"/>
      <c r="J121" s="22"/>
      <c r="K121" s="22"/>
      <c r="L121" s="22"/>
      <c r="Q121" s="14"/>
      <c r="R121" s="14"/>
      <c r="S121" s="14"/>
      <c r="T121" s="14"/>
    </row>
    <row r="122" spans="2:26" ht="14.4" x14ac:dyDescent="0.3">
      <c r="I122" s="14"/>
      <c r="J122" s="22"/>
      <c r="K122" s="22"/>
      <c r="L122" s="22"/>
      <c r="P122" s="14"/>
      <c r="Q122" s="14"/>
      <c r="R122" s="14"/>
      <c r="S122" s="14"/>
      <c r="T122" s="14"/>
      <c r="U122" s="14"/>
    </row>
    <row r="123" spans="2:26" ht="14.4" x14ac:dyDescent="0.3">
      <c r="G123" s="14"/>
      <c r="I123" s="14"/>
      <c r="J123" s="22"/>
      <c r="K123" s="22"/>
      <c r="L123" s="22"/>
      <c r="P123" s="14"/>
      <c r="Q123" s="14"/>
      <c r="R123" s="14"/>
      <c r="S123" s="14"/>
      <c r="T123" s="14"/>
      <c r="U123" s="14"/>
      <c r="V123" s="14"/>
      <c r="W123" s="14"/>
      <c r="X123" s="14"/>
      <c r="Y123" s="14"/>
      <c r="Z123" s="14"/>
    </row>
    <row r="124" spans="2:26" s="14" customFormat="1" ht="14.4" x14ac:dyDescent="0.3">
      <c r="B124" s="8"/>
      <c r="C124" s="8"/>
      <c r="D124" s="8"/>
      <c r="E124" s="188"/>
      <c r="F124" s="8"/>
      <c r="J124" s="22"/>
      <c r="K124" s="22"/>
      <c r="L124" s="22"/>
      <c r="M124" s="8"/>
      <c r="N124" s="22"/>
      <c r="O124" s="8"/>
    </row>
    <row r="125" spans="2:26" s="14" customFormat="1" ht="14.4" x14ac:dyDescent="0.3">
      <c r="C125" s="8"/>
      <c r="D125" s="8"/>
      <c r="E125" s="188"/>
      <c r="F125" s="8"/>
      <c r="J125" s="22"/>
      <c r="K125" s="22"/>
      <c r="L125" s="22"/>
      <c r="M125" s="22"/>
      <c r="N125" s="22"/>
      <c r="O125" s="22"/>
      <c r="P125" s="22"/>
      <c r="R125" s="22"/>
      <c r="S125" s="22"/>
    </row>
    <row r="126" spans="2:26" s="14" customFormat="1" ht="14.4" x14ac:dyDescent="0.3">
      <c r="C126" s="8"/>
      <c r="D126" s="8"/>
      <c r="E126" s="191"/>
      <c r="F126" s="8"/>
      <c r="J126" s="22"/>
      <c r="K126" s="22"/>
      <c r="L126" s="22"/>
      <c r="M126" s="22"/>
      <c r="N126" s="22"/>
      <c r="O126" s="22"/>
      <c r="P126" s="22"/>
      <c r="Q126" s="22"/>
      <c r="R126" s="22"/>
      <c r="S126" s="22"/>
      <c r="T126" s="22"/>
    </row>
    <row r="127" spans="2:26" s="14" customFormat="1" ht="14.4" x14ac:dyDescent="0.3">
      <c r="C127" s="8"/>
      <c r="D127" s="8"/>
      <c r="E127" s="191"/>
      <c r="F127" s="8"/>
      <c r="J127" s="22"/>
      <c r="K127" s="22"/>
      <c r="L127" s="22"/>
      <c r="M127" s="22"/>
      <c r="N127" s="22"/>
      <c r="O127" s="22"/>
      <c r="P127" s="22"/>
      <c r="Q127" s="22"/>
      <c r="R127" s="22"/>
      <c r="S127" s="22"/>
      <c r="T127" s="22"/>
      <c r="U127" s="22"/>
    </row>
    <row r="128" spans="2:26" s="14" customFormat="1" ht="14.4" x14ac:dyDescent="0.3">
      <c r="C128" s="22"/>
      <c r="D128" s="22"/>
      <c r="E128" s="191"/>
      <c r="F128" s="8"/>
      <c r="G128" s="22"/>
      <c r="J128" s="22"/>
      <c r="K128" s="22"/>
      <c r="L128" s="22"/>
      <c r="M128" s="22"/>
      <c r="N128" s="22"/>
      <c r="O128" s="22"/>
      <c r="P128" s="22"/>
      <c r="Q128" s="22"/>
      <c r="R128" s="22"/>
      <c r="S128" s="22"/>
      <c r="T128" s="22"/>
      <c r="U128" s="22"/>
      <c r="V128" s="22"/>
      <c r="W128" s="22"/>
      <c r="X128" s="22"/>
      <c r="Y128" s="22"/>
      <c r="Z128" s="22"/>
    </row>
    <row r="129" spans="5:6" s="22" customFormat="1" ht="14.4" x14ac:dyDescent="0.3">
      <c r="E129" s="191"/>
      <c r="F129" s="8"/>
    </row>
    <row r="130" spans="5:6" s="22" customFormat="1" ht="14.4" x14ac:dyDescent="0.3">
      <c r="E130" s="191"/>
    </row>
    <row r="131" spans="5:6" s="22" customFormat="1" ht="14.4" x14ac:dyDescent="0.3">
      <c r="E131" s="191"/>
    </row>
    <row r="132" spans="5:6" s="22" customFormat="1" ht="14.4" x14ac:dyDescent="0.3">
      <c r="E132" s="191"/>
    </row>
    <row r="133" spans="5:6" s="22" customFormat="1" ht="14.4" x14ac:dyDescent="0.3">
      <c r="E133" s="191"/>
    </row>
    <row r="134" spans="5:6" s="22" customFormat="1" ht="14.4" x14ac:dyDescent="0.3">
      <c r="E134" s="191"/>
    </row>
    <row r="135" spans="5:6" s="22" customFormat="1" ht="14.4" x14ac:dyDescent="0.3">
      <c r="E135" s="191"/>
    </row>
    <row r="136" spans="5:6" s="22" customFormat="1" ht="14.4" x14ac:dyDescent="0.3">
      <c r="E136" s="191"/>
    </row>
    <row r="137" spans="5:6" s="22" customFormat="1" ht="14.4" x14ac:dyDescent="0.3">
      <c r="E137" s="191"/>
    </row>
    <row r="138" spans="5:6" s="22" customFormat="1" ht="14.4" x14ac:dyDescent="0.3">
      <c r="E138" s="191"/>
    </row>
    <row r="139" spans="5:6" s="22" customFormat="1" ht="14.4" x14ac:dyDescent="0.3">
      <c r="E139" s="191"/>
    </row>
    <row r="140" spans="5:6" s="22" customFormat="1" ht="14.4" x14ac:dyDescent="0.3">
      <c r="E140" s="191"/>
    </row>
    <row r="141" spans="5:6" s="22" customFormat="1" ht="14.4" x14ac:dyDescent="0.3">
      <c r="E141" s="191"/>
    </row>
    <row r="142" spans="5:6" s="22" customFormat="1" ht="14.4" x14ac:dyDescent="0.3">
      <c r="E142" s="191"/>
    </row>
    <row r="143" spans="5:6" s="22" customFormat="1" ht="14.4" x14ac:dyDescent="0.3">
      <c r="E143" s="191"/>
    </row>
    <row r="144" spans="5:6" s="22" customFormat="1" ht="14.4" x14ac:dyDescent="0.3">
      <c r="E144" s="191"/>
    </row>
    <row r="145" spans="3:26" s="22" customFormat="1" ht="14.4" x14ac:dyDescent="0.3">
      <c r="E145" s="191"/>
      <c r="N145" s="8"/>
    </row>
    <row r="146" spans="3:26" s="22" customFormat="1" ht="14.4" x14ac:dyDescent="0.3">
      <c r="E146" s="191"/>
      <c r="M146" s="8"/>
      <c r="N146" s="8"/>
      <c r="O146" s="8"/>
      <c r="P146" s="8"/>
      <c r="R146" s="8"/>
      <c r="S146" s="8"/>
    </row>
    <row r="147" spans="3:26" s="22" customFormat="1" ht="14.4" x14ac:dyDescent="0.3">
      <c r="E147" s="188"/>
      <c r="M147" s="8"/>
      <c r="N147" s="8"/>
      <c r="O147" s="8"/>
      <c r="P147" s="8"/>
      <c r="Q147" s="8"/>
      <c r="R147" s="8"/>
      <c r="S147" s="8"/>
      <c r="T147" s="8"/>
    </row>
    <row r="148" spans="3:26" s="22" customFormat="1" ht="14.4" x14ac:dyDescent="0.3">
      <c r="E148" s="188"/>
      <c r="M148" s="8"/>
      <c r="N148" s="8"/>
      <c r="O148" s="8"/>
      <c r="P148" s="8"/>
      <c r="Q148" s="8"/>
      <c r="R148" s="8"/>
      <c r="S148" s="8"/>
      <c r="T148" s="8"/>
      <c r="U148" s="8"/>
    </row>
    <row r="149" spans="3:26" s="22" customFormat="1" ht="14.4" x14ac:dyDescent="0.3">
      <c r="C149" s="8"/>
      <c r="D149" s="8"/>
      <c r="E149" s="188"/>
      <c r="G149" s="8"/>
      <c r="M149" s="8"/>
      <c r="N149" s="8"/>
      <c r="O149" s="8"/>
      <c r="P149" s="8"/>
      <c r="Q149" s="8"/>
      <c r="R149" s="8"/>
      <c r="S149" s="8"/>
      <c r="T149" s="8"/>
      <c r="U149" s="8"/>
      <c r="V149" s="8"/>
      <c r="W149" s="8"/>
      <c r="X149" s="8"/>
      <c r="Y149" s="8"/>
      <c r="Z149" s="8"/>
    </row>
    <row r="150" spans="3:26" ht="14.4" x14ac:dyDescent="0.3">
      <c r="F150" s="22"/>
      <c r="J150" s="22"/>
      <c r="K150" s="22"/>
      <c r="L150" s="22"/>
    </row>
    <row r="151" spans="3:26" ht="14.4" x14ac:dyDescent="0.3">
      <c r="J151" s="22"/>
      <c r="K151" s="22"/>
      <c r="L151" s="22"/>
    </row>
    <row r="152" spans="3:26" ht="14.4" x14ac:dyDescent="0.3">
      <c r="J152" s="22"/>
      <c r="K152" s="22"/>
      <c r="L152" s="22"/>
    </row>
    <row r="153" spans="3:26" ht="14.4" x14ac:dyDescent="0.3">
      <c r="J153" s="22"/>
      <c r="K153" s="22"/>
      <c r="L153" s="22"/>
    </row>
    <row r="154" spans="3:26" ht="14.4" x14ac:dyDescent="0.3">
      <c r="J154" s="22"/>
      <c r="K154" s="22"/>
      <c r="L154" s="22"/>
    </row>
    <row r="155" spans="3:26" ht="14.4" x14ac:dyDescent="0.3">
      <c r="J155" s="22"/>
      <c r="K155" s="22"/>
      <c r="L155" s="22"/>
    </row>
    <row r="156" spans="3:26" ht="14.4" x14ac:dyDescent="0.3">
      <c r="J156" s="22"/>
      <c r="K156" s="22"/>
      <c r="L156" s="22"/>
    </row>
    <row r="157" spans="3:26" ht="14.4" x14ac:dyDescent="0.3">
      <c r="J157" s="22"/>
      <c r="K157" s="22"/>
      <c r="L157" s="22"/>
    </row>
    <row r="158" spans="3:26" ht="14.4" x14ac:dyDescent="0.3">
      <c r="J158" s="22"/>
      <c r="K158" s="22"/>
      <c r="L158" s="22"/>
    </row>
    <row r="159" spans="3:26" ht="14.4" x14ac:dyDescent="0.3">
      <c r="J159" s="22"/>
      <c r="K159" s="22"/>
      <c r="L159" s="22"/>
    </row>
    <row r="160" spans="3:26" ht="14.4" x14ac:dyDescent="0.3">
      <c r="J160" s="22"/>
      <c r="K160" s="22"/>
      <c r="L160" s="22"/>
    </row>
    <row r="161" spans="10:12" ht="14.4" x14ac:dyDescent="0.3">
      <c r="J161" s="22"/>
      <c r="K161" s="22"/>
      <c r="L161" s="22"/>
    </row>
    <row r="162" spans="10:12" ht="14.4" x14ac:dyDescent="0.3">
      <c r="J162" s="22"/>
      <c r="K162" s="22"/>
      <c r="L162" s="22"/>
    </row>
    <row r="163" spans="10:12" ht="14.4" x14ac:dyDescent="0.3">
      <c r="J163" s="22"/>
      <c r="K163" s="22"/>
      <c r="L163" s="22"/>
    </row>
    <row r="164" spans="10:12" ht="14.4" x14ac:dyDescent="0.3">
      <c r="J164" s="22"/>
      <c r="K164" s="22"/>
      <c r="L164" s="22"/>
    </row>
    <row r="165" spans="10:12" ht="14.4" x14ac:dyDescent="0.3">
      <c r="J165" s="22"/>
      <c r="K165" s="22"/>
      <c r="L165" s="22"/>
    </row>
  </sheetData>
  <sortState xmlns:xlrd2="http://schemas.microsoft.com/office/spreadsheetml/2017/richdata2" ref="G4:H77">
    <sortCondition ref="G77"/>
  </sortState>
  <conditionalFormatting sqref="R99:R119">
    <cfRule type="cellIs" dxfId="5" priority="2" operator="equal">
      <formula>"Nuclear"</formula>
    </cfRule>
    <cfRule type="cellIs" priority="3" operator="equal">
      <formula>"Nuclear"</formula>
    </cfRule>
    <cfRule type="cellIs" priority="4" operator="equal">
      <formula>"Nuclear"</formula>
    </cfRule>
    <cfRule type="cellIs" dxfId="4" priority="5" operator="equal">
      <formula>"""Nuclear"""</formula>
    </cfRule>
  </conditionalFormatting>
  <conditionalFormatting sqref="R99:R119">
    <cfRule type="cellIs" dxfId="3" priority="1" operator="equal">
      <formula>"Wind"</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C2:I16"/>
  <sheetViews>
    <sheetView zoomScale="80" zoomScaleNormal="80" workbookViewId="0">
      <selection activeCell="D38" sqref="D38"/>
    </sheetView>
  </sheetViews>
  <sheetFormatPr defaultColWidth="8.88671875" defaultRowHeight="13.2" x14ac:dyDescent="0.25"/>
  <cols>
    <col min="1" max="3" width="8.88671875" style="8"/>
    <col min="4" max="4" width="42.44140625" style="24" customWidth="1"/>
    <col min="5" max="5" width="13.5546875" style="8" customWidth="1"/>
    <col min="6" max="6" width="16.109375" style="8" customWidth="1"/>
    <col min="7" max="8" width="13.88671875" style="8" customWidth="1"/>
    <col min="9" max="9" width="14.6640625" style="8" customWidth="1"/>
    <col min="10" max="16384" width="8.88671875" style="8"/>
  </cols>
  <sheetData>
    <row r="2" spans="3:9" x14ac:dyDescent="0.25">
      <c r="C2" s="23" t="s">
        <v>906</v>
      </c>
    </row>
    <row r="4" spans="3:9" s="24" customFormat="1" ht="39.6" x14ac:dyDescent="0.25">
      <c r="E4" s="24" t="s">
        <v>907</v>
      </c>
      <c r="F4" s="11" t="s">
        <v>908</v>
      </c>
      <c r="G4" s="605" t="s">
        <v>909</v>
      </c>
      <c r="H4" s="605"/>
      <c r="I4" s="605"/>
    </row>
    <row r="5" spans="3:9" ht="15" thickBot="1" x14ac:dyDescent="0.35">
      <c r="C5" s="50" t="s">
        <v>910</v>
      </c>
      <c r="D5" s="25" t="s">
        <v>464</v>
      </c>
      <c r="E5" s="25"/>
      <c r="F5" s="25"/>
      <c r="G5" s="25" t="s">
        <v>911</v>
      </c>
      <c r="H5" s="25" t="s">
        <v>912</v>
      </c>
      <c r="I5" s="25" t="s">
        <v>913</v>
      </c>
    </row>
    <row r="6" spans="3:9" ht="14.4" x14ac:dyDescent="0.3">
      <c r="C6" s="51">
        <v>1</v>
      </c>
      <c r="D6" s="27" t="s">
        <v>914</v>
      </c>
      <c r="E6" s="26"/>
      <c r="F6" s="26"/>
      <c r="G6" s="26">
        <v>50</v>
      </c>
      <c r="H6" s="26">
        <v>60</v>
      </c>
      <c r="I6" s="26">
        <v>70</v>
      </c>
    </row>
    <row r="7" spans="3:9" ht="14.4" x14ac:dyDescent="0.3">
      <c r="C7" s="51">
        <v>2</v>
      </c>
      <c r="D7" s="27" t="s">
        <v>914</v>
      </c>
      <c r="E7" s="26"/>
      <c r="F7" s="26"/>
      <c r="G7" s="26">
        <v>40</v>
      </c>
      <c r="H7" s="26">
        <v>45</v>
      </c>
      <c r="I7" s="26">
        <v>50</v>
      </c>
    </row>
    <row r="8" spans="3:9" ht="14.4" x14ac:dyDescent="0.3">
      <c r="C8" s="51">
        <v>3</v>
      </c>
      <c r="D8" s="27" t="s">
        <v>914</v>
      </c>
      <c r="E8" s="26"/>
      <c r="F8" s="26"/>
      <c r="G8" s="26">
        <v>30</v>
      </c>
      <c r="H8" s="26">
        <v>35</v>
      </c>
      <c r="I8" s="26">
        <v>40</v>
      </c>
    </row>
    <row r="9" spans="3:9" ht="14.4" x14ac:dyDescent="0.3">
      <c r="C9" s="51">
        <v>4</v>
      </c>
      <c r="D9" s="27" t="s">
        <v>914</v>
      </c>
      <c r="E9" s="26"/>
      <c r="F9" s="26"/>
      <c r="G9" s="26">
        <v>20</v>
      </c>
      <c r="H9" s="26">
        <v>25</v>
      </c>
      <c r="I9" s="26">
        <v>30</v>
      </c>
    </row>
    <row r="10" spans="3:9" ht="14.4" x14ac:dyDescent="0.3">
      <c r="C10" s="51">
        <v>5</v>
      </c>
      <c r="D10" s="27" t="s">
        <v>915</v>
      </c>
      <c r="E10" s="26"/>
      <c r="F10" s="26"/>
      <c r="G10" s="26">
        <v>15</v>
      </c>
      <c r="H10" s="26">
        <v>20</v>
      </c>
      <c r="I10" s="26">
        <v>25</v>
      </c>
    </row>
    <row r="11" spans="3:9" ht="14.4" x14ac:dyDescent="0.3">
      <c r="C11" s="51">
        <v>6</v>
      </c>
      <c r="D11" s="27" t="s">
        <v>916</v>
      </c>
      <c r="E11" s="26"/>
      <c r="F11" s="26"/>
      <c r="G11" s="26">
        <v>10</v>
      </c>
      <c r="H11" s="26">
        <v>15</v>
      </c>
      <c r="I11" s="26">
        <v>15</v>
      </c>
    </row>
    <row r="12" spans="3:9" ht="14.4" x14ac:dyDescent="0.3">
      <c r="C12" s="51">
        <v>7</v>
      </c>
      <c r="D12" s="27" t="s">
        <v>917</v>
      </c>
      <c r="E12" s="26"/>
      <c r="F12" s="26"/>
      <c r="G12" s="26">
        <v>5</v>
      </c>
      <c r="H12" s="26">
        <v>10</v>
      </c>
      <c r="I12" s="26">
        <v>10</v>
      </c>
    </row>
    <row r="13" spans="3:9" ht="14.4" x14ac:dyDescent="0.3">
      <c r="C13" s="51">
        <v>8</v>
      </c>
      <c r="D13" s="27" t="s">
        <v>918</v>
      </c>
      <c r="E13" s="26"/>
      <c r="F13" s="26"/>
      <c r="G13" s="26">
        <v>0</v>
      </c>
      <c r="H13" s="26">
        <v>5</v>
      </c>
      <c r="I13" s="26">
        <v>5</v>
      </c>
    </row>
    <row r="14" spans="3:9" ht="14.4" x14ac:dyDescent="0.3">
      <c r="C14" s="51">
        <v>9</v>
      </c>
      <c r="D14" s="27" t="s">
        <v>919</v>
      </c>
      <c r="E14" s="26"/>
      <c r="F14" s="26"/>
      <c r="G14" s="26">
        <v>0</v>
      </c>
      <c r="H14" s="26">
        <v>0</v>
      </c>
      <c r="I14" s="26">
        <v>0</v>
      </c>
    </row>
    <row r="15" spans="3:9" ht="14.4" x14ac:dyDescent="0.3">
      <c r="C15" s="51">
        <v>10</v>
      </c>
      <c r="D15" s="27" t="s">
        <v>920</v>
      </c>
      <c r="E15" s="26"/>
      <c r="F15" s="26"/>
      <c r="G15" s="26">
        <v>0</v>
      </c>
      <c r="H15" s="26">
        <v>0</v>
      </c>
      <c r="I15" s="26">
        <v>0</v>
      </c>
    </row>
    <row r="16" spans="3:9" ht="14.4" x14ac:dyDescent="0.3">
      <c r="C16" s="51">
        <v>11</v>
      </c>
      <c r="D16" s="27" t="s">
        <v>921</v>
      </c>
      <c r="E16" s="26" t="s">
        <v>922</v>
      </c>
      <c r="F16" s="26" t="s">
        <v>922</v>
      </c>
      <c r="G16" s="26">
        <v>0</v>
      </c>
      <c r="H16" s="26">
        <v>0</v>
      </c>
      <c r="I16" s="26">
        <v>0</v>
      </c>
    </row>
  </sheetData>
  <mergeCells count="1">
    <mergeCell ref="G4:I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1:K91"/>
  <sheetViews>
    <sheetView zoomScale="80" zoomScaleNormal="80" workbookViewId="0">
      <selection activeCell="F37" sqref="F37"/>
    </sheetView>
  </sheetViews>
  <sheetFormatPr defaultColWidth="8.88671875" defaultRowHeight="13.2" x14ac:dyDescent="0.25"/>
  <cols>
    <col min="1" max="1" width="8.88671875" style="8"/>
    <col min="2" max="2" width="43.6640625" style="8" bestFit="1" customWidth="1"/>
    <col min="3" max="3" width="66.109375" style="8" bestFit="1" customWidth="1"/>
    <col min="4" max="4" width="60.6640625" style="8" customWidth="1"/>
    <col min="5" max="5" width="11.6640625" style="8" customWidth="1"/>
    <col min="6" max="6" width="38.44140625" style="8" bestFit="1" customWidth="1"/>
    <col min="7" max="7" width="20.109375" style="8" bestFit="1" customWidth="1"/>
    <col min="8" max="8" width="44.44140625" style="8" bestFit="1" customWidth="1"/>
    <col min="9" max="9" width="8.88671875" style="8"/>
    <col min="10" max="10" width="38.44140625" style="8" bestFit="1" customWidth="1"/>
    <col min="11" max="11" width="17.44140625" style="8" bestFit="1" customWidth="1"/>
    <col min="12" max="16384" width="8.88671875" style="8"/>
  </cols>
  <sheetData>
    <row r="1" spans="2:11" x14ac:dyDescent="0.25">
      <c r="E1" s="14"/>
      <c r="K1" s="14"/>
    </row>
    <row r="2" spans="2:11" x14ac:dyDescent="0.25">
      <c r="B2" s="10" t="s">
        <v>923</v>
      </c>
      <c r="E2" s="14"/>
    </row>
    <row r="3" spans="2:11" x14ac:dyDescent="0.25">
      <c r="B3" s="8" t="s">
        <v>924</v>
      </c>
      <c r="E3" s="14"/>
    </row>
    <row r="4" spans="2:11" x14ac:dyDescent="0.25">
      <c r="E4" s="14"/>
    </row>
    <row r="5" spans="2:11" x14ac:dyDescent="0.25">
      <c r="B5" s="19" t="s">
        <v>925</v>
      </c>
      <c r="C5" s="19" t="s">
        <v>926</v>
      </c>
      <c r="E5" s="14"/>
    </row>
    <row r="6" spans="2:11" x14ac:dyDescent="0.25">
      <c r="B6" s="23" t="s">
        <v>760</v>
      </c>
      <c r="C6" s="10" t="s">
        <v>927</v>
      </c>
      <c r="E6" s="14"/>
      <c r="F6" s="17" t="s">
        <v>464</v>
      </c>
      <c r="G6" s="17" t="s">
        <v>928</v>
      </c>
      <c r="H6" s="14"/>
      <c r="I6" s="10"/>
      <c r="J6" s="14"/>
      <c r="K6" s="14"/>
    </row>
    <row r="7" spans="2:11" x14ac:dyDescent="0.25">
      <c r="B7" s="10" t="s">
        <v>929</v>
      </c>
      <c r="C7" s="10" t="s">
        <v>930</v>
      </c>
      <c r="E7" s="14"/>
      <c r="F7" s="8" t="s">
        <v>931</v>
      </c>
      <c r="G7" s="9" t="s">
        <v>932</v>
      </c>
      <c r="H7" s="14"/>
      <c r="I7" s="14"/>
      <c r="J7" s="14"/>
      <c r="K7" s="14"/>
    </row>
    <row r="8" spans="2:11" x14ac:dyDescent="0.25">
      <c r="B8" s="28" t="s">
        <v>152</v>
      </c>
      <c r="C8" s="28" t="s">
        <v>933</v>
      </c>
      <c r="E8" s="14"/>
      <c r="F8" s="8" t="s">
        <v>934</v>
      </c>
      <c r="G8" s="9">
        <v>10</v>
      </c>
      <c r="H8" s="14"/>
      <c r="I8" s="14"/>
      <c r="J8" s="14"/>
      <c r="K8" s="14"/>
    </row>
    <row r="9" spans="2:11" x14ac:dyDescent="0.25">
      <c r="B9" s="29" t="s">
        <v>935</v>
      </c>
      <c r="C9" s="28" t="s">
        <v>936</v>
      </c>
      <c r="E9" s="14"/>
      <c r="F9" s="8" t="s">
        <v>937</v>
      </c>
      <c r="G9" s="9">
        <v>15</v>
      </c>
      <c r="H9" s="14"/>
      <c r="I9" s="14"/>
      <c r="J9" s="14"/>
      <c r="K9" s="14"/>
    </row>
    <row r="10" spans="2:11" x14ac:dyDescent="0.25">
      <c r="B10" s="15" t="s">
        <v>938</v>
      </c>
      <c r="C10" s="15" t="s">
        <v>939</v>
      </c>
      <c r="E10" s="14"/>
      <c r="F10" s="8" t="s">
        <v>940</v>
      </c>
      <c r="G10" s="9" t="s">
        <v>941</v>
      </c>
      <c r="H10" s="14"/>
      <c r="I10" s="14"/>
      <c r="J10" s="14"/>
      <c r="K10" s="14"/>
    </row>
    <row r="11" spans="2:11" x14ac:dyDescent="0.25">
      <c r="B11" s="29" t="s">
        <v>942</v>
      </c>
      <c r="C11" s="28" t="s">
        <v>943</v>
      </c>
      <c r="E11" s="14"/>
      <c r="H11" s="14"/>
      <c r="I11" s="14"/>
      <c r="J11" s="14"/>
      <c r="K11" s="14"/>
    </row>
    <row r="12" spans="2:11" x14ac:dyDescent="0.25">
      <c r="B12" s="28" t="s">
        <v>944</v>
      </c>
      <c r="C12" s="28" t="s">
        <v>945</v>
      </c>
      <c r="E12" s="14"/>
      <c r="H12" s="14"/>
      <c r="I12" s="14"/>
      <c r="J12" s="14"/>
      <c r="K12" s="14"/>
    </row>
    <row r="13" spans="2:11" ht="13.8" x14ac:dyDescent="0.3">
      <c r="B13" s="28" t="s">
        <v>946</v>
      </c>
      <c r="C13" s="28" t="s">
        <v>947</v>
      </c>
      <c r="E13" s="14"/>
      <c r="F13" s="17" t="s">
        <v>948</v>
      </c>
      <c r="G13" s="17" t="s">
        <v>949</v>
      </c>
      <c r="H13" s="30" t="s">
        <v>950</v>
      </c>
      <c r="I13" s="14"/>
      <c r="J13" s="31" t="s">
        <v>464</v>
      </c>
      <c r="K13" s="31" t="s">
        <v>949</v>
      </c>
    </row>
    <row r="14" spans="2:11" ht="13.8" x14ac:dyDescent="0.3">
      <c r="B14" s="29" t="s">
        <v>951</v>
      </c>
      <c r="C14" s="28" t="s">
        <v>952</v>
      </c>
      <c r="E14" s="14"/>
      <c r="F14" s="15" t="s">
        <v>953</v>
      </c>
      <c r="G14" s="10" t="s">
        <v>954</v>
      </c>
      <c r="H14" s="10" t="s">
        <v>411</v>
      </c>
      <c r="I14" s="10"/>
      <c r="J14" s="32" t="s">
        <v>411</v>
      </c>
      <c r="K14" s="32" t="s">
        <v>954</v>
      </c>
    </row>
    <row r="15" spans="2:11" ht="13.8" x14ac:dyDescent="0.3">
      <c r="B15" s="28" t="s">
        <v>955</v>
      </c>
      <c r="C15" s="28" t="s">
        <v>956</v>
      </c>
      <c r="E15" s="14"/>
      <c r="F15" s="15" t="s">
        <v>957</v>
      </c>
      <c r="G15" s="10" t="s">
        <v>958</v>
      </c>
      <c r="H15" s="10" t="s">
        <v>959</v>
      </c>
      <c r="I15" s="10"/>
      <c r="J15" s="32" t="s">
        <v>959</v>
      </c>
      <c r="K15" s="32" t="s">
        <v>958</v>
      </c>
    </row>
    <row r="16" spans="2:11" ht="13.8" x14ac:dyDescent="0.3">
      <c r="B16" s="28" t="s">
        <v>960</v>
      </c>
      <c r="C16" s="28" t="s">
        <v>961</v>
      </c>
      <c r="E16" s="14"/>
      <c r="F16" s="15" t="s">
        <v>962</v>
      </c>
      <c r="G16" s="10" t="s">
        <v>963</v>
      </c>
      <c r="H16" s="10" t="s">
        <v>964</v>
      </c>
      <c r="I16" s="10"/>
      <c r="J16" s="32" t="s">
        <v>964</v>
      </c>
      <c r="K16" s="32" t="s">
        <v>963</v>
      </c>
    </row>
    <row r="17" spans="2:11" ht="13.8" x14ac:dyDescent="0.3">
      <c r="B17" s="15" t="s">
        <v>965</v>
      </c>
      <c r="C17" s="15" t="s">
        <v>966</v>
      </c>
      <c r="E17" s="14"/>
      <c r="F17" s="15" t="s">
        <v>967</v>
      </c>
      <c r="G17" s="10" t="s">
        <v>968</v>
      </c>
      <c r="H17" s="10" t="s">
        <v>969</v>
      </c>
      <c r="I17" s="10"/>
      <c r="J17" s="32" t="s">
        <v>969</v>
      </c>
      <c r="K17" s="32" t="s">
        <v>968</v>
      </c>
    </row>
    <row r="18" spans="2:11" x14ac:dyDescent="0.25">
      <c r="B18" s="15" t="s">
        <v>970</v>
      </c>
      <c r="C18" s="15" t="s">
        <v>971</v>
      </c>
      <c r="E18" s="14"/>
      <c r="H18" s="14"/>
      <c r="I18" s="14"/>
      <c r="J18" s="14"/>
      <c r="K18" s="14"/>
    </row>
    <row r="19" spans="2:11" x14ac:dyDescent="0.25">
      <c r="B19" s="15" t="s">
        <v>972</v>
      </c>
      <c r="C19" s="15" t="s">
        <v>973</v>
      </c>
      <c r="E19" s="14"/>
      <c r="H19" s="14"/>
      <c r="I19" s="14"/>
      <c r="J19" s="14"/>
      <c r="K19" s="14"/>
    </row>
    <row r="20" spans="2:11" x14ac:dyDescent="0.25">
      <c r="B20" s="15" t="s">
        <v>974</v>
      </c>
      <c r="C20" s="15" t="s">
        <v>975</v>
      </c>
      <c r="E20" s="14"/>
      <c r="H20" s="14"/>
      <c r="I20" s="14"/>
      <c r="J20" s="14"/>
      <c r="K20" s="14"/>
    </row>
    <row r="21" spans="2:11" x14ac:dyDescent="0.25">
      <c r="B21" s="15" t="s">
        <v>976</v>
      </c>
      <c r="C21" s="15" t="s">
        <v>977</v>
      </c>
      <c r="E21" s="14"/>
      <c r="H21" s="14"/>
      <c r="I21" s="14"/>
      <c r="J21" s="14"/>
      <c r="K21" s="14"/>
    </row>
    <row r="22" spans="2:11" x14ac:dyDescent="0.25">
      <c r="B22" s="15" t="s">
        <v>978</v>
      </c>
      <c r="C22" s="15" t="s">
        <v>979</v>
      </c>
      <c r="E22" s="14"/>
      <c r="H22" s="14"/>
      <c r="I22" s="14"/>
      <c r="J22" s="14"/>
      <c r="K22" s="14"/>
    </row>
    <row r="23" spans="2:11" x14ac:dyDescent="0.25">
      <c r="B23" s="15" t="s">
        <v>980</v>
      </c>
      <c r="C23" s="15" t="s">
        <v>981</v>
      </c>
      <c r="E23" s="14"/>
      <c r="H23" s="14"/>
      <c r="I23" s="14"/>
      <c r="J23" s="14"/>
      <c r="K23" s="14"/>
    </row>
    <row r="24" spans="2:11" x14ac:dyDescent="0.25">
      <c r="B24" s="606" t="s">
        <v>982</v>
      </c>
      <c r="C24" s="606"/>
      <c r="E24" s="14"/>
      <c r="F24" s="14"/>
      <c r="G24" s="14"/>
      <c r="H24" s="14"/>
      <c r="I24" s="14"/>
      <c r="J24" s="14"/>
      <c r="K24" s="14"/>
    </row>
    <row r="25" spans="2:11" x14ac:dyDescent="0.25">
      <c r="E25" s="14"/>
      <c r="F25" s="14"/>
      <c r="G25" s="14"/>
      <c r="H25" s="14"/>
      <c r="I25" s="14"/>
      <c r="J25" s="14"/>
      <c r="K25" s="14"/>
    </row>
    <row r="26" spans="2:11" x14ac:dyDescent="0.25">
      <c r="E26" s="14"/>
      <c r="F26" s="14"/>
      <c r="G26" s="14"/>
      <c r="H26" s="14"/>
      <c r="I26" s="14"/>
      <c r="J26" s="14"/>
      <c r="K26" s="14"/>
    </row>
    <row r="27" spans="2:11" x14ac:dyDescent="0.25">
      <c r="E27" s="14"/>
      <c r="F27" s="14"/>
      <c r="G27" s="14"/>
      <c r="H27" s="14"/>
      <c r="I27" s="14"/>
      <c r="J27" s="14"/>
      <c r="K27" s="14"/>
    </row>
    <row r="31" spans="2:11" ht="13.8" thickBot="1" x14ac:dyDescent="0.3"/>
    <row r="32" spans="2:11" ht="13.8" thickBot="1" x14ac:dyDescent="0.3">
      <c r="B32" s="17" t="s">
        <v>983</v>
      </c>
      <c r="C32" s="33" t="s">
        <v>984</v>
      </c>
      <c r="D32" s="34" t="s">
        <v>985</v>
      </c>
    </row>
    <row r="33" spans="2:4" x14ac:dyDescent="0.25">
      <c r="B33" s="8" t="s">
        <v>986</v>
      </c>
      <c r="C33" s="35" t="s">
        <v>987</v>
      </c>
    </row>
    <row r="34" spans="2:4" x14ac:dyDescent="0.25">
      <c r="B34" s="8" t="s">
        <v>988</v>
      </c>
      <c r="C34" s="35" t="s">
        <v>989</v>
      </c>
    </row>
    <row r="36" spans="2:4" x14ac:dyDescent="0.25">
      <c r="B36" s="19" t="s">
        <v>990</v>
      </c>
      <c r="C36" s="19" t="s">
        <v>991</v>
      </c>
      <c r="D36" s="19" t="s">
        <v>464</v>
      </c>
    </row>
    <row r="37" spans="2:4" s="54" customFormat="1" ht="52.8" x14ac:dyDescent="0.3">
      <c r="B37" s="52" t="s">
        <v>992</v>
      </c>
      <c r="C37" s="52" t="s">
        <v>993</v>
      </c>
      <c r="D37" s="55" t="s">
        <v>994</v>
      </c>
    </row>
    <row r="38" spans="2:4" x14ac:dyDescent="0.25">
      <c r="B38" s="15" t="s">
        <v>995</v>
      </c>
      <c r="C38" s="15" t="s">
        <v>996</v>
      </c>
    </row>
    <row r="39" spans="2:4" x14ac:dyDescent="0.25">
      <c r="B39" s="15" t="s">
        <v>997</v>
      </c>
      <c r="C39" s="15" t="s">
        <v>998</v>
      </c>
      <c r="D39" s="37"/>
    </row>
    <row r="40" spans="2:4" x14ac:dyDescent="0.25">
      <c r="B40" s="15" t="s">
        <v>999</v>
      </c>
      <c r="C40" s="15" t="s">
        <v>1000</v>
      </c>
    </row>
    <row r="41" spans="2:4" x14ac:dyDescent="0.25">
      <c r="B41" s="15" t="s">
        <v>1001</v>
      </c>
      <c r="C41" s="15" t="s">
        <v>1002</v>
      </c>
    </row>
    <row r="42" spans="2:4" x14ac:dyDescent="0.25">
      <c r="B42" s="15" t="s">
        <v>1003</v>
      </c>
      <c r="C42" s="15" t="s">
        <v>1004</v>
      </c>
    </row>
    <row r="43" spans="2:4" x14ac:dyDescent="0.25">
      <c r="B43" s="15" t="s">
        <v>1005</v>
      </c>
      <c r="C43" s="15" t="s">
        <v>1006</v>
      </c>
      <c r="D43" s="16" t="s">
        <v>1007</v>
      </c>
    </row>
    <row r="44" spans="2:4" x14ac:dyDescent="0.25">
      <c r="B44" s="15" t="s">
        <v>1008</v>
      </c>
      <c r="C44" s="15" t="s">
        <v>1009</v>
      </c>
    </row>
    <row r="45" spans="2:4" x14ac:dyDescent="0.25">
      <c r="B45" s="15" t="s">
        <v>1010</v>
      </c>
      <c r="C45" s="15" t="s">
        <v>1006</v>
      </c>
    </row>
    <row r="46" spans="2:4" x14ac:dyDescent="0.25">
      <c r="B46" s="15" t="s">
        <v>1011</v>
      </c>
      <c r="C46" s="15" t="s">
        <v>1012</v>
      </c>
    </row>
    <row r="47" spans="2:4" x14ac:dyDescent="0.25">
      <c r="B47" s="15" t="s">
        <v>149</v>
      </c>
      <c r="C47" s="15" t="s">
        <v>1013</v>
      </c>
    </row>
    <row r="48" spans="2:4" x14ac:dyDescent="0.25">
      <c r="B48" s="15" t="s">
        <v>1014</v>
      </c>
      <c r="C48" s="15" t="s">
        <v>1015</v>
      </c>
      <c r="D48" s="16" t="s">
        <v>1007</v>
      </c>
    </row>
    <row r="49" spans="2:4" s="54" customFormat="1" ht="66" x14ac:dyDescent="0.3">
      <c r="B49" s="52" t="s">
        <v>243</v>
      </c>
      <c r="C49" s="52" t="s">
        <v>1016</v>
      </c>
      <c r="D49" s="38" t="s">
        <v>1017</v>
      </c>
    </row>
    <row r="50" spans="2:4" x14ac:dyDescent="0.25">
      <c r="B50" s="15" t="s">
        <v>1018</v>
      </c>
      <c r="C50" s="15" t="s">
        <v>1019</v>
      </c>
    </row>
    <row r="51" spans="2:4" x14ac:dyDescent="0.25">
      <c r="B51" s="15" t="s">
        <v>1020</v>
      </c>
      <c r="C51" s="15" t="s">
        <v>1021</v>
      </c>
    </row>
    <row r="52" spans="2:4" x14ac:dyDescent="0.25">
      <c r="B52" s="15" t="s">
        <v>1022</v>
      </c>
      <c r="C52" s="15" t="s">
        <v>1023</v>
      </c>
    </row>
    <row r="53" spans="2:4" x14ac:dyDescent="0.25">
      <c r="B53" s="15" t="s">
        <v>1024</v>
      </c>
      <c r="C53" s="36" t="s">
        <v>1025</v>
      </c>
    </row>
    <row r="54" spans="2:4" x14ac:dyDescent="0.25">
      <c r="B54" s="15" t="s">
        <v>1026</v>
      </c>
      <c r="C54" s="15" t="s">
        <v>1027</v>
      </c>
    </row>
    <row r="55" spans="2:4" x14ac:dyDescent="0.25">
      <c r="B55" s="15" t="s">
        <v>1028</v>
      </c>
      <c r="C55" s="15" t="s">
        <v>1029</v>
      </c>
    </row>
    <row r="56" spans="2:4" x14ac:dyDescent="0.25">
      <c r="B56" s="15" t="s">
        <v>1028</v>
      </c>
      <c r="C56" s="15" t="s">
        <v>788</v>
      </c>
    </row>
    <row r="57" spans="2:4" x14ac:dyDescent="0.25">
      <c r="B57" s="15" t="s">
        <v>1030</v>
      </c>
      <c r="C57" s="15" t="s">
        <v>1031</v>
      </c>
    </row>
    <row r="58" spans="2:4" ht="13.8" thickBot="1" x14ac:dyDescent="0.3">
      <c r="B58" s="15" t="s">
        <v>1032</v>
      </c>
      <c r="C58" s="15" t="s">
        <v>1033</v>
      </c>
      <c r="D58" s="39"/>
    </row>
    <row r="59" spans="2:4" x14ac:dyDescent="0.25">
      <c r="B59" s="15" t="s">
        <v>1034</v>
      </c>
      <c r="C59" s="15" t="s">
        <v>1035</v>
      </c>
    </row>
    <row r="60" spans="2:4" x14ac:dyDescent="0.25">
      <c r="B60" s="15" t="s">
        <v>1034</v>
      </c>
      <c r="C60" s="15" t="s">
        <v>1036</v>
      </c>
    </row>
    <row r="61" spans="2:4" x14ac:dyDescent="0.25">
      <c r="B61" s="15" t="s">
        <v>1037</v>
      </c>
      <c r="C61" s="15" t="s">
        <v>1038</v>
      </c>
    </row>
    <row r="62" spans="2:4" x14ac:dyDescent="0.25">
      <c r="B62" s="15" t="s">
        <v>1039</v>
      </c>
      <c r="C62" s="15" t="s">
        <v>1040</v>
      </c>
    </row>
    <row r="63" spans="2:4" s="54" customFormat="1" ht="26.4" x14ac:dyDescent="0.3">
      <c r="B63" s="52" t="s">
        <v>1041</v>
      </c>
      <c r="C63" s="52" t="s">
        <v>1042</v>
      </c>
      <c r="D63" s="53" t="s">
        <v>1043</v>
      </c>
    </row>
    <row r="64" spans="2:4" x14ac:dyDescent="0.25">
      <c r="B64" s="15" t="s">
        <v>1044</v>
      </c>
      <c r="C64" s="15" t="s">
        <v>1045</v>
      </c>
      <c r="D64" s="40"/>
    </row>
    <row r="65" spans="2:4" x14ac:dyDescent="0.25">
      <c r="B65" s="15" t="s">
        <v>1046</v>
      </c>
      <c r="C65" s="15" t="s">
        <v>1047</v>
      </c>
      <c r="D65" s="10" t="s">
        <v>1048</v>
      </c>
    </row>
    <row r="66" spans="2:4" x14ac:dyDescent="0.25">
      <c r="B66" s="15" t="s">
        <v>1049</v>
      </c>
      <c r="C66" s="15" t="s">
        <v>1050</v>
      </c>
    </row>
    <row r="67" spans="2:4" x14ac:dyDescent="0.25">
      <c r="B67" s="15" t="s">
        <v>1051</v>
      </c>
      <c r="C67" s="15" t="s">
        <v>1050</v>
      </c>
    </row>
    <row r="68" spans="2:4" x14ac:dyDescent="0.25">
      <c r="B68" s="15" t="s">
        <v>1052</v>
      </c>
      <c r="C68" s="15" t="s">
        <v>1053</v>
      </c>
    </row>
    <row r="69" spans="2:4" s="54" customFormat="1" ht="39.6" x14ac:dyDescent="0.3">
      <c r="B69" s="52" t="s">
        <v>1054</v>
      </c>
      <c r="C69" s="52" t="s">
        <v>1055</v>
      </c>
      <c r="D69" s="38" t="s">
        <v>1056</v>
      </c>
    </row>
    <row r="70" spans="2:4" x14ac:dyDescent="0.25">
      <c r="B70" s="15" t="s">
        <v>1057</v>
      </c>
      <c r="C70" s="15" t="s">
        <v>1058</v>
      </c>
      <c r="D70" s="16" t="s">
        <v>1007</v>
      </c>
    </row>
    <row r="71" spans="2:4" x14ac:dyDescent="0.25">
      <c r="B71" s="15" t="s">
        <v>1059</v>
      </c>
      <c r="C71" s="15" t="s">
        <v>1060</v>
      </c>
      <c r="D71" s="16" t="s">
        <v>1007</v>
      </c>
    </row>
    <row r="72" spans="2:4" x14ac:dyDescent="0.25">
      <c r="B72" s="15" t="s">
        <v>1061</v>
      </c>
      <c r="C72" s="15" t="s">
        <v>1062</v>
      </c>
      <c r="D72" s="16" t="s">
        <v>1007</v>
      </c>
    </row>
    <row r="73" spans="2:4" x14ac:dyDescent="0.25">
      <c r="B73" s="15" t="s">
        <v>1063</v>
      </c>
      <c r="C73" s="15" t="s">
        <v>1064</v>
      </c>
      <c r="D73" s="16" t="s">
        <v>1007</v>
      </c>
    </row>
    <row r="74" spans="2:4" x14ac:dyDescent="0.25">
      <c r="B74" s="15" t="s">
        <v>1065</v>
      </c>
      <c r="C74" s="15" t="s">
        <v>1066</v>
      </c>
    </row>
    <row r="75" spans="2:4" x14ac:dyDescent="0.25">
      <c r="B75" s="15" t="s">
        <v>1067</v>
      </c>
      <c r="C75" s="15" t="s">
        <v>1068</v>
      </c>
    </row>
    <row r="76" spans="2:4" x14ac:dyDescent="0.25">
      <c r="B76" s="15" t="s">
        <v>1069</v>
      </c>
      <c r="C76" s="15" t="s">
        <v>1070</v>
      </c>
    </row>
    <row r="77" spans="2:4" x14ac:dyDescent="0.25">
      <c r="B77" s="15" t="s">
        <v>1071</v>
      </c>
      <c r="C77" s="15" t="s">
        <v>1072</v>
      </c>
    </row>
    <row r="78" spans="2:4" x14ac:dyDescent="0.25">
      <c r="B78" s="15" t="s">
        <v>1073</v>
      </c>
      <c r="C78" s="15" t="s">
        <v>1074</v>
      </c>
    </row>
    <row r="79" spans="2:4" ht="13.8" thickBot="1" x14ac:dyDescent="0.3">
      <c r="B79" s="15" t="s">
        <v>1075</v>
      </c>
      <c r="C79" s="15" t="s">
        <v>1066</v>
      </c>
    </row>
    <row r="80" spans="2:4" ht="13.8" thickBot="1" x14ac:dyDescent="0.3">
      <c r="B80" s="41" t="s">
        <v>1076</v>
      </c>
      <c r="C80" s="15" t="s">
        <v>1066</v>
      </c>
    </row>
    <row r="81" spans="2:3" x14ac:dyDescent="0.25">
      <c r="B81" s="15" t="s">
        <v>1077</v>
      </c>
      <c r="C81" s="15" t="s">
        <v>1078</v>
      </c>
    </row>
    <row r="82" spans="2:3" x14ac:dyDescent="0.25">
      <c r="B82" s="15" t="s">
        <v>1079</v>
      </c>
      <c r="C82" s="15" t="s">
        <v>1080</v>
      </c>
    </row>
    <row r="83" spans="2:3" x14ac:dyDescent="0.25">
      <c r="B83" s="15" t="s">
        <v>1081</v>
      </c>
      <c r="C83" s="15" t="s">
        <v>1082</v>
      </c>
    </row>
    <row r="84" spans="2:3" x14ac:dyDescent="0.25">
      <c r="B84" s="15" t="s">
        <v>1083</v>
      </c>
      <c r="C84" s="15" t="s">
        <v>1084</v>
      </c>
    </row>
    <row r="85" spans="2:3" x14ac:dyDescent="0.25">
      <c r="B85" s="15" t="s">
        <v>1085</v>
      </c>
      <c r="C85" s="15" t="s">
        <v>1086</v>
      </c>
    </row>
    <row r="86" spans="2:3" x14ac:dyDescent="0.25">
      <c r="B86" s="15" t="s">
        <v>1087</v>
      </c>
      <c r="C86" s="15" t="s">
        <v>1088</v>
      </c>
    </row>
    <row r="87" spans="2:3" x14ac:dyDescent="0.25">
      <c r="B87" s="15" t="s">
        <v>1089</v>
      </c>
      <c r="C87" s="15" t="s">
        <v>1090</v>
      </c>
    </row>
    <row r="88" spans="2:3" x14ac:dyDescent="0.25">
      <c r="B88" s="15" t="s">
        <v>1091</v>
      </c>
      <c r="C88" s="15" t="s">
        <v>1090</v>
      </c>
    </row>
    <row r="89" spans="2:3" x14ac:dyDescent="0.25">
      <c r="B89" s="15" t="s">
        <v>1092</v>
      </c>
      <c r="C89" s="15" t="s">
        <v>1093</v>
      </c>
    </row>
    <row r="90" spans="2:3" ht="13.8" thickBot="1" x14ac:dyDescent="0.3"/>
    <row r="91" spans="2:3" ht="13.8" thickBot="1" x14ac:dyDescent="0.3">
      <c r="C91" s="42"/>
    </row>
  </sheetData>
  <mergeCells count="1">
    <mergeCell ref="B24:C24"/>
  </mergeCells>
  <conditionalFormatting sqref="E1:E2">
    <cfRule type="cellIs" dxfId="2" priority="2" operator="equal">
      <formula>"Nuclear"</formula>
    </cfRule>
    <cfRule type="cellIs" priority="3" operator="equal">
      <formula>"Nuclear"</formula>
    </cfRule>
    <cfRule type="cellIs" priority="4" operator="equal">
      <formula>"Nuclear"</formula>
    </cfRule>
    <cfRule type="cellIs" dxfId="1" priority="5" operator="equal">
      <formula>"""Nuclear"""</formula>
    </cfRule>
  </conditionalFormatting>
  <conditionalFormatting sqref="E1:E2">
    <cfRule type="cellIs" dxfId="0" priority="1" operator="equal">
      <formula>"Wind"</formula>
    </cfRule>
  </conditionalFormatting>
  <hyperlinks>
    <hyperlink ref="C34" r:id="rId1" xr:uid="{00000000-0004-0000-0900-000000000000}"/>
    <hyperlink ref="C33" r:id="rId2" location="search " xr:uid="{00000000-0004-0000-0900-000001000000}"/>
  </hyperlinks>
  <pageMargins left="0.7" right="0.7" top="0.75" bottom="0.75" header="0.3" footer="0.3"/>
  <pageSetup paperSize="9" orientation="portrait"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8F98D-64D9-4F4C-8BA0-A5A607AA80B6}">
  <sheetPr>
    <tabColor rgb="FFFF0000"/>
  </sheetPr>
  <dimension ref="A1:AQ899"/>
  <sheetViews>
    <sheetView topLeftCell="A72" zoomScale="70" zoomScaleNormal="70" workbookViewId="0">
      <selection activeCell="D7" sqref="D7"/>
    </sheetView>
  </sheetViews>
  <sheetFormatPr defaultRowHeight="14.4" x14ac:dyDescent="0.3"/>
  <cols>
    <col min="1" max="1" width="28.77734375" style="239" bestFit="1" customWidth="1"/>
    <col min="2" max="2" width="23.5546875" customWidth="1"/>
    <col min="3" max="3" width="23.5546875" style="239" customWidth="1"/>
    <col min="4" max="4" width="23.5546875" customWidth="1"/>
    <col min="5" max="5" width="29.109375" customWidth="1"/>
    <col min="6" max="6" width="13.21875" customWidth="1"/>
    <col min="7" max="7" width="14.6640625" customWidth="1"/>
    <col min="8" max="8" width="14.21875" style="76" customWidth="1"/>
    <col min="9" max="9" width="13.77734375" style="76" customWidth="1"/>
    <col min="10" max="10" width="12.33203125" customWidth="1"/>
    <col min="11" max="12" width="12.109375" style="76" customWidth="1"/>
    <col min="13" max="14" width="9.44140625" bestFit="1" customWidth="1"/>
    <col min="15" max="15" width="9.44140625" customWidth="1"/>
    <col min="16" max="16" width="16" customWidth="1"/>
    <col min="17" max="17" width="9" bestFit="1" customWidth="1"/>
    <col min="18" max="18" width="9.44140625" bestFit="1" customWidth="1"/>
    <col min="19" max="19" width="9" bestFit="1" customWidth="1"/>
    <col min="20" max="20" width="17.77734375" bestFit="1" customWidth="1"/>
    <col min="21" max="21" width="9" bestFit="1" customWidth="1"/>
    <col min="22" max="22" width="10" bestFit="1" customWidth="1"/>
    <col min="23" max="23" width="13.6640625" customWidth="1"/>
    <col min="24" max="24" width="8.88671875" style="246"/>
    <col min="26" max="26" width="20.44140625" style="239" customWidth="1"/>
    <col min="27" max="27" width="14.77734375" style="239" customWidth="1"/>
    <col min="28" max="28" width="15.21875" style="239" customWidth="1"/>
    <col min="29" max="29" width="12.44140625" style="248" customWidth="1"/>
    <col min="30" max="30" width="12.5546875" style="239" customWidth="1"/>
    <col min="31" max="31" width="10.88671875" style="239" customWidth="1"/>
    <col min="32" max="33" width="12.21875" style="239" customWidth="1"/>
    <col min="34" max="34" width="10" style="239" customWidth="1"/>
    <col min="35" max="35" width="10.5546875" style="239" customWidth="1"/>
    <col min="36" max="36" width="13.33203125" style="239" customWidth="1"/>
    <col min="37" max="37" width="9.33203125" style="239" customWidth="1"/>
    <col min="38" max="38" width="12.109375" style="239" customWidth="1"/>
    <col min="39" max="39" width="12.33203125" style="239" customWidth="1"/>
    <col min="40" max="40" width="15.109375" style="239" customWidth="1"/>
    <col min="41" max="42" width="9.88671875" style="239" customWidth="1"/>
    <col min="43" max="43" width="9.5546875" style="239" customWidth="1"/>
    <col min="44" max="47" width="8.88671875" style="239"/>
    <col min="48" max="48" width="10.44140625" style="239" customWidth="1"/>
    <col min="49" max="49" width="11.44140625" style="239" customWidth="1"/>
    <col min="50" max="50" width="11" style="239" customWidth="1"/>
    <col min="51" max="51" width="14" style="239" customWidth="1"/>
    <col min="52" max="52" width="13.33203125" style="239" customWidth="1"/>
    <col min="53" max="16384" width="8.88671875" style="239"/>
  </cols>
  <sheetData>
    <row r="1" spans="1:43" x14ac:dyDescent="0.3">
      <c r="Z1" s="247"/>
    </row>
    <row r="2" spans="1:43" x14ac:dyDescent="0.3">
      <c r="Z2" s="247"/>
    </row>
    <row r="3" spans="1:43" ht="25.2" customHeight="1" x14ac:dyDescent="0.3">
      <c r="M3" s="259"/>
    </row>
    <row r="4" spans="1:43" ht="28.2" customHeight="1" x14ac:dyDescent="0.3">
      <c r="B4" s="233" t="s">
        <v>1193</v>
      </c>
      <c r="C4" s="317"/>
      <c r="D4" s="233" t="s">
        <v>1110</v>
      </c>
      <c r="E4" s="233" t="s">
        <v>1111</v>
      </c>
      <c r="F4" s="237" t="s">
        <v>1125</v>
      </c>
      <c r="G4" s="237" t="s">
        <v>1126</v>
      </c>
      <c r="H4" s="230" t="s">
        <v>1123</v>
      </c>
      <c r="I4" s="237" t="s">
        <v>47</v>
      </c>
      <c r="J4" s="230" t="s">
        <v>48</v>
      </c>
      <c r="K4" s="237" t="s">
        <v>49</v>
      </c>
      <c r="L4" s="237" t="s">
        <v>1134</v>
      </c>
      <c r="M4" s="230" t="s">
        <v>42</v>
      </c>
      <c r="N4" s="230" t="s">
        <v>1192</v>
      </c>
      <c r="O4" s="230" t="s">
        <v>51</v>
      </c>
      <c r="P4" s="234" t="s">
        <v>1112</v>
      </c>
      <c r="Q4" s="230" t="s">
        <v>1113</v>
      </c>
      <c r="R4" s="230" t="s">
        <v>76</v>
      </c>
      <c r="S4" s="230" t="s">
        <v>77</v>
      </c>
      <c r="T4" s="230" t="s">
        <v>1114</v>
      </c>
      <c r="U4" s="230" t="s">
        <v>66</v>
      </c>
      <c r="V4" s="253" t="s">
        <v>1138</v>
      </c>
      <c r="W4" s="230" t="s">
        <v>1115</v>
      </c>
      <c r="Z4" s="243" t="s">
        <v>47</v>
      </c>
      <c r="AA4" t="s">
        <v>1128</v>
      </c>
      <c r="AB4"/>
      <c r="AC4" s="76"/>
      <c r="AD4" s="76"/>
      <c r="AE4"/>
      <c r="AF4" s="240"/>
      <c r="AG4" s="240"/>
      <c r="AH4" s="240"/>
      <c r="AI4" s="240"/>
      <c r="AJ4" s="249"/>
      <c r="AK4" s="240"/>
      <c r="AL4" s="240"/>
      <c r="AM4" s="240"/>
      <c r="AN4" s="240"/>
      <c r="AO4" s="240"/>
      <c r="AP4" s="240"/>
      <c r="AQ4" s="240"/>
    </row>
    <row r="5" spans="1:43" s="250" customFormat="1" ht="15" thickBot="1" x14ac:dyDescent="0.35">
      <c r="B5" s="231" t="s">
        <v>1116</v>
      </c>
      <c r="C5" s="241"/>
      <c r="D5" s="231" t="s">
        <v>1116</v>
      </c>
      <c r="E5" s="232"/>
      <c r="F5" s="232"/>
      <c r="G5" s="232"/>
      <c r="H5" s="238" t="s">
        <v>1124</v>
      </c>
      <c r="I5" s="238"/>
      <c r="J5" s="232"/>
      <c r="K5" s="238"/>
      <c r="L5" s="238"/>
      <c r="M5" s="232"/>
      <c r="N5" s="232"/>
      <c r="O5" s="232"/>
      <c r="P5" s="232"/>
      <c r="Q5" s="232" t="s">
        <v>1117</v>
      </c>
      <c r="R5" s="232" t="s">
        <v>1118</v>
      </c>
      <c r="S5" s="232" t="s">
        <v>1119</v>
      </c>
      <c r="T5" s="232" t="s">
        <v>1120</v>
      </c>
      <c r="U5" s="232" t="s">
        <v>130</v>
      </c>
      <c r="V5" s="232"/>
      <c r="W5" s="232" t="s">
        <v>1121</v>
      </c>
      <c r="X5" s="254"/>
      <c r="Z5" s="243"/>
      <c r="AA5" t="s">
        <v>1127</v>
      </c>
      <c r="AB5" s="182"/>
      <c r="AC5" s="76"/>
      <c r="AD5" s="76"/>
      <c r="AE5"/>
      <c r="AF5" s="241"/>
      <c r="AG5" s="241"/>
      <c r="AH5" s="241"/>
      <c r="AI5" s="241"/>
      <c r="AJ5" s="241"/>
      <c r="AK5" s="241"/>
      <c r="AL5" s="241"/>
      <c r="AM5" s="241"/>
      <c r="AN5" s="251"/>
      <c r="AO5" s="241"/>
      <c r="AP5" s="241"/>
      <c r="AQ5" s="241"/>
    </row>
    <row r="6" spans="1:43" x14ac:dyDescent="0.3">
      <c r="A6" s="316"/>
      <c r="B6" s="235" t="str">
        <f>'RSD (DEA)'!AJ10&amp;"_"&amp;'RSD (DEA)'!Z10</f>
        <v>RHHSB_B_OIL_01</v>
      </c>
      <c r="C6" s="318"/>
      <c r="D6" s="235" t="str">
        <f>B6</f>
        <v>RHHSB_B_OIL_01</v>
      </c>
      <c r="E6" s="235" t="str">
        <f>'RSD (DEA)'!Q10</f>
        <v>Oil-fired boiler</v>
      </c>
      <c r="F6" s="242" t="s">
        <v>239</v>
      </c>
      <c r="G6" s="242" t="s">
        <v>240</v>
      </c>
      <c r="H6" s="235">
        <f>'RSD (DEA)'!S10</f>
        <v>15</v>
      </c>
      <c r="I6" s="235" t="str">
        <f>IF(OR(RIGHT('RSD (DEA)'!AH10,3)="BIO",RIGHT(AD6,3)="BOA"),LEFT('RSD (DEA)'!AH10,3)&amp;"BFW",'RSD (DEA)'!AH10)</f>
        <v>RSDOIL</v>
      </c>
      <c r="J6" s="182" t="str">
        <f>'RSD (DEA)'!AI10</f>
        <v/>
      </c>
      <c r="K6" s="235" t="str">
        <f>'RSD (DEA)'!AJ10</f>
        <v>RHHSB</v>
      </c>
      <c r="L6" s="235"/>
      <c r="M6" s="182">
        <f t="shared" ref="M6:M69" si="0">IF(ISBLANK(B6),"",$AA$14)</f>
        <v>2019</v>
      </c>
      <c r="N6" s="182">
        <f>'RSD (DEA)'!X10</f>
        <v>2015</v>
      </c>
      <c r="O6" s="182">
        <f t="shared" ref="O6:O37" si="1">IF(N6&lt;2019,2019,N6)</f>
        <v>2019</v>
      </c>
      <c r="P6" s="183">
        <f>'RSD (DEA)'!AZ10</f>
        <v>0.92</v>
      </c>
      <c r="Q6" s="183">
        <f>'RSD (DEA)'!BA10</f>
        <v>0.92</v>
      </c>
      <c r="R6" s="182">
        <f>'RSD (DEA)'!BR10/'RSD (DEA)'!S10</f>
        <v>16.63</v>
      </c>
      <c r="S6" s="182">
        <f>'RSD (DEA)'!BS10/X_RSD_HeatingDemand!$AA$8</f>
        <v>0</v>
      </c>
      <c r="T6" s="182">
        <f>'RSD (DEA)'!BK10*X_RSD_HeatingDemand!$AA$9/'RSD (DEA)'!S10</f>
        <v>400</v>
      </c>
      <c r="U6" s="182">
        <f>'RSD (DEA)'!BI10</f>
        <v>20</v>
      </c>
      <c r="V6" s="182"/>
      <c r="W6" s="236">
        <f>'RSD (DEA)'!AM10</f>
        <v>31.536000000000001</v>
      </c>
      <c r="Z6" s="243" t="s">
        <v>1129</v>
      </c>
      <c r="AA6" t="s">
        <v>1130</v>
      </c>
      <c r="AB6"/>
      <c r="AC6" s="245">
        <v>0.65</v>
      </c>
      <c r="AD6" s="76"/>
      <c r="AE6"/>
    </row>
    <row r="7" spans="1:43" x14ac:dyDescent="0.3">
      <c r="A7" s="316"/>
      <c r="B7" s="235" t="str">
        <f>'RSD (DEA)'!AJ11&amp;"_"&amp;'RSD (DEA)'!Z11</f>
        <v>RHHSB_B_OIL_01</v>
      </c>
      <c r="C7" s="318"/>
      <c r="D7" s="235" t="str">
        <f>IF(B7=B6,LEFT(B7,LEN(B7)-2)&amp;IF(RIGHT(D6)+1&lt;9,"0"&amp;RIGHT(D6)+1,RIGHT(D6)+1),B7)</f>
        <v>RHHSB_B_OIL_02</v>
      </c>
      <c r="E7" s="235" t="str">
        <f>'RSD (DEA)'!Q11</f>
        <v>Oil-fired boiler</v>
      </c>
      <c r="F7" s="242" t="s">
        <v>239</v>
      </c>
      <c r="G7" s="242" t="s">
        <v>240</v>
      </c>
      <c r="H7" s="235">
        <f>'RSD (DEA)'!S11</f>
        <v>15</v>
      </c>
      <c r="I7" s="235" t="str">
        <f>IF(OR(RIGHT('RSD (DEA)'!AH11,3)="BIO",RIGHT(AD7,3)="BOA"),LEFT('RSD (DEA)'!AH11,3)&amp;"BFW",'RSD (DEA)'!AH11)</f>
        <v>RSDOIL</v>
      </c>
      <c r="J7" s="182" t="str">
        <f>'RSD (DEA)'!AI11</f>
        <v/>
      </c>
      <c r="K7" s="235" t="str">
        <f>'RSD (DEA)'!AJ11</f>
        <v>RHHSB</v>
      </c>
      <c r="L7" s="235"/>
      <c r="M7" s="182">
        <f t="shared" si="0"/>
        <v>2019</v>
      </c>
      <c r="N7" s="182">
        <f>'RSD (DEA)'!X11</f>
        <v>2020</v>
      </c>
      <c r="O7" s="182">
        <f t="shared" si="1"/>
        <v>2020</v>
      </c>
      <c r="P7" s="183">
        <f>'RSD (DEA)'!AZ11</f>
        <v>0.92</v>
      </c>
      <c r="Q7" s="183">
        <f>'RSD (DEA)'!BA11</f>
        <v>0.92</v>
      </c>
      <c r="R7" s="182">
        <f>'RSD (DEA)'!BR11/'RSD (DEA)'!S11</f>
        <v>16.266666666666666</v>
      </c>
      <c r="S7" s="182">
        <f>'RSD (DEA)'!BS11/X_RSD_HeatingDemand!$AA$8</f>
        <v>0</v>
      </c>
      <c r="T7" s="182">
        <f>'RSD (DEA)'!BK11*X_RSD_HeatingDemand!$AA$9/'RSD (DEA)'!S11</f>
        <v>400</v>
      </c>
      <c r="U7" s="182">
        <f>'RSD (DEA)'!BI11</f>
        <v>20</v>
      </c>
      <c r="V7" s="182"/>
      <c r="W7" s="236">
        <f>'RSD (DEA)'!AM11</f>
        <v>31.536000000000001</v>
      </c>
      <c r="Z7" s="308"/>
    </row>
    <row r="8" spans="1:43" x14ac:dyDescent="0.3">
      <c r="A8" s="316"/>
      <c r="B8" s="235" t="str">
        <f>'RSD (DEA)'!AJ12&amp;"_"&amp;'RSD (DEA)'!Z12</f>
        <v>RHHSB_B_OIL_01</v>
      </c>
      <c r="C8" s="318"/>
      <c r="D8" s="235" t="str">
        <f t="shared" ref="D8:D71" si="2">IF(B8=B7,LEFT(B8,LEN(B8)-2)&amp;IF(RIGHT(D7)+1&lt;9,"0"&amp;RIGHT(D7)+1,RIGHT(D7)+1),B8)</f>
        <v>RHHSB_B_OIL_03</v>
      </c>
      <c r="E8" s="235" t="str">
        <f>'RSD (DEA)'!Q12</f>
        <v>Oil-fired boiler</v>
      </c>
      <c r="F8" s="242" t="s">
        <v>239</v>
      </c>
      <c r="G8" s="242" t="s">
        <v>240</v>
      </c>
      <c r="H8" s="235">
        <f>'RSD (DEA)'!S12</f>
        <v>15</v>
      </c>
      <c r="I8" s="235" t="str">
        <f>IF(OR(RIGHT('RSD (DEA)'!AH12,3)="BIO",RIGHT(AD8,3)="BOA"),LEFT('RSD (DEA)'!AH12,3)&amp;"BFW",'RSD (DEA)'!AH12)</f>
        <v>RSDOIL</v>
      </c>
      <c r="J8" s="182" t="str">
        <f>'RSD (DEA)'!AI12</f>
        <v/>
      </c>
      <c r="K8" s="235" t="str">
        <f>'RSD (DEA)'!AJ12</f>
        <v>RHHSB</v>
      </c>
      <c r="L8" s="235"/>
      <c r="M8" s="182">
        <f t="shared" si="0"/>
        <v>2019</v>
      </c>
      <c r="N8" s="182">
        <f>'RSD (DEA)'!X12</f>
        <v>2030</v>
      </c>
      <c r="O8" s="182">
        <f t="shared" si="1"/>
        <v>2030</v>
      </c>
      <c r="P8" s="183">
        <f>'RSD (DEA)'!AZ12</f>
        <v>0.93</v>
      </c>
      <c r="Q8" s="183">
        <f>'RSD (DEA)'!BA12</f>
        <v>0.93</v>
      </c>
      <c r="R8" s="182">
        <f>'RSD (DEA)'!BR12/'RSD (DEA)'!S12</f>
        <v>15.733333333333333</v>
      </c>
      <c r="S8" s="182">
        <f>'RSD (DEA)'!BS12/X_RSD_HeatingDemand!$AA$8</f>
        <v>0</v>
      </c>
      <c r="T8" s="182">
        <f>'RSD (DEA)'!BK12*X_RSD_HeatingDemand!$AA$9/'RSD (DEA)'!S12</f>
        <v>400</v>
      </c>
      <c r="U8" s="182">
        <f>'RSD (DEA)'!BI12</f>
        <v>20</v>
      </c>
      <c r="V8" s="182"/>
      <c r="W8" s="236">
        <f>'RSD (DEA)'!AM12</f>
        <v>31.536000000000001</v>
      </c>
      <c r="Z8" s="243" t="s">
        <v>1131</v>
      </c>
      <c r="AA8" s="245">
        <v>3.6</v>
      </c>
      <c r="AB8" t="s">
        <v>1132</v>
      </c>
    </row>
    <row r="9" spans="1:43" x14ac:dyDescent="0.3">
      <c r="A9" s="316"/>
      <c r="B9" s="235" t="str">
        <f>'RSD (DEA)'!AJ13&amp;"_"&amp;'RSD (DEA)'!Z13</f>
        <v>RHHSB_B_OIL_01</v>
      </c>
      <c r="C9" s="318"/>
      <c r="D9" s="235" t="str">
        <f t="shared" si="2"/>
        <v>RHHSB_B_OIL_04</v>
      </c>
      <c r="E9" s="235" t="str">
        <f>'RSD (DEA)'!Q13</f>
        <v>Oil-fired boiler</v>
      </c>
      <c r="F9" s="242" t="s">
        <v>239</v>
      </c>
      <c r="G9" s="242" t="s">
        <v>240</v>
      </c>
      <c r="H9" s="235">
        <f>'RSD (DEA)'!S13</f>
        <v>15</v>
      </c>
      <c r="I9" s="235" t="str">
        <f>IF(OR(RIGHT('RSD (DEA)'!AH13,3)="BIO",RIGHT(AD9,3)="BOA"),LEFT('RSD (DEA)'!AH13,3)&amp;"BFW",'RSD (DEA)'!AH13)</f>
        <v>RSDOIL</v>
      </c>
      <c r="J9" s="182" t="str">
        <f>'RSD (DEA)'!AI13</f>
        <v/>
      </c>
      <c r="K9" s="235" t="str">
        <f>'RSD (DEA)'!AJ13</f>
        <v>RHHSB</v>
      </c>
      <c r="L9" s="235"/>
      <c r="M9" s="182">
        <f t="shared" si="0"/>
        <v>2019</v>
      </c>
      <c r="N9" s="182">
        <f>'RSD (DEA)'!X13</f>
        <v>2050</v>
      </c>
      <c r="O9" s="182">
        <f t="shared" si="1"/>
        <v>2050</v>
      </c>
      <c r="P9" s="183">
        <f>'RSD (DEA)'!AZ13</f>
        <v>0.95</v>
      </c>
      <c r="Q9" s="183">
        <f>'RSD (DEA)'!BA13</f>
        <v>0.95</v>
      </c>
      <c r="R9" s="182">
        <f>'RSD (DEA)'!BR13/'RSD (DEA)'!S13</f>
        <v>14.266666666666667</v>
      </c>
      <c r="S9" s="182">
        <f>'RSD (DEA)'!BS13/X_RSD_HeatingDemand!$AA$8</f>
        <v>0</v>
      </c>
      <c r="T9" s="182">
        <f>'RSD (DEA)'!BK13*X_RSD_HeatingDemand!$AA$9/'RSD (DEA)'!S13</f>
        <v>666.66666666666663</v>
      </c>
      <c r="U9" s="182">
        <f>'RSD (DEA)'!BI13</f>
        <v>20</v>
      </c>
      <c r="V9" s="182"/>
      <c r="W9" s="236">
        <f>'RSD (DEA)'!AM13</f>
        <v>31.536000000000001</v>
      </c>
      <c r="Z9" s="243" t="s">
        <v>136</v>
      </c>
      <c r="AA9" s="245">
        <v>1000</v>
      </c>
      <c r="AB9" t="s">
        <v>1133</v>
      </c>
    </row>
    <row r="10" spans="1:43" x14ac:dyDescent="0.3">
      <c r="A10" s="316"/>
      <c r="B10" s="235" t="str">
        <f>'RSD (DEA)'!AJ14&amp;"_"&amp;'RSD (DEA)'!Z14</f>
        <v>RHHSA_B_WOO_01</v>
      </c>
      <c r="C10" s="318"/>
      <c r="D10" s="235" t="str">
        <f t="shared" si="2"/>
        <v>RHHSA_B_WOO_01</v>
      </c>
      <c r="E10" s="235" t="str">
        <f>'RSD (DEA)'!Q14</f>
        <v>Oil-fired boiler</v>
      </c>
      <c r="F10" s="242" t="s">
        <v>239</v>
      </c>
      <c r="G10" s="242" t="s">
        <v>240</v>
      </c>
      <c r="H10" s="235">
        <f>'RSD (DEA)'!S14</f>
        <v>15</v>
      </c>
      <c r="I10" s="235" t="str">
        <f>IF(OR(RIGHT('RSD (DEA)'!AH14,3)="BIO",RIGHT(AD10,3)="BOA"),LEFT('RSD (DEA)'!AH14,3)&amp;"BFW",'RSD (DEA)'!AH14)</f>
        <v>RSDWOO</v>
      </c>
      <c r="J10" s="182" t="str">
        <f>'RSD (DEA)'!AI14</f>
        <v/>
      </c>
      <c r="K10" s="235" t="str">
        <f>'RSD (DEA)'!AJ14</f>
        <v>RHHSA</v>
      </c>
      <c r="L10" s="235"/>
      <c r="M10" s="182">
        <f t="shared" si="0"/>
        <v>2019</v>
      </c>
      <c r="N10" s="182">
        <f>'RSD (DEA)'!X14</f>
        <v>2015</v>
      </c>
      <c r="O10" s="182">
        <f t="shared" si="1"/>
        <v>2019</v>
      </c>
      <c r="P10" s="183">
        <f>'RSD (DEA)'!AZ14</f>
        <v>0.88</v>
      </c>
      <c r="Q10" s="183">
        <f>'RSD (DEA)'!BA14</f>
        <v>0.88</v>
      </c>
      <c r="R10" s="182">
        <f>'RSD (DEA)'!BR14/'RSD (DEA)'!S14</f>
        <v>16.420000000000002</v>
      </c>
      <c r="S10" s="182">
        <f>'RSD (DEA)'!BS14/X_RSD_HeatingDemand!$AA$8</f>
        <v>0</v>
      </c>
      <c r="T10" s="182">
        <f>'RSD (DEA)'!BK14*X_RSD_HeatingDemand!$AA$9/'RSD (DEA)'!S14</f>
        <v>666.66666666666663</v>
      </c>
      <c r="U10" s="182">
        <f>'RSD (DEA)'!BI14</f>
        <v>20</v>
      </c>
      <c r="V10" s="182"/>
      <c r="W10" s="236">
        <f>'RSD (DEA)'!AM14</f>
        <v>31.536000000000001</v>
      </c>
      <c r="Z10" s="308"/>
      <c r="AA10" s="248"/>
    </row>
    <row r="11" spans="1:43" x14ac:dyDescent="0.3">
      <c r="A11" s="316"/>
      <c r="B11" s="235" t="str">
        <f>'RSD (DEA)'!AJ15&amp;"_"&amp;'RSD (DEA)'!Z15</f>
        <v>RHHSA_B_WOO_01</v>
      </c>
      <c r="C11" s="318"/>
      <c r="D11" s="235" t="str">
        <f t="shared" si="2"/>
        <v>RHHSA_B_WOO_02</v>
      </c>
      <c r="E11" s="235" t="str">
        <f>'RSD (DEA)'!Q15</f>
        <v>Oil-fired boiler</v>
      </c>
      <c r="F11" s="242" t="s">
        <v>239</v>
      </c>
      <c r="G11" s="242" t="s">
        <v>240</v>
      </c>
      <c r="H11" s="235">
        <f>'RSD (DEA)'!S15</f>
        <v>15</v>
      </c>
      <c r="I11" s="235" t="str">
        <f>IF(OR(RIGHT('RSD (DEA)'!AH15,3)="BIO",RIGHT(AD11,3)="BOA"),LEFT('RSD (DEA)'!AH15,3)&amp;"BFW",'RSD (DEA)'!AH15)</f>
        <v>RSDWOO</v>
      </c>
      <c r="J11" s="182" t="str">
        <f>'RSD (DEA)'!AI15</f>
        <v/>
      </c>
      <c r="K11" s="235" t="str">
        <f>'RSD (DEA)'!AJ15</f>
        <v>RHHSA</v>
      </c>
      <c r="L11" s="235"/>
      <c r="M11" s="182">
        <f t="shared" si="0"/>
        <v>2019</v>
      </c>
      <c r="N11" s="182">
        <f>'RSD (DEA)'!X15</f>
        <v>2020</v>
      </c>
      <c r="O11" s="182">
        <f t="shared" si="1"/>
        <v>2020</v>
      </c>
      <c r="P11" s="183">
        <f>'RSD (DEA)'!AZ15</f>
        <v>0.88</v>
      </c>
      <c r="Q11" s="183">
        <f>'RSD (DEA)'!BA15</f>
        <v>0.88</v>
      </c>
      <c r="R11" s="182">
        <f>'RSD (DEA)'!BR15/'RSD (DEA)'!S15</f>
        <v>16.066666666666666</v>
      </c>
      <c r="S11" s="182">
        <f>'RSD (DEA)'!BS15/X_RSD_HeatingDemand!$AA$8</f>
        <v>0</v>
      </c>
      <c r="T11" s="182">
        <f>'RSD (DEA)'!BK15*X_RSD_HeatingDemand!$AA$9/'RSD (DEA)'!S15</f>
        <v>666.66666666666663</v>
      </c>
      <c r="U11" s="182">
        <f>'RSD (DEA)'!BI15</f>
        <v>20</v>
      </c>
      <c r="V11" s="182"/>
      <c r="W11" s="236">
        <f>'RSD (DEA)'!AM15</f>
        <v>31.536000000000001</v>
      </c>
      <c r="Z11" s="243" t="s">
        <v>1136</v>
      </c>
      <c r="AA11" s="245" t="s">
        <v>1135</v>
      </c>
      <c r="AB11" s="309"/>
    </row>
    <row r="12" spans="1:43" x14ac:dyDescent="0.3">
      <c r="A12" s="316"/>
      <c r="B12" s="235" t="str">
        <f>'RSD (DEA)'!AJ16&amp;"_"&amp;'RSD (DEA)'!Z16</f>
        <v>RHHSA_B_WOO_01</v>
      </c>
      <c r="C12" s="318"/>
      <c r="D12" s="235" t="str">
        <f t="shared" si="2"/>
        <v>RHHSA_B_WOO_03</v>
      </c>
      <c r="E12" s="235" t="str">
        <f>'RSD (DEA)'!Q16</f>
        <v>Oil-fired boiler</v>
      </c>
      <c r="F12" s="242" t="s">
        <v>239</v>
      </c>
      <c r="G12" s="242" t="s">
        <v>240</v>
      </c>
      <c r="H12" s="235">
        <f>'RSD (DEA)'!S16</f>
        <v>15</v>
      </c>
      <c r="I12" s="235" t="str">
        <f>IF(OR(RIGHT('RSD (DEA)'!AH16,3)="BIO",RIGHT(AD12,3)="BOA"),LEFT('RSD (DEA)'!AH16,3)&amp;"BFW",'RSD (DEA)'!AH16)</f>
        <v>RSDWOO</v>
      </c>
      <c r="J12" s="182" t="str">
        <f>'RSD (DEA)'!AI16</f>
        <v/>
      </c>
      <c r="K12" s="235" t="str">
        <f>'RSD (DEA)'!AJ16</f>
        <v>RHHSA</v>
      </c>
      <c r="L12" s="235"/>
      <c r="M12" s="182">
        <f t="shared" si="0"/>
        <v>2019</v>
      </c>
      <c r="N12" s="182">
        <f>'RSD (DEA)'!X16</f>
        <v>2030</v>
      </c>
      <c r="O12" s="182">
        <f t="shared" si="1"/>
        <v>2030</v>
      </c>
      <c r="P12" s="183">
        <f>'RSD (DEA)'!AZ16</f>
        <v>0.92</v>
      </c>
      <c r="Q12" s="183">
        <f>'RSD (DEA)'!BA16</f>
        <v>0.92</v>
      </c>
      <c r="R12" s="182">
        <f>'RSD (DEA)'!BR16/'RSD (DEA)'!S16</f>
        <v>15.466666666666667</v>
      </c>
      <c r="S12" s="182">
        <f>'RSD (DEA)'!BS16/X_RSD_HeatingDemand!$AA$8</f>
        <v>0</v>
      </c>
      <c r="T12" s="182">
        <f>'RSD (DEA)'!BK16*X_RSD_HeatingDemand!$AA$9/'RSD (DEA)'!S16</f>
        <v>600</v>
      </c>
      <c r="U12" s="182">
        <f>'RSD (DEA)'!BI16</f>
        <v>20</v>
      </c>
      <c r="V12" s="182"/>
      <c r="W12" s="236">
        <f>'RSD (DEA)'!AM16</f>
        <v>31.536000000000001</v>
      </c>
      <c r="Z12" s="243" t="s">
        <v>1137</v>
      </c>
      <c r="AA12" s="80"/>
      <c r="AB12"/>
    </row>
    <row r="13" spans="1:43" x14ac:dyDescent="0.3">
      <c r="A13" s="316"/>
      <c r="B13" s="235" t="str">
        <f>'RSD (DEA)'!AJ17&amp;"_"&amp;'RSD (DEA)'!Z17</f>
        <v>RHHSA_B_WOO_01</v>
      </c>
      <c r="C13" s="318"/>
      <c r="D13" s="235" t="str">
        <f t="shared" si="2"/>
        <v>RHHSA_B_WOO_04</v>
      </c>
      <c r="E13" s="235" t="str">
        <f>'RSD (DEA)'!Q17</f>
        <v>Oil-fired boiler</v>
      </c>
      <c r="F13" s="242" t="s">
        <v>239</v>
      </c>
      <c r="G13" s="242" t="s">
        <v>240</v>
      </c>
      <c r="H13" s="235">
        <f>'RSD (DEA)'!S17</f>
        <v>15</v>
      </c>
      <c r="I13" s="235" t="str">
        <f>IF(OR(RIGHT('RSD (DEA)'!AH17,3)="BIO",RIGHT(AD13,3)="BOA"),LEFT('RSD (DEA)'!AH17,3)&amp;"BFW",'RSD (DEA)'!AH17)</f>
        <v>RSDWOO</v>
      </c>
      <c r="J13" s="182" t="str">
        <f>'RSD (DEA)'!AI17</f>
        <v/>
      </c>
      <c r="K13" s="235" t="str">
        <f>'RSD (DEA)'!AJ17</f>
        <v>RHHSA</v>
      </c>
      <c r="L13" s="235"/>
      <c r="M13" s="182">
        <f t="shared" si="0"/>
        <v>2019</v>
      </c>
      <c r="N13" s="182">
        <f>'RSD (DEA)'!X17</f>
        <v>2050</v>
      </c>
      <c r="O13" s="182">
        <f t="shared" si="1"/>
        <v>2050</v>
      </c>
      <c r="P13" s="183">
        <f>'RSD (DEA)'!AZ17</f>
        <v>0.94</v>
      </c>
      <c r="Q13" s="183">
        <f>'RSD (DEA)'!BA17</f>
        <v>0.94</v>
      </c>
      <c r="R13" s="182">
        <f>'RSD (DEA)'!BR17/'RSD (DEA)'!S17</f>
        <v>14</v>
      </c>
      <c r="S13" s="182">
        <f>'RSD (DEA)'!BS17/X_RSD_HeatingDemand!$AA$8</f>
        <v>0</v>
      </c>
      <c r="T13" s="182">
        <f>'RSD (DEA)'!BK17*X_RSD_HeatingDemand!$AA$9/'RSD (DEA)'!S17</f>
        <v>1133.3333333333333</v>
      </c>
      <c r="U13" s="182">
        <f>'RSD (DEA)'!BI17</f>
        <v>20</v>
      </c>
      <c r="V13" s="182"/>
      <c r="W13" s="236">
        <f>'RSD (DEA)'!AM17</f>
        <v>31.536000000000001</v>
      </c>
      <c r="Z13" s="308"/>
      <c r="AA13" s="248"/>
    </row>
    <row r="14" spans="1:43" x14ac:dyDescent="0.3">
      <c r="A14" s="316"/>
      <c r="B14" s="235" t="str">
        <f>'RSD (DEA)'!AJ18&amp;"_"&amp;'RSD (DEA)'!Z18</f>
        <v>RHAPC_B_OIL_02</v>
      </c>
      <c r="C14" s="318"/>
      <c r="D14" s="235" t="str">
        <f t="shared" si="2"/>
        <v>RHAPC_B_OIL_02</v>
      </c>
      <c r="E14" s="235" t="str">
        <f>'RSD (DEA)'!Q18</f>
        <v>Oil-fired boiler</v>
      </c>
      <c r="F14" s="242" t="s">
        <v>239</v>
      </c>
      <c r="G14" s="242" t="s">
        <v>240</v>
      </c>
      <c r="H14" s="235">
        <f>'RSD (DEA)'!S18</f>
        <v>400</v>
      </c>
      <c r="I14" s="235" t="str">
        <f>IF(OR(RIGHT('RSD (DEA)'!AH18,3)="BIO",RIGHT(AD14,3)="BOA"),LEFT('RSD (DEA)'!AH18,3)&amp;"BFW",'RSD (DEA)'!AH18)</f>
        <v>RSDOIL</v>
      </c>
      <c r="J14" s="182" t="str">
        <f>'RSD (DEA)'!AI18</f>
        <v/>
      </c>
      <c r="K14" s="235" t="str">
        <f>'RSD (DEA)'!AJ18</f>
        <v>RHAPC</v>
      </c>
      <c r="L14" s="235"/>
      <c r="M14" s="182">
        <f t="shared" si="0"/>
        <v>2019</v>
      </c>
      <c r="N14" s="182">
        <f>'RSD (DEA)'!X18</f>
        <v>2015</v>
      </c>
      <c r="O14" s="182">
        <f t="shared" si="1"/>
        <v>2019</v>
      </c>
      <c r="P14" s="183">
        <f>'RSD (DEA)'!AZ18</f>
        <v>0.92</v>
      </c>
      <c r="Q14" s="183">
        <f>'RSD (DEA)'!BA18</f>
        <v>0.92</v>
      </c>
      <c r="R14" s="182">
        <f>'RSD (DEA)'!BR18/'RSD (DEA)'!S18</f>
        <v>2.13625</v>
      </c>
      <c r="S14" s="182">
        <f>'RSD (DEA)'!BS18/X_RSD_HeatingDemand!$AA$8</f>
        <v>6.5483360815438685</v>
      </c>
      <c r="T14" s="182">
        <f>'RSD (DEA)'!BK18*X_RSD_HeatingDemand!$AA$9/'RSD (DEA)'!S18</f>
        <v>87.5</v>
      </c>
      <c r="U14" s="182">
        <f>'RSD (DEA)'!BI18</f>
        <v>20</v>
      </c>
      <c r="V14" s="182"/>
      <c r="W14" s="236">
        <f>'RSD (DEA)'!AM18</f>
        <v>31.536000000000001</v>
      </c>
      <c r="Z14" s="308" t="s">
        <v>42</v>
      </c>
      <c r="AA14" s="310">
        <v>2019</v>
      </c>
    </row>
    <row r="15" spans="1:43" x14ac:dyDescent="0.3">
      <c r="A15" s="316"/>
      <c r="B15" s="235" t="str">
        <f>'RSD (DEA)'!AJ19&amp;"_"&amp;'RSD (DEA)'!Z19</f>
        <v>RHAPC_B_OIL_02</v>
      </c>
      <c r="C15" s="318"/>
      <c r="D15" s="235" t="str">
        <f t="shared" si="2"/>
        <v>RHAPC_B_OIL_03</v>
      </c>
      <c r="E15" s="235" t="str">
        <f>'RSD (DEA)'!Q19</f>
        <v>Oil-fired boiler</v>
      </c>
      <c r="F15" s="242" t="s">
        <v>239</v>
      </c>
      <c r="G15" s="242" t="s">
        <v>240</v>
      </c>
      <c r="H15" s="235">
        <f>'RSD (DEA)'!S19</f>
        <v>400</v>
      </c>
      <c r="I15" s="235" t="str">
        <f>IF(OR(RIGHT('RSD (DEA)'!AH19,3)="BIO",RIGHT(AD15,3)="BOA"),LEFT('RSD (DEA)'!AH19,3)&amp;"BFW",'RSD (DEA)'!AH19)</f>
        <v>RSDOIL</v>
      </c>
      <c r="J15" s="182" t="str">
        <f>'RSD (DEA)'!AI19</f>
        <v/>
      </c>
      <c r="K15" s="235" t="str">
        <f>'RSD (DEA)'!AJ19</f>
        <v>RHAPC</v>
      </c>
      <c r="L15" s="235"/>
      <c r="M15" s="182">
        <f t="shared" si="0"/>
        <v>2019</v>
      </c>
      <c r="N15" s="182">
        <f>'RSD (DEA)'!X19</f>
        <v>2020</v>
      </c>
      <c r="O15" s="182">
        <f t="shared" si="1"/>
        <v>2020</v>
      </c>
      <c r="P15" s="183">
        <f>'RSD (DEA)'!AZ19</f>
        <v>0.92</v>
      </c>
      <c r="Q15" s="183">
        <f>'RSD (DEA)'!BA19</f>
        <v>0.92</v>
      </c>
      <c r="R15" s="182">
        <f>'RSD (DEA)'!BR19/'RSD (DEA)'!S19</f>
        <v>2.0950000000000002</v>
      </c>
      <c r="S15" s="182">
        <f>'RSD (DEA)'!BS19/X_RSD_HeatingDemand!$AA$8</f>
        <v>6.5483360815438685</v>
      </c>
      <c r="T15" s="182">
        <f>'RSD (DEA)'!BK19*X_RSD_HeatingDemand!$AA$9/'RSD (DEA)'!S19</f>
        <v>85</v>
      </c>
      <c r="U15" s="182">
        <f>'RSD (DEA)'!BI19</f>
        <v>20</v>
      </c>
      <c r="V15" s="182"/>
      <c r="W15" s="236">
        <f>'RSD (DEA)'!AM19</f>
        <v>31.536000000000001</v>
      </c>
    </row>
    <row r="16" spans="1:43" x14ac:dyDescent="0.3">
      <c r="A16" s="316"/>
      <c r="B16" s="235" t="str">
        <f>'RSD (DEA)'!AJ20&amp;"_"&amp;'RSD (DEA)'!Z20</f>
        <v>RHAPC_B_OIL_02</v>
      </c>
      <c r="C16" s="318"/>
      <c r="D16" s="235" t="str">
        <f t="shared" si="2"/>
        <v>RHAPC_B_OIL_04</v>
      </c>
      <c r="E16" s="235" t="str">
        <f>'RSD (DEA)'!Q20</f>
        <v>Oil-fired boiler</v>
      </c>
      <c r="F16" s="242" t="s">
        <v>239</v>
      </c>
      <c r="G16" s="242" t="s">
        <v>240</v>
      </c>
      <c r="H16" s="235">
        <f>'RSD (DEA)'!S20</f>
        <v>400</v>
      </c>
      <c r="I16" s="235" t="str">
        <f>IF(OR(RIGHT('RSD (DEA)'!AH20,3)="BIO",RIGHT(AD16,3)="BOA"),LEFT('RSD (DEA)'!AH20,3)&amp;"BFW",'RSD (DEA)'!AH20)</f>
        <v>RSDOIL</v>
      </c>
      <c r="J16" s="182" t="str">
        <f>'RSD (DEA)'!AI20</f>
        <v/>
      </c>
      <c r="K16" s="235" t="str">
        <f>'RSD (DEA)'!AJ20</f>
        <v>RHAPC</v>
      </c>
      <c r="L16" s="235"/>
      <c r="M16" s="182">
        <f t="shared" si="0"/>
        <v>2019</v>
      </c>
      <c r="N16" s="182">
        <f>'RSD (DEA)'!X20</f>
        <v>2030</v>
      </c>
      <c r="O16" s="182">
        <f t="shared" si="1"/>
        <v>2030</v>
      </c>
      <c r="P16" s="183">
        <f>'RSD (DEA)'!AZ20</f>
        <v>0.93</v>
      </c>
      <c r="Q16" s="183">
        <f>'RSD (DEA)'!BA20</f>
        <v>0.93</v>
      </c>
      <c r="R16" s="182">
        <f>'RSD (DEA)'!BR20/'RSD (DEA)'!S20</f>
        <v>2.09</v>
      </c>
      <c r="S16" s="182">
        <f>'RSD (DEA)'!BS20/X_RSD_HeatingDemand!$AA$8</f>
        <v>6.5483360815438685</v>
      </c>
      <c r="T16" s="182">
        <f>'RSD (DEA)'!BK20*X_RSD_HeatingDemand!$AA$9/'RSD (DEA)'!S20</f>
        <v>80</v>
      </c>
      <c r="U16" s="182">
        <f>'RSD (DEA)'!BI20</f>
        <v>20</v>
      </c>
      <c r="V16" s="182"/>
      <c r="W16" s="236">
        <f>'RSD (DEA)'!AM20</f>
        <v>31.536000000000001</v>
      </c>
    </row>
    <row r="17" spans="1:23" x14ac:dyDescent="0.3">
      <c r="A17" s="316"/>
      <c r="B17" s="235" t="str">
        <f>'RSD (DEA)'!AJ21&amp;"_"&amp;'RSD (DEA)'!Z21</f>
        <v>RHAPC_B_OIL_02</v>
      </c>
      <c r="C17" s="318"/>
      <c r="D17" s="235" t="str">
        <f t="shared" si="2"/>
        <v>RHAPC_B_OIL_05</v>
      </c>
      <c r="E17" s="235" t="str">
        <f>'RSD (DEA)'!Q21</f>
        <v>Oil-fired boiler</v>
      </c>
      <c r="F17" s="242" t="s">
        <v>239</v>
      </c>
      <c r="G17" s="242" t="s">
        <v>240</v>
      </c>
      <c r="H17" s="235">
        <f>'RSD (DEA)'!S21</f>
        <v>400</v>
      </c>
      <c r="I17" s="235" t="str">
        <f>IF(OR(RIGHT('RSD (DEA)'!AH21,3)="BIO",RIGHT(AD17,3)="BOA"),LEFT('RSD (DEA)'!AH21,3)&amp;"BFW",'RSD (DEA)'!AH21)</f>
        <v>RSDOIL</v>
      </c>
      <c r="J17" s="182" t="str">
        <f>'RSD (DEA)'!AI21</f>
        <v/>
      </c>
      <c r="K17" s="235" t="str">
        <f>'RSD (DEA)'!AJ21</f>
        <v>RHAPC</v>
      </c>
      <c r="L17" s="235"/>
      <c r="M17" s="182">
        <f t="shared" si="0"/>
        <v>2019</v>
      </c>
      <c r="N17" s="182">
        <f>'RSD (DEA)'!X21</f>
        <v>2050</v>
      </c>
      <c r="O17" s="182">
        <f t="shared" si="1"/>
        <v>2050</v>
      </c>
      <c r="P17" s="183">
        <f>'RSD (DEA)'!AZ21</f>
        <v>0.95</v>
      </c>
      <c r="Q17" s="183">
        <f>'RSD (DEA)'!BA21</f>
        <v>0.95</v>
      </c>
      <c r="R17" s="182">
        <f>'RSD (DEA)'!BR21/'RSD (DEA)'!S21</f>
        <v>1.9450000000000001</v>
      </c>
      <c r="S17" s="182">
        <f>'RSD (DEA)'!BS21/X_RSD_HeatingDemand!$AA$8</f>
        <v>6.5483360815438685</v>
      </c>
      <c r="T17" s="182">
        <f>'RSD (DEA)'!BK21*X_RSD_HeatingDemand!$AA$9/'RSD (DEA)'!S21</f>
        <v>147.5</v>
      </c>
      <c r="U17" s="182">
        <f>'RSD (DEA)'!BI21</f>
        <v>20</v>
      </c>
      <c r="V17" s="182"/>
      <c r="W17" s="236">
        <f>'RSD (DEA)'!AM21</f>
        <v>31.536000000000001</v>
      </c>
    </row>
    <row r="18" spans="1:23" x14ac:dyDescent="0.3">
      <c r="A18" s="316"/>
      <c r="B18" s="235" t="str">
        <f>'RSD (DEA)'!AJ22&amp;"_"&amp;'RSD (DEA)'!Z22</f>
        <v>RHAPA_B_WOO_02</v>
      </c>
      <c r="C18" s="318"/>
      <c r="D18" s="235" t="str">
        <f t="shared" si="2"/>
        <v>RHAPA_B_WOO_02</v>
      </c>
      <c r="E18" s="235" t="str">
        <f>'RSD (DEA)'!Q22</f>
        <v>Oil-fired boiler</v>
      </c>
      <c r="F18" s="242" t="s">
        <v>239</v>
      </c>
      <c r="G18" s="242" t="s">
        <v>240</v>
      </c>
      <c r="H18" s="235">
        <f>'RSD (DEA)'!S22</f>
        <v>160</v>
      </c>
      <c r="I18" s="235" t="str">
        <f>IF(OR(RIGHT('RSD (DEA)'!AH22,3)="BIO",RIGHT(AD18,3)="BOA"),LEFT('RSD (DEA)'!AH22,3)&amp;"BFW",'RSD (DEA)'!AH22)</f>
        <v>RSDWOO</v>
      </c>
      <c r="J18" s="182" t="str">
        <f>'RSD (DEA)'!AI22</f>
        <v/>
      </c>
      <c r="K18" s="235" t="str">
        <f>'RSD (DEA)'!AJ22</f>
        <v>RHAPA</v>
      </c>
      <c r="L18" s="235"/>
      <c r="M18" s="182">
        <f t="shared" si="0"/>
        <v>2019</v>
      </c>
      <c r="N18" s="182">
        <f>'RSD (DEA)'!X22</f>
        <v>2015</v>
      </c>
      <c r="O18" s="182">
        <f t="shared" si="1"/>
        <v>2019</v>
      </c>
      <c r="P18" s="183">
        <f>'RSD (DEA)'!AZ22</f>
        <v>0.88</v>
      </c>
      <c r="Q18" s="183">
        <f>'RSD (DEA)'!BA22</f>
        <v>0.88</v>
      </c>
      <c r="R18" s="182">
        <f>'RSD (DEA)'!BR22/'RSD (DEA)'!S22</f>
        <v>3.5187499999999998</v>
      </c>
      <c r="S18" s="182">
        <f>'RSD (DEA)'!BS22/X_RSD_HeatingDemand!$AA$8</f>
        <v>6.5483360815438685</v>
      </c>
      <c r="T18" s="182">
        <f>'RSD (DEA)'!BK22*X_RSD_HeatingDemand!$AA$9/'RSD (DEA)'!S22</f>
        <v>175</v>
      </c>
      <c r="U18" s="182">
        <f>'RSD (DEA)'!BI22</f>
        <v>20</v>
      </c>
      <c r="V18" s="182"/>
      <c r="W18" s="236">
        <f>'RSD (DEA)'!AM22</f>
        <v>31.536000000000001</v>
      </c>
    </row>
    <row r="19" spans="1:23" x14ac:dyDescent="0.3">
      <c r="A19" s="316"/>
      <c r="B19" s="235" t="str">
        <f>'RSD (DEA)'!AJ23&amp;"_"&amp;'RSD (DEA)'!Z23</f>
        <v>RHAPA_B_WOO_02</v>
      </c>
      <c r="C19" s="318"/>
      <c r="D19" s="235" t="str">
        <f t="shared" si="2"/>
        <v>RHAPA_B_WOO_03</v>
      </c>
      <c r="E19" s="235" t="str">
        <f>'RSD (DEA)'!Q23</f>
        <v>Oil-fired boiler</v>
      </c>
      <c r="F19" s="242" t="s">
        <v>239</v>
      </c>
      <c r="G19" s="242" t="s">
        <v>240</v>
      </c>
      <c r="H19" s="235">
        <f>'RSD (DEA)'!S23</f>
        <v>160</v>
      </c>
      <c r="I19" s="235" t="str">
        <f>IF(OR(RIGHT('RSD (DEA)'!AH23,3)="BIO",RIGHT(AD19,3)="BOA"),LEFT('RSD (DEA)'!AH23,3)&amp;"BFW",'RSD (DEA)'!AH23)</f>
        <v>RSDWOO</v>
      </c>
      <c r="J19" s="182" t="str">
        <f>'RSD (DEA)'!AI23</f>
        <v/>
      </c>
      <c r="K19" s="235" t="str">
        <f>'RSD (DEA)'!AJ23</f>
        <v>RHAPA</v>
      </c>
      <c r="L19" s="235"/>
      <c r="M19" s="182">
        <f t="shared" si="0"/>
        <v>2019</v>
      </c>
      <c r="N19" s="182">
        <f>'RSD (DEA)'!X23</f>
        <v>2020</v>
      </c>
      <c r="O19" s="182">
        <f t="shared" si="1"/>
        <v>2020</v>
      </c>
      <c r="P19" s="183">
        <f>'RSD (DEA)'!AZ23</f>
        <v>0.88</v>
      </c>
      <c r="Q19" s="183">
        <f>'RSD (DEA)'!BA23</f>
        <v>0.88</v>
      </c>
      <c r="R19" s="182">
        <f>'RSD (DEA)'!BR23/'RSD (DEA)'!S23</f>
        <v>3.4375</v>
      </c>
      <c r="S19" s="182">
        <f>'RSD (DEA)'!BS23/X_RSD_HeatingDemand!$AA$8</f>
        <v>6.5483360815438685</v>
      </c>
      <c r="T19" s="182">
        <f>'RSD (DEA)'!BK23*X_RSD_HeatingDemand!$AA$9/'RSD (DEA)'!S23</f>
        <v>168.75</v>
      </c>
      <c r="U19" s="182">
        <f>'RSD (DEA)'!BI23</f>
        <v>20</v>
      </c>
      <c r="V19" s="182"/>
      <c r="W19" s="236">
        <f>'RSD (DEA)'!AM23</f>
        <v>31.536000000000001</v>
      </c>
    </row>
    <row r="20" spans="1:23" x14ac:dyDescent="0.3">
      <c r="A20" s="316"/>
      <c r="B20" s="235" t="str">
        <f>'RSD (DEA)'!AJ24&amp;"_"&amp;'RSD (DEA)'!Z24</f>
        <v>RHAPA_B_WOO_02</v>
      </c>
      <c r="C20" s="318"/>
      <c r="D20" s="235" t="str">
        <f t="shared" si="2"/>
        <v>RHAPA_B_WOO_04</v>
      </c>
      <c r="E20" s="235" t="str">
        <f>'RSD (DEA)'!Q24</f>
        <v>Oil-fired boiler</v>
      </c>
      <c r="F20" s="242" t="s">
        <v>239</v>
      </c>
      <c r="G20" s="242" t="s">
        <v>240</v>
      </c>
      <c r="H20" s="235">
        <f>'RSD (DEA)'!S24</f>
        <v>160</v>
      </c>
      <c r="I20" s="235" t="str">
        <f>IF(OR(RIGHT('RSD (DEA)'!AH24,3)="BIO",RIGHT(AD20,3)="BOA"),LEFT('RSD (DEA)'!AH24,3)&amp;"BFW",'RSD (DEA)'!AH24)</f>
        <v>RSDWOO</v>
      </c>
      <c r="J20" s="182" t="str">
        <f>'RSD (DEA)'!AI24</f>
        <v/>
      </c>
      <c r="K20" s="235" t="str">
        <f>'RSD (DEA)'!AJ24</f>
        <v>RHAPA</v>
      </c>
      <c r="L20" s="235"/>
      <c r="M20" s="182">
        <f t="shared" si="0"/>
        <v>2019</v>
      </c>
      <c r="N20" s="182">
        <f>'RSD (DEA)'!X24</f>
        <v>2030</v>
      </c>
      <c r="O20" s="182">
        <f t="shared" si="1"/>
        <v>2030</v>
      </c>
      <c r="P20" s="183">
        <f>'RSD (DEA)'!AZ24</f>
        <v>0.92</v>
      </c>
      <c r="Q20" s="183">
        <f>'RSD (DEA)'!BA24</f>
        <v>0.92</v>
      </c>
      <c r="R20" s="182">
        <f>'RSD (DEA)'!BR24/'RSD (DEA)'!S24</f>
        <v>3.2250000000000001</v>
      </c>
      <c r="S20" s="182">
        <f>'RSD (DEA)'!BS24/X_RSD_HeatingDemand!$AA$8</f>
        <v>6.5483360815438685</v>
      </c>
      <c r="T20" s="182">
        <f>'RSD (DEA)'!BK24*X_RSD_HeatingDemand!$AA$9/'RSD (DEA)'!S24</f>
        <v>162.5</v>
      </c>
      <c r="U20" s="182">
        <f>'RSD (DEA)'!BI24</f>
        <v>20</v>
      </c>
      <c r="V20" s="182"/>
      <c r="W20" s="236">
        <f>'RSD (DEA)'!AM24</f>
        <v>31.536000000000001</v>
      </c>
    </row>
    <row r="21" spans="1:23" x14ac:dyDescent="0.3">
      <c r="A21" s="316"/>
      <c r="B21" s="235" t="str">
        <f>'RSD (DEA)'!AJ25&amp;"_"&amp;'RSD (DEA)'!Z25</f>
        <v>RHAPA_B_WOO_02</v>
      </c>
      <c r="C21" s="318"/>
      <c r="D21" s="235" t="str">
        <f t="shared" si="2"/>
        <v>RHAPA_B_WOO_05</v>
      </c>
      <c r="E21" s="235" t="str">
        <f>'RSD (DEA)'!Q25</f>
        <v>Oil-fired boiler</v>
      </c>
      <c r="F21" s="242" t="s">
        <v>239</v>
      </c>
      <c r="G21" s="242" t="s">
        <v>240</v>
      </c>
      <c r="H21" s="235">
        <f>'RSD (DEA)'!S25</f>
        <v>160</v>
      </c>
      <c r="I21" s="235" t="str">
        <f>IF(OR(RIGHT('RSD (DEA)'!AH25,3)="BIO",RIGHT(AD21,3)="BOA"),LEFT('RSD (DEA)'!AH25,3)&amp;"BFW",'RSD (DEA)'!AH25)</f>
        <v>RSDWOO</v>
      </c>
      <c r="J21" s="182" t="str">
        <f>'RSD (DEA)'!AI25</f>
        <v/>
      </c>
      <c r="K21" s="235" t="str">
        <f>'RSD (DEA)'!AJ25</f>
        <v>RHAPA</v>
      </c>
      <c r="L21" s="235"/>
      <c r="M21" s="182">
        <f t="shared" si="0"/>
        <v>2019</v>
      </c>
      <c r="N21" s="182">
        <f>'RSD (DEA)'!X25</f>
        <v>2050</v>
      </c>
      <c r="O21" s="182">
        <f t="shared" si="1"/>
        <v>2050</v>
      </c>
      <c r="P21" s="183">
        <f>'RSD (DEA)'!AZ25</f>
        <v>0.94</v>
      </c>
      <c r="Q21" s="183">
        <f>'RSD (DEA)'!BA25</f>
        <v>0.94</v>
      </c>
      <c r="R21" s="182">
        <f>'RSD (DEA)'!BR25/'RSD (DEA)'!S25</f>
        <v>2.9750000000000001</v>
      </c>
      <c r="S21" s="182">
        <f>'RSD (DEA)'!BS25/X_RSD_HeatingDemand!$AA$8</f>
        <v>6.5483360815438685</v>
      </c>
      <c r="T21" s="182">
        <f>'RSD (DEA)'!BK25*X_RSD_HeatingDemand!$AA$9/'RSD (DEA)'!S25</f>
        <v>293.75</v>
      </c>
      <c r="U21" s="182">
        <f>'RSD (DEA)'!BI25</f>
        <v>20</v>
      </c>
      <c r="V21" s="182"/>
      <c r="W21" s="236">
        <f>'RSD (DEA)'!AM25</f>
        <v>31.536000000000001</v>
      </c>
    </row>
    <row r="22" spans="1:23" x14ac:dyDescent="0.3">
      <c r="A22" s="316"/>
      <c r="B22" s="235" t="str">
        <f>'RSD (DEA)'!AJ26&amp;"_"&amp;'RSD (DEA)'!Z26</f>
        <v>RHHSB_B_GAS_01</v>
      </c>
      <c r="C22" s="318"/>
      <c r="D22" s="235" t="str">
        <f t="shared" si="2"/>
        <v>RHHSB_B_GAS_01</v>
      </c>
      <c r="E22" s="235" t="str">
        <f>'RSD (DEA)'!Q26</f>
        <v>Natural gas boiler</v>
      </c>
      <c r="F22" s="242" t="s">
        <v>239</v>
      </c>
      <c r="G22" s="242" t="s">
        <v>240</v>
      </c>
      <c r="H22" s="235">
        <f>'RSD (DEA)'!S26</f>
        <v>10</v>
      </c>
      <c r="I22" s="235" t="str">
        <f>IF(OR(RIGHT('RSD (DEA)'!AH26,3)="BIO",RIGHT(AD22,3)="BOA"),LEFT('RSD (DEA)'!AH26,3)&amp;"BFW",'RSD (DEA)'!AH26)</f>
        <v>RSDGAS</v>
      </c>
      <c r="J22" s="182" t="str">
        <f>'RSD (DEA)'!AI26</f>
        <v/>
      </c>
      <c r="K22" s="235" t="str">
        <f>'RSD (DEA)'!AJ26</f>
        <v>RHHSB</v>
      </c>
      <c r="L22" s="235"/>
      <c r="M22" s="182">
        <f t="shared" si="0"/>
        <v>2019</v>
      </c>
      <c r="N22" s="182">
        <f>'RSD (DEA)'!X26</f>
        <v>2015</v>
      </c>
      <c r="O22" s="182">
        <f t="shared" si="1"/>
        <v>2019</v>
      </c>
      <c r="P22" s="183">
        <f>'RSD (DEA)'!AZ26</f>
        <v>0.97</v>
      </c>
      <c r="Q22" s="183">
        <f>'RSD (DEA)'!BA26</f>
        <v>0.97</v>
      </c>
      <c r="R22" s="182">
        <f>'RSD (DEA)'!BR26/'RSD (DEA)'!S26</f>
        <v>20.945</v>
      </c>
      <c r="S22" s="182">
        <f>'RSD (DEA)'!BS26/X_RSD_HeatingDemand!$AA$8</f>
        <v>0</v>
      </c>
      <c r="T22" s="182">
        <f>'RSD (DEA)'!BK26*X_RSD_HeatingDemand!$AA$9/'RSD (DEA)'!S26</f>
        <v>520</v>
      </c>
      <c r="U22" s="182">
        <f>'RSD (DEA)'!BI26</f>
        <v>20</v>
      </c>
      <c r="V22" s="182"/>
      <c r="W22" s="236">
        <f>'RSD (DEA)'!AM26</f>
        <v>31.536000000000001</v>
      </c>
    </row>
    <row r="23" spans="1:23" x14ac:dyDescent="0.3">
      <c r="A23" s="316"/>
      <c r="B23" s="235" t="str">
        <f>'RSD (DEA)'!AJ27&amp;"_"&amp;'RSD (DEA)'!Z27</f>
        <v>RHHSB_B_GAS_01</v>
      </c>
      <c r="C23" s="318"/>
      <c r="D23" s="235" t="str">
        <f t="shared" si="2"/>
        <v>RHHSB_B_GAS_02</v>
      </c>
      <c r="E23" s="235" t="str">
        <f>'RSD (DEA)'!Q27</f>
        <v>Natural gas boiler</v>
      </c>
      <c r="F23" s="242" t="s">
        <v>239</v>
      </c>
      <c r="G23" s="242" t="s">
        <v>240</v>
      </c>
      <c r="H23" s="235">
        <f>'RSD (DEA)'!S27</f>
        <v>10</v>
      </c>
      <c r="I23" s="235" t="str">
        <f>IF(OR(RIGHT('RSD (DEA)'!AH27,3)="BIO",RIGHT(AD23,3)="BOA"),LEFT('RSD (DEA)'!AH27,3)&amp;"BFW",'RSD (DEA)'!AH27)</f>
        <v>RSDGAS</v>
      </c>
      <c r="J23" s="182" t="str">
        <f>'RSD (DEA)'!AI27</f>
        <v/>
      </c>
      <c r="K23" s="235" t="str">
        <f>'RSD (DEA)'!AJ27</f>
        <v>RHHSB</v>
      </c>
      <c r="L23" s="235"/>
      <c r="M23" s="182">
        <f t="shared" si="0"/>
        <v>2019</v>
      </c>
      <c r="N23" s="182">
        <f>'RSD (DEA)'!X27</f>
        <v>2020</v>
      </c>
      <c r="O23" s="182">
        <f t="shared" si="1"/>
        <v>2020</v>
      </c>
      <c r="P23" s="183">
        <f>'RSD (DEA)'!AZ27</f>
        <v>0.97</v>
      </c>
      <c r="Q23" s="183">
        <f>'RSD (DEA)'!BA27</f>
        <v>0.97</v>
      </c>
      <c r="R23" s="182">
        <f>'RSD (DEA)'!BR27/'RSD (DEA)'!S27</f>
        <v>20.5</v>
      </c>
      <c r="S23" s="182">
        <f>'RSD (DEA)'!BS27/X_RSD_HeatingDemand!$AA$8</f>
        <v>0</v>
      </c>
      <c r="T23" s="182">
        <f>'RSD (DEA)'!BK27*X_RSD_HeatingDemand!$AA$9/'RSD (DEA)'!S27</f>
        <v>520</v>
      </c>
      <c r="U23" s="182">
        <f>'RSD (DEA)'!BI27</f>
        <v>20</v>
      </c>
      <c r="V23" s="182"/>
      <c r="W23" s="236">
        <f>'RSD (DEA)'!AM27</f>
        <v>31.536000000000001</v>
      </c>
    </row>
    <row r="24" spans="1:23" x14ac:dyDescent="0.3">
      <c r="A24" s="316"/>
      <c r="B24" s="235" t="str">
        <f>'RSD (DEA)'!AJ28&amp;"_"&amp;'RSD (DEA)'!Z28</f>
        <v>RHHSB_B_GAS_01</v>
      </c>
      <c r="C24" s="318"/>
      <c r="D24" s="235" t="str">
        <f t="shared" si="2"/>
        <v>RHHSB_B_GAS_03</v>
      </c>
      <c r="E24" s="235" t="str">
        <f>'RSD (DEA)'!Q28</f>
        <v>Natural gas boiler</v>
      </c>
      <c r="F24" s="242" t="s">
        <v>239</v>
      </c>
      <c r="G24" s="242" t="s">
        <v>240</v>
      </c>
      <c r="H24" s="235">
        <f>'RSD (DEA)'!S28</f>
        <v>10</v>
      </c>
      <c r="I24" s="235" t="str">
        <f>IF(OR(RIGHT('RSD (DEA)'!AH28,3)="BIO",RIGHT(AD24,3)="BOA"),LEFT('RSD (DEA)'!AH28,3)&amp;"BFW",'RSD (DEA)'!AH28)</f>
        <v>RSDGAS</v>
      </c>
      <c r="J24" s="182" t="str">
        <f>'RSD (DEA)'!AI28</f>
        <v/>
      </c>
      <c r="K24" s="235" t="str">
        <f>'RSD (DEA)'!AJ28</f>
        <v>RHHSB</v>
      </c>
      <c r="L24" s="235"/>
      <c r="M24" s="182">
        <f t="shared" si="0"/>
        <v>2019</v>
      </c>
      <c r="N24" s="182">
        <f>'RSD (DEA)'!X28</f>
        <v>2030</v>
      </c>
      <c r="O24" s="182">
        <f t="shared" si="1"/>
        <v>2030</v>
      </c>
      <c r="P24" s="183">
        <f>'RSD (DEA)'!AZ28</f>
        <v>0.98</v>
      </c>
      <c r="Q24" s="183">
        <f>'RSD (DEA)'!BA28</f>
        <v>0.98</v>
      </c>
      <c r="R24" s="182">
        <f>'RSD (DEA)'!BR28/'RSD (DEA)'!S28</f>
        <v>19.899999999999999</v>
      </c>
      <c r="S24" s="182">
        <f>'RSD (DEA)'!BS28/X_RSD_HeatingDemand!$AA$8</f>
        <v>0</v>
      </c>
      <c r="T24" s="182">
        <f>'RSD (DEA)'!BK28*X_RSD_HeatingDemand!$AA$9/'RSD (DEA)'!S28</f>
        <v>520</v>
      </c>
      <c r="U24" s="182">
        <f>'RSD (DEA)'!BI28</f>
        <v>20</v>
      </c>
      <c r="V24" s="182"/>
      <c r="W24" s="236">
        <f>'RSD (DEA)'!AM28</f>
        <v>31.536000000000001</v>
      </c>
    </row>
    <row r="25" spans="1:23" x14ac:dyDescent="0.3">
      <c r="A25" s="316"/>
      <c r="B25" s="235" t="str">
        <f>'RSD (DEA)'!AJ29&amp;"_"&amp;'RSD (DEA)'!Z29</f>
        <v>RHHSB_B_GAS_01</v>
      </c>
      <c r="C25" s="318"/>
      <c r="D25" s="235" t="str">
        <f t="shared" si="2"/>
        <v>RHHSB_B_GAS_04</v>
      </c>
      <c r="E25" s="235" t="str">
        <f>'RSD (DEA)'!Q29</f>
        <v>Natural gas boiler</v>
      </c>
      <c r="F25" s="242" t="s">
        <v>239</v>
      </c>
      <c r="G25" s="242" t="s">
        <v>240</v>
      </c>
      <c r="H25" s="235">
        <f>'RSD (DEA)'!S29</f>
        <v>10</v>
      </c>
      <c r="I25" s="235" t="str">
        <f>IF(OR(RIGHT('RSD (DEA)'!AH29,3)="BIO",RIGHT(AD25,3)="BOA"),LEFT('RSD (DEA)'!AH29,3)&amp;"BFW",'RSD (DEA)'!AH29)</f>
        <v>RSDGAS</v>
      </c>
      <c r="J25" s="182" t="str">
        <f>'RSD (DEA)'!AI29</f>
        <v/>
      </c>
      <c r="K25" s="235" t="str">
        <f>'RSD (DEA)'!AJ29</f>
        <v>RHHSB</v>
      </c>
      <c r="L25" s="235"/>
      <c r="M25" s="182">
        <f t="shared" si="0"/>
        <v>2019</v>
      </c>
      <c r="N25" s="182">
        <f>'RSD (DEA)'!X29</f>
        <v>2050</v>
      </c>
      <c r="O25" s="182">
        <f t="shared" si="1"/>
        <v>2050</v>
      </c>
      <c r="P25" s="183">
        <f>'RSD (DEA)'!AZ29</f>
        <v>0.99</v>
      </c>
      <c r="Q25" s="183">
        <f>'RSD (DEA)'!BA29</f>
        <v>0.99</v>
      </c>
      <c r="R25" s="182">
        <f>'RSD (DEA)'!BR29/'RSD (DEA)'!S29</f>
        <v>18.100000000000001</v>
      </c>
      <c r="S25" s="182">
        <f>'RSD (DEA)'!BS29/X_RSD_HeatingDemand!$AA$8</f>
        <v>0</v>
      </c>
      <c r="T25" s="182">
        <f>'RSD (DEA)'!BK29*X_RSD_HeatingDemand!$AA$9/'RSD (DEA)'!S29</f>
        <v>520</v>
      </c>
      <c r="U25" s="182">
        <f>'RSD (DEA)'!BI29</f>
        <v>20</v>
      </c>
      <c r="V25" s="182"/>
      <c r="W25" s="236">
        <f>'RSD (DEA)'!AM29</f>
        <v>31.536000000000001</v>
      </c>
    </row>
    <row r="26" spans="1:23" x14ac:dyDescent="0.3">
      <c r="A26" s="316"/>
      <c r="B26" s="235" t="str">
        <f>'RSD (DEA)'!AJ30&amp;"_"&amp;'RSD (DEA)'!Z30</f>
        <v>RHHSA_B_GAS_02</v>
      </c>
      <c r="C26" s="318"/>
      <c r="D26" s="235" t="str">
        <f t="shared" si="2"/>
        <v>RHHSA_B_GAS_02</v>
      </c>
      <c r="E26" s="235" t="str">
        <f>'RSD (DEA)'!Q30</f>
        <v>Natural gas boiler</v>
      </c>
      <c r="F26" s="242" t="s">
        <v>239</v>
      </c>
      <c r="G26" s="242" t="s">
        <v>240</v>
      </c>
      <c r="H26" s="235">
        <f>'RSD (DEA)'!S30</f>
        <v>10</v>
      </c>
      <c r="I26" s="235" t="str">
        <f>IF(OR(RIGHT('RSD (DEA)'!AH30,3)="BIO",RIGHT(AD26,3)="BOA"),LEFT('RSD (DEA)'!AH30,3)&amp;"BFW",'RSD (DEA)'!AH30)</f>
        <v>RSDGAS</v>
      </c>
      <c r="J26" s="182" t="str">
        <f>'RSD (DEA)'!AI30</f>
        <v/>
      </c>
      <c r="K26" s="235" t="str">
        <f>'RSD (DEA)'!AJ30</f>
        <v>RHHSA</v>
      </c>
      <c r="L26" s="235"/>
      <c r="M26" s="182">
        <f t="shared" si="0"/>
        <v>2019</v>
      </c>
      <c r="N26" s="182">
        <f>'RSD (DEA)'!X30</f>
        <v>2015</v>
      </c>
      <c r="O26" s="182">
        <f t="shared" si="1"/>
        <v>2019</v>
      </c>
      <c r="P26" s="183">
        <f>'RSD (DEA)'!AZ30</f>
        <v>0.95</v>
      </c>
      <c r="Q26" s="183">
        <f>'RSD (DEA)'!BA30</f>
        <v>0.95</v>
      </c>
      <c r="R26" s="182">
        <f>'RSD (DEA)'!BR30/'RSD (DEA)'!S30</f>
        <v>20.945</v>
      </c>
      <c r="S26" s="182">
        <f>'RSD (DEA)'!BS30/X_RSD_HeatingDemand!$AA$8</f>
        <v>0</v>
      </c>
      <c r="T26" s="182">
        <f>'RSD (DEA)'!BK30*X_RSD_HeatingDemand!$AA$9/'RSD (DEA)'!S30</f>
        <v>520</v>
      </c>
      <c r="U26" s="182">
        <f>'RSD (DEA)'!BI30</f>
        <v>20</v>
      </c>
      <c r="V26" s="182"/>
      <c r="W26" s="236">
        <f>'RSD (DEA)'!AM30</f>
        <v>31.536000000000001</v>
      </c>
    </row>
    <row r="27" spans="1:23" x14ac:dyDescent="0.3">
      <c r="A27" s="316"/>
      <c r="B27" s="235" t="str">
        <f>'RSD (DEA)'!AJ31&amp;"_"&amp;'RSD (DEA)'!Z31</f>
        <v>RHHSA_B_GAS_02</v>
      </c>
      <c r="C27" s="318"/>
      <c r="D27" s="235" t="str">
        <f t="shared" si="2"/>
        <v>RHHSA_B_GAS_03</v>
      </c>
      <c r="E27" s="235" t="str">
        <f>'RSD (DEA)'!Q31</f>
        <v>Natural gas boiler</v>
      </c>
      <c r="F27" s="242" t="s">
        <v>239</v>
      </c>
      <c r="G27" s="242" t="s">
        <v>240</v>
      </c>
      <c r="H27" s="235">
        <f>'RSD (DEA)'!S31</f>
        <v>10</v>
      </c>
      <c r="I27" s="235" t="str">
        <f>IF(OR(RIGHT('RSD (DEA)'!AH31,3)="BIO",RIGHT(AD27,3)="BOA"),LEFT('RSD (DEA)'!AH31,3)&amp;"BFW",'RSD (DEA)'!AH31)</f>
        <v>RSDGAS</v>
      </c>
      <c r="J27" s="182" t="str">
        <f>'RSD (DEA)'!AI31</f>
        <v/>
      </c>
      <c r="K27" s="235" t="str">
        <f>'RSD (DEA)'!AJ31</f>
        <v>RHHSA</v>
      </c>
      <c r="L27" s="235"/>
      <c r="M27" s="182">
        <f t="shared" si="0"/>
        <v>2019</v>
      </c>
      <c r="N27" s="182">
        <f>'RSD (DEA)'!X31</f>
        <v>2020</v>
      </c>
      <c r="O27" s="182">
        <f t="shared" si="1"/>
        <v>2020</v>
      </c>
      <c r="P27" s="183">
        <f>'RSD (DEA)'!AZ31</f>
        <v>0.95</v>
      </c>
      <c r="Q27" s="183">
        <f>'RSD (DEA)'!BA31</f>
        <v>0.95</v>
      </c>
      <c r="R27" s="182">
        <f>'RSD (DEA)'!BR31/'RSD (DEA)'!S31</f>
        <v>20.5</v>
      </c>
      <c r="S27" s="182">
        <f>'RSD (DEA)'!BS31/X_RSD_HeatingDemand!$AA$8</f>
        <v>0</v>
      </c>
      <c r="T27" s="182">
        <f>'RSD (DEA)'!BK31*X_RSD_HeatingDemand!$AA$9/'RSD (DEA)'!S31</f>
        <v>520</v>
      </c>
      <c r="U27" s="182">
        <f>'RSD (DEA)'!BI31</f>
        <v>20</v>
      </c>
      <c r="V27" s="182"/>
      <c r="W27" s="236">
        <f>'RSD (DEA)'!AM31</f>
        <v>31.536000000000001</v>
      </c>
    </row>
    <row r="28" spans="1:23" x14ac:dyDescent="0.3">
      <c r="A28" s="316"/>
      <c r="B28" s="235" t="str">
        <f>'RSD (DEA)'!AJ32&amp;"_"&amp;'RSD (DEA)'!Z32</f>
        <v>RHHSA_B_GAS_02</v>
      </c>
      <c r="C28" s="318"/>
      <c r="D28" s="235" t="str">
        <f t="shared" si="2"/>
        <v>RHHSA_B_GAS_04</v>
      </c>
      <c r="E28" s="235" t="str">
        <f>'RSD (DEA)'!Q32</f>
        <v>Natural gas boiler</v>
      </c>
      <c r="F28" s="242" t="s">
        <v>239</v>
      </c>
      <c r="G28" s="242" t="s">
        <v>240</v>
      </c>
      <c r="H28" s="235">
        <f>'RSD (DEA)'!S32</f>
        <v>10</v>
      </c>
      <c r="I28" s="235" t="str">
        <f>IF(OR(RIGHT('RSD (DEA)'!AH32,3)="BIO",RIGHT(AD28,3)="BOA"),LEFT('RSD (DEA)'!AH32,3)&amp;"BFW",'RSD (DEA)'!AH32)</f>
        <v>RSDGAS</v>
      </c>
      <c r="J28" s="182" t="str">
        <f>'RSD (DEA)'!AI32</f>
        <v/>
      </c>
      <c r="K28" s="235" t="str">
        <f>'RSD (DEA)'!AJ32</f>
        <v>RHHSA</v>
      </c>
      <c r="L28" s="235"/>
      <c r="M28" s="182">
        <f t="shared" si="0"/>
        <v>2019</v>
      </c>
      <c r="N28" s="182">
        <f>'RSD (DEA)'!X32</f>
        <v>2030</v>
      </c>
      <c r="O28" s="182">
        <f t="shared" si="1"/>
        <v>2030</v>
      </c>
      <c r="P28" s="183">
        <f>'RSD (DEA)'!AZ32</f>
        <v>0.96</v>
      </c>
      <c r="Q28" s="183">
        <f>'RSD (DEA)'!BA32</f>
        <v>0.96</v>
      </c>
      <c r="R28" s="182">
        <f>'RSD (DEA)'!BR32/'RSD (DEA)'!S32</f>
        <v>19.899999999999999</v>
      </c>
      <c r="S28" s="182">
        <f>'RSD (DEA)'!BS32/X_RSD_HeatingDemand!$AA$8</f>
        <v>0</v>
      </c>
      <c r="T28" s="182">
        <f>'RSD (DEA)'!BK32*X_RSD_HeatingDemand!$AA$9/'RSD (DEA)'!S32</f>
        <v>520</v>
      </c>
      <c r="U28" s="182">
        <f>'RSD (DEA)'!BI32</f>
        <v>20</v>
      </c>
      <c r="V28" s="182"/>
      <c r="W28" s="236">
        <f>'RSD (DEA)'!AM32</f>
        <v>31.536000000000001</v>
      </c>
    </row>
    <row r="29" spans="1:23" x14ac:dyDescent="0.3">
      <c r="A29" s="316"/>
      <c r="B29" s="235" t="str">
        <f>'RSD (DEA)'!AJ33&amp;"_"&amp;'RSD (DEA)'!Z33</f>
        <v>RHHSA_B_GAS_02</v>
      </c>
      <c r="C29" s="318"/>
      <c r="D29" s="235" t="str">
        <f t="shared" si="2"/>
        <v>RHHSA_B_GAS_05</v>
      </c>
      <c r="E29" s="235" t="str">
        <f>'RSD (DEA)'!Q33</f>
        <v>Natural gas boiler</v>
      </c>
      <c r="F29" s="242" t="s">
        <v>239</v>
      </c>
      <c r="G29" s="242" t="s">
        <v>240</v>
      </c>
      <c r="H29" s="235">
        <f>'RSD (DEA)'!S33</f>
        <v>10</v>
      </c>
      <c r="I29" s="235" t="str">
        <f>IF(OR(RIGHT('RSD (DEA)'!AH33,3)="BIO",RIGHT(AD29,3)="BOA"),LEFT('RSD (DEA)'!AH33,3)&amp;"BFW",'RSD (DEA)'!AH33)</f>
        <v>RSDGAS</v>
      </c>
      <c r="J29" s="182" t="str">
        <f>'RSD (DEA)'!AI33</f>
        <v/>
      </c>
      <c r="K29" s="235" t="str">
        <f>'RSD (DEA)'!AJ33</f>
        <v>RHHSA</v>
      </c>
      <c r="L29" s="235"/>
      <c r="M29" s="182">
        <f t="shared" si="0"/>
        <v>2019</v>
      </c>
      <c r="N29" s="182">
        <f>'RSD (DEA)'!X33</f>
        <v>2050</v>
      </c>
      <c r="O29" s="182">
        <f t="shared" si="1"/>
        <v>2050</v>
      </c>
      <c r="P29" s="183">
        <f>'RSD (DEA)'!AZ33</f>
        <v>0.97</v>
      </c>
      <c r="Q29" s="183">
        <f>'RSD (DEA)'!BA33</f>
        <v>0.97</v>
      </c>
      <c r="R29" s="182">
        <f>'RSD (DEA)'!BR33/'RSD (DEA)'!S33</f>
        <v>18.100000000000001</v>
      </c>
      <c r="S29" s="182">
        <f>'RSD (DEA)'!BS33/X_RSD_HeatingDemand!$AA$8</f>
        <v>0</v>
      </c>
      <c r="T29" s="182">
        <f>'RSD (DEA)'!BK33*X_RSD_HeatingDemand!$AA$9/'RSD (DEA)'!S33</f>
        <v>520</v>
      </c>
      <c r="U29" s="182">
        <f>'RSD (DEA)'!BI33</f>
        <v>20</v>
      </c>
      <c r="V29" s="182"/>
      <c r="W29" s="236">
        <f>'RSD (DEA)'!AM33</f>
        <v>31.536000000000001</v>
      </c>
    </row>
    <row r="30" spans="1:23" x14ac:dyDescent="0.3">
      <c r="A30" s="316"/>
      <c r="B30" s="235" t="str">
        <f>'RSD (DEA)'!AJ34&amp;"_"&amp;'RSD (DEA)'!Z34</f>
        <v>RHAPC_B_GAS_03</v>
      </c>
      <c r="C30" s="318"/>
      <c r="D30" s="235" t="str">
        <f t="shared" si="2"/>
        <v>RHAPC_B_GAS_03</v>
      </c>
      <c r="E30" s="235" t="str">
        <f>'RSD (DEA)'!Q34</f>
        <v>Natural gas boiler</v>
      </c>
      <c r="F30" s="242" t="s">
        <v>239</v>
      </c>
      <c r="G30" s="242" t="s">
        <v>240</v>
      </c>
      <c r="H30" s="235">
        <f>'RSD (DEA)'!S34</f>
        <v>400</v>
      </c>
      <c r="I30" s="235" t="str">
        <f>IF(OR(RIGHT('RSD (DEA)'!AH34,3)="BIO",RIGHT(AD30,3)="BOA"),LEFT('RSD (DEA)'!AH34,3)&amp;"BFW",'RSD (DEA)'!AH34)</f>
        <v>RSDGAS</v>
      </c>
      <c r="J30" s="182" t="str">
        <f>'RSD (DEA)'!AI34</f>
        <v/>
      </c>
      <c r="K30" s="235" t="str">
        <f>'RSD (DEA)'!AJ34</f>
        <v>RHAPC</v>
      </c>
      <c r="L30" s="235"/>
      <c r="M30" s="182">
        <f t="shared" si="0"/>
        <v>2019</v>
      </c>
      <c r="N30" s="182">
        <f>'RSD (DEA)'!X34</f>
        <v>2015</v>
      </c>
      <c r="O30" s="182">
        <f t="shared" si="1"/>
        <v>2019</v>
      </c>
      <c r="P30" s="183">
        <f>'RSD (DEA)'!AZ34</f>
        <v>1.01</v>
      </c>
      <c r="Q30" s="183">
        <f>'RSD (DEA)'!BA34</f>
        <v>1.01</v>
      </c>
      <c r="R30" s="182">
        <f>'RSD (DEA)'!BR34/'RSD (DEA)'!S34</f>
        <v>1.7081249999999999</v>
      </c>
      <c r="S30" s="182">
        <f>'RSD (DEA)'!BS34/X_RSD_HeatingDemand!$AA$8</f>
        <v>0</v>
      </c>
      <c r="T30" s="182">
        <f>'RSD (DEA)'!BK34*X_RSD_HeatingDemand!$AA$9/'RSD (DEA)'!S34</f>
        <v>68.000000000000014</v>
      </c>
      <c r="U30" s="182">
        <f>'RSD (DEA)'!BI34</f>
        <v>25</v>
      </c>
      <c r="V30" s="182"/>
      <c r="W30" s="236">
        <f>'RSD (DEA)'!AM34</f>
        <v>31.536000000000001</v>
      </c>
    </row>
    <row r="31" spans="1:23" x14ac:dyDescent="0.3">
      <c r="A31" s="316"/>
      <c r="B31" s="235" t="str">
        <f>'RSD (DEA)'!AJ35&amp;"_"&amp;'RSD (DEA)'!Z35</f>
        <v>RHAPC_B_GAS_03</v>
      </c>
      <c r="C31" s="318"/>
      <c r="D31" s="235" t="str">
        <f t="shared" si="2"/>
        <v>RHAPC_B_GAS_04</v>
      </c>
      <c r="E31" s="235" t="str">
        <f>'RSD (DEA)'!Q35</f>
        <v>Natural gas boiler</v>
      </c>
      <c r="F31" s="242" t="s">
        <v>239</v>
      </c>
      <c r="G31" s="242" t="s">
        <v>240</v>
      </c>
      <c r="H31" s="235">
        <f>'RSD (DEA)'!S35</f>
        <v>400</v>
      </c>
      <c r="I31" s="235" t="str">
        <f>IF(OR(RIGHT('RSD (DEA)'!AH35,3)="BIO",RIGHT(AD31,3)="BOA"),LEFT('RSD (DEA)'!AH35,3)&amp;"BFW",'RSD (DEA)'!AH35)</f>
        <v>RSDGAS</v>
      </c>
      <c r="J31" s="182" t="str">
        <f>'RSD (DEA)'!AI35</f>
        <v/>
      </c>
      <c r="K31" s="235" t="str">
        <f>'RSD (DEA)'!AJ35</f>
        <v>RHAPC</v>
      </c>
      <c r="L31" s="235"/>
      <c r="M31" s="182">
        <f t="shared" si="0"/>
        <v>2019</v>
      </c>
      <c r="N31" s="182">
        <f>'RSD (DEA)'!X35</f>
        <v>2020</v>
      </c>
      <c r="O31" s="182">
        <f t="shared" si="1"/>
        <v>2020</v>
      </c>
      <c r="P31" s="183">
        <f>'RSD (DEA)'!AZ35</f>
        <v>1.01</v>
      </c>
      <c r="Q31" s="183">
        <f>'RSD (DEA)'!BA35</f>
        <v>1.01</v>
      </c>
      <c r="R31" s="182">
        <f>'RSD (DEA)'!BR35/'RSD (DEA)'!S35</f>
        <v>1.6725000000000001</v>
      </c>
      <c r="S31" s="182">
        <f>'RSD (DEA)'!BS35/X_RSD_HeatingDemand!$AA$8</f>
        <v>0</v>
      </c>
      <c r="T31" s="182">
        <f>'RSD (DEA)'!BK35*X_RSD_HeatingDemand!$AA$9/'RSD (DEA)'!S35</f>
        <v>68.000000000000014</v>
      </c>
      <c r="U31" s="182">
        <f>'RSD (DEA)'!BI35</f>
        <v>25</v>
      </c>
      <c r="V31" s="182"/>
      <c r="W31" s="236">
        <f>'RSD (DEA)'!AM35</f>
        <v>31.536000000000001</v>
      </c>
    </row>
    <row r="32" spans="1:23" x14ac:dyDescent="0.3">
      <c r="A32" s="316"/>
      <c r="B32" s="235" t="str">
        <f>'RSD (DEA)'!AJ36&amp;"_"&amp;'RSD (DEA)'!Z36</f>
        <v>RHAPC_B_GAS_03</v>
      </c>
      <c r="C32" s="318"/>
      <c r="D32" s="235" t="str">
        <f t="shared" si="2"/>
        <v>RHAPC_B_GAS_05</v>
      </c>
      <c r="E32" s="235" t="str">
        <f>'RSD (DEA)'!Q36</f>
        <v>Natural gas boiler</v>
      </c>
      <c r="F32" s="242" t="s">
        <v>239</v>
      </c>
      <c r="G32" s="242" t="s">
        <v>240</v>
      </c>
      <c r="H32" s="235">
        <f>'RSD (DEA)'!S36</f>
        <v>400</v>
      </c>
      <c r="I32" s="235" t="str">
        <f>IF(OR(RIGHT('RSD (DEA)'!AH36,3)="BIO",RIGHT(AD32,3)="BOA"),LEFT('RSD (DEA)'!AH36,3)&amp;"BFW",'RSD (DEA)'!AH36)</f>
        <v>RSDGAS</v>
      </c>
      <c r="J32" s="182" t="str">
        <f>'RSD (DEA)'!AI36</f>
        <v/>
      </c>
      <c r="K32" s="235" t="str">
        <f>'RSD (DEA)'!AJ36</f>
        <v>RHAPC</v>
      </c>
      <c r="L32" s="235"/>
      <c r="M32" s="182">
        <f t="shared" si="0"/>
        <v>2019</v>
      </c>
      <c r="N32" s="182">
        <f>'RSD (DEA)'!X36</f>
        <v>2030</v>
      </c>
      <c r="O32" s="182">
        <f t="shared" si="1"/>
        <v>2030</v>
      </c>
      <c r="P32" s="183">
        <f>'RSD (DEA)'!AZ36</f>
        <v>1.02</v>
      </c>
      <c r="Q32" s="183">
        <f>'RSD (DEA)'!BA36</f>
        <v>1.02</v>
      </c>
      <c r="R32" s="182">
        <f>'RSD (DEA)'!BR36/'RSD (DEA)'!S36</f>
        <v>1.6274999999999999</v>
      </c>
      <c r="S32" s="182">
        <f>'RSD (DEA)'!BS36/X_RSD_HeatingDemand!$AA$8</f>
        <v>0</v>
      </c>
      <c r="T32" s="182">
        <f>'RSD (DEA)'!BK36*X_RSD_HeatingDemand!$AA$9/'RSD (DEA)'!S36</f>
        <v>62.5</v>
      </c>
      <c r="U32" s="182">
        <f>'RSD (DEA)'!BI36</f>
        <v>25</v>
      </c>
      <c r="V32" s="182"/>
      <c r="W32" s="236">
        <f>'RSD (DEA)'!AM36</f>
        <v>31.536000000000001</v>
      </c>
    </row>
    <row r="33" spans="1:23" x14ac:dyDescent="0.3">
      <c r="A33" s="316"/>
      <c r="B33" s="235" t="str">
        <f>'RSD (DEA)'!AJ37&amp;"_"&amp;'RSD (DEA)'!Z37</f>
        <v>RHAPC_B_GAS_03</v>
      </c>
      <c r="C33" s="318"/>
      <c r="D33" s="235" t="str">
        <f t="shared" si="2"/>
        <v>RHAPC_B_GAS_06</v>
      </c>
      <c r="E33" s="235" t="str">
        <f>'RSD (DEA)'!Q37</f>
        <v>Natural gas boiler</v>
      </c>
      <c r="F33" s="242" t="s">
        <v>239</v>
      </c>
      <c r="G33" s="242" t="s">
        <v>240</v>
      </c>
      <c r="H33" s="235">
        <f>'RSD (DEA)'!S37</f>
        <v>400</v>
      </c>
      <c r="I33" s="235" t="str">
        <f>IF(OR(RIGHT('RSD (DEA)'!AH37,3)="BIO",RIGHT(AD33,3)="BOA"),LEFT('RSD (DEA)'!AH37,3)&amp;"BFW",'RSD (DEA)'!AH37)</f>
        <v>RSDGAS</v>
      </c>
      <c r="J33" s="182" t="str">
        <f>'RSD (DEA)'!AI37</f>
        <v/>
      </c>
      <c r="K33" s="235" t="str">
        <f>'RSD (DEA)'!AJ37</f>
        <v>RHAPC</v>
      </c>
      <c r="L33" s="235"/>
      <c r="M33" s="182">
        <f t="shared" si="0"/>
        <v>2019</v>
      </c>
      <c r="N33" s="182">
        <f>'RSD (DEA)'!X37</f>
        <v>2050</v>
      </c>
      <c r="O33" s="182">
        <f t="shared" si="1"/>
        <v>2050</v>
      </c>
      <c r="P33" s="183">
        <f>'RSD (DEA)'!AZ37</f>
        <v>1.02</v>
      </c>
      <c r="Q33" s="183">
        <f>'RSD (DEA)'!BA37</f>
        <v>1.02</v>
      </c>
      <c r="R33" s="182">
        <f>'RSD (DEA)'!BR37/'RSD (DEA)'!S37</f>
        <v>1.55</v>
      </c>
      <c r="S33" s="182">
        <f>'RSD (DEA)'!BS37/X_RSD_HeatingDemand!$AA$8</f>
        <v>0</v>
      </c>
      <c r="T33" s="182">
        <f>'RSD (DEA)'!BK37*X_RSD_HeatingDemand!$AA$9/'RSD (DEA)'!S37</f>
        <v>57.5</v>
      </c>
      <c r="U33" s="182">
        <f>'RSD (DEA)'!BI37</f>
        <v>25</v>
      </c>
      <c r="V33" s="182"/>
      <c r="W33" s="236">
        <f>'RSD (DEA)'!AM37</f>
        <v>31.536000000000001</v>
      </c>
    </row>
    <row r="34" spans="1:23" x14ac:dyDescent="0.3">
      <c r="A34" s="316"/>
      <c r="B34" s="235" t="str">
        <f>'RSD (DEA)'!AJ38&amp;"_"&amp;'RSD (DEA)'!Z38</f>
        <v>RHAPA_B_GAS_04</v>
      </c>
      <c r="C34" s="318"/>
      <c r="D34" s="235" t="str">
        <f t="shared" si="2"/>
        <v>RHAPA_B_GAS_04</v>
      </c>
      <c r="E34" s="235" t="str">
        <f>'RSD (DEA)'!Q38</f>
        <v>Natural gas boiler</v>
      </c>
      <c r="F34" s="242" t="s">
        <v>239</v>
      </c>
      <c r="G34" s="242" t="s">
        <v>240</v>
      </c>
      <c r="H34" s="235">
        <f>'RSD (DEA)'!S38</f>
        <v>160</v>
      </c>
      <c r="I34" s="235" t="str">
        <f>IF(OR(RIGHT('RSD (DEA)'!AH38,3)="BIO",RIGHT(AD34,3)="BOA"),LEFT('RSD (DEA)'!AH38,3)&amp;"BFW",'RSD (DEA)'!AH38)</f>
        <v>RSDGAS</v>
      </c>
      <c r="J34" s="182" t="str">
        <f>'RSD (DEA)'!AI38</f>
        <v/>
      </c>
      <c r="K34" s="235" t="str">
        <f>'RSD (DEA)'!AJ38</f>
        <v>RHAPA</v>
      </c>
      <c r="L34" s="235"/>
      <c r="M34" s="182">
        <f t="shared" si="0"/>
        <v>2019</v>
      </c>
      <c r="N34" s="182">
        <f>'RSD (DEA)'!X38</f>
        <v>2015</v>
      </c>
      <c r="O34" s="182">
        <f t="shared" si="1"/>
        <v>2019</v>
      </c>
      <c r="P34" s="183">
        <f>'RSD (DEA)'!AZ38</f>
        <v>1.01</v>
      </c>
      <c r="Q34" s="183">
        <f>'RSD (DEA)'!BA38</f>
        <v>1.01</v>
      </c>
      <c r="R34" s="182">
        <f>'RSD (DEA)'!BR38/'RSD (DEA)'!S38</f>
        <v>2.7976562500000002</v>
      </c>
      <c r="S34" s="182">
        <f>'RSD (DEA)'!BS38/X_RSD_HeatingDemand!$AA$8</f>
        <v>0</v>
      </c>
      <c r="T34" s="182">
        <f>'RSD (DEA)'!BK38*X_RSD_HeatingDemand!$AA$9/'RSD (DEA)'!S38</f>
        <v>125</v>
      </c>
      <c r="U34" s="182">
        <f>'RSD (DEA)'!BI38</f>
        <v>25</v>
      </c>
      <c r="V34" s="182"/>
      <c r="W34" s="236">
        <f>'RSD (DEA)'!AM38</f>
        <v>31.536000000000001</v>
      </c>
    </row>
    <row r="35" spans="1:23" x14ac:dyDescent="0.3">
      <c r="A35" s="316"/>
      <c r="B35" s="235" t="str">
        <f>'RSD (DEA)'!AJ39&amp;"_"&amp;'RSD (DEA)'!Z39</f>
        <v>RHAPA_B_GAS_04</v>
      </c>
      <c r="C35" s="318"/>
      <c r="D35" s="235" t="str">
        <f t="shared" si="2"/>
        <v>RHAPA_B_GAS_05</v>
      </c>
      <c r="E35" s="235" t="str">
        <f>'RSD (DEA)'!Q39</f>
        <v>Natural gas boiler</v>
      </c>
      <c r="F35" s="242" t="s">
        <v>239</v>
      </c>
      <c r="G35" s="242" t="s">
        <v>240</v>
      </c>
      <c r="H35" s="235">
        <f>'RSD (DEA)'!S39</f>
        <v>160</v>
      </c>
      <c r="I35" s="235" t="str">
        <f>IF(OR(RIGHT('RSD (DEA)'!AH39,3)="BIO",RIGHT(AD35,3)="BOA"),LEFT('RSD (DEA)'!AH39,3)&amp;"BFW",'RSD (DEA)'!AH39)</f>
        <v>RSDGAS</v>
      </c>
      <c r="J35" s="182" t="str">
        <f>'RSD (DEA)'!AI39</f>
        <v/>
      </c>
      <c r="K35" s="235" t="str">
        <f>'RSD (DEA)'!AJ39</f>
        <v>RHAPA</v>
      </c>
      <c r="L35" s="235"/>
      <c r="M35" s="182">
        <f t="shared" si="0"/>
        <v>2019</v>
      </c>
      <c r="N35" s="182">
        <f>'RSD (DEA)'!X39</f>
        <v>2020</v>
      </c>
      <c r="O35" s="182">
        <f t="shared" si="1"/>
        <v>2020</v>
      </c>
      <c r="P35" s="183">
        <f>'RSD (DEA)'!AZ39</f>
        <v>1.01</v>
      </c>
      <c r="Q35" s="183">
        <f>'RSD (DEA)'!BA39</f>
        <v>1.01</v>
      </c>
      <c r="R35" s="182">
        <f>'RSD (DEA)'!BR39/'RSD (DEA)'!S39</f>
        <v>2.7374999999999998</v>
      </c>
      <c r="S35" s="182">
        <f>'RSD (DEA)'!BS39/X_RSD_HeatingDemand!$AA$8</f>
        <v>0</v>
      </c>
      <c r="T35" s="182">
        <f>'RSD (DEA)'!BK39*X_RSD_HeatingDemand!$AA$9/'RSD (DEA)'!S39</f>
        <v>125</v>
      </c>
      <c r="U35" s="182">
        <f>'RSD (DEA)'!BI39</f>
        <v>25</v>
      </c>
      <c r="V35" s="182"/>
      <c r="W35" s="236">
        <f>'RSD (DEA)'!AM39</f>
        <v>31.536000000000001</v>
      </c>
    </row>
    <row r="36" spans="1:23" x14ac:dyDescent="0.3">
      <c r="A36" s="316"/>
      <c r="B36" s="235" t="str">
        <f>'RSD (DEA)'!AJ40&amp;"_"&amp;'RSD (DEA)'!Z40</f>
        <v>RHAPA_B_GAS_04</v>
      </c>
      <c r="C36" s="318"/>
      <c r="D36" s="235" t="str">
        <f t="shared" si="2"/>
        <v>RHAPA_B_GAS_06</v>
      </c>
      <c r="E36" s="235" t="str">
        <f>'RSD (DEA)'!Q40</f>
        <v>Natural gas boiler</v>
      </c>
      <c r="F36" s="242" t="s">
        <v>239</v>
      </c>
      <c r="G36" s="242" t="s">
        <v>240</v>
      </c>
      <c r="H36" s="235">
        <f>'RSD (DEA)'!S40</f>
        <v>160</v>
      </c>
      <c r="I36" s="235" t="str">
        <f>IF(OR(RIGHT('RSD (DEA)'!AH40,3)="BIO",RIGHT(AD36,3)="BOA"),LEFT('RSD (DEA)'!AH40,3)&amp;"BFW",'RSD (DEA)'!AH40)</f>
        <v>RSDGAS</v>
      </c>
      <c r="J36" s="182" t="str">
        <f>'RSD (DEA)'!AI40</f>
        <v/>
      </c>
      <c r="K36" s="235" t="str">
        <f>'RSD (DEA)'!AJ40</f>
        <v>RHAPA</v>
      </c>
      <c r="L36" s="235"/>
      <c r="M36" s="182">
        <f t="shared" si="0"/>
        <v>2019</v>
      </c>
      <c r="N36" s="182">
        <f>'RSD (DEA)'!X40</f>
        <v>2030</v>
      </c>
      <c r="O36" s="182">
        <f t="shared" si="1"/>
        <v>2030</v>
      </c>
      <c r="P36" s="183">
        <f>'RSD (DEA)'!AZ40</f>
        <v>1.02</v>
      </c>
      <c r="Q36" s="183">
        <f>'RSD (DEA)'!BA40</f>
        <v>1.02</v>
      </c>
      <c r="R36" s="182">
        <f>'RSD (DEA)'!BR40/'RSD (DEA)'!S40</f>
        <v>2.65</v>
      </c>
      <c r="S36" s="182">
        <f>'RSD (DEA)'!BS40/X_RSD_HeatingDemand!$AA$8</f>
        <v>0</v>
      </c>
      <c r="T36" s="182">
        <f>'RSD (DEA)'!BK40*X_RSD_HeatingDemand!$AA$9/'RSD (DEA)'!S40</f>
        <v>118.75</v>
      </c>
      <c r="U36" s="182">
        <f>'RSD (DEA)'!BI40</f>
        <v>25</v>
      </c>
      <c r="V36" s="182"/>
      <c r="W36" s="236">
        <f>'RSD (DEA)'!AM40</f>
        <v>31.536000000000001</v>
      </c>
    </row>
    <row r="37" spans="1:23" x14ac:dyDescent="0.3">
      <c r="A37" s="316"/>
      <c r="B37" s="235" t="str">
        <f>'RSD (DEA)'!AJ41&amp;"_"&amp;'RSD (DEA)'!Z41</f>
        <v>RHAPA_B_GAS_04</v>
      </c>
      <c r="C37" s="318"/>
      <c r="D37" s="235" t="str">
        <f t="shared" si="2"/>
        <v>RHAPA_B_GAS_07</v>
      </c>
      <c r="E37" s="235" t="str">
        <f>'RSD (DEA)'!Q41</f>
        <v>Natural gas boiler</v>
      </c>
      <c r="F37" s="242" t="s">
        <v>239</v>
      </c>
      <c r="G37" s="242" t="s">
        <v>240</v>
      </c>
      <c r="H37" s="235">
        <f>'RSD (DEA)'!S41</f>
        <v>160</v>
      </c>
      <c r="I37" s="235" t="str">
        <f>IF(OR(RIGHT('RSD (DEA)'!AH41,3)="BIO",RIGHT(AD37,3)="BOA"),LEFT('RSD (DEA)'!AH41,3)&amp;"BFW",'RSD (DEA)'!AH41)</f>
        <v>RSDGAS</v>
      </c>
      <c r="J37" s="182" t="str">
        <f>'RSD (DEA)'!AI41</f>
        <v/>
      </c>
      <c r="K37" s="235" t="str">
        <f>'RSD (DEA)'!AJ41</f>
        <v>RHAPA</v>
      </c>
      <c r="L37" s="235"/>
      <c r="M37" s="182">
        <f t="shared" si="0"/>
        <v>2019</v>
      </c>
      <c r="N37" s="182">
        <f>'RSD (DEA)'!X41</f>
        <v>2050</v>
      </c>
      <c r="O37" s="182">
        <f t="shared" si="1"/>
        <v>2050</v>
      </c>
      <c r="P37" s="183">
        <f>'RSD (DEA)'!AZ41</f>
        <v>1.02</v>
      </c>
      <c r="Q37" s="183">
        <f>'RSD (DEA)'!BA41</f>
        <v>1.02</v>
      </c>
      <c r="R37" s="182">
        <f>'RSD (DEA)'!BR41/'RSD (DEA)'!S41</f>
        <v>2.5187499999999998</v>
      </c>
      <c r="S37" s="182">
        <f>'RSD (DEA)'!BS41/X_RSD_HeatingDemand!$AA$8</f>
        <v>0</v>
      </c>
      <c r="T37" s="182">
        <f>'RSD (DEA)'!BK41*X_RSD_HeatingDemand!$AA$9/'RSD (DEA)'!S41</f>
        <v>106.25</v>
      </c>
      <c r="U37" s="182">
        <f>'RSD (DEA)'!BI41</f>
        <v>25</v>
      </c>
      <c r="V37" s="182"/>
      <c r="W37" s="236">
        <f>'RSD (DEA)'!AM41</f>
        <v>31.536000000000001</v>
      </c>
    </row>
    <row r="38" spans="1:23" x14ac:dyDescent="0.3">
      <c r="A38" s="316"/>
      <c r="B38" s="235" t="str">
        <f>'RSD (DEA)'!AJ42&amp;"_"&amp;'RSD (DEA)'!Z42</f>
        <v>RHHSB_HTH_01</v>
      </c>
      <c r="C38" s="318"/>
      <c r="D38" s="235" t="str">
        <f t="shared" si="2"/>
        <v>RHHSB_HTH_01</v>
      </c>
      <c r="E38" s="235" t="str">
        <f>'RSD (DEA)'!Q42</f>
        <v>District heating</v>
      </c>
      <c r="F38" s="242" t="s">
        <v>239</v>
      </c>
      <c r="G38" s="242" t="s">
        <v>240</v>
      </c>
      <c r="H38" s="235">
        <f>'RSD (DEA)'!S42</f>
        <v>10</v>
      </c>
      <c r="I38" s="235" t="str">
        <f>IF(OR(RIGHT('RSD (DEA)'!AH42,3)="BIO",RIGHT(AD38,3)="BOA"),LEFT('RSD (DEA)'!AH42,3)&amp;"BFW",'RSD (DEA)'!AH42)</f>
        <v>RSDHTH</v>
      </c>
      <c r="J38" s="182" t="str">
        <f>'RSD (DEA)'!AI42</f>
        <v/>
      </c>
      <c r="K38" s="235" t="str">
        <f>'RSD (DEA)'!AJ42</f>
        <v>RHHSB</v>
      </c>
      <c r="L38" s="235"/>
      <c r="M38" s="182">
        <f t="shared" si="0"/>
        <v>2019</v>
      </c>
      <c r="N38" s="182">
        <f>'RSD (DEA)'!X42</f>
        <v>2015</v>
      </c>
      <c r="O38" s="182">
        <f t="shared" ref="O38:O69" si="3">IF(N38&lt;2019,2019,N38)</f>
        <v>2019</v>
      </c>
      <c r="P38" s="183">
        <f>'RSD (DEA)'!AZ42</f>
        <v>0.97</v>
      </c>
      <c r="Q38" s="183">
        <f>'RSD (DEA)'!BA42</f>
        <v>0.97</v>
      </c>
      <c r="R38" s="182">
        <f>'RSD (DEA)'!BR42/'RSD (DEA)'!S42</f>
        <v>5.7560000000000002</v>
      </c>
      <c r="S38" s="182">
        <f>'RSD (DEA)'!BS42/X_RSD_HeatingDemand!$AA$8</f>
        <v>0</v>
      </c>
      <c r="T38" s="182">
        <f>'RSD (DEA)'!BK42*X_RSD_HeatingDemand!$AA$9/'RSD (DEA)'!S42</f>
        <v>520</v>
      </c>
      <c r="U38" s="182">
        <f>'RSD (DEA)'!BI42</f>
        <v>25</v>
      </c>
      <c r="V38" s="182"/>
      <c r="W38" s="236">
        <f>'RSD (DEA)'!AM42</f>
        <v>31.536000000000001</v>
      </c>
    </row>
    <row r="39" spans="1:23" x14ac:dyDescent="0.3">
      <c r="A39" s="316"/>
      <c r="B39" s="235" t="str">
        <f>'RSD (DEA)'!AJ43&amp;"_"&amp;'RSD (DEA)'!Z43</f>
        <v>RHHSB_HTH_01</v>
      </c>
      <c r="C39" s="318"/>
      <c r="D39" s="235" t="str">
        <f t="shared" si="2"/>
        <v>RHHSB_HTH_02</v>
      </c>
      <c r="E39" s="235" t="str">
        <f>'RSD (DEA)'!Q43</f>
        <v>District heating</v>
      </c>
      <c r="F39" s="242" t="s">
        <v>239</v>
      </c>
      <c r="G39" s="242" t="s">
        <v>240</v>
      </c>
      <c r="H39" s="235">
        <f>'RSD (DEA)'!S43</f>
        <v>10</v>
      </c>
      <c r="I39" s="235" t="str">
        <f>IF(OR(RIGHT('RSD (DEA)'!AH43,3)="BIO",RIGHT(AD39,3)="BOA"),LEFT('RSD (DEA)'!AH43,3)&amp;"BFW",'RSD (DEA)'!AH43)</f>
        <v>RSDHTH</v>
      </c>
      <c r="J39" s="182" t="str">
        <f>'RSD (DEA)'!AI43</f>
        <v/>
      </c>
      <c r="K39" s="235" t="str">
        <f>'RSD (DEA)'!AJ43</f>
        <v>RHHSB</v>
      </c>
      <c r="L39" s="235"/>
      <c r="M39" s="182">
        <f t="shared" si="0"/>
        <v>2019</v>
      </c>
      <c r="N39" s="182">
        <f>'RSD (DEA)'!X43</f>
        <v>2020</v>
      </c>
      <c r="O39" s="182">
        <f t="shared" si="3"/>
        <v>2020</v>
      </c>
      <c r="P39" s="183">
        <f>'RSD (DEA)'!AZ43</f>
        <v>0.98</v>
      </c>
      <c r="Q39" s="183">
        <f>'RSD (DEA)'!BA43</f>
        <v>0.98</v>
      </c>
      <c r="R39" s="182">
        <f>'RSD (DEA)'!BR43/'RSD (DEA)'!S43</f>
        <v>5.6</v>
      </c>
      <c r="S39" s="182">
        <f>'RSD (DEA)'!BS43/X_RSD_HeatingDemand!$AA$8</f>
        <v>0</v>
      </c>
      <c r="T39" s="182">
        <f>'RSD (DEA)'!BK43*X_RSD_HeatingDemand!$AA$9/'RSD (DEA)'!S43</f>
        <v>520</v>
      </c>
      <c r="U39" s="182">
        <f>'RSD (DEA)'!BI43</f>
        <v>25</v>
      </c>
      <c r="V39" s="182"/>
      <c r="W39" s="236">
        <f>'RSD (DEA)'!AM43</f>
        <v>31.536000000000001</v>
      </c>
    </row>
    <row r="40" spans="1:23" x14ac:dyDescent="0.3">
      <c r="A40" s="316"/>
      <c r="B40" s="235" t="str">
        <f>'RSD (DEA)'!AJ44&amp;"_"&amp;'RSD (DEA)'!Z44</f>
        <v>RHHSB_HTH_01</v>
      </c>
      <c r="C40" s="318"/>
      <c r="D40" s="235" t="str">
        <f t="shared" si="2"/>
        <v>RHHSB_HTH_03</v>
      </c>
      <c r="E40" s="235" t="str">
        <f>'RSD (DEA)'!Q44</f>
        <v>District heating</v>
      </c>
      <c r="F40" s="242" t="s">
        <v>239</v>
      </c>
      <c r="G40" s="242" t="s">
        <v>240</v>
      </c>
      <c r="H40" s="235">
        <f>'RSD (DEA)'!S44</f>
        <v>10</v>
      </c>
      <c r="I40" s="235" t="str">
        <f>IF(OR(RIGHT('RSD (DEA)'!AH44,3)="BIO",RIGHT(AD40,3)="BOA"),LEFT('RSD (DEA)'!AH44,3)&amp;"BFW",'RSD (DEA)'!AH44)</f>
        <v>RSDHTH</v>
      </c>
      <c r="J40" s="182" t="str">
        <f>'RSD (DEA)'!AI44</f>
        <v/>
      </c>
      <c r="K40" s="235" t="str">
        <f>'RSD (DEA)'!AJ44</f>
        <v>RHHSB</v>
      </c>
      <c r="L40" s="235"/>
      <c r="M40" s="182">
        <f t="shared" si="0"/>
        <v>2019</v>
      </c>
      <c r="N40" s="182">
        <f>'RSD (DEA)'!X44</f>
        <v>2030</v>
      </c>
      <c r="O40" s="182">
        <f t="shared" si="3"/>
        <v>2030</v>
      </c>
      <c r="P40" s="183">
        <f>'RSD (DEA)'!AZ44</f>
        <v>0.98</v>
      </c>
      <c r="Q40" s="183">
        <f>'RSD (DEA)'!BA44</f>
        <v>0.98</v>
      </c>
      <c r="R40" s="182">
        <f>'RSD (DEA)'!BR44/'RSD (DEA)'!S44</f>
        <v>5.6</v>
      </c>
      <c r="S40" s="182">
        <f>'RSD (DEA)'!BS44/X_RSD_HeatingDemand!$AA$8</f>
        <v>0</v>
      </c>
      <c r="T40" s="182">
        <f>'RSD (DEA)'!BK44*X_RSD_HeatingDemand!$AA$9/'RSD (DEA)'!S44</f>
        <v>520</v>
      </c>
      <c r="U40" s="182">
        <f>'RSD (DEA)'!BI44</f>
        <v>25</v>
      </c>
      <c r="V40" s="182"/>
      <c r="W40" s="236">
        <f>'RSD (DEA)'!AM44</f>
        <v>31.536000000000001</v>
      </c>
    </row>
    <row r="41" spans="1:23" x14ac:dyDescent="0.3">
      <c r="A41" s="316"/>
      <c r="B41" s="235" t="str">
        <f>'RSD (DEA)'!AJ45&amp;"_"&amp;'RSD (DEA)'!Z45</f>
        <v>RHHSB_HTH_01</v>
      </c>
      <c r="C41" s="318"/>
      <c r="D41" s="235" t="str">
        <f t="shared" si="2"/>
        <v>RHHSB_HTH_04</v>
      </c>
      <c r="E41" s="235" t="str">
        <f>'RSD (DEA)'!Q45</f>
        <v>District heating</v>
      </c>
      <c r="F41" s="242" t="s">
        <v>239</v>
      </c>
      <c r="G41" s="242" t="s">
        <v>240</v>
      </c>
      <c r="H41" s="235">
        <f>'RSD (DEA)'!S45</f>
        <v>10</v>
      </c>
      <c r="I41" s="235" t="str">
        <f>IF(OR(RIGHT('RSD (DEA)'!AH45,3)="BIO",RIGHT(AD41,3)="BOA"),LEFT('RSD (DEA)'!AH45,3)&amp;"BFW",'RSD (DEA)'!AH45)</f>
        <v>RSDHTH</v>
      </c>
      <c r="J41" s="182" t="str">
        <f>'RSD (DEA)'!AI45</f>
        <v/>
      </c>
      <c r="K41" s="235" t="str">
        <f>'RSD (DEA)'!AJ45</f>
        <v>RHHSB</v>
      </c>
      <c r="L41" s="235"/>
      <c r="M41" s="182">
        <f t="shared" si="0"/>
        <v>2019</v>
      </c>
      <c r="N41" s="182">
        <f>'RSD (DEA)'!X45</f>
        <v>2050</v>
      </c>
      <c r="O41" s="182">
        <f t="shared" si="3"/>
        <v>2050</v>
      </c>
      <c r="P41" s="183">
        <f>'RSD (DEA)'!AZ45</f>
        <v>0.98</v>
      </c>
      <c r="Q41" s="183">
        <f>'RSD (DEA)'!BA45</f>
        <v>0.98</v>
      </c>
      <c r="R41" s="182">
        <f>'RSD (DEA)'!BR45/'RSD (DEA)'!S45</f>
        <v>5.0999999999999996</v>
      </c>
      <c r="S41" s="182">
        <f>'RSD (DEA)'!BS45/X_RSD_HeatingDemand!$AA$8</f>
        <v>0</v>
      </c>
      <c r="T41" s="182">
        <f>'RSD (DEA)'!BK45*X_RSD_HeatingDemand!$AA$9/'RSD (DEA)'!S45</f>
        <v>400</v>
      </c>
      <c r="U41" s="182">
        <f>'RSD (DEA)'!BI45</f>
        <v>25</v>
      </c>
      <c r="V41" s="182"/>
      <c r="W41" s="236">
        <f>'RSD (DEA)'!AM45</f>
        <v>31.536000000000001</v>
      </c>
    </row>
    <row r="42" spans="1:23" x14ac:dyDescent="0.3">
      <c r="A42" s="316"/>
      <c r="B42" s="235" t="str">
        <f>'RSD (DEA)'!AJ46&amp;"_"&amp;'RSD (DEA)'!Z46</f>
        <v>RHHSA_HTH_02</v>
      </c>
      <c r="C42" s="318"/>
      <c r="D42" s="235" t="str">
        <f t="shared" si="2"/>
        <v>RHHSA_HTH_02</v>
      </c>
      <c r="E42" s="235" t="str">
        <f>'RSD (DEA)'!Q46</f>
        <v>District heating</v>
      </c>
      <c r="F42" s="242" t="s">
        <v>239</v>
      </c>
      <c r="G42" s="242" t="s">
        <v>240</v>
      </c>
      <c r="H42" s="235">
        <f>'RSD (DEA)'!S46</f>
        <v>10</v>
      </c>
      <c r="I42" s="235" t="str">
        <f>IF(OR(RIGHT('RSD (DEA)'!AH46,3)="BIO",RIGHT(AD42,3)="BOA"),LEFT('RSD (DEA)'!AH46,3)&amp;"BFW",'RSD (DEA)'!AH46)</f>
        <v>RSDHTH</v>
      </c>
      <c r="J42" s="182" t="str">
        <f>'RSD (DEA)'!AI46</f>
        <v/>
      </c>
      <c r="K42" s="235" t="str">
        <f>'RSD (DEA)'!AJ46</f>
        <v>RHHSA</v>
      </c>
      <c r="L42" s="235"/>
      <c r="M42" s="182">
        <f t="shared" si="0"/>
        <v>2019</v>
      </c>
      <c r="N42" s="182">
        <f>'RSD (DEA)'!X46</f>
        <v>2015</v>
      </c>
      <c r="O42" s="182">
        <f t="shared" si="3"/>
        <v>2019</v>
      </c>
      <c r="P42" s="183">
        <f>'RSD (DEA)'!AZ46</f>
        <v>0.96</v>
      </c>
      <c r="Q42" s="183">
        <f>'RSD (DEA)'!BA46</f>
        <v>0.96</v>
      </c>
      <c r="R42" s="182">
        <f>'RSD (DEA)'!BR46/'RSD (DEA)'!S46</f>
        <v>5.3780000000000001</v>
      </c>
      <c r="S42" s="182">
        <f>'RSD (DEA)'!BS46/X_RSD_HeatingDemand!$AA$8</f>
        <v>0</v>
      </c>
      <c r="T42" s="182">
        <f>'RSD (DEA)'!BK46*X_RSD_HeatingDemand!$AA$9/'RSD (DEA)'!S46</f>
        <v>404.5994942815276</v>
      </c>
      <c r="U42" s="182">
        <f>'RSD (DEA)'!BI46</f>
        <v>25</v>
      </c>
      <c r="V42" s="182"/>
      <c r="W42" s="236">
        <f>'RSD (DEA)'!AM46</f>
        <v>31.536000000000001</v>
      </c>
    </row>
    <row r="43" spans="1:23" x14ac:dyDescent="0.3">
      <c r="A43" s="316"/>
      <c r="B43" s="235" t="str">
        <f>'RSD (DEA)'!AJ47&amp;"_"&amp;'RSD (DEA)'!Z47</f>
        <v>RHHSA_HTH_02</v>
      </c>
      <c r="C43" s="318"/>
      <c r="D43" s="235" t="str">
        <f t="shared" si="2"/>
        <v>RHHSA_HTH_03</v>
      </c>
      <c r="E43" s="235" t="str">
        <f>'RSD (DEA)'!Q47</f>
        <v>District heating</v>
      </c>
      <c r="F43" s="242" t="s">
        <v>239</v>
      </c>
      <c r="G43" s="242" t="s">
        <v>240</v>
      </c>
      <c r="H43" s="235">
        <f>'RSD (DEA)'!S47</f>
        <v>10</v>
      </c>
      <c r="I43" s="235" t="str">
        <f>IF(OR(RIGHT('RSD (DEA)'!AH47,3)="BIO",RIGHT(AD43,3)="BOA"),LEFT('RSD (DEA)'!AH47,3)&amp;"BFW",'RSD (DEA)'!AH47)</f>
        <v>RSDHTH</v>
      </c>
      <c r="J43" s="182" t="str">
        <f>'RSD (DEA)'!AI47</f>
        <v/>
      </c>
      <c r="K43" s="235" t="str">
        <f>'RSD (DEA)'!AJ47</f>
        <v>RHHSA</v>
      </c>
      <c r="L43" s="235"/>
      <c r="M43" s="182">
        <f t="shared" si="0"/>
        <v>2019</v>
      </c>
      <c r="N43" s="182">
        <f>'RSD (DEA)'!X47</f>
        <v>2020</v>
      </c>
      <c r="O43" s="182">
        <f t="shared" si="3"/>
        <v>2020</v>
      </c>
      <c r="P43" s="183">
        <f>'RSD (DEA)'!AZ47</f>
        <v>0.96</v>
      </c>
      <c r="Q43" s="183">
        <f>'RSD (DEA)'!BA47</f>
        <v>0.96</v>
      </c>
      <c r="R43" s="182">
        <f>'RSD (DEA)'!BR47/'RSD (DEA)'!S47</f>
        <v>5.3</v>
      </c>
      <c r="S43" s="182">
        <f>'RSD (DEA)'!BS47/X_RSD_HeatingDemand!$AA$8</f>
        <v>0</v>
      </c>
      <c r="T43" s="182">
        <f>'RSD (DEA)'!BK47*X_RSD_HeatingDemand!$AA$9/'RSD (DEA)'!S47</f>
        <v>500</v>
      </c>
      <c r="U43" s="182">
        <f>'RSD (DEA)'!BI47</f>
        <v>25</v>
      </c>
      <c r="V43" s="182"/>
      <c r="W43" s="236">
        <f>'RSD (DEA)'!AM47</f>
        <v>31.536000000000001</v>
      </c>
    </row>
    <row r="44" spans="1:23" x14ac:dyDescent="0.3">
      <c r="A44" s="316"/>
      <c r="B44" s="235" t="str">
        <f>'RSD (DEA)'!AJ48&amp;"_"&amp;'RSD (DEA)'!Z48</f>
        <v>RHHSA_HTH_02</v>
      </c>
      <c r="C44" s="318"/>
      <c r="D44" s="235" t="str">
        <f t="shared" si="2"/>
        <v>RHHSA_HTH_04</v>
      </c>
      <c r="E44" s="235" t="str">
        <f>'RSD (DEA)'!Q48</f>
        <v>District heating</v>
      </c>
      <c r="F44" s="242" t="s">
        <v>239</v>
      </c>
      <c r="G44" s="242" t="s">
        <v>240</v>
      </c>
      <c r="H44" s="235">
        <f>'RSD (DEA)'!S48</f>
        <v>10</v>
      </c>
      <c r="I44" s="235" t="str">
        <f>IF(OR(RIGHT('RSD (DEA)'!AH48,3)="BIO",RIGHT(AD44,3)="BOA"),LEFT('RSD (DEA)'!AH48,3)&amp;"BFW",'RSD (DEA)'!AH48)</f>
        <v>RSDHTH</v>
      </c>
      <c r="J44" s="182" t="str">
        <f>'RSD (DEA)'!AI48</f>
        <v/>
      </c>
      <c r="K44" s="235" t="str">
        <f>'RSD (DEA)'!AJ48</f>
        <v>RHHSA</v>
      </c>
      <c r="L44" s="235"/>
      <c r="M44" s="182">
        <f t="shared" si="0"/>
        <v>2019</v>
      </c>
      <c r="N44" s="182">
        <f>'RSD (DEA)'!X48</f>
        <v>2030</v>
      </c>
      <c r="O44" s="182">
        <f t="shared" si="3"/>
        <v>2030</v>
      </c>
      <c r="P44" s="183">
        <f>'RSD (DEA)'!AZ48</f>
        <v>0.97</v>
      </c>
      <c r="Q44" s="183">
        <f>'RSD (DEA)'!BA48</f>
        <v>0.97</v>
      </c>
      <c r="R44" s="182">
        <f>'RSD (DEA)'!BR48/'RSD (DEA)'!S48</f>
        <v>5.0999999999999996</v>
      </c>
      <c r="S44" s="182">
        <f>'RSD (DEA)'!BS48/X_RSD_HeatingDemand!$AA$8</f>
        <v>0</v>
      </c>
      <c r="T44" s="182">
        <f>'RSD (DEA)'!BK48*X_RSD_HeatingDemand!$AA$9/'RSD (DEA)'!S48</f>
        <v>500</v>
      </c>
      <c r="U44" s="182">
        <f>'RSD (DEA)'!BI48</f>
        <v>25</v>
      </c>
      <c r="V44" s="182"/>
      <c r="W44" s="236">
        <f>'RSD (DEA)'!AM48</f>
        <v>31.536000000000001</v>
      </c>
    </row>
    <row r="45" spans="1:23" x14ac:dyDescent="0.3">
      <c r="A45" s="316"/>
      <c r="B45" s="235" t="str">
        <f>'RSD (DEA)'!AJ49&amp;"_"&amp;'RSD (DEA)'!Z49</f>
        <v>RHHSA_HTH_02</v>
      </c>
      <c r="C45" s="318"/>
      <c r="D45" s="235" t="str">
        <f t="shared" si="2"/>
        <v>RHHSA_HTH_05</v>
      </c>
      <c r="E45" s="235" t="str">
        <f>'RSD (DEA)'!Q49</f>
        <v>District heating</v>
      </c>
      <c r="F45" s="242" t="s">
        <v>239</v>
      </c>
      <c r="G45" s="242" t="s">
        <v>240</v>
      </c>
      <c r="H45" s="235">
        <f>'RSD (DEA)'!S49</f>
        <v>10</v>
      </c>
      <c r="I45" s="235" t="str">
        <f>IF(OR(RIGHT('RSD (DEA)'!AH49,3)="BIO",RIGHT(AD45,3)="BOA"),LEFT('RSD (DEA)'!AH49,3)&amp;"BFW",'RSD (DEA)'!AH49)</f>
        <v>RSDHTH</v>
      </c>
      <c r="J45" s="182" t="str">
        <f>'RSD (DEA)'!AI49</f>
        <v/>
      </c>
      <c r="K45" s="235" t="str">
        <f>'RSD (DEA)'!AJ49</f>
        <v>RHHSA</v>
      </c>
      <c r="L45" s="235"/>
      <c r="M45" s="182">
        <f t="shared" si="0"/>
        <v>2019</v>
      </c>
      <c r="N45" s="182">
        <f>'RSD (DEA)'!X49</f>
        <v>2050</v>
      </c>
      <c r="O45" s="182">
        <f t="shared" si="3"/>
        <v>2050</v>
      </c>
      <c r="P45" s="183">
        <f>'RSD (DEA)'!AZ49</f>
        <v>0.98</v>
      </c>
      <c r="Q45" s="183">
        <f>'RSD (DEA)'!BA49</f>
        <v>0.98</v>
      </c>
      <c r="R45" s="182">
        <f>'RSD (DEA)'!BR49/'RSD (DEA)'!S49</f>
        <v>4.7</v>
      </c>
      <c r="S45" s="182">
        <f>'RSD (DEA)'!BS49/X_RSD_HeatingDemand!$AA$8</f>
        <v>0</v>
      </c>
      <c r="T45" s="182">
        <f>'RSD (DEA)'!BK49*X_RSD_HeatingDemand!$AA$9/'RSD (DEA)'!S49</f>
        <v>404.5994942815276</v>
      </c>
      <c r="U45" s="182">
        <f>'RSD (DEA)'!BI49</f>
        <v>25</v>
      </c>
      <c r="V45" s="182"/>
      <c r="W45" s="236">
        <f>'RSD (DEA)'!AM49</f>
        <v>31.536000000000001</v>
      </c>
    </row>
    <row r="46" spans="1:23" x14ac:dyDescent="0.3">
      <c r="A46" s="316"/>
      <c r="B46" s="235" t="str">
        <f>'RSD (DEA)'!AJ50&amp;"_"&amp;'RSD (DEA)'!Z50</f>
        <v>RHAPC_HTH_03</v>
      </c>
      <c r="C46" s="318"/>
      <c r="D46" s="235" t="str">
        <f t="shared" si="2"/>
        <v>RHAPC_HTH_03</v>
      </c>
      <c r="E46" s="235" t="str">
        <f>'RSD (DEA)'!Q50</f>
        <v>District heating</v>
      </c>
      <c r="F46" s="242" t="s">
        <v>239</v>
      </c>
      <c r="G46" s="242" t="s">
        <v>240</v>
      </c>
      <c r="H46" s="235">
        <f>'RSD (DEA)'!S50</f>
        <v>400</v>
      </c>
      <c r="I46" s="235" t="str">
        <f>IF(OR(RIGHT('RSD (DEA)'!AH50,3)="BIO",RIGHT(AD46,3)="BOA"),LEFT('RSD (DEA)'!AH50,3)&amp;"BFW",'RSD (DEA)'!AH50)</f>
        <v>RSDHTH</v>
      </c>
      <c r="J46" s="182" t="str">
        <f>'RSD (DEA)'!AI50</f>
        <v/>
      </c>
      <c r="K46" s="235" t="str">
        <f>'RSD (DEA)'!AJ50</f>
        <v>RHAPC</v>
      </c>
      <c r="L46" s="235"/>
      <c r="M46" s="182">
        <f t="shared" si="0"/>
        <v>2019</v>
      </c>
      <c r="N46" s="182">
        <f>'RSD (DEA)'!X50</f>
        <v>2015</v>
      </c>
      <c r="O46" s="182">
        <f t="shared" si="3"/>
        <v>2019</v>
      </c>
      <c r="P46" s="183">
        <f>'RSD (DEA)'!AZ50</f>
        <v>1</v>
      </c>
      <c r="Q46" s="183">
        <f>'RSD (DEA)'!BA50</f>
        <v>1</v>
      </c>
      <c r="R46" s="182">
        <f>'RSD (DEA)'!BR50/'RSD (DEA)'!S50</f>
        <v>0.34700000000000003</v>
      </c>
      <c r="S46" s="182">
        <f>'RSD (DEA)'!BS50/X_RSD_HeatingDemand!$AA$8</f>
        <v>0</v>
      </c>
      <c r="T46" s="182">
        <f>'RSD (DEA)'!BK50*X_RSD_HeatingDemand!$AA$9/'RSD (DEA)'!S50</f>
        <v>50</v>
      </c>
      <c r="U46" s="182">
        <f>'RSD (DEA)'!BI50</f>
        <v>25</v>
      </c>
      <c r="V46" s="182"/>
      <c r="W46" s="236">
        <f>'RSD (DEA)'!AM50</f>
        <v>31.536000000000001</v>
      </c>
    </row>
    <row r="47" spans="1:23" x14ac:dyDescent="0.3">
      <c r="A47" s="316"/>
      <c r="B47" s="235" t="str">
        <f>'RSD (DEA)'!AJ51&amp;"_"&amp;'RSD (DEA)'!Z51</f>
        <v>RHAPC_HTH_03</v>
      </c>
      <c r="C47" s="318"/>
      <c r="D47" s="235" t="str">
        <f t="shared" si="2"/>
        <v>RHAPC_HTH_04</v>
      </c>
      <c r="E47" s="235" t="str">
        <f>'RSD (DEA)'!Q51</f>
        <v>District heating</v>
      </c>
      <c r="F47" s="242" t="s">
        <v>239</v>
      </c>
      <c r="G47" s="242" t="s">
        <v>240</v>
      </c>
      <c r="H47" s="235">
        <f>'RSD (DEA)'!S51</f>
        <v>400</v>
      </c>
      <c r="I47" s="235" t="str">
        <f>IF(OR(RIGHT('RSD (DEA)'!AH51,3)="BIO",RIGHT(AD47,3)="BOA"),LEFT('RSD (DEA)'!AH51,3)&amp;"BFW",'RSD (DEA)'!AH51)</f>
        <v>RSDHTH</v>
      </c>
      <c r="J47" s="182" t="str">
        <f>'RSD (DEA)'!AI51</f>
        <v/>
      </c>
      <c r="K47" s="235" t="str">
        <f>'RSD (DEA)'!AJ51</f>
        <v>RHAPC</v>
      </c>
      <c r="L47" s="235"/>
      <c r="M47" s="182">
        <f t="shared" si="0"/>
        <v>2019</v>
      </c>
      <c r="N47" s="182">
        <f>'RSD (DEA)'!X51</f>
        <v>2020</v>
      </c>
      <c r="O47" s="182">
        <f t="shared" si="3"/>
        <v>2020</v>
      </c>
      <c r="P47" s="183">
        <f>'RSD (DEA)'!AZ51</f>
        <v>1</v>
      </c>
      <c r="Q47" s="183">
        <f>'RSD (DEA)'!BA51</f>
        <v>1</v>
      </c>
      <c r="R47" s="182">
        <f>'RSD (DEA)'!BR51/'RSD (DEA)'!S51</f>
        <v>0.34</v>
      </c>
      <c r="S47" s="182">
        <f>'RSD (DEA)'!BS51/X_RSD_HeatingDemand!$AA$8</f>
        <v>0</v>
      </c>
      <c r="T47" s="182">
        <f>'RSD (DEA)'!BK51*X_RSD_HeatingDemand!$AA$9/'RSD (DEA)'!S51</f>
        <v>50</v>
      </c>
      <c r="U47" s="182">
        <f>'RSD (DEA)'!BI51</f>
        <v>25</v>
      </c>
      <c r="V47" s="182"/>
      <c r="W47" s="236">
        <f>'RSD (DEA)'!AM51</f>
        <v>31.536000000000001</v>
      </c>
    </row>
    <row r="48" spans="1:23" x14ac:dyDescent="0.3">
      <c r="A48" s="316"/>
      <c r="B48" s="235" t="str">
        <f>'RSD (DEA)'!AJ52&amp;"_"&amp;'RSD (DEA)'!Z52</f>
        <v>RHAPC_HTH_03</v>
      </c>
      <c r="C48" s="318"/>
      <c r="D48" s="235" t="str">
        <f t="shared" si="2"/>
        <v>RHAPC_HTH_05</v>
      </c>
      <c r="E48" s="235" t="str">
        <f>'RSD (DEA)'!Q52</f>
        <v>District heating</v>
      </c>
      <c r="F48" s="242" t="s">
        <v>239</v>
      </c>
      <c r="G48" s="242" t="s">
        <v>240</v>
      </c>
      <c r="H48" s="235">
        <f>'RSD (DEA)'!S52</f>
        <v>400</v>
      </c>
      <c r="I48" s="235" t="str">
        <f>IF(OR(RIGHT('RSD (DEA)'!AH52,3)="BIO",RIGHT(AD48,3)="BOA"),LEFT('RSD (DEA)'!AH52,3)&amp;"BFW",'RSD (DEA)'!AH52)</f>
        <v>RSDHTH</v>
      </c>
      <c r="J48" s="182" t="str">
        <f>'RSD (DEA)'!AI52</f>
        <v/>
      </c>
      <c r="K48" s="235" t="str">
        <f>'RSD (DEA)'!AJ52</f>
        <v>RHAPC</v>
      </c>
      <c r="L48" s="235"/>
      <c r="M48" s="182">
        <f t="shared" si="0"/>
        <v>2019</v>
      </c>
      <c r="N48" s="182">
        <f>'RSD (DEA)'!X52</f>
        <v>2030</v>
      </c>
      <c r="O48" s="182">
        <f t="shared" si="3"/>
        <v>2030</v>
      </c>
      <c r="P48" s="183">
        <f>'RSD (DEA)'!AZ52</f>
        <v>1</v>
      </c>
      <c r="Q48" s="183">
        <f>'RSD (DEA)'!BA52</f>
        <v>1</v>
      </c>
      <c r="R48" s="182">
        <f>'RSD (DEA)'!BR52/'RSD (DEA)'!S52</f>
        <v>0.36</v>
      </c>
      <c r="S48" s="182">
        <f>'RSD (DEA)'!BS52/X_RSD_HeatingDemand!$AA$8</f>
        <v>0</v>
      </c>
      <c r="T48" s="182">
        <f>'RSD (DEA)'!BK52*X_RSD_HeatingDemand!$AA$9/'RSD (DEA)'!S52</f>
        <v>47.5</v>
      </c>
      <c r="U48" s="182">
        <f>'RSD (DEA)'!BI52</f>
        <v>25</v>
      </c>
      <c r="V48" s="182"/>
      <c r="W48" s="236">
        <f>'RSD (DEA)'!AM52</f>
        <v>31.536000000000001</v>
      </c>
    </row>
    <row r="49" spans="1:23" x14ac:dyDescent="0.3">
      <c r="A49" s="316"/>
      <c r="B49" s="235" t="str">
        <f>'RSD (DEA)'!AJ53&amp;"_"&amp;'RSD (DEA)'!Z53</f>
        <v>RHAPC_HTH_03</v>
      </c>
      <c r="C49" s="318"/>
      <c r="D49" s="235" t="str">
        <f t="shared" si="2"/>
        <v>RHAPC_HTH_06</v>
      </c>
      <c r="E49" s="235" t="str">
        <f>'RSD (DEA)'!Q53</f>
        <v>District heating</v>
      </c>
      <c r="F49" s="242" t="s">
        <v>239</v>
      </c>
      <c r="G49" s="242" t="s">
        <v>240</v>
      </c>
      <c r="H49" s="235">
        <f>'RSD (DEA)'!S53</f>
        <v>400</v>
      </c>
      <c r="I49" s="235" t="str">
        <f>IF(OR(RIGHT('RSD (DEA)'!AH53,3)="BIO",RIGHT(AD49,3)="BOA"),LEFT('RSD (DEA)'!AH53,3)&amp;"BFW",'RSD (DEA)'!AH53)</f>
        <v>RSDHTH</v>
      </c>
      <c r="J49" s="182" t="str">
        <f>'RSD (DEA)'!AI53</f>
        <v/>
      </c>
      <c r="K49" s="235" t="str">
        <f>'RSD (DEA)'!AJ53</f>
        <v>RHAPC</v>
      </c>
      <c r="L49" s="235"/>
      <c r="M49" s="182">
        <f t="shared" si="0"/>
        <v>2019</v>
      </c>
      <c r="N49" s="182">
        <f>'RSD (DEA)'!X53</f>
        <v>2050</v>
      </c>
      <c r="O49" s="182">
        <f t="shared" si="3"/>
        <v>2050</v>
      </c>
      <c r="P49" s="183">
        <f>'RSD (DEA)'!AZ53</f>
        <v>1</v>
      </c>
      <c r="Q49" s="183">
        <f>'RSD (DEA)'!BA53</f>
        <v>1</v>
      </c>
      <c r="R49" s="182">
        <f>'RSD (DEA)'!BR53/'RSD (DEA)'!S53</f>
        <v>0.33</v>
      </c>
      <c r="S49" s="182">
        <f>'RSD (DEA)'!BS53/X_RSD_HeatingDemand!$AA$8</f>
        <v>0</v>
      </c>
      <c r="T49" s="182">
        <f>'RSD (DEA)'!BK53*X_RSD_HeatingDemand!$AA$9/'RSD (DEA)'!S53</f>
        <v>42.5</v>
      </c>
      <c r="U49" s="182">
        <f>'RSD (DEA)'!BI53</f>
        <v>25</v>
      </c>
      <c r="V49" s="182"/>
      <c r="W49" s="236">
        <f>'RSD (DEA)'!AM53</f>
        <v>31.536000000000001</v>
      </c>
    </row>
    <row r="50" spans="1:23" x14ac:dyDescent="0.3">
      <c r="A50" s="316"/>
      <c r="B50" s="235" t="str">
        <f>'RSD (DEA)'!AJ54&amp;"_"&amp;'RSD (DEA)'!Z54</f>
        <v>RHAPA_HTH_04</v>
      </c>
      <c r="C50" s="318"/>
      <c r="D50" s="235" t="str">
        <f t="shared" si="2"/>
        <v>RHAPA_HTH_04</v>
      </c>
      <c r="E50" s="235" t="str">
        <f>'RSD (DEA)'!Q54</f>
        <v>District heating</v>
      </c>
      <c r="F50" s="242" t="s">
        <v>239</v>
      </c>
      <c r="G50" s="242" t="s">
        <v>240</v>
      </c>
      <c r="H50" s="235">
        <f>'RSD (DEA)'!S54</f>
        <v>160</v>
      </c>
      <c r="I50" s="235" t="str">
        <f>IF(OR(RIGHT('RSD (DEA)'!AH54,3)="BIO",RIGHT(AD50,3)="BOA"),LEFT('RSD (DEA)'!AH54,3)&amp;"BFW",'RSD (DEA)'!AH54)</f>
        <v>RSDHTH</v>
      </c>
      <c r="J50" s="182" t="str">
        <f>'RSD (DEA)'!AI54</f>
        <v/>
      </c>
      <c r="K50" s="235" t="str">
        <f>'RSD (DEA)'!AJ54</f>
        <v>RHAPA</v>
      </c>
      <c r="L50" s="235"/>
      <c r="M50" s="182">
        <f t="shared" si="0"/>
        <v>2019</v>
      </c>
      <c r="N50" s="182">
        <f>'RSD (DEA)'!X54</f>
        <v>2015</v>
      </c>
      <c r="O50" s="182">
        <f t="shared" si="3"/>
        <v>2019</v>
      </c>
      <c r="P50" s="183">
        <f>'RSD (DEA)'!AZ54</f>
        <v>1</v>
      </c>
      <c r="Q50" s="183">
        <f>'RSD (DEA)'!BA54</f>
        <v>1</v>
      </c>
      <c r="R50" s="182">
        <f>'RSD (DEA)'!BR54/'RSD (DEA)'!S54</f>
        <v>0.6690625</v>
      </c>
      <c r="S50" s="182">
        <f>'RSD (DEA)'!BS54/X_RSD_HeatingDemand!$AA$8</f>
        <v>0</v>
      </c>
      <c r="T50" s="182">
        <f>'RSD (DEA)'!BK54*X_RSD_HeatingDemand!$AA$9/'RSD (DEA)'!S54</f>
        <v>95</v>
      </c>
      <c r="U50" s="182">
        <f>'RSD (DEA)'!BI54</f>
        <v>25</v>
      </c>
      <c r="V50" s="182"/>
      <c r="W50" s="236">
        <f>'RSD (DEA)'!AM54</f>
        <v>31.536000000000001</v>
      </c>
    </row>
    <row r="51" spans="1:23" x14ac:dyDescent="0.3">
      <c r="A51" s="316"/>
      <c r="B51" s="235" t="str">
        <f>'RSD (DEA)'!AJ55&amp;"_"&amp;'RSD (DEA)'!Z55</f>
        <v>RHAPA_HTH_04</v>
      </c>
      <c r="C51" s="318"/>
      <c r="D51" s="235" t="str">
        <f t="shared" si="2"/>
        <v>RHAPA_HTH_05</v>
      </c>
      <c r="E51" s="235" t="str">
        <f>'RSD (DEA)'!Q55</f>
        <v>District heating</v>
      </c>
      <c r="F51" s="242" t="s">
        <v>239</v>
      </c>
      <c r="G51" s="242" t="s">
        <v>240</v>
      </c>
      <c r="H51" s="235">
        <f>'RSD (DEA)'!S55</f>
        <v>160</v>
      </c>
      <c r="I51" s="235" t="str">
        <f>IF(OR(RIGHT('RSD (DEA)'!AH55,3)="BIO",RIGHT(AD51,3)="BOA"),LEFT('RSD (DEA)'!AH55,3)&amp;"BFW",'RSD (DEA)'!AH55)</f>
        <v>RSDHTH</v>
      </c>
      <c r="J51" s="182" t="str">
        <f>'RSD (DEA)'!AI55</f>
        <v/>
      </c>
      <c r="K51" s="235" t="str">
        <f>'RSD (DEA)'!AJ55</f>
        <v>RHAPA</v>
      </c>
      <c r="L51" s="235"/>
      <c r="M51" s="182">
        <f t="shared" si="0"/>
        <v>2019</v>
      </c>
      <c r="N51" s="182">
        <f>'RSD (DEA)'!X55</f>
        <v>2020</v>
      </c>
      <c r="O51" s="182">
        <f t="shared" si="3"/>
        <v>2020</v>
      </c>
      <c r="P51" s="183">
        <f>'RSD (DEA)'!AZ55</f>
        <v>1</v>
      </c>
      <c r="Q51" s="183">
        <f>'RSD (DEA)'!BA55</f>
        <v>1</v>
      </c>
      <c r="R51" s="182">
        <f>'RSD (DEA)'!BR55/'RSD (DEA)'!S55</f>
        <v>0.65625</v>
      </c>
      <c r="S51" s="182">
        <f>'RSD (DEA)'!BS55/X_RSD_HeatingDemand!$AA$8</f>
        <v>0</v>
      </c>
      <c r="T51" s="182">
        <f>'RSD (DEA)'!BK55*X_RSD_HeatingDemand!$AA$9/'RSD (DEA)'!S55</f>
        <v>95</v>
      </c>
      <c r="U51" s="182">
        <f>'RSD (DEA)'!BI55</f>
        <v>25</v>
      </c>
      <c r="V51" s="182"/>
      <c r="W51" s="236">
        <f>'RSD (DEA)'!AM55</f>
        <v>31.536000000000001</v>
      </c>
    </row>
    <row r="52" spans="1:23" x14ac:dyDescent="0.3">
      <c r="A52" s="316"/>
      <c r="B52" s="235" t="str">
        <f>'RSD (DEA)'!AJ56&amp;"_"&amp;'RSD (DEA)'!Z56</f>
        <v>RHAPA_HTH_04</v>
      </c>
      <c r="C52" s="318"/>
      <c r="D52" s="235" t="str">
        <f t="shared" si="2"/>
        <v>RHAPA_HTH_06</v>
      </c>
      <c r="E52" s="235" t="str">
        <f>'RSD (DEA)'!Q56</f>
        <v>District heating</v>
      </c>
      <c r="F52" s="242" t="s">
        <v>239</v>
      </c>
      <c r="G52" s="242" t="s">
        <v>240</v>
      </c>
      <c r="H52" s="235">
        <f>'RSD (DEA)'!S56</f>
        <v>160</v>
      </c>
      <c r="I52" s="235" t="str">
        <f>IF(OR(RIGHT('RSD (DEA)'!AH56,3)="BIO",RIGHT(AD52,3)="BOA"),LEFT('RSD (DEA)'!AH56,3)&amp;"BFW",'RSD (DEA)'!AH56)</f>
        <v>RSDHTH</v>
      </c>
      <c r="J52" s="182" t="str">
        <f>'RSD (DEA)'!AI56</f>
        <v/>
      </c>
      <c r="K52" s="235" t="str">
        <f>'RSD (DEA)'!AJ56</f>
        <v>RHAPA</v>
      </c>
      <c r="L52" s="235"/>
      <c r="M52" s="182">
        <f t="shared" si="0"/>
        <v>2019</v>
      </c>
      <c r="N52" s="182">
        <f>'RSD (DEA)'!X56</f>
        <v>2030</v>
      </c>
      <c r="O52" s="182">
        <f t="shared" si="3"/>
        <v>2030</v>
      </c>
      <c r="P52" s="183">
        <f>'RSD (DEA)'!AZ56</f>
        <v>1</v>
      </c>
      <c r="Q52" s="183">
        <f>'RSD (DEA)'!BA56</f>
        <v>1</v>
      </c>
      <c r="R52" s="182">
        <f>'RSD (DEA)'!BR56/'RSD (DEA)'!S56</f>
        <v>0.68125000000000002</v>
      </c>
      <c r="S52" s="182">
        <f>'RSD (DEA)'!BS56/X_RSD_HeatingDemand!$AA$8</f>
        <v>0</v>
      </c>
      <c r="T52" s="182">
        <f>'RSD (DEA)'!BK56*X_RSD_HeatingDemand!$AA$9/'RSD (DEA)'!S56</f>
        <v>87.5</v>
      </c>
      <c r="U52" s="182">
        <f>'RSD (DEA)'!BI56</f>
        <v>25</v>
      </c>
      <c r="V52" s="182"/>
      <c r="W52" s="236">
        <f>'RSD (DEA)'!AM56</f>
        <v>31.536000000000001</v>
      </c>
    </row>
    <row r="53" spans="1:23" x14ac:dyDescent="0.3">
      <c r="A53" s="316"/>
      <c r="B53" s="235" t="str">
        <f>'RSD (DEA)'!AJ57&amp;"_"&amp;'RSD (DEA)'!Z57</f>
        <v>RHAPA_HTH_04</v>
      </c>
      <c r="C53" s="318"/>
      <c r="D53" s="235" t="str">
        <f t="shared" si="2"/>
        <v>RHAPA_HTH_07</v>
      </c>
      <c r="E53" s="235" t="str">
        <f>'RSD (DEA)'!Q57</f>
        <v>District heating</v>
      </c>
      <c r="F53" s="242" t="s">
        <v>239</v>
      </c>
      <c r="G53" s="242" t="s">
        <v>240</v>
      </c>
      <c r="H53" s="235">
        <f>'RSD (DEA)'!S57</f>
        <v>160</v>
      </c>
      <c r="I53" s="235" t="str">
        <f>IF(OR(RIGHT('RSD (DEA)'!AH57,3)="BIO",RIGHT(AD53,3)="BOA"),LEFT('RSD (DEA)'!AH57,3)&amp;"BFW",'RSD (DEA)'!AH57)</f>
        <v>RSDHTH</v>
      </c>
      <c r="J53" s="182" t="str">
        <f>'RSD (DEA)'!AI57</f>
        <v/>
      </c>
      <c r="K53" s="235" t="str">
        <f>'RSD (DEA)'!AJ57</f>
        <v>RHAPA</v>
      </c>
      <c r="L53" s="235"/>
      <c r="M53" s="182">
        <f t="shared" si="0"/>
        <v>2019</v>
      </c>
      <c r="N53" s="182">
        <f>'RSD (DEA)'!X57</f>
        <v>2050</v>
      </c>
      <c r="O53" s="182">
        <f t="shared" si="3"/>
        <v>2050</v>
      </c>
      <c r="P53" s="183">
        <f>'RSD (DEA)'!AZ57</f>
        <v>1</v>
      </c>
      <c r="Q53" s="183">
        <f>'RSD (DEA)'!BA57</f>
        <v>1</v>
      </c>
      <c r="R53" s="182">
        <f>'RSD (DEA)'!BR57/'RSD (DEA)'!S57</f>
        <v>0.63124999999999998</v>
      </c>
      <c r="S53" s="182">
        <f>'RSD (DEA)'!BS57/X_RSD_HeatingDemand!$AA$8</f>
        <v>0</v>
      </c>
      <c r="T53" s="182">
        <f>'RSD (DEA)'!BK57*X_RSD_HeatingDemand!$AA$9/'RSD (DEA)'!S57</f>
        <v>81.25</v>
      </c>
      <c r="U53" s="182">
        <f>'RSD (DEA)'!BI57</f>
        <v>25</v>
      </c>
      <c r="V53" s="182"/>
      <c r="W53" s="236">
        <f>'RSD (DEA)'!AM57</f>
        <v>31.536000000000001</v>
      </c>
    </row>
    <row r="54" spans="1:23" x14ac:dyDescent="0.3">
      <c r="A54" s="316"/>
      <c r="B54" s="235" t="str">
        <f>'RSD (DEA)'!AJ58&amp;"_"&amp;'RSD (DEA)'!Z58</f>
        <v>RHHSB_HTH_05</v>
      </c>
      <c r="C54" s="318"/>
      <c r="D54" s="235" t="str">
        <f t="shared" si="2"/>
        <v>RHHSB_HTH_05</v>
      </c>
      <c r="E54" s="235" t="str">
        <f>'RSD (DEA)'!Q58</f>
        <v>District heating</v>
      </c>
      <c r="F54" s="242" t="s">
        <v>239</v>
      </c>
      <c r="G54" s="242" t="s">
        <v>240</v>
      </c>
      <c r="H54" s="235">
        <f>'RSD (DEA)'!S58</f>
        <v>10</v>
      </c>
      <c r="I54" s="235" t="str">
        <f>IF(OR(RIGHT('RSD (DEA)'!AH58,3)="BIO",RIGHT(AD54,3)="BOA"),LEFT('RSD (DEA)'!AH58,3)&amp;"BFW",'RSD (DEA)'!AH58)</f>
        <v>RSDHTH</v>
      </c>
      <c r="J54" s="182" t="str">
        <f>'RSD (DEA)'!AI58</f>
        <v/>
      </c>
      <c r="K54" s="235" t="str">
        <f>'RSD (DEA)'!AJ58</f>
        <v>RHHSB</v>
      </c>
      <c r="L54" s="235"/>
      <c r="M54" s="182">
        <f t="shared" si="0"/>
        <v>2019</v>
      </c>
      <c r="N54" s="182">
        <f>'RSD (DEA)'!X58</f>
        <v>2015</v>
      </c>
      <c r="O54" s="182">
        <f t="shared" si="3"/>
        <v>2019</v>
      </c>
      <c r="P54" s="183">
        <f>'RSD (DEA)'!AZ58</f>
        <v>1</v>
      </c>
      <c r="Q54" s="183">
        <f>'RSD (DEA)'!BA58</f>
        <v>1</v>
      </c>
      <c r="R54" s="182">
        <f>'RSD (DEA)'!BR58/'RSD (DEA)'!S58</f>
        <v>4.952</v>
      </c>
      <c r="S54" s="182">
        <f>'RSD (DEA)'!BS58/X_RSD_HeatingDemand!$AA$8</f>
        <v>0</v>
      </c>
      <c r="T54" s="182">
        <f>'RSD (DEA)'!BK58*X_RSD_HeatingDemand!$AA$9/'RSD (DEA)'!S58</f>
        <v>490</v>
      </c>
      <c r="U54" s="182">
        <f>'RSD (DEA)'!BI58</f>
        <v>25</v>
      </c>
      <c r="V54" s="182"/>
      <c r="W54" s="236">
        <f>'RSD (DEA)'!AM58</f>
        <v>31.536000000000001</v>
      </c>
    </row>
    <row r="55" spans="1:23" x14ac:dyDescent="0.3">
      <c r="A55" s="316"/>
      <c r="B55" s="235" t="str">
        <f>'RSD (DEA)'!AJ59&amp;"_"&amp;'RSD (DEA)'!Z59</f>
        <v>RHHSB_HTH_05</v>
      </c>
      <c r="C55" s="318"/>
      <c r="D55" s="235" t="str">
        <f t="shared" si="2"/>
        <v>RHHSB_HTH_06</v>
      </c>
      <c r="E55" s="235" t="str">
        <f>'RSD (DEA)'!Q59</f>
        <v>District heating</v>
      </c>
      <c r="F55" s="242" t="s">
        <v>239</v>
      </c>
      <c r="G55" s="242" t="s">
        <v>240</v>
      </c>
      <c r="H55" s="235">
        <f>'RSD (DEA)'!S59</f>
        <v>10</v>
      </c>
      <c r="I55" s="235" t="str">
        <f>IF(OR(RIGHT('RSD (DEA)'!AH59,3)="BIO",RIGHT(AD55,3)="BOA"),LEFT('RSD (DEA)'!AH59,3)&amp;"BFW",'RSD (DEA)'!AH59)</f>
        <v>RSDHTH</v>
      </c>
      <c r="J55" s="182" t="str">
        <f>'RSD (DEA)'!AI59</f>
        <v/>
      </c>
      <c r="K55" s="235" t="str">
        <f>'RSD (DEA)'!AJ59</f>
        <v>RHHSB</v>
      </c>
      <c r="L55" s="235"/>
      <c r="M55" s="182">
        <f t="shared" si="0"/>
        <v>2019</v>
      </c>
      <c r="N55" s="182">
        <f>'RSD (DEA)'!X59</f>
        <v>2020</v>
      </c>
      <c r="O55" s="182">
        <f t="shared" si="3"/>
        <v>2020</v>
      </c>
      <c r="P55" s="183">
        <f>'RSD (DEA)'!AZ59</f>
        <v>1</v>
      </c>
      <c r="Q55" s="183">
        <f>'RSD (DEA)'!BA59</f>
        <v>1</v>
      </c>
      <c r="R55" s="182">
        <f>'RSD (DEA)'!BR59/'RSD (DEA)'!S59</f>
        <v>4.9000000000000004</v>
      </c>
      <c r="S55" s="182">
        <f>'RSD (DEA)'!BS59/X_RSD_HeatingDemand!$AA$8</f>
        <v>0</v>
      </c>
      <c r="T55" s="182">
        <f>'RSD (DEA)'!BK59*X_RSD_HeatingDemand!$AA$9/'RSD (DEA)'!S59</f>
        <v>490</v>
      </c>
      <c r="U55" s="182">
        <f>'RSD (DEA)'!BI59</f>
        <v>25</v>
      </c>
      <c r="V55" s="182"/>
      <c r="W55" s="236">
        <f>'RSD (DEA)'!AM59</f>
        <v>31.536000000000001</v>
      </c>
    </row>
    <row r="56" spans="1:23" x14ac:dyDescent="0.3">
      <c r="A56" s="316"/>
      <c r="B56" s="235" t="str">
        <f>'RSD (DEA)'!AJ60&amp;"_"&amp;'RSD (DEA)'!Z60</f>
        <v>RHHSB_HTH_05</v>
      </c>
      <c r="C56" s="318"/>
      <c r="D56" s="235" t="str">
        <f t="shared" si="2"/>
        <v>RHHSB_HTH_07</v>
      </c>
      <c r="E56" s="235" t="str">
        <f>'RSD (DEA)'!Q60</f>
        <v>District heating</v>
      </c>
      <c r="F56" s="242" t="s">
        <v>239</v>
      </c>
      <c r="G56" s="242" t="s">
        <v>240</v>
      </c>
      <c r="H56" s="235">
        <f>'RSD (DEA)'!S60</f>
        <v>10</v>
      </c>
      <c r="I56" s="235" t="str">
        <f>IF(OR(RIGHT('RSD (DEA)'!AH60,3)="BIO",RIGHT(AD56,3)="BOA"),LEFT('RSD (DEA)'!AH60,3)&amp;"BFW",'RSD (DEA)'!AH60)</f>
        <v>RSDHTH</v>
      </c>
      <c r="J56" s="182" t="str">
        <f>'RSD (DEA)'!AI60</f>
        <v/>
      </c>
      <c r="K56" s="235" t="str">
        <f>'RSD (DEA)'!AJ60</f>
        <v>RHHSB</v>
      </c>
      <c r="L56" s="235"/>
      <c r="M56" s="182">
        <f t="shared" si="0"/>
        <v>2019</v>
      </c>
      <c r="N56" s="182">
        <f>'RSD (DEA)'!X60</f>
        <v>2030</v>
      </c>
      <c r="O56" s="182">
        <f t="shared" si="3"/>
        <v>2030</v>
      </c>
      <c r="P56" s="183">
        <f>'RSD (DEA)'!AZ60</f>
        <v>1</v>
      </c>
      <c r="Q56" s="183">
        <f>'RSD (DEA)'!BA60</f>
        <v>1</v>
      </c>
      <c r="R56" s="182">
        <f>'RSD (DEA)'!BR60/'RSD (DEA)'!S60</f>
        <v>4.7</v>
      </c>
      <c r="S56" s="182">
        <f>'RSD (DEA)'!BS60/X_RSD_HeatingDemand!$AA$8</f>
        <v>0</v>
      </c>
      <c r="T56" s="182">
        <f>'RSD (DEA)'!BK60*X_RSD_HeatingDemand!$AA$9/'RSD (DEA)'!S60</f>
        <v>490</v>
      </c>
      <c r="U56" s="182">
        <f>'RSD (DEA)'!BI60</f>
        <v>25</v>
      </c>
      <c r="V56" s="182"/>
      <c r="W56" s="236">
        <f>'RSD (DEA)'!AM60</f>
        <v>31.536000000000001</v>
      </c>
    </row>
    <row r="57" spans="1:23" x14ac:dyDescent="0.3">
      <c r="A57" s="316"/>
      <c r="B57" s="235" t="str">
        <f>'RSD (DEA)'!AJ61&amp;"_"&amp;'RSD (DEA)'!Z61</f>
        <v>RHHSB_HTH_05</v>
      </c>
      <c r="C57" s="318"/>
      <c r="D57" s="235" t="str">
        <f t="shared" si="2"/>
        <v>RHHSB_HTH_08</v>
      </c>
      <c r="E57" s="235" t="str">
        <f>'RSD (DEA)'!Q61</f>
        <v>District heating</v>
      </c>
      <c r="F57" s="242" t="s">
        <v>239</v>
      </c>
      <c r="G57" s="242" t="s">
        <v>240</v>
      </c>
      <c r="H57" s="235">
        <f>'RSD (DEA)'!S61</f>
        <v>10</v>
      </c>
      <c r="I57" s="235" t="str">
        <f>IF(OR(RIGHT('RSD (DEA)'!AH61,3)="BIO",RIGHT(AD57,3)="BOA"),LEFT('RSD (DEA)'!AH61,3)&amp;"BFW",'RSD (DEA)'!AH61)</f>
        <v>RSDHTH</v>
      </c>
      <c r="J57" s="182" t="str">
        <f>'RSD (DEA)'!AI61</f>
        <v/>
      </c>
      <c r="K57" s="235" t="str">
        <f>'RSD (DEA)'!AJ61</f>
        <v>RHHSB</v>
      </c>
      <c r="L57" s="235"/>
      <c r="M57" s="182">
        <f t="shared" si="0"/>
        <v>2019</v>
      </c>
      <c r="N57" s="182">
        <f>'RSD (DEA)'!X61</f>
        <v>2050</v>
      </c>
      <c r="O57" s="182">
        <f t="shared" si="3"/>
        <v>2050</v>
      </c>
      <c r="P57" s="183">
        <f>'RSD (DEA)'!AZ61</f>
        <v>1</v>
      </c>
      <c r="Q57" s="183">
        <f>'RSD (DEA)'!BA61</f>
        <v>1</v>
      </c>
      <c r="R57" s="182">
        <f>'RSD (DEA)'!BR61/'RSD (DEA)'!S61</f>
        <v>4.3</v>
      </c>
      <c r="S57" s="182">
        <f>'RSD (DEA)'!BS61/X_RSD_HeatingDemand!$AA$8</f>
        <v>0</v>
      </c>
      <c r="T57" s="182">
        <f>'RSD (DEA)'!BK61*X_RSD_HeatingDemand!$AA$9/'RSD (DEA)'!S61</f>
        <v>400</v>
      </c>
      <c r="U57" s="182">
        <f>'RSD (DEA)'!BI61</f>
        <v>25</v>
      </c>
      <c r="V57" s="182"/>
      <c r="W57" s="236">
        <f>'RSD (DEA)'!AM61</f>
        <v>31.536000000000001</v>
      </c>
    </row>
    <row r="58" spans="1:23" x14ac:dyDescent="0.3">
      <c r="A58" s="316"/>
      <c r="B58" s="235" t="str">
        <f>'RSD (DEA)'!AJ62&amp;"_"&amp;'RSD (DEA)'!Z62</f>
        <v>RHAPC_HTH_06</v>
      </c>
      <c r="C58" s="318"/>
      <c r="D58" s="235" t="str">
        <f t="shared" si="2"/>
        <v>RHAPC_HTH_06</v>
      </c>
      <c r="E58" s="235" t="str">
        <f>'RSD (DEA)'!Q62</f>
        <v>District heating</v>
      </c>
      <c r="F58" s="242" t="s">
        <v>239</v>
      </c>
      <c r="G58" s="242" t="s">
        <v>240</v>
      </c>
      <c r="H58" s="235">
        <f>'RSD (DEA)'!S62</f>
        <v>400</v>
      </c>
      <c r="I58" s="235" t="str">
        <f>IF(OR(RIGHT('RSD (DEA)'!AH62,3)="BIO",RIGHT(AD58,3)="BOA"),LEFT('RSD (DEA)'!AH62,3)&amp;"BFW",'RSD (DEA)'!AH62)</f>
        <v>RSDHTH</v>
      </c>
      <c r="J58" s="182" t="str">
        <f>'RSD (DEA)'!AI62</f>
        <v/>
      </c>
      <c r="K58" s="235" t="str">
        <f>'RSD (DEA)'!AJ62</f>
        <v>RHAPC</v>
      </c>
      <c r="L58" s="235"/>
      <c r="M58" s="182">
        <f t="shared" si="0"/>
        <v>2019</v>
      </c>
      <c r="N58" s="182">
        <f>'RSD (DEA)'!X62</f>
        <v>2015</v>
      </c>
      <c r="O58" s="182">
        <f t="shared" si="3"/>
        <v>2019</v>
      </c>
      <c r="P58" s="183">
        <f>'RSD (DEA)'!AZ62</f>
        <v>1</v>
      </c>
      <c r="Q58" s="183">
        <f>'RSD (DEA)'!BA62</f>
        <v>1</v>
      </c>
      <c r="R58" s="182">
        <f>'RSD (DEA)'!BR62/'RSD (DEA)'!S62</f>
        <v>0.22399999999999998</v>
      </c>
      <c r="S58" s="182">
        <f>'RSD (DEA)'!BS62/X_RSD_HeatingDemand!$AA$8</f>
        <v>0</v>
      </c>
      <c r="T58" s="182">
        <f>'RSD (DEA)'!BK62*X_RSD_HeatingDemand!$AA$9/'RSD (DEA)'!S62</f>
        <v>45</v>
      </c>
      <c r="U58" s="182">
        <f>'RSD (DEA)'!BI62</f>
        <v>25</v>
      </c>
      <c r="V58" s="182"/>
      <c r="W58" s="236">
        <f>'RSD (DEA)'!AM62</f>
        <v>31.536000000000001</v>
      </c>
    </row>
    <row r="59" spans="1:23" x14ac:dyDescent="0.3">
      <c r="A59" s="316"/>
      <c r="B59" s="235" t="str">
        <f>'RSD (DEA)'!AJ63&amp;"_"&amp;'RSD (DEA)'!Z63</f>
        <v>RHAPC_HTH_06</v>
      </c>
      <c r="C59" s="318"/>
      <c r="D59" s="235" t="str">
        <f t="shared" si="2"/>
        <v>RHAPC_HTH_07</v>
      </c>
      <c r="E59" s="235" t="str">
        <f>'RSD (DEA)'!Q63</f>
        <v>District heating</v>
      </c>
      <c r="F59" s="242" t="s">
        <v>239</v>
      </c>
      <c r="G59" s="242" t="s">
        <v>240</v>
      </c>
      <c r="H59" s="235">
        <f>'RSD (DEA)'!S63</f>
        <v>400</v>
      </c>
      <c r="I59" s="235" t="str">
        <f>IF(OR(RIGHT('RSD (DEA)'!AH63,3)="BIO",RIGHT(AD59,3)="BOA"),LEFT('RSD (DEA)'!AH63,3)&amp;"BFW",'RSD (DEA)'!AH63)</f>
        <v>RSDHTH</v>
      </c>
      <c r="J59" s="182" t="str">
        <f>'RSD (DEA)'!AI63</f>
        <v/>
      </c>
      <c r="K59" s="235" t="str">
        <f>'RSD (DEA)'!AJ63</f>
        <v>RHAPC</v>
      </c>
      <c r="L59" s="235"/>
      <c r="M59" s="182">
        <f t="shared" si="0"/>
        <v>2019</v>
      </c>
      <c r="N59" s="182">
        <f>'RSD (DEA)'!X63</f>
        <v>2020</v>
      </c>
      <c r="O59" s="182">
        <f t="shared" si="3"/>
        <v>2020</v>
      </c>
      <c r="P59" s="183">
        <f>'RSD (DEA)'!AZ63</f>
        <v>1</v>
      </c>
      <c r="Q59" s="183">
        <f>'RSD (DEA)'!BA63</f>
        <v>1</v>
      </c>
      <c r="R59" s="182">
        <f>'RSD (DEA)'!BR63/'RSD (DEA)'!S63</f>
        <v>0.2225</v>
      </c>
      <c r="S59" s="182">
        <f>'RSD (DEA)'!BS63/X_RSD_HeatingDemand!$AA$8</f>
        <v>0</v>
      </c>
      <c r="T59" s="182">
        <f>'RSD (DEA)'!BK63*X_RSD_HeatingDemand!$AA$9/'RSD (DEA)'!S63</f>
        <v>45</v>
      </c>
      <c r="U59" s="182">
        <f>'RSD (DEA)'!BI63</f>
        <v>25</v>
      </c>
      <c r="V59" s="182"/>
      <c r="W59" s="236">
        <f>'RSD (DEA)'!AM63</f>
        <v>31.536000000000001</v>
      </c>
    </row>
    <row r="60" spans="1:23" x14ac:dyDescent="0.3">
      <c r="A60" s="316"/>
      <c r="B60" s="235" t="str">
        <f>'RSD (DEA)'!AJ64&amp;"_"&amp;'RSD (DEA)'!Z64</f>
        <v>RHAPC_HTH_06</v>
      </c>
      <c r="C60" s="318"/>
      <c r="D60" s="235" t="str">
        <f t="shared" si="2"/>
        <v>RHAPC_HTH_08</v>
      </c>
      <c r="E60" s="235" t="str">
        <f>'RSD (DEA)'!Q64</f>
        <v>District heating</v>
      </c>
      <c r="F60" s="242" t="s">
        <v>239</v>
      </c>
      <c r="G60" s="242" t="s">
        <v>240</v>
      </c>
      <c r="H60" s="235">
        <f>'RSD (DEA)'!S64</f>
        <v>400</v>
      </c>
      <c r="I60" s="235" t="str">
        <f>IF(OR(RIGHT('RSD (DEA)'!AH64,3)="BIO",RIGHT(AD60,3)="BOA"),LEFT('RSD (DEA)'!AH64,3)&amp;"BFW",'RSD (DEA)'!AH64)</f>
        <v>RSDHTH</v>
      </c>
      <c r="J60" s="182" t="str">
        <f>'RSD (DEA)'!AI64</f>
        <v/>
      </c>
      <c r="K60" s="235" t="str">
        <f>'RSD (DEA)'!AJ64</f>
        <v>RHAPC</v>
      </c>
      <c r="L60" s="235"/>
      <c r="M60" s="182">
        <f t="shared" si="0"/>
        <v>2019</v>
      </c>
      <c r="N60" s="182">
        <f>'RSD (DEA)'!X64</f>
        <v>2030</v>
      </c>
      <c r="O60" s="182">
        <f t="shared" si="3"/>
        <v>2030</v>
      </c>
      <c r="P60" s="183">
        <f>'RSD (DEA)'!AZ64</f>
        <v>1</v>
      </c>
      <c r="Q60" s="183">
        <f>'RSD (DEA)'!BA64</f>
        <v>1</v>
      </c>
      <c r="R60" s="182">
        <f>'RSD (DEA)'!BR64/'RSD (DEA)'!S64</f>
        <v>0.2225</v>
      </c>
      <c r="S60" s="182">
        <f>'RSD (DEA)'!BS64/X_RSD_HeatingDemand!$AA$8</f>
        <v>0</v>
      </c>
      <c r="T60" s="182">
        <f>'RSD (DEA)'!BK64*X_RSD_HeatingDemand!$AA$9/'RSD (DEA)'!S64</f>
        <v>42.5</v>
      </c>
      <c r="U60" s="182">
        <f>'RSD (DEA)'!BI64</f>
        <v>25</v>
      </c>
      <c r="V60" s="182"/>
      <c r="W60" s="236">
        <f>'RSD (DEA)'!AM64</f>
        <v>31.536000000000001</v>
      </c>
    </row>
    <row r="61" spans="1:23" x14ac:dyDescent="0.3">
      <c r="A61" s="316"/>
      <c r="B61" s="235" t="str">
        <f>'RSD (DEA)'!AJ65&amp;"_"&amp;'RSD (DEA)'!Z65</f>
        <v>RHAPC_HTH_06</v>
      </c>
      <c r="C61" s="318"/>
      <c r="D61" s="235" t="str">
        <f t="shared" si="2"/>
        <v>RHAPC_HTH_9</v>
      </c>
      <c r="E61" s="235" t="str">
        <f>'RSD (DEA)'!Q65</f>
        <v>District heating</v>
      </c>
      <c r="F61" s="242" t="s">
        <v>239</v>
      </c>
      <c r="G61" s="242" t="s">
        <v>240</v>
      </c>
      <c r="H61" s="235">
        <f>'RSD (DEA)'!S65</f>
        <v>400</v>
      </c>
      <c r="I61" s="235" t="str">
        <f>IF(OR(RIGHT('RSD (DEA)'!AH65,3)="BIO",RIGHT(AD61,3)="BOA"),LEFT('RSD (DEA)'!AH65,3)&amp;"BFW",'RSD (DEA)'!AH65)</f>
        <v>RSDHTH</v>
      </c>
      <c r="J61" s="182" t="str">
        <f>'RSD (DEA)'!AI65</f>
        <v/>
      </c>
      <c r="K61" s="235" t="str">
        <f>'RSD (DEA)'!AJ65</f>
        <v>RHAPC</v>
      </c>
      <c r="L61" s="235"/>
      <c r="M61" s="182">
        <f t="shared" si="0"/>
        <v>2019</v>
      </c>
      <c r="N61" s="182">
        <f>'RSD (DEA)'!X65</f>
        <v>2050</v>
      </c>
      <c r="O61" s="182">
        <f t="shared" si="3"/>
        <v>2050</v>
      </c>
      <c r="P61" s="183">
        <f>'RSD (DEA)'!AZ65</f>
        <v>1</v>
      </c>
      <c r="Q61" s="183">
        <f>'RSD (DEA)'!BA65</f>
        <v>1</v>
      </c>
      <c r="R61" s="182">
        <f>'RSD (DEA)'!BR65/'RSD (DEA)'!S65</f>
        <v>0.20499999999999999</v>
      </c>
      <c r="S61" s="182">
        <f>'RSD (DEA)'!BS65/X_RSD_HeatingDemand!$AA$8</f>
        <v>0</v>
      </c>
      <c r="T61" s="182">
        <f>'RSD (DEA)'!BK65*X_RSD_HeatingDemand!$AA$9/'RSD (DEA)'!S65</f>
        <v>37.5</v>
      </c>
      <c r="U61" s="182">
        <f>'RSD (DEA)'!BI65</f>
        <v>25</v>
      </c>
      <c r="V61" s="182"/>
      <c r="W61" s="236">
        <f>'RSD (DEA)'!AM65</f>
        <v>31.536000000000001</v>
      </c>
    </row>
    <row r="62" spans="1:23" x14ac:dyDescent="0.3">
      <c r="A62" s="316"/>
      <c r="B62" s="235" t="str">
        <f>'RSD (DEA)'!AJ66&amp;"_"&amp;'RSD (DEA)'!Z66</f>
        <v>RHAPA_HTH_07</v>
      </c>
      <c r="C62" s="318"/>
      <c r="D62" s="235" t="str">
        <f t="shared" si="2"/>
        <v>RHAPA_HTH_07</v>
      </c>
      <c r="E62" s="235" t="str">
        <f>'RSD (DEA)'!Q66</f>
        <v>District heating</v>
      </c>
      <c r="F62" s="242" t="s">
        <v>239</v>
      </c>
      <c r="G62" s="242" t="s">
        <v>240</v>
      </c>
      <c r="H62" s="235">
        <f>'RSD (DEA)'!S66</f>
        <v>160</v>
      </c>
      <c r="I62" s="235" t="str">
        <f>IF(OR(RIGHT('RSD (DEA)'!AH66,3)="BIO",RIGHT(AD62,3)="BOA"),LEFT('RSD (DEA)'!AH66,3)&amp;"BFW",'RSD (DEA)'!AH66)</f>
        <v>RSDHTH</v>
      </c>
      <c r="J62" s="182" t="str">
        <f>'RSD (DEA)'!AI66</f>
        <v/>
      </c>
      <c r="K62" s="235" t="str">
        <f>'RSD (DEA)'!AJ66</f>
        <v>RHAPA</v>
      </c>
      <c r="L62" s="235"/>
      <c r="M62" s="182">
        <f t="shared" si="0"/>
        <v>2019</v>
      </c>
      <c r="N62" s="182">
        <f>'RSD (DEA)'!X66</f>
        <v>2015</v>
      </c>
      <c r="O62" s="182">
        <f t="shared" si="3"/>
        <v>2019</v>
      </c>
      <c r="P62" s="183">
        <f>'RSD (DEA)'!AZ66</f>
        <v>1</v>
      </c>
      <c r="Q62" s="183">
        <f>'RSD (DEA)'!BA66</f>
        <v>1</v>
      </c>
      <c r="R62" s="182">
        <f>'RSD (DEA)'!BR66/'RSD (DEA)'!S66</f>
        <v>0.48499999999999999</v>
      </c>
      <c r="S62" s="182">
        <f>'RSD (DEA)'!BS66/X_RSD_HeatingDemand!$AA$8</f>
        <v>0</v>
      </c>
      <c r="T62" s="182">
        <f>'RSD (DEA)'!BK66*X_RSD_HeatingDemand!$AA$9/'RSD (DEA)'!S66</f>
        <v>87.5</v>
      </c>
      <c r="U62" s="182">
        <f>'RSD (DEA)'!BI66</f>
        <v>25</v>
      </c>
      <c r="V62" s="182"/>
      <c r="W62" s="236">
        <f>'RSD (DEA)'!AM66</f>
        <v>31.536000000000001</v>
      </c>
    </row>
    <row r="63" spans="1:23" x14ac:dyDescent="0.3">
      <c r="A63" s="316"/>
      <c r="B63" s="235" t="str">
        <f>'RSD (DEA)'!AJ67&amp;"_"&amp;'RSD (DEA)'!Z67</f>
        <v>RHAPA_HTH_07</v>
      </c>
      <c r="C63" s="318"/>
      <c r="D63" s="235" t="str">
        <f t="shared" si="2"/>
        <v>RHAPA_HTH_08</v>
      </c>
      <c r="E63" s="235" t="str">
        <f>'RSD (DEA)'!Q67</f>
        <v>District heating</v>
      </c>
      <c r="F63" s="242" t="s">
        <v>239</v>
      </c>
      <c r="G63" s="242" t="s">
        <v>240</v>
      </c>
      <c r="H63" s="235">
        <f>'RSD (DEA)'!S67</f>
        <v>160</v>
      </c>
      <c r="I63" s="235" t="str">
        <f>IF(OR(RIGHT('RSD (DEA)'!AH67,3)="BIO",RIGHT(AD63,3)="BOA"),LEFT('RSD (DEA)'!AH67,3)&amp;"BFW",'RSD (DEA)'!AH67)</f>
        <v>RSDHTH</v>
      </c>
      <c r="J63" s="182" t="str">
        <f>'RSD (DEA)'!AI67</f>
        <v/>
      </c>
      <c r="K63" s="235" t="str">
        <f>'RSD (DEA)'!AJ67</f>
        <v>RHAPA</v>
      </c>
      <c r="L63" s="235"/>
      <c r="M63" s="182">
        <f t="shared" si="0"/>
        <v>2019</v>
      </c>
      <c r="N63" s="182">
        <f>'RSD (DEA)'!X67</f>
        <v>2020</v>
      </c>
      <c r="O63" s="182">
        <f t="shared" si="3"/>
        <v>2020</v>
      </c>
      <c r="P63" s="183">
        <f>'RSD (DEA)'!AZ67</f>
        <v>1</v>
      </c>
      <c r="Q63" s="183">
        <f>'RSD (DEA)'!BA67</f>
        <v>1</v>
      </c>
      <c r="R63" s="182">
        <f>'RSD (DEA)'!BR67/'RSD (DEA)'!S67</f>
        <v>0.48125000000000001</v>
      </c>
      <c r="S63" s="182">
        <f>'RSD (DEA)'!BS67/X_RSD_HeatingDemand!$AA$8</f>
        <v>0</v>
      </c>
      <c r="T63" s="182">
        <f>'RSD (DEA)'!BK67*X_RSD_HeatingDemand!$AA$9/'RSD (DEA)'!S67</f>
        <v>87.5</v>
      </c>
      <c r="U63" s="182">
        <f>'RSD (DEA)'!BI67</f>
        <v>25</v>
      </c>
      <c r="V63" s="182"/>
      <c r="W63" s="236">
        <f>'RSD (DEA)'!AM67</f>
        <v>31.536000000000001</v>
      </c>
    </row>
    <row r="64" spans="1:23" x14ac:dyDescent="0.3">
      <c r="A64" s="316"/>
      <c r="B64" s="235" t="str">
        <f>'RSD (DEA)'!AJ68&amp;"_"&amp;'RSD (DEA)'!Z68</f>
        <v>RHAPA_HTH_07</v>
      </c>
      <c r="C64" s="318"/>
      <c r="D64" s="235" t="str">
        <f t="shared" si="2"/>
        <v>RHAPA_HTH_9</v>
      </c>
      <c r="E64" s="235" t="str">
        <f>'RSD (DEA)'!Q68</f>
        <v>District heating</v>
      </c>
      <c r="F64" s="242" t="s">
        <v>239</v>
      </c>
      <c r="G64" s="242" t="s">
        <v>240</v>
      </c>
      <c r="H64" s="235">
        <f>'RSD (DEA)'!S68</f>
        <v>160</v>
      </c>
      <c r="I64" s="235" t="str">
        <f>IF(OR(RIGHT('RSD (DEA)'!AH68,3)="BIO",RIGHT(AD64,3)="BOA"),LEFT('RSD (DEA)'!AH68,3)&amp;"BFW",'RSD (DEA)'!AH68)</f>
        <v>RSDHTH</v>
      </c>
      <c r="J64" s="182" t="str">
        <f>'RSD (DEA)'!AI68</f>
        <v/>
      </c>
      <c r="K64" s="235" t="str">
        <f>'RSD (DEA)'!AJ68</f>
        <v>RHAPA</v>
      </c>
      <c r="L64" s="235"/>
      <c r="M64" s="182">
        <f t="shared" si="0"/>
        <v>2019</v>
      </c>
      <c r="N64" s="182">
        <f>'RSD (DEA)'!X68</f>
        <v>2030</v>
      </c>
      <c r="O64" s="182">
        <f t="shared" si="3"/>
        <v>2030</v>
      </c>
      <c r="P64" s="183">
        <f>'RSD (DEA)'!AZ68</f>
        <v>1</v>
      </c>
      <c r="Q64" s="183">
        <f>'RSD (DEA)'!BA68</f>
        <v>1</v>
      </c>
      <c r="R64" s="182">
        <f>'RSD (DEA)'!BR68/'RSD (DEA)'!S68</f>
        <v>0.48749999999999999</v>
      </c>
      <c r="S64" s="182">
        <f>'RSD (DEA)'!BS68/X_RSD_HeatingDemand!$AA$8</f>
        <v>0</v>
      </c>
      <c r="T64" s="182">
        <f>'RSD (DEA)'!BK68*X_RSD_HeatingDemand!$AA$9/'RSD (DEA)'!S68</f>
        <v>81.25</v>
      </c>
      <c r="U64" s="182">
        <f>'RSD (DEA)'!BI68</f>
        <v>25</v>
      </c>
      <c r="V64" s="182"/>
      <c r="W64" s="236">
        <f>'RSD (DEA)'!AM68</f>
        <v>31.536000000000001</v>
      </c>
    </row>
    <row r="65" spans="1:23" x14ac:dyDescent="0.3">
      <c r="A65" s="316"/>
      <c r="B65" s="235" t="str">
        <f>'RSD (DEA)'!AJ69&amp;"_"&amp;'RSD (DEA)'!Z69</f>
        <v>RHAPA_HTH_07</v>
      </c>
      <c r="C65" s="318"/>
      <c r="D65" s="235" t="str">
        <f t="shared" si="2"/>
        <v>RHAPA_HTH_10</v>
      </c>
      <c r="E65" s="235" t="str">
        <f>'RSD (DEA)'!Q69</f>
        <v>District heating</v>
      </c>
      <c r="F65" s="242" t="s">
        <v>239</v>
      </c>
      <c r="G65" s="242" t="s">
        <v>240</v>
      </c>
      <c r="H65" s="235">
        <f>'RSD (DEA)'!S69</f>
        <v>160</v>
      </c>
      <c r="I65" s="235" t="str">
        <f>IF(OR(RIGHT('RSD (DEA)'!AH69,3)="BIO",RIGHT(AD65,3)="BOA"),LEFT('RSD (DEA)'!AH69,3)&amp;"BFW",'RSD (DEA)'!AH69)</f>
        <v>RSDHTH</v>
      </c>
      <c r="J65" s="182" t="str">
        <f>'RSD (DEA)'!AI69</f>
        <v/>
      </c>
      <c r="K65" s="235" t="str">
        <f>'RSD (DEA)'!AJ69</f>
        <v>RHAPA</v>
      </c>
      <c r="L65" s="235"/>
      <c r="M65" s="182">
        <f t="shared" si="0"/>
        <v>2019</v>
      </c>
      <c r="N65" s="182">
        <f>'RSD (DEA)'!X69</f>
        <v>2050</v>
      </c>
      <c r="O65" s="182">
        <f t="shared" si="3"/>
        <v>2050</v>
      </c>
      <c r="P65" s="183">
        <f>'RSD (DEA)'!AZ69</f>
        <v>1</v>
      </c>
      <c r="Q65" s="183">
        <f>'RSD (DEA)'!BA69</f>
        <v>1</v>
      </c>
      <c r="R65" s="182">
        <f>'RSD (DEA)'!BR69/'RSD (DEA)'!S69</f>
        <v>0.45</v>
      </c>
      <c r="S65" s="182">
        <f>'RSD (DEA)'!BS69/X_RSD_HeatingDemand!$AA$8</f>
        <v>0</v>
      </c>
      <c r="T65" s="182">
        <f>'RSD (DEA)'!BK69*X_RSD_HeatingDemand!$AA$9/'RSD (DEA)'!S69</f>
        <v>75</v>
      </c>
      <c r="U65" s="182">
        <f>'RSD (DEA)'!BI69</f>
        <v>25</v>
      </c>
      <c r="V65" s="182"/>
      <c r="W65" s="236">
        <f>'RSD (DEA)'!AM69</f>
        <v>31.536000000000001</v>
      </c>
    </row>
    <row r="66" spans="1:23" x14ac:dyDescent="0.3">
      <c r="A66" s="316"/>
      <c r="B66" s="235" t="str">
        <f>'RSD (DEA)'!AJ70&amp;"_"&amp;'RSD (DEA)'!Z70</f>
        <v>RHHSB_B_WOF_01</v>
      </c>
      <c r="C66" s="318"/>
      <c r="D66" s="235" t="str">
        <f t="shared" si="2"/>
        <v>RHHSB_B_WOF_01</v>
      </c>
      <c r="E66" s="235" t="str">
        <f>'RSD (DEA)'!Q70</f>
        <v>Biomass boilers</v>
      </c>
      <c r="F66" s="242" t="s">
        <v>239</v>
      </c>
      <c r="G66" s="242" t="s">
        <v>240</v>
      </c>
      <c r="H66" s="235">
        <f>'RSD (DEA)'!S70</f>
        <v>12</v>
      </c>
      <c r="I66" s="235" t="str">
        <f>IF(OR(RIGHT('RSD (DEA)'!AH70,3)="BIO",RIGHT(AD66,3)="BOA"),LEFT('RSD (DEA)'!AH70,3)&amp;"BFW",'RSD (DEA)'!AH70)</f>
        <v>RSDWOF</v>
      </c>
      <c r="J66" s="182" t="str">
        <f>'RSD (DEA)'!AI70</f>
        <v/>
      </c>
      <c r="K66" s="235" t="str">
        <f>'RSD (DEA)'!AJ70</f>
        <v>RHHSB</v>
      </c>
      <c r="L66" s="235"/>
      <c r="M66" s="182">
        <f t="shared" si="0"/>
        <v>2019</v>
      </c>
      <c r="N66" s="182">
        <f>'RSD (DEA)'!X70</f>
        <v>2015</v>
      </c>
      <c r="O66" s="182">
        <f t="shared" si="3"/>
        <v>2019</v>
      </c>
      <c r="P66" s="183">
        <f>'RSD (DEA)'!AZ70</f>
        <v>0.8</v>
      </c>
      <c r="Q66" s="183">
        <f>'RSD (DEA)'!BA70</f>
        <v>0.8</v>
      </c>
      <c r="R66" s="182">
        <f>'RSD (DEA)'!BR70/'RSD (DEA)'!S70</f>
        <v>42.979166666666664</v>
      </c>
      <c r="S66" s="182">
        <f>'RSD (DEA)'!BS70/X_RSD_HeatingDemand!$AA$8</f>
        <v>0</v>
      </c>
      <c r="T66" s="182">
        <f>'RSD (DEA)'!BK70*X_RSD_HeatingDemand!$AA$9/'RSD (DEA)'!S70</f>
        <v>716.66666666666663</v>
      </c>
      <c r="U66" s="182">
        <f>'RSD (DEA)'!BI70</f>
        <v>20</v>
      </c>
      <c r="V66" s="182"/>
      <c r="W66" s="236">
        <f>'RSD (DEA)'!AM70</f>
        <v>31.536000000000001</v>
      </c>
    </row>
    <row r="67" spans="1:23" x14ac:dyDescent="0.3">
      <c r="A67" s="316"/>
      <c r="B67" s="235" t="str">
        <f>'RSD (DEA)'!AJ71&amp;"_"&amp;'RSD (DEA)'!Z71</f>
        <v>RHHSB_B_WOF_01</v>
      </c>
      <c r="C67" s="318"/>
      <c r="D67" s="235" t="str">
        <f t="shared" si="2"/>
        <v>RHHSB_B_WOF_02</v>
      </c>
      <c r="E67" s="235" t="str">
        <f>'RSD (DEA)'!Q71</f>
        <v>Biomass boilers</v>
      </c>
      <c r="F67" s="242" t="s">
        <v>239</v>
      </c>
      <c r="G67" s="242" t="s">
        <v>240</v>
      </c>
      <c r="H67" s="235">
        <f>'RSD (DEA)'!S71</f>
        <v>10</v>
      </c>
      <c r="I67" s="235" t="str">
        <f>IF(OR(RIGHT('RSD (DEA)'!AH71,3)="BIO",RIGHT(AD67,3)="BOA"),LEFT('RSD (DEA)'!AH71,3)&amp;"BFW",'RSD (DEA)'!AH71)</f>
        <v>RSDWOF</v>
      </c>
      <c r="J67" s="182" t="str">
        <f>'RSD (DEA)'!AI71</f>
        <v/>
      </c>
      <c r="K67" s="235" t="str">
        <f>'RSD (DEA)'!AJ71</f>
        <v>RHHSB</v>
      </c>
      <c r="L67" s="235"/>
      <c r="M67" s="182">
        <f t="shared" si="0"/>
        <v>2019</v>
      </c>
      <c r="N67" s="182">
        <f>'RSD (DEA)'!X71</f>
        <v>2020</v>
      </c>
      <c r="O67" s="182">
        <f t="shared" si="3"/>
        <v>2020</v>
      </c>
      <c r="P67" s="183">
        <f>'RSD (DEA)'!AZ71</f>
        <v>0.82</v>
      </c>
      <c r="Q67" s="183">
        <f>'RSD (DEA)'!BA71</f>
        <v>0.82</v>
      </c>
      <c r="R67" s="182">
        <f>'RSD (DEA)'!BR71/'RSD (DEA)'!S71</f>
        <v>50.4</v>
      </c>
      <c r="S67" s="182">
        <f>'RSD (DEA)'!BS71/X_RSD_HeatingDemand!$AA$8</f>
        <v>0</v>
      </c>
      <c r="T67" s="182">
        <f>'RSD (DEA)'!BK71*X_RSD_HeatingDemand!$AA$9/'RSD (DEA)'!S71</f>
        <v>800</v>
      </c>
      <c r="U67" s="182">
        <f>'RSD (DEA)'!BI71</f>
        <v>20</v>
      </c>
      <c r="V67" s="182"/>
      <c r="W67" s="236">
        <f>'RSD (DEA)'!AM71</f>
        <v>31.536000000000001</v>
      </c>
    </row>
    <row r="68" spans="1:23" x14ac:dyDescent="0.3">
      <c r="A68" s="316"/>
      <c r="B68" s="235" t="str">
        <f>'RSD (DEA)'!AJ72&amp;"_"&amp;'RSD (DEA)'!Z72</f>
        <v>RHHSB_B_WOF_01</v>
      </c>
      <c r="C68" s="318"/>
      <c r="D68" s="235" t="str">
        <f t="shared" si="2"/>
        <v>RHHSB_B_WOF_03</v>
      </c>
      <c r="E68" s="235" t="str">
        <f>'RSD (DEA)'!Q72</f>
        <v>Biomass boilers</v>
      </c>
      <c r="F68" s="242" t="s">
        <v>239</v>
      </c>
      <c r="G68" s="242" t="s">
        <v>240</v>
      </c>
      <c r="H68" s="235">
        <f>'RSD (DEA)'!S72</f>
        <v>10</v>
      </c>
      <c r="I68" s="235" t="str">
        <f>IF(OR(RIGHT('RSD (DEA)'!AH72,3)="BIO",RIGHT(AD68,3)="BOA"),LEFT('RSD (DEA)'!AH72,3)&amp;"BFW",'RSD (DEA)'!AH72)</f>
        <v>RSDWOF</v>
      </c>
      <c r="J68" s="182" t="str">
        <f>'RSD (DEA)'!AI72</f>
        <v/>
      </c>
      <c r="K68" s="235" t="str">
        <f>'RSD (DEA)'!AJ72</f>
        <v>RHHSB</v>
      </c>
      <c r="L68" s="235"/>
      <c r="M68" s="182">
        <f t="shared" si="0"/>
        <v>2019</v>
      </c>
      <c r="N68" s="182">
        <f>'RSD (DEA)'!X72</f>
        <v>2030</v>
      </c>
      <c r="O68" s="182">
        <f t="shared" si="3"/>
        <v>2030</v>
      </c>
      <c r="P68" s="183">
        <f>'RSD (DEA)'!AZ72</f>
        <v>0.86</v>
      </c>
      <c r="Q68" s="183">
        <f>'RSD (DEA)'!BA72</f>
        <v>0.86</v>
      </c>
      <c r="R68" s="182">
        <f>'RSD (DEA)'!BR72/'RSD (DEA)'!S72</f>
        <v>48.6</v>
      </c>
      <c r="S68" s="182">
        <f>'RSD (DEA)'!BS72/X_RSD_HeatingDemand!$AA$8</f>
        <v>0</v>
      </c>
      <c r="T68" s="182">
        <f>'RSD (DEA)'!BK72*X_RSD_HeatingDemand!$AA$9/'RSD (DEA)'!S72</f>
        <v>800</v>
      </c>
      <c r="U68" s="182">
        <f>'RSD (DEA)'!BI72</f>
        <v>20</v>
      </c>
      <c r="V68" s="182"/>
      <c r="W68" s="236">
        <f>'RSD (DEA)'!AM72</f>
        <v>31.536000000000001</v>
      </c>
    </row>
    <row r="69" spans="1:23" x14ac:dyDescent="0.3">
      <c r="A69" s="316"/>
      <c r="B69" s="235" t="str">
        <f>'RSD (DEA)'!AJ73&amp;"_"&amp;'RSD (DEA)'!Z73</f>
        <v>RHHSB_B_WOF_01</v>
      </c>
      <c r="C69" s="318"/>
      <c r="D69" s="235" t="str">
        <f t="shared" si="2"/>
        <v>RHHSB_B_WOF_04</v>
      </c>
      <c r="E69" s="235" t="str">
        <f>'RSD (DEA)'!Q73</f>
        <v>Biomass boilers</v>
      </c>
      <c r="F69" s="242" t="s">
        <v>239</v>
      </c>
      <c r="G69" s="242" t="s">
        <v>240</v>
      </c>
      <c r="H69" s="235">
        <f>'RSD (DEA)'!S73</f>
        <v>10</v>
      </c>
      <c r="I69" s="235" t="str">
        <f>IF(OR(RIGHT('RSD (DEA)'!AH73,3)="BIO",RIGHT(AD69,3)="BOA"),LEFT('RSD (DEA)'!AH73,3)&amp;"BFW",'RSD (DEA)'!AH73)</f>
        <v>RSDWOF</v>
      </c>
      <c r="J69" s="182" t="str">
        <f>'RSD (DEA)'!AI73</f>
        <v/>
      </c>
      <c r="K69" s="235" t="str">
        <f>'RSD (DEA)'!AJ73</f>
        <v>RHHSB</v>
      </c>
      <c r="L69" s="235"/>
      <c r="M69" s="182">
        <f t="shared" si="0"/>
        <v>2019</v>
      </c>
      <c r="N69" s="182">
        <f>'RSD (DEA)'!X73</f>
        <v>2050</v>
      </c>
      <c r="O69" s="182">
        <f t="shared" si="3"/>
        <v>2050</v>
      </c>
      <c r="P69" s="183">
        <f>'RSD (DEA)'!AZ73</f>
        <v>0.88</v>
      </c>
      <c r="Q69" s="183">
        <f>'RSD (DEA)'!BA73</f>
        <v>0.88</v>
      </c>
      <c r="R69" s="182">
        <f>'RSD (DEA)'!BR73/'RSD (DEA)'!S73</f>
        <v>44.3</v>
      </c>
      <c r="S69" s="182">
        <f>'RSD (DEA)'!BS73/X_RSD_HeatingDemand!$AA$8</f>
        <v>0</v>
      </c>
      <c r="T69" s="182">
        <f>'RSD (DEA)'!BK73*X_RSD_HeatingDemand!$AA$9/'RSD (DEA)'!S73</f>
        <v>700</v>
      </c>
      <c r="U69" s="182">
        <f>'RSD (DEA)'!BI73</f>
        <v>20</v>
      </c>
      <c r="V69" s="182"/>
      <c r="W69" s="236">
        <f>'RSD (DEA)'!AM73</f>
        <v>31.536000000000001</v>
      </c>
    </row>
    <row r="70" spans="1:23" x14ac:dyDescent="0.3">
      <c r="A70" s="316"/>
      <c r="B70" s="235" t="str">
        <f>'RSD (DEA)'!AJ74&amp;"_"&amp;'RSD (DEA)'!Z74</f>
        <v>RHHSA_B_WOF_02</v>
      </c>
      <c r="C70" s="318"/>
      <c r="D70" s="235" t="str">
        <f t="shared" si="2"/>
        <v>RHHSA_B_WOF_02</v>
      </c>
      <c r="E70" s="235" t="str">
        <f>'RSD (DEA)'!Q74</f>
        <v>Biomass boilers</v>
      </c>
      <c r="F70" s="242" t="s">
        <v>239</v>
      </c>
      <c r="G70" s="242" t="s">
        <v>240</v>
      </c>
      <c r="H70" s="235">
        <f>'RSD (DEA)'!S74</f>
        <v>12</v>
      </c>
      <c r="I70" s="235" t="str">
        <f>IF(OR(RIGHT('RSD (DEA)'!AH74,3)="BIO",RIGHT(AD70,3)="BOA"),LEFT('RSD (DEA)'!AH74,3)&amp;"BFW",'RSD (DEA)'!AH74)</f>
        <v>RSDWOF</v>
      </c>
      <c r="J70" s="182" t="str">
        <f>'RSD (DEA)'!AI74</f>
        <v/>
      </c>
      <c r="K70" s="235" t="str">
        <f>'RSD (DEA)'!AJ74</f>
        <v>RHHSA</v>
      </c>
      <c r="L70" s="235"/>
      <c r="M70" s="182">
        <f t="shared" ref="M70:M133" si="4">IF(ISBLANK(B70),"",$AA$14)</f>
        <v>2019</v>
      </c>
      <c r="N70" s="182">
        <f>'RSD (DEA)'!X74</f>
        <v>2015</v>
      </c>
      <c r="O70" s="182">
        <f t="shared" ref="O70:O94" si="5">IF(N70&lt;2019,2019,N70)</f>
        <v>2019</v>
      </c>
      <c r="P70" s="183">
        <f>'RSD (DEA)'!AZ74</f>
        <v>0.75</v>
      </c>
      <c r="Q70" s="183">
        <f>'RSD (DEA)'!BA74</f>
        <v>0.75</v>
      </c>
      <c r="R70" s="182">
        <f>'RSD (DEA)'!BR74/'RSD (DEA)'!S74</f>
        <v>42.716666666666669</v>
      </c>
      <c r="S70" s="182">
        <f>'RSD (DEA)'!BS74/X_RSD_HeatingDemand!$AA$8</f>
        <v>0</v>
      </c>
      <c r="T70" s="182">
        <f>'RSD (DEA)'!BK74*X_RSD_HeatingDemand!$AA$9/'RSD (DEA)'!S74</f>
        <v>691.66666666666663</v>
      </c>
      <c r="U70" s="182">
        <f>'RSD (DEA)'!BI74</f>
        <v>20</v>
      </c>
      <c r="V70" s="182"/>
      <c r="W70" s="236">
        <f>'RSD (DEA)'!AM74</f>
        <v>31.536000000000001</v>
      </c>
    </row>
    <row r="71" spans="1:23" x14ac:dyDescent="0.3">
      <c r="A71" s="316"/>
      <c r="B71" s="235" t="str">
        <f>'RSD (DEA)'!AJ75&amp;"_"&amp;'RSD (DEA)'!Z75</f>
        <v>RHHSA_B_WOF_02</v>
      </c>
      <c r="C71" s="318"/>
      <c r="D71" s="235" t="str">
        <f t="shared" si="2"/>
        <v>RHHSA_B_WOF_03</v>
      </c>
      <c r="E71" s="235" t="str">
        <f>'RSD (DEA)'!Q75</f>
        <v>Biomass boilers</v>
      </c>
      <c r="F71" s="242" t="s">
        <v>239</v>
      </c>
      <c r="G71" s="242" t="s">
        <v>240</v>
      </c>
      <c r="H71" s="235">
        <f>'RSD (DEA)'!S75</f>
        <v>10</v>
      </c>
      <c r="I71" s="235" t="str">
        <f>IF(OR(RIGHT('RSD (DEA)'!AH75,3)="BIO",RIGHT(AD71,3)="BOA"),LEFT('RSD (DEA)'!AH75,3)&amp;"BFW",'RSD (DEA)'!AH75)</f>
        <v>RSDWOF</v>
      </c>
      <c r="J71" s="182" t="str">
        <f>'RSD (DEA)'!AI75</f>
        <v/>
      </c>
      <c r="K71" s="235" t="str">
        <f>'RSD (DEA)'!AJ75</f>
        <v>RHHSA</v>
      </c>
      <c r="L71" s="235"/>
      <c r="M71" s="182">
        <f t="shared" si="4"/>
        <v>2019</v>
      </c>
      <c r="N71" s="182">
        <f>'RSD (DEA)'!X75</f>
        <v>2020</v>
      </c>
      <c r="O71" s="182">
        <f t="shared" si="5"/>
        <v>2020</v>
      </c>
      <c r="P71" s="183">
        <f>'RSD (DEA)'!AZ75</f>
        <v>0.78</v>
      </c>
      <c r="Q71" s="183">
        <f>'RSD (DEA)'!BA75</f>
        <v>0.78</v>
      </c>
      <c r="R71" s="182">
        <f>'RSD (DEA)'!BR75/'RSD (DEA)'!S75</f>
        <v>50.1</v>
      </c>
      <c r="S71" s="182">
        <f>'RSD (DEA)'!BS75/X_RSD_HeatingDemand!$AA$8</f>
        <v>0</v>
      </c>
      <c r="T71" s="182">
        <f>'RSD (DEA)'!BK75*X_RSD_HeatingDemand!$AA$9/'RSD (DEA)'!S75</f>
        <v>830</v>
      </c>
      <c r="U71" s="182">
        <f>'RSD (DEA)'!BI75</f>
        <v>20</v>
      </c>
      <c r="V71" s="182"/>
      <c r="W71" s="236">
        <f>'RSD (DEA)'!AM75</f>
        <v>31.536000000000001</v>
      </c>
    </row>
    <row r="72" spans="1:23" x14ac:dyDescent="0.3">
      <c r="A72" s="316"/>
      <c r="B72" s="235" t="str">
        <f>'RSD (DEA)'!AJ76&amp;"_"&amp;'RSD (DEA)'!Z76</f>
        <v>RHHSA_B_WOF_02</v>
      </c>
      <c r="C72" s="318"/>
      <c r="D72" s="235" t="str">
        <f t="shared" ref="D72:D133" si="6">IF(B72=B71,LEFT(B72,LEN(B72)-2)&amp;IF(RIGHT(D71)+1&lt;9,"0"&amp;RIGHT(D71)+1,RIGHT(D71)+1),B72)</f>
        <v>RHHSA_B_WOF_04</v>
      </c>
      <c r="E72" s="235" t="str">
        <f>'RSD (DEA)'!Q76</f>
        <v>Biomass boilers</v>
      </c>
      <c r="F72" s="242" t="s">
        <v>239</v>
      </c>
      <c r="G72" s="242" t="s">
        <v>240</v>
      </c>
      <c r="H72" s="235">
        <f>'RSD (DEA)'!S76</f>
        <v>8</v>
      </c>
      <c r="I72" s="235" t="str">
        <f>IF(OR(RIGHT('RSD (DEA)'!AH76,3)="BIO",RIGHT(AD72,3)="BOA"),LEFT('RSD (DEA)'!AH76,3)&amp;"BFW",'RSD (DEA)'!AH76)</f>
        <v>RSDWOF</v>
      </c>
      <c r="J72" s="182" t="str">
        <f>'RSD (DEA)'!AI76</f>
        <v/>
      </c>
      <c r="K72" s="235" t="str">
        <f>'RSD (DEA)'!AJ76</f>
        <v>RHHSA</v>
      </c>
      <c r="L72" s="235"/>
      <c r="M72" s="182">
        <f t="shared" si="4"/>
        <v>2019</v>
      </c>
      <c r="N72" s="182">
        <f>'RSD (DEA)'!X76</f>
        <v>2030</v>
      </c>
      <c r="O72" s="182">
        <f t="shared" si="5"/>
        <v>2030</v>
      </c>
      <c r="P72" s="183">
        <f>'RSD (DEA)'!AZ76</f>
        <v>0.8</v>
      </c>
      <c r="Q72" s="183">
        <f>'RSD (DEA)'!BA76</f>
        <v>0.8</v>
      </c>
      <c r="R72" s="182">
        <f>'RSD (DEA)'!BR76/'RSD (DEA)'!S76</f>
        <v>60.25</v>
      </c>
      <c r="S72" s="182">
        <f>'RSD (DEA)'!BS76/X_RSD_HeatingDemand!$AA$8</f>
        <v>0</v>
      </c>
      <c r="T72" s="182">
        <f>'RSD (DEA)'!BK76*X_RSD_HeatingDemand!$AA$9/'RSD (DEA)'!S76</f>
        <v>1037.5</v>
      </c>
      <c r="U72" s="182">
        <f>'RSD (DEA)'!BI76</f>
        <v>20</v>
      </c>
      <c r="V72" s="182"/>
      <c r="W72" s="236">
        <f>'RSD (DEA)'!AM76</f>
        <v>31.536000000000001</v>
      </c>
    </row>
    <row r="73" spans="1:23" x14ac:dyDescent="0.3">
      <c r="A73" s="316"/>
      <c r="B73" s="235" t="str">
        <f>'RSD (DEA)'!AJ77&amp;"_"&amp;'RSD (DEA)'!Z77</f>
        <v>RHHSA_B_WOF_02</v>
      </c>
      <c r="C73" s="318"/>
      <c r="D73" s="235" t="str">
        <f t="shared" si="6"/>
        <v>RHHSA_B_WOF_05</v>
      </c>
      <c r="E73" s="235" t="str">
        <f>'RSD (DEA)'!Q77</f>
        <v>Biomass boilers</v>
      </c>
      <c r="F73" s="242" t="s">
        <v>239</v>
      </c>
      <c r="G73" s="242" t="s">
        <v>240</v>
      </c>
      <c r="H73" s="235">
        <f>'RSD (DEA)'!S77</f>
        <v>8</v>
      </c>
      <c r="I73" s="235" t="str">
        <f>IF(OR(RIGHT('RSD (DEA)'!AH77,3)="BIO",RIGHT(AD73,3)="BOA"),LEFT('RSD (DEA)'!AH77,3)&amp;"BFW",'RSD (DEA)'!AH77)</f>
        <v>RSDWOF</v>
      </c>
      <c r="J73" s="182" t="str">
        <f>'RSD (DEA)'!AI77</f>
        <v/>
      </c>
      <c r="K73" s="235" t="str">
        <f>'RSD (DEA)'!AJ77</f>
        <v>RHHSA</v>
      </c>
      <c r="L73" s="235"/>
      <c r="M73" s="182">
        <f t="shared" si="4"/>
        <v>2019</v>
      </c>
      <c r="N73" s="182">
        <f>'RSD (DEA)'!X77</f>
        <v>2050</v>
      </c>
      <c r="O73" s="182">
        <f t="shared" si="5"/>
        <v>2050</v>
      </c>
      <c r="P73" s="183">
        <f>'RSD (DEA)'!AZ77</f>
        <v>0.85</v>
      </c>
      <c r="Q73" s="183">
        <f>'RSD (DEA)'!BA77</f>
        <v>0.85</v>
      </c>
      <c r="R73" s="182">
        <f>'RSD (DEA)'!BR77/'RSD (DEA)'!S77</f>
        <v>54.75</v>
      </c>
      <c r="S73" s="182">
        <f>'RSD (DEA)'!BS77/X_RSD_HeatingDemand!$AA$8</f>
        <v>0</v>
      </c>
      <c r="T73" s="182">
        <f>'RSD (DEA)'!BK77*X_RSD_HeatingDemand!$AA$9/'RSD (DEA)'!S77</f>
        <v>875</v>
      </c>
      <c r="U73" s="182">
        <f>'RSD (DEA)'!BI77</f>
        <v>20</v>
      </c>
      <c r="V73" s="182"/>
      <c r="W73" s="236">
        <f>'RSD (DEA)'!AM77</f>
        <v>31.536000000000001</v>
      </c>
    </row>
    <row r="74" spans="1:23" x14ac:dyDescent="0.3">
      <c r="A74" s="316"/>
      <c r="B74" s="235" t="str">
        <f>'RSD (DEA)'!AJ78&amp;"_"&amp;'RSD (DEA)'!Z78</f>
        <v>RHAPC_B_WOF_03</v>
      </c>
      <c r="C74" s="318"/>
      <c r="D74" s="235" t="str">
        <f t="shared" si="6"/>
        <v>RHAPC_B_WOF_03</v>
      </c>
      <c r="E74" s="235" t="str">
        <f>'RSD (DEA)'!Q78</f>
        <v>Biomass boilers</v>
      </c>
      <c r="F74" s="242" t="s">
        <v>239</v>
      </c>
      <c r="G74" s="242" t="s">
        <v>240</v>
      </c>
      <c r="H74" s="235">
        <f>'RSD (DEA)'!S78</f>
        <v>400</v>
      </c>
      <c r="I74" s="235" t="str">
        <f>IF(OR(RIGHT('RSD (DEA)'!AH78,3)="BIO",RIGHT(AD74,3)="BOA"),LEFT('RSD (DEA)'!AH78,3)&amp;"BFW",'RSD (DEA)'!AH78)</f>
        <v>RSDWOF</v>
      </c>
      <c r="J74" s="182" t="str">
        <f>'RSD (DEA)'!AI78</f>
        <v/>
      </c>
      <c r="K74" s="235" t="str">
        <f>'RSD (DEA)'!AJ78</f>
        <v>RHAPC</v>
      </c>
      <c r="L74" s="235"/>
      <c r="M74" s="182">
        <f t="shared" si="4"/>
        <v>2019</v>
      </c>
      <c r="N74" s="182">
        <f>'RSD (DEA)'!X78</f>
        <v>2015</v>
      </c>
      <c r="O74" s="182">
        <f t="shared" si="5"/>
        <v>2019</v>
      </c>
      <c r="P74" s="183">
        <f>'RSD (DEA)'!AZ78</f>
        <v>0.8</v>
      </c>
      <c r="Q74" s="183">
        <f>'RSD (DEA)'!BA78</f>
        <v>0.8</v>
      </c>
      <c r="R74" s="182">
        <f>'RSD (DEA)'!BR78/'RSD (DEA)'!S78</f>
        <v>4.3937499999999998</v>
      </c>
      <c r="S74" s="182">
        <f>'RSD (DEA)'!BS78/X_RSD_HeatingDemand!$AA$8</f>
        <v>0</v>
      </c>
      <c r="T74" s="182">
        <f>'RSD (DEA)'!BK78*X_RSD_HeatingDemand!$AA$9/'RSD (DEA)'!S78</f>
        <v>262.5</v>
      </c>
      <c r="U74" s="182">
        <f>'RSD (DEA)'!BI78</f>
        <v>20</v>
      </c>
      <c r="V74" s="182"/>
      <c r="W74" s="236">
        <f>'RSD (DEA)'!AM78</f>
        <v>31.536000000000001</v>
      </c>
    </row>
    <row r="75" spans="1:23" x14ac:dyDescent="0.3">
      <c r="A75" s="316"/>
      <c r="B75" s="235" t="str">
        <f>'RSD (DEA)'!AJ79&amp;"_"&amp;'RSD (DEA)'!Z79</f>
        <v>RHAPC_B_WOF_03</v>
      </c>
      <c r="C75" s="318"/>
      <c r="D75" s="235" t="str">
        <f t="shared" si="6"/>
        <v>RHAPC_B_WOF_04</v>
      </c>
      <c r="E75" s="235" t="str">
        <f>'RSD (DEA)'!Q79</f>
        <v>Biomass boilers</v>
      </c>
      <c r="F75" s="242" t="s">
        <v>239</v>
      </c>
      <c r="G75" s="242" t="s">
        <v>240</v>
      </c>
      <c r="H75" s="235">
        <f>'RSD (DEA)'!S79</f>
        <v>400</v>
      </c>
      <c r="I75" s="235" t="str">
        <f>IF(OR(RIGHT('RSD (DEA)'!AH79,3)="BIO",RIGHT(AD75,3)="BOA"),LEFT('RSD (DEA)'!AH79,3)&amp;"BFW",'RSD (DEA)'!AH79)</f>
        <v>RSDWOF</v>
      </c>
      <c r="J75" s="182" t="str">
        <f>'RSD (DEA)'!AI79</f>
        <v/>
      </c>
      <c r="K75" s="235" t="str">
        <f>'RSD (DEA)'!AJ79</f>
        <v>RHAPC</v>
      </c>
      <c r="L75" s="235"/>
      <c r="M75" s="182">
        <f t="shared" si="4"/>
        <v>2019</v>
      </c>
      <c r="N75" s="182">
        <f>'RSD (DEA)'!X79</f>
        <v>2020</v>
      </c>
      <c r="O75" s="182">
        <f t="shared" si="5"/>
        <v>2020</v>
      </c>
      <c r="P75" s="183">
        <f>'RSD (DEA)'!AZ79</f>
        <v>0.85</v>
      </c>
      <c r="Q75" s="183">
        <f>'RSD (DEA)'!BA79</f>
        <v>0.85</v>
      </c>
      <c r="R75" s="182">
        <f>'RSD (DEA)'!BR79/'RSD (DEA)'!S79</f>
        <v>4.3150000000000004</v>
      </c>
      <c r="S75" s="182">
        <f>'RSD (DEA)'!BS79/X_RSD_HeatingDemand!$AA$8</f>
        <v>0</v>
      </c>
      <c r="T75" s="182">
        <f>'RSD (DEA)'!BK79*X_RSD_HeatingDemand!$AA$9/'RSD (DEA)'!S79</f>
        <v>255</v>
      </c>
      <c r="U75" s="182">
        <f>'RSD (DEA)'!BI79</f>
        <v>20</v>
      </c>
      <c r="V75" s="182"/>
      <c r="W75" s="236">
        <f>'RSD (DEA)'!AM79</f>
        <v>31.536000000000001</v>
      </c>
    </row>
    <row r="76" spans="1:23" x14ac:dyDescent="0.3">
      <c r="A76" s="316"/>
      <c r="B76" s="235" t="str">
        <f>'RSD (DEA)'!AJ80&amp;"_"&amp;'RSD (DEA)'!Z80</f>
        <v>RHAPC_B_WOF_03</v>
      </c>
      <c r="C76" s="318"/>
      <c r="D76" s="235" t="str">
        <f t="shared" si="6"/>
        <v>RHAPC_B_WOF_05</v>
      </c>
      <c r="E76" s="235" t="str">
        <f>'RSD (DEA)'!Q80</f>
        <v>Biomass boilers</v>
      </c>
      <c r="F76" s="242" t="s">
        <v>239</v>
      </c>
      <c r="G76" s="242" t="s">
        <v>240</v>
      </c>
      <c r="H76" s="235">
        <f>'RSD (DEA)'!S80</f>
        <v>400</v>
      </c>
      <c r="I76" s="235" t="str">
        <f>IF(OR(RIGHT('RSD (DEA)'!AH80,3)="BIO",RIGHT(AD76,3)="BOA"),LEFT('RSD (DEA)'!AH80,3)&amp;"BFW",'RSD (DEA)'!AH80)</f>
        <v>RSDWOF</v>
      </c>
      <c r="J76" s="182" t="str">
        <f>'RSD (DEA)'!AI80</f>
        <v/>
      </c>
      <c r="K76" s="235" t="str">
        <f>'RSD (DEA)'!AJ80</f>
        <v>RHAPC</v>
      </c>
      <c r="L76" s="235"/>
      <c r="M76" s="182">
        <f t="shared" si="4"/>
        <v>2019</v>
      </c>
      <c r="N76" s="182">
        <f>'RSD (DEA)'!X80</f>
        <v>2030</v>
      </c>
      <c r="O76" s="182">
        <f t="shared" si="5"/>
        <v>2030</v>
      </c>
      <c r="P76" s="183">
        <f>'RSD (DEA)'!AZ80</f>
        <v>0.9</v>
      </c>
      <c r="Q76" s="183">
        <f>'RSD (DEA)'!BA80</f>
        <v>0.9</v>
      </c>
      <c r="R76" s="182">
        <f>'RSD (DEA)'!BR80/'RSD (DEA)'!S80</f>
        <v>4.2649999999999997</v>
      </c>
      <c r="S76" s="182">
        <f>'RSD (DEA)'!BS80/X_RSD_HeatingDemand!$AA$8</f>
        <v>0</v>
      </c>
      <c r="T76" s="182">
        <f>'RSD (DEA)'!BK80*X_RSD_HeatingDemand!$AA$9/'RSD (DEA)'!S80</f>
        <v>242.5</v>
      </c>
      <c r="U76" s="182">
        <f>'RSD (DEA)'!BI80</f>
        <v>20</v>
      </c>
      <c r="V76" s="182"/>
      <c r="W76" s="236">
        <f>'RSD (DEA)'!AM80</f>
        <v>31.536000000000001</v>
      </c>
    </row>
    <row r="77" spans="1:23" x14ac:dyDescent="0.3">
      <c r="A77" s="316"/>
      <c r="B77" s="235" t="str">
        <f>'RSD (DEA)'!AJ81&amp;"_"&amp;'RSD (DEA)'!Z81</f>
        <v>RHAPC_B_WOF_03</v>
      </c>
      <c r="C77" s="318"/>
      <c r="D77" s="235" t="str">
        <f t="shared" si="6"/>
        <v>RHAPC_B_WOF_06</v>
      </c>
      <c r="E77" s="235" t="str">
        <f>'RSD (DEA)'!Q81</f>
        <v>Biomass boilers</v>
      </c>
      <c r="F77" s="242" t="s">
        <v>239</v>
      </c>
      <c r="G77" s="242" t="s">
        <v>240</v>
      </c>
      <c r="H77" s="235">
        <f>'RSD (DEA)'!S81</f>
        <v>400</v>
      </c>
      <c r="I77" s="235" t="str">
        <f>IF(OR(RIGHT('RSD (DEA)'!AH81,3)="BIO",RIGHT(AD77,3)="BOA"),LEFT('RSD (DEA)'!AH81,3)&amp;"BFW",'RSD (DEA)'!AH81)</f>
        <v>RSDWOF</v>
      </c>
      <c r="J77" s="182" t="str">
        <f>'RSD (DEA)'!AI81</f>
        <v/>
      </c>
      <c r="K77" s="235" t="str">
        <f>'RSD (DEA)'!AJ81</f>
        <v>RHAPC</v>
      </c>
      <c r="L77" s="235"/>
      <c r="M77" s="182">
        <f t="shared" si="4"/>
        <v>2019</v>
      </c>
      <c r="N77" s="182">
        <f>'RSD (DEA)'!X81</f>
        <v>2050</v>
      </c>
      <c r="O77" s="182">
        <f t="shared" si="5"/>
        <v>2050</v>
      </c>
      <c r="P77" s="183">
        <f>'RSD (DEA)'!AZ81</f>
        <v>0.9</v>
      </c>
      <c r="Q77" s="183">
        <f>'RSD (DEA)'!BA81</f>
        <v>0.9</v>
      </c>
      <c r="R77" s="182">
        <f>'RSD (DEA)'!BR81/'RSD (DEA)'!S81</f>
        <v>3.9424999999999999</v>
      </c>
      <c r="S77" s="182">
        <f>'RSD (DEA)'!BS81/X_RSD_HeatingDemand!$AA$8</f>
        <v>0</v>
      </c>
      <c r="T77" s="182">
        <f>'RSD (DEA)'!BK81*X_RSD_HeatingDemand!$AA$9/'RSD (DEA)'!S81</f>
        <v>220</v>
      </c>
      <c r="U77" s="182">
        <f>'RSD (DEA)'!BI81</f>
        <v>20</v>
      </c>
      <c r="V77" s="182"/>
      <c r="W77" s="236">
        <f>'RSD (DEA)'!AM81</f>
        <v>31.536000000000001</v>
      </c>
    </row>
    <row r="78" spans="1:23" x14ac:dyDescent="0.3">
      <c r="A78" s="316"/>
      <c r="B78" s="235" t="str">
        <f>'RSD (DEA)'!AJ82&amp;"_"&amp;'RSD (DEA)'!Z82</f>
        <v>RHAPA_B_WOF_04</v>
      </c>
      <c r="C78" s="318"/>
      <c r="D78" s="235" t="str">
        <f t="shared" si="6"/>
        <v>RHAPA_B_WOF_04</v>
      </c>
      <c r="E78" s="235" t="str">
        <f>'RSD (DEA)'!Q82</f>
        <v>Biomass boilers</v>
      </c>
      <c r="F78" s="242" t="s">
        <v>239</v>
      </c>
      <c r="G78" s="242" t="s">
        <v>240</v>
      </c>
      <c r="H78" s="235">
        <f>'RSD (DEA)'!S82</f>
        <v>160</v>
      </c>
      <c r="I78" s="235" t="str">
        <f>IF(OR(RIGHT('RSD (DEA)'!AH82,3)="BIO",RIGHT(AD78,3)="BOA"),LEFT('RSD (DEA)'!AH82,3)&amp;"BFW",'RSD (DEA)'!AH82)</f>
        <v>RSDWOF</v>
      </c>
      <c r="J78" s="182" t="str">
        <f>'RSD (DEA)'!AI82</f>
        <v/>
      </c>
      <c r="K78" s="235" t="str">
        <f>'RSD (DEA)'!AJ82</f>
        <v>RHAPA</v>
      </c>
      <c r="L78" s="235"/>
      <c r="M78" s="182">
        <f t="shared" si="4"/>
        <v>2019</v>
      </c>
      <c r="N78" s="182">
        <f>'RSD (DEA)'!X82</f>
        <v>2015</v>
      </c>
      <c r="O78" s="182">
        <f t="shared" si="5"/>
        <v>2019</v>
      </c>
      <c r="P78" s="183">
        <f>'RSD (DEA)'!AZ82</f>
        <v>0.8</v>
      </c>
      <c r="Q78" s="183">
        <f>'RSD (DEA)'!BA82</f>
        <v>0.8</v>
      </c>
      <c r="R78" s="182">
        <f>'RSD (DEA)'!BR82/'RSD (DEA)'!S82</f>
        <v>7.2156250000000002</v>
      </c>
      <c r="S78" s="182">
        <f>'RSD (DEA)'!BS82/X_RSD_HeatingDemand!$AA$8</f>
        <v>0</v>
      </c>
      <c r="T78" s="182">
        <f>'RSD (DEA)'!BK82*X_RSD_HeatingDemand!$AA$9/'RSD (DEA)'!S82</f>
        <v>393.75</v>
      </c>
      <c r="U78" s="182">
        <f>'RSD (DEA)'!BI82</f>
        <v>20</v>
      </c>
      <c r="V78" s="182"/>
      <c r="W78" s="236">
        <f>'RSD (DEA)'!AM82</f>
        <v>31.536000000000001</v>
      </c>
    </row>
    <row r="79" spans="1:23" x14ac:dyDescent="0.3">
      <c r="A79" s="316"/>
      <c r="B79" s="235" t="str">
        <f>'RSD (DEA)'!AJ83&amp;"_"&amp;'RSD (DEA)'!Z83</f>
        <v>RHAPA_B_WOF_04</v>
      </c>
      <c r="C79" s="318"/>
      <c r="D79" s="235" t="str">
        <f t="shared" si="6"/>
        <v>RHAPA_B_WOF_05</v>
      </c>
      <c r="E79" s="235" t="str">
        <f>'RSD (DEA)'!Q83</f>
        <v>Biomass boilers</v>
      </c>
      <c r="F79" s="242" t="s">
        <v>239</v>
      </c>
      <c r="G79" s="242" t="s">
        <v>240</v>
      </c>
      <c r="H79" s="235">
        <f>'RSD (DEA)'!S83</f>
        <v>160</v>
      </c>
      <c r="I79" s="235" t="str">
        <f>IF(OR(RIGHT('RSD (DEA)'!AH83,3)="BIO",RIGHT(AD79,3)="BOA"),LEFT('RSD (DEA)'!AH83,3)&amp;"BFW",'RSD (DEA)'!AH83)</f>
        <v>RSDWOF</v>
      </c>
      <c r="J79" s="182" t="str">
        <f>'RSD (DEA)'!AI83</f>
        <v/>
      </c>
      <c r="K79" s="235" t="str">
        <f>'RSD (DEA)'!AJ83</f>
        <v>RHAPA</v>
      </c>
      <c r="L79" s="235"/>
      <c r="M79" s="182">
        <f t="shared" si="4"/>
        <v>2019</v>
      </c>
      <c r="N79" s="182">
        <f>'RSD (DEA)'!X83</f>
        <v>2020</v>
      </c>
      <c r="O79" s="182">
        <f t="shared" si="5"/>
        <v>2020</v>
      </c>
      <c r="P79" s="183">
        <f>'RSD (DEA)'!AZ83</f>
        <v>0.85</v>
      </c>
      <c r="Q79" s="183">
        <f>'RSD (DEA)'!BA83</f>
        <v>0.85</v>
      </c>
      <c r="R79" s="182">
        <f>'RSD (DEA)'!BR83/'RSD (DEA)'!S83</f>
        <v>7.0625</v>
      </c>
      <c r="S79" s="182">
        <f>'RSD (DEA)'!BS83/X_RSD_HeatingDemand!$AA$8</f>
        <v>0</v>
      </c>
      <c r="T79" s="182">
        <f>'RSD (DEA)'!BK83*X_RSD_HeatingDemand!$AA$9/'RSD (DEA)'!S83</f>
        <v>381.25</v>
      </c>
      <c r="U79" s="182">
        <f>'RSD (DEA)'!BI83</f>
        <v>20</v>
      </c>
      <c r="V79" s="182"/>
      <c r="W79" s="236">
        <f>'RSD (DEA)'!AM83</f>
        <v>31.536000000000001</v>
      </c>
    </row>
    <row r="80" spans="1:23" x14ac:dyDescent="0.3">
      <c r="A80" s="316"/>
      <c r="B80" s="235" t="str">
        <f>'RSD (DEA)'!AJ84&amp;"_"&amp;'RSD (DEA)'!Z84</f>
        <v>RHAPA_B_WOF_04</v>
      </c>
      <c r="C80" s="318"/>
      <c r="D80" s="235" t="str">
        <f t="shared" si="6"/>
        <v>RHAPA_B_WOF_06</v>
      </c>
      <c r="E80" s="235" t="str">
        <f>'RSD (DEA)'!Q84</f>
        <v>Biomass boilers</v>
      </c>
      <c r="F80" s="242" t="s">
        <v>239</v>
      </c>
      <c r="G80" s="242" t="s">
        <v>240</v>
      </c>
      <c r="H80" s="235">
        <f>'RSD (DEA)'!S84</f>
        <v>160</v>
      </c>
      <c r="I80" s="235" t="str">
        <f>IF(OR(RIGHT('RSD (DEA)'!AH84,3)="BIO",RIGHT(AD80,3)="BOA"),LEFT('RSD (DEA)'!AH84,3)&amp;"BFW",'RSD (DEA)'!AH84)</f>
        <v>RSDWOF</v>
      </c>
      <c r="J80" s="182" t="str">
        <f>'RSD (DEA)'!AI84</f>
        <v/>
      </c>
      <c r="K80" s="235" t="str">
        <f>'RSD (DEA)'!AJ84</f>
        <v>RHAPA</v>
      </c>
      <c r="L80" s="235"/>
      <c r="M80" s="182">
        <f t="shared" si="4"/>
        <v>2019</v>
      </c>
      <c r="N80" s="182">
        <f>'RSD (DEA)'!X84</f>
        <v>2030</v>
      </c>
      <c r="O80" s="182">
        <f t="shared" si="5"/>
        <v>2030</v>
      </c>
      <c r="P80" s="183">
        <f>'RSD (DEA)'!AZ84</f>
        <v>0.9</v>
      </c>
      <c r="Q80" s="183">
        <f>'RSD (DEA)'!BA84</f>
        <v>0.9</v>
      </c>
      <c r="R80" s="182">
        <f>'RSD (DEA)'!BR84/'RSD (DEA)'!S84</f>
        <v>6.9812500000000002</v>
      </c>
      <c r="S80" s="182">
        <f>'RSD (DEA)'!BS84/X_RSD_HeatingDemand!$AA$8</f>
        <v>0</v>
      </c>
      <c r="T80" s="182">
        <f>'RSD (DEA)'!BK84*X_RSD_HeatingDemand!$AA$9/'RSD (DEA)'!S84</f>
        <v>362.5</v>
      </c>
      <c r="U80" s="182">
        <f>'RSD (DEA)'!BI84</f>
        <v>20</v>
      </c>
      <c r="V80" s="182"/>
      <c r="W80" s="236">
        <f>'RSD (DEA)'!AM84</f>
        <v>31.536000000000001</v>
      </c>
    </row>
    <row r="81" spans="1:23" x14ac:dyDescent="0.3">
      <c r="A81" s="316"/>
      <c r="B81" s="235" t="str">
        <f>'RSD (DEA)'!AJ85&amp;"_"&amp;'RSD (DEA)'!Z85</f>
        <v>RHAPA_B_WOF_04</v>
      </c>
      <c r="C81" s="318"/>
      <c r="D81" s="235" t="str">
        <f t="shared" si="6"/>
        <v>RHAPA_B_WOF_07</v>
      </c>
      <c r="E81" s="235" t="str">
        <f>'RSD (DEA)'!Q85</f>
        <v>Biomass boilers</v>
      </c>
      <c r="F81" s="242" t="s">
        <v>239</v>
      </c>
      <c r="G81" s="242" t="s">
        <v>240</v>
      </c>
      <c r="H81" s="235">
        <f>'RSD (DEA)'!S85</f>
        <v>160</v>
      </c>
      <c r="I81" s="235" t="str">
        <f>IF(OR(RIGHT('RSD (DEA)'!AH85,3)="BIO",RIGHT(AD81,3)="BOA"),LEFT('RSD (DEA)'!AH85,3)&amp;"BFW",'RSD (DEA)'!AH85)</f>
        <v>RSDWOF</v>
      </c>
      <c r="J81" s="182" t="str">
        <f>'RSD (DEA)'!AI85</f>
        <v/>
      </c>
      <c r="K81" s="235" t="str">
        <f>'RSD (DEA)'!AJ85</f>
        <v>RHAPA</v>
      </c>
      <c r="L81" s="235"/>
      <c r="M81" s="182">
        <f t="shared" si="4"/>
        <v>2019</v>
      </c>
      <c r="N81" s="182">
        <f>'RSD (DEA)'!X85</f>
        <v>2050</v>
      </c>
      <c r="O81" s="182">
        <f t="shared" si="5"/>
        <v>2050</v>
      </c>
      <c r="P81" s="183">
        <f>'RSD (DEA)'!AZ85</f>
        <v>0.9</v>
      </c>
      <c r="Q81" s="183">
        <f>'RSD (DEA)'!BA85</f>
        <v>0.9</v>
      </c>
      <c r="R81" s="182">
        <f>'RSD (DEA)'!BR85/'RSD (DEA)'!S85</f>
        <v>6.4749999999999996</v>
      </c>
      <c r="S81" s="182">
        <f>'RSD (DEA)'!BS85/X_RSD_HeatingDemand!$AA$8</f>
        <v>0</v>
      </c>
      <c r="T81" s="182">
        <f>'RSD (DEA)'!BK85*X_RSD_HeatingDemand!$AA$9/'RSD (DEA)'!S85</f>
        <v>331.25</v>
      </c>
      <c r="U81" s="182">
        <f>'RSD (DEA)'!BI85</f>
        <v>20</v>
      </c>
      <c r="V81" s="182"/>
      <c r="W81" s="236">
        <f>'RSD (DEA)'!AM85</f>
        <v>31.536000000000001</v>
      </c>
    </row>
    <row r="82" spans="1:23" x14ac:dyDescent="0.3">
      <c r="A82" s="316"/>
      <c r="B82" s="235" t="str">
        <f>'RSD (DEA)'!AJ86&amp;"_"&amp;'RSD (DEA)'!Z86</f>
        <v>RHHSB_B_WOF_05</v>
      </c>
      <c r="C82" s="318"/>
      <c r="D82" s="235" t="str">
        <f t="shared" si="6"/>
        <v>RHHSB_B_WOF_05</v>
      </c>
      <c r="E82" s="235" t="str">
        <f>'RSD (DEA)'!Q86</f>
        <v>Biomass boilers</v>
      </c>
      <c r="F82" s="242" t="s">
        <v>239</v>
      </c>
      <c r="G82" s="242" t="s">
        <v>240</v>
      </c>
      <c r="H82" s="235">
        <f>'RSD (DEA)'!S86</f>
        <v>35</v>
      </c>
      <c r="I82" s="235" t="str">
        <f>IF(OR(RIGHT('RSD (DEA)'!AH86,3)="BIO",RIGHT(AD82,3)="BOA"),LEFT('RSD (DEA)'!AH86,3)&amp;"BFW",'RSD (DEA)'!AH86)</f>
        <v>RSDWOF</v>
      </c>
      <c r="J82" s="182" t="str">
        <f>'RSD (DEA)'!AI86</f>
        <v/>
      </c>
      <c r="K82" s="235" t="str">
        <f>'RSD (DEA)'!AJ86</f>
        <v>RHHSB</v>
      </c>
      <c r="L82" s="235"/>
      <c r="M82" s="182">
        <f t="shared" si="4"/>
        <v>2019</v>
      </c>
      <c r="N82" s="182">
        <f>'RSD (DEA)'!X86</f>
        <v>2015</v>
      </c>
      <c r="O82" s="182">
        <f t="shared" si="5"/>
        <v>2019</v>
      </c>
      <c r="P82" s="183">
        <f>'RSD (DEA)'!AZ86</f>
        <v>0.8</v>
      </c>
      <c r="Q82" s="183">
        <f>'RSD (DEA)'!BA86</f>
        <v>0.8</v>
      </c>
      <c r="R82" s="182">
        <f>'RSD (DEA)'!BR86/'RSD (DEA)'!S86</f>
        <v>13.307142857142857</v>
      </c>
      <c r="S82" s="182">
        <f>'RSD (DEA)'!BS86/X_RSD_HeatingDemand!$AA$8</f>
        <v>0</v>
      </c>
      <c r="T82" s="182">
        <f>'RSD (DEA)'!BK86*X_RSD_HeatingDemand!$AA$9/'RSD (DEA)'!S86</f>
        <v>288.57142857142856</v>
      </c>
      <c r="U82" s="182">
        <f>'RSD (DEA)'!BI86</f>
        <v>20</v>
      </c>
      <c r="V82" s="182"/>
      <c r="W82" s="236">
        <f>'RSD (DEA)'!AM86</f>
        <v>31.536000000000001</v>
      </c>
    </row>
    <row r="83" spans="1:23" x14ac:dyDescent="0.3">
      <c r="A83" s="316"/>
      <c r="B83" s="235" t="str">
        <f>'RSD (DEA)'!AJ87&amp;"_"&amp;'RSD (DEA)'!Z87</f>
        <v>RHHSB_B_WOF_05</v>
      </c>
      <c r="C83" s="318"/>
      <c r="D83" s="235" t="str">
        <f t="shared" si="6"/>
        <v>RHHSB_B_WOF_06</v>
      </c>
      <c r="E83" s="235" t="str">
        <f>'RSD (DEA)'!Q87</f>
        <v>Biomass boilers</v>
      </c>
      <c r="F83" s="242" t="s">
        <v>239</v>
      </c>
      <c r="G83" s="242" t="s">
        <v>240</v>
      </c>
      <c r="H83" s="235">
        <f>'RSD (DEA)'!S87</f>
        <v>30</v>
      </c>
      <c r="I83" s="235" t="str">
        <f>IF(OR(RIGHT('RSD (DEA)'!AH87,3)="BIO",RIGHT(AD83,3)="BOA"),LEFT('RSD (DEA)'!AH87,3)&amp;"BFW",'RSD (DEA)'!AH87)</f>
        <v>RSDWOF</v>
      </c>
      <c r="J83" s="182" t="str">
        <f>'RSD (DEA)'!AI87</f>
        <v/>
      </c>
      <c r="K83" s="235" t="str">
        <f>'RSD (DEA)'!AJ87</f>
        <v>RHHSB</v>
      </c>
      <c r="L83" s="235"/>
      <c r="M83" s="182">
        <f t="shared" si="4"/>
        <v>2019</v>
      </c>
      <c r="N83" s="182">
        <f>'RSD (DEA)'!X87</f>
        <v>2020</v>
      </c>
      <c r="O83" s="182">
        <f t="shared" si="5"/>
        <v>2020</v>
      </c>
      <c r="P83" s="183">
        <f>'RSD (DEA)'!AZ87</f>
        <v>0.82</v>
      </c>
      <c r="Q83" s="183">
        <f>'RSD (DEA)'!BA87</f>
        <v>0.82</v>
      </c>
      <c r="R83" s="182">
        <f>'RSD (DEA)'!BR87/'RSD (DEA)'!S87</f>
        <v>15.166666666666666</v>
      </c>
      <c r="S83" s="182">
        <f>'RSD (DEA)'!BS87/X_RSD_HeatingDemand!$AA$8</f>
        <v>0</v>
      </c>
      <c r="T83" s="182">
        <f>'RSD (DEA)'!BK87*X_RSD_HeatingDemand!$AA$9/'RSD (DEA)'!S87</f>
        <v>336.66666666666669</v>
      </c>
      <c r="U83" s="182">
        <f>'RSD (DEA)'!BI87</f>
        <v>20</v>
      </c>
      <c r="V83" s="182"/>
      <c r="W83" s="236">
        <f>'RSD (DEA)'!AM87</f>
        <v>31.536000000000001</v>
      </c>
    </row>
    <row r="84" spans="1:23" x14ac:dyDescent="0.3">
      <c r="A84" s="316"/>
      <c r="B84" s="235" t="str">
        <f>'RSD (DEA)'!AJ88&amp;"_"&amp;'RSD (DEA)'!Z88</f>
        <v>RHHSB_B_WOF_05</v>
      </c>
      <c r="C84" s="318"/>
      <c r="D84" s="235" t="str">
        <f t="shared" si="6"/>
        <v>RHHSB_B_WOF_07</v>
      </c>
      <c r="E84" s="235" t="str">
        <f>'RSD (DEA)'!Q88</f>
        <v>Biomass boilers</v>
      </c>
      <c r="F84" s="242" t="s">
        <v>239</v>
      </c>
      <c r="G84" s="242" t="s">
        <v>240</v>
      </c>
      <c r="H84" s="235">
        <f>'RSD (DEA)'!S88</f>
        <v>25</v>
      </c>
      <c r="I84" s="235" t="str">
        <f>IF(OR(RIGHT('RSD (DEA)'!AH88,3)="BIO",RIGHT(AD84,3)="BOA"),LEFT('RSD (DEA)'!AH88,3)&amp;"BFW",'RSD (DEA)'!AH88)</f>
        <v>RSDWOF</v>
      </c>
      <c r="J84" s="182" t="str">
        <f>'RSD (DEA)'!AI88</f>
        <v/>
      </c>
      <c r="K84" s="235" t="str">
        <f>'RSD (DEA)'!AJ88</f>
        <v>RHHSB</v>
      </c>
      <c r="L84" s="235"/>
      <c r="M84" s="182">
        <f t="shared" si="4"/>
        <v>2019</v>
      </c>
      <c r="N84" s="182">
        <f>'RSD (DEA)'!X88</f>
        <v>2030</v>
      </c>
      <c r="O84" s="182">
        <f t="shared" si="5"/>
        <v>2030</v>
      </c>
      <c r="P84" s="183">
        <f>'RSD (DEA)'!AZ88</f>
        <v>0.86</v>
      </c>
      <c r="Q84" s="183">
        <f>'RSD (DEA)'!BA88</f>
        <v>0.86</v>
      </c>
      <c r="R84" s="182">
        <f>'RSD (DEA)'!BR88/'RSD (DEA)'!S88</f>
        <v>17.600000000000001</v>
      </c>
      <c r="S84" s="182">
        <f>'RSD (DEA)'!BS88/X_RSD_HeatingDemand!$AA$8</f>
        <v>0</v>
      </c>
      <c r="T84" s="182">
        <f>'RSD (DEA)'!BK88*X_RSD_HeatingDemand!$AA$9/'RSD (DEA)'!S88</f>
        <v>360</v>
      </c>
      <c r="U84" s="182">
        <f>'RSD (DEA)'!BI88</f>
        <v>20</v>
      </c>
      <c r="V84" s="182"/>
      <c r="W84" s="236">
        <f>'RSD (DEA)'!AM88</f>
        <v>31.536000000000001</v>
      </c>
    </row>
    <row r="85" spans="1:23" x14ac:dyDescent="0.3">
      <c r="A85" s="316"/>
      <c r="B85" s="235" t="str">
        <f>'RSD (DEA)'!AJ89&amp;"_"&amp;'RSD (DEA)'!Z89</f>
        <v>RHHSB_B_WOF_05</v>
      </c>
      <c r="C85" s="318"/>
      <c r="D85" s="235" t="str">
        <f t="shared" si="6"/>
        <v>RHHSB_B_WOF_08</v>
      </c>
      <c r="E85" s="235" t="str">
        <f>'RSD (DEA)'!Q89</f>
        <v>Biomass boilers</v>
      </c>
      <c r="F85" s="242" t="s">
        <v>239</v>
      </c>
      <c r="G85" s="242" t="s">
        <v>240</v>
      </c>
      <c r="H85" s="235">
        <f>'RSD (DEA)'!S89</f>
        <v>25</v>
      </c>
      <c r="I85" s="235" t="str">
        <f>IF(OR(RIGHT('RSD (DEA)'!AH89,3)="BIO",RIGHT(AD85,3)="BOA"),LEFT('RSD (DEA)'!AH89,3)&amp;"BFW",'RSD (DEA)'!AH89)</f>
        <v>RSDWOF</v>
      </c>
      <c r="J85" s="182" t="str">
        <f>'RSD (DEA)'!AI89</f>
        <v/>
      </c>
      <c r="K85" s="235" t="str">
        <f>'RSD (DEA)'!AJ89</f>
        <v>RHHSB</v>
      </c>
      <c r="L85" s="235"/>
      <c r="M85" s="182">
        <f t="shared" si="4"/>
        <v>2019</v>
      </c>
      <c r="N85" s="182">
        <f>'RSD (DEA)'!X89</f>
        <v>2050</v>
      </c>
      <c r="O85" s="182">
        <f t="shared" si="5"/>
        <v>2050</v>
      </c>
      <c r="P85" s="183">
        <f>'RSD (DEA)'!AZ89</f>
        <v>0.88</v>
      </c>
      <c r="Q85" s="183">
        <f>'RSD (DEA)'!BA89</f>
        <v>0.88</v>
      </c>
      <c r="R85" s="182">
        <f>'RSD (DEA)'!BR89/'RSD (DEA)'!S89</f>
        <v>16.04</v>
      </c>
      <c r="S85" s="182">
        <f>'RSD (DEA)'!BS89/X_RSD_HeatingDemand!$AA$8</f>
        <v>0</v>
      </c>
      <c r="T85" s="182">
        <f>'RSD (DEA)'!BK89*X_RSD_HeatingDemand!$AA$9/'RSD (DEA)'!S89</f>
        <v>320</v>
      </c>
      <c r="U85" s="182">
        <f>'RSD (DEA)'!BI89</f>
        <v>20</v>
      </c>
      <c r="V85" s="182"/>
      <c r="W85" s="236">
        <f>'RSD (DEA)'!AM89</f>
        <v>31.536000000000001</v>
      </c>
    </row>
    <row r="86" spans="1:23" x14ac:dyDescent="0.3">
      <c r="A86" s="316"/>
      <c r="B86" s="235" t="str">
        <f>'RSD (DEA)'!AJ90&amp;"_"&amp;'RSD (DEA)'!Z90</f>
        <v>RHHSB_S_WOF_01</v>
      </c>
      <c r="C86" s="318"/>
      <c r="D86" s="235" t="str">
        <f t="shared" si="6"/>
        <v>RHHSB_S_WOF_01</v>
      </c>
      <c r="E86" s="235" t="str">
        <f>'RSD (DEA)'!Q90</f>
        <v>Wood stove</v>
      </c>
      <c r="F86" s="242" t="s">
        <v>239</v>
      </c>
      <c r="G86" s="242" t="s">
        <v>240</v>
      </c>
      <c r="H86" s="235">
        <f>'RSD (DEA)'!S90</f>
        <v>6</v>
      </c>
      <c r="I86" s="235" t="str">
        <f>IF(OR(RIGHT('RSD (DEA)'!AH90,3)="BIO",RIGHT(AD86,3)="BOA"),LEFT('RSD (DEA)'!AH90,3)&amp;"BFW",'RSD (DEA)'!AH90)</f>
        <v>RSDWOF</v>
      </c>
      <c r="J86" s="182" t="str">
        <f>'RSD (DEA)'!AI90</f>
        <v/>
      </c>
      <c r="K86" s="235" t="str">
        <f>'RSD (DEA)'!AJ90</f>
        <v>RHHSB</v>
      </c>
      <c r="L86" s="235"/>
      <c r="M86" s="182">
        <f t="shared" si="4"/>
        <v>2019</v>
      </c>
      <c r="N86" s="182">
        <f>'RSD (DEA)'!X90</f>
        <v>2015</v>
      </c>
      <c r="O86" s="182">
        <f t="shared" si="5"/>
        <v>2019</v>
      </c>
      <c r="P86" s="183">
        <f>'RSD (DEA)'!AZ90</f>
        <v>0.65</v>
      </c>
      <c r="Q86" s="183">
        <f>'RSD (DEA)'!BA90</f>
        <v>0.65</v>
      </c>
      <c r="R86" s="182">
        <f>'RSD (DEA)'!BR90/'RSD (DEA)'!S90</f>
        <v>25</v>
      </c>
      <c r="S86" s="182">
        <f>'RSD (DEA)'!BS90/X_RSD_HeatingDemand!$AA$8</f>
        <v>0</v>
      </c>
      <c r="T86" s="182">
        <f>'RSD (DEA)'!BK90*X_RSD_HeatingDemand!$AA$9/'RSD (DEA)'!S90</f>
        <v>683.33333333333337</v>
      </c>
      <c r="U86" s="182">
        <f>'RSD (DEA)'!BI90</f>
        <v>20</v>
      </c>
      <c r="V86" s="182"/>
      <c r="W86" s="236">
        <f>'RSD (DEA)'!AM90</f>
        <v>31.536000000000001</v>
      </c>
    </row>
    <row r="87" spans="1:23" x14ac:dyDescent="0.3">
      <c r="A87" s="316"/>
      <c r="B87" s="235" t="str">
        <f>'RSD (DEA)'!AJ91&amp;"_"&amp;'RSD (DEA)'!Z91</f>
        <v>RHHSB_S_WOF_01</v>
      </c>
      <c r="C87" s="318"/>
      <c r="D87" s="235" t="str">
        <f t="shared" si="6"/>
        <v>RHHSB_S_WOF_02</v>
      </c>
      <c r="E87" s="235" t="str">
        <f>'RSD (DEA)'!Q91</f>
        <v>Wood stove</v>
      </c>
      <c r="F87" s="242" t="s">
        <v>239</v>
      </c>
      <c r="G87" s="242" t="s">
        <v>240</v>
      </c>
      <c r="H87" s="235">
        <f>'RSD (DEA)'!S91</f>
        <v>5</v>
      </c>
      <c r="I87" s="235" t="str">
        <f>IF(OR(RIGHT('RSD (DEA)'!AH91,3)="BIO",RIGHT(AD87,3)="BOA"),LEFT('RSD (DEA)'!AH91,3)&amp;"BFW",'RSD (DEA)'!AH91)</f>
        <v>RSDWOF</v>
      </c>
      <c r="J87" s="182" t="str">
        <f>'RSD (DEA)'!AI91</f>
        <v/>
      </c>
      <c r="K87" s="235" t="str">
        <f>'RSD (DEA)'!AJ91</f>
        <v>RHHSB</v>
      </c>
      <c r="L87" s="235"/>
      <c r="M87" s="182">
        <f t="shared" si="4"/>
        <v>2019</v>
      </c>
      <c r="N87" s="182">
        <f>'RSD (DEA)'!X91</f>
        <v>2020</v>
      </c>
      <c r="O87" s="182">
        <f t="shared" si="5"/>
        <v>2020</v>
      </c>
      <c r="P87" s="183">
        <f>'RSD (DEA)'!AZ91</f>
        <v>0.7</v>
      </c>
      <c r="Q87" s="183">
        <f>'RSD (DEA)'!BA91</f>
        <v>0.7</v>
      </c>
      <c r="R87" s="182">
        <f>'RSD (DEA)'!BR91/'RSD (DEA)'!S91</f>
        <v>29</v>
      </c>
      <c r="S87" s="182">
        <f>'RSD (DEA)'!BS91/X_RSD_HeatingDemand!$AA$8</f>
        <v>0</v>
      </c>
      <c r="T87" s="182">
        <f>'RSD (DEA)'!BK91*X_RSD_HeatingDemand!$AA$9/'RSD (DEA)'!S91</f>
        <v>820</v>
      </c>
      <c r="U87" s="182">
        <f>'RSD (DEA)'!BI91</f>
        <v>20</v>
      </c>
      <c r="V87" s="182"/>
      <c r="W87" s="236">
        <f>'RSD (DEA)'!AM91</f>
        <v>31.536000000000001</v>
      </c>
    </row>
    <row r="88" spans="1:23" x14ac:dyDescent="0.3">
      <c r="A88" s="316"/>
      <c r="B88" s="235" t="str">
        <f>'RSD (DEA)'!AJ92&amp;"_"&amp;'RSD (DEA)'!Z92</f>
        <v>RHHSB_S_WOF_01</v>
      </c>
      <c r="C88" s="318"/>
      <c r="D88" s="235" t="str">
        <f t="shared" si="6"/>
        <v>RHHSB_S_WOF_03</v>
      </c>
      <c r="E88" s="235" t="str">
        <f>'RSD (DEA)'!Q92</f>
        <v>Wood stove</v>
      </c>
      <c r="F88" s="242" t="s">
        <v>239</v>
      </c>
      <c r="G88" s="242" t="s">
        <v>240</v>
      </c>
      <c r="H88" s="235">
        <f>'RSD (DEA)'!S92</f>
        <v>4</v>
      </c>
      <c r="I88" s="235" t="str">
        <f>IF(OR(RIGHT('RSD (DEA)'!AH92,3)="BIO",RIGHT(AD88,3)="BOA"),LEFT('RSD (DEA)'!AH92,3)&amp;"BFW",'RSD (DEA)'!AH92)</f>
        <v>RSDWOF</v>
      </c>
      <c r="J88" s="182" t="str">
        <f>'RSD (DEA)'!AI92</f>
        <v/>
      </c>
      <c r="K88" s="235" t="str">
        <f>'RSD (DEA)'!AJ92</f>
        <v>RHHSB</v>
      </c>
      <c r="L88" s="235"/>
      <c r="M88" s="182">
        <f t="shared" si="4"/>
        <v>2019</v>
      </c>
      <c r="N88" s="182">
        <f>'RSD (DEA)'!X92</f>
        <v>2030</v>
      </c>
      <c r="O88" s="182">
        <f t="shared" si="5"/>
        <v>2030</v>
      </c>
      <c r="P88" s="183">
        <f>'RSD (DEA)'!AZ92</f>
        <v>0.75</v>
      </c>
      <c r="Q88" s="183">
        <f>'RSD (DEA)'!BA92</f>
        <v>0.75</v>
      </c>
      <c r="R88" s="182">
        <f>'RSD (DEA)'!BR92/'RSD (DEA)'!S92</f>
        <v>50</v>
      </c>
      <c r="S88" s="182">
        <f>'RSD (DEA)'!BS92/X_RSD_HeatingDemand!$AA$8</f>
        <v>0</v>
      </c>
      <c r="T88" s="182">
        <f>'RSD (DEA)'!BK92*X_RSD_HeatingDemand!$AA$9/'RSD (DEA)'!S92</f>
        <v>1250</v>
      </c>
      <c r="U88" s="182">
        <f>'RSD (DEA)'!BI92</f>
        <v>20</v>
      </c>
      <c r="V88" s="182"/>
      <c r="W88" s="236">
        <f>'RSD (DEA)'!AM92</f>
        <v>31.536000000000001</v>
      </c>
    </row>
    <row r="89" spans="1:23" x14ac:dyDescent="0.3">
      <c r="A89" s="316"/>
      <c r="B89" s="235" t="str">
        <f>'RSD (DEA)'!AJ93&amp;"_"&amp;'RSD (DEA)'!Z93</f>
        <v>RHHSB_S_WOF_01</v>
      </c>
      <c r="C89" s="318"/>
      <c r="D89" s="235" t="str">
        <f t="shared" si="6"/>
        <v>RHHSB_S_WOF_04</v>
      </c>
      <c r="E89" s="235" t="str">
        <f>'RSD (DEA)'!Q93</f>
        <v>Wood stove</v>
      </c>
      <c r="F89" s="242" t="s">
        <v>239</v>
      </c>
      <c r="G89" s="242" t="s">
        <v>240</v>
      </c>
      <c r="H89" s="235">
        <f>'RSD (DEA)'!S93</f>
        <v>4</v>
      </c>
      <c r="I89" s="235" t="str">
        <f>IF(OR(RIGHT('RSD (DEA)'!AH93,3)="BIO",RIGHT(AD89,3)="BOA"),LEFT('RSD (DEA)'!AH93,3)&amp;"BFW",'RSD (DEA)'!AH93)</f>
        <v>RSDWOF</v>
      </c>
      <c r="J89" s="182" t="str">
        <f>'RSD (DEA)'!AI93</f>
        <v/>
      </c>
      <c r="K89" s="235" t="str">
        <f>'RSD (DEA)'!AJ93</f>
        <v>RHHSB</v>
      </c>
      <c r="L89" s="235"/>
      <c r="M89" s="182">
        <f t="shared" si="4"/>
        <v>2019</v>
      </c>
      <c r="N89" s="182">
        <f>'RSD (DEA)'!X93</f>
        <v>2050</v>
      </c>
      <c r="O89" s="182">
        <f t="shared" si="5"/>
        <v>2050</v>
      </c>
      <c r="P89" s="183">
        <f>'RSD (DEA)'!AZ93</f>
        <v>0.75</v>
      </c>
      <c r="Q89" s="183">
        <f>'RSD (DEA)'!BA93</f>
        <v>0.75</v>
      </c>
      <c r="R89" s="182">
        <f>'RSD (DEA)'!BR93/'RSD (DEA)'!S93</f>
        <v>47.5</v>
      </c>
      <c r="S89" s="182">
        <f>'RSD (DEA)'!BS93/X_RSD_HeatingDemand!$AA$8</f>
        <v>0</v>
      </c>
      <c r="T89" s="182">
        <f>'RSD (DEA)'!BK93*X_RSD_HeatingDemand!$AA$9/'RSD (DEA)'!S93</f>
        <v>1000</v>
      </c>
      <c r="U89" s="182">
        <f>'RSD (DEA)'!BI93</f>
        <v>20</v>
      </c>
      <c r="V89" s="182"/>
      <c r="W89" s="236">
        <f>'RSD (DEA)'!AM93</f>
        <v>31.536000000000001</v>
      </c>
    </row>
    <row r="90" spans="1:23" x14ac:dyDescent="0.3">
      <c r="A90" s="316"/>
      <c r="B90" s="235" t="str">
        <f>'RSD (DEA)'!AJ94&amp;"_"&amp;'RSD (DEA)'!Z94</f>
        <v>RHHSB_S_WOF_02</v>
      </c>
      <c r="C90" s="318"/>
      <c r="D90" s="235" t="str">
        <f t="shared" si="6"/>
        <v>RHHSB_S_WOF_02</v>
      </c>
      <c r="E90" s="235" t="str">
        <f>'RSD (DEA)'!Q94</f>
        <v>Wood stove</v>
      </c>
      <c r="F90" s="242" t="s">
        <v>239</v>
      </c>
      <c r="G90" s="242" t="s">
        <v>240</v>
      </c>
      <c r="H90" s="235">
        <f>'RSD (DEA)'!S94</f>
        <v>15</v>
      </c>
      <c r="I90" s="235" t="str">
        <f>IF(OR(RIGHT('RSD (DEA)'!AH94,3)="BIO",RIGHT(AD90,3)="BOA"),LEFT('RSD (DEA)'!AH94,3)&amp;"BFW",'RSD (DEA)'!AH94)</f>
        <v>RSDWOF</v>
      </c>
      <c r="J90" s="182" t="str">
        <f>'RSD (DEA)'!AI94</f>
        <v/>
      </c>
      <c r="K90" s="235" t="str">
        <f>'RSD (DEA)'!AJ94</f>
        <v>RHHSB</v>
      </c>
      <c r="L90" s="235"/>
      <c r="M90" s="182">
        <f t="shared" si="4"/>
        <v>2019</v>
      </c>
      <c r="N90" s="182">
        <f>'RSD (DEA)'!X94</f>
        <v>2015</v>
      </c>
      <c r="O90" s="182">
        <f t="shared" si="5"/>
        <v>2019</v>
      </c>
      <c r="P90" s="183">
        <f>'RSD (DEA)'!AZ94</f>
        <v>0.65</v>
      </c>
      <c r="Q90" s="183">
        <f>'RSD (DEA)'!BA94</f>
        <v>0.65</v>
      </c>
      <c r="R90" s="182">
        <f>'RSD (DEA)'!BR94/'RSD (DEA)'!S94</f>
        <v>13.963333333333333</v>
      </c>
      <c r="S90" s="182">
        <f>'RSD (DEA)'!BS94/X_RSD_HeatingDemand!$AA$8</f>
        <v>0</v>
      </c>
      <c r="T90" s="182">
        <f>'RSD (DEA)'!BK94*X_RSD_HeatingDemand!$AA$9/'RSD (DEA)'!S94</f>
        <v>373.33333333333331</v>
      </c>
      <c r="U90" s="182">
        <f>'RSD (DEA)'!BI94</f>
        <v>20</v>
      </c>
      <c r="V90" s="182"/>
      <c r="W90" s="236">
        <f>'RSD (DEA)'!AM94</f>
        <v>31.536000000000001</v>
      </c>
    </row>
    <row r="91" spans="1:23" x14ac:dyDescent="0.3">
      <c r="A91" s="316"/>
      <c r="B91" s="235" t="str">
        <f>'RSD (DEA)'!AJ95&amp;"_"&amp;'RSD (DEA)'!Z95</f>
        <v>RHHSB_S_WOF_02</v>
      </c>
      <c r="C91" s="318"/>
      <c r="D91" s="235" t="str">
        <f t="shared" si="6"/>
        <v>RHHSB_S_WOF_03</v>
      </c>
      <c r="E91" s="235" t="str">
        <f>'RSD (DEA)'!Q95</f>
        <v>Wood stove</v>
      </c>
      <c r="F91" s="242" t="s">
        <v>239</v>
      </c>
      <c r="G91" s="242" t="s">
        <v>240</v>
      </c>
      <c r="H91" s="235">
        <f>'RSD (DEA)'!S95</f>
        <v>12</v>
      </c>
      <c r="I91" s="235" t="str">
        <f>IF(OR(RIGHT('RSD (DEA)'!AH95,3)="BIO",RIGHT(AD91,3)="BOA"),LEFT('RSD (DEA)'!AH95,3)&amp;"BFW",'RSD (DEA)'!AH95)</f>
        <v>RSDWOF</v>
      </c>
      <c r="J91" s="182" t="str">
        <f>'RSD (DEA)'!AI95</f>
        <v/>
      </c>
      <c r="K91" s="235" t="str">
        <f>'RSD (DEA)'!AJ95</f>
        <v>RHHSB</v>
      </c>
      <c r="L91" s="235"/>
      <c r="M91" s="182">
        <f t="shared" si="4"/>
        <v>2019</v>
      </c>
      <c r="N91" s="182">
        <f>'RSD (DEA)'!X95</f>
        <v>2020</v>
      </c>
      <c r="O91" s="182">
        <f t="shared" si="5"/>
        <v>2020</v>
      </c>
      <c r="P91" s="183">
        <f>'RSD (DEA)'!AZ95</f>
        <v>0.7</v>
      </c>
      <c r="Q91" s="183">
        <f>'RSD (DEA)'!BA95</f>
        <v>0.7</v>
      </c>
      <c r="R91" s="182">
        <f>'RSD (DEA)'!BR95/'RSD (DEA)'!S95</f>
        <v>17.083333333333332</v>
      </c>
      <c r="S91" s="182">
        <f>'RSD (DEA)'!BS95/X_RSD_HeatingDemand!$AA$8</f>
        <v>0</v>
      </c>
      <c r="T91" s="182">
        <f>'RSD (DEA)'!BK95*X_RSD_HeatingDemand!$AA$9/'RSD (DEA)'!S95</f>
        <v>466.66666666666669</v>
      </c>
      <c r="U91" s="182">
        <f>'RSD (DEA)'!BI95</f>
        <v>20</v>
      </c>
      <c r="V91" s="182"/>
      <c r="W91" s="236">
        <f>'RSD (DEA)'!AM95</f>
        <v>31.536000000000001</v>
      </c>
    </row>
    <row r="92" spans="1:23" x14ac:dyDescent="0.3">
      <c r="A92" s="316"/>
      <c r="B92" s="235" t="str">
        <f>'RSD (DEA)'!AJ96&amp;"_"&amp;'RSD (DEA)'!Z96</f>
        <v>RHHSB_S_WOF_02</v>
      </c>
      <c r="C92" s="318"/>
      <c r="D92" s="235" t="str">
        <f t="shared" si="6"/>
        <v>RHHSB_S_WOF_04</v>
      </c>
      <c r="E92" s="235" t="str">
        <f>'RSD (DEA)'!Q96</f>
        <v>Wood stove</v>
      </c>
      <c r="F92" s="242" t="s">
        <v>239</v>
      </c>
      <c r="G92" s="242" t="s">
        <v>240</v>
      </c>
      <c r="H92" s="235">
        <f>'RSD (DEA)'!S96</f>
        <v>10</v>
      </c>
      <c r="I92" s="235" t="str">
        <f>IF(OR(RIGHT('RSD (DEA)'!AH96,3)="BIO",RIGHT(AD92,3)="BOA"),LEFT('RSD (DEA)'!AH96,3)&amp;"BFW",'RSD (DEA)'!AH96)</f>
        <v>RSDWOF</v>
      </c>
      <c r="J92" s="182" t="str">
        <f>'RSD (DEA)'!AI96</f>
        <v/>
      </c>
      <c r="K92" s="235" t="str">
        <f>'RSD (DEA)'!AJ96</f>
        <v>RHHSB</v>
      </c>
      <c r="L92" s="235"/>
      <c r="M92" s="182">
        <f t="shared" si="4"/>
        <v>2019</v>
      </c>
      <c r="N92" s="182">
        <f>'RSD (DEA)'!X96</f>
        <v>2030</v>
      </c>
      <c r="O92" s="182">
        <f t="shared" si="5"/>
        <v>2030</v>
      </c>
      <c r="P92" s="183">
        <f>'RSD (DEA)'!AZ96</f>
        <v>0.75</v>
      </c>
      <c r="Q92" s="183">
        <f>'RSD (DEA)'!BA96</f>
        <v>0.75</v>
      </c>
      <c r="R92" s="182">
        <f>'RSD (DEA)'!BR96/'RSD (DEA)'!S96</f>
        <v>26.3</v>
      </c>
      <c r="S92" s="182">
        <f>'RSD (DEA)'!BS96/X_RSD_HeatingDemand!$AA$8</f>
        <v>0</v>
      </c>
      <c r="T92" s="182">
        <f>'RSD (DEA)'!BK96*X_RSD_HeatingDemand!$AA$9/'RSD (DEA)'!S96</f>
        <v>560</v>
      </c>
      <c r="U92" s="182">
        <f>'RSD (DEA)'!BI96</f>
        <v>20</v>
      </c>
      <c r="V92" s="182"/>
      <c r="W92" s="236">
        <f>'RSD (DEA)'!AM96</f>
        <v>31.536000000000001</v>
      </c>
    </row>
    <row r="93" spans="1:23" x14ac:dyDescent="0.3">
      <c r="A93" s="316"/>
      <c r="B93" s="235" t="str">
        <f>'RSD (DEA)'!AJ97&amp;"_"&amp;'RSD (DEA)'!Z97</f>
        <v>RHHSB_S_WOF_02</v>
      </c>
      <c r="C93" s="318"/>
      <c r="D93" s="235" t="str">
        <f t="shared" si="6"/>
        <v>RHHSB_S_WOF_05</v>
      </c>
      <c r="E93" s="235" t="str">
        <f>'RSD (DEA)'!Q97</f>
        <v>Wood stove</v>
      </c>
      <c r="F93" s="242" t="s">
        <v>239</v>
      </c>
      <c r="G93" s="242" t="s">
        <v>240</v>
      </c>
      <c r="H93" s="235">
        <f>'RSD (DEA)'!S97</f>
        <v>10</v>
      </c>
      <c r="I93" s="235" t="str">
        <f>IF(OR(RIGHT('RSD (DEA)'!AH97,3)="BIO",RIGHT(AD93,3)="BOA"),LEFT('RSD (DEA)'!AH97,3)&amp;"BFW",'RSD (DEA)'!AH97)</f>
        <v>RSDWOF</v>
      </c>
      <c r="J93" s="182" t="str">
        <f>'RSD (DEA)'!AI97</f>
        <v/>
      </c>
      <c r="K93" s="235" t="str">
        <f>'RSD (DEA)'!AJ97</f>
        <v>RHHSB</v>
      </c>
      <c r="L93" s="235"/>
      <c r="M93" s="182">
        <f t="shared" si="4"/>
        <v>2019</v>
      </c>
      <c r="N93" s="182">
        <f>'RSD (DEA)'!X97</f>
        <v>2050</v>
      </c>
      <c r="O93" s="182">
        <f t="shared" si="5"/>
        <v>2050</v>
      </c>
      <c r="P93" s="183">
        <f>'RSD (DEA)'!AZ97</f>
        <v>0.75</v>
      </c>
      <c r="Q93" s="183">
        <f>'RSD (DEA)'!BA97</f>
        <v>0.75</v>
      </c>
      <c r="R93" s="182">
        <f>'RSD (DEA)'!BR97/'RSD (DEA)'!S97</f>
        <v>25.3</v>
      </c>
      <c r="S93" s="182">
        <f>'RSD (DEA)'!BS97/X_RSD_HeatingDemand!$AA$8</f>
        <v>0</v>
      </c>
      <c r="T93" s="182">
        <f>'RSD (DEA)'!BK97*X_RSD_HeatingDemand!$AA$9/'RSD (DEA)'!S97</f>
        <v>560</v>
      </c>
      <c r="U93" s="182">
        <f>'RSD (DEA)'!BI97</f>
        <v>20</v>
      </c>
      <c r="V93" s="182"/>
      <c r="W93" s="236">
        <f>'RSD (DEA)'!AM97</f>
        <v>31.536000000000001</v>
      </c>
    </row>
    <row r="94" spans="1:23" x14ac:dyDescent="0.3">
      <c r="A94" s="316"/>
      <c r="B94" s="244" t="str">
        <f>'RSD (DEA)'!AJ98&amp;"_"&amp;'RSD (DEA)'!Z98</f>
        <v>RHHSC_HP_ELC_01</v>
      </c>
      <c r="C94" s="318"/>
      <c r="D94" s="235" t="str">
        <f t="shared" si="6"/>
        <v>RHHSC_HP_ELC_01</v>
      </c>
      <c r="E94" s="244" t="str">
        <f>'RSD (DEA)'!Q98</f>
        <v>Electric heat pumps</v>
      </c>
      <c r="F94" s="255" t="s">
        <v>239</v>
      </c>
      <c r="G94" s="255" t="s">
        <v>240</v>
      </c>
      <c r="H94" s="244">
        <f>'RSD (DEA)'!S98</f>
        <v>4</v>
      </c>
      <c r="I94" s="244" t="str">
        <f>IF(OR(RIGHT('RSD (DEA)'!AH98,3)="BIO",RIGHT(AD94,3)="BOA"),LEFT('RSD (DEA)'!AH98,3)&amp;"BFW",'RSD (DEA)'!AH98)</f>
        <v>RSDELC</v>
      </c>
      <c r="J94" s="252" t="str">
        <f>'RSD (DEA)'!AI98</f>
        <v>RSDAHT</v>
      </c>
      <c r="K94" s="244" t="str">
        <f>'RSD (DEA)'!AJ98</f>
        <v>RHHSC</v>
      </c>
      <c r="L94" s="244"/>
      <c r="M94" s="182">
        <f t="shared" si="4"/>
        <v>2019</v>
      </c>
      <c r="N94" s="252">
        <f>'RSD (DEA)'!X98</f>
        <v>2015</v>
      </c>
      <c r="O94" s="182">
        <f t="shared" si="5"/>
        <v>2019</v>
      </c>
      <c r="P94" s="256">
        <f>'RSD (DEA)'!AZ98</f>
        <v>5</v>
      </c>
      <c r="Q94" s="256">
        <f>'RSD (DEA)'!BA98</f>
        <v>5</v>
      </c>
      <c r="R94" s="252">
        <f>'RSD (DEA)'!BR98/'RSD (DEA)'!S98</f>
        <v>42.5</v>
      </c>
      <c r="S94" s="252">
        <f>'RSD (DEA)'!BS98/X_RSD_HeatingDemand!$AA$8</f>
        <v>0</v>
      </c>
      <c r="T94" s="252">
        <f>'RSD (DEA)'!BK98*X_RSD_HeatingDemand!$AA$9/'RSD (DEA)'!S98</f>
        <v>450</v>
      </c>
      <c r="U94" s="252">
        <f>'RSD (DEA)'!BI98</f>
        <v>12</v>
      </c>
      <c r="V94" s="252"/>
      <c r="W94" s="257">
        <f>'RSD (DEA)'!AM98</f>
        <v>31.536000000000001</v>
      </c>
    </row>
    <row r="95" spans="1:23" x14ac:dyDescent="0.3">
      <c r="A95" s="316"/>
      <c r="B95" s="235"/>
      <c r="C95" s="318"/>
      <c r="D95" s="235"/>
      <c r="E95" s="235"/>
      <c r="F95" s="242"/>
      <c r="G95" s="242"/>
      <c r="H95" s="235"/>
      <c r="I95" s="235"/>
      <c r="J95" s="182" t="str">
        <f>J94</f>
        <v>RSDAHT</v>
      </c>
      <c r="K95" s="235"/>
      <c r="L95" s="235" t="str">
        <f>$AA$11</f>
        <v>ACT</v>
      </c>
      <c r="M95" s="182" t="str">
        <f t="shared" si="4"/>
        <v/>
      </c>
      <c r="N95" s="182"/>
      <c r="O95" s="182"/>
      <c r="P95" s="183"/>
      <c r="Q95" s="183"/>
      <c r="R95" s="182"/>
      <c r="S95" s="182"/>
      <c r="T95" s="182"/>
      <c r="U95" s="182"/>
      <c r="V95" s="182">
        <f t="shared" ref="V95:V158" si="7">IF(L95="ACT",1,IF(LEFT(L95,3)="RSD",-1,""))</f>
        <v>1</v>
      </c>
      <c r="W95" s="236"/>
    </row>
    <row r="96" spans="1:23" x14ac:dyDescent="0.3">
      <c r="A96" s="316"/>
      <c r="B96" s="235"/>
      <c r="C96" s="318"/>
      <c r="D96" s="235"/>
      <c r="E96" s="235"/>
      <c r="F96" s="242"/>
      <c r="G96" s="242"/>
      <c r="H96" s="235"/>
      <c r="I96" s="235"/>
      <c r="J96" s="182" t="str">
        <f>J94</f>
        <v>RSDAHT</v>
      </c>
      <c r="K96" s="235"/>
      <c r="L96" s="235" t="str">
        <f>I94</f>
        <v>RSDELC</v>
      </c>
      <c r="M96" s="182" t="str">
        <f t="shared" si="4"/>
        <v/>
      </c>
      <c r="N96" s="182"/>
      <c r="O96" s="182"/>
      <c r="P96" s="183"/>
      <c r="Q96" s="183"/>
      <c r="R96" s="182"/>
      <c r="S96" s="182"/>
      <c r="T96" s="182"/>
      <c r="U96" s="182"/>
      <c r="V96" s="182">
        <f t="shared" si="7"/>
        <v>-1</v>
      </c>
      <c r="W96" s="236"/>
    </row>
    <row r="97" spans="1:23" x14ac:dyDescent="0.3">
      <c r="A97" s="316"/>
      <c r="B97" s="235" t="str">
        <f>'RSD (DEA)'!AJ99&amp;"_"&amp;'RSD (DEA)'!Z99</f>
        <v>RHHSC_HP_ELC_01</v>
      </c>
      <c r="C97" s="318"/>
      <c r="D97" s="235" t="str">
        <f t="shared" si="6"/>
        <v>RHHSC_HP_ELC_01</v>
      </c>
      <c r="E97" s="235" t="str">
        <f>'RSD (DEA)'!Q99</f>
        <v>Electric heat pumps</v>
      </c>
      <c r="F97" s="242" t="s">
        <v>239</v>
      </c>
      <c r="G97" s="242" t="s">
        <v>240</v>
      </c>
      <c r="H97" s="235">
        <f>'RSD (DEA)'!S99</f>
        <v>4</v>
      </c>
      <c r="I97" s="235" t="str">
        <f>IF(OR(RIGHT('RSD (DEA)'!AH99,3)="BIO",RIGHT(AD97,3)="BOA"),LEFT('RSD (DEA)'!AH99,3)&amp;"BFW",'RSD (DEA)'!AH99)</f>
        <v>RSDELC</v>
      </c>
      <c r="J97" s="182" t="str">
        <f>'RSD (DEA)'!AI99</f>
        <v>RSDAHT</v>
      </c>
      <c r="K97" s="235" t="str">
        <f>'RSD (DEA)'!AJ99</f>
        <v>RHHSC</v>
      </c>
      <c r="L97" s="235"/>
      <c r="M97" s="182">
        <f t="shared" si="4"/>
        <v>2019</v>
      </c>
      <c r="N97" s="182">
        <f>'RSD (DEA)'!X99</f>
        <v>2020</v>
      </c>
      <c r="O97" s="182">
        <f>IF(N97&lt;2019,2019,N97)</f>
        <v>2020</v>
      </c>
      <c r="P97" s="183">
        <f>'RSD (DEA)'!AZ99</f>
        <v>5.0999999999999996</v>
      </c>
      <c r="Q97" s="183">
        <f>'RSD (DEA)'!BA99</f>
        <v>5.0999999999999996</v>
      </c>
      <c r="R97" s="182">
        <f>'RSD (DEA)'!BR99/'RSD (DEA)'!S99</f>
        <v>40.5</v>
      </c>
      <c r="S97" s="182">
        <f>'RSD (DEA)'!BS99/X_RSD_HeatingDemand!$AA$8</f>
        <v>0</v>
      </c>
      <c r="T97" s="182">
        <f>'RSD (DEA)'!BK99*X_RSD_HeatingDemand!$AA$9/'RSD (DEA)'!S99</f>
        <v>450</v>
      </c>
      <c r="U97" s="182">
        <f>'RSD (DEA)'!BI99</f>
        <v>12</v>
      </c>
      <c r="V97" s="182" t="str">
        <f t="shared" si="7"/>
        <v/>
      </c>
      <c r="W97" s="236">
        <f>'RSD (DEA)'!AM99</f>
        <v>31.536000000000001</v>
      </c>
    </row>
    <row r="98" spans="1:23" x14ac:dyDescent="0.3">
      <c r="A98" s="316"/>
      <c r="B98" s="235"/>
      <c r="C98" s="318"/>
      <c r="D98" s="235"/>
      <c r="E98" s="235"/>
      <c r="F98" s="242"/>
      <c r="G98" s="242"/>
      <c r="H98" s="235"/>
      <c r="I98" s="235"/>
      <c r="J98" s="182" t="str">
        <f>J97</f>
        <v>RSDAHT</v>
      </c>
      <c r="K98" s="235"/>
      <c r="L98" s="235" t="str">
        <f>$AA$11</f>
        <v>ACT</v>
      </c>
      <c r="M98" s="182" t="str">
        <f t="shared" si="4"/>
        <v/>
      </c>
      <c r="N98" s="182"/>
      <c r="O98" s="182"/>
      <c r="P98" s="183"/>
      <c r="Q98" s="183"/>
      <c r="R98" s="182"/>
      <c r="S98" s="182"/>
      <c r="T98" s="182"/>
      <c r="U98" s="182"/>
      <c r="V98" s="182">
        <f t="shared" si="7"/>
        <v>1</v>
      </c>
      <c r="W98" s="236"/>
    </row>
    <row r="99" spans="1:23" x14ac:dyDescent="0.3">
      <c r="A99" s="316"/>
      <c r="B99" s="235"/>
      <c r="C99" s="318"/>
      <c r="D99" s="235"/>
      <c r="E99" s="235"/>
      <c r="F99" s="242"/>
      <c r="G99" s="242"/>
      <c r="H99" s="235"/>
      <c r="I99" s="235"/>
      <c r="J99" s="182" t="str">
        <f>J98</f>
        <v>RSDAHT</v>
      </c>
      <c r="K99" s="235"/>
      <c r="L99" s="235" t="str">
        <f>I97</f>
        <v>RSDELC</v>
      </c>
      <c r="M99" s="182" t="str">
        <f t="shared" si="4"/>
        <v/>
      </c>
      <c r="N99" s="182"/>
      <c r="O99" s="182"/>
      <c r="P99" s="183"/>
      <c r="Q99" s="183"/>
      <c r="R99" s="182"/>
      <c r="S99" s="182"/>
      <c r="T99" s="182"/>
      <c r="U99" s="182"/>
      <c r="V99" s="182">
        <f t="shared" si="7"/>
        <v>-1</v>
      </c>
      <c r="W99" s="236"/>
    </row>
    <row r="100" spans="1:23" x14ac:dyDescent="0.3">
      <c r="A100" s="316"/>
      <c r="B100" s="235" t="str">
        <f>'RSD (DEA)'!AJ100&amp;"_"&amp;'RSD (DEA)'!Z100</f>
        <v>RHHSC_HP_ELC_01</v>
      </c>
      <c r="C100" s="318"/>
      <c r="D100" s="235" t="str">
        <f t="shared" si="6"/>
        <v>RHHSC_HP_ELC_01</v>
      </c>
      <c r="E100" s="235" t="str">
        <f>'RSD (DEA)'!Q100</f>
        <v>Electric heat pumps</v>
      </c>
      <c r="F100" s="242" t="s">
        <v>239</v>
      </c>
      <c r="G100" s="242" t="s">
        <v>240</v>
      </c>
      <c r="H100" s="235">
        <f>'RSD (DEA)'!S100</f>
        <v>6</v>
      </c>
      <c r="I100" s="235" t="str">
        <f>IF(OR(RIGHT('RSD (DEA)'!AH100,3)="BIO",RIGHT(AD100,3)="BOA"),LEFT('RSD (DEA)'!AH100,3)&amp;"BFW",'RSD (DEA)'!AH100)</f>
        <v>RSDELC</v>
      </c>
      <c r="J100" s="182" t="str">
        <f>'RSD (DEA)'!AI100</f>
        <v>RSDAHT</v>
      </c>
      <c r="K100" s="235" t="str">
        <f>'RSD (DEA)'!AJ100</f>
        <v>RHHSC</v>
      </c>
      <c r="L100" s="235"/>
      <c r="M100" s="182">
        <f t="shared" si="4"/>
        <v>2019</v>
      </c>
      <c r="N100" s="182">
        <f>'RSD (DEA)'!X100</f>
        <v>2030</v>
      </c>
      <c r="O100" s="182">
        <f>IF(N100&lt;2019,2019,N100)</f>
        <v>2030</v>
      </c>
      <c r="P100" s="183">
        <f>'RSD (DEA)'!AZ100</f>
        <v>4.0999999999999996</v>
      </c>
      <c r="Q100" s="183">
        <f>'RSD (DEA)'!BA100</f>
        <v>4.0999999999999996</v>
      </c>
      <c r="R100" s="182">
        <f>'RSD (DEA)'!BR100/'RSD (DEA)'!S100</f>
        <v>24.333333333333332</v>
      </c>
      <c r="S100" s="182">
        <f>'RSD (DEA)'!BS100/X_RSD_HeatingDemand!$AA$8</f>
        <v>0</v>
      </c>
      <c r="T100" s="182">
        <f>'RSD (DEA)'!BK100*X_RSD_HeatingDemand!$AA$9/'RSD (DEA)'!S100</f>
        <v>300</v>
      </c>
      <c r="U100" s="182">
        <f>'RSD (DEA)'!BI100</f>
        <v>12</v>
      </c>
      <c r="V100" s="182" t="str">
        <f t="shared" si="7"/>
        <v/>
      </c>
      <c r="W100" s="236">
        <f>'RSD (DEA)'!AM100</f>
        <v>31.536000000000001</v>
      </c>
    </row>
    <row r="101" spans="1:23" x14ac:dyDescent="0.3">
      <c r="A101" s="316"/>
      <c r="B101" s="235"/>
      <c r="C101" s="318"/>
      <c r="D101" s="235"/>
      <c r="E101" s="235"/>
      <c r="F101" s="242"/>
      <c r="G101" s="242"/>
      <c r="H101" s="235"/>
      <c r="I101" s="235"/>
      <c r="J101" s="182" t="str">
        <f>J100</f>
        <v>RSDAHT</v>
      </c>
      <c r="K101" s="235"/>
      <c r="L101" s="235" t="str">
        <f>$AA$11</f>
        <v>ACT</v>
      </c>
      <c r="M101" s="182" t="str">
        <f t="shared" si="4"/>
        <v/>
      </c>
      <c r="N101" s="182"/>
      <c r="O101" s="182"/>
      <c r="P101" s="183"/>
      <c r="Q101" s="183"/>
      <c r="R101" s="182"/>
      <c r="S101" s="182"/>
      <c r="T101" s="182"/>
      <c r="U101" s="182"/>
      <c r="V101" s="182">
        <f t="shared" si="7"/>
        <v>1</v>
      </c>
      <c r="W101" s="236"/>
    </row>
    <row r="102" spans="1:23" x14ac:dyDescent="0.3">
      <c r="A102" s="316"/>
      <c r="B102" s="235"/>
      <c r="C102" s="318"/>
      <c r="D102" s="235"/>
      <c r="E102" s="235"/>
      <c r="F102" s="242"/>
      <c r="G102" s="242"/>
      <c r="H102" s="235"/>
      <c r="I102" s="235"/>
      <c r="J102" s="182" t="str">
        <f>J101</f>
        <v>RSDAHT</v>
      </c>
      <c r="K102" s="235"/>
      <c r="L102" s="235" t="str">
        <f>I100</f>
        <v>RSDELC</v>
      </c>
      <c r="M102" s="182" t="str">
        <f t="shared" si="4"/>
        <v/>
      </c>
      <c r="N102" s="182"/>
      <c r="O102" s="182"/>
      <c r="P102" s="183"/>
      <c r="Q102" s="183"/>
      <c r="R102" s="182"/>
      <c r="S102" s="182"/>
      <c r="T102" s="182"/>
      <c r="U102" s="182"/>
      <c r="V102" s="182">
        <f t="shared" si="7"/>
        <v>-1</v>
      </c>
      <c r="W102" s="236"/>
    </row>
    <row r="103" spans="1:23" x14ac:dyDescent="0.3">
      <c r="A103" s="316"/>
      <c r="B103" s="235" t="str">
        <f>'RSD (DEA)'!AJ101&amp;"_"&amp;'RSD (DEA)'!Z101</f>
        <v>RHHSC_HP_ELC_01</v>
      </c>
      <c r="C103" s="318"/>
      <c r="D103" s="235" t="str">
        <f t="shared" si="6"/>
        <v>RHHSC_HP_ELC_01</v>
      </c>
      <c r="E103" s="235" t="str">
        <f>'RSD (DEA)'!Q101</f>
        <v>Electric heat pumps</v>
      </c>
      <c r="F103" s="242" t="s">
        <v>239</v>
      </c>
      <c r="G103" s="242" t="s">
        <v>240</v>
      </c>
      <c r="H103" s="235">
        <f>'RSD (DEA)'!S101</f>
        <v>6</v>
      </c>
      <c r="I103" s="235" t="str">
        <f>IF(OR(RIGHT('RSD (DEA)'!AH101,3)="BIO",RIGHT(AD103,3)="BOA"),LEFT('RSD (DEA)'!AH101,3)&amp;"BFW",'RSD (DEA)'!AH101)</f>
        <v>RSDELC</v>
      </c>
      <c r="J103" s="182" t="str">
        <f>'RSD (DEA)'!AI101</f>
        <v>RSDAHT</v>
      </c>
      <c r="K103" s="235" t="str">
        <f>'RSD (DEA)'!AJ101</f>
        <v>RHHSC</v>
      </c>
      <c r="L103" s="235"/>
      <c r="M103" s="182">
        <f t="shared" si="4"/>
        <v>2019</v>
      </c>
      <c r="N103" s="182">
        <f>'RSD (DEA)'!X101</f>
        <v>2050</v>
      </c>
      <c r="O103" s="182">
        <f>IF(N103&lt;2019,2019,N103)</f>
        <v>2050</v>
      </c>
      <c r="P103" s="183">
        <f>'RSD (DEA)'!AZ101</f>
        <v>4.2</v>
      </c>
      <c r="Q103" s="183">
        <f>'RSD (DEA)'!BA101</f>
        <v>4.2</v>
      </c>
      <c r="R103" s="182">
        <f>'RSD (DEA)'!BR101/'RSD (DEA)'!S101</f>
        <v>22</v>
      </c>
      <c r="S103" s="182">
        <f>'RSD (DEA)'!BS101/X_RSD_HeatingDemand!$AA$8</f>
        <v>0</v>
      </c>
      <c r="T103" s="182">
        <f>'RSD (DEA)'!BK101*X_RSD_HeatingDemand!$AA$9/'RSD (DEA)'!S101</f>
        <v>300</v>
      </c>
      <c r="U103" s="182">
        <f>'RSD (DEA)'!BI101</f>
        <v>12</v>
      </c>
      <c r="V103" s="182" t="str">
        <f t="shared" si="7"/>
        <v/>
      </c>
      <c r="W103" s="236">
        <f>'RSD (DEA)'!AM101</f>
        <v>31.536000000000001</v>
      </c>
    </row>
    <row r="104" spans="1:23" x14ac:dyDescent="0.3">
      <c r="A104" s="316"/>
      <c r="B104" s="235"/>
      <c r="C104" s="318"/>
      <c r="D104" s="235"/>
      <c r="E104" s="235"/>
      <c r="F104" s="242"/>
      <c r="G104" s="242"/>
      <c r="H104" s="235"/>
      <c r="I104" s="235"/>
      <c r="J104" s="182" t="str">
        <f>J103</f>
        <v>RSDAHT</v>
      </c>
      <c r="K104" s="235"/>
      <c r="L104" s="235" t="str">
        <f>$AA$11</f>
        <v>ACT</v>
      </c>
      <c r="M104" s="182" t="str">
        <f t="shared" si="4"/>
        <v/>
      </c>
      <c r="N104" s="182"/>
      <c r="O104" s="182"/>
      <c r="P104" s="183"/>
      <c r="Q104" s="183"/>
      <c r="R104" s="182"/>
      <c r="S104" s="182"/>
      <c r="T104" s="182"/>
      <c r="U104" s="182"/>
      <c r="V104" s="182">
        <f t="shared" si="7"/>
        <v>1</v>
      </c>
      <c r="W104" s="236"/>
    </row>
    <row r="105" spans="1:23" x14ac:dyDescent="0.3">
      <c r="A105" s="316"/>
      <c r="B105" s="235"/>
      <c r="C105" s="318"/>
      <c r="D105" s="235"/>
      <c r="E105" s="235"/>
      <c r="F105" s="242"/>
      <c r="G105" s="242"/>
      <c r="H105" s="235"/>
      <c r="I105" s="235"/>
      <c r="J105" s="182" t="str">
        <f>J104</f>
        <v>RSDAHT</v>
      </c>
      <c r="K105" s="235"/>
      <c r="L105" s="235" t="str">
        <f t="shared" ref="L105" si="8">I103</f>
        <v>RSDELC</v>
      </c>
      <c r="M105" s="182" t="str">
        <f t="shared" si="4"/>
        <v/>
      </c>
      <c r="N105" s="182"/>
      <c r="O105" s="182"/>
      <c r="P105" s="183"/>
      <c r="Q105" s="183"/>
      <c r="R105" s="182"/>
      <c r="S105" s="182"/>
      <c r="T105" s="182"/>
      <c r="U105" s="182"/>
      <c r="V105" s="182">
        <f t="shared" si="7"/>
        <v>-1</v>
      </c>
      <c r="W105" s="236"/>
    </row>
    <row r="106" spans="1:23" x14ac:dyDescent="0.3">
      <c r="A106" s="316"/>
      <c r="B106" s="235" t="str">
        <f>'RSD (DEA)'!AJ102&amp;"_"&amp;'RSD (DEA)'!Z102</f>
        <v>RHHSA_HP_ELC_02</v>
      </c>
      <c r="C106" s="318"/>
      <c r="D106" s="235" t="str">
        <f t="shared" si="6"/>
        <v>RHHSA_HP_ELC_02</v>
      </c>
      <c r="E106" s="235" t="str">
        <f>'RSD (DEA)'!Q102</f>
        <v>Electric heat pumps</v>
      </c>
      <c r="F106" s="242" t="s">
        <v>239</v>
      </c>
      <c r="G106" s="242" t="s">
        <v>240</v>
      </c>
      <c r="H106" s="235">
        <f>'RSD (DEA)'!S102</f>
        <v>2.5</v>
      </c>
      <c r="I106" s="235" t="str">
        <f>IF(OR(RIGHT('RSD (DEA)'!AH102,3)="BIO",RIGHT(AD106,3)="BOA"),LEFT('RSD (DEA)'!AH102,3)&amp;"BFW",'RSD (DEA)'!AH102)</f>
        <v>RSDELC</v>
      </c>
      <c r="J106" s="182" t="str">
        <f>'RSD (DEA)'!AI102</f>
        <v>RSDAHT</v>
      </c>
      <c r="K106" s="235" t="str">
        <f>'RSD (DEA)'!AJ102</f>
        <v>RHHSA</v>
      </c>
      <c r="L106" s="235"/>
      <c r="M106" s="182">
        <f t="shared" si="4"/>
        <v>2019</v>
      </c>
      <c r="N106" s="182">
        <f>'RSD (DEA)'!X102</f>
        <v>2015</v>
      </c>
      <c r="O106" s="182">
        <f>IF(N106&lt;2019,2019,N106)</f>
        <v>2019</v>
      </c>
      <c r="P106" s="183">
        <f>'RSD (DEA)'!AZ102</f>
        <v>4.8</v>
      </c>
      <c r="Q106" s="183">
        <f>'RSD (DEA)'!BA102</f>
        <v>4.8</v>
      </c>
      <c r="R106" s="182">
        <f>'RSD (DEA)'!BR102/'RSD (DEA)'!S102</f>
        <v>68</v>
      </c>
      <c r="S106" s="182">
        <f>'RSD (DEA)'!BS102/X_RSD_HeatingDemand!$AA$8</f>
        <v>0</v>
      </c>
      <c r="T106" s="182">
        <f>'RSD (DEA)'!BK102*X_RSD_HeatingDemand!$AA$9/'RSD (DEA)'!S102</f>
        <v>480</v>
      </c>
      <c r="U106" s="182">
        <f>'RSD (DEA)'!BI102</f>
        <v>12</v>
      </c>
      <c r="V106" s="182" t="str">
        <f t="shared" si="7"/>
        <v/>
      </c>
      <c r="W106" s="236">
        <f>'RSD (DEA)'!AM102</f>
        <v>31.536000000000001</v>
      </c>
    </row>
    <row r="107" spans="1:23" x14ac:dyDescent="0.3">
      <c r="A107" s="316"/>
      <c r="B107" s="235"/>
      <c r="C107" s="318"/>
      <c r="D107" s="235"/>
      <c r="E107" s="235"/>
      <c r="F107" s="242"/>
      <c r="G107" s="242"/>
      <c r="H107" s="235"/>
      <c r="I107" s="235"/>
      <c r="J107" s="182" t="str">
        <f>J106</f>
        <v>RSDAHT</v>
      </c>
      <c r="K107" s="235"/>
      <c r="L107" s="235" t="str">
        <f>$AA$11</f>
        <v>ACT</v>
      </c>
      <c r="M107" s="182" t="str">
        <f t="shared" si="4"/>
        <v/>
      </c>
      <c r="N107" s="182"/>
      <c r="O107" s="182"/>
      <c r="P107" s="183"/>
      <c r="Q107" s="183"/>
      <c r="R107" s="182"/>
      <c r="S107" s="182"/>
      <c r="T107" s="182"/>
      <c r="U107" s="182"/>
      <c r="V107" s="182">
        <f t="shared" si="7"/>
        <v>1</v>
      </c>
      <c r="W107" s="236"/>
    </row>
    <row r="108" spans="1:23" x14ac:dyDescent="0.3">
      <c r="A108" s="316"/>
      <c r="B108" s="235"/>
      <c r="C108" s="318"/>
      <c r="D108" s="235"/>
      <c r="E108" s="235"/>
      <c r="F108" s="242"/>
      <c r="G108" s="242"/>
      <c r="H108" s="235"/>
      <c r="I108" s="235"/>
      <c r="J108" s="182" t="str">
        <f>J107</f>
        <v>RSDAHT</v>
      </c>
      <c r="K108" s="235"/>
      <c r="L108" s="235" t="str">
        <f t="shared" ref="L108" si="9">I106</f>
        <v>RSDELC</v>
      </c>
      <c r="M108" s="182" t="str">
        <f t="shared" si="4"/>
        <v/>
      </c>
      <c r="N108" s="182"/>
      <c r="O108" s="182"/>
      <c r="P108" s="183"/>
      <c r="Q108" s="183"/>
      <c r="R108" s="182"/>
      <c r="S108" s="182"/>
      <c r="T108" s="182"/>
      <c r="U108" s="182"/>
      <c r="V108" s="182">
        <f t="shared" si="7"/>
        <v>-1</v>
      </c>
      <c r="W108" s="236"/>
    </row>
    <row r="109" spans="1:23" x14ac:dyDescent="0.3">
      <c r="A109" s="316"/>
      <c r="B109" s="235" t="str">
        <f>'RSD (DEA)'!AJ103&amp;"_"&amp;'RSD (DEA)'!Z103</f>
        <v>RHHSA_HP_ELC_02</v>
      </c>
      <c r="C109" s="318"/>
      <c r="D109" s="235" t="str">
        <f t="shared" si="6"/>
        <v>RHHSA_HP_ELC_02</v>
      </c>
      <c r="E109" s="235" t="str">
        <f>'RSD (DEA)'!Q103</f>
        <v>Electric heat pumps</v>
      </c>
      <c r="F109" s="242" t="s">
        <v>239</v>
      </c>
      <c r="G109" s="242" t="s">
        <v>240</v>
      </c>
      <c r="H109" s="235">
        <f>'RSD (DEA)'!S103</f>
        <v>2.5</v>
      </c>
      <c r="I109" s="235" t="str">
        <f>IF(OR(RIGHT('RSD (DEA)'!AH103,3)="BIO",RIGHT(AD109,3)="BOA"),LEFT('RSD (DEA)'!AH103,3)&amp;"BFW",'RSD (DEA)'!AH103)</f>
        <v>RSDELC</v>
      </c>
      <c r="J109" s="182" t="str">
        <f>'RSD (DEA)'!AI103</f>
        <v>RSDAHT</v>
      </c>
      <c r="K109" s="235" t="str">
        <f>'RSD (DEA)'!AJ103</f>
        <v>RHHSA</v>
      </c>
      <c r="L109" s="235"/>
      <c r="M109" s="182">
        <f t="shared" si="4"/>
        <v>2019</v>
      </c>
      <c r="N109" s="182">
        <f>'RSD (DEA)'!X103</f>
        <v>2020</v>
      </c>
      <c r="O109" s="182">
        <f>IF(N109&lt;2019,2019,N109)</f>
        <v>2020</v>
      </c>
      <c r="P109" s="183">
        <f>'RSD (DEA)'!AZ103</f>
        <v>4.9000000000000004</v>
      </c>
      <c r="Q109" s="183">
        <f>'RSD (DEA)'!BA103</f>
        <v>4.9000000000000004</v>
      </c>
      <c r="R109" s="182">
        <f>'RSD (DEA)'!BR103/'RSD (DEA)'!S103</f>
        <v>64.8</v>
      </c>
      <c r="S109" s="182">
        <f>'RSD (DEA)'!BS103/X_RSD_HeatingDemand!$AA$8</f>
        <v>0</v>
      </c>
      <c r="T109" s="182">
        <f>'RSD (DEA)'!BK103*X_RSD_HeatingDemand!$AA$9/'RSD (DEA)'!S103</f>
        <v>480</v>
      </c>
      <c r="U109" s="182">
        <f>'RSD (DEA)'!BI103</f>
        <v>12</v>
      </c>
      <c r="V109" s="182" t="str">
        <f t="shared" si="7"/>
        <v/>
      </c>
      <c r="W109" s="236">
        <f>'RSD (DEA)'!AM103</f>
        <v>31.536000000000001</v>
      </c>
    </row>
    <row r="110" spans="1:23" x14ac:dyDescent="0.3">
      <c r="A110" s="316"/>
      <c r="B110" s="235"/>
      <c r="C110" s="318"/>
      <c r="D110" s="235"/>
      <c r="E110" s="235"/>
      <c r="F110" s="242"/>
      <c r="G110" s="242"/>
      <c r="H110" s="235"/>
      <c r="I110" s="235"/>
      <c r="J110" s="182" t="str">
        <f>J109</f>
        <v>RSDAHT</v>
      </c>
      <c r="K110" s="235"/>
      <c r="L110" s="235" t="str">
        <f>$AA$11</f>
        <v>ACT</v>
      </c>
      <c r="M110" s="182" t="str">
        <f t="shared" si="4"/>
        <v/>
      </c>
      <c r="N110" s="182"/>
      <c r="O110" s="182"/>
      <c r="P110" s="183"/>
      <c r="Q110" s="183"/>
      <c r="R110" s="182"/>
      <c r="S110" s="182"/>
      <c r="T110" s="182"/>
      <c r="U110" s="182"/>
      <c r="V110" s="182">
        <f t="shared" si="7"/>
        <v>1</v>
      </c>
      <c r="W110" s="236"/>
    </row>
    <row r="111" spans="1:23" x14ac:dyDescent="0.3">
      <c r="A111" s="316"/>
      <c r="B111" s="235"/>
      <c r="C111" s="318"/>
      <c r="D111" s="235"/>
      <c r="E111" s="235"/>
      <c r="F111" s="242"/>
      <c r="G111" s="242"/>
      <c r="H111" s="235"/>
      <c r="I111" s="235"/>
      <c r="J111" s="182" t="str">
        <f>J110</f>
        <v>RSDAHT</v>
      </c>
      <c r="K111" s="235"/>
      <c r="L111" s="235" t="str">
        <f t="shared" ref="L111" si="10">I109</f>
        <v>RSDELC</v>
      </c>
      <c r="M111" s="182" t="str">
        <f t="shared" si="4"/>
        <v/>
      </c>
      <c r="N111" s="182"/>
      <c r="O111" s="182"/>
      <c r="P111" s="183"/>
      <c r="Q111" s="183"/>
      <c r="R111" s="182"/>
      <c r="S111" s="182"/>
      <c r="T111" s="182"/>
      <c r="U111" s="182"/>
      <c r="V111" s="182">
        <f t="shared" si="7"/>
        <v>-1</v>
      </c>
      <c r="W111" s="236"/>
    </row>
    <row r="112" spans="1:23" x14ac:dyDescent="0.3">
      <c r="A112" s="316"/>
      <c r="B112" s="235" t="str">
        <f>'RSD (DEA)'!AJ104&amp;"_"&amp;'RSD (DEA)'!Z104</f>
        <v>RHHSA_HP_ELC_02</v>
      </c>
      <c r="C112" s="318"/>
      <c r="D112" s="235" t="str">
        <f t="shared" si="6"/>
        <v>RHHSA_HP_ELC_02</v>
      </c>
      <c r="E112" s="235" t="str">
        <f>'RSD (DEA)'!Q104</f>
        <v>Electric heat pumps</v>
      </c>
      <c r="F112" s="242" t="s">
        <v>239</v>
      </c>
      <c r="G112" s="242" t="s">
        <v>240</v>
      </c>
      <c r="H112" s="235">
        <f>'RSD (DEA)'!S104</f>
        <v>3.5</v>
      </c>
      <c r="I112" s="235" t="str">
        <f>IF(OR(RIGHT('RSD (DEA)'!AH104,3)="BIO",RIGHT(AD112,3)="BOA"),LEFT('RSD (DEA)'!AH104,3)&amp;"BFW",'RSD (DEA)'!AH104)</f>
        <v>RSDELC</v>
      </c>
      <c r="J112" s="182" t="str">
        <f>'RSD (DEA)'!AI104</f>
        <v>RSDAHT</v>
      </c>
      <c r="K112" s="235" t="str">
        <f>'RSD (DEA)'!AJ104</f>
        <v>RHHSA</v>
      </c>
      <c r="L112" s="235"/>
      <c r="M112" s="182">
        <f t="shared" si="4"/>
        <v>2019</v>
      </c>
      <c r="N112" s="182">
        <f>'RSD (DEA)'!X104</f>
        <v>2030</v>
      </c>
      <c r="O112" s="182">
        <f>IF(N112&lt;2019,2019,N112)</f>
        <v>2030</v>
      </c>
      <c r="P112" s="183">
        <f>'RSD (DEA)'!AZ104</f>
        <v>3.4</v>
      </c>
      <c r="Q112" s="183">
        <f>'RSD (DEA)'!BA104</f>
        <v>3.4</v>
      </c>
      <c r="R112" s="182">
        <f>'RSD (DEA)'!BR104/'RSD (DEA)'!S104</f>
        <v>41.714285714285715</v>
      </c>
      <c r="S112" s="182">
        <f>'RSD (DEA)'!BS104/X_RSD_HeatingDemand!$AA$8</f>
        <v>0</v>
      </c>
      <c r="T112" s="182">
        <f>'RSD (DEA)'!BK104*X_RSD_HeatingDemand!$AA$9/'RSD (DEA)'!S104</f>
        <v>571.42857142857144</v>
      </c>
      <c r="U112" s="182">
        <f>'RSD (DEA)'!BI104</f>
        <v>12</v>
      </c>
      <c r="V112" s="182" t="str">
        <f t="shared" si="7"/>
        <v/>
      </c>
      <c r="W112" s="236">
        <f>'RSD (DEA)'!AM104</f>
        <v>31.536000000000001</v>
      </c>
    </row>
    <row r="113" spans="1:23" x14ac:dyDescent="0.3">
      <c r="A113" s="316"/>
      <c r="B113" s="235"/>
      <c r="C113" s="318"/>
      <c r="D113" s="235"/>
      <c r="E113" s="235"/>
      <c r="F113" s="242"/>
      <c r="G113" s="242"/>
      <c r="H113" s="235"/>
      <c r="I113" s="235"/>
      <c r="J113" s="182" t="str">
        <f>J112</f>
        <v>RSDAHT</v>
      </c>
      <c r="K113" s="235"/>
      <c r="L113" s="235" t="str">
        <f>$AA$11</f>
        <v>ACT</v>
      </c>
      <c r="M113" s="182" t="str">
        <f t="shared" si="4"/>
        <v/>
      </c>
      <c r="N113" s="182"/>
      <c r="O113" s="182"/>
      <c r="P113" s="183"/>
      <c r="Q113" s="183"/>
      <c r="R113" s="182"/>
      <c r="S113" s="182"/>
      <c r="T113" s="182"/>
      <c r="U113" s="182"/>
      <c r="V113" s="182">
        <f t="shared" si="7"/>
        <v>1</v>
      </c>
      <c r="W113" s="236"/>
    </row>
    <row r="114" spans="1:23" x14ac:dyDescent="0.3">
      <c r="A114" s="316"/>
      <c r="B114" s="235"/>
      <c r="C114" s="318"/>
      <c r="D114" s="235"/>
      <c r="E114" s="235"/>
      <c r="F114" s="242"/>
      <c r="G114" s="242"/>
      <c r="H114" s="235"/>
      <c r="I114" s="235"/>
      <c r="J114" s="182" t="str">
        <f>J113</f>
        <v>RSDAHT</v>
      </c>
      <c r="K114" s="235"/>
      <c r="L114" s="235" t="str">
        <f t="shared" ref="L114" si="11">I112</f>
        <v>RSDELC</v>
      </c>
      <c r="M114" s="182" t="str">
        <f t="shared" si="4"/>
        <v/>
      </c>
      <c r="N114" s="182"/>
      <c r="O114" s="182"/>
      <c r="P114" s="183"/>
      <c r="Q114" s="183"/>
      <c r="R114" s="182"/>
      <c r="S114" s="182"/>
      <c r="T114" s="182"/>
      <c r="U114" s="182"/>
      <c r="V114" s="182">
        <f t="shared" si="7"/>
        <v>-1</v>
      </c>
      <c r="W114" s="236"/>
    </row>
    <row r="115" spans="1:23" x14ac:dyDescent="0.3">
      <c r="A115" s="316"/>
      <c r="B115" s="235" t="str">
        <f>'RSD (DEA)'!AJ105&amp;"_"&amp;'RSD (DEA)'!Z105</f>
        <v>RHHSA_HP_ELC_02</v>
      </c>
      <c r="C115" s="318"/>
      <c r="D115" s="235" t="str">
        <f t="shared" si="6"/>
        <v>RHHSA_HP_ELC_02</v>
      </c>
      <c r="E115" s="235" t="str">
        <f>'RSD (DEA)'!Q105</f>
        <v>Electric heat pumps</v>
      </c>
      <c r="F115" s="242" t="s">
        <v>239</v>
      </c>
      <c r="G115" s="242" t="s">
        <v>240</v>
      </c>
      <c r="H115" s="235">
        <f>'RSD (DEA)'!S105</f>
        <v>3.5</v>
      </c>
      <c r="I115" s="235" t="str">
        <f>IF(OR(RIGHT('RSD (DEA)'!AH105,3)="BIO",RIGHT(AD115,3)="BOA"),LEFT('RSD (DEA)'!AH105,3)&amp;"BFW",'RSD (DEA)'!AH105)</f>
        <v>RSDELC</v>
      </c>
      <c r="J115" s="182" t="str">
        <f>'RSD (DEA)'!AI105</f>
        <v>RSDAHT</v>
      </c>
      <c r="K115" s="235" t="str">
        <f>'RSD (DEA)'!AJ105</f>
        <v>RHHSA</v>
      </c>
      <c r="L115" s="235"/>
      <c r="M115" s="182">
        <f t="shared" si="4"/>
        <v>2019</v>
      </c>
      <c r="N115" s="182">
        <f>'RSD (DEA)'!X105</f>
        <v>2050</v>
      </c>
      <c r="O115" s="182">
        <f>IF(N115&lt;2019,2019,N115)</f>
        <v>2050</v>
      </c>
      <c r="P115" s="183">
        <f>'RSD (DEA)'!AZ105</f>
        <v>3.6</v>
      </c>
      <c r="Q115" s="183">
        <f>'RSD (DEA)'!BA105</f>
        <v>3.6</v>
      </c>
      <c r="R115" s="182">
        <f>'RSD (DEA)'!BR105/'RSD (DEA)'!S105</f>
        <v>37.714285714285715</v>
      </c>
      <c r="S115" s="182">
        <f>'RSD (DEA)'!BS105/X_RSD_HeatingDemand!$AA$8</f>
        <v>0</v>
      </c>
      <c r="T115" s="182">
        <f>'RSD (DEA)'!BK105*X_RSD_HeatingDemand!$AA$9/'RSD (DEA)'!S105</f>
        <v>571.42857142857144</v>
      </c>
      <c r="U115" s="182">
        <f>'RSD (DEA)'!BI105</f>
        <v>12</v>
      </c>
      <c r="V115" s="182" t="str">
        <f t="shared" si="7"/>
        <v/>
      </c>
      <c r="W115" s="236">
        <f>'RSD (DEA)'!AM105</f>
        <v>31.536000000000001</v>
      </c>
    </row>
    <row r="116" spans="1:23" x14ac:dyDescent="0.3">
      <c r="A116" s="316"/>
      <c r="B116" s="235"/>
      <c r="C116" s="318"/>
      <c r="D116" s="235"/>
      <c r="E116" s="235"/>
      <c r="F116" s="242"/>
      <c r="G116" s="242"/>
      <c r="H116" s="235"/>
      <c r="I116" s="235"/>
      <c r="J116" s="182" t="str">
        <f>J115</f>
        <v>RSDAHT</v>
      </c>
      <c r="K116" s="235"/>
      <c r="L116" s="235" t="str">
        <f>$AA$11</f>
        <v>ACT</v>
      </c>
      <c r="M116" s="182" t="str">
        <f t="shared" si="4"/>
        <v/>
      </c>
      <c r="N116" s="182"/>
      <c r="O116" s="182"/>
      <c r="P116" s="183"/>
      <c r="Q116" s="183"/>
      <c r="R116" s="182"/>
      <c r="S116" s="182"/>
      <c r="T116" s="182"/>
      <c r="U116" s="182"/>
      <c r="V116" s="182">
        <f t="shared" si="7"/>
        <v>1</v>
      </c>
      <c r="W116" s="236"/>
    </row>
    <row r="117" spans="1:23" x14ac:dyDescent="0.3">
      <c r="A117" s="316"/>
      <c r="B117" s="235"/>
      <c r="C117" s="318"/>
      <c r="D117" s="235"/>
      <c r="E117" s="235"/>
      <c r="F117" s="242"/>
      <c r="G117" s="242"/>
      <c r="H117" s="235"/>
      <c r="I117" s="235"/>
      <c r="J117" s="182" t="str">
        <f>J116</f>
        <v>RSDAHT</v>
      </c>
      <c r="K117" s="235"/>
      <c r="L117" s="235" t="str">
        <f t="shared" ref="L117" si="12">I115</f>
        <v>RSDELC</v>
      </c>
      <c r="M117" s="182" t="str">
        <f t="shared" si="4"/>
        <v/>
      </c>
      <c r="N117" s="182"/>
      <c r="O117" s="182"/>
      <c r="P117" s="183"/>
      <c r="Q117" s="183"/>
      <c r="R117" s="182"/>
      <c r="S117" s="182"/>
      <c r="T117" s="182"/>
      <c r="U117" s="182"/>
      <c r="V117" s="182">
        <f t="shared" si="7"/>
        <v>-1</v>
      </c>
      <c r="W117" s="236"/>
    </row>
    <row r="118" spans="1:23" x14ac:dyDescent="0.3">
      <c r="A118" s="316"/>
      <c r="B118" s="235" t="str">
        <f>'RSD (DEA)'!AJ106&amp;"_"&amp;'RSD (DEA)'!Z106</f>
        <v>RHHSC_HP_ELC_03</v>
      </c>
      <c r="C118" s="318"/>
      <c r="D118" s="235" t="str">
        <f t="shared" si="6"/>
        <v>RHHSC_HP_ELC_03</v>
      </c>
      <c r="E118" s="235" t="str">
        <f>'RSD (DEA)'!Q106</f>
        <v>Electric heat pumps</v>
      </c>
      <c r="F118" s="242" t="s">
        <v>239</v>
      </c>
      <c r="G118" s="242" t="s">
        <v>240</v>
      </c>
      <c r="H118" s="235">
        <f>'RSD (DEA)'!S106</f>
        <v>10</v>
      </c>
      <c r="I118" s="235" t="str">
        <f>IF(OR(RIGHT('RSD (DEA)'!AH106,3)="BIO",RIGHT(AD118,3)="BOA"),LEFT('RSD (DEA)'!AH106,3)&amp;"BFW",'RSD (DEA)'!AH106)</f>
        <v>RSDELC</v>
      </c>
      <c r="J118" s="182" t="str">
        <f>'RSD (DEA)'!AI106</f>
        <v>RSDAHT</v>
      </c>
      <c r="K118" s="235" t="str">
        <f>'RSD (DEA)'!AJ106</f>
        <v>RHHSC</v>
      </c>
      <c r="L118" s="235"/>
      <c r="M118" s="182">
        <f t="shared" si="4"/>
        <v>2019</v>
      </c>
      <c r="N118" s="182">
        <f>'RSD (DEA)'!X106</f>
        <v>2015</v>
      </c>
      <c r="O118" s="182">
        <f>IF(N118&lt;2019,2019,N118)</f>
        <v>2019</v>
      </c>
      <c r="P118" s="183">
        <f>'RSD (DEA)'!AZ106</f>
        <v>3.9</v>
      </c>
      <c r="Q118" s="183">
        <f>'RSD (DEA)'!BA106</f>
        <v>4</v>
      </c>
      <c r="R118" s="182">
        <f>'RSD (DEA)'!BR106/'RSD (DEA)'!S106</f>
        <v>29.1</v>
      </c>
      <c r="S118" s="182">
        <f>'RSD (DEA)'!BS106/X_RSD_HeatingDemand!$AA$8</f>
        <v>0</v>
      </c>
      <c r="T118" s="182">
        <f>'RSD (DEA)'!BK106*X_RSD_HeatingDemand!$AA$9/'RSD (DEA)'!S106</f>
        <v>1000</v>
      </c>
      <c r="U118" s="182">
        <f>'RSD (DEA)'!BI106</f>
        <v>18</v>
      </c>
      <c r="V118" s="182" t="str">
        <f t="shared" si="7"/>
        <v/>
      </c>
      <c r="W118" s="236">
        <f>'RSD (DEA)'!AM106</f>
        <v>31.536000000000001</v>
      </c>
    </row>
    <row r="119" spans="1:23" x14ac:dyDescent="0.3">
      <c r="A119" s="316"/>
      <c r="B119" s="235"/>
      <c r="C119" s="318"/>
      <c r="D119" s="235"/>
      <c r="E119" s="235"/>
      <c r="F119" s="242"/>
      <c r="G119" s="242"/>
      <c r="H119" s="235"/>
      <c r="I119" s="235"/>
      <c r="J119" s="182" t="str">
        <f>J118</f>
        <v>RSDAHT</v>
      </c>
      <c r="K119" s="235"/>
      <c r="L119" s="235" t="str">
        <f>$AA$11</f>
        <v>ACT</v>
      </c>
      <c r="M119" s="182" t="str">
        <f t="shared" si="4"/>
        <v/>
      </c>
      <c r="N119" s="182"/>
      <c r="O119" s="182"/>
      <c r="P119" s="183"/>
      <c r="Q119" s="183"/>
      <c r="R119" s="182"/>
      <c r="S119" s="182"/>
      <c r="T119" s="182"/>
      <c r="U119" s="182"/>
      <c r="V119" s="182">
        <f t="shared" si="7"/>
        <v>1</v>
      </c>
      <c r="W119" s="236"/>
    </row>
    <row r="120" spans="1:23" x14ac:dyDescent="0.3">
      <c r="A120" s="316"/>
      <c r="B120" s="235"/>
      <c r="C120" s="318"/>
      <c r="D120" s="235"/>
      <c r="E120" s="235"/>
      <c r="F120" s="242"/>
      <c r="G120" s="242"/>
      <c r="H120" s="235"/>
      <c r="I120" s="235"/>
      <c r="J120" s="182" t="str">
        <f>J119</f>
        <v>RSDAHT</v>
      </c>
      <c r="K120" s="235"/>
      <c r="L120" s="235" t="str">
        <f t="shared" ref="L120" si="13">I118</f>
        <v>RSDELC</v>
      </c>
      <c r="M120" s="182" t="str">
        <f t="shared" si="4"/>
        <v/>
      </c>
      <c r="N120" s="182"/>
      <c r="O120" s="182"/>
      <c r="P120" s="183"/>
      <c r="Q120" s="183"/>
      <c r="R120" s="182"/>
      <c r="S120" s="182"/>
      <c r="T120" s="182"/>
      <c r="U120" s="182"/>
      <c r="V120" s="182">
        <f t="shared" si="7"/>
        <v>-1</v>
      </c>
      <c r="W120" s="236"/>
    </row>
    <row r="121" spans="1:23" x14ac:dyDescent="0.3">
      <c r="A121" s="316"/>
      <c r="B121" s="235" t="str">
        <f>'RSD (DEA)'!AJ107&amp;"_"&amp;'RSD (DEA)'!Z107</f>
        <v>RHHSC_HP_ELC_03</v>
      </c>
      <c r="C121" s="318"/>
      <c r="D121" s="235" t="str">
        <f t="shared" si="6"/>
        <v>RHHSC_HP_ELC_03</v>
      </c>
      <c r="E121" s="235" t="str">
        <f>'RSD (DEA)'!Q107</f>
        <v>Electric heat pumps</v>
      </c>
      <c r="F121" s="242" t="s">
        <v>239</v>
      </c>
      <c r="G121" s="242" t="s">
        <v>240</v>
      </c>
      <c r="H121" s="235">
        <f>'RSD (DEA)'!S107</f>
        <v>10</v>
      </c>
      <c r="I121" s="235" t="str">
        <f>IF(OR(RIGHT('RSD (DEA)'!AH107,3)="BIO",RIGHT(AD121,3)="BOA"),LEFT('RSD (DEA)'!AH107,3)&amp;"BFW",'RSD (DEA)'!AH107)</f>
        <v>RSDELC</v>
      </c>
      <c r="J121" s="182" t="str">
        <f>'RSD (DEA)'!AI107</f>
        <v>RSDAHT</v>
      </c>
      <c r="K121" s="235" t="str">
        <f>'RSD (DEA)'!AJ107</f>
        <v>RHHSC</v>
      </c>
      <c r="L121" s="235"/>
      <c r="M121" s="182">
        <f t="shared" si="4"/>
        <v>2019</v>
      </c>
      <c r="N121" s="182">
        <f>'RSD (DEA)'!X107</f>
        <v>2020</v>
      </c>
      <c r="O121" s="182">
        <f>IF(N121&lt;2019,2019,N121)</f>
        <v>2020</v>
      </c>
      <c r="P121" s="183">
        <f>'RSD (DEA)'!AZ107</f>
        <v>4</v>
      </c>
      <c r="Q121" s="183">
        <f>'RSD (DEA)'!BA107</f>
        <v>4.0999999999999996</v>
      </c>
      <c r="R121" s="182">
        <f>'RSD (DEA)'!BR107/'RSD (DEA)'!S107</f>
        <v>27.8</v>
      </c>
      <c r="S121" s="182">
        <f>'RSD (DEA)'!BS107/X_RSD_HeatingDemand!$AA$8</f>
        <v>0</v>
      </c>
      <c r="T121" s="182">
        <f>'RSD (DEA)'!BK107*X_RSD_HeatingDemand!$AA$9/'RSD (DEA)'!S107</f>
        <v>900</v>
      </c>
      <c r="U121" s="182">
        <f>'RSD (DEA)'!BI107</f>
        <v>18</v>
      </c>
      <c r="V121" s="182" t="str">
        <f t="shared" si="7"/>
        <v/>
      </c>
      <c r="W121" s="236">
        <f>'RSD (DEA)'!AM107</f>
        <v>31.536000000000001</v>
      </c>
    </row>
    <row r="122" spans="1:23" x14ac:dyDescent="0.3">
      <c r="A122" s="316"/>
      <c r="B122" s="235"/>
      <c r="C122" s="318"/>
      <c r="D122" s="235"/>
      <c r="E122" s="235"/>
      <c r="F122" s="242"/>
      <c r="G122" s="242"/>
      <c r="H122" s="235"/>
      <c r="I122" s="235"/>
      <c r="J122" s="182" t="str">
        <f>J121</f>
        <v>RSDAHT</v>
      </c>
      <c r="K122" s="235"/>
      <c r="L122" s="235" t="str">
        <f>$AA$11</f>
        <v>ACT</v>
      </c>
      <c r="M122" s="182" t="str">
        <f t="shared" si="4"/>
        <v/>
      </c>
      <c r="N122" s="182"/>
      <c r="O122" s="182"/>
      <c r="P122" s="183"/>
      <c r="Q122" s="183"/>
      <c r="R122" s="182"/>
      <c r="S122" s="182"/>
      <c r="T122" s="182"/>
      <c r="U122" s="182"/>
      <c r="V122" s="182">
        <f t="shared" si="7"/>
        <v>1</v>
      </c>
      <c r="W122" s="236"/>
    </row>
    <row r="123" spans="1:23" x14ac:dyDescent="0.3">
      <c r="A123" s="316"/>
      <c r="B123" s="235"/>
      <c r="C123" s="318"/>
      <c r="D123" s="235"/>
      <c r="E123" s="235"/>
      <c r="F123" s="242"/>
      <c r="G123" s="242"/>
      <c r="H123" s="235"/>
      <c r="I123" s="235"/>
      <c r="J123" s="182" t="str">
        <f>J122</f>
        <v>RSDAHT</v>
      </c>
      <c r="K123" s="235"/>
      <c r="L123" s="235" t="str">
        <f t="shared" ref="L123" si="14">I121</f>
        <v>RSDELC</v>
      </c>
      <c r="M123" s="182" t="str">
        <f t="shared" si="4"/>
        <v/>
      </c>
      <c r="N123" s="182"/>
      <c r="O123" s="182"/>
      <c r="P123" s="183"/>
      <c r="Q123" s="183"/>
      <c r="R123" s="182"/>
      <c r="S123" s="182"/>
      <c r="T123" s="182"/>
      <c r="U123" s="182"/>
      <c r="V123" s="182">
        <f t="shared" si="7"/>
        <v>-1</v>
      </c>
      <c r="W123" s="236"/>
    </row>
    <row r="124" spans="1:23" x14ac:dyDescent="0.3">
      <c r="A124" s="316"/>
      <c r="B124" s="235" t="str">
        <f>'RSD (DEA)'!AJ108&amp;"_"&amp;'RSD (DEA)'!Z108</f>
        <v>RHHSC_HP_ELC_03</v>
      </c>
      <c r="C124" s="318"/>
      <c r="D124" s="235" t="str">
        <f t="shared" si="6"/>
        <v>RHHSC_HP_ELC_03</v>
      </c>
      <c r="E124" s="235" t="str">
        <f>'RSD (DEA)'!Q108</f>
        <v>Electric heat pumps</v>
      </c>
      <c r="F124" s="242" t="s">
        <v>239</v>
      </c>
      <c r="G124" s="242" t="s">
        <v>240</v>
      </c>
      <c r="H124" s="235">
        <f>'RSD (DEA)'!S108</f>
        <v>10</v>
      </c>
      <c r="I124" s="235" t="str">
        <f>IF(OR(RIGHT('RSD (DEA)'!AH108,3)="BIO",RIGHT(AD124,3)="BOA"),LEFT('RSD (DEA)'!AH108,3)&amp;"BFW",'RSD (DEA)'!AH108)</f>
        <v>RSDELC</v>
      </c>
      <c r="J124" s="182" t="str">
        <f>'RSD (DEA)'!AI108</f>
        <v>RSDAHT</v>
      </c>
      <c r="K124" s="235" t="str">
        <f>'RSD (DEA)'!AJ108</f>
        <v>RHHSC</v>
      </c>
      <c r="L124" s="235"/>
      <c r="M124" s="182">
        <f t="shared" si="4"/>
        <v>2019</v>
      </c>
      <c r="N124" s="182">
        <f>'RSD (DEA)'!X108</f>
        <v>2030</v>
      </c>
      <c r="O124" s="182">
        <f>IF(N124&lt;2019,2019,N124)</f>
        <v>2030</v>
      </c>
      <c r="P124" s="183">
        <f>'RSD (DEA)'!AZ108</f>
        <v>4.2</v>
      </c>
      <c r="Q124" s="183">
        <f>'RSD (DEA)'!BA108</f>
        <v>4.3</v>
      </c>
      <c r="R124" s="182">
        <f>'RSD (DEA)'!BR108/'RSD (DEA)'!S108</f>
        <v>25.5</v>
      </c>
      <c r="S124" s="182">
        <f>'RSD (DEA)'!BS108/X_RSD_HeatingDemand!$AA$8</f>
        <v>0</v>
      </c>
      <c r="T124" s="182">
        <f>'RSD (DEA)'!BK108*X_RSD_HeatingDemand!$AA$9/'RSD (DEA)'!S108</f>
        <v>900</v>
      </c>
      <c r="U124" s="182">
        <f>'RSD (DEA)'!BI108</f>
        <v>18</v>
      </c>
      <c r="V124" s="182" t="str">
        <f t="shared" si="7"/>
        <v/>
      </c>
      <c r="W124" s="236">
        <f>'RSD (DEA)'!AM108</f>
        <v>31.536000000000001</v>
      </c>
    </row>
    <row r="125" spans="1:23" x14ac:dyDescent="0.3">
      <c r="A125" s="316"/>
      <c r="B125" s="235"/>
      <c r="C125" s="318"/>
      <c r="D125" s="235"/>
      <c r="E125" s="235"/>
      <c r="F125" s="242"/>
      <c r="G125" s="242"/>
      <c r="H125" s="235"/>
      <c r="I125" s="235"/>
      <c r="J125" s="182" t="str">
        <f>J124</f>
        <v>RSDAHT</v>
      </c>
      <c r="K125" s="235"/>
      <c r="L125" s="235" t="str">
        <f>$AA$11</f>
        <v>ACT</v>
      </c>
      <c r="M125" s="182" t="str">
        <f t="shared" si="4"/>
        <v/>
      </c>
      <c r="N125" s="182"/>
      <c r="O125" s="182"/>
      <c r="P125" s="183"/>
      <c r="Q125" s="183"/>
      <c r="R125" s="182"/>
      <c r="S125" s="182"/>
      <c r="T125" s="182"/>
      <c r="U125" s="182"/>
      <c r="V125" s="182">
        <f t="shared" si="7"/>
        <v>1</v>
      </c>
      <c r="W125" s="236"/>
    </row>
    <row r="126" spans="1:23" x14ac:dyDescent="0.3">
      <c r="A126" s="316"/>
      <c r="B126" s="235"/>
      <c r="C126" s="318"/>
      <c r="D126" s="235"/>
      <c r="E126" s="235"/>
      <c r="F126" s="242"/>
      <c r="G126" s="242"/>
      <c r="H126" s="235"/>
      <c r="I126" s="235"/>
      <c r="J126" s="182" t="str">
        <f>J125</f>
        <v>RSDAHT</v>
      </c>
      <c r="K126" s="235"/>
      <c r="L126" s="235" t="str">
        <f t="shared" ref="L126" si="15">I124</f>
        <v>RSDELC</v>
      </c>
      <c r="M126" s="182" t="str">
        <f t="shared" si="4"/>
        <v/>
      </c>
      <c r="N126" s="182"/>
      <c r="O126" s="182"/>
      <c r="P126" s="183"/>
      <c r="Q126" s="183"/>
      <c r="R126" s="182"/>
      <c r="S126" s="182"/>
      <c r="T126" s="182"/>
      <c r="U126" s="182"/>
      <c r="V126" s="182">
        <f t="shared" si="7"/>
        <v>-1</v>
      </c>
      <c r="W126" s="236"/>
    </row>
    <row r="127" spans="1:23" x14ac:dyDescent="0.3">
      <c r="A127" s="316"/>
      <c r="B127" s="235" t="str">
        <f>'RSD (DEA)'!AJ109&amp;"_"&amp;'RSD (DEA)'!Z109</f>
        <v>RHHSC_HP_ELC_03</v>
      </c>
      <c r="C127" s="318"/>
      <c r="D127" s="235" t="str">
        <f t="shared" si="6"/>
        <v>RHHSC_HP_ELC_03</v>
      </c>
      <c r="E127" s="235" t="str">
        <f>'RSD (DEA)'!Q109</f>
        <v>Electric heat pumps</v>
      </c>
      <c r="F127" s="242" t="s">
        <v>239</v>
      </c>
      <c r="G127" s="242" t="s">
        <v>240</v>
      </c>
      <c r="H127" s="235">
        <f>'RSD (DEA)'!S109</f>
        <v>10</v>
      </c>
      <c r="I127" s="235" t="str">
        <f>IF(OR(RIGHT('RSD (DEA)'!AH109,3)="BIO",RIGHT(AD127,3)="BOA"),LEFT('RSD (DEA)'!AH109,3)&amp;"BFW",'RSD (DEA)'!AH109)</f>
        <v>RSDELC</v>
      </c>
      <c r="J127" s="182" t="str">
        <f>'RSD (DEA)'!AI109</f>
        <v>RSDAHT</v>
      </c>
      <c r="K127" s="235" t="str">
        <f>'RSD (DEA)'!AJ109</f>
        <v>RHHSC</v>
      </c>
      <c r="L127" s="235"/>
      <c r="M127" s="182">
        <f t="shared" si="4"/>
        <v>2019</v>
      </c>
      <c r="N127" s="182">
        <f>'RSD (DEA)'!X109</f>
        <v>2050</v>
      </c>
      <c r="O127" s="182">
        <f>IF(N127&lt;2019,2019,N127)</f>
        <v>2050</v>
      </c>
      <c r="P127" s="183">
        <f>'RSD (DEA)'!AZ109</f>
        <v>4.4000000000000004</v>
      </c>
      <c r="Q127" s="183">
        <f>'RSD (DEA)'!BA109</f>
        <v>4.5</v>
      </c>
      <c r="R127" s="182">
        <f>'RSD (DEA)'!BR109/'RSD (DEA)'!S109</f>
        <v>23.9</v>
      </c>
      <c r="S127" s="182">
        <f>'RSD (DEA)'!BS109/X_RSD_HeatingDemand!$AA$8</f>
        <v>0</v>
      </c>
      <c r="T127" s="182">
        <f>'RSD (DEA)'!BK109*X_RSD_HeatingDemand!$AA$9/'RSD (DEA)'!S109</f>
        <v>800</v>
      </c>
      <c r="U127" s="182">
        <f>'RSD (DEA)'!BI109</f>
        <v>18</v>
      </c>
      <c r="V127" s="182" t="str">
        <f t="shared" si="7"/>
        <v/>
      </c>
      <c r="W127" s="236">
        <f>'RSD (DEA)'!AM109</f>
        <v>31.536000000000001</v>
      </c>
    </row>
    <row r="128" spans="1:23" x14ac:dyDescent="0.3">
      <c r="A128" s="316"/>
      <c r="B128" s="235"/>
      <c r="C128" s="318"/>
      <c r="D128" s="235"/>
      <c r="E128" s="235"/>
      <c r="F128" s="242"/>
      <c r="G128" s="242"/>
      <c r="H128" s="235"/>
      <c r="I128" s="235"/>
      <c r="J128" s="182" t="str">
        <f>J127</f>
        <v>RSDAHT</v>
      </c>
      <c r="K128" s="235"/>
      <c r="L128" s="235" t="str">
        <f>$AA$11</f>
        <v>ACT</v>
      </c>
      <c r="M128" s="182" t="str">
        <f t="shared" si="4"/>
        <v/>
      </c>
      <c r="N128" s="182"/>
      <c r="O128" s="182"/>
      <c r="P128" s="183"/>
      <c r="Q128" s="183"/>
      <c r="R128" s="182"/>
      <c r="S128" s="182"/>
      <c r="T128" s="182"/>
      <c r="U128" s="182"/>
      <c r="V128" s="182">
        <f t="shared" si="7"/>
        <v>1</v>
      </c>
      <c r="W128" s="236"/>
    </row>
    <row r="129" spans="1:23" x14ac:dyDescent="0.3">
      <c r="A129" s="316"/>
      <c r="B129" s="235"/>
      <c r="C129" s="318"/>
      <c r="D129" s="235"/>
      <c r="E129" s="235"/>
      <c r="F129" s="242"/>
      <c r="G129" s="242"/>
      <c r="H129" s="235"/>
      <c r="I129" s="235"/>
      <c r="J129" s="182" t="str">
        <f>J128</f>
        <v>RSDAHT</v>
      </c>
      <c r="K129" s="235"/>
      <c r="L129" s="235" t="str">
        <f t="shared" ref="L129" si="16">I127</f>
        <v>RSDELC</v>
      </c>
      <c r="M129" s="182" t="str">
        <f t="shared" si="4"/>
        <v/>
      </c>
      <c r="N129" s="182"/>
      <c r="O129" s="182"/>
      <c r="P129" s="183"/>
      <c r="Q129" s="183"/>
      <c r="R129" s="182"/>
      <c r="S129" s="182"/>
      <c r="T129" s="182"/>
      <c r="U129" s="182"/>
      <c r="V129" s="182">
        <f t="shared" si="7"/>
        <v>-1</v>
      </c>
      <c r="W129" s="236"/>
    </row>
    <row r="130" spans="1:23" x14ac:dyDescent="0.3">
      <c r="A130" s="316"/>
      <c r="B130" s="235" t="str">
        <f>'RSD (DEA)'!AJ110&amp;"_"&amp;'RSD (DEA)'!Z110</f>
        <v>RHHSA_HP_ELC_04</v>
      </c>
      <c r="C130" s="318"/>
      <c r="D130" s="235" t="str">
        <f t="shared" si="6"/>
        <v>RHHSA_HP_ELC_04</v>
      </c>
      <c r="E130" s="235" t="str">
        <f>'RSD (DEA)'!Q110</f>
        <v>Electric heat pumps</v>
      </c>
      <c r="F130" s="242" t="s">
        <v>239</v>
      </c>
      <c r="G130" s="242" t="s">
        <v>240</v>
      </c>
      <c r="H130" s="235">
        <f>'RSD (DEA)'!S110</f>
        <v>4</v>
      </c>
      <c r="I130" s="235" t="str">
        <f>IF(OR(RIGHT('RSD (DEA)'!AH110,3)="BIO",RIGHT(AD130,3)="BOA"),LEFT('RSD (DEA)'!AH110,3)&amp;"BFW",'RSD (DEA)'!AH110)</f>
        <v>RSDELC</v>
      </c>
      <c r="J130" s="182" t="str">
        <f>'RSD (DEA)'!AI110</f>
        <v>RSDAHT</v>
      </c>
      <c r="K130" s="235" t="str">
        <f>'RSD (DEA)'!AJ110</f>
        <v>RHHSA</v>
      </c>
      <c r="L130" s="235"/>
      <c r="M130" s="182">
        <f t="shared" si="4"/>
        <v>2019</v>
      </c>
      <c r="N130" s="182">
        <f>'RSD (DEA)'!X110</f>
        <v>2015</v>
      </c>
      <c r="O130" s="182">
        <f>IF(N130&lt;2019,2019,N130)</f>
        <v>2019</v>
      </c>
      <c r="P130" s="183">
        <f>'RSD (DEA)'!AZ110</f>
        <v>3.25</v>
      </c>
      <c r="Q130" s="183">
        <f>'RSD (DEA)'!BA110</f>
        <v>3.45</v>
      </c>
      <c r="R130" s="182">
        <f>'RSD (DEA)'!BR110/'RSD (DEA)'!S110</f>
        <v>72.75</v>
      </c>
      <c r="S130" s="182">
        <f>'RSD (DEA)'!BS110/X_RSD_HeatingDemand!$AA$8</f>
        <v>0</v>
      </c>
      <c r="T130" s="182">
        <f>'RSD (DEA)'!BK110*X_RSD_HeatingDemand!$AA$9/'RSD (DEA)'!S110</f>
        <v>1750</v>
      </c>
      <c r="U130" s="182">
        <f>'RSD (DEA)'!BI110</f>
        <v>18</v>
      </c>
      <c r="V130" s="182" t="str">
        <f t="shared" si="7"/>
        <v/>
      </c>
      <c r="W130" s="236">
        <f>'RSD (DEA)'!AM110</f>
        <v>31.536000000000001</v>
      </c>
    </row>
    <row r="131" spans="1:23" x14ac:dyDescent="0.3">
      <c r="A131" s="316"/>
      <c r="B131" s="235"/>
      <c r="C131" s="318"/>
      <c r="D131" s="235"/>
      <c r="E131" s="235"/>
      <c r="F131" s="242"/>
      <c r="G131" s="242"/>
      <c r="H131" s="235"/>
      <c r="I131" s="235"/>
      <c r="J131" s="182" t="str">
        <f>J130</f>
        <v>RSDAHT</v>
      </c>
      <c r="K131" s="235"/>
      <c r="L131" s="235" t="str">
        <f>$AA$11</f>
        <v>ACT</v>
      </c>
      <c r="M131" s="182" t="str">
        <f t="shared" si="4"/>
        <v/>
      </c>
      <c r="N131" s="182"/>
      <c r="O131" s="182"/>
      <c r="P131" s="183"/>
      <c r="Q131" s="183"/>
      <c r="R131" s="182"/>
      <c r="S131" s="182"/>
      <c r="T131" s="182"/>
      <c r="U131" s="182"/>
      <c r="V131" s="182">
        <f t="shared" si="7"/>
        <v>1</v>
      </c>
      <c r="W131" s="236"/>
    </row>
    <row r="132" spans="1:23" x14ac:dyDescent="0.3">
      <c r="A132" s="316"/>
      <c r="B132" s="235"/>
      <c r="C132" s="318"/>
      <c r="D132" s="235"/>
      <c r="E132" s="235"/>
      <c r="F132" s="242"/>
      <c r="G132" s="242"/>
      <c r="H132" s="235"/>
      <c r="I132" s="235"/>
      <c r="J132" s="182" t="str">
        <f>J131</f>
        <v>RSDAHT</v>
      </c>
      <c r="K132" s="235"/>
      <c r="L132" s="235" t="str">
        <f t="shared" ref="L132" si="17">I130</f>
        <v>RSDELC</v>
      </c>
      <c r="M132" s="182" t="str">
        <f t="shared" si="4"/>
        <v/>
      </c>
      <c r="N132" s="182"/>
      <c r="O132" s="182"/>
      <c r="P132" s="183"/>
      <c r="Q132" s="183"/>
      <c r="R132" s="182"/>
      <c r="S132" s="182"/>
      <c r="T132" s="182"/>
      <c r="U132" s="182"/>
      <c r="V132" s="182">
        <f t="shared" si="7"/>
        <v>-1</v>
      </c>
      <c r="W132" s="236"/>
    </row>
    <row r="133" spans="1:23" x14ac:dyDescent="0.3">
      <c r="A133" s="316"/>
      <c r="B133" s="235" t="str">
        <f>'RSD (DEA)'!AJ111&amp;"_"&amp;'RSD (DEA)'!Z111</f>
        <v>RHHSA_HP_ELC_04</v>
      </c>
      <c r="C133" s="318"/>
      <c r="D133" s="235" t="str">
        <f t="shared" si="6"/>
        <v>RHHSA_HP_ELC_04</v>
      </c>
      <c r="E133" s="235" t="str">
        <f>'RSD (DEA)'!Q111</f>
        <v>Electric heat pumps</v>
      </c>
      <c r="F133" s="242" t="s">
        <v>239</v>
      </c>
      <c r="G133" s="242" t="s">
        <v>240</v>
      </c>
      <c r="H133" s="235">
        <f>'RSD (DEA)'!S111</f>
        <v>4</v>
      </c>
      <c r="I133" s="235" t="str">
        <f>IF(OR(RIGHT('RSD (DEA)'!AH111,3)="BIO",RIGHT(AD133,3)="BOA"),LEFT('RSD (DEA)'!AH111,3)&amp;"BFW",'RSD (DEA)'!AH111)</f>
        <v>RSDELC</v>
      </c>
      <c r="J133" s="182" t="str">
        <f>'RSD (DEA)'!AI111</f>
        <v>RSDAHT</v>
      </c>
      <c r="K133" s="235" t="str">
        <f>'RSD (DEA)'!AJ111</f>
        <v>RHHSA</v>
      </c>
      <c r="L133" s="235"/>
      <c r="M133" s="182">
        <f t="shared" si="4"/>
        <v>2019</v>
      </c>
      <c r="N133" s="182">
        <f>'RSD (DEA)'!X111</f>
        <v>2020</v>
      </c>
      <c r="O133" s="182">
        <f>IF(N133&lt;2019,2019,N133)</f>
        <v>2020</v>
      </c>
      <c r="P133" s="183">
        <f>'RSD (DEA)'!AZ111</f>
        <v>3.35</v>
      </c>
      <c r="Q133" s="183">
        <f>'RSD (DEA)'!BA111</f>
        <v>3.55</v>
      </c>
      <c r="R133" s="182">
        <f>'RSD (DEA)'!BR111/'RSD (DEA)'!S111</f>
        <v>69.5</v>
      </c>
      <c r="S133" s="182">
        <f>'RSD (DEA)'!BS111/X_RSD_HeatingDemand!$AA$8</f>
        <v>0</v>
      </c>
      <c r="T133" s="182">
        <f>'RSD (DEA)'!BK111*X_RSD_HeatingDemand!$AA$9/'RSD (DEA)'!S111</f>
        <v>1750</v>
      </c>
      <c r="U133" s="182">
        <f>'RSD (DEA)'!BI111</f>
        <v>18</v>
      </c>
      <c r="V133" s="182" t="str">
        <f t="shared" si="7"/>
        <v/>
      </c>
      <c r="W133" s="236">
        <f>'RSD (DEA)'!AM111</f>
        <v>31.536000000000001</v>
      </c>
    </row>
    <row r="134" spans="1:23" x14ac:dyDescent="0.3">
      <c r="A134" s="316"/>
      <c r="B134" s="235"/>
      <c r="C134" s="318"/>
      <c r="D134" s="235"/>
      <c r="E134" s="235"/>
      <c r="F134" s="242"/>
      <c r="G134" s="242"/>
      <c r="H134" s="235"/>
      <c r="I134" s="235"/>
      <c r="J134" s="182" t="str">
        <f>J133</f>
        <v>RSDAHT</v>
      </c>
      <c r="K134" s="235"/>
      <c r="L134" s="235" t="str">
        <f>$AA$11</f>
        <v>ACT</v>
      </c>
      <c r="M134" s="182" t="str">
        <f t="shared" ref="M134:M197" si="18">IF(ISBLANK(B134),"",$AA$14)</f>
        <v/>
      </c>
      <c r="N134" s="182"/>
      <c r="O134" s="182"/>
      <c r="P134" s="183"/>
      <c r="Q134" s="183"/>
      <c r="R134" s="182"/>
      <c r="S134" s="182"/>
      <c r="T134" s="182"/>
      <c r="U134" s="182"/>
      <c r="V134" s="182">
        <f t="shared" si="7"/>
        <v>1</v>
      </c>
      <c r="W134" s="236"/>
    </row>
    <row r="135" spans="1:23" x14ac:dyDescent="0.3">
      <c r="A135" s="316"/>
      <c r="B135" s="235"/>
      <c r="C135" s="318"/>
      <c r="D135" s="235"/>
      <c r="E135" s="235"/>
      <c r="F135" s="242"/>
      <c r="G135" s="242"/>
      <c r="H135" s="235"/>
      <c r="I135" s="235"/>
      <c r="J135" s="182" t="str">
        <f>J134</f>
        <v>RSDAHT</v>
      </c>
      <c r="K135" s="235"/>
      <c r="L135" s="235" t="str">
        <f t="shared" ref="L135" si="19">I133</f>
        <v>RSDELC</v>
      </c>
      <c r="M135" s="182" t="str">
        <f t="shared" si="18"/>
        <v/>
      </c>
      <c r="N135" s="182"/>
      <c r="O135" s="182"/>
      <c r="P135" s="183"/>
      <c r="Q135" s="183"/>
      <c r="R135" s="182"/>
      <c r="S135" s="182"/>
      <c r="T135" s="182"/>
      <c r="U135" s="182"/>
      <c r="V135" s="182">
        <f t="shared" si="7"/>
        <v>-1</v>
      </c>
      <c r="W135" s="236"/>
    </row>
    <row r="136" spans="1:23" x14ac:dyDescent="0.3">
      <c r="A136" s="316"/>
      <c r="B136" s="235" t="str">
        <f>'RSD (DEA)'!AJ112&amp;"_"&amp;'RSD (DEA)'!Z112</f>
        <v>RHHSA_HP_ELC_04</v>
      </c>
      <c r="C136" s="318"/>
      <c r="D136" s="235" t="str">
        <f t="shared" ref="D136:D199" si="20">IF(B136=B135,LEFT(B136,LEN(B136)-2)&amp;IF(RIGHT(D135)+1&lt;9,"0"&amp;RIGHT(D135)+1,RIGHT(D135)+1),B136)</f>
        <v>RHHSA_HP_ELC_04</v>
      </c>
      <c r="E136" s="235" t="str">
        <f>'RSD (DEA)'!Q112</f>
        <v>Electric heat pumps</v>
      </c>
      <c r="F136" s="242" t="s">
        <v>239</v>
      </c>
      <c r="G136" s="242" t="s">
        <v>240</v>
      </c>
      <c r="H136" s="235">
        <f>'RSD (DEA)'!S112</f>
        <v>4</v>
      </c>
      <c r="I136" s="235" t="str">
        <f>IF(OR(RIGHT('RSD (DEA)'!AH112,3)="BIO",RIGHT(AD136,3)="BOA"),LEFT('RSD (DEA)'!AH112,3)&amp;"BFW",'RSD (DEA)'!AH112)</f>
        <v>RSDELC</v>
      </c>
      <c r="J136" s="182" t="str">
        <f>'RSD (DEA)'!AI112</f>
        <v>RSDAHT</v>
      </c>
      <c r="K136" s="235" t="str">
        <f>'RSD (DEA)'!AJ112</f>
        <v>RHHSA</v>
      </c>
      <c r="L136" s="235"/>
      <c r="M136" s="182">
        <f t="shared" si="18"/>
        <v>2019</v>
      </c>
      <c r="N136" s="182">
        <f>'RSD (DEA)'!X112</f>
        <v>2030</v>
      </c>
      <c r="O136" s="182">
        <f>IF(N136&lt;2019,2019,N136)</f>
        <v>2030</v>
      </c>
      <c r="P136" s="183">
        <f>'RSD (DEA)'!AZ112</f>
        <v>3.45</v>
      </c>
      <c r="Q136" s="183">
        <f>'RSD (DEA)'!BA112</f>
        <v>3.65</v>
      </c>
      <c r="R136" s="182">
        <f>'RSD (DEA)'!BR112/'RSD (DEA)'!S112</f>
        <v>63.75</v>
      </c>
      <c r="S136" s="182">
        <f>'RSD (DEA)'!BS112/X_RSD_HeatingDemand!$AA$8</f>
        <v>0</v>
      </c>
      <c r="T136" s="182">
        <f>'RSD (DEA)'!BK112*X_RSD_HeatingDemand!$AA$9/'RSD (DEA)'!S112</f>
        <v>1500</v>
      </c>
      <c r="U136" s="182">
        <f>'RSD (DEA)'!BI112</f>
        <v>18</v>
      </c>
      <c r="V136" s="182" t="str">
        <f t="shared" si="7"/>
        <v/>
      </c>
      <c r="W136" s="236">
        <f>'RSD (DEA)'!AM112</f>
        <v>31.536000000000001</v>
      </c>
    </row>
    <row r="137" spans="1:23" x14ac:dyDescent="0.3">
      <c r="A137" s="316"/>
      <c r="B137" s="235"/>
      <c r="C137" s="318"/>
      <c r="D137" s="235"/>
      <c r="E137" s="235"/>
      <c r="F137" s="242"/>
      <c r="G137" s="242"/>
      <c r="H137" s="235"/>
      <c r="I137" s="235"/>
      <c r="J137" s="182" t="str">
        <f>J136</f>
        <v>RSDAHT</v>
      </c>
      <c r="K137" s="235"/>
      <c r="L137" s="235" t="str">
        <f>$AA$11</f>
        <v>ACT</v>
      </c>
      <c r="M137" s="182" t="str">
        <f t="shared" si="18"/>
        <v/>
      </c>
      <c r="N137" s="182"/>
      <c r="O137" s="182"/>
      <c r="P137" s="183"/>
      <c r="Q137" s="183"/>
      <c r="R137" s="182"/>
      <c r="S137" s="182"/>
      <c r="T137" s="182"/>
      <c r="U137" s="182"/>
      <c r="V137" s="182">
        <f t="shared" si="7"/>
        <v>1</v>
      </c>
      <c r="W137" s="236"/>
    </row>
    <row r="138" spans="1:23" x14ac:dyDescent="0.3">
      <c r="A138" s="316"/>
      <c r="B138" s="235"/>
      <c r="C138" s="318"/>
      <c r="D138" s="235"/>
      <c r="E138" s="235"/>
      <c r="F138" s="242"/>
      <c r="G138" s="242"/>
      <c r="H138" s="235"/>
      <c r="I138" s="235"/>
      <c r="J138" s="182" t="str">
        <f>J137</f>
        <v>RSDAHT</v>
      </c>
      <c r="K138" s="235"/>
      <c r="L138" s="235" t="str">
        <f t="shared" ref="L138" si="21">I136</f>
        <v>RSDELC</v>
      </c>
      <c r="M138" s="182" t="str">
        <f t="shared" si="18"/>
        <v/>
      </c>
      <c r="N138" s="182"/>
      <c r="O138" s="182"/>
      <c r="P138" s="183"/>
      <c r="Q138" s="183"/>
      <c r="R138" s="182"/>
      <c r="S138" s="182"/>
      <c r="T138" s="182"/>
      <c r="U138" s="182"/>
      <c r="V138" s="182">
        <f t="shared" si="7"/>
        <v>-1</v>
      </c>
      <c r="W138" s="236"/>
    </row>
    <row r="139" spans="1:23" x14ac:dyDescent="0.3">
      <c r="A139" s="316"/>
      <c r="B139" s="235" t="str">
        <f>'RSD (DEA)'!AJ113&amp;"_"&amp;'RSD (DEA)'!Z113</f>
        <v>RHHSA_HP_ELC_04</v>
      </c>
      <c r="C139" s="318"/>
      <c r="D139" s="235" t="str">
        <f t="shared" si="20"/>
        <v>RHHSA_HP_ELC_04</v>
      </c>
      <c r="E139" s="235" t="str">
        <f>'RSD (DEA)'!Q113</f>
        <v>Electric heat pumps</v>
      </c>
      <c r="F139" s="242" t="s">
        <v>239</v>
      </c>
      <c r="G139" s="242" t="s">
        <v>240</v>
      </c>
      <c r="H139" s="235">
        <f>'RSD (DEA)'!S113</f>
        <v>4</v>
      </c>
      <c r="I139" s="235" t="str">
        <f>IF(OR(RIGHT('RSD (DEA)'!AH113,3)="BIO",RIGHT(AD139,3)="BOA"),LEFT('RSD (DEA)'!AH113,3)&amp;"BFW",'RSD (DEA)'!AH113)</f>
        <v>RSDELC</v>
      </c>
      <c r="J139" s="182" t="str">
        <f>'RSD (DEA)'!AI113</f>
        <v>RSDAHT</v>
      </c>
      <c r="K139" s="235" t="str">
        <f>'RSD (DEA)'!AJ113</f>
        <v>RHHSA</v>
      </c>
      <c r="L139" s="235"/>
      <c r="M139" s="182">
        <f t="shared" si="18"/>
        <v>2019</v>
      </c>
      <c r="N139" s="182">
        <f>'RSD (DEA)'!X113</f>
        <v>2050</v>
      </c>
      <c r="O139" s="182">
        <f>IF(N139&lt;2019,2019,N139)</f>
        <v>2050</v>
      </c>
      <c r="P139" s="183">
        <f>'RSD (DEA)'!AZ113</f>
        <v>3.65</v>
      </c>
      <c r="Q139" s="183">
        <f>'RSD (DEA)'!BA113</f>
        <v>3.8</v>
      </c>
      <c r="R139" s="182">
        <f>'RSD (DEA)'!BR113/'RSD (DEA)'!S113</f>
        <v>59.75</v>
      </c>
      <c r="S139" s="182">
        <f>'RSD (DEA)'!BS113/X_RSD_HeatingDemand!$AA$8</f>
        <v>0</v>
      </c>
      <c r="T139" s="182">
        <f>'RSD (DEA)'!BK113*X_RSD_HeatingDemand!$AA$9/'RSD (DEA)'!S113</f>
        <v>1250</v>
      </c>
      <c r="U139" s="182">
        <f>'RSD (DEA)'!BI113</f>
        <v>18</v>
      </c>
      <c r="V139" s="182" t="str">
        <f t="shared" si="7"/>
        <v/>
      </c>
      <c r="W139" s="236">
        <f>'RSD (DEA)'!AM113</f>
        <v>31.536000000000001</v>
      </c>
    </row>
    <row r="140" spans="1:23" x14ac:dyDescent="0.3">
      <c r="A140" s="316"/>
      <c r="B140" s="235"/>
      <c r="C140" s="318"/>
      <c r="D140" s="235"/>
      <c r="E140" s="235"/>
      <c r="F140" s="242"/>
      <c r="G140" s="242"/>
      <c r="H140" s="235"/>
      <c r="I140" s="235"/>
      <c r="J140" s="182" t="str">
        <f>J139</f>
        <v>RSDAHT</v>
      </c>
      <c r="K140" s="235"/>
      <c r="L140" s="235" t="str">
        <f>$AA$11</f>
        <v>ACT</v>
      </c>
      <c r="M140" s="182" t="str">
        <f t="shared" si="18"/>
        <v/>
      </c>
      <c r="N140" s="182"/>
      <c r="O140" s="182"/>
      <c r="P140" s="183"/>
      <c r="Q140" s="183"/>
      <c r="R140" s="182"/>
      <c r="S140" s="182"/>
      <c r="T140" s="182"/>
      <c r="U140" s="182"/>
      <c r="V140" s="182">
        <f t="shared" si="7"/>
        <v>1</v>
      </c>
      <c r="W140" s="236"/>
    </row>
    <row r="141" spans="1:23" x14ac:dyDescent="0.3">
      <c r="A141" s="316"/>
      <c r="B141" s="235"/>
      <c r="C141" s="318"/>
      <c r="D141" s="235"/>
      <c r="E141" s="235"/>
      <c r="F141" s="242"/>
      <c r="G141" s="242"/>
      <c r="H141" s="235"/>
      <c r="I141" s="235"/>
      <c r="J141" s="182" t="str">
        <f>J140</f>
        <v>RSDAHT</v>
      </c>
      <c r="K141" s="235"/>
      <c r="L141" s="235" t="str">
        <f t="shared" ref="L141" si="22">I139</f>
        <v>RSDELC</v>
      </c>
      <c r="M141" s="182" t="str">
        <f t="shared" si="18"/>
        <v/>
      </c>
      <c r="N141" s="182"/>
      <c r="O141" s="182"/>
      <c r="P141" s="183"/>
      <c r="Q141" s="183"/>
      <c r="R141" s="182"/>
      <c r="S141" s="182"/>
      <c r="T141" s="182"/>
      <c r="U141" s="182"/>
      <c r="V141" s="182">
        <f t="shared" si="7"/>
        <v>-1</v>
      </c>
      <c r="W141" s="236"/>
    </row>
    <row r="142" spans="1:23" x14ac:dyDescent="0.3">
      <c r="A142" s="316"/>
      <c r="B142" s="235" t="str">
        <f>'RSD (DEA)'!AJ114&amp;"_"&amp;'RSD (DEA)'!Z114</f>
        <v>RHAPC_HP_ELC_05</v>
      </c>
      <c r="C142" s="318"/>
      <c r="D142" s="235" t="str">
        <f t="shared" si="20"/>
        <v>RHAPC_HP_ELC_05</v>
      </c>
      <c r="E142" s="235" t="str">
        <f>'RSD (DEA)'!Q114</f>
        <v>Electric heat pumps</v>
      </c>
      <c r="F142" s="242" t="s">
        <v>239</v>
      </c>
      <c r="G142" s="242" t="s">
        <v>240</v>
      </c>
      <c r="H142" s="235">
        <f>'RSD (DEA)'!S114</f>
        <v>400</v>
      </c>
      <c r="I142" s="235" t="str">
        <f>IF(OR(RIGHT('RSD (DEA)'!AH114,3)="BIO",RIGHT(AD142,3)="BOA"),LEFT('RSD (DEA)'!AH114,3)&amp;"BFW",'RSD (DEA)'!AH114)</f>
        <v>RSDELC</v>
      </c>
      <c r="J142" s="182" t="str">
        <f>'RSD (DEA)'!AI114</f>
        <v>RSDAHT</v>
      </c>
      <c r="K142" s="235" t="str">
        <f>'RSD (DEA)'!AJ114</f>
        <v>RHAPC</v>
      </c>
      <c r="L142" s="235"/>
      <c r="M142" s="182">
        <f t="shared" si="18"/>
        <v>2019</v>
      </c>
      <c r="N142" s="182">
        <f>'RSD (DEA)'!X114</f>
        <v>2015</v>
      </c>
      <c r="O142" s="182">
        <f>IF(N142&lt;2019,2019,N142)</f>
        <v>2019</v>
      </c>
      <c r="P142" s="183">
        <f>'RSD (DEA)'!AZ114</f>
        <v>4.0999999999999996</v>
      </c>
      <c r="Q142" s="183">
        <f>'RSD (DEA)'!BA114</f>
        <v>4.3</v>
      </c>
      <c r="R142" s="182">
        <f>'RSD (DEA)'!BR114/'RSD (DEA)'!S114</f>
        <v>4.0999999999999996</v>
      </c>
      <c r="S142" s="182">
        <f>'RSD (DEA)'!BS114/X_RSD_HeatingDemand!$AA$8</f>
        <v>0.12291666666666666</v>
      </c>
      <c r="T142" s="182">
        <f>'RSD (DEA)'!BK114*X_RSD_HeatingDemand!$AA$9/'RSD (DEA)'!S114</f>
        <v>375</v>
      </c>
      <c r="U142" s="182">
        <f>'RSD (DEA)'!BI114</f>
        <v>20</v>
      </c>
      <c r="V142" s="182" t="str">
        <f t="shared" si="7"/>
        <v/>
      </c>
      <c r="W142" s="236">
        <f>'RSD (DEA)'!AM114</f>
        <v>31.536000000000001</v>
      </c>
    </row>
    <row r="143" spans="1:23" x14ac:dyDescent="0.3">
      <c r="A143" s="316"/>
      <c r="B143" s="235"/>
      <c r="C143" s="318"/>
      <c r="D143" s="235"/>
      <c r="E143" s="235"/>
      <c r="F143" s="242"/>
      <c r="G143" s="242"/>
      <c r="H143" s="235"/>
      <c r="I143" s="235"/>
      <c r="J143" s="182" t="str">
        <f>J142</f>
        <v>RSDAHT</v>
      </c>
      <c r="K143" s="235"/>
      <c r="L143" s="235" t="str">
        <f>$AA$11</f>
        <v>ACT</v>
      </c>
      <c r="M143" s="182" t="str">
        <f t="shared" si="18"/>
        <v/>
      </c>
      <c r="N143" s="182"/>
      <c r="O143" s="182"/>
      <c r="P143" s="183"/>
      <c r="Q143" s="183"/>
      <c r="R143" s="182"/>
      <c r="S143" s="182"/>
      <c r="T143" s="182"/>
      <c r="U143" s="182"/>
      <c r="V143" s="182">
        <f t="shared" si="7"/>
        <v>1</v>
      </c>
      <c r="W143" s="236"/>
    </row>
    <row r="144" spans="1:23" x14ac:dyDescent="0.3">
      <c r="A144" s="316"/>
      <c r="B144" s="235"/>
      <c r="C144" s="318"/>
      <c r="D144" s="235"/>
      <c r="E144" s="235"/>
      <c r="F144" s="242"/>
      <c r="G144" s="242"/>
      <c r="H144" s="235"/>
      <c r="I144" s="235"/>
      <c r="J144" s="182" t="str">
        <f>J143</f>
        <v>RSDAHT</v>
      </c>
      <c r="K144" s="235"/>
      <c r="L144" s="235" t="str">
        <f t="shared" ref="L144" si="23">I142</f>
        <v>RSDELC</v>
      </c>
      <c r="M144" s="182" t="str">
        <f t="shared" si="18"/>
        <v/>
      </c>
      <c r="N144" s="182"/>
      <c r="O144" s="182"/>
      <c r="P144" s="183"/>
      <c r="Q144" s="183"/>
      <c r="R144" s="182"/>
      <c r="S144" s="182"/>
      <c r="T144" s="182"/>
      <c r="U144" s="182"/>
      <c r="V144" s="182">
        <f t="shared" si="7"/>
        <v>-1</v>
      </c>
      <c r="W144" s="236"/>
    </row>
    <row r="145" spans="1:23" x14ac:dyDescent="0.3">
      <c r="A145" s="316"/>
      <c r="B145" s="235" t="str">
        <f>'RSD (DEA)'!AJ115&amp;"_"&amp;'RSD (DEA)'!Z115</f>
        <v>RHAPC_HP_ELC_05</v>
      </c>
      <c r="C145" s="318"/>
      <c r="D145" s="235" t="str">
        <f t="shared" si="20"/>
        <v>RHAPC_HP_ELC_05</v>
      </c>
      <c r="E145" s="235" t="str">
        <f>'RSD (DEA)'!Q115</f>
        <v>Electric heat pumps</v>
      </c>
      <c r="F145" s="242" t="s">
        <v>239</v>
      </c>
      <c r="G145" s="242" t="s">
        <v>240</v>
      </c>
      <c r="H145" s="235">
        <f>'RSD (DEA)'!S115</f>
        <v>400</v>
      </c>
      <c r="I145" s="235" t="str">
        <f>IF(OR(RIGHT('RSD (DEA)'!AH115,3)="BIO",RIGHT(AD145,3)="BOA"),LEFT('RSD (DEA)'!AH115,3)&amp;"BFW",'RSD (DEA)'!AH115)</f>
        <v>RSDELC</v>
      </c>
      <c r="J145" s="182" t="str">
        <f>'RSD (DEA)'!AI115</f>
        <v>RSDAHT</v>
      </c>
      <c r="K145" s="235" t="str">
        <f>'RSD (DEA)'!AJ115</f>
        <v>RHAPC</v>
      </c>
      <c r="L145" s="235"/>
      <c r="M145" s="182">
        <f t="shared" si="18"/>
        <v>2019</v>
      </c>
      <c r="N145" s="182">
        <f>'RSD (DEA)'!X115</f>
        <v>2020</v>
      </c>
      <c r="O145" s="182">
        <f>IF(N145&lt;2019,2019,N145)</f>
        <v>2020</v>
      </c>
      <c r="P145" s="183">
        <f>'RSD (DEA)'!AZ115</f>
        <v>4.2</v>
      </c>
      <c r="Q145" s="183">
        <f>'RSD (DEA)'!BA115</f>
        <v>4.4000000000000004</v>
      </c>
      <c r="R145" s="182">
        <f>'RSD (DEA)'!BR115/'RSD (DEA)'!S115</f>
        <v>4.125</v>
      </c>
      <c r="S145" s="182">
        <f>'RSD (DEA)'!BS115/X_RSD_HeatingDemand!$AA$8</f>
        <v>0.12291666666666666</v>
      </c>
      <c r="T145" s="182">
        <f>'RSD (DEA)'!BK115*X_RSD_HeatingDemand!$AA$9/'RSD (DEA)'!S115</f>
        <v>352.5</v>
      </c>
      <c r="U145" s="182">
        <f>'RSD (DEA)'!BI115</f>
        <v>20</v>
      </c>
      <c r="V145" s="182" t="str">
        <f t="shared" si="7"/>
        <v/>
      </c>
      <c r="W145" s="236">
        <f>'RSD (DEA)'!AM115</f>
        <v>31.536000000000001</v>
      </c>
    </row>
    <row r="146" spans="1:23" x14ac:dyDescent="0.3">
      <c r="A146" s="316"/>
      <c r="B146" s="235"/>
      <c r="C146" s="318"/>
      <c r="D146" s="235"/>
      <c r="E146" s="235"/>
      <c r="F146" s="242"/>
      <c r="G146" s="242"/>
      <c r="H146" s="235"/>
      <c r="I146" s="235"/>
      <c r="J146" s="182" t="str">
        <f>J145</f>
        <v>RSDAHT</v>
      </c>
      <c r="K146" s="235"/>
      <c r="L146" s="235" t="str">
        <f>$AA$11</f>
        <v>ACT</v>
      </c>
      <c r="M146" s="182" t="str">
        <f t="shared" si="18"/>
        <v/>
      </c>
      <c r="N146" s="182"/>
      <c r="O146" s="182"/>
      <c r="P146" s="183"/>
      <c r="Q146" s="183"/>
      <c r="R146" s="182"/>
      <c r="S146" s="182"/>
      <c r="T146" s="182"/>
      <c r="U146" s="182"/>
      <c r="V146" s="182">
        <f t="shared" si="7"/>
        <v>1</v>
      </c>
      <c r="W146" s="236"/>
    </row>
    <row r="147" spans="1:23" x14ac:dyDescent="0.3">
      <c r="A147" s="316"/>
      <c r="B147" s="235"/>
      <c r="C147" s="318"/>
      <c r="D147" s="235"/>
      <c r="E147" s="235"/>
      <c r="F147" s="242"/>
      <c r="G147" s="242"/>
      <c r="H147" s="235"/>
      <c r="I147" s="235"/>
      <c r="J147" s="182" t="str">
        <f>J146</f>
        <v>RSDAHT</v>
      </c>
      <c r="K147" s="235"/>
      <c r="L147" s="235" t="str">
        <f t="shared" ref="L147" si="24">I145</f>
        <v>RSDELC</v>
      </c>
      <c r="M147" s="182" t="str">
        <f t="shared" si="18"/>
        <v/>
      </c>
      <c r="N147" s="182"/>
      <c r="O147" s="182"/>
      <c r="P147" s="183"/>
      <c r="Q147" s="183"/>
      <c r="R147" s="182"/>
      <c r="S147" s="182"/>
      <c r="T147" s="182"/>
      <c r="U147" s="182"/>
      <c r="V147" s="182">
        <f t="shared" si="7"/>
        <v>-1</v>
      </c>
      <c r="W147" s="236"/>
    </row>
    <row r="148" spans="1:23" x14ac:dyDescent="0.3">
      <c r="A148" s="316"/>
      <c r="B148" s="235" t="str">
        <f>'RSD (DEA)'!AJ116&amp;"_"&amp;'RSD (DEA)'!Z116</f>
        <v>RHAPC_HP_ELC_05</v>
      </c>
      <c r="C148" s="318"/>
      <c r="D148" s="235" t="str">
        <f t="shared" si="20"/>
        <v>RHAPC_HP_ELC_05</v>
      </c>
      <c r="E148" s="235" t="str">
        <f>'RSD (DEA)'!Q116</f>
        <v>Electric heat pumps</v>
      </c>
      <c r="F148" s="242" t="s">
        <v>239</v>
      </c>
      <c r="G148" s="242" t="s">
        <v>240</v>
      </c>
      <c r="H148" s="235">
        <f>'RSD (DEA)'!S116</f>
        <v>400</v>
      </c>
      <c r="I148" s="235" t="str">
        <f>IF(OR(RIGHT('RSD (DEA)'!AH116,3)="BIO",RIGHT(AD148,3)="BOA"),LEFT('RSD (DEA)'!AH116,3)&amp;"BFW",'RSD (DEA)'!AH116)</f>
        <v>RSDELC</v>
      </c>
      <c r="J148" s="182" t="str">
        <f>'RSD (DEA)'!AI116</f>
        <v>RSDAHT</v>
      </c>
      <c r="K148" s="235" t="str">
        <f>'RSD (DEA)'!AJ116</f>
        <v>RHAPC</v>
      </c>
      <c r="L148" s="235"/>
      <c r="M148" s="182">
        <f t="shared" si="18"/>
        <v>2019</v>
      </c>
      <c r="N148" s="182">
        <f>'RSD (DEA)'!X116</f>
        <v>2030</v>
      </c>
      <c r="O148" s="182">
        <f>IF(N148&lt;2019,2019,N148)</f>
        <v>2030</v>
      </c>
      <c r="P148" s="183">
        <f>'RSD (DEA)'!AZ116</f>
        <v>4.3</v>
      </c>
      <c r="Q148" s="183">
        <f>'RSD (DEA)'!BA116</f>
        <v>4.5</v>
      </c>
      <c r="R148" s="182">
        <f>'RSD (DEA)'!BR116/'RSD (DEA)'!S116</f>
        <v>4.665</v>
      </c>
      <c r="S148" s="182">
        <f>'RSD (DEA)'!BS116/X_RSD_HeatingDemand!$AA$8</f>
        <v>0.12291666666666666</v>
      </c>
      <c r="T148" s="182">
        <f>'RSD (DEA)'!BK116*X_RSD_HeatingDemand!$AA$9/'RSD (DEA)'!S116</f>
        <v>317.5</v>
      </c>
      <c r="U148" s="182">
        <f>'RSD (DEA)'!BI116</f>
        <v>20</v>
      </c>
      <c r="V148" s="182" t="str">
        <f t="shared" si="7"/>
        <v/>
      </c>
      <c r="W148" s="236">
        <f>'RSD (DEA)'!AM116</f>
        <v>31.536000000000001</v>
      </c>
    </row>
    <row r="149" spans="1:23" x14ac:dyDescent="0.3">
      <c r="A149" s="316"/>
      <c r="B149" s="235"/>
      <c r="C149" s="318"/>
      <c r="D149" s="235"/>
      <c r="E149" s="235"/>
      <c r="F149" s="242"/>
      <c r="G149" s="242"/>
      <c r="H149" s="235"/>
      <c r="I149" s="235"/>
      <c r="J149" s="182" t="str">
        <f>J148</f>
        <v>RSDAHT</v>
      </c>
      <c r="K149" s="235"/>
      <c r="L149" s="235" t="str">
        <f>$AA$11</f>
        <v>ACT</v>
      </c>
      <c r="M149" s="182" t="str">
        <f t="shared" si="18"/>
        <v/>
      </c>
      <c r="N149" s="182"/>
      <c r="O149" s="182"/>
      <c r="P149" s="183"/>
      <c r="Q149" s="183"/>
      <c r="R149" s="182"/>
      <c r="S149" s="182"/>
      <c r="T149" s="182"/>
      <c r="U149" s="182"/>
      <c r="V149" s="182">
        <f t="shared" si="7"/>
        <v>1</v>
      </c>
      <c r="W149" s="236"/>
    </row>
    <row r="150" spans="1:23" x14ac:dyDescent="0.3">
      <c r="A150" s="316"/>
      <c r="B150" s="235"/>
      <c r="C150" s="318"/>
      <c r="D150" s="235"/>
      <c r="E150" s="235"/>
      <c r="F150" s="242"/>
      <c r="G150" s="242"/>
      <c r="H150" s="235"/>
      <c r="I150" s="235"/>
      <c r="J150" s="182" t="str">
        <f>J149</f>
        <v>RSDAHT</v>
      </c>
      <c r="K150" s="235"/>
      <c r="L150" s="235" t="str">
        <f t="shared" ref="L150" si="25">I148</f>
        <v>RSDELC</v>
      </c>
      <c r="M150" s="182" t="str">
        <f t="shared" si="18"/>
        <v/>
      </c>
      <c r="N150" s="182"/>
      <c r="O150" s="182"/>
      <c r="P150" s="183"/>
      <c r="Q150" s="183"/>
      <c r="R150" s="182"/>
      <c r="S150" s="182"/>
      <c r="T150" s="182"/>
      <c r="U150" s="182"/>
      <c r="V150" s="182">
        <f t="shared" si="7"/>
        <v>-1</v>
      </c>
      <c r="W150" s="236"/>
    </row>
    <row r="151" spans="1:23" x14ac:dyDescent="0.3">
      <c r="A151" s="316"/>
      <c r="B151" s="235" t="str">
        <f>'RSD (DEA)'!AJ117&amp;"_"&amp;'RSD (DEA)'!Z117</f>
        <v>RHAPC_HP_ELC_05</v>
      </c>
      <c r="C151" s="318"/>
      <c r="D151" s="235" t="str">
        <f t="shared" si="20"/>
        <v>RHAPC_HP_ELC_05</v>
      </c>
      <c r="E151" s="235" t="str">
        <f>'RSD (DEA)'!Q117</f>
        <v>Electric heat pumps</v>
      </c>
      <c r="F151" s="242" t="s">
        <v>239</v>
      </c>
      <c r="G151" s="242" t="s">
        <v>240</v>
      </c>
      <c r="H151" s="235">
        <f>'RSD (DEA)'!S117</f>
        <v>400</v>
      </c>
      <c r="I151" s="235" t="str">
        <f>IF(OR(RIGHT('RSD (DEA)'!AH117,3)="BIO",RIGHT(AD151,3)="BOA"),LEFT('RSD (DEA)'!AH117,3)&amp;"BFW",'RSD (DEA)'!AH117)</f>
        <v>RSDELC</v>
      </c>
      <c r="J151" s="182" t="str">
        <f>'RSD (DEA)'!AI117</f>
        <v>RSDAHT</v>
      </c>
      <c r="K151" s="235" t="str">
        <f>'RSD (DEA)'!AJ117</f>
        <v>RHAPC</v>
      </c>
      <c r="L151" s="235"/>
      <c r="M151" s="182">
        <f t="shared" si="18"/>
        <v>2019</v>
      </c>
      <c r="N151" s="182">
        <f>'RSD (DEA)'!X117</f>
        <v>2050</v>
      </c>
      <c r="O151" s="182">
        <f>IF(N151&lt;2019,2019,N151)</f>
        <v>2050</v>
      </c>
      <c r="P151" s="183">
        <f>'RSD (DEA)'!AZ117</f>
        <v>4.5999999999999996</v>
      </c>
      <c r="Q151" s="183">
        <f>'RSD (DEA)'!BA117</f>
        <v>4.8</v>
      </c>
      <c r="R151" s="182">
        <f>'RSD (DEA)'!BR117/'RSD (DEA)'!S117</f>
        <v>6.0274999999999999</v>
      </c>
      <c r="S151" s="182">
        <f>'RSD (DEA)'!BS117/X_RSD_HeatingDemand!$AA$8</f>
        <v>0.12291666666666666</v>
      </c>
      <c r="T151" s="182">
        <f>'RSD (DEA)'!BK117*X_RSD_HeatingDemand!$AA$9/'RSD (DEA)'!S117</f>
        <v>285</v>
      </c>
      <c r="U151" s="182">
        <f>'RSD (DEA)'!BI117</f>
        <v>20</v>
      </c>
      <c r="V151" s="182" t="str">
        <f t="shared" si="7"/>
        <v/>
      </c>
      <c r="W151" s="236">
        <f>'RSD (DEA)'!AM117</f>
        <v>31.536000000000001</v>
      </c>
    </row>
    <row r="152" spans="1:23" x14ac:dyDescent="0.3">
      <c r="A152" s="316"/>
      <c r="B152" s="235"/>
      <c r="C152" s="318"/>
      <c r="D152" s="235"/>
      <c r="E152" s="235"/>
      <c r="F152" s="242"/>
      <c r="G152" s="242"/>
      <c r="H152" s="235"/>
      <c r="I152" s="235"/>
      <c r="J152" s="182" t="str">
        <f>J151</f>
        <v>RSDAHT</v>
      </c>
      <c r="K152" s="235"/>
      <c r="L152" s="235" t="str">
        <f>$AA$11</f>
        <v>ACT</v>
      </c>
      <c r="M152" s="182" t="str">
        <f t="shared" si="18"/>
        <v/>
      </c>
      <c r="N152" s="182"/>
      <c r="O152" s="182"/>
      <c r="P152" s="183"/>
      <c r="Q152" s="183"/>
      <c r="R152" s="182"/>
      <c r="S152" s="182"/>
      <c r="T152" s="182"/>
      <c r="U152" s="182"/>
      <c r="V152" s="182">
        <f t="shared" si="7"/>
        <v>1</v>
      </c>
      <c r="W152" s="236"/>
    </row>
    <row r="153" spans="1:23" x14ac:dyDescent="0.3">
      <c r="A153" s="316"/>
      <c r="B153" s="235"/>
      <c r="C153" s="318"/>
      <c r="D153" s="235"/>
      <c r="E153" s="235"/>
      <c r="F153" s="242"/>
      <c r="G153" s="242"/>
      <c r="H153" s="235"/>
      <c r="I153" s="235"/>
      <c r="J153" s="182" t="str">
        <f>J152</f>
        <v>RSDAHT</v>
      </c>
      <c r="K153" s="235"/>
      <c r="L153" s="235" t="str">
        <f t="shared" ref="L153" si="26">I151</f>
        <v>RSDELC</v>
      </c>
      <c r="M153" s="182" t="str">
        <f t="shared" si="18"/>
        <v/>
      </c>
      <c r="N153" s="182"/>
      <c r="O153" s="182"/>
      <c r="P153" s="183"/>
      <c r="Q153" s="183"/>
      <c r="R153" s="182"/>
      <c r="S153" s="182"/>
      <c r="T153" s="182"/>
      <c r="U153" s="182"/>
      <c r="V153" s="182">
        <f t="shared" si="7"/>
        <v>-1</v>
      </c>
      <c r="W153" s="236"/>
    </row>
    <row r="154" spans="1:23" x14ac:dyDescent="0.3">
      <c r="A154" s="316"/>
      <c r="B154" s="235" t="str">
        <f>'RSD (DEA)'!AJ118&amp;"_"&amp;'RSD (DEA)'!Z118</f>
        <v>RHAPA_HP_ELC_06</v>
      </c>
      <c r="C154" s="318"/>
      <c r="D154" s="235" t="str">
        <f t="shared" si="20"/>
        <v>RHAPA_HP_ELC_06</v>
      </c>
      <c r="E154" s="235" t="str">
        <f>'RSD (DEA)'!Q118</f>
        <v>Electric heat pumps</v>
      </c>
      <c r="F154" s="242" t="s">
        <v>239</v>
      </c>
      <c r="G154" s="242" t="s">
        <v>240</v>
      </c>
      <c r="H154" s="235">
        <f>'RSD (DEA)'!S118</f>
        <v>160</v>
      </c>
      <c r="I154" s="235" t="str">
        <f>IF(OR(RIGHT('RSD (DEA)'!AH118,3)="BIO",RIGHT(AD154,3)="BOA"),LEFT('RSD (DEA)'!AH118,3)&amp;"BFW",'RSD (DEA)'!AH118)</f>
        <v>RSDELC</v>
      </c>
      <c r="J154" s="182" t="str">
        <f>'RSD (DEA)'!AI118</f>
        <v>RSDAHT</v>
      </c>
      <c r="K154" s="235" t="str">
        <f>'RSD (DEA)'!AJ118</f>
        <v>RHAPA</v>
      </c>
      <c r="L154" s="235"/>
      <c r="M154" s="182">
        <f t="shared" si="18"/>
        <v>2019</v>
      </c>
      <c r="N154" s="182">
        <f>'RSD (DEA)'!X118</f>
        <v>2015</v>
      </c>
      <c r="O154" s="182">
        <f>IF(N154&lt;2019,2019,N154)</f>
        <v>2019</v>
      </c>
      <c r="P154" s="183">
        <f>'RSD (DEA)'!AZ118</f>
        <v>3.9</v>
      </c>
      <c r="Q154" s="183">
        <f>'RSD (DEA)'!BA118</f>
        <v>4.4000000000000004</v>
      </c>
      <c r="R154" s="182">
        <f>'RSD (DEA)'!BR118/'RSD (DEA)'!S118</f>
        <v>10.25</v>
      </c>
      <c r="S154" s="182">
        <f>'RSD (DEA)'!BS118/X_RSD_HeatingDemand!$AA$8</f>
        <v>0.12291666666666666</v>
      </c>
      <c r="T154" s="182">
        <f>'RSD (DEA)'!BK118*X_RSD_HeatingDemand!$AA$9/'RSD (DEA)'!S118</f>
        <v>468.75</v>
      </c>
      <c r="U154" s="182">
        <f>'RSD (DEA)'!BI118</f>
        <v>20</v>
      </c>
      <c r="V154" s="182" t="str">
        <f t="shared" si="7"/>
        <v/>
      </c>
      <c r="W154" s="236">
        <f>'RSD (DEA)'!AM118</f>
        <v>31.536000000000001</v>
      </c>
    </row>
    <row r="155" spans="1:23" x14ac:dyDescent="0.3">
      <c r="A155" s="316"/>
      <c r="B155" s="235"/>
      <c r="C155" s="318"/>
      <c r="D155" s="235"/>
      <c r="E155" s="235"/>
      <c r="F155" s="242"/>
      <c r="G155" s="242"/>
      <c r="H155" s="235"/>
      <c r="I155" s="235"/>
      <c r="J155" s="182" t="str">
        <f>J154</f>
        <v>RSDAHT</v>
      </c>
      <c r="K155" s="235"/>
      <c r="L155" s="235" t="str">
        <f>$AA$11</f>
        <v>ACT</v>
      </c>
      <c r="M155" s="182" t="str">
        <f t="shared" si="18"/>
        <v/>
      </c>
      <c r="N155" s="182"/>
      <c r="O155" s="182"/>
      <c r="P155" s="183"/>
      <c r="Q155" s="183"/>
      <c r="R155" s="182"/>
      <c r="S155" s="182"/>
      <c r="T155" s="182"/>
      <c r="U155" s="182"/>
      <c r="V155" s="182">
        <f t="shared" si="7"/>
        <v>1</v>
      </c>
      <c r="W155" s="236"/>
    </row>
    <row r="156" spans="1:23" x14ac:dyDescent="0.3">
      <c r="A156" s="316"/>
      <c r="B156" s="235"/>
      <c r="C156" s="318"/>
      <c r="D156" s="235"/>
      <c r="E156" s="235"/>
      <c r="F156" s="242"/>
      <c r="G156" s="242"/>
      <c r="H156" s="235"/>
      <c r="I156" s="235"/>
      <c r="J156" s="182" t="str">
        <f>J155</f>
        <v>RSDAHT</v>
      </c>
      <c r="K156" s="235"/>
      <c r="L156" s="235" t="str">
        <f t="shared" ref="L156" si="27">I154</f>
        <v>RSDELC</v>
      </c>
      <c r="M156" s="182" t="str">
        <f t="shared" si="18"/>
        <v/>
      </c>
      <c r="N156" s="182"/>
      <c r="O156" s="182"/>
      <c r="P156" s="183"/>
      <c r="Q156" s="183"/>
      <c r="R156" s="182"/>
      <c r="S156" s="182"/>
      <c r="T156" s="182"/>
      <c r="U156" s="182"/>
      <c r="V156" s="182">
        <f t="shared" si="7"/>
        <v>-1</v>
      </c>
      <c r="W156" s="236"/>
    </row>
    <row r="157" spans="1:23" x14ac:dyDescent="0.3">
      <c r="A157" s="316"/>
      <c r="B157" s="235" t="str">
        <f>'RSD (DEA)'!AJ119&amp;"_"&amp;'RSD (DEA)'!Z119</f>
        <v>RHAPA_HP_ELC_06</v>
      </c>
      <c r="C157" s="318"/>
      <c r="D157" s="235" t="str">
        <f t="shared" si="20"/>
        <v>RHAPA_HP_ELC_06</v>
      </c>
      <c r="E157" s="235" t="str">
        <f>'RSD (DEA)'!Q119</f>
        <v>Electric heat pumps</v>
      </c>
      <c r="F157" s="242" t="s">
        <v>239</v>
      </c>
      <c r="G157" s="242" t="s">
        <v>240</v>
      </c>
      <c r="H157" s="235">
        <f>'RSD (DEA)'!S119</f>
        <v>160</v>
      </c>
      <c r="I157" s="235" t="str">
        <f>IF(OR(RIGHT('RSD (DEA)'!AH119,3)="BIO",RIGHT(AD157,3)="BOA"),LEFT('RSD (DEA)'!AH119,3)&amp;"BFW",'RSD (DEA)'!AH119)</f>
        <v>RSDELC</v>
      </c>
      <c r="J157" s="182" t="str">
        <f>'RSD (DEA)'!AI119</f>
        <v>RSDAHT</v>
      </c>
      <c r="K157" s="235" t="str">
        <f>'RSD (DEA)'!AJ119</f>
        <v>RHAPA</v>
      </c>
      <c r="L157" s="235"/>
      <c r="M157" s="182">
        <f t="shared" si="18"/>
        <v>2019</v>
      </c>
      <c r="N157" s="182">
        <f>'RSD (DEA)'!X119</f>
        <v>2020</v>
      </c>
      <c r="O157" s="182">
        <f>IF(N157&lt;2019,2019,N157)</f>
        <v>2020</v>
      </c>
      <c r="P157" s="183">
        <f>'RSD (DEA)'!AZ119</f>
        <v>4</v>
      </c>
      <c r="Q157" s="183">
        <f>'RSD (DEA)'!BA119</f>
        <v>4.5</v>
      </c>
      <c r="R157" s="182">
        <f>'RSD (DEA)'!BR119/'RSD (DEA)'!S119</f>
        <v>10.3125</v>
      </c>
      <c r="S157" s="182">
        <f>'RSD (DEA)'!BS119/X_RSD_HeatingDemand!$AA$8</f>
        <v>0.12291666666666666</v>
      </c>
      <c r="T157" s="182">
        <f>'RSD (DEA)'!BK119*X_RSD_HeatingDemand!$AA$9/'RSD (DEA)'!S119</f>
        <v>443.75</v>
      </c>
      <c r="U157" s="182">
        <f>'RSD (DEA)'!BI119</f>
        <v>20</v>
      </c>
      <c r="V157" s="182" t="str">
        <f t="shared" si="7"/>
        <v/>
      </c>
      <c r="W157" s="236">
        <f>'RSD (DEA)'!AM119</f>
        <v>31.536000000000001</v>
      </c>
    </row>
    <row r="158" spans="1:23" x14ac:dyDescent="0.3">
      <c r="A158" s="316"/>
      <c r="B158" s="235"/>
      <c r="C158" s="318"/>
      <c r="D158" s="235"/>
      <c r="E158" s="235"/>
      <c r="F158" s="242"/>
      <c r="G158" s="242"/>
      <c r="H158" s="235"/>
      <c r="I158" s="235"/>
      <c r="J158" s="182" t="str">
        <f>J157</f>
        <v>RSDAHT</v>
      </c>
      <c r="K158" s="235"/>
      <c r="L158" s="235" t="str">
        <f>$AA$11</f>
        <v>ACT</v>
      </c>
      <c r="M158" s="182" t="str">
        <f t="shared" si="18"/>
        <v/>
      </c>
      <c r="N158" s="182"/>
      <c r="O158" s="182"/>
      <c r="P158" s="183"/>
      <c r="Q158" s="183"/>
      <c r="R158" s="182"/>
      <c r="S158" s="182"/>
      <c r="T158" s="182"/>
      <c r="U158" s="182"/>
      <c r="V158" s="182">
        <f t="shared" si="7"/>
        <v>1</v>
      </c>
      <c r="W158" s="236"/>
    </row>
    <row r="159" spans="1:23" x14ac:dyDescent="0.3">
      <c r="A159" s="316"/>
      <c r="B159" s="235"/>
      <c r="C159" s="318"/>
      <c r="D159" s="235"/>
      <c r="E159" s="235"/>
      <c r="F159" s="242"/>
      <c r="G159" s="242"/>
      <c r="H159" s="235"/>
      <c r="I159" s="235"/>
      <c r="J159" s="182" t="str">
        <f>J158</f>
        <v>RSDAHT</v>
      </c>
      <c r="K159" s="235"/>
      <c r="L159" s="235" t="str">
        <f t="shared" ref="L159" si="28">I157</f>
        <v>RSDELC</v>
      </c>
      <c r="M159" s="182" t="str">
        <f t="shared" si="18"/>
        <v/>
      </c>
      <c r="N159" s="182"/>
      <c r="O159" s="182"/>
      <c r="P159" s="183"/>
      <c r="Q159" s="183"/>
      <c r="R159" s="182"/>
      <c r="S159" s="182"/>
      <c r="T159" s="182"/>
      <c r="U159" s="182"/>
      <c r="V159" s="182">
        <f t="shared" ref="V159:V222" si="29">IF(L159="ACT",1,IF(LEFT(L159,3)="RSD",-1,""))</f>
        <v>-1</v>
      </c>
      <c r="W159" s="236"/>
    </row>
    <row r="160" spans="1:23" x14ac:dyDescent="0.3">
      <c r="A160" s="316"/>
      <c r="B160" s="235" t="str">
        <f>'RSD (DEA)'!AJ120&amp;"_"&amp;'RSD (DEA)'!Z120</f>
        <v>RHAPA_HP_ELC_06</v>
      </c>
      <c r="C160" s="318"/>
      <c r="D160" s="235" t="str">
        <f t="shared" si="20"/>
        <v>RHAPA_HP_ELC_06</v>
      </c>
      <c r="E160" s="235" t="str">
        <f>'RSD (DEA)'!Q120</f>
        <v>Electric heat pumps</v>
      </c>
      <c r="F160" s="242" t="s">
        <v>239</v>
      </c>
      <c r="G160" s="242" t="s">
        <v>240</v>
      </c>
      <c r="H160" s="235">
        <f>'RSD (DEA)'!S120</f>
        <v>160</v>
      </c>
      <c r="I160" s="235" t="str">
        <f>IF(OR(RIGHT('RSD (DEA)'!AH120,3)="BIO",RIGHT(AD160,3)="BOA"),LEFT('RSD (DEA)'!AH120,3)&amp;"BFW",'RSD (DEA)'!AH120)</f>
        <v>RSDELC</v>
      </c>
      <c r="J160" s="182" t="str">
        <f>'RSD (DEA)'!AI120</f>
        <v>RSDAHT</v>
      </c>
      <c r="K160" s="235" t="str">
        <f>'RSD (DEA)'!AJ120</f>
        <v>RHAPA</v>
      </c>
      <c r="L160" s="235"/>
      <c r="M160" s="182">
        <f t="shared" si="18"/>
        <v>2019</v>
      </c>
      <c r="N160" s="182">
        <f>'RSD (DEA)'!X120</f>
        <v>2030</v>
      </c>
      <c r="O160" s="182">
        <f>IF(N160&lt;2019,2019,N160)</f>
        <v>2030</v>
      </c>
      <c r="P160" s="183">
        <f>'RSD (DEA)'!AZ120</f>
        <v>4.05</v>
      </c>
      <c r="Q160" s="183">
        <f>'RSD (DEA)'!BA120</f>
        <v>4.5999999999999996</v>
      </c>
      <c r="R160" s="182">
        <f>'RSD (DEA)'!BR120/'RSD (DEA)'!S120</f>
        <v>11.6625</v>
      </c>
      <c r="S160" s="182">
        <f>'RSD (DEA)'!BS120/X_RSD_HeatingDemand!$AA$8</f>
        <v>0.12291666666666666</v>
      </c>
      <c r="T160" s="182">
        <f>'RSD (DEA)'!BK120*X_RSD_HeatingDemand!$AA$9/'RSD (DEA)'!S120</f>
        <v>393.75</v>
      </c>
      <c r="U160" s="182">
        <f>'RSD (DEA)'!BI120</f>
        <v>20</v>
      </c>
      <c r="V160" s="182" t="str">
        <f t="shared" si="29"/>
        <v/>
      </c>
      <c r="W160" s="236">
        <f>'RSD (DEA)'!AM120</f>
        <v>31.536000000000001</v>
      </c>
    </row>
    <row r="161" spans="1:23" x14ac:dyDescent="0.3">
      <c r="A161" s="316"/>
      <c r="B161" s="235"/>
      <c r="C161" s="318"/>
      <c r="D161" s="235"/>
      <c r="E161" s="235"/>
      <c r="F161" s="242"/>
      <c r="G161" s="242"/>
      <c r="H161" s="235"/>
      <c r="I161" s="235"/>
      <c r="J161" s="182" t="str">
        <f>J160</f>
        <v>RSDAHT</v>
      </c>
      <c r="K161" s="235"/>
      <c r="L161" s="235" t="str">
        <f>$AA$11</f>
        <v>ACT</v>
      </c>
      <c r="M161" s="182" t="str">
        <f t="shared" si="18"/>
        <v/>
      </c>
      <c r="N161" s="182"/>
      <c r="O161" s="182"/>
      <c r="P161" s="183"/>
      <c r="Q161" s="183"/>
      <c r="R161" s="182"/>
      <c r="S161" s="182"/>
      <c r="T161" s="182"/>
      <c r="U161" s="182"/>
      <c r="V161" s="182">
        <f t="shared" si="29"/>
        <v>1</v>
      </c>
      <c r="W161" s="236"/>
    </row>
    <row r="162" spans="1:23" x14ac:dyDescent="0.3">
      <c r="A162" s="316"/>
      <c r="B162" s="235"/>
      <c r="C162" s="318"/>
      <c r="D162" s="235"/>
      <c r="E162" s="235"/>
      <c r="F162" s="242"/>
      <c r="G162" s="242"/>
      <c r="H162" s="235"/>
      <c r="I162" s="235"/>
      <c r="J162" s="182" t="str">
        <f>J161</f>
        <v>RSDAHT</v>
      </c>
      <c r="K162" s="235"/>
      <c r="L162" s="235" t="str">
        <f t="shared" ref="L162" si="30">I160</f>
        <v>RSDELC</v>
      </c>
      <c r="M162" s="182" t="str">
        <f t="shared" si="18"/>
        <v/>
      </c>
      <c r="N162" s="182"/>
      <c r="O162" s="182"/>
      <c r="P162" s="183"/>
      <c r="Q162" s="183"/>
      <c r="R162" s="182"/>
      <c r="S162" s="182"/>
      <c r="T162" s="182"/>
      <c r="U162" s="182"/>
      <c r="V162" s="182">
        <f t="shared" si="29"/>
        <v>-1</v>
      </c>
      <c r="W162" s="236"/>
    </row>
    <row r="163" spans="1:23" x14ac:dyDescent="0.3">
      <c r="A163" s="316"/>
      <c r="B163" s="235" t="str">
        <f>'RSD (DEA)'!AJ121&amp;"_"&amp;'RSD (DEA)'!Z121</f>
        <v>RHAPA_HP_ELC_06</v>
      </c>
      <c r="C163" s="318"/>
      <c r="D163" s="235" t="str">
        <f t="shared" si="20"/>
        <v>RHAPA_HP_ELC_06</v>
      </c>
      <c r="E163" s="235" t="str">
        <f>'RSD (DEA)'!Q121</f>
        <v>Electric heat pumps</v>
      </c>
      <c r="F163" s="242" t="s">
        <v>239</v>
      </c>
      <c r="G163" s="242" t="s">
        <v>240</v>
      </c>
      <c r="H163" s="235">
        <f>'RSD (DEA)'!S121</f>
        <v>160</v>
      </c>
      <c r="I163" s="235" t="str">
        <f>IF(OR(RIGHT('RSD (DEA)'!AH121,3)="BIO",RIGHT(AD163,3)="BOA"),LEFT('RSD (DEA)'!AH121,3)&amp;"BFW",'RSD (DEA)'!AH121)</f>
        <v>RSDELC</v>
      </c>
      <c r="J163" s="182" t="str">
        <f>'RSD (DEA)'!AI121</f>
        <v>RSDAHT</v>
      </c>
      <c r="K163" s="235" t="str">
        <f>'RSD (DEA)'!AJ121</f>
        <v>RHAPA</v>
      </c>
      <c r="L163" s="235"/>
      <c r="M163" s="182">
        <f t="shared" si="18"/>
        <v>2019</v>
      </c>
      <c r="N163" s="182">
        <f>'RSD (DEA)'!X121</f>
        <v>2050</v>
      </c>
      <c r="O163" s="182">
        <f>IF(N163&lt;2019,2019,N163)</f>
        <v>2050</v>
      </c>
      <c r="P163" s="183">
        <f>'RSD (DEA)'!AZ121</f>
        <v>4.0999999999999996</v>
      </c>
      <c r="Q163" s="183">
        <f>'RSD (DEA)'!BA121</f>
        <v>4.8</v>
      </c>
      <c r="R163" s="182">
        <f>'RSD (DEA)'!BR121/'RSD (DEA)'!S121</f>
        <v>15.06875</v>
      </c>
      <c r="S163" s="182">
        <f>'RSD (DEA)'!BS121/X_RSD_HeatingDemand!$AA$8</f>
        <v>0.12291666666666666</v>
      </c>
      <c r="T163" s="182">
        <f>'RSD (DEA)'!BK121*X_RSD_HeatingDemand!$AA$9/'RSD (DEA)'!S121</f>
        <v>356.25</v>
      </c>
      <c r="U163" s="182">
        <f>'RSD (DEA)'!BI121</f>
        <v>20</v>
      </c>
      <c r="V163" s="182" t="str">
        <f t="shared" si="29"/>
        <v/>
      </c>
      <c r="W163" s="236">
        <f>'RSD (DEA)'!AM121</f>
        <v>31.536000000000001</v>
      </c>
    </row>
    <row r="164" spans="1:23" x14ac:dyDescent="0.3">
      <c r="A164" s="316"/>
      <c r="B164" s="235"/>
      <c r="C164" s="318"/>
      <c r="D164" s="235"/>
      <c r="E164" s="235"/>
      <c r="F164" s="242"/>
      <c r="G164" s="242"/>
      <c r="H164" s="235"/>
      <c r="I164" s="235"/>
      <c r="J164" s="182" t="str">
        <f>J163</f>
        <v>RSDAHT</v>
      </c>
      <c r="K164" s="235"/>
      <c r="L164" s="235" t="str">
        <f>$AA$11</f>
        <v>ACT</v>
      </c>
      <c r="M164" s="182" t="str">
        <f t="shared" si="18"/>
        <v/>
      </c>
      <c r="N164" s="182"/>
      <c r="O164" s="182"/>
      <c r="P164" s="183"/>
      <c r="Q164" s="183"/>
      <c r="R164" s="182"/>
      <c r="S164" s="182"/>
      <c r="T164" s="182"/>
      <c r="U164" s="182"/>
      <c r="V164" s="182">
        <f t="shared" si="29"/>
        <v>1</v>
      </c>
      <c r="W164" s="236"/>
    </row>
    <row r="165" spans="1:23" x14ac:dyDescent="0.3">
      <c r="A165" s="316"/>
      <c r="B165" s="235"/>
      <c r="C165" s="318"/>
      <c r="D165" s="235"/>
      <c r="E165" s="235"/>
      <c r="F165" s="242"/>
      <c r="G165" s="242"/>
      <c r="H165" s="235"/>
      <c r="I165" s="235"/>
      <c r="J165" s="182" t="str">
        <f>J164</f>
        <v>RSDAHT</v>
      </c>
      <c r="K165" s="235"/>
      <c r="L165" s="235" t="str">
        <f t="shared" ref="L165" si="31">I163</f>
        <v>RSDELC</v>
      </c>
      <c r="M165" s="182" t="str">
        <f t="shared" si="18"/>
        <v/>
      </c>
      <c r="N165" s="182"/>
      <c r="O165" s="182"/>
      <c r="P165" s="183"/>
      <c r="Q165" s="183"/>
      <c r="R165" s="182"/>
      <c r="S165" s="182"/>
      <c r="T165" s="182"/>
      <c r="U165" s="182"/>
      <c r="V165" s="182">
        <f t="shared" si="29"/>
        <v>-1</v>
      </c>
      <c r="W165" s="236"/>
    </row>
    <row r="166" spans="1:23" x14ac:dyDescent="0.3">
      <c r="A166" s="316"/>
      <c r="B166" s="235" t="str">
        <f>'RSD (DEA)'!AJ122&amp;"_"&amp;'RSD (DEA)'!Z122</f>
        <v>RHHSC_HP_ELC_07</v>
      </c>
      <c r="C166" s="318"/>
      <c r="D166" s="235" t="str">
        <f t="shared" si="20"/>
        <v>RHHSC_HP_ELC_07</v>
      </c>
      <c r="E166" s="235" t="str">
        <f>'RSD (DEA)'!Q122</f>
        <v>Electric heat pumps</v>
      </c>
      <c r="F166" s="242" t="s">
        <v>239</v>
      </c>
      <c r="G166" s="242" t="s">
        <v>240</v>
      </c>
      <c r="H166" s="235">
        <f>'RSD (DEA)'!S122</f>
        <v>10</v>
      </c>
      <c r="I166" s="235" t="str">
        <f>IF(OR(RIGHT('RSD (DEA)'!AH122,3)="BIO",RIGHT(AD166,3)="BOA"),LEFT('RSD (DEA)'!AH122,3)&amp;"BFW",'RSD (DEA)'!AH122)</f>
        <v>RSDELC</v>
      </c>
      <c r="J166" s="182" t="str">
        <f>'RSD (DEA)'!AI122</f>
        <v>RSDGEO</v>
      </c>
      <c r="K166" s="235" t="str">
        <f>'RSD (DEA)'!AJ122</f>
        <v>RHHSC</v>
      </c>
      <c r="L166" s="235"/>
      <c r="M166" s="182">
        <f t="shared" si="18"/>
        <v>2019</v>
      </c>
      <c r="N166" s="182">
        <f>'RSD (DEA)'!X122</f>
        <v>2015</v>
      </c>
      <c r="O166" s="182">
        <f>IF(N166&lt;2019,2019,N166)</f>
        <v>2019</v>
      </c>
      <c r="P166" s="183">
        <f>'RSD (DEA)'!AZ122</f>
        <v>4.3</v>
      </c>
      <c r="Q166" s="183">
        <f>'RSD (DEA)'!BA122</f>
        <v>4.4000000000000004</v>
      </c>
      <c r="R166" s="182">
        <f>'RSD (DEA)'!BR122/'RSD (DEA)'!S122</f>
        <v>29.1</v>
      </c>
      <c r="S166" s="182">
        <f>'RSD (DEA)'!BS122/X_RSD_HeatingDemand!$AA$8</f>
        <v>0</v>
      </c>
      <c r="T166" s="182">
        <f>'RSD (DEA)'!BK122*X_RSD_HeatingDemand!$AA$9/'RSD (DEA)'!S122</f>
        <v>1600</v>
      </c>
      <c r="U166" s="182">
        <f>'RSD (DEA)'!BI122</f>
        <v>20</v>
      </c>
      <c r="V166" s="182" t="str">
        <f t="shared" si="29"/>
        <v/>
      </c>
      <c r="W166" s="236">
        <f>'RSD (DEA)'!AM122</f>
        <v>31.536000000000001</v>
      </c>
    </row>
    <row r="167" spans="1:23" x14ac:dyDescent="0.3">
      <c r="A167" s="316"/>
      <c r="B167" s="235"/>
      <c r="C167" s="318"/>
      <c r="D167" s="235"/>
      <c r="E167" s="235"/>
      <c r="F167" s="242"/>
      <c r="G167" s="242"/>
      <c r="H167" s="235"/>
      <c r="I167" s="235"/>
      <c r="J167" s="182" t="str">
        <f>J166</f>
        <v>RSDGEO</v>
      </c>
      <c r="K167" s="235"/>
      <c r="L167" s="235" t="str">
        <f>$AA$11</f>
        <v>ACT</v>
      </c>
      <c r="M167" s="182" t="str">
        <f t="shared" si="18"/>
        <v/>
      </c>
      <c r="N167" s="182"/>
      <c r="O167" s="182"/>
      <c r="P167" s="183"/>
      <c r="Q167" s="183"/>
      <c r="R167" s="182"/>
      <c r="S167" s="182"/>
      <c r="T167" s="182"/>
      <c r="U167" s="182"/>
      <c r="V167" s="182">
        <f t="shared" si="29"/>
        <v>1</v>
      </c>
      <c r="W167" s="236"/>
    </row>
    <row r="168" spans="1:23" x14ac:dyDescent="0.3">
      <c r="A168" s="316"/>
      <c r="B168" s="235"/>
      <c r="C168" s="318"/>
      <c r="D168" s="235"/>
      <c r="E168" s="235"/>
      <c r="F168" s="242"/>
      <c r="G168" s="242"/>
      <c r="H168" s="235"/>
      <c r="I168" s="235"/>
      <c r="J168" s="182" t="str">
        <f>J167</f>
        <v>RSDGEO</v>
      </c>
      <c r="K168" s="235"/>
      <c r="L168" s="235" t="str">
        <f t="shared" ref="L168" si="32">I166</f>
        <v>RSDELC</v>
      </c>
      <c r="M168" s="182" t="str">
        <f t="shared" si="18"/>
        <v/>
      </c>
      <c r="N168" s="182"/>
      <c r="O168" s="182"/>
      <c r="P168" s="183"/>
      <c r="Q168" s="183"/>
      <c r="R168" s="182"/>
      <c r="S168" s="182"/>
      <c r="T168" s="182"/>
      <c r="U168" s="182"/>
      <c r="V168" s="182">
        <f t="shared" si="29"/>
        <v>-1</v>
      </c>
      <c r="W168" s="236"/>
    </row>
    <row r="169" spans="1:23" x14ac:dyDescent="0.3">
      <c r="A169" s="316"/>
      <c r="B169" s="235" t="str">
        <f>'RSD (DEA)'!AJ123&amp;"_"&amp;'RSD (DEA)'!Z123</f>
        <v>RHHSC_HP_ELC_07</v>
      </c>
      <c r="C169" s="318"/>
      <c r="D169" s="235" t="str">
        <f t="shared" si="20"/>
        <v>RHHSC_HP_ELC_07</v>
      </c>
      <c r="E169" s="235" t="str">
        <f>'RSD (DEA)'!Q123</f>
        <v>Electric heat pumps</v>
      </c>
      <c r="F169" s="242" t="s">
        <v>239</v>
      </c>
      <c r="G169" s="242" t="s">
        <v>240</v>
      </c>
      <c r="H169" s="235">
        <f>'RSD (DEA)'!S123</f>
        <v>10</v>
      </c>
      <c r="I169" s="235" t="str">
        <f>IF(OR(RIGHT('RSD (DEA)'!AH123,3)="BIO",RIGHT(AD169,3)="BOA"),LEFT('RSD (DEA)'!AH123,3)&amp;"BFW",'RSD (DEA)'!AH123)</f>
        <v>RSDELC</v>
      </c>
      <c r="J169" s="182" t="str">
        <f>'RSD (DEA)'!AI123</f>
        <v>RSDGEO</v>
      </c>
      <c r="K169" s="235" t="str">
        <f>'RSD (DEA)'!AJ123</f>
        <v>RHHSC</v>
      </c>
      <c r="L169" s="235"/>
      <c r="M169" s="182">
        <f t="shared" si="18"/>
        <v>2019</v>
      </c>
      <c r="N169" s="182">
        <f>'RSD (DEA)'!X123</f>
        <v>2020</v>
      </c>
      <c r="O169" s="182">
        <f>IF(N169&lt;2019,2019,N169)</f>
        <v>2020</v>
      </c>
      <c r="P169" s="183">
        <f>'RSD (DEA)'!AZ123</f>
        <v>4.4000000000000004</v>
      </c>
      <c r="Q169" s="183">
        <f>'RSD (DEA)'!BA123</f>
        <v>4.5</v>
      </c>
      <c r="R169" s="182">
        <f>'RSD (DEA)'!BR123/'RSD (DEA)'!S123</f>
        <v>27.8</v>
      </c>
      <c r="S169" s="182">
        <f>'RSD (DEA)'!BS123/X_RSD_HeatingDemand!$AA$8</f>
        <v>0</v>
      </c>
      <c r="T169" s="182">
        <f>'RSD (DEA)'!BK123*X_RSD_HeatingDemand!$AA$9/'RSD (DEA)'!S123</f>
        <v>1500</v>
      </c>
      <c r="U169" s="182">
        <f>'RSD (DEA)'!BI123</f>
        <v>20</v>
      </c>
      <c r="V169" s="182" t="str">
        <f t="shared" si="29"/>
        <v/>
      </c>
      <c r="W169" s="236">
        <f>'RSD (DEA)'!AM123</f>
        <v>31.536000000000001</v>
      </c>
    </row>
    <row r="170" spans="1:23" x14ac:dyDescent="0.3">
      <c r="A170" s="316"/>
      <c r="B170" s="235"/>
      <c r="C170" s="318"/>
      <c r="D170" s="235"/>
      <c r="E170" s="235"/>
      <c r="F170" s="242"/>
      <c r="G170" s="242"/>
      <c r="H170" s="235"/>
      <c r="I170" s="235"/>
      <c r="J170" s="182" t="str">
        <f>J169</f>
        <v>RSDGEO</v>
      </c>
      <c r="K170" s="235"/>
      <c r="L170" s="235" t="str">
        <f>$AA$11</f>
        <v>ACT</v>
      </c>
      <c r="M170" s="182" t="str">
        <f t="shared" si="18"/>
        <v/>
      </c>
      <c r="N170" s="182"/>
      <c r="O170" s="182"/>
      <c r="P170" s="183"/>
      <c r="Q170" s="183"/>
      <c r="R170" s="182"/>
      <c r="S170" s="182"/>
      <c r="T170" s="182"/>
      <c r="U170" s="182"/>
      <c r="V170" s="182">
        <f t="shared" si="29"/>
        <v>1</v>
      </c>
      <c r="W170" s="236"/>
    </row>
    <row r="171" spans="1:23" x14ac:dyDescent="0.3">
      <c r="A171" s="316"/>
      <c r="B171" s="235"/>
      <c r="C171" s="318"/>
      <c r="D171" s="235"/>
      <c r="E171" s="235"/>
      <c r="F171" s="242"/>
      <c r="G171" s="242"/>
      <c r="H171" s="235"/>
      <c r="I171" s="235"/>
      <c r="J171" s="182" t="str">
        <f>J170</f>
        <v>RSDGEO</v>
      </c>
      <c r="K171" s="235"/>
      <c r="L171" s="235" t="str">
        <f t="shared" ref="L171" si="33">I169</f>
        <v>RSDELC</v>
      </c>
      <c r="M171" s="182" t="str">
        <f t="shared" si="18"/>
        <v/>
      </c>
      <c r="N171" s="182"/>
      <c r="O171" s="182"/>
      <c r="P171" s="183"/>
      <c r="Q171" s="183"/>
      <c r="R171" s="182"/>
      <c r="S171" s="182"/>
      <c r="T171" s="182"/>
      <c r="U171" s="182"/>
      <c r="V171" s="182">
        <f t="shared" si="29"/>
        <v>-1</v>
      </c>
      <c r="W171" s="236"/>
    </row>
    <row r="172" spans="1:23" x14ac:dyDescent="0.3">
      <c r="A172" s="316"/>
      <c r="B172" s="235" t="str">
        <f>'RSD (DEA)'!AJ124&amp;"_"&amp;'RSD (DEA)'!Z124</f>
        <v>RHHSC_HP_ELC_07</v>
      </c>
      <c r="C172" s="318"/>
      <c r="D172" s="235" t="str">
        <f t="shared" si="20"/>
        <v>RHHSC_HP_ELC_07</v>
      </c>
      <c r="E172" s="235" t="str">
        <f>'RSD (DEA)'!Q124</f>
        <v>Electric heat pumps</v>
      </c>
      <c r="F172" s="242" t="s">
        <v>239</v>
      </c>
      <c r="G172" s="242" t="s">
        <v>240</v>
      </c>
      <c r="H172" s="235">
        <f>'RSD (DEA)'!S124</f>
        <v>10</v>
      </c>
      <c r="I172" s="235" t="str">
        <f>IF(OR(RIGHT('RSD (DEA)'!AH124,3)="BIO",RIGHT(AD172,3)="BOA"),LEFT('RSD (DEA)'!AH124,3)&amp;"BFW",'RSD (DEA)'!AH124)</f>
        <v>RSDELC</v>
      </c>
      <c r="J172" s="182" t="str">
        <f>'RSD (DEA)'!AI124</f>
        <v>RSDGEO</v>
      </c>
      <c r="K172" s="235" t="str">
        <f>'RSD (DEA)'!AJ124</f>
        <v>RHHSC</v>
      </c>
      <c r="L172" s="235"/>
      <c r="M172" s="182">
        <f t="shared" si="18"/>
        <v>2019</v>
      </c>
      <c r="N172" s="182">
        <f>'RSD (DEA)'!X124</f>
        <v>2030</v>
      </c>
      <c r="O172" s="182">
        <f>IF(N172&lt;2019,2019,N172)</f>
        <v>2030</v>
      </c>
      <c r="P172" s="183">
        <f>'RSD (DEA)'!AZ124</f>
        <v>4.5</v>
      </c>
      <c r="Q172" s="183">
        <f>'RSD (DEA)'!BA124</f>
        <v>4.5999999999999996</v>
      </c>
      <c r="R172" s="182">
        <f>'RSD (DEA)'!BR124/'RSD (DEA)'!S124</f>
        <v>25.5</v>
      </c>
      <c r="S172" s="182">
        <f>'RSD (DEA)'!BS124/X_RSD_HeatingDemand!$AA$8</f>
        <v>0</v>
      </c>
      <c r="T172" s="182">
        <f>'RSD (DEA)'!BK124*X_RSD_HeatingDemand!$AA$9/'RSD (DEA)'!S124</f>
        <v>1400</v>
      </c>
      <c r="U172" s="182">
        <f>'RSD (DEA)'!BI124</f>
        <v>20</v>
      </c>
      <c r="V172" s="182" t="str">
        <f t="shared" si="29"/>
        <v/>
      </c>
      <c r="W172" s="236">
        <f>'RSD (DEA)'!AM124</f>
        <v>31.536000000000001</v>
      </c>
    </row>
    <row r="173" spans="1:23" x14ac:dyDescent="0.3">
      <c r="A173" s="316"/>
      <c r="B173" s="235"/>
      <c r="C173" s="318"/>
      <c r="D173" s="235"/>
      <c r="E173" s="235"/>
      <c r="F173" s="242"/>
      <c r="G173" s="242"/>
      <c r="H173" s="235"/>
      <c r="I173" s="235"/>
      <c r="J173" s="182" t="str">
        <f>J172</f>
        <v>RSDGEO</v>
      </c>
      <c r="K173" s="235"/>
      <c r="L173" s="235" t="str">
        <f>$AA$11</f>
        <v>ACT</v>
      </c>
      <c r="M173" s="182" t="str">
        <f t="shared" si="18"/>
        <v/>
      </c>
      <c r="N173" s="182"/>
      <c r="O173" s="182"/>
      <c r="P173" s="183"/>
      <c r="Q173" s="183"/>
      <c r="R173" s="182"/>
      <c r="S173" s="182"/>
      <c r="T173" s="182"/>
      <c r="U173" s="182"/>
      <c r="V173" s="182">
        <f t="shared" si="29"/>
        <v>1</v>
      </c>
      <c r="W173" s="236"/>
    </row>
    <row r="174" spans="1:23" x14ac:dyDescent="0.3">
      <c r="A174" s="316"/>
      <c r="B174" s="235"/>
      <c r="C174" s="318"/>
      <c r="D174" s="235"/>
      <c r="E174" s="235"/>
      <c r="F174" s="242"/>
      <c r="G174" s="242"/>
      <c r="H174" s="235"/>
      <c r="I174" s="235"/>
      <c r="J174" s="182" t="str">
        <f>J173</f>
        <v>RSDGEO</v>
      </c>
      <c r="K174" s="235"/>
      <c r="L174" s="235" t="str">
        <f t="shared" ref="L174" si="34">I172</f>
        <v>RSDELC</v>
      </c>
      <c r="M174" s="182" t="str">
        <f t="shared" si="18"/>
        <v/>
      </c>
      <c r="N174" s="182"/>
      <c r="O174" s="182"/>
      <c r="P174" s="183"/>
      <c r="Q174" s="183"/>
      <c r="R174" s="182"/>
      <c r="S174" s="182"/>
      <c r="T174" s="182"/>
      <c r="U174" s="182"/>
      <c r="V174" s="182">
        <f t="shared" si="29"/>
        <v>-1</v>
      </c>
      <c r="W174" s="236"/>
    </row>
    <row r="175" spans="1:23" x14ac:dyDescent="0.3">
      <c r="A175" s="316"/>
      <c r="B175" s="235" t="str">
        <f>'RSD (DEA)'!AJ125&amp;"_"&amp;'RSD (DEA)'!Z125</f>
        <v>RHHSC_HP_ELC_07</v>
      </c>
      <c r="C175" s="318"/>
      <c r="D175" s="235" t="str">
        <f t="shared" si="20"/>
        <v>RHHSC_HP_ELC_07</v>
      </c>
      <c r="E175" s="235" t="str">
        <f>'RSD (DEA)'!Q125</f>
        <v>Electric heat pumps</v>
      </c>
      <c r="F175" s="242" t="s">
        <v>239</v>
      </c>
      <c r="G175" s="242" t="s">
        <v>240</v>
      </c>
      <c r="H175" s="235">
        <f>'RSD (DEA)'!S125</f>
        <v>10</v>
      </c>
      <c r="I175" s="235" t="str">
        <f>IF(OR(RIGHT('RSD (DEA)'!AH125,3)="BIO",RIGHT(AD175,3)="BOA"),LEFT('RSD (DEA)'!AH125,3)&amp;"BFW",'RSD (DEA)'!AH125)</f>
        <v>RSDELC</v>
      </c>
      <c r="J175" s="182" t="str">
        <f>'RSD (DEA)'!AI125</f>
        <v>RSDGEO</v>
      </c>
      <c r="K175" s="235" t="str">
        <f>'RSD (DEA)'!AJ125</f>
        <v>RHHSC</v>
      </c>
      <c r="L175" s="235"/>
      <c r="M175" s="182">
        <f t="shared" si="18"/>
        <v>2019</v>
      </c>
      <c r="N175" s="182">
        <f>'RSD (DEA)'!X125</f>
        <v>2050</v>
      </c>
      <c r="O175" s="182">
        <f>IF(N175&lt;2019,2019,N175)</f>
        <v>2050</v>
      </c>
      <c r="P175" s="183">
        <f>'RSD (DEA)'!AZ125</f>
        <v>4.75</v>
      </c>
      <c r="Q175" s="183">
        <f>'RSD (DEA)'!BA125</f>
        <v>4.8499999999999996</v>
      </c>
      <c r="R175" s="182">
        <f>'RSD (DEA)'!BR125/'RSD (DEA)'!S125</f>
        <v>23.9</v>
      </c>
      <c r="S175" s="182">
        <f>'RSD (DEA)'!BS125/X_RSD_HeatingDemand!$AA$8</f>
        <v>0</v>
      </c>
      <c r="T175" s="182">
        <f>'RSD (DEA)'!BK125*X_RSD_HeatingDemand!$AA$9/'RSD (DEA)'!S125</f>
        <v>1200</v>
      </c>
      <c r="U175" s="182">
        <f>'RSD (DEA)'!BI125</f>
        <v>20</v>
      </c>
      <c r="V175" s="182" t="str">
        <f t="shared" si="29"/>
        <v/>
      </c>
      <c r="W175" s="236">
        <f>'RSD (DEA)'!AM125</f>
        <v>31.536000000000001</v>
      </c>
    </row>
    <row r="176" spans="1:23" x14ac:dyDescent="0.3">
      <c r="A176" s="316"/>
      <c r="B176" s="235"/>
      <c r="C176" s="318"/>
      <c r="D176" s="235"/>
      <c r="E176" s="235"/>
      <c r="F176" s="242"/>
      <c r="G176" s="242"/>
      <c r="H176" s="235"/>
      <c r="I176" s="235"/>
      <c r="J176" s="182" t="str">
        <f>J175</f>
        <v>RSDGEO</v>
      </c>
      <c r="K176" s="235"/>
      <c r="L176" s="235" t="str">
        <f>$AA$11</f>
        <v>ACT</v>
      </c>
      <c r="M176" s="182" t="str">
        <f t="shared" si="18"/>
        <v/>
      </c>
      <c r="N176" s="182"/>
      <c r="O176" s="182"/>
      <c r="P176" s="183"/>
      <c r="Q176" s="183"/>
      <c r="R176" s="182"/>
      <c r="S176" s="182"/>
      <c r="T176" s="182"/>
      <c r="U176" s="182"/>
      <c r="V176" s="182">
        <f t="shared" si="29"/>
        <v>1</v>
      </c>
      <c r="W176" s="236"/>
    </row>
    <row r="177" spans="1:23" x14ac:dyDescent="0.3">
      <c r="A177" s="316"/>
      <c r="B177" s="235"/>
      <c r="C177" s="318"/>
      <c r="D177" s="235"/>
      <c r="E177" s="235"/>
      <c r="F177" s="242"/>
      <c r="G177" s="242"/>
      <c r="H177" s="235"/>
      <c r="I177" s="235"/>
      <c r="J177" s="182" t="str">
        <f>J176</f>
        <v>RSDGEO</v>
      </c>
      <c r="K177" s="235"/>
      <c r="L177" s="235" t="str">
        <f t="shared" ref="L177" si="35">I175</f>
        <v>RSDELC</v>
      </c>
      <c r="M177" s="182" t="str">
        <f t="shared" si="18"/>
        <v/>
      </c>
      <c r="N177" s="182"/>
      <c r="O177" s="182"/>
      <c r="P177" s="183"/>
      <c r="Q177" s="183"/>
      <c r="R177" s="182"/>
      <c r="S177" s="182"/>
      <c r="T177" s="182"/>
      <c r="U177" s="182"/>
      <c r="V177" s="182">
        <f t="shared" si="29"/>
        <v>-1</v>
      </c>
      <c r="W177" s="236"/>
    </row>
    <row r="178" spans="1:23" x14ac:dyDescent="0.3">
      <c r="A178" s="316"/>
      <c r="B178" s="235" t="str">
        <f>'RSD (DEA)'!AJ126&amp;"_"&amp;'RSD (DEA)'!Z126</f>
        <v>RHHSA_HP_ELC_08</v>
      </c>
      <c r="C178" s="318"/>
      <c r="D178" s="235" t="str">
        <f t="shared" si="20"/>
        <v>RHHSA_HP_ELC_08</v>
      </c>
      <c r="E178" s="235" t="str">
        <f>'RSD (DEA)'!Q126</f>
        <v>Electric heat pumps</v>
      </c>
      <c r="F178" s="242" t="s">
        <v>239</v>
      </c>
      <c r="G178" s="242" t="s">
        <v>240</v>
      </c>
      <c r="H178" s="235">
        <f>'RSD (DEA)'!S126</f>
        <v>4</v>
      </c>
      <c r="I178" s="235" t="str">
        <f>IF(OR(RIGHT('RSD (DEA)'!AH126,3)="BIO",RIGHT(AD178,3)="BOA"),LEFT('RSD (DEA)'!AH126,3)&amp;"BFW",'RSD (DEA)'!AH126)</f>
        <v>RSDELC</v>
      </c>
      <c r="J178" s="182" t="str">
        <f>'RSD (DEA)'!AI126</f>
        <v>RSDGEO</v>
      </c>
      <c r="K178" s="235" t="str">
        <f>'RSD (DEA)'!AJ126</f>
        <v>RHHSA</v>
      </c>
      <c r="L178" s="235"/>
      <c r="M178" s="182">
        <f t="shared" si="18"/>
        <v>2019</v>
      </c>
      <c r="N178" s="182">
        <f>'RSD (DEA)'!X126</f>
        <v>2015</v>
      </c>
      <c r="O178" s="182">
        <f>IF(N178&lt;2019,2019,N178)</f>
        <v>2019</v>
      </c>
      <c r="P178" s="183">
        <f>'RSD (DEA)'!AZ126</f>
        <v>3.35</v>
      </c>
      <c r="Q178" s="183">
        <f>'RSD (DEA)'!BA126</f>
        <v>3.55</v>
      </c>
      <c r="R178" s="182">
        <f>'RSD (DEA)'!BR126/'RSD (DEA)'!S126</f>
        <v>72.75</v>
      </c>
      <c r="S178" s="182">
        <f>'RSD (DEA)'!BS126/X_RSD_HeatingDemand!$AA$8</f>
        <v>0</v>
      </c>
      <c r="T178" s="182">
        <f>'RSD (DEA)'!BK126*X_RSD_HeatingDemand!$AA$9/'RSD (DEA)'!S126</f>
        <v>3000</v>
      </c>
      <c r="U178" s="182">
        <f>'RSD (DEA)'!BI126</f>
        <v>20</v>
      </c>
      <c r="V178" s="182" t="str">
        <f t="shared" si="29"/>
        <v/>
      </c>
      <c r="W178" s="236">
        <f>'RSD (DEA)'!AM126</f>
        <v>31.536000000000001</v>
      </c>
    </row>
    <row r="179" spans="1:23" x14ac:dyDescent="0.3">
      <c r="A179" s="316"/>
      <c r="B179" s="235"/>
      <c r="C179" s="318"/>
      <c r="D179" s="235"/>
      <c r="E179" s="235"/>
      <c r="F179" s="242"/>
      <c r="G179" s="242"/>
      <c r="H179" s="235"/>
      <c r="I179" s="235"/>
      <c r="J179" s="182" t="str">
        <f>J178</f>
        <v>RSDGEO</v>
      </c>
      <c r="K179" s="235"/>
      <c r="L179" s="235" t="str">
        <f>$AA$11</f>
        <v>ACT</v>
      </c>
      <c r="M179" s="182" t="str">
        <f t="shared" si="18"/>
        <v/>
      </c>
      <c r="N179" s="182"/>
      <c r="O179" s="182"/>
      <c r="P179" s="183"/>
      <c r="Q179" s="183"/>
      <c r="R179" s="182"/>
      <c r="S179" s="182"/>
      <c r="T179" s="182"/>
      <c r="U179" s="182"/>
      <c r="V179" s="182">
        <f t="shared" si="29"/>
        <v>1</v>
      </c>
      <c r="W179" s="236"/>
    </row>
    <row r="180" spans="1:23" x14ac:dyDescent="0.3">
      <c r="A180" s="316"/>
      <c r="B180" s="235"/>
      <c r="C180" s="318"/>
      <c r="D180" s="235"/>
      <c r="E180" s="235"/>
      <c r="F180" s="242"/>
      <c r="G180" s="242"/>
      <c r="H180" s="235"/>
      <c r="I180" s="235"/>
      <c r="J180" s="182" t="str">
        <f>J179</f>
        <v>RSDGEO</v>
      </c>
      <c r="K180" s="235"/>
      <c r="L180" s="235" t="str">
        <f t="shared" ref="L180" si="36">I178</f>
        <v>RSDELC</v>
      </c>
      <c r="M180" s="182" t="str">
        <f t="shared" si="18"/>
        <v/>
      </c>
      <c r="N180" s="182"/>
      <c r="O180" s="182"/>
      <c r="P180" s="183"/>
      <c r="Q180" s="183"/>
      <c r="R180" s="182"/>
      <c r="S180" s="182"/>
      <c r="T180" s="182"/>
      <c r="U180" s="182"/>
      <c r="V180" s="182">
        <f t="shared" si="29"/>
        <v>-1</v>
      </c>
      <c r="W180" s="236"/>
    </row>
    <row r="181" spans="1:23" x14ac:dyDescent="0.3">
      <c r="A181" s="316"/>
      <c r="B181" s="235" t="str">
        <f>'RSD (DEA)'!AJ127&amp;"_"&amp;'RSD (DEA)'!Z127</f>
        <v>RHHSA_HP_ELC_08</v>
      </c>
      <c r="C181" s="318"/>
      <c r="D181" s="235" t="str">
        <f t="shared" si="20"/>
        <v>RHHSA_HP_ELC_08</v>
      </c>
      <c r="E181" s="235" t="str">
        <f>'RSD (DEA)'!Q127</f>
        <v>Electric heat pumps</v>
      </c>
      <c r="F181" s="242" t="s">
        <v>239</v>
      </c>
      <c r="G181" s="242" t="s">
        <v>240</v>
      </c>
      <c r="H181" s="235">
        <f>'RSD (DEA)'!S127</f>
        <v>4</v>
      </c>
      <c r="I181" s="235" t="str">
        <f>IF(OR(RIGHT('RSD (DEA)'!AH127,3)="BIO",RIGHT(AD181,3)="BOA"),LEFT('RSD (DEA)'!AH127,3)&amp;"BFW",'RSD (DEA)'!AH127)</f>
        <v>RSDELC</v>
      </c>
      <c r="J181" s="182" t="str">
        <f>'RSD (DEA)'!AI127</f>
        <v>RSDGEO</v>
      </c>
      <c r="K181" s="235" t="str">
        <f>'RSD (DEA)'!AJ127</f>
        <v>RHHSA</v>
      </c>
      <c r="L181" s="235"/>
      <c r="M181" s="182">
        <f t="shared" si="18"/>
        <v>2019</v>
      </c>
      <c r="N181" s="182">
        <f>'RSD (DEA)'!X127</f>
        <v>2020</v>
      </c>
      <c r="O181" s="182">
        <f>IF(N181&lt;2019,2019,N181)</f>
        <v>2020</v>
      </c>
      <c r="P181" s="183">
        <f>'RSD (DEA)'!AZ127</f>
        <v>3.45</v>
      </c>
      <c r="Q181" s="183">
        <f>'RSD (DEA)'!BA127</f>
        <v>3.65</v>
      </c>
      <c r="R181" s="182">
        <f>'RSD (DEA)'!BR127/'RSD (DEA)'!S127</f>
        <v>69.5</v>
      </c>
      <c r="S181" s="182">
        <f>'RSD (DEA)'!BS127/X_RSD_HeatingDemand!$AA$8</f>
        <v>0</v>
      </c>
      <c r="T181" s="182">
        <f>'RSD (DEA)'!BK127*X_RSD_HeatingDemand!$AA$9/'RSD (DEA)'!S127</f>
        <v>2750</v>
      </c>
      <c r="U181" s="182">
        <f>'RSD (DEA)'!BI127</f>
        <v>20</v>
      </c>
      <c r="V181" s="182" t="str">
        <f t="shared" si="29"/>
        <v/>
      </c>
      <c r="W181" s="236">
        <f>'RSD (DEA)'!AM127</f>
        <v>31.536000000000001</v>
      </c>
    </row>
    <row r="182" spans="1:23" x14ac:dyDescent="0.3">
      <c r="A182" s="316"/>
      <c r="B182" s="235"/>
      <c r="C182" s="318"/>
      <c r="D182" s="235"/>
      <c r="E182" s="235"/>
      <c r="F182" s="242"/>
      <c r="G182" s="242"/>
      <c r="H182" s="235"/>
      <c r="I182" s="235"/>
      <c r="J182" s="182" t="str">
        <f>J181</f>
        <v>RSDGEO</v>
      </c>
      <c r="K182" s="235"/>
      <c r="L182" s="235" t="str">
        <f>$AA$11</f>
        <v>ACT</v>
      </c>
      <c r="M182" s="182" t="str">
        <f t="shared" si="18"/>
        <v/>
      </c>
      <c r="N182" s="182"/>
      <c r="O182" s="182"/>
      <c r="P182" s="183"/>
      <c r="Q182" s="183"/>
      <c r="R182" s="182"/>
      <c r="S182" s="182"/>
      <c r="T182" s="182"/>
      <c r="U182" s="182"/>
      <c r="V182" s="182">
        <f t="shared" si="29"/>
        <v>1</v>
      </c>
      <c r="W182" s="236"/>
    </row>
    <row r="183" spans="1:23" x14ac:dyDescent="0.3">
      <c r="A183" s="316"/>
      <c r="B183" s="235"/>
      <c r="C183" s="318"/>
      <c r="D183" s="235"/>
      <c r="E183" s="235"/>
      <c r="F183" s="242"/>
      <c r="G183" s="242"/>
      <c r="H183" s="235"/>
      <c r="I183" s="235"/>
      <c r="J183" s="182" t="str">
        <f>J182</f>
        <v>RSDGEO</v>
      </c>
      <c r="K183" s="235"/>
      <c r="L183" s="235" t="str">
        <f t="shared" ref="L183" si="37">I181</f>
        <v>RSDELC</v>
      </c>
      <c r="M183" s="182" t="str">
        <f t="shared" si="18"/>
        <v/>
      </c>
      <c r="N183" s="182"/>
      <c r="O183" s="182"/>
      <c r="P183" s="183"/>
      <c r="Q183" s="183"/>
      <c r="R183" s="182"/>
      <c r="S183" s="182"/>
      <c r="T183" s="182"/>
      <c r="U183" s="182"/>
      <c r="V183" s="182">
        <f t="shared" si="29"/>
        <v>-1</v>
      </c>
      <c r="W183" s="236"/>
    </row>
    <row r="184" spans="1:23" x14ac:dyDescent="0.3">
      <c r="A184" s="316"/>
      <c r="B184" s="235" t="str">
        <f>'RSD (DEA)'!AJ128&amp;"_"&amp;'RSD (DEA)'!Z128</f>
        <v>RHHSA_HP_ELC_08</v>
      </c>
      <c r="C184" s="318"/>
      <c r="D184" s="235" t="str">
        <f t="shared" si="20"/>
        <v>RHHSA_HP_ELC_08</v>
      </c>
      <c r="E184" s="235" t="str">
        <f>'RSD (DEA)'!Q128</f>
        <v>Electric heat pumps</v>
      </c>
      <c r="F184" s="242" t="s">
        <v>239</v>
      </c>
      <c r="G184" s="242" t="s">
        <v>240</v>
      </c>
      <c r="H184" s="235">
        <f>'RSD (DEA)'!S128</f>
        <v>4</v>
      </c>
      <c r="I184" s="235" t="str">
        <f>IF(OR(RIGHT('RSD (DEA)'!AH128,3)="BIO",RIGHT(AD184,3)="BOA"),LEFT('RSD (DEA)'!AH128,3)&amp;"BFW",'RSD (DEA)'!AH128)</f>
        <v>RSDELC</v>
      </c>
      <c r="J184" s="182" t="str">
        <f>'RSD (DEA)'!AI128</f>
        <v>RSDGEO</v>
      </c>
      <c r="K184" s="235" t="str">
        <f>'RSD (DEA)'!AJ128</f>
        <v>RHHSA</v>
      </c>
      <c r="L184" s="235"/>
      <c r="M184" s="182">
        <f t="shared" si="18"/>
        <v>2019</v>
      </c>
      <c r="N184" s="182">
        <f>'RSD (DEA)'!X128</f>
        <v>2030</v>
      </c>
      <c r="O184" s="182">
        <f>IF(N184&lt;2019,2019,N184)</f>
        <v>2030</v>
      </c>
      <c r="P184" s="183">
        <f>'RSD (DEA)'!AZ128</f>
        <v>3.6</v>
      </c>
      <c r="Q184" s="183">
        <f>'RSD (DEA)'!BA128</f>
        <v>3.75</v>
      </c>
      <c r="R184" s="182">
        <f>'RSD (DEA)'!BR128/'RSD (DEA)'!S128</f>
        <v>63.75</v>
      </c>
      <c r="S184" s="182">
        <f>'RSD (DEA)'!BS128/X_RSD_HeatingDemand!$AA$8</f>
        <v>0</v>
      </c>
      <c r="T184" s="182">
        <f>'RSD (DEA)'!BK128*X_RSD_HeatingDemand!$AA$9/'RSD (DEA)'!S128</f>
        <v>2500</v>
      </c>
      <c r="U184" s="182">
        <f>'RSD (DEA)'!BI128</f>
        <v>20</v>
      </c>
      <c r="V184" s="182" t="str">
        <f t="shared" si="29"/>
        <v/>
      </c>
      <c r="W184" s="236">
        <f>'RSD (DEA)'!AM128</f>
        <v>31.536000000000001</v>
      </c>
    </row>
    <row r="185" spans="1:23" x14ac:dyDescent="0.3">
      <c r="A185" s="316"/>
      <c r="B185" s="235"/>
      <c r="C185" s="318"/>
      <c r="D185" s="235"/>
      <c r="E185" s="235"/>
      <c r="F185" s="242"/>
      <c r="G185" s="242"/>
      <c r="H185" s="235"/>
      <c r="I185" s="235"/>
      <c r="J185" s="182" t="str">
        <f>J184</f>
        <v>RSDGEO</v>
      </c>
      <c r="K185" s="235"/>
      <c r="L185" s="235" t="str">
        <f>$AA$11</f>
        <v>ACT</v>
      </c>
      <c r="M185" s="182" t="str">
        <f t="shared" si="18"/>
        <v/>
      </c>
      <c r="N185" s="182"/>
      <c r="O185" s="182"/>
      <c r="P185" s="183"/>
      <c r="Q185" s="183"/>
      <c r="R185" s="182"/>
      <c r="S185" s="182"/>
      <c r="T185" s="182"/>
      <c r="U185" s="182"/>
      <c r="V185" s="182">
        <f t="shared" si="29"/>
        <v>1</v>
      </c>
      <c r="W185" s="236"/>
    </row>
    <row r="186" spans="1:23" x14ac:dyDescent="0.3">
      <c r="A186" s="316"/>
      <c r="B186" s="235"/>
      <c r="C186" s="318"/>
      <c r="D186" s="235"/>
      <c r="E186" s="235"/>
      <c r="F186" s="242"/>
      <c r="G186" s="242"/>
      <c r="H186" s="235"/>
      <c r="I186" s="235"/>
      <c r="J186" s="182" t="str">
        <f>J185</f>
        <v>RSDGEO</v>
      </c>
      <c r="K186" s="235"/>
      <c r="L186" s="235" t="str">
        <f t="shared" ref="L186" si="38">I184</f>
        <v>RSDELC</v>
      </c>
      <c r="M186" s="182" t="str">
        <f t="shared" si="18"/>
        <v/>
      </c>
      <c r="N186" s="182"/>
      <c r="O186" s="182"/>
      <c r="P186" s="183"/>
      <c r="Q186" s="183"/>
      <c r="R186" s="182"/>
      <c r="S186" s="182"/>
      <c r="T186" s="182"/>
      <c r="U186" s="182"/>
      <c r="V186" s="182">
        <f t="shared" si="29"/>
        <v>-1</v>
      </c>
      <c r="W186" s="236"/>
    </row>
    <row r="187" spans="1:23" x14ac:dyDescent="0.3">
      <c r="A187" s="316"/>
      <c r="B187" s="235" t="str">
        <f>'RSD (DEA)'!AJ129&amp;"_"&amp;'RSD (DEA)'!Z129</f>
        <v>RHHSA_HP_ELC_08</v>
      </c>
      <c r="C187" s="318"/>
      <c r="D187" s="235" t="str">
        <f t="shared" si="20"/>
        <v>RHHSA_HP_ELC_08</v>
      </c>
      <c r="E187" s="235" t="str">
        <f>'RSD (DEA)'!Q129</f>
        <v>Electric heat pumps</v>
      </c>
      <c r="F187" s="242" t="s">
        <v>239</v>
      </c>
      <c r="G187" s="242" t="s">
        <v>240</v>
      </c>
      <c r="H187" s="235">
        <f>'RSD (DEA)'!S129</f>
        <v>4</v>
      </c>
      <c r="I187" s="235" t="str">
        <f>IF(OR(RIGHT('RSD (DEA)'!AH129,3)="BIO",RIGHT(AD187,3)="BOA"),LEFT('RSD (DEA)'!AH129,3)&amp;"BFW",'RSD (DEA)'!AH129)</f>
        <v>RSDELC</v>
      </c>
      <c r="J187" s="182" t="str">
        <f>'RSD (DEA)'!AI129</f>
        <v>RSDGEO</v>
      </c>
      <c r="K187" s="235" t="str">
        <f>'RSD (DEA)'!AJ129</f>
        <v>RHHSA</v>
      </c>
      <c r="L187" s="235"/>
      <c r="M187" s="182">
        <f t="shared" si="18"/>
        <v>2019</v>
      </c>
      <c r="N187" s="182">
        <f>'RSD (DEA)'!X129</f>
        <v>2050</v>
      </c>
      <c r="O187" s="182">
        <f>IF(N187&lt;2019,2019,N187)</f>
        <v>2050</v>
      </c>
      <c r="P187" s="183">
        <f>'RSD (DEA)'!AZ129</f>
        <v>3.75</v>
      </c>
      <c r="Q187" s="183">
        <f>'RSD (DEA)'!BA129</f>
        <v>3.9</v>
      </c>
      <c r="R187" s="182">
        <f>'RSD (DEA)'!BR129/'RSD (DEA)'!S129</f>
        <v>59.75</v>
      </c>
      <c r="S187" s="182">
        <f>'RSD (DEA)'!BS129/X_RSD_HeatingDemand!$AA$8</f>
        <v>0</v>
      </c>
      <c r="T187" s="182">
        <f>'RSD (DEA)'!BK129*X_RSD_HeatingDemand!$AA$9/'RSD (DEA)'!S129</f>
        <v>2250</v>
      </c>
      <c r="U187" s="182">
        <f>'RSD (DEA)'!BI129</f>
        <v>20</v>
      </c>
      <c r="V187" s="182" t="str">
        <f t="shared" si="29"/>
        <v/>
      </c>
      <c r="W187" s="236">
        <f>'RSD (DEA)'!AM129</f>
        <v>31.536000000000001</v>
      </c>
    </row>
    <row r="188" spans="1:23" x14ac:dyDescent="0.3">
      <c r="A188" s="316"/>
      <c r="B188" s="235"/>
      <c r="C188" s="318"/>
      <c r="D188" s="235"/>
      <c r="E188" s="235"/>
      <c r="F188" s="242"/>
      <c r="G188" s="242"/>
      <c r="H188" s="235"/>
      <c r="I188" s="235"/>
      <c r="J188" s="182" t="str">
        <f>J187</f>
        <v>RSDGEO</v>
      </c>
      <c r="K188" s="235"/>
      <c r="L188" s="235" t="str">
        <f>$AA$11</f>
        <v>ACT</v>
      </c>
      <c r="M188" s="182" t="str">
        <f t="shared" si="18"/>
        <v/>
      </c>
      <c r="N188" s="182"/>
      <c r="O188" s="182"/>
      <c r="P188" s="183"/>
      <c r="Q188" s="183"/>
      <c r="R188" s="182"/>
      <c r="S188" s="182"/>
      <c r="T188" s="182"/>
      <c r="U188" s="182"/>
      <c r="V188" s="182">
        <f t="shared" si="29"/>
        <v>1</v>
      </c>
      <c r="W188" s="236"/>
    </row>
    <row r="189" spans="1:23" x14ac:dyDescent="0.3">
      <c r="A189" s="316"/>
      <c r="B189" s="235"/>
      <c r="C189" s="318"/>
      <c r="D189" s="235"/>
      <c r="E189" s="235"/>
      <c r="F189" s="242"/>
      <c r="G189" s="242"/>
      <c r="H189" s="235"/>
      <c r="I189" s="235"/>
      <c r="J189" s="182" t="str">
        <f>J188</f>
        <v>RSDGEO</v>
      </c>
      <c r="K189" s="235"/>
      <c r="L189" s="235" t="str">
        <f t="shared" ref="L189" si="39">I187</f>
        <v>RSDELC</v>
      </c>
      <c r="M189" s="182" t="str">
        <f t="shared" si="18"/>
        <v/>
      </c>
      <c r="N189" s="182"/>
      <c r="O189" s="182"/>
      <c r="P189" s="183"/>
      <c r="Q189" s="183"/>
      <c r="R189" s="182"/>
      <c r="S189" s="182"/>
      <c r="T189" s="182"/>
      <c r="U189" s="182"/>
      <c r="V189" s="182">
        <f t="shared" si="29"/>
        <v>-1</v>
      </c>
      <c r="W189" s="236"/>
    </row>
    <row r="190" spans="1:23" x14ac:dyDescent="0.3">
      <c r="A190" s="316"/>
      <c r="B190" s="235" t="str">
        <f>'RSD (DEA)'!AJ130&amp;"_"&amp;'RSD (DEA)'!Z130</f>
        <v>RHAPC_HP_ELC_09</v>
      </c>
      <c r="C190" s="318"/>
      <c r="D190" s="235" t="str">
        <f t="shared" si="20"/>
        <v>RHAPC_HP_ELC_09</v>
      </c>
      <c r="E190" s="235" t="str">
        <f>'RSD (DEA)'!Q130</f>
        <v>Electric heat pumps</v>
      </c>
      <c r="F190" s="242" t="s">
        <v>239</v>
      </c>
      <c r="G190" s="242" t="s">
        <v>240</v>
      </c>
      <c r="H190" s="235">
        <f>'RSD (DEA)'!S130</f>
        <v>400</v>
      </c>
      <c r="I190" s="235" t="str">
        <f>IF(OR(RIGHT('RSD (DEA)'!AH130,3)="BIO",RIGHT(AD190,3)="BOA"),LEFT('RSD (DEA)'!AH130,3)&amp;"BFW",'RSD (DEA)'!AH130)</f>
        <v>RSDELC</v>
      </c>
      <c r="J190" s="182" t="str">
        <f>'RSD (DEA)'!AI130</f>
        <v>RSDGEO</v>
      </c>
      <c r="K190" s="235" t="str">
        <f>'RSD (DEA)'!AJ130</f>
        <v>RHAPC</v>
      </c>
      <c r="L190" s="235"/>
      <c r="M190" s="182">
        <f t="shared" si="18"/>
        <v>2019</v>
      </c>
      <c r="N190" s="182">
        <f>'RSD (DEA)'!X130</f>
        <v>2015</v>
      </c>
      <c r="O190" s="182">
        <f>IF(N190&lt;2019,2019,N190)</f>
        <v>2019</v>
      </c>
      <c r="P190" s="183">
        <f>'RSD (DEA)'!AZ130</f>
        <v>4.5</v>
      </c>
      <c r="Q190" s="183">
        <f>'RSD (DEA)'!BA130</f>
        <v>4.7</v>
      </c>
      <c r="R190" s="182">
        <f>'RSD (DEA)'!BR130/'RSD (DEA)'!S130</f>
        <v>4.0999999999999996</v>
      </c>
      <c r="S190" s="182">
        <f>'RSD (DEA)'!BS130/X_RSD_HeatingDemand!$AA$8</f>
        <v>0.12291666666666666</v>
      </c>
      <c r="T190" s="182">
        <f>'RSD (DEA)'!BK130*X_RSD_HeatingDemand!$AA$9/'RSD (DEA)'!S130</f>
        <v>662.5</v>
      </c>
      <c r="U190" s="182">
        <f>'RSD (DEA)'!BI130</f>
        <v>20</v>
      </c>
      <c r="V190" s="182" t="str">
        <f t="shared" si="29"/>
        <v/>
      </c>
      <c r="W190" s="236">
        <f>'RSD (DEA)'!AM130</f>
        <v>31.536000000000001</v>
      </c>
    </row>
    <row r="191" spans="1:23" x14ac:dyDescent="0.3">
      <c r="A191" s="316"/>
      <c r="B191" s="235"/>
      <c r="C191" s="318"/>
      <c r="D191" s="235"/>
      <c r="E191" s="235"/>
      <c r="F191" s="242"/>
      <c r="G191" s="242"/>
      <c r="H191" s="235"/>
      <c r="I191" s="235"/>
      <c r="J191" s="182" t="str">
        <f>J190</f>
        <v>RSDGEO</v>
      </c>
      <c r="K191" s="235"/>
      <c r="L191" s="235" t="str">
        <f>$AA$11</f>
        <v>ACT</v>
      </c>
      <c r="M191" s="182" t="str">
        <f t="shared" si="18"/>
        <v/>
      </c>
      <c r="N191" s="182"/>
      <c r="O191" s="182"/>
      <c r="P191" s="183"/>
      <c r="Q191" s="183"/>
      <c r="R191" s="182"/>
      <c r="S191" s="182"/>
      <c r="T191" s="182"/>
      <c r="U191" s="182"/>
      <c r="V191" s="182">
        <f t="shared" si="29"/>
        <v>1</v>
      </c>
      <c r="W191" s="236"/>
    </row>
    <row r="192" spans="1:23" x14ac:dyDescent="0.3">
      <c r="A192" s="316"/>
      <c r="B192" s="235"/>
      <c r="C192" s="318"/>
      <c r="D192" s="235"/>
      <c r="E192" s="235"/>
      <c r="F192" s="242"/>
      <c r="G192" s="242"/>
      <c r="H192" s="235"/>
      <c r="I192" s="235"/>
      <c r="J192" s="182" t="str">
        <f>J191</f>
        <v>RSDGEO</v>
      </c>
      <c r="K192" s="235"/>
      <c r="L192" s="235" t="str">
        <f t="shared" ref="L192" si="40">I190</f>
        <v>RSDELC</v>
      </c>
      <c r="M192" s="182" t="str">
        <f t="shared" si="18"/>
        <v/>
      </c>
      <c r="N192" s="182"/>
      <c r="O192" s="182"/>
      <c r="P192" s="183"/>
      <c r="Q192" s="183"/>
      <c r="R192" s="182"/>
      <c r="S192" s="182"/>
      <c r="T192" s="182"/>
      <c r="U192" s="182"/>
      <c r="V192" s="182">
        <f t="shared" si="29"/>
        <v>-1</v>
      </c>
      <c r="W192" s="236"/>
    </row>
    <row r="193" spans="1:23" x14ac:dyDescent="0.3">
      <c r="A193" s="316"/>
      <c r="B193" s="235" t="str">
        <f>'RSD (DEA)'!AJ131&amp;"_"&amp;'RSD (DEA)'!Z131</f>
        <v>RHAPC_HP_ELC_09</v>
      </c>
      <c r="C193" s="318"/>
      <c r="D193" s="235" t="str">
        <f t="shared" si="20"/>
        <v>RHAPC_HP_ELC_09</v>
      </c>
      <c r="E193" s="235" t="str">
        <f>'RSD (DEA)'!Q131</f>
        <v>Electric heat pumps</v>
      </c>
      <c r="F193" s="242" t="s">
        <v>239</v>
      </c>
      <c r="G193" s="242" t="s">
        <v>240</v>
      </c>
      <c r="H193" s="235">
        <f>'RSD (DEA)'!S131</f>
        <v>400</v>
      </c>
      <c r="I193" s="235" t="str">
        <f>IF(OR(RIGHT('RSD (DEA)'!AH131,3)="BIO",RIGHT(AD193,3)="BOA"),LEFT('RSD (DEA)'!AH131,3)&amp;"BFW",'RSD (DEA)'!AH131)</f>
        <v>RSDELC</v>
      </c>
      <c r="J193" s="182" t="str">
        <f>'RSD (DEA)'!AI131</f>
        <v>RSDGEO</v>
      </c>
      <c r="K193" s="235" t="str">
        <f>'RSD (DEA)'!AJ131</f>
        <v>RHAPC</v>
      </c>
      <c r="L193" s="235"/>
      <c r="M193" s="182">
        <f t="shared" si="18"/>
        <v>2019</v>
      </c>
      <c r="N193" s="182">
        <f>'RSD (DEA)'!X131</f>
        <v>2020</v>
      </c>
      <c r="O193" s="182">
        <f>IF(N193&lt;2019,2019,N193)</f>
        <v>2020</v>
      </c>
      <c r="P193" s="183">
        <f>'RSD (DEA)'!AZ131</f>
        <v>4.5999999999999996</v>
      </c>
      <c r="Q193" s="183">
        <f>'RSD (DEA)'!BA131</f>
        <v>4.8</v>
      </c>
      <c r="R193" s="182">
        <f>'RSD (DEA)'!BR131/'RSD (DEA)'!S131</f>
        <v>4.125</v>
      </c>
      <c r="S193" s="182">
        <f>'RSD (DEA)'!BS131/X_RSD_HeatingDemand!$AA$8</f>
        <v>0.12291666666666666</v>
      </c>
      <c r="T193" s="182">
        <f>'RSD (DEA)'!BK131*X_RSD_HeatingDemand!$AA$9/'RSD (DEA)'!S131</f>
        <v>622.5</v>
      </c>
      <c r="U193" s="182">
        <f>'RSD (DEA)'!BI131</f>
        <v>20</v>
      </c>
      <c r="V193" s="182" t="str">
        <f t="shared" si="29"/>
        <v/>
      </c>
      <c r="W193" s="236">
        <f>'RSD (DEA)'!AM131</f>
        <v>31.536000000000001</v>
      </c>
    </row>
    <row r="194" spans="1:23" x14ac:dyDescent="0.3">
      <c r="A194" s="316"/>
      <c r="B194" s="235"/>
      <c r="C194" s="318"/>
      <c r="D194" s="235"/>
      <c r="E194" s="235"/>
      <c r="F194" s="242"/>
      <c r="G194" s="242"/>
      <c r="H194" s="235"/>
      <c r="I194" s="235"/>
      <c r="J194" s="182" t="str">
        <f>J193</f>
        <v>RSDGEO</v>
      </c>
      <c r="K194" s="235"/>
      <c r="L194" s="235" t="str">
        <f>$AA$11</f>
        <v>ACT</v>
      </c>
      <c r="M194" s="182" t="str">
        <f t="shared" si="18"/>
        <v/>
      </c>
      <c r="N194" s="182"/>
      <c r="O194" s="182"/>
      <c r="P194" s="183"/>
      <c r="Q194" s="183"/>
      <c r="R194" s="182"/>
      <c r="S194" s="182"/>
      <c r="T194" s="182"/>
      <c r="U194" s="182"/>
      <c r="V194" s="182">
        <f t="shared" si="29"/>
        <v>1</v>
      </c>
      <c r="W194" s="236"/>
    </row>
    <row r="195" spans="1:23" x14ac:dyDescent="0.3">
      <c r="A195" s="316"/>
      <c r="B195" s="235"/>
      <c r="C195" s="318"/>
      <c r="D195" s="235"/>
      <c r="E195" s="235"/>
      <c r="F195" s="242"/>
      <c r="G195" s="242"/>
      <c r="H195" s="235"/>
      <c r="I195" s="235"/>
      <c r="J195" s="182" t="str">
        <f>J194</f>
        <v>RSDGEO</v>
      </c>
      <c r="K195" s="235"/>
      <c r="L195" s="235" t="str">
        <f t="shared" ref="L195" si="41">I193</f>
        <v>RSDELC</v>
      </c>
      <c r="M195" s="182" t="str">
        <f t="shared" si="18"/>
        <v/>
      </c>
      <c r="N195" s="182"/>
      <c r="O195" s="182"/>
      <c r="P195" s="183"/>
      <c r="Q195" s="183"/>
      <c r="R195" s="182"/>
      <c r="S195" s="182"/>
      <c r="T195" s="182"/>
      <c r="U195" s="182"/>
      <c r="V195" s="182">
        <f t="shared" si="29"/>
        <v>-1</v>
      </c>
      <c r="W195" s="236"/>
    </row>
    <row r="196" spans="1:23" x14ac:dyDescent="0.3">
      <c r="A196" s="316"/>
      <c r="B196" s="235" t="str">
        <f>'RSD (DEA)'!AJ132&amp;"_"&amp;'RSD (DEA)'!Z132</f>
        <v>RHAPC_HP_ELC_09</v>
      </c>
      <c r="C196" s="318"/>
      <c r="D196" s="235" t="str">
        <f t="shared" si="20"/>
        <v>RHAPC_HP_ELC_09</v>
      </c>
      <c r="E196" s="235" t="str">
        <f>'RSD (DEA)'!Q132</f>
        <v>Electric heat pumps</v>
      </c>
      <c r="F196" s="242" t="s">
        <v>239</v>
      </c>
      <c r="G196" s="242" t="s">
        <v>240</v>
      </c>
      <c r="H196" s="235">
        <f>'RSD (DEA)'!S132</f>
        <v>400</v>
      </c>
      <c r="I196" s="235" t="str">
        <f>IF(OR(RIGHT('RSD (DEA)'!AH132,3)="BIO",RIGHT(AD196,3)="BOA"),LEFT('RSD (DEA)'!AH132,3)&amp;"BFW",'RSD (DEA)'!AH132)</f>
        <v>RSDELC</v>
      </c>
      <c r="J196" s="182" t="str">
        <f>'RSD (DEA)'!AI132</f>
        <v>RSDGEO</v>
      </c>
      <c r="K196" s="235" t="str">
        <f>'RSD (DEA)'!AJ132</f>
        <v>RHAPC</v>
      </c>
      <c r="L196" s="235"/>
      <c r="M196" s="182">
        <f t="shared" si="18"/>
        <v>2019</v>
      </c>
      <c r="N196" s="182">
        <f>'RSD (DEA)'!X132</f>
        <v>2030</v>
      </c>
      <c r="O196" s="182">
        <f>IF(N196&lt;2019,2019,N196)</f>
        <v>2030</v>
      </c>
      <c r="P196" s="183">
        <f>'RSD (DEA)'!AZ132</f>
        <v>4.7</v>
      </c>
      <c r="Q196" s="183">
        <f>'RSD (DEA)'!BA132</f>
        <v>4.9000000000000004</v>
      </c>
      <c r="R196" s="182">
        <f>'RSD (DEA)'!BR132/'RSD (DEA)'!S132</f>
        <v>4.665</v>
      </c>
      <c r="S196" s="182">
        <f>'RSD (DEA)'!BS132/X_RSD_HeatingDemand!$AA$8</f>
        <v>0.12291666666666666</v>
      </c>
      <c r="T196" s="182">
        <f>'RSD (DEA)'!BK132*X_RSD_HeatingDemand!$AA$9/'RSD (DEA)'!S132</f>
        <v>560</v>
      </c>
      <c r="U196" s="182">
        <f>'RSD (DEA)'!BI132</f>
        <v>20</v>
      </c>
      <c r="V196" s="182" t="str">
        <f t="shared" si="29"/>
        <v/>
      </c>
      <c r="W196" s="236">
        <f>'RSD (DEA)'!AM132</f>
        <v>31.536000000000001</v>
      </c>
    </row>
    <row r="197" spans="1:23" x14ac:dyDescent="0.3">
      <c r="A197" s="316"/>
      <c r="B197" s="235"/>
      <c r="C197" s="318"/>
      <c r="D197" s="235"/>
      <c r="E197" s="235"/>
      <c r="F197" s="242"/>
      <c r="G197" s="242"/>
      <c r="H197" s="235"/>
      <c r="I197" s="235"/>
      <c r="J197" s="182" t="str">
        <f>J196</f>
        <v>RSDGEO</v>
      </c>
      <c r="K197" s="235"/>
      <c r="L197" s="235" t="str">
        <f>$AA$11</f>
        <v>ACT</v>
      </c>
      <c r="M197" s="182" t="str">
        <f t="shared" si="18"/>
        <v/>
      </c>
      <c r="N197" s="182"/>
      <c r="O197" s="182"/>
      <c r="P197" s="183"/>
      <c r="Q197" s="183"/>
      <c r="R197" s="182"/>
      <c r="S197" s="182"/>
      <c r="T197" s="182"/>
      <c r="U197" s="182"/>
      <c r="V197" s="182">
        <f t="shared" si="29"/>
        <v>1</v>
      </c>
      <c r="W197" s="236"/>
    </row>
    <row r="198" spans="1:23" x14ac:dyDescent="0.3">
      <c r="A198" s="316"/>
      <c r="B198" s="235"/>
      <c r="C198" s="318"/>
      <c r="D198" s="235"/>
      <c r="E198" s="235"/>
      <c r="F198" s="242"/>
      <c r="G198" s="242"/>
      <c r="H198" s="235"/>
      <c r="I198" s="235"/>
      <c r="J198" s="182" t="str">
        <f>J197</f>
        <v>RSDGEO</v>
      </c>
      <c r="K198" s="235"/>
      <c r="L198" s="235" t="str">
        <f t="shared" ref="L198" si="42">I196</f>
        <v>RSDELC</v>
      </c>
      <c r="M198" s="182" t="str">
        <f t="shared" ref="M198:M261" si="43">IF(ISBLANK(B198),"",$AA$14)</f>
        <v/>
      </c>
      <c r="N198" s="182"/>
      <c r="O198" s="182"/>
      <c r="P198" s="183"/>
      <c r="Q198" s="183"/>
      <c r="R198" s="182"/>
      <c r="S198" s="182"/>
      <c r="T198" s="182"/>
      <c r="U198" s="182"/>
      <c r="V198" s="182">
        <f t="shared" si="29"/>
        <v>-1</v>
      </c>
      <c r="W198" s="236"/>
    </row>
    <row r="199" spans="1:23" x14ac:dyDescent="0.3">
      <c r="A199" s="316"/>
      <c r="B199" s="235" t="str">
        <f>'RSD (DEA)'!AJ133&amp;"_"&amp;'RSD (DEA)'!Z133</f>
        <v>RHAPC_HP_ELC_09</v>
      </c>
      <c r="C199" s="318"/>
      <c r="D199" s="235" t="str">
        <f t="shared" si="20"/>
        <v>RHAPC_HP_ELC_09</v>
      </c>
      <c r="E199" s="235" t="str">
        <f>'RSD (DEA)'!Q133</f>
        <v>Electric heat pumps</v>
      </c>
      <c r="F199" s="242" t="s">
        <v>239</v>
      </c>
      <c r="G199" s="242" t="s">
        <v>240</v>
      </c>
      <c r="H199" s="235">
        <f>'RSD (DEA)'!S133</f>
        <v>400</v>
      </c>
      <c r="I199" s="235" t="str">
        <f>IF(OR(RIGHT('RSD (DEA)'!AH133,3)="BIO",RIGHT(AD199,3)="BOA"),LEFT('RSD (DEA)'!AH133,3)&amp;"BFW",'RSD (DEA)'!AH133)</f>
        <v>RSDELC</v>
      </c>
      <c r="J199" s="182" t="str">
        <f>'RSD (DEA)'!AI133</f>
        <v>RSDGEO</v>
      </c>
      <c r="K199" s="235" t="str">
        <f>'RSD (DEA)'!AJ133</f>
        <v>RHAPC</v>
      </c>
      <c r="L199" s="235"/>
      <c r="M199" s="182">
        <f t="shared" si="43"/>
        <v>2019</v>
      </c>
      <c r="N199" s="182">
        <f>'RSD (DEA)'!X133</f>
        <v>2050</v>
      </c>
      <c r="O199" s="182">
        <f>IF(N199&lt;2019,2019,N199)</f>
        <v>2050</v>
      </c>
      <c r="P199" s="183">
        <f>'RSD (DEA)'!AZ133</f>
        <v>4.9000000000000004</v>
      </c>
      <c r="Q199" s="183">
        <f>'RSD (DEA)'!BA133</f>
        <v>5.0999999999999996</v>
      </c>
      <c r="R199" s="182">
        <f>'RSD (DEA)'!BR133/'RSD (DEA)'!S133</f>
        <v>6.0274999999999999</v>
      </c>
      <c r="S199" s="182">
        <f>'RSD (DEA)'!BS133/X_RSD_HeatingDemand!$AA$8</f>
        <v>0.12291666666666666</v>
      </c>
      <c r="T199" s="182">
        <f>'RSD (DEA)'!BK133*X_RSD_HeatingDemand!$AA$9/'RSD (DEA)'!S133</f>
        <v>505</v>
      </c>
      <c r="U199" s="182">
        <f>'RSD (DEA)'!BI133</f>
        <v>20</v>
      </c>
      <c r="V199" s="182" t="str">
        <f t="shared" si="29"/>
        <v/>
      </c>
      <c r="W199" s="236">
        <f>'RSD (DEA)'!AM133</f>
        <v>31.536000000000001</v>
      </c>
    </row>
    <row r="200" spans="1:23" x14ac:dyDescent="0.3">
      <c r="A200" s="316"/>
      <c r="B200" s="235"/>
      <c r="C200" s="318"/>
      <c r="D200" s="235"/>
      <c r="E200" s="235"/>
      <c r="F200" s="242"/>
      <c r="G200" s="242"/>
      <c r="H200" s="235"/>
      <c r="I200" s="235"/>
      <c r="J200" s="182" t="str">
        <f>J199</f>
        <v>RSDGEO</v>
      </c>
      <c r="K200" s="235"/>
      <c r="L200" s="235" t="str">
        <f>$AA$11</f>
        <v>ACT</v>
      </c>
      <c r="M200" s="182" t="str">
        <f t="shared" si="43"/>
        <v/>
      </c>
      <c r="N200" s="182"/>
      <c r="O200" s="182"/>
      <c r="P200" s="183"/>
      <c r="Q200" s="183"/>
      <c r="R200" s="182"/>
      <c r="S200" s="182"/>
      <c r="T200" s="182"/>
      <c r="U200" s="182"/>
      <c r="V200" s="182">
        <f t="shared" si="29"/>
        <v>1</v>
      </c>
      <c r="W200" s="236"/>
    </row>
    <row r="201" spans="1:23" x14ac:dyDescent="0.3">
      <c r="A201" s="316"/>
      <c r="B201" s="235"/>
      <c r="C201" s="318"/>
      <c r="D201" s="235"/>
      <c r="E201" s="235"/>
      <c r="F201" s="242"/>
      <c r="G201" s="242"/>
      <c r="H201" s="235"/>
      <c r="I201" s="235"/>
      <c r="J201" s="182" t="str">
        <f>J200</f>
        <v>RSDGEO</v>
      </c>
      <c r="K201" s="235"/>
      <c r="L201" s="235" t="str">
        <f t="shared" ref="L201" si="44">I199</f>
        <v>RSDELC</v>
      </c>
      <c r="M201" s="182" t="str">
        <f t="shared" si="43"/>
        <v/>
      </c>
      <c r="N201" s="182"/>
      <c r="O201" s="182"/>
      <c r="P201" s="183"/>
      <c r="Q201" s="183"/>
      <c r="R201" s="182"/>
      <c r="S201" s="182"/>
      <c r="T201" s="182"/>
      <c r="U201" s="182"/>
      <c r="V201" s="182">
        <f t="shared" si="29"/>
        <v>-1</v>
      </c>
      <c r="W201" s="236"/>
    </row>
    <row r="202" spans="1:23" x14ac:dyDescent="0.3">
      <c r="A202" s="316"/>
      <c r="B202" s="235" t="str">
        <f>'RSD (DEA)'!AJ134&amp;"_"&amp;'RSD (DEA)'!Z134</f>
        <v>RHAPA_HP_ELC_10</v>
      </c>
      <c r="C202" s="318"/>
      <c r="D202" s="235" t="str">
        <f t="shared" ref="D202:D262" si="45">IF(B202=B201,LEFT(B202,LEN(B202)-2)&amp;IF(RIGHT(D201)+1&lt;9,"0"&amp;RIGHT(D201)+1,RIGHT(D201)+1),B202)</f>
        <v>RHAPA_HP_ELC_10</v>
      </c>
      <c r="E202" s="235" t="str">
        <f>'RSD (DEA)'!Q134</f>
        <v>Electric heat pumps</v>
      </c>
      <c r="F202" s="242" t="s">
        <v>239</v>
      </c>
      <c r="G202" s="242" t="s">
        <v>240</v>
      </c>
      <c r="H202" s="235">
        <f>'RSD (DEA)'!S134</f>
        <v>160</v>
      </c>
      <c r="I202" s="235" t="str">
        <f>IF(OR(RIGHT('RSD (DEA)'!AH134,3)="BIO",RIGHT(AD202,3)="BOA"),LEFT('RSD (DEA)'!AH134,3)&amp;"BFW",'RSD (DEA)'!AH134)</f>
        <v>RSDELC</v>
      </c>
      <c r="J202" s="182" t="str">
        <f>'RSD (DEA)'!AI134</f>
        <v>RSDGEO</v>
      </c>
      <c r="K202" s="235" t="str">
        <f>'RSD (DEA)'!AJ134</f>
        <v>RHAPA</v>
      </c>
      <c r="L202" s="235"/>
      <c r="M202" s="182">
        <f t="shared" si="43"/>
        <v>2019</v>
      </c>
      <c r="N202" s="182">
        <f>'RSD (DEA)'!X134</f>
        <v>2015</v>
      </c>
      <c r="O202" s="182">
        <f>IF(N202&lt;2019,2019,N202)</f>
        <v>2019</v>
      </c>
      <c r="P202" s="183">
        <f>'RSD (DEA)'!AZ134</f>
        <v>4.3</v>
      </c>
      <c r="Q202" s="183">
        <f>'RSD (DEA)'!BA134</f>
        <v>5</v>
      </c>
      <c r="R202" s="182">
        <f>'RSD (DEA)'!BR134/'RSD (DEA)'!S134</f>
        <v>10.25</v>
      </c>
      <c r="S202" s="182">
        <f>'RSD (DEA)'!BS134/X_RSD_HeatingDemand!$AA$8</f>
        <v>0.12291666666666666</v>
      </c>
      <c r="T202" s="182">
        <f>'RSD (DEA)'!BK134*X_RSD_HeatingDemand!$AA$9/'RSD (DEA)'!S134</f>
        <v>593.75</v>
      </c>
      <c r="U202" s="182">
        <f>'RSD (DEA)'!BI134</f>
        <v>20</v>
      </c>
      <c r="V202" s="182" t="str">
        <f t="shared" si="29"/>
        <v/>
      </c>
      <c r="W202" s="236">
        <f>'RSD (DEA)'!AM134</f>
        <v>31.536000000000001</v>
      </c>
    </row>
    <row r="203" spans="1:23" x14ac:dyDescent="0.3">
      <c r="A203" s="316"/>
      <c r="B203" s="235"/>
      <c r="C203" s="318"/>
      <c r="D203" s="235"/>
      <c r="E203" s="235"/>
      <c r="F203" s="242"/>
      <c r="G203" s="242"/>
      <c r="H203" s="235"/>
      <c r="I203" s="235"/>
      <c r="J203" s="182" t="str">
        <f>J202</f>
        <v>RSDGEO</v>
      </c>
      <c r="K203" s="235"/>
      <c r="L203" s="235" t="str">
        <f>$AA$11</f>
        <v>ACT</v>
      </c>
      <c r="M203" s="182" t="str">
        <f t="shared" si="43"/>
        <v/>
      </c>
      <c r="N203" s="182"/>
      <c r="O203" s="182"/>
      <c r="P203" s="183"/>
      <c r="Q203" s="183"/>
      <c r="R203" s="182"/>
      <c r="S203" s="182"/>
      <c r="T203" s="182"/>
      <c r="U203" s="182"/>
      <c r="V203" s="182">
        <f t="shared" si="29"/>
        <v>1</v>
      </c>
      <c r="W203" s="236"/>
    </row>
    <row r="204" spans="1:23" x14ac:dyDescent="0.3">
      <c r="A204" s="316"/>
      <c r="B204" s="235"/>
      <c r="C204" s="318"/>
      <c r="D204" s="235"/>
      <c r="E204" s="235"/>
      <c r="F204" s="242"/>
      <c r="G204" s="242"/>
      <c r="H204" s="235"/>
      <c r="I204" s="235"/>
      <c r="J204" s="182" t="str">
        <f>J203</f>
        <v>RSDGEO</v>
      </c>
      <c r="K204" s="235"/>
      <c r="L204" s="235" t="str">
        <f t="shared" ref="L204" si="46">I202</f>
        <v>RSDELC</v>
      </c>
      <c r="M204" s="182" t="str">
        <f t="shared" si="43"/>
        <v/>
      </c>
      <c r="N204" s="182"/>
      <c r="O204" s="182"/>
      <c r="P204" s="183"/>
      <c r="Q204" s="183"/>
      <c r="R204" s="182"/>
      <c r="S204" s="182"/>
      <c r="T204" s="182"/>
      <c r="U204" s="182"/>
      <c r="V204" s="182">
        <f t="shared" si="29"/>
        <v>-1</v>
      </c>
      <c r="W204" s="236"/>
    </row>
    <row r="205" spans="1:23" x14ac:dyDescent="0.3">
      <c r="A205" s="316"/>
      <c r="B205" s="235" t="str">
        <f>'RSD (DEA)'!AJ135&amp;"_"&amp;'RSD (DEA)'!Z135</f>
        <v>RHAPA_HP_ELC_10</v>
      </c>
      <c r="C205" s="318"/>
      <c r="D205" s="235" t="str">
        <f t="shared" si="45"/>
        <v>RHAPA_HP_ELC_10</v>
      </c>
      <c r="E205" s="235" t="str">
        <f>'RSD (DEA)'!Q135</f>
        <v>Electric heat pumps</v>
      </c>
      <c r="F205" s="242" t="s">
        <v>239</v>
      </c>
      <c r="G205" s="242" t="s">
        <v>240</v>
      </c>
      <c r="H205" s="235">
        <f>'RSD (DEA)'!S135</f>
        <v>160</v>
      </c>
      <c r="I205" s="235" t="str">
        <f>IF(OR(RIGHT('RSD (DEA)'!AH135,3)="BIO",RIGHT(AD205,3)="BOA"),LEFT('RSD (DEA)'!AH135,3)&amp;"BFW",'RSD (DEA)'!AH135)</f>
        <v>RSDELC</v>
      </c>
      <c r="J205" s="182" t="str">
        <f>'RSD (DEA)'!AI135</f>
        <v>RSDGEO</v>
      </c>
      <c r="K205" s="235" t="str">
        <f>'RSD (DEA)'!AJ135</f>
        <v>RHAPA</v>
      </c>
      <c r="L205" s="235"/>
      <c r="M205" s="182">
        <f t="shared" si="43"/>
        <v>2019</v>
      </c>
      <c r="N205" s="182">
        <f>'RSD (DEA)'!X135</f>
        <v>2020</v>
      </c>
      <c r="O205" s="182">
        <f>IF(N205&lt;2019,2019,N205)</f>
        <v>2020</v>
      </c>
      <c r="P205" s="183">
        <f>'RSD (DEA)'!AZ135</f>
        <v>4.4000000000000004</v>
      </c>
      <c r="Q205" s="183">
        <f>'RSD (DEA)'!BA135</f>
        <v>5.0999999999999996</v>
      </c>
      <c r="R205" s="182">
        <f>'RSD (DEA)'!BR135/'RSD (DEA)'!S135</f>
        <v>10.3125</v>
      </c>
      <c r="S205" s="182">
        <f>'RSD (DEA)'!BS135/X_RSD_HeatingDemand!$AA$8</f>
        <v>0.12291666666666666</v>
      </c>
      <c r="T205" s="182">
        <f>'RSD (DEA)'!BK135*X_RSD_HeatingDemand!$AA$9/'RSD (DEA)'!S135</f>
        <v>556.25</v>
      </c>
      <c r="U205" s="182">
        <f>'RSD (DEA)'!BI135</f>
        <v>20</v>
      </c>
      <c r="V205" s="182" t="str">
        <f t="shared" si="29"/>
        <v/>
      </c>
      <c r="W205" s="236">
        <f>'RSD (DEA)'!AM135</f>
        <v>31.536000000000001</v>
      </c>
    </row>
    <row r="206" spans="1:23" x14ac:dyDescent="0.3">
      <c r="A206" s="316"/>
      <c r="B206" s="235"/>
      <c r="C206" s="318"/>
      <c r="D206" s="235"/>
      <c r="E206" s="235"/>
      <c r="F206" s="242"/>
      <c r="G206" s="242"/>
      <c r="H206" s="235"/>
      <c r="I206" s="235"/>
      <c r="J206" s="182" t="str">
        <f>J205</f>
        <v>RSDGEO</v>
      </c>
      <c r="K206" s="235"/>
      <c r="L206" s="235" t="str">
        <f>$AA$11</f>
        <v>ACT</v>
      </c>
      <c r="M206" s="182" t="str">
        <f t="shared" si="43"/>
        <v/>
      </c>
      <c r="N206" s="182"/>
      <c r="O206" s="182"/>
      <c r="P206" s="183"/>
      <c r="Q206" s="183"/>
      <c r="R206" s="182"/>
      <c r="S206" s="182"/>
      <c r="T206" s="182"/>
      <c r="U206" s="182"/>
      <c r="V206" s="182">
        <f t="shared" si="29"/>
        <v>1</v>
      </c>
      <c r="W206" s="236"/>
    </row>
    <row r="207" spans="1:23" x14ac:dyDescent="0.3">
      <c r="A207" s="316"/>
      <c r="B207" s="235"/>
      <c r="C207" s="318"/>
      <c r="D207" s="235"/>
      <c r="E207" s="235"/>
      <c r="F207" s="242"/>
      <c r="G207" s="242"/>
      <c r="H207" s="235"/>
      <c r="I207" s="235"/>
      <c r="J207" s="182" t="str">
        <f>J206</f>
        <v>RSDGEO</v>
      </c>
      <c r="K207" s="235"/>
      <c r="L207" s="235" t="str">
        <f t="shared" ref="L207" si="47">I205</f>
        <v>RSDELC</v>
      </c>
      <c r="M207" s="182" t="str">
        <f t="shared" si="43"/>
        <v/>
      </c>
      <c r="N207" s="182"/>
      <c r="O207" s="182"/>
      <c r="P207" s="183"/>
      <c r="Q207" s="183"/>
      <c r="R207" s="182"/>
      <c r="S207" s="182"/>
      <c r="T207" s="182"/>
      <c r="U207" s="182"/>
      <c r="V207" s="182">
        <f t="shared" si="29"/>
        <v>-1</v>
      </c>
      <c r="W207" s="236"/>
    </row>
    <row r="208" spans="1:23" x14ac:dyDescent="0.3">
      <c r="A208" s="316"/>
      <c r="B208" s="235" t="str">
        <f>'RSD (DEA)'!AJ136&amp;"_"&amp;'RSD (DEA)'!Z136</f>
        <v>RHAPA_HP_ELC_10</v>
      </c>
      <c r="C208" s="318"/>
      <c r="D208" s="235" t="str">
        <f t="shared" si="45"/>
        <v>RHAPA_HP_ELC_10</v>
      </c>
      <c r="E208" s="235" t="str">
        <f>'RSD (DEA)'!Q136</f>
        <v>Electric heat pumps</v>
      </c>
      <c r="F208" s="242" t="s">
        <v>239</v>
      </c>
      <c r="G208" s="242" t="s">
        <v>240</v>
      </c>
      <c r="H208" s="235">
        <f>'RSD (DEA)'!S136</f>
        <v>160</v>
      </c>
      <c r="I208" s="235" t="str">
        <f>IF(OR(RIGHT('RSD (DEA)'!AH136,3)="BIO",RIGHT(AD208,3)="BOA"),LEFT('RSD (DEA)'!AH136,3)&amp;"BFW",'RSD (DEA)'!AH136)</f>
        <v>RSDELC</v>
      </c>
      <c r="J208" s="182" t="str">
        <f>'RSD (DEA)'!AI136</f>
        <v>RSDGEO</v>
      </c>
      <c r="K208" s="235" t="str">
        <f>'RSD (DEA)'!AJ136</f>
        <v>RHAPA</v>
      </c>
      <c r="L208" s="235"/>
      <c r="M208" s="182">
        <f t="shared" si="43"/>
        <v>2019</v>
      </c>
      <c r="N208" s="182">
        <f>'RSD (DEA)'!X136</f>
        <v>2030</v>
      </c>
      <c r="O208" s="182">
        <f>IF(N208&lt;2019,2019,N208)</f>
        <v>2030</v>
      </c>
      <c r="P208" s="183">
        <f>'RSD (DEA)'!AZ136</f>
        <v>4.5</v>
      </c>
      <c r="Q208" s="183">
        <f>'RSD (DEA)'!BA136</f>
        <v>5.2</v>
      </c>
      <c r="R208" s="182">
        <f>'RSD (DEA)'!BR136/'RSD (DEA)'!S136</f>
        <v>11.6625</v>
      </c>
      <c r="S208" s="182">
        <f>'RSD (DEA)'!BS136/X_RSD_HeatingDemand!$AA$8</f>
        <v>0.12291666666666666</v>
      </c>
      <c r="T208" s="182">
        <f>'RSD (DEA)'!BK136*X_RSD_HeatingDemand!$AA$9/'RSD (DEA)'!S136</f>
        <v>500</v>
      </c>
      <c r="U208" s="182">
        <f>'RSD (DEA)'!BI136</f>
        <v>20</v>
      </c>
      <c r="V208" s="182" t="str">
        <f t="shared" si="29"/>
        <v/>
      </c>
      <c r="W208" s="236">
        <f>'RSD (DEA)'!AM136</f>
        <v>31.536000000000001</v>
      </c>
    </row>
    <row r="209" spans="1:23" x14ac:dyDescent="0.3">
      <c r="A209" s="316"/>
      <c r="B209" s="235"/>
      <c r="C209" s="318"/>
      <c r="D209" s="235"/>
      <c r="E209" s="235"/>
      <c r="F209" s="242"/>
      <c r="G209" s="242"/>
      <c r="H209" s="235"/>
      <c r="I209" s="235"/>
      <c r="J209" s="182" t="str">
        <f>J208</f>
        <v>RSDGEO</v>
      </c>
      <c r="K209" s="235"/>
      <c r="L209" s="235" t="str">
        <f>$AA$11</f>
        <v>ACT</v>
      </c>
      <c r="M209" s="182" t="str">
        <f t="shared" si="43"/>
        <v/>
      </c>
      <c r="N209" s="182"/>
      <c r="O209" s="182"/>
      <c r="P209" s="183"/>
      <c r="Q209" s="183"/>
      <c r="R209" s="182"/>
      <c r="S209" s="182"/>
      <c r="T209" s="182"/>
      <c r="U209" s="182"/>
      <c r="V209" s="182">
        <f t="shared" si="29"/>
        <v>1</v>
      </c>
      <c r="W209" s="236"/>
    </row>
    <row r="210" spans="1:23" x14ac:dyDescent="0.3">
      <c r="A210" s="316"/>
      <c r="B210" s="235"/>
      <c r="C210" s="318"/>
      <c r="D210" s="235"/>
      <c r="E210" s="235"/>
      <c r="F210" s="242"/>
      <c r="G210" s="242"/>
      <c r="H210" s="235"/>
      <c r="I210" s="235"/>
      <c r="J210" s="182" t="str">
        <f>J209</f>
        <v>RSDGEO</v>
      </c>
      <c r="K210" s="235"/>
      <c r="L210" s="235" t="str">
        <f t="shared" ref="L210" si="48">I208</f>
        <v>RSDELC</v>
      </c>
      <c r="M210" s="182" t="str">
        <f t="shared" si="43"/>
        <v/>
      </c>
      <c r="N210" s="182"/>
      <c r="O210" s="182"/>
      <c r="P210" s="183"/>
      <c r="Q210" s="183"/>
      <c r="R210" s="182"/>
      <c r="S210" s="182"/>
      <c r="T210" s="182"/>
      <c r="U210" s="182"/>
      <c r="V210" s="182">
        <f t="shared" si="29"/>
        <v>-1</v>
      </c>
      <c r="W210" s="236"/>
    </row>
    <row r="211" spans="1:23" x14ac:dyDescent="0.3">
      <c r="A211" s="316"/>
      <c r="B211" s="235" t="str">
        <f>'RSD (DEA)'!AJ137&amp;"_"&amp;'RSD (DEA)'!Z137</f>
        <v>RHAPA_HP_ELC_10</v>
      </c>
      <c r="C211" s="318"/>
      <c r="D211" s="235" t="str">
        <f t="shared" si="45"/>
        <v>RHAPA_HP_ELC_10</v>
      </c>
      <c r="E211" s="235" t="str">
        <f>'RSD (DEA)'!Q137</f>
        <v>Electric heat pumps</v>
      </c>
      <c r="F211" s="242" t="s">
        <v>239</v>
      </c>
      <c r="G211" s="242" t="s">
        <v>240</v>
      </c>
      <c r="H211" s="235">
        <f>'RSD (DEA)'!S137</f>
        <v>160</v>
      </c>
      <c r="I211" s="235" t="str">
        <f>IF(OR(RIGHT('RSD (DEA)'!AH137,3)="BIO",RIGHT(AD211,3)="BOA"),LEFT('RSD (DEA)'!AH137,3)&amp;"BFW",'RSD (DEA)'!AH137)</f>
        <v>RSDELC</v>
      </c>
      <c r="J211" s="182" t="str">
        <f>'RSD (DEA)'!AI137</f>
        <v>RSDGEO</v>
      </c>
      <c r="K211" s="235" t="str">
        <f>'RSD (DEA)'!AJ137</f>
        <v>RHAPA</v>
      </c>
      <c r="L211" s="235"/>
      <c r="M211" s="182">
        <f t="shared" si="43"/>
        <v>2019</v>
      </c>
      <c r="N211" s="182">
        <f>'RSD (DEA)'!X137</f>
        <v>2050</v>
      </c>
      <c r="O211" s="182">
        <f>IF(N211&lt;2019,2019,N211)</f>
        <v>2050</v>
      </c>
      <c r="P211" s="183">
        <f>'RSD (DEA)'!AZ137</f>
        <v>4.5999999999999996</v>
      </c>
      <c r="Q211" s="183">
        <f>'RSD (DEA)'!BA137</f>
        <v>5.4</v>
      </c>
      <c r="R211" s="182">
        <f>'RSD (DEA)'!BR137/'RSD (DEA)'!S137</f>
        <v>15.06875</v>
      </c>
      <c r="S211" s="182">
        <f>'RSD (DEA)'!BS137/X_RSD_HeatingDemand!$AA$8</f>
        <v>0.12291666666666666</v>
      </c>
      <c r="T211" s="182">
        <f>'RSD (DEA)'!BK137*X_RSD_HeatingDemand!$AA$9/'RSD (DEA)'!S137</f>
        <v>450</v>
      </c>
      <c r="U211" s="182">
        <f>'RSD (DEA)'!BI137</f>
        <v>20</v>
      </c>
      <c r="V211" s="182" t="str">
        <f t="shared" si="29"/>
        <v/>
      </c>
      <c r="W211" s="236">
        <f>'RSD (DEA)'!AM137</f>
        <v>31.536000000000001</v>
      </c>
    </row>
    <row r="212" spans="1:23" x14ac:dyDescent="0.3">
      <c r="A212" s="316"/>
      <c r="B212" s="235"/>
      <c r="C212" s="318"/>
      <c r="D212" s="235"/>
      <c r="E212" s="235"/>
      <c r="F212" s="242"/>
      <c r="G212" s="242"/>
      <c r="H212" s="235"/>
      <c r="I212" s="235"/>
      <c r="J212" s="182" t="str">
        <f>J211</f>
        <v>RSDGEO</v>
      </c>
      <c r="K212" s="235"/>
      <c r="L212" s="235" t="str">
        <f>$AA$11</f>
        <v>ACT</v>
      </c>
      <c r="M212" s="182" t="str">
        <f t="shared" si="43"/>
        <v/>
      </c>
      <c r="N212" s="182"/>
      <c r="O212" s="182"/>
      <c r="P212" s="183"/>
      <c r="Q212" s="183"/>
      <c r="R212" s="182"/>
      <c r="S212" s="182"/>
      <c r="T212" s="182"/>
      <c r="U212" s="182"/>
      <c r="V212" s="182">
        <f t="shared" si="29"/>
        <v>1</v>
      </c>
      <c r="W212" s="236"/>
    </row>
    <row r="213" spans="1:23" x14ac:dyDescent="0.3">
      <c r="A213" s="316"/>
      <c r="B213" s="235"/>
      <c r="C213" s="318"/>
      <c r="D213" s="235"/>
      <c r="E213" s="235"/>
      <c r="F213" s="242"/>
      <c r="G213" s="242"/>
      <c r="H213" s="235"/>
      <c r="I213" s="235"/>
      <c r="J213" s="182" t="str">
        <f>J212</f>
        <v>RSDGEO</v>
      </c>
      <c r="K213" s="235"/>
      <c r="L213" s="235" t="str">
        <f t="shared" ref="L213" si="49">I211</f>
        <v>RSDELC</v>
      </c>
      <c r="M213" s="182" t="str">
        <f t="shared" si="43"/>
        <v/>
      </c>
      <c r="N213" s="182"/>
      <c r="O213" s="182"/>
      <c r="P213" s="183"/>
      <c r="Q213" s="183"/>
      <c r="R213" s="182"/>
      <c r="S213" s="182"/>
      <c r="T213" s="182"/>
      <c r="U213" s="182"/>
      <c r="V213" s="182">
        <f t="shared" si="29"/>
        <v>-1</v>
      </c>
      <c r="W213" s="236"/>
    </row>
    <row r="214" spans="1:23" x14ac:dyDescent="0.3">
      <c r="A214" s="316"/>
      <c r="B214" s="235" t="str">
        <f>'RSD (DEA)'!AJ138&amp;"_"&amp;'RSD (DEA)'!Z138</f>
        <v>RHHSC_HP_ELC_03</v>
      </c>
      <c r="C214" s="318"/>
      <c r="D214" s="235" t="str">
        <f t="shared" si="45"/>
        <v>RHHSC_HP_ELC_03</v>
      </c>
      <c r="E214" s="235" t="str">
        <f>'RSD (DEA)'!Q138</f>
        <v>Electric heat pumps</v>
      </c>
      <c r="F214" s="242" t="s">
        <v>239</v>
      </c>
      <c r="G214" s="242" t="s">
        <v>240</v>
      </c>
      <c r="H214" s="235">
        <f>'RSD (DEA)'!S138</f>
        <v>10</v>
      </c>
      <c r="I214" s="235" t="str">
        <f>IF(OR(RIGHT('RSD (DEA)'!AH138,3)="BIO",RIGHT(AD214,3)="BOA"),LEFT('RSD (DEA)'!AH138,3)&amp;"BFW",'RSD (DEA)'!AH138)</f>
        <v>RSDELC</v>
      </c>
      <c r="J214" s="182" t="str">
        <f>'RSD (DEA)'!AI138</f>
        <v>RSDAHT</v>
      </c>
      <c r="K214" s="235" t="str">
        <f>'RSD (DEA)'!AJ138</f>
        <v>RHHSC</v>
      </c>
      <c r="L214" s="235"/>
      <c r="M214" s="182">
        <f t="shared" si="43"/>
        <v>2019</v>
      </c>
      <c r="N214" s="182">
        <f>'RSD (DEA)'!X138</f>
        <v>2015</v>
      </c>
      <c r="O214" s="182">
        <f>IF(N214&lt;2019,2019,N214)</f>
        <v>2019</v>
      </c>
      <c r="P214" s="183">
        <f>'RSD (DEA)'!AZ138</f>
        <v>3.25</v>
      </c>
      <c r="Q214" s="183">
        <f>'RSD (DEA)'!BA138</f>
        <v>3.3</v>
      </c>
      <c r="R214" s="182">
        <f>'RSD (DEA)'!BR138/'RSD (DEA)'!S138</f>
        <v>29.1</v>
      </c>
      <c r="S214" s="182">
        <f>'RSD (DEA)'!BS138/X_RSD_HeatingDemand!$AA$8</f>
        <v>0</v>
      </c>
      <c r="T214" s="182">
        <f>'RSD (DEA)'!BK138*X_RSD_HeatingDemand!$AA$9/'RSD (DEA)'!S138</f>
        <v>1000</v>
      </c>
      <c r="U214" s="182">
        <f>'RSD (DEA)'!BI138</f>
        <v>18</v>
      </c>
      <c r="V214" s="182" t="str">
        <f t="shared" si="29"/>
        <v/>
      </c>
      <c r="W214" s="236">
        <f>'RSD (DEA)'!AM138</f>
        <v>31.536000000000001</v>
      </c>
    </row>
    <row r="215" spans="1:23" x14ac:dyDescent="0.3">
      <c r="A215" s="316"/>
      <c r="B215" s="235"/>
      <c r="C215" s="318"/>
      <c r="D215" s="235"/>
      <c r="E215" s="235"/>
      <c r="F215" s="242"/>
      <c r="G215" s="242"/>
      <c r="H215" s="235"/>
      <c r="I215" s="235"/>
      <c r="J215" s="182" t="str">
        <f>J214</f>
        <v>RSDAHT</v>
      </c>
      <c r="K215" s="235"/>
      <c r="L215" s="235" t="str">
        <f>$AA$11</f>
        <v>ACT</v>
      </c>
      <c r="M215" s="182" t="str">
        <f t="shared" si="43"/>
        <v/>
      </c>
      <c r="N215" s="182"/>
      <c r="O215" s="182"/>
      <c r="P215" s="183"/>
      <c r="Q215" s="183"/>
      <c r="R215" s="182"/>
      <c r="S215" s="182"/>
      <c r="T215" s="182"/>
      <c r="U215" s="182"/>
      <c r="V215" s="182">
        <f t="shared" si="29"/>
        <v>1</v>
      </c>
      <c r="W215" s="236"/>
    </row>
    <row r="216" spans="1:23" x14ac:dyDescent="0.3">
      <c r="A216" s="316"/>
      <c r="B216" s="235"/>
      <c r="C216" s="318"/>
      <c r="D216" s="235"/>
      <c r="E216" s="235"/>
      <c r="F216" s="242"/>
      <c r="G216" s="242"/>
      <c r="H216" s="235"/>
      <c r="I216" s="235"/>
      <c r="J216" s="182" t="str">
        <f>J215</f>
        <v>RSDAHT</v>
      </c>
      <c r="K216" s="235"/>
      <c r="L216" s="235" t="str">
        <f t="shared" ref="L216" si="50">I214</f>
        <v>RSDELC</v>
      </c>
      <c r="M216" s="182" t="str">
        <f t="shared" si="43"/>
        <v/>
      </c>
      <c r="N216" s="182"/>
      <c r="O216" s="182"/>
      <c r="P216" s="183"/>
      <c r="Q216" s="183"/>
      <c r="R216" s="182"/>
      <c r="S216" s="182"/>
      <c r="T216" s="182"/>
      <c r="U216" s="182"/>
      <c r="V216" s="182">
        <f t="shared" si="29"/>
        <v>-1</v>
      </c>
      <c r="W216" s="236"/>
    </row>
    <row r="217" spans="1:23" x14ac:dyDescent="0.3">
      <c r="A217" s="316"/>
      <c r="B217" s="235" t="str">
        <f>'RSD (DEA)'!AJ139&amp;"_"&amp;'RSD (DEA)'!Z139</f>
        <v>RHHSC_HP_ELC_03</v>
      </c>
      <c r="C217" s="318"/>
      <c r="D217" s="235" t="str">
        <f t="shared" si="45"/>
        <v>RHHSC_HP_ELC_03</v>
      </c>
      <c r="E217" s="235" t="str">
        <f>'RSD (DEA)'!Q139</f>
        <v>Electric heat pumps</v>
      </c>
      <c r="F217" s="242" t="s">
        <v>239</v>
      </c>
      <c r="G217" s="242" t="s">
        <v>240</v>
      </c>
      <c r="H217" s="235">
        <f>'RSD (DEA)'!S139</f>
        <v>10</v>
      </c>
      <c r="I217" s="235" t="str">
        <f>IF(OR(RIGHT('RSD (DEA)'!AH139,3)="BIO",RIGHT(AD217,3)="BOA"),LEFT('RSD (DEA)'!AH139,3)&amp;"BFW",'RSD (DEA)'!AH139)</f>
        <v>RSDELC</v>
      </c>
      <c r="J217" s="182" t="str">
        <f>'RSD (DEA)'!AI139</f>
        <v>RSDAHT</v>
      </c>
      <c r="K217" s="235" t="str">
        <f>'RSD (DEA)'!AJ139</f>
        <v>RHHSC</v>
      </c>
      <c r="L217" s="235"/>
      <c r="M217" s="182">
        <f t="shared" si="43"/>
        <v>2019</v>
      </c>
      <c r="N217" s="182">
        <f>'RSD (DEA)'!X139</f>
        <v>2020</v>
      </c>
      <c r="O217" s="182">
        <f>IF(N217&lt;2019,2019,N217)</f>
        <v>2020</v>
      </c>
      <c r="P217" s="183">
        <f>'RSD (DEA)'!AZ139</f>
        <v>3.35</v>
      </c>
      <c r="Q217" s="183">
        <f>'RSD (DEA)'!BA139</f>
        <v>3.4</v>
      </c>
      <c r="R217" s="182">
        <f>'RSD (DEA)'!BR139/'RSD (DEA)'!S139</f>
        <v>27.8</v>
      </c>
      <c r="S217" s="182">
        <f>'RSD (DEA)'!BS139/X_RSD_HeatingDemand!$AA$8</f>
        <v>0</v>
      </c>
      <c r="T217" s="182">
        <f>'RSD (DEA)'!BK139*X_RSD_HeatingDemand!$AA$9/'RSD (DEA)'!S139</f>
        <v>900</v>
      </c>
      <c r="U217" s="182">
        <f>'RSD (DEA)'!BI139</f>
        <v>18</v>
      </c>
      <c r="V217" s="182" t="str">
        <f t="shared" si="29"/>
        <v/>
      </c>
      <c r="W217" s="236">
        <f>'RSD (DEA)'!AM139</f>
        <v>31.536000000000001</v>
      </c>
    </row>
    <row r="218" spans="1:23" x14ac:dyDescent="0.3">
      <c r="A218" s="316"/>
      <c r="B218" s="235"/>
      <c r="C218" s="318"/>
      <c r="D218" s="235"/>
      <c r="E218" s="235"/>
      <c r="F218" s="242"/>
      <c r="G218" s="242"/>
      <c r="H218" s="235"/>
      <c r="I218" s="235"/>
      <c r="J218" s="182" t="str">
        <f>J217</f>
        <v>RSDAHT</v>
      </c>
      <c r="K218" s="235"/>
      <c r="L218" s="235" t="str">
        <f>$AA$11</f>
        <v>ACT</v>
      </c>
      <c r="M218" s="182" t="str">
        <f t="shared" si="43"/>
        <v/>
      </c>
      <c r="N218" s="182"/>
      <c r="O218" s="182"/>
      <c r="P218" s="183"/>
      <c r="Q218" s="183"/>
      <c r="R218" s="182"/>
      <c r="S218" s="182"/>
      <c r="T218" s="182"/>
      <c r="U218" s="182"/>
      <c r="V218" s="182">
        <f t="shared" si="29"/>
        <v>1</v>
      </c>
      <c r="W218" s="236"/>
    </row>
    <row r="219" spans="1:23" x14ac:dyDescent="0.3">
      <c r="A219" s="316"/>
      <c r="B219" s="235"/>
      <c r="C219" s="318"/>
      <c r="D219" s="235"/>
      <c r="E219" s="235"/>
      <c r="F219" s="242"/>
      <c r="G219" s="242"/>
      <c r="H219" s="235"/>
      <c r="I219" s="235"/>
      <c r="J219" s="182" t="str">
        <f>J218</f>
        <v>RSDAHT</v>
      </c>
      <c r="K219" s="235"/>
      <c r="L219" s="235" t="str">
        <f t="shared" ref="L219" si="51">I217</f>
        <v>RSDELC</v>
      </c>
      <c r="M219" s="182" t="str">
        <f t="shared" si="43"/>
        <v/>
      </c>
      <c r="N219" s="182"/>
      <c r="O219" s="182"/>
      <c r="P219" s="183"/>
      <c r="Q219" s="183"/>
      <c r="R219" s="182"/>
      <c r="S219" s="182"/>
      <c r="T219" s="182"/>
      <c r="U219" s="182"/>
      <c r="V219" s="182">
        <f t="shared" si="29"/>
        <v>-1</v>
      </c>
      <c r="W219" s="236"/>
    </row>
    <row r="220" spans="1:23" x14ac:dyDescent="0.3">
      <c r="A220" s="316"/>
      <c r="B220" s="235" t="str">
        <f>'RSD (DEA)'!AJ140&amp;"_"&amp;'RSD (DEA)'!Z140</f>
        <v>RHHSC_HP_ELC_03</v>
      </c>
      <c r="C220" s="318"/>
      <c r="D220" s="235" t="str">
        <f t="shared" si="45"/>
        <v>RHHSC_HP_ELC_03</v>
      </c>
      <c r="E220" s="235" t="str">
        <f>'RSD (DEA)'!Q140</f>
        <v>Electric heat pumps</v>
      </c>
      <c r="F220" s="242" t="s">
        <v>239</v>
      </c>
      <c r="G220" s="242" t="s">
        <v>240</v>
      </c>
      <c r="H220" s="235">
        <f>'RSD (DEA)'!S140</f>
        <v>10</v>
      </c>
      <c r="I220" s="235" t="str">
        <f>IF(OR(RIGHT('RSD (DEA)'!AH140,3)="BIO",RIGHT(AD220,3)="BOA"),LEFT('RSD (DEA)'!AH140,3)&amp;"BFW",'RSD (DEA)'!AH140)</f>
        <v>RSDELC</v>
      </c>
      <c r="J220" s="182" t="str">
        <f>'RSD (DEA)'!AI140</f>
        <v>RSDAHT</v>
      </c>
      <c r="K220" s="235" t="str">
        <f>'RSD (DEA)'!AJ140</f>
        <v>RHHSC</v>
      </c>
      <c r="L220" s="235"/>
      <c r="M220" s="182">
        <f t="shared" si="43"/>
        <v>2019</v>
      </c>
      <c r="N220" s="182">
        <f>'RSD (DEA)'!X140</f>
        <v>2030</v>
      </c>
      <c r="O220" s="182">
        <f>IF(N220&lt;2019,2019,N220)</f>
        <v>2030</v>
      </c>
      <c r="P220" s="183">
        <f>'RSD (DEA)'!AZ140</f>
        <v>3.55</v>
      </c>
      <c r="Q220" s="183">
        <f>'RSD (DEA)'!BA140</f>
        <v>3.6</v>
      </c>
      <c r="R220" s="182">
        <f>'RSD (DEA)'!BR140/'RSD (DEA)'!S140</f>
        <v>25.5</v>
      </c>
      <c r="S220" s="182">
        <f>'RSD (DEA)'!BS140/X_RSD_HeatingDemand!$AA$8</f>
        <v>0</v>
      </c>
      <c r="T220" s="182">
        <f>'RSD (DEA)'!BK140*X_RSD_HeatingDemand!$AA$9/'RSD (DEA)'!S140</f>
        <v>900</v>
      </c>
      <c r="U220" s="182">
        <f>'RSD (DEA)'!BI140</f>
        <v>18</v>
      </c>
      <c r="V220" s="182" t="str">
        <f t="shared" si="29"/>
        <v/>
      </c>
      <c r="W220" s="236">
        <f>'RSD (DEA)'!AM140</f>
        <v>31.536000000000001</v>
      </c>
    </row>
    <row r="221" spans="1:23" x14ac:dyDescent="0.3">
      <c r="A221" s="316"/>
      <c r="B221" s="235"/>
      <c r="C221" s="318"/>
      <c r="D221" s="235"/>
      <c r="E221" s="235"/>
      <c r="F221" s="242"/>
      <c r="G221" s="242"/>
      <c r="H221" s="235"/>
      <c r="I221" s="235"/>
      <c r="J221" s="182" t="str">
        <f>J220</f>
        <v>RSDAHT</v>
      </c>
      <c r="K221" s="235"/>
      <c r="L221" s="235" t="str">
        <f>$AA$11</f>
        <v>ACT</v>
      </c>
      <c r="M221" s="182" t="str">
        <f t="shared" si="43"/>
        <v/>
      </c>
      <c r="N221" s="182"/>
      <c r="O221" s="182"/>
      <c r="P221" s="183"/>
      <c r="Q221" s="183"/>
      <c r="R221" s="182"/>
      <c r="S221" s="182"/>
      <c r="T221" s="182"/>
      <c r="U221" s="182"/>
      <c r="V221" s="182">
        <f t="shared" si="29"/>
        <v>1</v>
      </c>
      <c r="W221" s="236"/>
    </row>
    <row r="222" spans="1:23" x14ac:dyDescent="0.3">
      <c r="A222" s="316"/>
      <c r="B222" s="235"/>
      <c r="C222" s="318"/>
      <c r="D222" s="235"/>
      <c r="E222" s="235"/>
      <c r="F222" s="242"/>
      <c r="G222" s="242"/>
      <c r="H222" s="235"/>
      <c r="I222" s="235"/>
      <c r="J222" s="182" t="str">
        <f>J221</f>
        <v>RSDAHT</v>
      </c>
      <c r="K222" s="235"/>
      <c r="L222" s="235" t="str">
        <f t="shared" ref="L222" si="52">I220</f>
        <v>RSDELC</v>
      </c>
      <c r="M222" s="182" t="str">
        <f t="shared" si="43"/>
        <v/>
      </c>
      <c r="N222" s="182"/>
      <c r="O222" s="182"/>
      <c r="P222" s="183"/>
      <c r="Q222" s="183"/>
      <c r="R222" s="182"/>
      <c r="S222" s="182"/>
      <c r="T222" s="182"/>
      <c r="U222" s="182"/>
      <c r="V222" s="182">
        <f t="shared" si="29"/>
        <v>-1</v>
      </c>
      <c r="W222" s="236"/>
    </row>
    <row r="223" spans="1:23" x14ac:dyDescent="0.3">
      <c r="A223" s="316"/>
      <c r="B223" s="235" t="str">
        <f>'RSD (DEA)'!AJ141&amp;"_"&amp;'RSD (DEA)'!Z141</f>
        <v>RHHSC_HP_ELC_03</v>
      </c>
      <c r="C223" s="318"/>
      <c r="D223" s="235" t="str">
        <f t="shared" si="45"/>
        <v>RHHSC_HP_ELC_03</v>
      </c>
      <c r="E223" s="235" t="str">
        <f>'RSD (DEA)'!Q141</f>
        <v>Electric heat pumps</v>
      </c>
      <c r="F223" s="242" t="s">
        <v>239</v>
      </c>
      <c r="G223" s="242" t="s">
        <v>240</v>
      </c>
      <c r="H223" s="235">
        <f>'RSD (DEA)'!S141</f>
        <v>10</v>
      </c>
      <c r="I223" s="235" t="str">
        <f>IF(OR(RIGHT('RSD (DEA)'!AH141,3)="BIO",RIGHT(AD223,3)="BOA"),LEFT('RSD (DEA)'!AH141,3)&amp;"BFW",'RSD (DEA)'!AH141)</f>
        <v>RSDELC</v>
      </c>
      <c r="J223" s="182" t="str">
        <f>'RSD (DEA)'!AI141</f>
        <v>RSDAHT</v>
      </c>
      <c r="K223" s="235" t="str">
        <f>'RSD (DEA)'!AJ141</f>
        <v>RHHSC</v>
      </c>
      <c r="L223" s="235"/>
      <c r="M223" s="182">
        <f t="shared" si="43"/>
        <v>2019</v>
      </c>
      <c r="N223" s="182">
        <f>'RSD (DEA)'!X141</f>
        <v>2050</v>
      </c>
      <c r="O223" s="182">
        <f>IF(N223&lt;2019,2019,N223)</f>
        <v>2050</v>
      </c>
      <c r="P223" s="183">
        <f>'RSD (DEA)'!AZ141</f>
        <v>3.7</v>
      </c>
      <c r="Q223" s="183">
        <f>'RSD (DEA)'!BA141</f>
        <v>3.8</v>
      </c>
      <c r="R223" s="182">
        <f>'RSD (DEA)'!BR141/'RSD (DEA)'!S141</f>
        <v>23.9</v>
      </c>
      <c r="S223" s="182">
        <f>'RSD (DEA)'!BS141/X_RSD_HeatingDemand!$AA$8</f>
        <v>0</v>
      </c>
      <c r="T223" s="182">
        <f>'RSD (DEA)'!BK141*X_RSD_HeatingDemand!$AA$9/'RSD (DEA)'!S141</f>
        <v>800</v>
      </c>
      <c r="U223" s="182">
        <f>'RSD (DEA)'!BI141</f>
        <v>18</v>
      </c>
      <c r="V223" s="182" t="str">
        <f t="shared" ref="V223:V286" si="53">IF(L223="ACT",1,IF(LEFT(L223,3)="RSD",-1,""))</f>
        <v/>
      </c>
      <c r="W223" s="236">
        <f>'RSD (DEA)'!AM141</f>
        <v>31.536000000000001</v>
      </c>
    </row>
    <row r="224" spans="1:23" x14ac:dyDescent="0.3">
      <c r="A224" s="316"/>
      <c r="B224" s="235"/>
      <c r="C224" s="318"/>
      <c r="D224" s="235"/>
      <c r="E224" s="235"/>
      <c r="F224" s="242"/>
      <c r="G224" s="242"/>
      <c r="H224" s="235"/>
      <c r="I224" s="235"/>
      <c r="J224" s="182" t="str">
        <f>J223</f>
        <v>RSDAHT</v>
      </c>
      <c r="K224" s="235"/>
      <c r="L224" s="235" t="str">
        <f>$AA$11</f>
        <v>ACT</v>
      </c>
      <c r="M224" s="182" t="str">
        <f t="shared" si="43"/>
        <v/>
      </c>
      <c r="N224" s="182"/>
      <c r="O224" s="182"/>
      <c r="P224" s="183"/>
      <c r="Q224" s="183"/>
      <c r="R224" s="182"/>
      <c r="S224" s="182"/>
      <c r="T224" s="182"/>
      <c r="U224" s="182"/>
      <c r="V224" s="182">
        <f t="shared" si="53"/>
        <v>1</v>
      </c>
      <c r="W224" s="236"/>
    </row>
    <row r="225" spans="1:23" x14ac:dyDescent="0.3">
      <c r="A225" s="316"/>
      <c r="B225" s="235"/>
      <c r="C225" s="318"/>
      <c r="D225" s="235"/>
      <c r="E225" s="235"/>
      <c r="F225" s="242"/>
      <c r="G225" s="242"/>
      <c r="H225" s="235"/>
      <c r="I225" s="235"/>
      <c r="J225" s="182" t="str">
        <f>J224</f>
        <v>RSDAHT</v>
      </c>
      <c r="K225" s="235"/>
      <c r="L225" s="235" t="str">
        <f t="shared" ref="L225" si="54">I223</f>
        <v>RSDELC</v>
      </c>
      <c r="M225" s="182" t="str">
        <f t="shared" si="43"/>
        <v/>
      </c>
      <c r="N225" s="182"/>
      <c r="O225" s="182"/>
      <c r="P225" s="183"/>
      <c r="Q225" s="183"/>
      <c r="R225" s="182"/>
      <c r="S225" s="182"/>
      <c r="T225" s="182"/>
      <c r="U225" s="182"/>
      <c r="V225" s="182">
        <f t="shared" si="53"/>
        <v>-1</v>
      </c>
      <c r="W225" s="236"/>
    </row>
    <row r="226" spans="1:23" x14ac:dyDescent="0.3">
      <c r="A226" s="316"/>
      <c r="B226" s="235" t="str">
        <f>'RSD (DEA)'!AJ142&amp;"_"&amp;'RSD (DEA)'!Z142</f>
        <v>RHHSA_HP_ELC_04</v>
      </c>
      <c r="C226" s="318"/>
      <c r="D226" s="235" t="str">
        <f t="shared" si="45"/>
        <v>RHHSA_HP_ELC_04</v>
      </c>
      <c r="E226" s="235" t="str">
        <f>'RSD (DEA)'!Q142</f>
        <v>Electric heat pumps</v>
      </c>
      <c r="F226" s="242" t="s">
        <v>239</v>
      </c>
      <c r="G226" s="242" t="s">
        <v>240</v>
      </c>
      <c r="H226" s="235">
        <f>'RSD (DEA)'!S142</f>
        <v>4</v>
      </c>
      <c r="I226" s="235" t="str">
        <f>IF(OR(RIGHT('RSD (DEA)'!AH142,3)="BIO",RIGHT(AD226,3)="BOA"),LEFT('RSD (DEA)'!AH142,3)&amp;"BFW",'RSD (DEA)'!AH142)</f>
        <v>RSDELC</v>
      </c>
      <c r="J226" s="182" t="str">
        <f>'RSD (DEA)'!AI142</f>
        <v>RSDAHT</v>
      </c>
      <c r="K226" s="235" t="str">
        <f>'RSD (DEA)'!AJ142</f>
        <v>RHHSA</v>
      </c>
      <c r="L226" s="235"/>
      <c r="M226" s="182">
        <f t="shared" si="43"/>
        <v>2019</v>
      </c>
      <c r="N226" s="182">
        <f>'RSD (DEA)'!X142</f>
        <v>2015</v>
      </c>
      <c r="O226" s="182">
        <f>IF(N226&lt;2019,2019,N226)</f>
        <v>2019</v>
      </c>
      <c r="P226" s="183">
        <f>'RSD (DEA)'!AZ142</f>
        <v>2.85</v>
      </c>
      <c r="Q226" s="183">
        <f>'RSD (DEA)'!BA142</f>
        <v>3</v>
      </c>
      <c r="R226" s="182">
        <f>'RSD (DEA)'!BR142/'RSD (DEA)'!S142</f>
        <v>72.75</v>
      </c>
      <c r="S226" s="182">
        <f>'RSD (DEA)'!BS142/X_RSD_HeatingDemand!$AA$8</f>
        <v>0</v>
      </c>
      <c r="T226" s="182">
        <f>'RSD (DEA)'!BK142*X_RSD_HeatingDemand!$AA$9/'RSD (DEA)'!S142</f>
        <v>1750</v>
      </c>
      <c r="U226" s="182">
        <f>'RSD (DEA)'!BI142</f>
        <v>18</v>
      </c>
      <c r="V226" s="182" t="str">
        <f t="shared" si="53"/>
        <v/>
      </c>
      <c r="W226" s="236">
        <f>'RSD (DEA)'!AM142</f>
        <v>31.536000000000001</v>
      </c>
    </row>
    <row r="227" spans="1:23" x14ac:dyDescent="0.3">
      <c r="A227" s="316"/>
      <c r="B227" s="235"/>
      <c r="C227" s="318"/>
      <c r="D227" s="235"/>
      <c r="E227" s="235"/>
      <c r="F227" s="242"/>
      <c r="G227" s="242"/>
      <c r="H227" s="235"/>
      <c r="I227" s="235"/>
      <c r="J227" s="182" t="str">
        <f>J226</f>
        <v>RSDAHT</v>
      </c>
      <c r="K227" s="235"/>
      <c r="L227" s="235" t="str">
        <f>$AA$11</f>
        <v>ACT</v>
      </c>
      <c r="M227" s="182" t="str">
        <f t="shared" si="43"/>
        <v/>
      </c>
      <c r="N227" s="182"/>
      <c r="O227" s="182"/>
      <c r="P227" s="183"/>
      <c r="Q227" s="183"/>
      <c r="R227" s="182"/>
      <c r="S227" s="182"/>
      <c r="T227" s="182"/>
      <c r="U227" s="182"/>
      <c r="V227" s="182">
        <f t="shared" si="53"/>
        <v>1</v>
      </c>
      <c r="W227" s="236"/>
    </row>
    <row r="228" spans="1:23" x14ac:dyDescent="0.3">
      <c r="A228" s="316"/>
      <c r="B228" s="235"/>
      <c r="C228" s="318"/>
      <c r="D228" s="235"/>
      <c r="E228" s="235"/>
      <c r="F228" s="242"/>
      <c r="G228" s="242"/>
      <c r="H228" s="235"/>
      <c r="I228" s="235"/>
      <c r="J228" s="182" t="str">
        <f>J227</f>
        <v>RSDAHT</v>
      </c>
      <c r="K228" s="235"/>
      <c r="L228" s="235" t="str">
        <f t="shared" ref="L228" si="55">I226</f>
        <v>RSDELC</v>
      </c>
      <c r="M228" s="182" t="str">
        <f t="shared" si="43"/>
        <v/>
      </c>
      <c r="N228" s="182"/>
      <c r="O228" s="182"/>
      <c r="P228" s="183"/>
      <c r="Q228" s="183"/>
      <c r="R228" s="182"/>
      <c r="S228" s="182"/>
      <c r="T228" s="182"/>
      <c r="U228" s="182"/>
      <c r="V228" s="182">
        <f t="shared" si="53"/>
        <v>-1</v>
      </c>
      <c r="W228" s="236"/>
    </row>
    <row r="229" spans="1:23" x14ac:dyDescent="0.3">
      <c r="A229" s="316"/>
      <c r="B229" s="235" t="str">
        <f>'RSD (DEA)'!AJ143&amp;"_"&amp;'RSD (DEA)'!Z143</f>
        <v>RHHSA_HP_ELC_04</v>
      </c>
      <c r="C229" s="318"/>
      <c r="D229" s="235" t="str">
        <f t="shared" si="45"/>
        <v>RHHSA_HP_ELC_04</v>
      </c>
      <c r="E229" s="235" t="str">
        <f>'RSD (DEA)'!Q143</f>
        <v>Electric heat pumps</v>
      </c>
      <c r="F229" s="242" t="s">
        <v>239</v>
      </c>
      <c r="G229" s="242" t="s">
        <v>240</v>
      </c>
      <c r="H229" s="235">
        <f>'RSD (DEA)'!S143</f>
        <v>4</v>
      </c>
      <c r="I229" s="235" t="str">
        <f>IF(OR(RIGHT('RSD (DEA)'!AH143,3)="BIO",RIGHT(AD229,3)="BOA"),LEFT('RSD (DEA)'!AH143,3)&amp;"BFW",'RSD (DEA)'!AH143)</f>
        <v>RSDELC</v>
      </c>
      <c r="J229" s="182" t="str">
        <f>'RSD (DEA)'!AI143</f>
        <v>RSDAHT</v>
      </c>
      <c r="K229" s="235" t="str">
        <f>'RSD (DEA)'!AJ143</f>
        <v>RHHSA</v>
      </c>
      <c r="L229" s="235"/>
      <c r="M229" s="182">
        <f t="shared" si="43"/>
        <v>2019</v>
      </c>
      <c r="N229" s="182">
        <f>'RSD (DEA)'!X143</f>
        <v>2020</v>
      </c>
      <c r="O229" s="182">
        <f>IF(N229&lt;2019,2019,N229)</f>
        <v>2020</v>
      </c>
      <c r="P229" s="183">
        <f>'RSD (DEA)'!AZ143</f>
        <v>3.05</v>
      </c>
      <c r="Q229" s="183">
        <f>'RSD (DEA)'!BA143</f>
        <v>3.2</v>
      </c>
      <c r="R229" s="182">
        <f>'RSD (DEA)'!BR143/'RSD (DEA)'!S143</f>
        <v>69.5</v>
      </c>
      <c r="S229" s="182">
        <f>'RSD (DEA)'!BS143/X_RSD_HeatingDemand!$AA$8</f>
        <v>0</v>
      </c>
      <c r="T229" s="182">
        <f>'RSD (DEA)'!BK143*X_RSD_HeatingDemand!$AA$9/'RSD (DEA)'!S143</f>
        <v>1750</v>
      </c>
      <c r="U229" s="182">
        <f>'RSD (DEA)'!BI143</f>
        <v>18</v>
      </c>
      <c r="V229" s="182" t="str">
        <f t="shared" si="53"/>
        <v/>
      </c>
      <c r="W229" s="236">
        <f>'RSD (DEA)'!AM143</f>
        <v>31.536000000000001</v>
      </c>
    </row>
    <row r="230" spans="1:23" x14ac:dyDescent="0.3">
      <c r="A230" s="316"/>
      <c r="B230" s="235"/>
      <c r="C230" s="318"/>
      <c r="D230" s="235"/>
      <c r="E230" s="235"/>
      <c r="F230" s="242"/>
      <c r="G230" s="242"/>
      <c r="H230" s="235"/>
      <c r="I230" s="235"/>
      <c r="J230" s="182" t="str">
        <f>J229</f>
        <v>RSDAHT</v>
      </c>
      <c r="K230" s="235"/>
      <c r="L230" s="235" t="str">
        <f>$AA$11</f>
        <v>ACT</v>
      </c>
      <c r="M230" s="182" t="str">
        <f t="shared" si="43"/>
        <v/>
      </c>
      <c r="N230" s="182"/>
      <c r="O230" s="182"/>
      <c r="P230" s="183"/>
      <c r="Q230" s="183"/>
      <c r="R230" s="182"/>
      <c r="S230" s="182"/>
      <c r="T230" s="182"/>
      <c r="U230" s="182"/>
      <c r="V230" s="182">
        <f t="shared" si="53"/>
        <v>1</v>
      </c>
      <c r="W230" s="236"/>
    </row>
    <row r="231" spans="1:23" x14ac:dyDescent="0.3">
      <c r="A231" s="316"/>
      <c r="B231" s="235"/>
      <c r="C231" s="318"/>
      <c r="D231" s="235"/>
      <c r="E231" s="235"/>
      <c r="F231" s="242"/>
      <c r="G231" s="242"/>
      <c r="H231" s="235"/>
      <c r="I231" s="235"/>
      <c r="J231" s="182" t="str">
        <f>J230</f>
        <v>RSDAHT</v>
      </c>
      <c r="K231" s="235"/>
      <c r="L231" s="235" t="str">
        <f t="shared" ref="L231" si="56">I229</f>
        <v>RSDELC</v>
      </c>
      <c r="M231" s="182" t="str">
        <f t="shared" si="43"/>
        <v/>
      </c>
      <c r="N231" s="182"/>
      <c r="O231" s="182"/>
      <c r="P231" s="183"/>
      <c r="Q231" s="183"/>
      <c r="R231" s="182"/>
      <c r="S231" s="182"/>
      <c r="T231" s="182"/>
      <c r="U231" s="182"/>
      <c r="V231" s="182">
        <f t="shared" si="53"/>
        <v>-1</v>
      </c>
      <c r="W231" s="236"/>
    </row>
    <row r="232" spans="1:23" x14ac:dyDescent="0.3">
      <c r="A232" s="316"/>
      <c r="B232" s="235" t="str">
        <f>'RSD (DEA)'!AJ144&amp;"_"&amp;'RSD (DEA)'!Z144</f>
        <v>RHHSA_HP_ELC_04</v>
      </c>
      <c r="C232" s="318"/>
      <c r="D232" s="235" t="str">
        <f t="shared" si="45"/>
        <v>RHHSA_HP_ELC_04</v>
      </c>
      <c r="E232" s="235" t="str">
        <f>'RSD (DEA)'!Q144</f>
        <v>Electric heat pumps</v>
      </c>
      <c r="F232" s="242" t="s">
        <v>239</v>
      </c>
      <c r="G232" s="242" t="s">
        <v>240</v>
      </c>
      <c r="H232" s="235">
        <f>'RSD (DEA)'!S144</f>
        <v>4</v>
      </c>
      <c r="I232" s="235" t="str">
        <f>IF(OR(RIGHT('RSD (DEA)'!AH144,3)="BIO",RIGHT(AD232,3)="BOA"),LEFT('RSD (DEA)'!AH144,3)&amp;"BFW",'RSD (DEA)'!AH144)</f>
        <v>RSDELC</v>
      </c>
      <c r="J232" s="182" t="str">
        <f>'RSD (DEA)'!AI144</f>
        <v>RSDAHT</v>
      </c>
      <c r="K232" s="235" t="str">
        <f>'RSD (DEA)'!AJ144</f>
        <v>RHHSA</v>
      </c>
      <c r="L232" s="235"/>
      <c r="M232" s="182">
        <f t="shared" si="43"/>
        <v>2019</v>
      </c>
      <c r="N232" s="182">
        <f>'RSD (DEA)'!X144</f>
        <v>2030</v>
      </c>
      <c r="O232" s="182">
        <f>IF(N232&lt;2019,2019,N232)</f>
        <v>2030</v>
      </c>
      <c r="P232" s="183">
        <f>'RSD (DEA)'!AZ144</f>
        <v>3.2</v>
      </c>
      <c r="Q232" s="183">
        <f>'RSD (DEA)'!BA144</f>
        <v>3.4</v>
      </c>
      <c r="R232" s="182">
        <f>'RSD (DEA)'!BR144/'RSD (DEA)'!S144</f>
        <v>63.75</v>
      </c>
      <c r="S232" s="182">
        <f>'RSD (DEA)'!BS144/X_RSD_HeatingDemand!$AA$8</f>
        <v>0</v>
      </c>
      <c r="T232" s="182">
        <f>'RSD (DEA)'!BK144*X_RSD_HeatingDemand!$AA$9/'RSD (DEA)'!S144</f>
        <v>1500</v>
      </c>
      <c r="U232" s="182">
        <f>'RSD (DEA)'!BI144</f>
        <v>18</v>
      </c>
      <c r="V232" s="182" t="str">
        <f t="shared" si="53"/>
        <v/>
      </c>
      <c r="W232" s="236">
        <f>'RSD (DEA)'!AM144</f>
        <v>31.536000000000001</v>
      </c>
    </row>
    <row r="233" spans="1:23" x14ac:dyDescent="0.3">
      <c r="A233" s="316"/>
      <c r="B233" s="235"/>
      <c r="C233" s="318"/>
      <c r="D233" s="235"/>
      <c r="E233" s="235"/>
      <c r="F233" s="242"/>
      <c r="G233" s="242"/>
      <c r="H233" s="235"/>
      <c r="I233" s="235"/>
      <c r="J233" s="182" t="str">
        <f>J232</f>
        <v>RSDAHT</v>
      </c>
      <c r="K233" s="235"/>
      <c r="L233" s="235" t="str">
        <f>$AA$11</f>
        <v>ACT</v>
      </c>
      <c r="M233" s="182" t="str">
        <f t="shared" si="43"/>
        <v/>
      </c>
      <c r="N233" s="182"/>
      <c r="O233" s="182"/>
      <c r="P233" s="183"/>
      <c r="Q233" s="183"/>
      <c r="R233" s="182"/>
      <c r="S233" s="182"/>
      <c r="T233" s="182"/>
      <c r="U233" s="182"/>
      <c r="V233" s="182">
        <f t="shared" si="53"/>
        <v>1</v>
      </c>
      <c r="W233" s="236"/>
    </row>
    <row r="234" spans="1:23" x14ac:dyDescent="0.3">
      <c r="A234" s="316"/>
      <c r="B234" s="235"/>
      <c r="C234" s="318"/>
      <c r="D234" s="235"/>
      <c r="E234" s="235"/>
      <c r="F234" s="242"/>
      <c r="G234" s="242"/>
      <c r="H234" s="235"/>
      <c r="I234" s="235"/>
      <c r="J234" s="182" t="str">
        <f>J233</f>
        <v>RSDAHT</v>
      </c>
      <c r="K234" s="235"/>
      <c r="L234" s="235" t="str">
        <f t="shared" ref="L234" si="57">I232</f>
        <v>RSDELC</v>
      </c>
      <c r="M234" s="182" t="str">
        <f t="shared" si="43"/>
        <v/>
      </c>
      <c r="N234" s="182"/>
      <c r="O234" s="182"/>
      <c r="P234" s="183"/>
      <c r="Q234" s="183"/>
      <c r="R234" s="182"/>
      <c r="S234" s="182"/>
      <c r="T234" s="182"/>
      <c r="U234" s="182"/>
      <c r="V234" s="182">
        <f t="shared" si="53"/>
        <v>-1</v>
      </c>
      <c r="W234" s="236"/>
    </row>
    <row r="235" spans="1:23" x14ac:dyDescent="0.3">
      <c r="A235" s="316"/>
      <c r="B235" s="235" t="str">
        <f>'RSD (DEA)'!AJ145&amp;"_"&amp;'RSD (DEA)'!Z145</f>
        <v>RHHSA_HP_ELC_04</v>
      </c>
      <c r="C235" s="318"/>
      <c r="D235" s="235" t="str">
        <f t="shared" si="45"/>
        <v>RHHSA_HP_ELC_04</v>
      </c>
      <c r="E235" s="235" t="str">
        <f>'RSD (DEA)'!Q145</f>
        <v>Electric heat pumps</v>
      </c>
      <c r="F235" s="242" t="s">
        <v>239</v>
      </c>
      <c r="G235" s="242" t="s">
        <v>240</v>
      </c>
      <c r="H235" s="235">
        <f>'RSD (DEA)'!S145</f>
        <v>4</v>
      </c>
      <c r="I235" s="235" t="str">
        <f>IF(OR(RIGHT('RSD (DEA)'!AH145,3)="BIO",RIGHT(AD235,3)="BOA"),LEFT('RSD (DEA)'!AH145,3)&amp;"BFW",'RSD (DEA)'!AH145)</f>
        <v>RSDELC</v>
      </c>
      <c r="J235" s="182" t="str">
        <f>'RSD (DEA)'!AI145</f>
        <v>RSDAHT</v>
      </c>
      <c r="K235" s="235" t="str">
        <f>'RSD (DEA)'!AJ145</f>
        <v>RHHSA</v>
      </c>
      <c r="L235" s="235"/>
      <c r="M235" s="182">
        <f t="shared" si="43"/>
        <v>2019</v>
      </c>
      <c r="N235" s="182">
        <f>'RSD (DEA)'!X145</f>
        <v>2050</v>
      </c>
      <c r="O235" s="182">
        <f>IF(N235&lt;2019,2019,N235)</f>
        <v>2050</v>
      </c>
      <c r="P235" s="183">
        <f>'RSD (DEA)'!AZ145</f>
        <v>3.35</v>
      </c>
      <c r="Q235" s="183">
        <f>'RSD (DEA)'!BA145</f>
        <v>3.55</v>
      </c>
      <c r="R235" s="182">
        <f>'RSD (DEA)'!BR145/'RSD (DEA)'!S145</f>
        <v>59.75</v>
      </c>
      <c r="S235" s="182">
        <f>'RSD (DEA)'!BS145/X_RSD_HeatingDemand!$AA$8</f>
        <v>0</v>
      </c>
      <c r="T235" s="182">
        <f>'RSD (DEA)'!BK145*X_RSD_HeatingDemand!$AA$9/'RSD (DEA)'!S145</f>
        <v>1250</v>
      </c>
      <c r="U235" s="182">
        <f>'RSD (DEA)'!BI145</f>
        <v>18</v>
      </c>
      <c r="V235" s="182" t="str">
        <f t="shared" si="53"/>
        <v/>
      </c>
      <c r="W235" s="236">
        <f>'RSD (DEA)'!AM145</f>
        <v>31.536000000000001</v>
      </c>
    </row>
    <row r="236" spans="1:23" x14ac:dyDescent="0.3">
      <c r="A236" s="316"/>
      <c r="B236" s="235"/>
      <c r="C236" s="318"/>
      <c r="D236" s="235"/>
      <c r="E236" s="235"/>
      <c r="F236" s="242"/>
      <c r="G236" s="242"/>
      <c r="H236" s="235"/>
      <c r="I236" s="235"/>
      <c r="J236" s="182" t="str">
        <f>J235</f>
        <v>RSDAHT</v>
      </c>
      <c r="K236" s="235"/>
      <c r="L236" s="235" t="str">
        <f>$AA$11</f>
        <v>ACT</v>
      </c>
      <c r="M236" s="182" t="str">
        <f t="shared" si="43"/>
        <v/>
      </c>
      <c r="N236" s="182"/>
      <c r="O236" s="182"/>
      <c r="P236" s="183"/>
      <c r="Q236" s="183"/>
      <c r="R236" s="182"/>
      <c r="S236" s="182"/>
      <c r="T236" s="182"/>
      <c r="U236" s="182"/>
      <c r="V236" s="182">
        <f t="shared" si="53"/>
        <v>1</v>
      </c>
      <c r="W236" s="236"/>
    </row>
    <row r="237" spans="1:23" x14ac:dyDescent="0.3">
      <c r="A237" s="316"/>
      <c r="B237" s="235"/>
      <c r="C237" s="318"/>
      <c r="D237" s="235"/>
      <c r="E237" s="235"/>
      <c r="F237" s="242"/>
      <c r="G237" s="242"/>
      <c r="H237" s="235"/>
      <c r="I237" s="235"/>
      <c r="J237" s="182" t="str">
        <f>J236</f>
        <v>RSDAHT</v>
      </c>
      <c r="K237" s="235"/>
      <c r="L237" s="235" t="str">
        <f t="shared" ref="L237" si="58">I235</f>
        <v>RSDELC</v>
      </c>
      <c r="M237" s="182" t="str">
        <f t="shared" si="43"/>
        <v/>
      </c>
      <c r="N237" s="182"/>
      <c r="O237" s="182"/>
      <c r="P237" s="183"/>
      <c r="Q237" s="183"/>
      <c r="R237" s="182"/>
      <c r="S237" s="182"/>
      <c r="T237" s="182"/>
      <c r="U237" s="182"/>
      <c r="V237" s="182">
        <f t="shared" si="53"/>
        <v>-1</v>
      </c>
      <c r="W237" s="236"/>
    </row>
    <row r="238" spans="1:23" x14ac:dyDescent="0.3">
      <c r="A238" s="316"/>
      <c r="B238" s="235" t="str">
        <f>'RSD (DEA)'!AJ146&amp;"_"&amp;'RSD (DEA)'!Z146</f>
        <v>RHAPC_HP_ELC_05</v>
      </c>
      <c r="C238" s="318"/>
      <c r="D238" s="235" t="str">
        <f t="shared" si="45"/>
        <v>RHAPC_HP_ELC_05</v>
      </c>
      <c r="E238" s="235" t="str">
        <f>'RSD (DEA)'!Q146</f>
        <v>Electric heat pumps</v>
      </c>
      <c r="F238" s="242" t="s">
        <v>239</v>
      </c>
      <c r="G238" s="242" t="s">
        <v>240</v>
      </c>
      <c r="H238" s="235">
        <f>'RSD (DEA)'!S146</f>
        <v>400</v>
      </c>
      <c r="I238" s="235" t="str">
        <f>IF(OR(RIGHT('RSD (DEA)'!AH146,3)="BIO",RIGHT(AD238,3)="BOA"),LEFT('RSD (DEA)'!AH146,3)&amp;"BFW",'RSD (DEA)'!AH146)</f>
        <v>RSDELC</v>
      </c>
      <c r="J238" s="182" t="str">
        <f>'RSD (DEA)'!AI146</f>
        <v>RSDAHT</v>
      </c>
      <c r="K238" s="235" t="str">
        <f>'RSD (DEA)'!AJ146</f>
        <v>RHAPC</v>
      </c>
      <c r="L238" s="235"/>
      <c r="M238" s="182">
        <f t="shared" si="43"/>
        <v>2019</v>
      </c>
      <c r="N238" s="182">
        <f>'RSD (DEA)'!X146</f>
        <v>2015</v>
      </c>
      <c r="O238" s="182">
        <f>IF(N238&lt;2019,2019,N238)</f>
        <v>2019</v>
      </c>
      <c r="P238" s="183">
        <f>'RSD (DEA)'!AZ146</f>
        <v>3.65</v>
      </c>
      <c r="Q238" s="183">
        <f>'RSD (DEA)'!BA146</f>
        <v>3.8</v>
      </c>
      <c r="R238" s="182">
        <f>'RSD (DEA)'!BR146/'RSD (DEA)'!S146</f>
        <v>4.0999999999999996</v>
      </c>
      <c r="S238" s="182">
        <f>'RSD (DEA)'!BS146/X_RSD_HeatingDemand!$AA$8</f>
        <v>0.12291666666666666</v>
      </c>
      <c r="T238" s="182">
        <f>'RSD (DEA)'!BK146*X_RSD_HeatingDemand!$AA$9/'RSD (DEA)'!S146</f>
        <v>375</v>
      </c>
      <c r="U238" s="182">
        <f>'RSD (DEA)'!BI146</f>
        <v>20</v>
      </c>
      <c r="V238" s="182" t="str">
        <f t="shared" si="53"/>
        <v/>
      </c>
      <c r="W238" s="236">
        <f>'RSD (DEA)'!AM146</f>
        <v>31.536000000000001</v>
      </c>
    </row>
    <row r="239" spans="1:23" x14ac:dyDescent="0.3">
      <c r="A239" s="316"/>
      <c r="B239" s="235"/>
      <c r="C239" s="318"/>
      <c r="D239" s="235"/>
      <c r="E239" s="235"/>
      <c r="F239" s="242"/>
      <c r="G239" s="242"/>
      <c r="H239" s="235"/>
      <c r="I239" s="235"/>
      <c r="J239" s="182" t="str">
        <f>J238</f>
        <v>RSDAHT</v>
      </c>
      <c r="K239" s="235"/>
      <c r="L239" s="235" t="str">
        <f>$AA$11</f>
        <v>ACT</v>
      </c>
      <c r="M239" s="182" t="str">
        <f t="shared" si="43"/>
        <v/>
      </c>
      <c r="N239" s="182"/>
      <c r="O239" s="182"/>
      <c r="P239" s="183"/>
      <c r="Q239" s="183"/>
      <c r="R239" s="182"/>
      <c r="S239" s="182"/>
      <c r="T239" s="182"/>
      <c r="U239" s="182"/>
      <c r="V239" s="182">
        <f t="shared" si="53"/>
        <v>1</v>
      </c>
      <c r="W239" s="236"/>
    </row>
    <row r="240" spans="1:23" x14ac:dyDescent="0.3">
      <c r="A240" s="316"/>
      <c r="B240" s="235"/>
      <c r="C240" s="318"/>
      <c r="D240" s="235"/>
      <c r="E240" s="235"/>
      <c r="F240" s="242"/>
      <c r="G240" s="242"/>
      <c r="H240" s="235"/>
      <c r="I240" s="235"/>
      <c r="J240" s="182" t="str">
        <f>J239</f>
        <v>RSDAHT</v>
      </c>
      <c r="K240" s="235"/>
      <c r="L240" s="235" t="str">
        <f t="shared" ref="L240" si="59">I238</f>
        <v>RSDELC</v>
      </c>
      <c r="M240" s="182" t="str">
        <f t="shared" si="43"/>
        <v/>
      </c>
      <c r="N240" s="182"/>
      <c r="O240" s="182"/>
      <c r="P240" s="183"/>
      <c r="Q240" s="183"/>
      <c r="R240" s="182"/>
      <c r="S240" s="182"/>
      <c r="T240" s="182"/>
      <c r="U240" s="182"/>
      <c r="V240" s="182">
        <f t="shared" si="53"/>
        <v>-1</v>
      </c>
      <c r="W240" s="236"/>
    </row>
    <row r="241" spans="1:23" x14ac:dyDescent="0.3">
      <c r="A241" s="316"/>
      <c r="B241" s="235" t="str">
        <f>'RSD (DEA)'!AJ147&amp;"_"&amp;'RSD (DEA)'!Z147</f>
        <v>RHAPC_HP_ELC_05</v>
      </c>
      <c r="C241" s="318"/>
      <c r="D241" s="235" t="str">
        <f t="shared" si="45"/>
        <v>RHAPC_HP_ELC_05</v>
      </c>
      <c r="E241" s="235" t="str">
        <f>'RSD (DEA)'!Q147</f>
        <v>Electric heat pumps</v>
      </c>
      <c r="F241" s="242" t="s">
        <v>239</v>
      </c>
      <c r="G241" s="242" t="s">
        <v>240</v>
      </c>
      <c r="H241" s="235">
        <f>'RSD (DEA)'!S147</f>
        <v>400</v>
      </c>
      <c r="I241" s="235" t="str">
        <f>IF(OR(RIGHT('RSD (DEA)'!AH147,3)="BIO",RIGHT(AD241,3)="BOA"),LEFT('RSD (DEA)'!AH147,3)&amp;"BFW",'RSD (DEA)'!AH147)</f>
        <v>RSDELC</v>
      </c>
      <c r="J241" s="182" t="str">
        <f>'RSD (DEA)'!AI147</f>
        <v>RSDAHT</v>
      </c>
      <c r="K241" s="235" t="str">
        <f>'RSD (DEA)'!AJ147</f>
        <v>RHAPC</v>
      </c>
      <c r="L241" s="235"/>
      <c r="M241" s="182">
        <f t="shared" si="43"/>
        <v>2019</v>
      </c>
      <c r="N241" s="182">
        <f>'RSD (DEA)'!X147</f>
        <v>2020</v>
      </c>
      <c r="O241" s="182">
        <f>IF(N241&lt;2019,2019,N241)</f>
        <v>2020</v>
      </c>
      <c r="P241" s="183">
        <f>'RSD (DEA)'!AZ147</f>
        <v>3.75</v>
      </c>
      <c r="Q241" s="183">
        <f>'RSD (DEA)'!BA147</f>
        <v>3.9</v>
      </c>
      <c r="R241" s="182">
        <f>'RSD (DEA)'!BR147/'RSD (DEA)'!S147</f>
        <v>4.125</v>
      </c>
      <c r="S241" s="182">
        <f>'RSD (DEA)'!BS147/X_RSD_HeatingDemand!$AA$8</f>
        <v>0.12291666666666666</v>
      </c>
      <c r="T241" s="182">
        <f>'RSD (DEA)'!BK147*X_RSD_HeatingDemand!$AA$9/'RSD (DEA)'!S147</f>
        <v>352.5</v>
      </c>
      <c r="U241" s="182">
        <f>'RSD (DEA)'!BI147</f>
        <v>20</v>
      </c>
      <c r="V241" s="182" t="str">
        <f t="shared" si="53"/>
        <v/>
      </c>
      <c r="W241" s="236">
        <f>'RSD (DEA)'!AM147</f>
        <v>31.536000000000001</v>
      </c>
    </row>
    <row r="242" spans="1:23" x14ac:dyDescent="0.3">
      <c r="A242" s="316"/>
      <c r="B242" s="235"/>
      <c r="C242" s="318"/>
      <c r="D242" s="235"/>
      <c r="E242" s="235"/>
      <c r="F242" s="242"/>
      <c r="G242" s="242"/>
      <c r="H242" s="235"/>
      <c r="I242" s="235"/>
      <c r="J242" s="182" t="str">
        <f>J241</f>
        <v>RSDAHT</v>
      </c>
      <c r="K242" s="235"/>
      <c r="L242" s="235" t="str">
        <f>$AA$11</f>
        <v>ACT</v>
      </c>
      <c r="M242" s="182" t="str">
        <f t="shared" si="43"/>
        <v/>
      </c>
      <c r="N242" s="182"/>
      <c r="O242" s="182"/>
      <c r="P242" s="183"/>
      <c r="Q242" s="183"/>
      <c r="R242" s="182"/>
      <c r="S242" s="182"/>
      <c r="T242" s="182"/>
      <c r="U242" s="182"/>
      <c r="V242" s="182">
        <f t="shared" si="53"/>
        <v>1</v>
      </c>
      <c r="W242" s="236"/>
    </row>
    <row r="243" spans="1:23" x14ac:dyDescent="0.3">
      <c r="A243" s="316"/>
      <c r="B243" s="235"/>
      <c r="C243" s="318"/>
      <c r="D243" s="235"/>
      <c r="E243" s="235"/>
      <c r="F243" s="242"/>
      <c r="G243" s="242"/>
      <c r="H243" s="235"/>
      <c r="I243" s="235"/>
      <c r="J243" s="182" t="str">
        <f>J242</f>
        <v>RSDAHT</v>
      </c>
      <c r="K243" s="235"/>
      <c r="L243" s="235" t="str">
        <f t="shared" ref="L243" si="60">I241</f>
        <v>RSDELC</v>
      </c>
      <c r="M243" s="182" t="str">
        <f t="shared" si="43"/>
        <v/>
      </c>
      <c r="N243" s="182"/>
      <c r="O243" s="182"/>
      <c r="P243" s="183"/>
      <c r="Q243" s="183"/>
      <c r="R243" s="182"/>
      <c r="S243" s="182"/>
      <c r="T243" s="182"/>
      <c r="U243" s="182"/>
      <c r="V243" s="182">
        <f t="shared" si="53"/>
        <v>-1</v>
      </c>
      <c r="W243" s="236"/>
    </row>
    <row r="244" spans="1:23" x14ac:dyDescent="0.3">
      <c r="A244" s="316"/>
      <c r="B244" s="235" t="str">
        <f>'RSD (DEA)'!AJ148&amp;"_"&amp;'RSD (DEA)'!Z148</f>
        <v>RHAPC_HP_ELC_05</v>
      </c>
      <c r="C244" s="318"/>
      <c r="D244" s="235" t="str">
        <f t="shared" si="45"/>
        <v>RHAPC_HP_ELC_05</v>
      </c>
      <c r="E244" s="235" t="str">
        <f>'RSD (DEA)'!Q148</f>
        <v>Electric heat pumps</v>
      </c>
      <c r="F244" s="242" t="s">
        <v>239</v>
      </c>
      <c r="G244" s="242" t="s">
        <v>240</v>
      </c>
      <c r="H244" s="235">
        <f>'RSD (DEA)'!S148</f>
        <v>400</v>
      </c>
      <c r="I244" s="235" t="str">
        <f>IF(OR(RIGHT('RSD (DEA)'!AH148,3)="BIO",RIGHT(AD244,3)="BOA"),LEFT('RSD (DEA)'!AH148,3)&amp;"BFW",'RSD (DEA)'!AH148)</f>
        <v>RSDELC</v>
      </c>
      <c r="J244" s="182" t="str">
        <f>J243</f>
        <v>RSDAHT</v>
      </c>
      <c r="K244" s="235" t="str">
        <f>'RSD (DEA)'!AJ148</f>
        <v>RHAPC</v>
      </c>
      <c r="L244" s="235"/>
      <c r="M244" s="182">
        <f t="shared" si="43"/>
        <v>2019</v>
      </c>
      <c r="N244" s="182">
        <f>'RSD (DEA)'!X148</f>
        <v>2030</v>
      </c>
      <c r="O244" s="182">
        <f>IF(N244&lt;2019,2019,N244)</f>
        <v>2030</v>
      </c>
      <c r="P244" s="183">
        <f>'RSD (DEA)'!AZ148</f>
        <v>3.9</v>
      </c>
      <c r="Q244" s="183">
        <f>'RSD (DEA)'!BA148</f>
        <v>4</v>
      </c>
      <c r="R244" s="182">
        <f>'RSD (DEA)'!BR148/'RSD (DEA)'!S148</f>
        <v>4.665</v>
      </c>
      <c r="S244" s="182">
        <f>'RSD (DEA)'!BS148/X_RSD_HeatingDemand!$AA$8</f>
        <v>0.12291666666666666</v>
      </c>
      <c r="T244" s="182">
        <f>'RSD (DEA)'!BK148*X_RSD_HeatingDemand!$AA$9/'RSD (DEA)'!S148</f>
        <v>317.5</v>
      </c>
      <c r="U244" s="182">
        <f>'RSD (DEA)'!BI148</f>
        <v>20</v>
      </c>
      <c r="V244" s="182" t="str">
        <f t="shared" si="53"/>
        <v/>
      </c>
      <c r="W244" s="236">
        <f>'RSD (DEA)'!AM148</f>
        <v>31.536000000000001</v>
      </c>
    </row>
    <row r="245" spans="1:23" x14ac:dyDescent="0.3">
      <c r="A245" s="316"/>
      <c r="B245" s="235"/>
      <c r="C245" s="318"/>
      <c r="D245" s="235"/>
      <c r="E245" s="235"/>
      <c r="F245" s="242"/>
      <c r="G245" s="242"/>
      <c r="H245" s="235"/>
      <c r="I245" s="235"/>
      <c r="J245" s="182" t="str">
        <f>J244</f>
        <v>RSDAHT</v>
      </c>
      <c r="K245" s="235"/>
      <c r="L245" s="235" t="str">
        <f>$AA$11</f>
        <v>ACT</v>
      </c>
      <c r="M245" s="182" t="str">
        <f t="shared" si="43"/>
        <v/>
      </c>
      <c r="N245" s="182"/>
      <c r="O245" s="182"/>
      <c r="P245" s="183"/>
      <c r="Q245" s="183"/>
      <c r="R245" s="182"/>
      <c r="S245" s="182"/>
      <c r="T245" s="182"/>
      <c r="U245" s="182"/>
      <c r="V245" s="182">
        <f t="shared" si="53"/>
        <v>1</v>
      </c>
      <c r="W245" s="236"/>
    </row>
    <row r="246" spans="1:23" x14ac:dyDescent="0.3">
      <c r="A246" s="316"/>
      <c r="B246" s="235"/>
      <c r="C246" s="318"/>
      <c r="D246" s="235"/>
      <c r="E246" s="235"/>
      <c r="F246" s="242"/>
      <c r="G246" s="242"/>
      <c r="H246" s="235"/>
      <c r="I246" s="235"/>
      <c r="J246" s="182" t="str">
        <f>J245</f>
        <v>RSDAHT</v>
      </c>
      <c r="K246" s="235"/>
      <c r="L246" s="235" t="str">
        <f t="shared" ref="L246" si="61">I244</f>
        <v>RSDELC</v>
      </c>
      <c r="M246" s="182" t="str">
        <f t="shared" si="43"/>
        <v/>
      </c>
      <c r="N246" s="182"/>
      <c r="O246" s="182"/>
      <c r="P246" s="183"/>
      <c r="Q246" s="183"/>
      <c r="R246" s="182"/>
      <c r="S246" s="182"/>
      <c r="T246" s="182"/>
      <c r="U246" s="182"/>
      <c r="V246" s="182">
        <f t="shared" si="53"/>
        <v>-1</v>
      </c>
      <c r="W246" s="236"/>
    </row>
    <row r="247" spans="1:23" x14ac:dyDescent="0.3">
      <c r="A247" s="316"/>
      <c r="B247" s="235" t="str">
        <f>'RSD (DEA)'!AJ149&amp;"_"&amp;'RSD (DEA)'!Z149</f>
        <v>RHAPC_HP_ELC_05</v>
      </c>
      <c r="C247" s="318"/>
      <c r="D247" s="235" t="str">
        <f t="shared" si="45"/>
        <v>RHAPC_HP_ELC_05</v>
      </c>
      <c r="E247" s="235" t="str">
        <f>'RSD (DEA)'!Q149</f>
        <v>Electric heat pumps</v>
      </c>
      <c r="F247" s="242" t="s">
        <v>239</v>
      </c>
      <c r="G247" s="242" t="s">
        <v>240</v>
      </c>
      <c r="H247" s="235">
        <f>'RSD (DEA)'!S149</f>
        <v>400</v>
      </c>
      <c r="I247" s="235" t="str">
        <f>IF(OR(RIGHT('RSD (DEA)'!AH149,3)="BIO",RIGHT(AD247,3)="BOA"),LEFT('RSD (DEA)'!AH149,3)&amp;"BFW",'RSD (DEA)'!AH149)</f>
        <v>RSDELC</v>
      </c>
      <c r="J247" s="182" t="str">
        <f>'RSD (DEA)'!AI149</f>
        <v>RSDAHT</v>
      </c>
      <c r="K247" s="235" t="str">
        <f>'RSD (DEA)'!AJ149</f>
        <v>RHAPC</v>
      </c>
      <c r="L247" s="235"/>
      <c r="M247" s="182">
        <f t="shared" si="43"/>
        <v>2019</v>
      </c>
      <c r="N247" s="182">
        <f>'RSD (DEA)'!X149</f>
        <v>2050</v>
      </c>
      <c r="O247" s="182">
        <f>IF(N247&lt;2019,2019,N247)</f>
        <v>2050</v>
      </c>
      <c r="P247" s="183">
        <f>'RSD (DEA)'!AZ149</f>
        <v>4.05</v>
      </c>
      <c r="Q247" s="183">
        <f>'RSD (DEA)'!BA149</f>
        <v>4.1500000000000004</v>
      </c>
      <c r="R247" s="182">
        <f>'RSD (DEA)'!BR149/'RSD (DEA)'!S149</f>
        <v>6.0274999999999999</v>
      </c>
      <c r="S247" s="182">
        <f>'RSD (DEA)'!BS149/X_RSD_HeatingDemand!$AA$8</f>
        <v>0.12291666666666666</v>
      </c>
      <c r="T247" s="182">
        <f>'RSD (DEA)'!BK149*X_RSD_HeatingDemand!$AA$9/'RSD (DEA)'!S149</f>
        <v>285</v>
      </c>
      <c r="U247" s="182">
        <f>'RSD (DEA)'!BI149</f>
        <v>20</v>
      </c>
      <c r="V247" s="182" t="str">
        <f t="shared" si="53"/>
        <v/>
      </c>
      <c r="W247" s="236">
        <f>'RSD (DEA)'!AM149</f>
        <v>31.536000000000001</v>
      </c>
    </row>
    <row r="248" spans="1:23" x14ac:dyDescent="0.3">
      <c r="A248" s="316"/>
      <c r="B248" s="235"/>
      <c r="C248" s="318"/>
      <c r="D248" s="235"/>
      <c r="E248" s="235"/>
      <c r="F248" s="242"/>
      <c r="G248" s="242"/>
      <c r="H248" s="235"/>
      <c r="I248" s="235"/>
      <c r="J248" s="182" t="str">
        <f>J247</f>
        <v>RSDAHT</v>
      </c>
      <c r="K248" s="235"/>
      <c r="L248" s="235" t="str">
        <f>$AA$11</f>
        <v>ACT</v>
      </c>
      <c r="M248" s="182" t="str">
        <f t="shared" si="43"/>
        <v/>
      </c>
      <c r="N248" s="182"/>
      <c r="O248" s="182"/>
      <c r="P248" s="183"/>
      <c r="Q248" s="183"/>
      <c r="R248" s="182"/>
      <c r="S248" s="182"/>
      <c r="T248" s="182"/>
      <c r="U248" s="182"/>
      <c r="V248" s="182">
        <f t="shared" si="53"/>
        <v>1</v>
      </c>
      <c r="W248" s="236"/>
    </row>
    <row r="249" spans="1:23" x14ac:dyDescent="0.3">
      <c r="A249" s="316"/>
      <c r="B249" s="235"/>
      <c r="C249" s="318"/>
      <c r="D249" s="235"/>
      <c r="E249" s="235"/>
      <c r="F249" s="242"/>
      <c r="G249" s="242"/>
      <c r="H249" s="235"/>
      <c r="I249" s="235"/>
      <c r="J249" s="182" t="str">
        <f>J248</f>
        <v>RSDAHT</v>
      </c>
      <c r="K249" s="235"/>
      <c r="L249" s="235" t="str">
        <f t="shared" ref="L249" si="62">I247</f>
        <v>RSDELC</v>
      </c>
      <c r="M249" s="182" t="str">
        <f t="shared" si="43"/>
        <v/>
      </c>
      <c r="N249" s="182"/>
      <c r="O249" s="182"/>
      <c r="P249" s="183"/>
      <c r="Q249" s="183"/>
      <c r="R249" s="182"/>
      <c r="S249" s="182"/>
      <c r="T249" s="182"/>
      <c r="U249" s="182"/>
      <c r="V249" s="182">
        <f t="shared" si="53"/>
        <v>-1</v>
      </c>
      <c r="W249" s="236"/>
    </row>
    <row r="250" spans="1:23" x14ac:dyDescent="0.3">
      <c r="A250" s="316"/>
      <c r="B250" s="235" t="str">
        <f>'RSD (DEA)'!AJ150&amp;"_"&amp;'RSD (DEA)'!Z150</f>
        <v>RHAPA_HP_ELC_06</v>
      </c>
      <c r="C250" s="318"/>
      <c r="D250" s="235" t="str">
        <f t="shared" si="45"/>
        <v>RHAPA_HP_ELC_06</v>
      </c>
      <c r="E250" s="235" t="str">
        <f>'RSD (DEA)'!Q150</f>
        <v>Electric heat pumps</v>
      </c>
      <c r="F250" s="242" t="s">
        <v>239</v>
      </c>
      <c r="G250" s="242" t="s">
        <v>240</v>
      </c>
      <c r="H250" s="235">
        <f>'RSD (DEA)'!S150</f>
        <v>160</v>
      </c>
      <c r="I250" s="235" t="str">
        <f>IF(OR(RIGHT('RSD (DEA)'!AH150,3)="BIO",RIGHT(AD250,3)="BOA"),LEFT('RSD (DEA)'!AH150,3)&amp;"BFW",'RSD (DEA)'!AH150)</f>
        <v>RSDELC</v>
      </c>
      <c r="J250" s="182" t="str">
        <f>'RSD (DEA)'!AI150</f>
        <v>RSDAHT</v>
      </c>
      <c r="K250" s="235" t="str">
        <f>'RSD (DEA)'!AJ150</f>
        <v>RHAPA</v>
      </c>
      <c r="L250" s="235"/>
      <c r="M250" s="182">
        <f t="shared" si="43"/>
        <v>2019</v>
      </c>
      <c r="N250" s="182">
        <f>'RSD (DEA)'!X150</f>
        <v>2015</v>
      </c>
      <c r="O250" s="182">
        <f>IF(N250&lt;2019,2019,N250)</f>
        <v>2019</v>
      </c>
      <c r="P250" s="183">
        <f>'RSD (DEA)'!AZ150</f>
        <v>3.7</v>
      </c>
      <c r="Q250" s="183">
        <f>'RSD (DEA)'!BA150</f>
        <v>4.2</v>
      </c>
      <c r="R250" s="182">
        <f>'RSD (DEA)'!BR150/'RSD (DEA)'!S150</f>
        <v>10.25</v>
      </c>
      <c r="S250" s="182">
        <f>'RSD (DEA)'!BS150/X_RSD_HeatingDemand!$AA$8</f>
        <v>0.12291666666666666</v>
      </c>
      <c r="T250" s="182">
        <f>'RSD (DEA)'!BK150*X_RSD_HeatingDemand!$AA$9/'RSD (DEA)'!S150</f>
        <v>468.75</v>
      </c>
      <c r="U250" s="182">
        <f>'RSD (DEA)'!BI150</f>
        <v>20</v>
      </c>
      <c r="V250" s="182" t="str">
        <f t="shared" si="53"/>
        <v/>
      </c>
      <c r="W250" s="236">
        <f>'RSD (DEA)'!AM150</f>
        <v>31.536000000000001</v>
      </c>
    </row>
    <row r="251" spans="1:23" x14ac:dyDescent="0.3">
      <c r="A251" s="316"/>
      <c r="B251" s="235"/>
      <c r="C251" s="318"/>
      <c r="D251" s="235"/>
      <c r="E251" s="235"/>
      <c r="F251" s="242"/>
      <c r="G251" s="242"/>
      <c r="H251" s="235"/>
      <c r="I251" s="235"/>
      <c r="J251" s="182" t="str">
        <f>J250</f>
        <v>RSDAHT</v>
      </c>
      <c r="K251" s="235"/>
      <c r="L251" s="235" t="str">
        <f>$AA$11</f>
        <v>ACT</v>
      </c>
      <c r="M251" s="182" t="str">
        <f t="shared" si="43"/>
        <v/>
      </c>
      <c r="N251" s="182"/>
      <c r="O251" s="182"/>
      <c r="P251" s="183"/>
      <c r="Q251" s="183"/>
      <c r="R251" s="182"/>
      <c r="S251" s="182"/>
      <c r="T251" s="182"/>
      <c r="U251" s="182"/>
      <c r="V251" s="182">
        <f t="shared" si="53"/>
        <v>1</v>
      </c>
      <c r="W251" s="236"/>
    </row>
    <row r="252" spans="1:23" x14ac:dyDescent="0.3">
      <c r="A252" s="316"/>
      <c r="B252" s="235"/>
      <c r="C252" s="318"/>
      <c r="D252" s="235"/>
      <c r="E252" s="235"/>
      <c r="F252" s="242"/>
      <c r="G252" s="242"/>
      <c r="H252" s="235"/>
      <c r="I252" s="235"/>
      <c r="J252" s="182" t="str">
        <f>J251</f>
        <v>RSDAHT</v>
      </c>
      <c r="K252" s="235"/>
      <c r="L252" s="235" t="str">
        <f t="shared" ref="L252" si="63">I250</f>
        <v>RSDELC</v>
      </c>
      <c r="M252" s="182" t="str">
        <f t="shared" si="43"/>
        <v/>
      </c>
      <c r="N252" s="182"/>
      <c r="O252" s="182"/>
      <c r="P252" s="183"/>
      <c r="Q252" s="183"/>
      <c r="R252" s="182"/>
      <c r="S252" s="182"/>
      <c r="T252" s="182"/>
      <c r="U252" s="182"/>
      <c r="V252" s="182">
        <f t="shared" si="53"/>
        <v>-1</v>
      </c>
      <c r="W252" s="236"/>
    </row>
    <row r="253" spans="1:23" x14ac:dyDescent="0.3">
      <c r="A253" s="316"/>
      <c r="B253" s="235" t="str">
        <f>'RSD (DEA)'!AJ151&amp;"_"&amp;'RSD (DEA)'!Z151</f>
        <v>RHAPA_HP_ELC_06</v>
      </c>
      <c r="C253" s="318"/>
      <c r="D253" s="235" t="str">
        <f t="shared" si="45"/>
        <v>RHAPA_HP_ELC_06</v>
      </c>
      <c r="E253" s="235" t="str">
        <f>'RSD (DEA)'!Q151</f>
        <v>Electric heat pumps</v>
      </c>
      <c r="F253" s="242" t="s">
        <v>239</v>
      </c>
      <c r="G253" s="242" t="s">
        <v>240</v>
      </c>
      <c r="H253" s="235">
        <f>'RSD (DEA)'!S151</f>
        <v>160</v>
      </c>
      <c r="I253" s="235" t="str">
        <f>IF(OR(RIGHT('RSD (DEA)'!AH151,3)="BIO",RIGHT(AD253,3)="BOA"),LEFT('RSD (DEA)'!AH151,3)&amp;"BFW",'RSD (DEA)'!AH151)</f>
        <v>RSDELC</v>
      </c>
      <c r="J253" s="182" t="str">
        <f>'RSD (DEA)'!AI151</f>
        <v>RSDAHT</v>
      </c>
      <c r="K253" s="235" t="str">
        <f>'RSD (DEA)'!AJ151</f>
        <v>RHAPA</v>
      </c>
      <c r="L253" s="235"/>
      <c r="M253" s="182">
        <f t="shared" si="43"/>
        <v>2019</v>
      </c>
      <c r="N253" s="182">
        <f>'RSD (DEA)'!X151</f>
        <v>2020</v>
      </c>
      <c r="O253" s="182">
        <f>IF(N253&lt;2019,2019,N253)</f>
        <v>2020</v>
      </c>
      <c r="P253" s="183">
        <f>'RSD (DEA)'!AZ151</f>
        <v>3.8</v>
      </c>
      <c r="Q253" s="183">
        <f>'RSD (DEA)'!BA151</f>
        <v>4.3</v>
      </c>
      <c r="R253" s="182">
        <f>'RSD (DEA)'!BR151/'RSD (DEA)'!S151</f>
        <v>10.3125</v>
      </c>
      <c r="S253" s="182">
        <f>'RSD (DEA)'!BS151/X_RSD_HeatingDemand!$AA$8</f>
        <v>0.12291666666666666</v>
      </c>
      <c r="T253" s="182">
        <f>'RSD (DEA)'!BK151*X_RSD_HeatingDemand!$AA$9/'RSD (DEA)'!S151</f>
        <v>443.75</v>
      </c>
      <c r="U253" s="182">
        <f>'RSD (DEA)'!BI151</f>
        <v>20</v>
      </c>
      <c r="V253" s="182" t="str">
        <f t="shared" si="53"/>
        <v/>
      </c>
      <c r="W253" s="236">
        <f>'RSD (DEA)'!AM151</f>
        <v>31.536000000000001</v>
      </c>
    </row>
    <row r="254" spans="1:23" x14ac:dyDescent="0.3">
      <c r="A254" s="316"/>
      <c r="B254" s="235"/>
      <c r="C254" s="318"/>
      <c r="D254" s="235"/>
      <c r="E254" s="235"/>
      <c r="F254" s="242"/>
      <c r="G254" s="242"/>
      <c r="H254" s="235"/>
      <c r="I254" s="235"/>
      <c r="J254" s="182" t="str">
        <f>J253</f>
        <v>RSDAHT</v>
      </c>
      <c r="K254" s="235"/>
      <c r="L254" s="235" t="str">
        <f>$AA$11</f>
        <v>ACT</v>
      </c>
      <c r="M254" s="182" t="str">
        <f t="shared" si="43"/>
        <v/>
      </c>
      <c r="N254" s="182"/>
      <c r="O254" s="182"/>
      <c r="P254" s="183"/>
      <c r="Q254" s="183"/>
      <c r="R254" s="182"/>
      <c r="S254" s="182"/>
      <c r="T254" s="182"/>
      <c r="U254" s="182"/>
      <c r="V254" s="182">
        <f t="shared" si="53"/>
        <v>1</v>
      </c>
      <c r="W254" s="236"/>
    </row>
    <row r="255" spans="1:23" x14ac:dyDescent="0.3">
      <c r="A255" s="316"/>
      <c r="B255" s="235"/>
      <c r="C255" s="318"/>
      <c r="D255" s="235"/>
      <c r="E255" s="235"/>
      <c r="F255" s="242"/>
      <c r="G255" s="242"/>
      <c r="H255" s="235"/>
      <c r="I255" s="235"/>
      <c r="J255" s="182" t="str">
        <f>J254</f>
        <v>RSDAHT</v>
      </c>
      <c r="K255" s="235"/>
      <c r="L255" s="235" t="str">
        <f t="shared" ref="L255" si="64">I253</f>
        <v>RSDELC</v>
      </c>
      <c r="M255" s="182" t="str">
        <f t="shared" si="43"/>
        <v/>
      </c>
      <c r="N255" s="182"/>
      <c r="O255" s="182"/>
      <c r="P255" s="183"/>
      <c r="Q255" s="183"/>
      <c r="R255" s="182"/>
      <c r="S255" s="182"/>
      <c r="T255" s="182"/>
      <c r="U255" s="182"/>
      <c r="V255" s="182">
        <f t="shared" si="53"/>
        <v>-1</v>
      </c>
      <c r="W255" s="236"/>
    </row>
    <row r="256" spans="1:23" x14ac:dyDescent="0.3">
      <c r="A256" s="316"/>
      <c r="B256" s="235" t="str">
        <f>'RSD (DEA)'!AJ152&amp;"_"&amp;'RSD (DEA)'!Z152</f>
        <v>RHAPA_HP_ELC_06</v>
      </c>
      <c r="C256" s="318"/>
      <c r="D256" s="235" t="str">
        <f t="shared" si="45"/>
        <v>RHAPA_HP_ELC_06</v>
      </c>
      <c r="E256" s="235" t="str">
        <f>'RSD (DEA)'!Q152</f>
        <v>Electric heat pumps</v>
      </c>
      <c r="F256" s="242" t="s">
        <v>239</v>
      </c>
      <c r="G256" s="242" t="s">
        <v>240</v>
      </c>
      <c r="H256" s="235">
        <f>'RSD (DEA)'!S152</f>
        <v>160</v>
      </c>
      <c r="I256" s="235" t="str">
        <f>IF(OR(RIGHT('RSD (DEA)'!AH152,3)="BIO",RIGHT(AD256,3)="BOA"),LEFT('RSD (DEA)'!AH152,3)&amp;"BFW",'RSD (DEA)'!AH152)</f>
        <v>RSDELC</v>
      </c>
      <c r="J256" s="182" t="str">
        <f>'RSD (DEA)'!AI152</f>
        <v>RSDAHT</v>
      </c>
      <c r="K256" s="235" t="str">
        <f>'RSD (DEA)'!AJ152</f>
        <v>RHAPA</v>
      </c>
      <c r="L256" s="235"/>
      <c r="M256" s="182">
        <f t="shared" si="43"/>
        <v>2019</v>
      </c>
      <c r="N256" s="182">
        <f>'RSD (DEA)'!X152</f>
        <v>2030</v>
      </c>
      <c r="O256" s="182">
        <f>IF(N256&lt;2019,2019,N256)</f>
        <v>2030</v>
      </c>
      <c r="P256" s="183">
        <f>'RSD (DEA)'!AZ152</f>
        <v>3.9</v>
      </c>
      <c r="Q256" s="183">
        <f>'RSD (DEA)'!BA152</f>
        <v>4.4000000000000004</v>
      </c>
      <c r="R256" s="182">
        <f>'RSD (DEA)'!BR152/'RSD (DEA)'!S152</f>
        <v>11.6625</v>
      </c>
      <c r="S256" s="182">
        <f>'RSD (DEA)'!BS152/X_RSD_HeatingDemand!$AA$8</f>
        <v>0.12291666666666666</v>
      </c>
      <c r="T256" s="182">
        <f>'RSD (DEA)'!BK152*X_RSD_HeatingDemand!$AA$9/'RSD (DEA)'!S152</f>
        <v>393.75</v>
      </c>
      <c r="U256" s="182">
        <f>'RSD (DEA)'!BI152</f>
        <v>20</v>
      </c>
      <c r="V256" s="182" t="str">
        <f t="shared" si="53"/>
        <v/>
      </c>
      <c r="W256" s="236">
        <f>'RSD (DEA)'!AM152</f>
        <v>31.536000000000001</v>
      </c>
    </row>
    <row r="257" spans="1:23" x14ac:dyDescent="0.3">
      <c r="A257" s="316"/>
      <c r="B257" s="235"/>
      <c r="C257" s="318"/>
      <c r="D257" s="235"/>
      <c r="E257" s="235"/>
      <c r="F257" s="242"/>
      <c r="G257" s="242"/>
      <c r="H257" s="235"/>
      <c r="I257" s="235"/>
      <c r="J257" s="182" t="str">
        <f>J256</f>
        <v>RSDAHT</v>
      </c>
      <c r="K257" s="235"/>
      <c r="L257" s="235" t="str">
        <f>$AA$11</f>
        <v>ACT</v>
      </c>
      <c r="M257" s="182" t="str">
        <f t="shared" si="43"/>
        <v/>
      </c>
      <c r="N257" s="182"/>
      <c r="O257" s="182"/>
      <c r="P257" s="183"/>
      <c r="Q257" s="183"/>
      <c r="R257" s="182"/>
      <c r="S257" s="182"/>
      <c r="T257" s="182"/>
      <c r="U257" s="182"/>
      <c r="V257" s="182">
        <f t="shared" si="53"/>
        <v>1</v>
      </c>
      <c r="W257" s="236"/>
    </row>
    <row r="258" spans="1:23" x14ac:dyDescent="0.3">
      <c r="A258" s="316"/>
      <c r="B258" s="235"/>
      <c r="C258" s="318"/>
      <c r="D258" s="235"/>
      <c r="E258" s="235"/>
      <c r="F258" s="242"/>
      <c r="G258" s="242"/>
      <c r="H258" s="235"/>
      <c r="I258" s="235"/>
      <c r="J258" s="182" t="str">
        <f>J257</f>
        <v>RSDAHT</v>
      </c>
      <c r="K258" s="235"/>
      <c r="L258" s="235" t="str">
        <f t="shared" ref="L258" si="65">I256</f>
        <v>RSDELC</v>
      </c>
      <c r="M258" s="182" t="str">
        <f t="shared" si="43"/>
        <v/>
      </c>
      <c r="N258" s="182"/>
      <c r="O258" s="182"/>
      <c r="P258" s="183"/>
      <c r="Q258" s="183"/>
      <c r="R258" s="182"/>
      <c r="S258" s="182"/>
      <c r="T258" s="182"/>
      <c r="U258" s="182"/>
      <c r="V258" s="182">
        <f t="shared" si="53"/>
        <v>-1</v>
      </c>
      <c r="W258" s="236"/>
    </row>
    <row r="259" spans="1:23" x14ac:dyDescent="0.3">
      <c r="A259" s="316"/>
      <c r="B259" s="235" t="str">
        <f>'RSD (DEA)'!AJ153&amp;"_"&amp;'RSD (DEA)'!Z153</f>
        <v>RHAPA_HP_ELC_06</v>
      </c>
      <c r="C259" s="318"/>
      <c r="D259" s="235" t="str">
        <f t="shared" si="45"/>
        <v>RHAPA_HP_ELC_06</v>
      </c>
      <c r="E259" s="235" t="str">
        <f>'RSD (DEA)'!Q153</f>
        <v>Electric heat pumps</v>
      </c>
      <c r="F259" s="242" t="s">
        <v>239</v>
      </c>
      <c r="G259" s="242" t="s">
        <v>240</v>
      </c>
      <c r="H259" s="235">
        <f>'RSD (DEA)'!S153</f>
        <v>160</v>
      </c>
      <c r="I259" s="235" t="str">
        <f>IF(OR(RIGHT('RSD (DEA)'!AH153,3)="BIO",RIGHT(AD259,3)="BOA"),LEFT('RSD (DEA)'!AH153,3)&amp;"BFW",'RSD (DEA)'!AH153)</f>
        <v>RSDELC</v>
      </c>
      <c r="J259" s="182" t="str">
        <f>'RSD (DEA)'!AI153</f>
        <v>RSDAHT</v>
      </c>
      <c r="K259" s="235" t="str">
        <f>'RSD (DEA)'!AJ153</f>
        <v>RHAPA</v>
      </c>
      <c r="L259" s="235"/>
      <c r="M259" s="182">
        <f t="shared" si="43"/>
        <v>2019</v>
      </c>
      <c r="N259" s="182">
        <f>'RSD (DEA)'!X153</f>
        <v>2050</v>
      </c>
      <c r="O259" s="182">
        <f>IF(N259&lt;2019,2019,N259)</f>
        <v>2050</v>
      </c>
      <c r="P259" s="183">
        <f>'RSD (DEA)'!AZ153</f>
        <v>4.05</v>
      </c>
      <c r="Q259" s="183">
        <f>'RSD (DEA)'!BA153</f>
        <v>4.5999999999999996</v>
      </c>
      <c r="R259" s="182">
        <f>'RSD (DEA)'!BR153/'RSD (DEA)'!S153</f>
        <v>15.06875</v>
      </c>
      <c r="S259" s="182">
        <f>'RSD (DEA)'!BS153/X_RSD_HeatingDemand!$AA$8</f>
        <v>0.12291666666666666</v>
      </c>
      <c r="T259" s="182">
        <f>'RSD (DEA)'!BK153*X_RSD_HeatingDemand!$AA$9/'RSD (DEA)'!S153</f>
        <v>356.25</v>
      </c>
      <c r="U259" s="182">
        <f>'RSD (DEA)'!BI153</f>
        <v>20</v>
      </c>
      <c r="V259" s="182" t="str">
        <f t="shared" si="53"/>
        <v/>
      </c>
      <c r="W259" s="236">
        <f>'RSD (DEA)'!AM153</f>
        <v>31.536000000000001</v>
      </c>
    </row>
    <row r="260" spans="1:23" x14ac:dyDescent="0.3">
      <c r="A260" s="316"/>
      <c r="B260" s="235"/>
      <c r="C260" s="318"/>
      <c r="D260" s="235"/>
      <c r="E260" s="235"/>
      <c r="F260" s="242"/>
      <c r="G260" s="242"/>
      <c r="H260" s="235"/>
      <c r="I260" s="235"/>
      <c r="J260" s="182" t="str">
        <f>J259</f>
        <v>RSDAHT</v>
      </c>
      <c r="K260" s="235"/>
      <c r="L260" s="235" t="str">
        <f>$AA$11</f>
        <v>ACT</v>
      </c>
      <c r="M260" s="182" t="str">
        <f t="shared" si="43"/>
        <v/>
      </c>
      <c r="N260" s="182"/>
      <c r="O260" s="182"/>
      <c r="P260" s="183"/>
      <c r="Q260" s="183"/>
      <c r="R260" s="182"/>
      <c r="S260" s="182"/>
      <c r="T260" s="182"/>
      <c r="U260" s="182"/>
      <c r="V260" s="182">
        <f t="shared" si="53"/>
        <v>1</v>
      </c>
      <c r="W260" s="236"/>
    </row>
    <row r="261" spans="1:23" x14ac:dyDescent="0.3">
      <c r="A261" s="316"/>
      <c r="B261" s="235"/>
      <c r="C261" s="318"/>
      <c r="D261" s="235"/>
      <c r="E261" s="235"/>
      <c r="F261" s="242"/>
      <c r="G261" s="242"/>
      <c r="H261" s="235"/>
      <c r="I261" s="235"/>
      <c r="J261" s="182" t="str">
        <f>J260</f>
        <v>RSDAHT</v>
      </c>
      <c r="K261" s="235"/>
      <c r="L261" s="235" t="str">
        <f t="shared" ref="L261" si="66">I259</f>
        <v>RSDELC</v>
      </c>
      <c r="M261" s="182" t="str">
        <f t="shared" si="43"/>
        <v/>
      </c>
      <c r="N261" s="182"/>
      <c r="O261" s="182"/>
      <c r="P261" s="183"/>
      <c r="Q261" s="183"/>
      <c r="R261" s="182"/>
      <c r="S261" s="182"/>
      <c r="T261" s="182"/>
      <c r="U261" s="182"/>
      <c r="V261" s="182">
        <f t="shared" si="53"/>
        <v>-1</v>
      </c>
      <c r="W261" s="236"/>
    </row>
    <row r="262" spans="1:23" x14ac:dyDescent="0.3">
      <c r="A262" s="316"/>
      <c r="B262" s="235" t="str">
        <f>'RSD (DEA)'!AJ154&amp;"_"&amp;'RSD (DEA)'!Z154</f>
        <v>RHHSC_HP_ELC_07</v>
      </c>
      <c r="C262" s="318"/>
      <c r="D262" s="235" t="str">
        <f t="shared" si="45"/>
        <v>RHHSC_HP_ELC_07</v>
      </c>
      <c r="E262" s="235" t="str">
        <f>'RSD (DEA)'!Q154</f>
        <v>Electric heat pumps</v>
      </c>
      <c r="F262" s="242" t="s">
        <v>239</v>
      </c>
      <c r="G262" s="242" t="s">
        <v>240</v>
      </c>
      <c r="H262" s="235">
        <f>'RSD (DEA)'!S154</f>
        <v>10</v>
      </c>
      <c r="I262" s="235" t="str">
        <f>IF(OR(RIGHT('RSD (DEA)'!AH154,3)="BIO",RIGHT(AD262,3)="BOA"),LEFT('RSD (DEA)'!AH154,3)&amp;"BFW",'RSD (DEA)'!AH154)</f>
        <v>RSDELC</v>
      </c>
      <c r="J262" s="182" t="str">
        <f>'RSD (DEA)'!AI154</f>
        <v>RSDGEO</v>
      </c>
      <c r="K262" s="235" t="str">
        <f>'RSD (DEA)'!AJ154</f>
        <v>RHHSC</v>
      </c>
      <c r="L262" s="235"/>
      <c r="M262" s="182">
        <f t="shared" ref="M262:M325" si="67">IF(ISBLANK(B262),"",$AA$14)</f>
        <v>2019</v>
      </c>
      <c r="N262" s="182">
        <f>'RSD (DEA)'!X154</f>
        <v>2015</v>
      </c>
      <c r="O262" s="182">
        <f>IF(N262&lt;2019,2019,N262)</f>
        <v>2019</v>
      </c>
      <c r="P262" s="183">
        <f>'RSD (DEA)'!AZ154</f>
        <v>3.6</v>
      </c>
      <c r="Q262" s="183">
        <f>'RSD (DEA)'!BA154</f>
        <v>3.7</v>
      </c>
      <c r="R262" s="182">
        <f>'RSD (DEA)'!BR154/'RSD (DEA)'!S154</f>
        <v>29.1</v>
      </c>
      <c r="S262" s="182">
        <f>'RSD (DEA)'!BS154/X_RSD_HeatingDemand!$AA$8</f>
        <v>0</v>
      </c>
      <c r="T262" s="182">
        <f>'RSD (DEA)'!BK154*X_RSD_HeatingDemand!$AA$9/'RSD (DEA)'!S154</f>
        <v>1600</v>
      </c>
      <c r="U262" s="182">
        <f>'RSD (DEA)'!BI154</f>
        <v>20</v>
      </c>
      <c r="V262" s="182" t="str">
        <f t="shared" si="53"/>
        <v/>
      </c>
      <c r="W262" s="236">
        <f>'RSD (DEA)'!AM154</f>
        <v>31.536000000000001</v>
      </c>
    </row>
    <row r="263" spans="1:23" x14ac:dyDescent="0.3">
      <c r="A263" s="316"/>
      <c r="B263" s="235"/>
      <c r="C263" s="318"/>
      <c r="D263" s="235"/>
      <c r="E263" s="235"/>
      <c r="F263" s="242"/>
      <c r="G263" s="242"/>
      <c r="H263" s="235"/>
      <c r="I263" s="235"/>
      <c r="J263" s="182" t="str">
        <f>J262</f>
        <v>RSDGEO</v>
      </c>
      <c r="K263" s="235"/>
      <c r="L263" s="235" t="str">
        <f>$AA$11</f>
        <v>ACT</v>
      </c>
      <c r="M263" s="182" t="str">
        <f t="shared" si="67"/>
        <v/>
      </c>
      <c r="N263" s="182"/>
      <c r="O263" s="182"/>
      <c r="P263" s="183"/>
      <c r="Q263" s="183"/>
      <c r="R263" s="182"/>
      <c r="S263" s="182"/>
      <c r="T263" s="182"/>
      <c r="U263" s="182"/>
      <c r="V263" s="182">
        <f t="shared" si="53"/>
        <v>1</v>
      </c>
      <c r="W263" s="236"/>
    </row>
    <row r="264" spans="1:23" x14ac:dyDescent="0.3">
      <c r="A264" s="316"/>
      <c r="B264" s="235"/>
      <c r="C264" s="318"/>
      <c r="D264" s="235"/>
      <c r="E264" s="235"/>
      <c r="F264" s="242"/>
      <c r="G264" s="242"/>
      <c r="H264" s="235"/>
      <c r="I264" s="235"/>
      <c r="J264" s="182" t="str">
        <f>J263</f>
        <v>RSDGEO</v>
      </c>
      <c r="K264" s="235"/>
      <c r="L264" s="235" t="str">
        <f t="shared" ref="L264" si="68">I262</f>
        <v>RSDELC</v>
      </c>
      <c r="M264" s="182" t="str">
        <f t="shared" si="67"/>
        <v/>
      </c>
      <c r="N264" s="182"/>
      <c r="O264" s="182"/>
      <c r="P264" s="183"/>
      <c r="Q264" s="183"/>
      <c r="R264" s="182"/>
      <c r="S264" s="182"/>
      <c r="T264" s="182"/>
      <c r="U264" s="182"/>
      <c r="V264" s="182">
        <f t="shared" si="53"/>
        <v>-1</v>
      </c>
      <c r="W264" s="236"/>
    </row>
    <row r="265" spans="1:23" x14ac:dyDescent="0.3">
      <c r="A265" s="316"/>
      <c r="B265" s="235" t="str">
        <f>'RSD (DEA)'!AJ155&amp;"_"&amp;'RSD (DEA)'!Z155</f>
        <v>RHHSC_HP_ELC_07</v>
      </c>
      <c r="C265" s="318"/>
      <c r="D265" s="235" t="str">
        <f t="shared" ref="D265:D325" si="69">IF(B265=B264,LEFT(B265,LEN(B265)-2)&amp;IF(RIGHT(D264)+1&lt;9,"0"&amp;RIGHT(D264)+1,RIGHT(D264)+1),B265)</f>
        <v>RHHSC_HP_ELC_07</v>
      </c>
      <c r="E265" s="235" t="str">
        <f>'RSD (DEA)'!Q155</f>
        <v>Electric heat pumps</v>
      </c>
      <c r="F265" s="242" t="s">
        <v>239</v>
      </c>
      <c r="G265" s="242" t="s">
        <v>240</v>
      </c>
      <c r="H265" s="235">
        <f>'RSD (DEA)'!S155</f>
        <v>10</v>
      </c>
      <c r="I265" s="235" t="str">
        <f>IF(OR(RIGHT('RSD (DEA)'!AH155,3)="BIO",RIGHT(AD265,3)="BOA"),LEFT('RSD (DEA)'!AH155,3)&amp;"BFW",'RSD (DEA)'!AH155)</f>
        <v>RSDELC</v>
      </c>
      <c r="J265" s="182" t="str">
        <f>'RSD (DEA)'!AI155</f>
        <v>RSDGEO</v>
      </c>
      <c r="K265" s="235" t="str">
        <f>'RSD (DEA)'!AJ155</f>
        <v>RHHSC</v>
      </c>
      <c r="L265" s="235"/>
      <c r="M265" s="182">
        <f t="shared" si="67"/>
        <v>2019</v>
      </c>
      <c r="N265" s="182">
        <f>'RSD (DEA)'!X155</f>
        <v>2020</v>
      </c>
      <c r="O265" s="182">
        <f>IF(N265&lt;2019,2019,N265)</f>
        <v>2020</v>
      </c>
      <c r="P265" s="183">
        <f>'RSD (DEA)'!AZ155</f>
        <v>3.7</v>
      </c>
      <c r="Q265" s="183">
        <f>'RSD (DEA)'!BA155</f>
        <v>3.8</v>
      </c>
      <c r="R265" s="182">
        <f>'RSD (DEA)'!BR155/'RSD (DEA)'!S155</f>
        <v>27.8</v>
      </c>
      <c r="S265" s="182">
        <f>'RSD (DEA)'!BS155/X_RSD_HeatingDemand!$AA$8</f>
        <v>0</v>
      </c>
      <c r="T265" s="182">
        <f>'RSD (DEA)'!BK155*X_RSD_HeatingDemand!$AA$9/'RSD (DEA)'!S155</f>
        <v>1500</v>
      </c>
      <c r="U265" s="182">
        <f>'RSD (DEA)'!BI155</f>
        <v>20</v>
      </c>
      <c r="V265" s="182" t="str">
        <f t="shared" si="53"/>
        <v/>
      </c>
      <c r="W265" s="236">
        <f>'RSD (DEA)'!AM155</f>
        <v>31.536000000000001</v>
      </c>
    </row>
    <row r="266" spans="1:23" x14ac:dyDescent="0.3">
      <c r="A266" s="316"/>
      <c r="B266" s="235"/>
      <c r="C266" s="318"/>
      <c r="D266" s="235"/>
      <c r="E266" s="235"/>
      <c r="F266" s="242"/>
      <c r="G266" s="242"/>
      <c r="H266" s="235"/>
      <c r="I266" s="235"/>
      <c r="J266" s="182" t="str">
        <f>J265</f>
        <v>RSDGEO</v>
      </c>
      <c r="K266" s="235"/>
      <c r="L266" s="235" t="str">
        <f>$AA$11</f>
        <v>ACT</v>
      </c>
      <c r="M266" s="182" t="str">
        <f t="shared" si="67"/>
        <v/>
      </c>
      <c r="N266" s="182"/>
      <c r="O266" s="182"/>
      <c r="P266" s="183"/>
      <c r="Q266" s="183"/>
      <c r="R266" s="182"/>
      <c r="S266" s="182"/>
      <c r="T266" s="182"/>
      <c r="U266" s="182"/>
      <c r="V266" s="182">
        <f t="shared" si="53"/>
        <v>1</v>
      </c>
      <c r="W266" s="236"/>
    </row>
    <row r="267" spans="1:23" x14ac:dyDescent="0.3">
      <c r="A267" s="316"/>
      <c r="B267" s="235"/>
      <c r="C267" s="318"/>
      <c r="D267" s="235"/>
      <c r="E267" s="235"/>
      <c r="F267" s="242"/>
      <c r="G267" s="242"/>
      <c r="H267" s="235"/>
      <c r="I267" s="235"/>
      <c r="J267" s="182" t="str">
        <f>J266</f>
        <v>RSDGEO</v>
      </c>
      <c r="K267" s="235"/>
      <c r="L267" s="235" t="str">
        <f t="shared" ref="L267" si="70">I265</f>
        <v>RSDELC</v>
      </c>
      <c r="M267" s="182" t="str">
        <f t="shared" si="67"/>
        <v/>
      </c>
      <c r="N267" s="182"/>
      <c r="O267" s="182"/>
      <c r="P267" s="183"/>
      <c r="Q267" s="183"/>
      <c r="R267" s="182"/>
      <c r="S267" s="182"/>
      <c r="T267" s="182"/>
      <c r="U267" s="182"/>
      <c r="V267" s="182">
        <f t="shared" si="53"/>
        <v>-1</v>
      </c>
      <c r="W267" s="236"/>
    </row>
    <row r="268" spans="1:23" x14ac:dyDescent="0.3">
      <c r="A268" s="316"/>
      <c r="B268" s="235" t="str">
        <f>'RSD (DEA)'!AJ156&amp;"_"&amp;'RSD (DEA)'!Z156</f>
        <v>RHHSC_HP_ELC_07</v>
      </c>
      <c r="C268" s="318"/>
      <c r="D268" s="235" t="str">
        <f t="shared" si="69"/>
        <v>RHHSC_HP_ELC_07</v>
      </c>
      <c r="E268" s="235" t="str">
        <f>'RSD (DEA)'!Q156</f>
        <v>Electric heat pumps</v>
      </c>
      <c r="F268" s="242" t="s">
        <v>239</v>
      </c>
      <c r="G268" s="242" t="s">
        <v>240</v>
      </c>
      <c r="H268" s="235">
        <f>'RSD (DEA)'!S156</f>
        <v>10</v>
      </c>
      <c r="I268" s="235" t="str">
        <f>IF(OR(RIGHT('RSD (DEA)'!AH156,3)="BIO",RIGHT(AD268,3)="BOA"),LEFT('RSD (DEA)'!AH156,3)&amp;"BFW",'RSD (DEA)'!AH156)</f>
        <v>RSDELC</v>
      </c>
      <c r="J268" s="182" t="str">
        <f>'RSD (DEA)'!AI156</f>
        <v>RSDGEO</v>
      </c>
      <c r="K268" s="235" t="str">
        <f>'RSD (DEA)'!AJ156</f>
        <v>RHHSC</v>
      </c>
      <c r="L268" s="235"/>
      <c r="M268" s="182">
        <f t="shared" si="67"/>
        <v>2019</v>
      </c>
      <c r="N268" s="182">
        <f>'RSD (DEA)'!X156</f>
        <v>2030</v>
      </c>
      <c r="O268" s="182">
        <f>IF(N268&lt;2019,2019,N268)</f>
        <v>2030</v>
      </c>
      <c r="P268" s="183">
        <f>'RSD (DEA)'!AZ156</f>
        <v>3.8</v>
      </c>
      <c r="Q268" s="183">
        <f>'RSD (DEA)'!BA156</f>
        <v>3.9</v>
      </c>
      <c r="R268" s="182">
        <f>'RSD (DEA)'!BR156/'RSD (DEA)'!S156</f>
        <v>25.5</v>
      </c>
      <c r="S268" s="182">
        <f>'RSD (DEA)'!BS156/X_RSD_HeatingDemand!$AA$8</f>
        <v>0</v>
      </c>
      <c r="T268" s="182">
        <f>'RSD (DEA)'!BK156*X_RSD_HeatingDemand!$AA$9/'RSD (DEA)'!S156</f>
        <v>1400</v>
      </c>
      <c r="U268" s="182">
        <f>'RSD (DEA)'!BI156</f>
        <v>20</v>
      </c>
      <c r="V268" s="182" t="str">
        <f t="shared" si="53"/>
        <v/>
      </c>
      <c r="W268" s="236">
        <f>'RSD (DEA)'!AM156</f>
        <v>31.536000000000001</v>
      </c>
    </row>
    <row r="269" spans="1:23" x14ac:dyDescent="0.3">
      <c r="A269" s="316"/>
      <c r="B269" s="235"/>
      <c r="C269" s="318"/>
      <c r="D269" s="235"/>
      <c r="E269" s="235"/>
      <c r="F269" s="242"/>
      <c r="G269" s="242"/>
      <c r="H269" s="235"/>
      <c r="I269" s="235"/>
      <c r="J269" s="182" t="str">
        <f>J268</f>
        <v>RSDGEO</v>
      </c>
      <c r="K269" s="235"/>
      <c r="L269" s="235" t="str">
        <f>$AA$11</f>
        <v>ACT</v>
      </c>
      <c r="M269" s="182" t="str">
        <f t="shared" si="67"/>
        <v/>
      </c>
      <c r="N269" s="182"/>
      <c r="O269" s="182"/>
      <c r="P269" s="183"/>
      <c r="Q269" s="183"/>
      <c r="R269" s="182"/>
      <c r="S269" s="182"/>
      <c r="T269" s="182"/>
      <c r="U269" s="182"/>
      <c r="V269" s="182">
        <f t="shared" si="53"/>
        <v>1</v>
      </c>
      <c r="W269" s="236"/>
    </row>
    <row r="270" spans="1:23" x14ac:dyDescent="0.3">
      <c r="A270" s="316"/>
      <c r="B270" s="235"/>
      <c r="C270" s="318"/>
      <c r="D270" s="235"/>
      <c r="E270" s="235"/>
      <c r="F270" s="242"/>
      <c r="G270" s="242"/>
      <c r="H270" s="235"/>
      <c r="I270" s="235"/>
      <c r="J270" s="182" t="str">
        <f>J269</f>
        <v>RSDGEO</v>
      </c>
      <c r="K270" s="235"/>
      <c r="L270" s="235" t="str">
        <f t="shared" ref="L270" si="71">I268</f>
        <v>RSDELC</v>
      </c>
      <c r="M270" s="182" t="str">
        <f t="shared" si="67"/>
        <v/>
      </c>
      <c r="N270" s="182"/>
      <c r="O270" s="182"/>
      <c r="P270" s="183"/>
      <c r="Q270" s="183"/>
      <c r="R270" s="182"/>
      <c r="S270" s="182"/>
      <c r="T270" s="182"/>
      <c r="U270" s="182"/>
      <c r="V270" s="182">
        <f t="shared" si="53"/>
        <v>-1</v>
      </c>
      <c r="W270" s="236"/>
    </row>
    <row r="271" spans="1:23" x14ac:dyDescent="0.3">
      <c r="A271" s="316"/>
      <c r="B271" s="235" t="str">
        <f>'RSD (DEA)'!AJ157&amp;"_"&amp;'RSD (DEA)'!Z157</f>
        <v>RHHSC_HP_ELC_07</v>
      </c>
      <c r="C271" s="318"/>
      <c r="D271" s="235" t="str">
        <f t="shared" si="69"/>
        <v>RHHSC_HP_ELC_07</v>
      </c>
      <c r="E271" s="235" t="str">
        <f>'RSD (DEA)'!Q157</f>
        <v>Electric heat pumps</v>
      </c>
      <c r="F271" s="242" t="s">
        <v>239</v>
      </c>
      <c r="G271" s="242" t="s">
        <v>240</v>
      </c>
      <c r="H271" s="235">
        <f>'RSD (DEA)'!S157</f>
        <v>10</v>
      </c>
      <c r="I271" s="235" t="str">
        <f>IF(OR(RIGHT('RSD (DEA)'!AH157,3)="BIO",RIGHT(AD271,3)="BOA"),LEFT('RSD (DEA)'!AH157,3)&amp;"BFW",'RSD (DEA)'!AH157)</f>
        <v>RSDELC</v>
      </c>
      <c r="J271" s="182" t="str">
        <f>'RSD (DEA)'!AI157</f>
        <v>RSDGEO</v>
      </c>
      <c r="K271" s="235" t="str">
        <f>'RSD (DEA)'!AJ157</f>
        <v>RHHSC</v>
      </c>
      <c r="L271" s="235"/>
      <c r="M271" s="182">
        <f t="shared" si="67"/>
        <v>2019</v>
      </c>
      <c r="N271" s="182">
        <f>'RSD (DEA)'!X157</f>
        <v>2050</v>
      </c>
      <c r="O271" s="182">
        <f>IF(N271&lt;2019,2019,N271)</f>
        <v>2050</v>
      </c>
      <c r="P271" s="183">
        <f>'RSD (DEA)'!AZ157</f>
        <v>3.95</v>
      </c>
      <c r="Q271" s="183">
        <f>'RSD (DEA)'!BA157</f>
        <v>4.05</v>
      </c>
      <c r="R271" s="182">
        <f>'RSD (DEA)'!BR157/'RSD (DEA)'!S157</f>
        <v>23.9</v>
      </c>
      <c r="S271" s="182">
        <f>'RSD (DEA)'!BS157/X_RSD_HeatingDemand!$AA$8</f>
        <v>0</v>
      </c>
      <c r="T271" s="182">
        <f>'RSD (DEA)'!BK157*X_RSD_HeatingDemand!$AA$9/'RSD (DEA)'!S157</f>
        <v>1200</v>
      </c>
      <c r="U271" s="182">
        <f>'RSD (DEA)'!BI157</f>
        <v>20</v>
      </c>
      <c r="V271" s="182" t="str">
        <f t="shared" si="53"/>
        <v/>
      </c>
      <c r="W271" s="236">
        <f>'RSD (DEA)'!AM157</f>
        <v>31.536000000000001</v>
      </c>
    </row>
    <row r="272" spans="1:23" x14ac:dyDescent="0.3">
      <c r="A272" s="316"/>
      <c r="B272" s="235"/>
      <c r="C272" s="318"/>
      <c r="D272" s="235"/>
      <c r="E272" s="235"/>
      <c r="F272" s="242"/>
      <c r="G272" s="242"/>
      <c r="H272" s="235"/>
      <c r="I272" s="235"/>
      <c r="J272" s="182" t="str">
        <f>J271</f>
        <v>RSDGEO</v>
      </c>
      <c r="K272" s="235"/>
      <c r="L272" s="235" t="str">
        <f>$AA$11</f>
        <v>ACT</v>
      </c>
      <c r="M272" s="182" t="str">
        <f t="shared" si="67"/>
        <v/>
      </c>
      <c r="N272" s="182"/>
      <c r="O272" s="182"/>
      <c r="P272" s="183"/>
      <c r="Q272" s="183"/>
      <c r="R272" s="182"/>
      <c r="S272" s="182"/>
      <c r="T272" s="182"/>
      <c r="U272" s="182"/>
      <c r="V272" s="182">
        <f t="shared" si="53"/>
        <v>1</v>
      </c>
      <c r="W272" s="236"/>
    </row>
    <row r="273" spans="1:23" x14ac:dyDescent="0.3">
      <c r="A273" s="316"/>
      <c r="B273" s="235"/>
      <c r="C273" s="318"/>
      <c r="D273" s="235"/>
      <c r="E273" s="235"/>
      <c r="F273" s="242"/>
      <c r="G273" s="242"/>
      <c r="H273" s="235"/>
      <c r="I273" s="235"/>
      <c r="J273" s="182" t="str">
        <f>J272</f>
        <v>RSDGEO</v>
      </c>
      <c r="K273" s="235"/>
      <c r="L273" s="235" t="str">
        <f t="shared" ref="L273" si="72">I271</f>
        <v>RSDELC</v>
      </c>
      <c r="M273" s="182" t="str">
        <f t="shared" si="67"/>
        <v/>
      </c>
      <c r="N273" s="182"/>
      <c r="O273" s="182"/>
      <c r="P273" s="183"/>
      <c r="Q273" s="183"/>
      <c r="R273" s="182"/>
      <c r="S273" s="182"/>
      <c r="T273" s="182"/>
      <c r="U273" s="182"/>
      <c r="V273" s="182">
        <f t="shared" si="53"/>
        <v>-1</v>
      </c>
      <c r="W273" s="236"/>
    </row>
    <row r="274" spans="1:23" x14ac:dyDescent="0.3">
      <c r="A274" s="316"/>
      <c r="B274" s="235" t="str">
        <f>'RSD (DEA)'!AJ158&amp;"_"&amp;'RSD (DEA)'!Z158</f>
        <v>RHHSA_HP_ELC_08</v>
      </c>
      <c r="C274" s="318"/>
      <c r="D274" s="235" t="str">
        <f t="shared" si="69"/>
        <v>RHHSA_HP_ELC_08</v>
      </c>
      <c r="E274" s="235" t="str">
        <f>'RSD (DEA)'!Q158</f>
        <v>Electric heat pumps</v>
      </c>
      <c r="F274" s="242" t="s">
        <v>239</v>
      </c>
      <c r="G274" s="242" t="s">
        <v>240</v>
      </c>
      <c r="H274" s="235">
        <f>'RSD (DEA)'!S158</f>
        <v>4</v>
      </c>
      <c r="I274" s="235" t="str">
        <f>IF(OR(RIGHT('RSD (DEA)'!AH158,3)="BIO",RIGHT(AD274,3)="BOA"),LEFT('RSD (DEA)'!AH158,3)&amp;"BFW",'RSD (DEA)'!AH158)</f>
        <v>RSDELC</v>
      </c>
      <c r="J274" s="182" t="str">
        <f>'RSD (DEA)'!AI158</f>
        <v>RSDGEO</v>
      </c>
      <c r="K274" s="235" t="str">
        <f>'RSD (DEA)'!AJ158</f>
        <v>RHHSA</v>
      </c>
      <c r="L274" s="235"/>
      <c r="M274" s="182">
        <f t="shared" si="67"/>
        <v>2019</v>
      </c>
      <c r="N274" s="182">
        <f>'RSD (DEA)'!X158</f>
        <v>2015</v>
      </c>
      <c r="O274" s="182">
        <f>IF(N274&lt;2019,2019,N274)</f>
        <v>2019</v>
      </c>
      <c r="P274" s="183">
        <f>'RSD (DEA)'!AZ158</f>
        <v>2.95</v>
      </c>
      <c r="Q274" s="183">
        <f>'RSD (DEA)'!BA158</f>
        <v>3.1</v>
      </c>
      <c r="R274" s="182">
        <f>'RSD (DEA)'!BR158/'RSD (DEA)'!S158</f>
        <v>72.75</v>
      </c>
      <c r="S274" s="182">
        <f>'RSD (DEA)'!BS158/X_RSD_HeatingDemand!$AA$8</f>
        <v>0</v>
      </c>
      <c r="T274" s="182">
        <f>'RSD (DEA)'!BK158*X_RSD_HeatingDemand!$AA$9/'RSD (DEA)'!S158</f>
        <v>3000</v>
      </c>
      <c r="U274" s="182">
        <f>'RSD (DEA)'!BI158</f>
        <v>20</v>
      </c>
      <c r="V274" s="182" t="str">
        <f t="shared" si="53"/>
        <v/>
      </c>
      <c r="W274" s="236">
        <f>'RSD (DEA)'!AM158</f>
        <v>31.536000000000001</v>
      </c>
    </row>
    <row r="275" spans="1:23" x14ac:dyDescent="0.3">
      <c r="A275" s="316"/>
      <c r="B275" s="235"/>
      <c r="C275" s="318"/>
      <c r="D275" s="235"/>
      <c r="E275" s="235"/>
      <c r="F275" s="242"/>
      <c r="G275" s="242"/>
      <c r="H275" s="235"/>
      <c r="I275" s="235"/>
      <c r="J275" s="182" t="str">
        <f>J274</f>
        <v>RSDGEO</v>
      </c>
      <c r="K275" s="235"/>
      <c r="L275" s="235" t="str">
        <f>$AA$11</f>
        <v>ACT</v>
      </c>
      <c r="M275" s="182" t="str">
        <f t="shared" si="67"/>
        <v/>
      </c>
      <c r="N275" s="182"/>
      <c r="O275" s="182"/>
      <c r="P275" s="183"/>
      <c r="Q275" s="183"/>
      <c r="R275" s="182"/>
      <c r="S275" s="182"/>
      <c r="T275" s="182"/>
      <c r="U275" s="182"/>
      <c r="V275" s="182">
        <f t="shared" si="53"/>
        <v>1</v>
      </c>
      <c r="W275" s="236"/>
    </row>
    <row r="276" spans="1:23" x14ac:dyDescent="0.3">
      <c r="A276" s="316"/>
      <c r="B276" s="235"/>
      <c r="C276" s="318"/>
      <c r="D276" s="235"/>
      <c r="E276" s="235"/>
      <c r="F276" s="242"/>
      <c r="G276" s="242"/>
      <c r="H276" s="235"/>
      <c r="I276" s="235"/>
      <c r="J276" s="182" t="str">
        <f>J275</f>
        <v>RSDGEO</v>
      </c>
      <c r="K276" s="235"/>
      <c r="L276" s="235" t="str">
        <f t="shared" ref="L276" si="73">I274</f>
        <v>RSDELC</v>
      </c>
      <c r="M276" s="182" t="str">
        <f t="shared" si="67"/>
        <v/>
      </c>
      <c r="N276" s="182"/>
      <c r="O276" s="182"/>
      <c r="P276" s="183"/>
      <c r="Q276" s="183"/>
      <c r="R276" s="182"/>
      <c r="S276" s="182"/>
      <c r="T276" s="182"/>
      <c r="U276" s="182"/>
      <c r="V276" s="182">
        <f t="shared" si="53"/>
        <v>-1</v>
      </c>
      <c r="W276" s="236"/>
    </row>
    <row r="277" spans="1:23" x14ac:dyDescent="0.3">
      <c r="A277" s="316"/>
      <c r="B277" s="235" t="str">
        <f>'RSD (DEA)'!AJ159&amp;"_"&amp;'RSD (DEA)'!Z159</f>
        <v>RHHSA_HP_ELC_08</v>
      </c>
      <c r="C277" s="318"/>
      <c r="D277" s="235" t="str">
        <f t="shared" si="69"/>
        <v>RHHSA_HP_ELC_08</v>
      </c>
      <c r="E277" s="235" t="str">
        <f>'RSD (DEA)'!Q159</f>
        <v>Electric heat pumps</v>
      </c>
      <c r="F277" s="242" t="s">
        <v>239</v>
      </c>
      <c r="G277" s="242" t="s">
        <v>240</v>
      </c>
      <c r="H277" s="235">
        <f>'RSD (DEA)'!S159</f>
        <v>4</v>
      </c>
      <c r="I277" s="235" t="str">
        <f>IF(OR(RIGHT('RSD (DEA)'!AH159,3)="BIO",RIGHT(AD277,3)="BOA"),LEFT('RSD (DEA)'!AH159,3)&amp;"BFW",'RSD (DEA)'!AH159)</f>
        <v>RSDELC</v>
      </c>
      <c r="J277" s="182" t="str">
        <f>'RSD (DEA)'!AI159</f>
        <v>RSDGEO</v>
      </c>
      <c r="K277" s="235" t="str">
        <f>'RSD (DEA)'!AJ159</f>
        <v>RHHSA</v>
      </c>
      <c r="L277" s="235"/>
      <c r="M277" s="182">
        <f t="shared" si="67"/>
        <v>2019</v>
      </c>
      <c r="N277" s="182">
        <f>'RSD (DEA)'!X159</f>
        <v>2020</v>
      </c>
      <c r="O277" s="182">
        <f>IF(N277&lt;2019,2019,N277)</f>
        <v>2020</v>
      </c>
      <c r="P277" s="183">
        <f>'RSD (DEA)'!AZ159</f>
        <v>3.05</v>
      </c>
      <c r="Q277" s="183">
        <f>'RSD (DEA)'!BA159</f>
        <v>3.2</v>
      </c>
      <c r="R277" s="182">
        <f>'RSD (DEA)'!BR159/'RSD (DEA)'!S159</f>
        <v>69.5</v>
      </c>
      <c r="S277" s="182">
        <f>'RSD (DEA)'!BS159/X_RSD_HeatingDemand!$AA$8</f>
        <v>0</v>
      </c>
      <c r="T277" s="182">
        <f>'RSD (DEA)'!BK159*X_RSD_HeatingDemand!$AA$9/'RSD (DEA)'!S159</f>
        <v>2750</v>
      </c>
      <c r="U277" s="182">
        <f>'RSD (DEA)'!BI159</f>
        <v>20</v>
      </c>
      <c r="V277" s="182" t="str">
        <f t="shared" si="53"/>
        <v/>
      </c>
      <c r="W277" s="236">
        <f>'RSD (DEA)'!AM159</f>
        <v>31.536000000000001</v>
      </c>
    </row>
    <row r="278" spans="1:23" x14ac:dyDescent="0.3">
      <c r="A278" s="316"/>
      <c r="B278" s="235"/>
      <c r="C278" s="318"/>
      <c r="D278" s="235"/>
      <c r="E278" s="235"/>
      <c r="F278" s="242"/>
      <c r="G278" s="242"/>
      <c r="H278" s="235"/>
      <c r="I278" s="235"/>
      <c r="J278" s="182" t="str">
        <f>J277</f>
        <v>RSDGEO</v>
      </c>
      <c r="K278" s="235"/>
      <c r="L278" s="235" t="str">
        <f>$AA$11</f>
        <v>ACT</v>
      </c>
      <c r="M278" s="182" t="str">
        <f t="shared" si="67"/>
        <v/>
      </c>
      <c r="N278" s="182"/>
      <c r="O278" s="182"/>
      <c r="P278" s="183"/>
      <c r="Q278" s="183"/>
      <c r="R278" s="182"/>
      <c r="S278" s="182"/>
      <c r="T278" s="182"/>
      <c r="U278" s="182"/>
      <c r="V278" s="182">
        <f t="shared" si="53"/>
        <v>1</v>
      </c>
      <c r="W278" s="236"/>
    </row>
    <row r="279" spans="1:23" x14ac:dyDescent="0.3">
      <c r="A279" s="316"/>
      <c r="B279" s="235"/>
      <c r="C279" s="318"/>
      <c r="D279" s="235"/>
      <c r="E279" s="235"/>
      <c r="F279" s="242"/>
      <c r="G279" s="242"/>
      <c r="H279" s="235"/>
      <c r="I279" s="235"/>
      <c r="J279" s="182" t="str">
        <f>J278</f>
        <v>RSDGEO</v>
      </c>
      <c r="K279" s="235"/>
      <c r="L279" s="235" t="str">
        <f t="shared" ref="L279" si="74">I277</f>
        <v>RSDELC</v>
      </c>
      <c r="M279" s="182" t="str">
        <f t="shared" si="67"/>
        <v/>
      </c>
      <c r="N279" s="182"/>
      <c r="O279" s="182"/>
      <c r="P279" s="183"/>
      <c r="Q279" s="183"/>
      <c r="R279" s="182"/>
      <c r="S279" s="182"/>
      <c r="T279" s="182"/>
      <c r="U279" s="182"/>
      <c r="V279" s="182">
        <f t="shared" si="53"/>
        <v>-1</v>
      </c>
      <c r="W279" s="236"/>
    </row>
    <row r="280" spans="1:23" x14ac:dyDescent="0.3">
      <c r="A280" s="316"/>
      <c r="B280" s="235" t="str">
        <f>'RSD (DEA)'!AJ160&amp;"_"&amp;'RSD (DEA)'!Z160</f>
        <v>RHHSA_HP_ELC_08</v>
      </c>
      <c r="C280" s="318"/>
      <c r="D280" s="235" t="str">
        <f t="shared" si="69"/>
        <v>RHHSA_HP_ELC_08</v>
      </c>
      <c r="E280" s="235" t="str">
        <f>'RSD (DEA)'!Q160</f>
        <v>Electric heat pumps</v>
      </c>
      <c r="F280" s="242" t="s">
        <v>239</v>
      </c>
      <c r="G280" s="242" t="s">
        <v>240</v>
      </c>
      <c r="H280" s="235">
        <f>'RSD (DEA)'!S160</f>
        <v>4</v>
      </c>
      <c r="I280" s="235" t="str">
        <f>IF(OR(RIGHT('RSD (DEA)'!AH160,3)="BIO",RIGHT(AD280,3)="BOA"),LEFT('RSD (DEA)'!AH160,3)&amp;"BFW",'RSD (DEA)'!AH160)</f>
        <v>RSDELC</v>
      </c>
      <c r="J280" s="182" t="str">
        <f>'RSD (DEA)'!AI160</f>
        <v>RSDGEO</v>
      </c>
      <c r="K280" s="235" t="str">
        <f>'RSD (DEA)'!AJ160</f>
        <v>RHHSA</v>
      </c>
      <c r="L280" s="235"/>
      <c r="M280" s="182">
        <f t="shared" si="67"/>
        <v>2019</v>
      </c>
      <c r="N280" s="182">
        <f>'RSD (DEA)'!X160</f>
        <v>2030</v>
      </c>
      <c r="O280" s="182">
        <f>IF(N280&lt;2019,2019,N280)</f>
        <v>2030</v>
      </c>
      <c r="P280" s="183">
        <f>'RSD (DEA)'!AZ160</f>
        <v>3.15</v>
      </c>
      <c r="Q280" s="183">
        <f>'RSD (DEA)'!BA160</f>
        <v>3.3</v>
      </c>
      <c r="R280" s="182">
        <f>'RSD (DEA)'!BR160/'RSD (DEA)'!S160</f>
        <v>63.75</v>
      </c>
      <c r="S280" s="182">
        <f>'RSD (DEA)'!BS160/X_RSD_HeatingDemand!$AA$8</f>
        <v>0</v>
      </c>
      <c r="T280" s="182">
        <f>'RSD (DEA)'!BK160*X_RSD_HeatingDemand!$AA$9/'RSD (DEA)'!S160</f>
        <v>2500</v>
      </c>
      <c r="U280" s="182">
        <f>'RSD (DEA)'!BI160</f>
        <v>20</v>
      </c>
      <c r="V280" s="182" t="str">
        <f t="shared" si="53"/>
        <v/>
      </c>
      <c r="W280" s="236">
        <f>'RSD (DEA)'!AM160</f>
        <v>31.536000000000001</v>
      </c>
    </row>
    <row r="281" spans="1:23" x14ac:dyDescent="0.3">
      <c r="A281" s="316"/>
      <c r="B281" s="235"/>
      <c r="C281" s="318"/>
      <c r="D281" s="235"/>
      <c r="E281" s="235"/>
      <c r="F281" s="242"/>
      <c r="G281" s="242"/>
      <c r="H281" s="235"/>
      <c r="I281" s="235"/>
      <c r="J281" s="182" t="str">
        <f>J280</f>
        <v>RSDGEO</v>
      </c>
      <c r="K281" s="235"/>
      <c r="L281" s="235" t="str">
        <f>$AA$11</f>
        <v>ACT</v>
      </c>
      <c r="M281" s="182" t="str">
        <f t="shared" si="67"/>
        <v/>
      </c>
      <c r="N281" s="182"/>
      <c r="O281" s="182"/>
      <c r="P281" s="183"/>
      <c r="Q281" s="183"/>
      <c r="R281" s="182"/>
      <c r="S281" s="182"/>
      <c r="T281" s="182"/>
      <c r="U281" s="182"/>
      <c r="V281" s="182">
        <f t="shared" si="53"/>
        <v>1</v>
      </c>
      <c r="W281" s="236"/>
    </row>
    <row r="282" spans="1:23" x14ac:dyDescent="0.3">
      <c r="A282" s="316"/>
      <c r="B282" s="235"/>
      <c r="C282" s="318"/>
      <c r="D282" s="235"/>
      <c r="E282" s="235"/>
      <c r="F282" s="242"/>
      <c r="G282" s="242"/>
      <c r="H282" s="235"/>
      <c r="I282" s="235"/>
      <c r="J282" s="182" t="str">
        <f>J281</f>
        <v>RSDGEO</v>
      </c>
      <c r="K282" s="235"/>
      <c r="L282" s="235" t="str">
        <f t="shared" ref="L282" si="75">I280</f>
        <v>RSDELC</v>
      </c>
      <c r="M282" s="182" t="str">
        <f t="shared" si="67"/>
        <v/>
      </c>
      <c r="N282" s="182"/>
      <c r="O282" s="182"/>
      <c r="P282" s="183"/>
      <c r="Q282" s="183"/>
      <c r="R282" s="182"/>
      <c r="S282" s="182"/>
      <c r="T282" s="182"/>
      <c r="U282" s="182"/>
      <c r="V282" s="182">
        <f t="shared" si="53"/>
        <v>-1</v>
      </c>
      <c r="W282" s="236"/>
    </row>
    <row r="283" spans="1:23" x14ac:dyDescent="0.3">
      <c r="A283" s="316"/>
      <c r="B283" s="235" t="str">
        <f>'RSD (DEA)'!AJ161&amp;"_"&amp;'RSD (DEA)'!Z161</f>
        <v>RHHSA_HP_ELC_08</v>
      </c>
      <c r="C283" s="318"/>
      <c r="D283" s="235" t="str">
        <f t="shared" si="69"/>
        <v>RHHSA_HP_ELC_08</v>
      </c>
      <c r="E283" s="235" t="str">
        <f>'RSD (DEA)'!Q161</f>
        <v>Electric heat pumps</v>
      </c>
      <c r="F283" s="242" t="s">
        <v>239</v>
      </c>
      <c r="G283" s="242" t="s">
        <v>240</v>
      </c>
      <c r="H283" s="235">
        <f>'RSD (DEA)'!S161</f>
        <v>4</v>
      </c>
      <c r="I283" s="235" t="str">
        <f>IF(OR(RIGHT('RSD (DEA)'!AH161,3)="BIO",RIGHT(AD283,3)="BOA"),LEFT('RSD (DEA)'!AH161,3)&amp;"BFW",'RSD (DEA)'!AH161)</f>
        <v>RSDELC</v>
      </c>
      <c r="J283" s="182" t="str">
        <f>'RSD (DEA)'!AI161</f>
        <v>RSDGEO</v>
      </c>
      <c r="K283" s="235" t="str">
        <f>'RSD (DEA)'!AJ161</f>
        <v>RHHSA</v>
      </c>
      <c r="L283" s="235"/>
      <c r="M283" s="182">
        <f t="shared" si="67"/>
        <v>2019</v>
      </c>
      <c r="N283" s="182">
        <f>'RSD (DEA)'!X161</f>
        <v>2050</v>
      </c>
      <c r="O283" s="182">
        <f>IF(N283&lt;2019,2019,N283)</f>
        <v>2050</v>
      </c>
      <c r="P283" s="183">
        <f>'RSD (DEA)'!AZ161</f>
        <v>3.3</v>
      </c>
      <c r="Q283" s="183">
        <f>'RSD (DEA)'!BA161</f>
        <v>3.45</v>
      </c>
      <c r="R283" s="182">
        <f>'RSD (DEA)'!BR161/'RSD (DEA)'!S161</f>
        <v>59.75</v>
      </c>
      <c r="S283" s="182">
        <f>'RSD (DEA)'!BS161/X_RSD_HeatingDemand!$AA$8</f>
        <v>0</v>
      </c>
      <c r="T283" s="182">
        <f>'RSD (DEA)'!BK161*X_RSD_HeatingDemand!$AA$9/'RSD (DEA)'!S161</f>
        <v>2250</v>
      </c>
      <c r="U283" s="182">
        <f>'RSD (DEA)'!BI161</f>
        <v>20</v>
      </c>
      <c r="V283" s="182" t="str">
        <f t="shared" si="53"/>
        <v/>
      </c>
      <c r="W283" s="236">
        <f>'RSD (DEA)'!AM161</f>
        <v>31.536000000000001</v>
      </c>
    </row>
    <row r="284" spans="1:23" x14ac:dyDescent="0.3">
      <c r="A284" s="316"/>
      <c r="B284" s="235"/>
      <c r="C284" s="318"/>
      <c r="D284" s="235"/>
      <c r="E284" s="235"/>
      <c r="F284" s="242"/>
      <c r="G284" s="242"/>
      <c r="H284" s="235"/>
      <c r="I284" s="235"/>
      <c r="J284" s="182" t="str">
        <f>J283</f>
        <v>RSDGEO</v>
      </c>
      <c r="K284" s="235"/>
      <c r="L284" s="235" t="str">
        <f>$AA$11</f>
        <v>ACT</v>
      </c>
      <c r="M284" s="182" t="str">
        <f t="shared" si="67"/>
        <v/>
      </c>
      <c r="N284" s="182"/>
      <c r="O284" s="182"/>
      <c r="P284" s="183"/>
      <c r="Q284" s="183"/>
      <c r="R284" s="182"/>
      <c r="S284" s="182"/>
      <c r="T284" s="182"/>
      <c r="U284" s="182"/>
      <c r="V284" s="182">
        <f t="shared" si="53"/>
        <v>1</v>
      </c>
      <c r="W284" s="236"/>
    </row>
    <row r="285" spans="1:23" x14ac:dyDescent="0.3">
      <c r="A285" s="316"/>
      <c r="B285" s="235"/>
      <c r="C285" s="318"/>
      <c r="D285" s="235"/>
      <c r="E285" s="235"/>
      <c r="F285" s="242"/>
      <c r="G285" s="242"/>
      <c r="H285" s="235"/>
      <c r="I285" s="235"/>
      <c r="J285" s="182" t="str">
        <f>J284</f>
        <v>RSDGEO</v>
      </c>
      <c r="K285" s="235"/>
      <c r="L285" s="235" t="str">
        <f t="shared" ref="L285" si="76">I283</f>
        <v>RSDELC</v>
      </c>
      <c r="M285" s="182" t="str">
        <f t="shared" si="67"/>
        <v/>
      </c>
      <c r="N285" s="182"/>
      <c r="O285" s="182"/>
      <c r="P285" s="183"/>
      <c r="Q285" s="183"/>
      <c r="R285" s="182"/>
      <c r="S285" s="182"/>
      <c r="T285" s="182"/>
      <c r="U285" s="182"/>
      <c r="V285" s="182">
        <f t="shared" si="53"/>
        <v>-1</v>
      </c>
      <c r="W285" s="236"/>
    </row>
    <row r="286" spans="1:23" x14ac:dyDescent="0.3">
      <c r="A286" s="316"/>
      <c r="B286" s="235" t="str">
        <f>'RSD (DEA)'!AJ162&amp;"_"&amp;'RSD (DEA)'!Z162</f>
        <v>RHAPC_HP_ELC_09</v>
      </c>
      <c r="C286" s="318"/>
      <c r="D286" s="235" t="str">
        <f t="shared" si="69"/>
        <v>RHAPC_HP_ELC_09</v>
      </c>
      <c r="E286" s="235" t="str">
        <f>'RSD (DEA)'!Q162</f>
        <v>Electric heat pumps</v>
      </c>
      <c r="F286" s="242" t="s">
        <v>239</v>
      </c>
      <c r="G286" s="242" t="s">
        <v>240</v>
      </c>
      <c r="H286" s="235">
        <f>'RSD (DEA)'!S162</f>
        <v>400</v>
      </c>
      <c r="I286" s="235" t="str">
        <f>IF(OR(RIGHT('RSD (DEA)'!AH162,3)="BIO",RIGHT(AD286,3)="BOA"),LEFT('RSD (DEA)'!AH162,3)&amp;"BFW",'RSD (DEA)'!AH162)</f>
        <v>RSDELC</v>
      </c>
      <c r="J286" s="182" t="str">
        <f>'RSD (DEA)'!AI162</f>
        <v>RSDGEO</v>
      </c>
      <c r="K286" s="235" t="str">
        <f>'RSD (DEA)'!AJ162</f>
        <v>RHAPC</v>
      </c>
      <c r="L286" s="235"/>
      <c r="M286" s="182">
        <f t="shared" si="67"/>
        <v>2019</v>
      </c>
      <c r="N286" s="182">
        <f>'RSD (DEA)'!X162</f>
        <v>2015</v>
      </c>
      <c r="O286" s="182">
        <f>IF(N286&lt;2019,2019,N286)</f>
        <v>2019</v>
      </c>
      <c r="P286" s="183">
        <f>'RSD (DEA)'!AZ162</f>
        <v>4</v>
      </c>
      <c r="Q286" s="183">
        <f>'RSD (DEA)'!BA162</f>
        <v>4.2</v>
      </c>
      <c r="R286" s="182">
        <f>'RSD (DEA)'!BR162/'RSD (DEA)'!S162</f>
        <v>4.0999999999999996</v>
      </c>
      <c r="S286" s="182">
        <f>'RSD (DEA)'!BS162/X_RSD_HeatingDemand!$AA$8</f>
        <v>0.12291666666666666</v>
      </c>
      <c r="T286" s="182">
        <f>'RSD (DEA)'!BK162*X_RSD_HeatingDemand!$AA$9/'RSD (DEA)'!S162</f>
        <v>662.5</v>
      </c>
      <c r="U286" s="182">
        <f>'RSD (DEA)'!BI162</f>
        <v>20</v>
      </c>
      <c r="V286" s="182" t="str">
        <f t="shared" si="53"/>
        <v/>
      </c>
      <c r="W286" s="236">
        <f>'RSD (DEA)'!AM162</f>
        <v>31.536000000000001</v>
      </c>
    </row>
    <row r="287" spans="1:23" x14ac:dyDescent="0.3">
      <c r="A287" s="316"/>
      <c r="B287" s="235"/>
      <c r="C287" s="318"/>
      <c r="D287" s="235"/>
      <c r="E287" s="235"/>
      <c r="F287" s="242"/>
      <c r="G287" s="242"/>
      <c r="H287" s="235"/>
      <c r="I287" s="235"/>
      <c r="J287" s="182" t="str">
        <f>J286</f>
        <v>RSDGEO</v>
      </c>
      <c r="K287" s="235"/>
      <c r="L287" s="235" t="str">
        <f>$AA$11</f>
        <v>ACT</v>
      </c>
      <c r="M287" s="182" t="str">
        <f t="shared" si="67"/>
        <v/>
      </c>
      <c r="N287" s="182"/>
      <c r="O287" s="182"/>
      <c r="P287" s="183"/>
      <c r="Q287" s="183"/>
      <c r="R287" s="182"/>
      <c r="S287" s="182"/>
      <c r="T287" s="182"/>
      <c r="U287" s="182"/>
      <c r="V287" s="182">
        <f t="shared" ref="V287:V350" si="77">IF(L287="ACT",1,IF(LEFT(L287,3)="RSD",-1,""))</f>
        <v>1</v>
      </c>
      <c r="W287" s="236"/>
    </row>
    <row r="288" spans="1:23" x14ac:dyDescent="0.3">
      <c r="A288" s="316"/>
      <c r="B288" s="235"/>
      <c r="C288" s="318"/>
      <c r="D288" s="235"/>
      <c r="E288" s="235"/>
      <c r="F288" s="242"/>
      <c r="G288" s="242"/>
      <c r="H288" s="235"/>
      <c r="I288" s="235"/>
      <c r="J288" s="182" t="str">
        <f>J287</f>
        <v>RSDGEO</v>
      </c>
      <c r="K288" s="235"/>
      <c r="L288" s="235" t="str">
        <f t="shared" ref="L288" si="78">I286</f>
        <v>RSDELC</v>
      </c>
      <c r="M288" s="182" t="str">
        <f t="shared" si="67"/>
        <v/>
      </c>
      <c r="N288" s="182"/>
      <c r="O288" s="182"/>
      <c r="P288" s="183"/>
      <c r="Q288" s="183"/>
      <c r="R288" s="182"/>
      <c r="S288" s="182"/>
      <c r="T288" s="182"/>
      <c r="U288" s="182"/>
      <c r="V288" s="182">
        <f t="shared" si="77"/>
        <v>-1</v>
      </c>
      <c r="W288" s="236"/>
    </row>
    <row r="289" spans="1:23" x14ac:dyDescent="0.3">
      <c r="A289" s="316"/>
      <c r="B289" s="235" t="str">
        <f>'RSD (DEA)'!AJ163&amp;"_"&amp;'RSD (DEA)'!Z163</f>
        <v>RHAPC_HP_ELC_09</v>
      </c>
      <c r="C289" s="318"/>
      <c r="D289" s="235" t="str">
        <f t="shared" si="69"/>
        <v>RHAPC_HP_ELC_09</v>
      </c>
      <c r="E289" s="235" t="str">
        <f>'RSD (DEA)'!Q163</f>
        <v>Electric heat pumps</v>
      </c>
      <c r="F289" s="242" t="s">
        <v>239</v>
      </c>
      <c r="G289" s="242" t="s">
        <v>240</v>
      </c>
      <c r="H289" s="235">
        <f>'RSD (DEA)'!S163</f>
        <v>400</v>
      </c>
      <c r="I289" s="235" t="str">
        <f>IF(OR(RIGHT('RSD (DEA)'!AH163,3)="BIO",RIGHT(AD289,3)="BOA"),LEFT('RSD (DEA)'!AH163,3)&amp;"BFW",'RSD (DEA)'!AH163)</f>
        <v>RSDELC</v>
      </c>
      <c r="J289" s="182" t="str">
        <f>'RSD (DEA)'!AI163</f>
        <v>RSDGEO</v>
      </c>
      <c r="K289" s="235" t="str">
        <f>'RSD (DEA)'!AJ163</f>
        <v>RHAPC</v>
      </c>
      <c r="L289" s="235"/>
      <c r="M289" s="182">
        <f t="shared" si="67"/>
        <v>2019</v>
      </c>
      <c r="N289" s="182">
        <f>'RSD (DEA)'!X163</f>
        <v>2020</v>
      </c>
      <c r="O289" s="182">
        <f>IF(N289&lt;2019,2019,N289)</f>
        <v>2020</v>
      </c>
      <c r="P289" s="183">
        <f>'RSD (DEA)'!AZ163</f>
        <v>4.0999999999999996</v>
      </c>
      <c r="Q289" s="183">
        <f>'RSD (DEA)'!BA163</f>
        <v>4.3</v>
      </c>
      <c r="R289" s="182">
        <f>'RSD (DEA)'!BR163/'RSD (DEA)'!S163</f>
        <v>4.125</v>
      </c>
      <c r="S289" s="182">
        <f>'RSD (DEA)'!BS163/X_RSD_HeatingDemand!$AA$8</f>
        <v>0.12291666666666666</v>
      </c>
      <c r="T289" s="182">
        <f>'RSD (DEA)'!BK163*X_RSD_HeatingDemand!$AA$9/'RSD (DEA)'!S163</f>
        <v>622.5</v>
      </c>
      <c r="U289" s="182">
        <f>'RSD (DEA)'!BI163</f>
        <v>20</v>
      </c>
      <c r="V289" s="182" t="str">
        <f t="shared" si="77"/>
        <v/>
      </c>
      <c r="W289" s="236">
        <f>'RSD (DEA)'!AM163</f>
        <v>31.536000000000001</v>
      </c>
    </row>
    <row r="290" spans="1:23" x14ac:dyDescent="0.3">
      <c r="A290" s="316"/>
      <c r="B290" s="235"/>
      <c r="C290" s="318"/>
      <c r="D290" s="235"/>
      <c r="E290" s="235"/>
      <c r="F290" s="242"/>
      <c r="G290" s="242"/>
      <c r="H290" s="235"/>
      <c r="I290" s="235"/>
      <c r="J290" s="182" t="str">
        <f>J289</f>
        <v>RSDGEO</v>
      </c>
      <c r="K290" s="235"/>
      <c r="L290" s="235" t="str">
        <f>$AA$11</f>
        <v>ACT</v>
      </c>
      <c r="M290" s="182" t="str">
        <f t="shared" si="67"/>
        <v/>
      </c>
      <c r="N290" s="182"/>
      <c r="O290" s="182"/>
      <c r="P290" s="183"/>
      <c r="Q290" s="183"/>
      <c r="R290" s="182"/>
      <c r="S290" s="182"/>
      <c r="T290" s="182"/>
      <c r="U290" s="182"/>
      <c r="V290" s="182">
        <f t="shared" si="77"/>
        <v>1</v>
      </c>
      <c r="W290" s="236"/>
    </row>
    <row r="291" spans="1:23" x14ac:dyDescent="0.3">
      <c r="A291" s="316"/>
      <c r="B291" s="235"/>
      <c r="C291" s="318"/>
      <c r="D291" s="235"/>
      <c r="E291" s="235"/>
      <c r="F291" s="242"/>
      <c r="G291" s="242"/>
      <c r="H291" s="235"/>
      <c r="I291" s="235"/>
      <c r="J291" s="182" t="str">
        <f>J290</f>
        <v>RSDGEO</v>
      </c>
      <c r="K291" s="235"/>
      <c r="L291" s="235" t="str">
        <f t="shared" ref="L291" si="79">I289</f>
        <v>RSDELC</v>
      </c>
      <c r="M291" s="182" t="str">
        <f t="shared" si="67"/>
        <v/>
      </c>
      <c r="N291" s="182"/>
      <c r="O291" s="182"/>
      <c r="P291" s="183"/>
      <c r="Q291" s="183"/>
      <c r="R291" s="182"/>
      <c r="S291" s="182"/>
      <c r="T291" s="182"/>
      <c r="U291" s="182"/>
      <c r="V291" s="182">
        <f t="shared" si="77"/>
        <v>-1</v>
      </c>
      <c r="W291" s="236"/>
    </row>
    <row r="292" spans="1:23" x14ac:dyDescent="0.3">
      <c r="A292" s="316"/>
      <c r="B292" s="235" t="str">
        <f>'RSD (DEA)'!AJ164&amp;"_"&amp;'RSD (DEA)'!Z164</f>
        <v>RHAPC_HP_ELC_09</v>
      </c>
      <c r="C292" s="318"/>
      <c r="D292" s="235" t="str">
        <f t="shared" si="69"/>
        <v>RHAPC_HP_ELC_09</v>
      </c>
      <c r="E292" s="235" t="str">
        <f>'RSD (DEA)'!Q164</f>
        <v>Electric heat pumps</v>
      </c>
      <c r="F292" s="242" t="s">
        <v>239</v>
      </c>
      <c r="G292" s="242" t="s">
        <v>240</v>
      </c>
      <c r="H292" s="235">
        <f>'RSD (DEA)'!S164</f>
        <v>400</v>
      </c>
      <c r="I292" s="235" t="str">
        <f>IF(OR(RIGHT('RSD (DEA)'!AH164,3)="BIO",RIGHT(AD292,3)="BOA"),LEFT('RSD (DEA)'!AH164,3)&amp;"BFW",'RSD (DEA)'!AH164)</f>
        <v>RSDELC</v>
      </c>
      <c r="J292" s="182" t="str">
        <f>'RSD (DEA)'!AI164</f>
        <v>RSDGEO</v>
      </c>
      <c r="K292" s="235" t="str">
        <f>'RSD (DEA)'!AJ164</f>
        <v>RHAPC</v>
      </c>
      <c r="L292" s="235"/>
      <c r="M292" s="182">
        <f t="shared" si="67"/>
        <v>2019</v>
      </c>
      <c r="N292" s="182">
        <f>'RSD (DEA)'!X164</f>
        <v>2030</v>
      </c>
      <c r="O292" s="182">
        <f>IF(N292&lt;2019,2019,N292)</f>
        <v>2030</v>
      </c>
      <c r="P292" s="183">
        <f>'RSD (DEA)'!AZ164</f>
        <v>4.2</v>
      </c>
      <c r="Q292" s="183">
        <f>'RSD (DEA)'!BA164</f>
        <v>4.4000000000000004</v>
      </c>
      <c r="R292" s="182">
        <f>'RSD (DEA)'!BR164/'RSD (DEA)'!S164</f>
        <v>4.665</v>
      </c>
      <c r="S292" s="182">
        <f>'RSD (DEA)'!BS164/X_RSD_HeatingDemand!$AA$8</f>
        <v>0.12291666666666666</v>
      </c>
      <c r="T292" s="182">
        <f>'RSD (DEA)'!BK164*X_RSD_HeatingDemand!$AA$9/'RSD (DEA)'!S164</f>
        <v>560</v>
      </c>
      <c r="U292" s="182">
        <f>'RSD (DEA)'!BI164</f>
        <v>20</v>
      </c>
      <c r="V292" s="182" t="str">
        <f t="shared" si="77"/>
        <v/>
      </c>
      <c r="W292" s="236">
        <f>'RSD (DEA)'!AM164</f>
        <v>31.536000000000001</v>
      </c>
    </row>
    <row r="293" spans="1:23" x14ac:dyDescent="0.3">
      <c r="A293" s="316"/>
      <c r="B293" s="235"/>
      <c r="C293" s="318"/>
      <c r="D293" s="235"/>
      <c r="E293" s="235"/>
      <c r="F293" s="242"/>
      <c r="G293" s="242"/>
      <c r="H293" s="235"/>
      <c r="I293" s="235"/>
      <c r="J293" s="182" t="str">
        <f>J292</f>
        <v>RSDGEO</v>
      </c>
      <c r="K293" s="235"/>
      <c r="L293" s="235" t="str">
        <f>$AA$11</f>
        <v>ACT</v>
      </c>
      <c r="M293" s="182" t="str">
        <f t="shared" si="67"/>
        <v/>
      </c>
      <c r="N293" s="182"/>
      <c r="O293" s="182"/>
      <c r="P293" s="183"/>
      <c r="Q293" s="183"/>
      <c r="R293" s="182"/>
      <c r="S293" s="182"/>
      <c r="T293" s="182"/>
      <c r="U293" s="182"/>
      <c r="V293" s="182">
        <f t="shared" si="77"/>
        <v>1</v>
      </c>
      <c r="W293" s="236"/>
    </row>
    <row r="294" spans="1:23" x14ac:dyDescent="0.3">
      <c r="A294" s="316"/>
      <c r="B294" s="235"/>
      <c r="C294" s="318"/>
      <c r="D294" s="235"/>
      <c r="E294" s="235"/>
      <c r="F294" s="242"/>
      <c r="G294" s="242"/>
      <c r="H294" s="235"/>
      <c r="I294" s="235"/>
      <c r="J294" s="182" t="str">
        <f>J293</f>
        <v>RSDGEO</v>
      </c>
      <c r="K294" s="235"/>
      <c r="L294" s="235" t="str">
        <f t="shared" ref="L294" si="80">I292</f>
        <v>RSDELC</v>
      </c>
      <c r="M294" s="182" t="str">
        <f t="shared" si="67"/>
        <v/>
      </c>
      <c r="N294" s="182"/>
      <c r="O294" s="182"/>
      <c r="P294" s="183"/>
      <c r="Q294" s="183"/>
      <c r="R294" s="182"/>
      <c r="S294" s="182"/>
      <c r="T294" s="182"/>
      <c r="U294" s="182"/>
      <c r="V294" s="182">
        <f t="shared" si="77"/>
        <v>-1</v>
      </c>
      <c r="W294" s="236"/>
    </row>
    <row r="295" spans="1:23" x14ac:dyDescent="0.3">
      <c r="A295" s="316"/>
      <c r="B295" s="235" t="str">
        <f>'RSD (DEA)'!AJ165&amp;"_"&amp;'RSD (DEA)'!Z165</f>
        <v>RHAPC_HP_ELC_09</v>
      </c>
      <c r="C295" s="318"/>
      <c r="D295" s="235" t="str">
        <f t="shared" si="69"/>
        <v>RHAPC_HP_ELC_09</v>
      </c>
      <c r="E295" s="235" t="str">
        <f>'RSD (DEA)'!Q165</f>
        <v>Electric heat pumps</v>
      </c>
      <c r="F295" s="242" t="s">
        <v>239</v>
      </c>
      <c r="G295" s="242" t="s">
        <v>240</v>
      </c>
      <c r="H295" s="235">
        <f>'RSD (DEA)'!S165</f>
        <v>400</v>
      </c>
      <c r="I295" s="235" t="str">
        <f>IF(OR(RIGHT('RSD (DEA)'!AH165,3)="BIO",RIGHT(AD295,3)="BOA"),LEFT('RSD (DEA)'!AH165,3)&amp;"BFW",'RSD (DEA)'!AH165)</f>
        <v>RSDELC</v>
      </c>
      <c r="J295" s="182" t="str">
        <f>'RSD (DEA)'!AI165</f>
        <v>RSDGEO</v>
      </c>
      <c r="K295" s="235" t="str">
        <f>'RSD (DEA)'!AJ165</f>
        <v>RHAPC</v>
      </c>
      <c r="L295" s="235"/>
      <c r="M295" s="182">
        <f t="shared" si="67"/>
        <v>2019</v>
      </c>
      <c r="N295" s="182">
        <f>'RSD (DEA)'!X165</f>
        <v>2050</v>
      </c>
      <c r="O295" s="182">
        <f>IF(N295&lt;2019,2019,N295)</f>
        <v>2050</v>
      </c>
      <c r="P295" s="183">
        <f>'RSD (DEA)'!AZ165</f>
        <v>4.4000000000000004</v>
      </c>
      <c r="Q295" s="183">
        <f>'RSD (DEA)'!BA165</f>
        <v>4.5999999999999996</v>
      </c>
      <c r="R295" s="182">
        <f>'RSD (DEA)'!BR165/'RSD (DEA)'!S165</f>
        <v>6.0274999999999999</v>
      </c>
      <c r="S295" s="182">
        <f>'RSD (DEA)'!BS165/X_RSD_HeatingDemand!$AA$8</f>
        <v>0.12291666666666666</v>
      </c>
      <c r="T295" s="182">
        <f>'RSD (DEA)'!BK165*X_RSD_HeatingDemand!$AA$9/'RSD (DEA)'!S165</f>
        <v>505</v>
      </c>
      <c r="U295" s="182">
        <f>'RSD (DEA)'!BI165</f>
        <v>20</v>
      </c>
      <c r="V295" s="182" t="str">
        <f t="shared" si="77"/>
        <v/>
      </c>
      <c r="W295" s="236">
        <f>'RSD (DEA)'!AM165</f>
        <v>31.536000000000001</v>
      </c>
    </row>
    <row r="296" spans="1:23" x14ac:dyDescent="0.3">
      <c r="A296" s="316"/>
      <c r="B296" s="235"/>
      <c r="C296" s="318"/>
      <c r="D296" s="235"/>
      <c r="E296" s="235"/>
      <c r="F296" s="242"/>
      <c r="G296" s="242"/>
      <c r="H296" s="235"/>
      <c r="I296" s="235"/>
      <c r="J296" s="182" t="str">
        <f>J295</f>
        <v>RSDGEO</v>
      </c>
      <c r="K296" s="235"/>
      <c r="L296" s="235" t="str">
        <f>$AA$11</f>
        <v>ACT</v>
      </c>
      <c r="M296" s="182" t="str">
        <f t="shared" si="67"/>
        <v/>
      </c>
      <c r="N296" s="182"/>
      <c r="O296" s="182"/>
      <c r="P296" s="183"/>
      <c r="Q296" s="183"/>
      <c r="R296" s="182"/>
      <c r="S296" s="182"/>
      <c r="T296" s="182"/>
      <c r="U296" s="182"/>
      <c r="V296" s="182">
        <f t="shared" si="77"/>
        <v>1</v>
      </c>
      <c r="W296" s="236"/>
    </row>
    <row r="297" spans="1:23" x14ac:dyDescent="0.3">
      <c r="A297" s="316"/>
      <c r="B297" s="235"/>
      <c r="C297" s="318"/>
      <c r="D297" s="235"/>
      <c r="E297" s="235"/>
      <c r="F297" s="242"/>
      <c r="G297" s="242"/>
      <c r="H297" s="235"/>
      <c r="I297" s="235"/>
      <c r="J297" s="182" t="str">
        <f>J296</f>
        <v>RSDGEO</v>
      </c>
      <c r="K297" s="235"/>
      <c r="L297" s="235" t="str">
        <f t="shared" ref="L297" si="81">I295</f>
        <v>RSDELC</v>
      </c>
      <c r="M297" s="182" t="str">
        <f t="shared" si="67"/>
        <v/>
      </c>
      <c r="N297" s="182"/>
      <c r="O297" s="182"/>
      <c r="P297" s="183"/>
      <c r="Q297" s="183"/>
      <c r="R297" s="182"/>
      <c r="S297" s="182"/>
      <c r="T297" s="182"/>
      <c r="U297" s="182"/>
      <c r="V297" s="182">
        <f t="shared" si="77"/>
        <v>-1</v>
      </c>
      <c r="W297" s="236"/>
    </row>
    <row r="298" spans="1:23" x14ac:dyDescent="0.3">
      <c r="A298" s="316"/>
      <c r="B298" s="235" t="str">
        <f>'RSD (DEA)'!AJ166&amp;"_"&amp;'RSD (DEA)'!Z166</f>
        <v>RHAPA_HP_ELC_10</v>
      </c>
      <c r="C298" s="318"/>
      <c r="D298" s="235" t="str">
        <f t="shared" si="69"/>
        <v>RHAPA_HP_ELC_10</v>
      </c>
      <c r="E298" s="235" t="str">
        <f>'RSD (DEA)'!Q166</f>
        <v>Electric heat pumps</v>
      </c>
      <c r="F298" s="242" t="s">
        <v>239</v>
      </c>
      <c r="G298" s="242" t="s">
        <v>240</v>
      </c>
      <c r="H298" s="235">
        <f>'RSD (DEA)'!S166</f>
        <v>160</v>
      </c>
      <c r="I298" s="235" t="str">
        <f>IF(OR(RIGHT('RSD (DEA)'!AH166,3)="BIO",RIGHT(AD298,3)="BOA"),LEFT('RSD (DEA)'!AH166,3)&amp;"BFW",'RSD (DEA)'!AH166)</f>
        <v>RSDELC</v>
      </c>
      <c r="J298" s="182" t="str">
        <f>'RSD (DEA)'!AI166</f>
        <v>RSDGEO</v>
      </c>
      <c r="K298" s="235" t="str">
        <f>'RSD (DEA)'!AJ166</f>
        <v>RHAPA</v>
      </c>
      <c r="L298" s="235"/>
      <c r="M298" s="182">
        <f t="shared" si="67"/>
        <v>2019</v>
      </c>
      <c r="N298" s="182">
        <f>'RSD (DEA)'!X166</f>
        <v>2015</v>
      </c>
      <c r="O298" s="182">
        <f>IF(N298&lt;2019,2019,N298)</f>
        <v>2019</v>
      </c>
      <c r="P298" s="183">
        <f>'RSD (DEA)'!AZ166</f>
        <v>4.2</v>
      </c>
      <c r="Q298" s="183">
        <f>'RSD (DEA)'!BA166</f>
        <v>4.8</v>
      </c>
      <c r="R298" s="182">
        <f>'RSD (DEA)'!BR166/'RSD (DEA)'!S166</f>
        <v>10.25</v>
      </c>
      <c r="S298" s="182">
        <f>'RSD (DEA)'!BS166/X_RSD_HeatingDemand!$AA$8</f>
        <v>0.12291666666666666</v>
      </c>
      <c r="T298" s="182">
        <f>'RSD (DEA)'!BK166*X_RSD_HeatingDemand!$AA$9/'RSD (DEA)'!S166</f>
        <v>593.75</v>
      </c>
      <c r="U298" s="182">
        <f>'RSD (DEA)'!BI166</f>
        <v>20</v>
      </c>
      <c r="V298" s="182" t="str">
        <f t="shared" si="77"/>
        <v/>
      </c>
      <c r="W298" s="236">
        <f>'RSD (DEA)'!AM166</f>
        <v>31.536000000000001</v>
      </c>
    </row>
    <row r="299" spans="1:23" x14ac:dyDescent="0.3">
      <c r="A299" s="316"/>
      <c r="B299" s="235"/>
      <c r="C299" s="318"/>
      <c r="D299" s="235"/>
      <c r="E299" s="235"/>
      <c r="F299" s="242"/>
      <c r="G299" s="242"/>
      <c r="H299" s="235"/>
      <c r="I299" s="235"/>
      <c r="J299" s="182" t="str">
        <f>J298</f>
        <v>RSDGEO</v>
      </c>
      <c r="K299" s="235"/>
      <c r="L299" s="235" t="str">
        <f>$AA$11</f>
        <v>ACT</v>
      </c>
      <c r="M299" s="182" t="str">
        <f t="shared" si="67"/>
        <v/>
      </c>
      <c r="N299" s="182"/>
      <c r="O299" s="182"/>
      <c r="P299" s="183"/>
      <c r="Q299" s="183"/>
      <c r="R299" s="182"/>
      <c r="S299" s="182"/>
      <c r="T299" s="182"/>
      <c r="U299" s="182"/>
      <c r="V299" s="182">
        <f t="shared" si="77"/>
        <v>1</v>
      </c>
      <c r="W299" s="236"/>
    </row>
    <row r="300" spans="1:23" x14ac:dyDescent="0.3">
      <c r="A300" s="316"/>
      <c r="B300" s="235"/>
      <c r="C300" s="318"/>
      <c r="D300" s="235"/>
      <c r="E300" s="235"/>
      <c r="F300" s="242"/>
      <c r="G300" s="242"/>
      <c r="H300" s="235"/>
      <c r="I300" s="235"/>
      <c r="J300" s="182" t="str">
        <f>J299</f>
        <v>RSDGEO</v>
      </c>
      <c r="K300" s="235"/>
      <c r="L300" s="235" t="str">
        <f t="shared" ref="L300" si="82">I298</f>
        <v>RSDELC</v>
      </c>
      <c r="M300" s="182" t="str">
        <f t="shared" si="67"/>
        <v/>
      </c>
      <c r="N300" s="182"/>
      <c r="O300" s="182"/>
      <c r="P300" s="183"/>
      <c r="Q300" s="183"/>
      <c r="R300" s="182"/>
      <c r="S300" s="182"/>
      <c r="T300" s="182"/>
      <c r="U300" s="182"/>
      <c r="V300" s="182">
        <f t="shared" si="77"/>
        <v>-1</v>
      </c>
      <c r="W300" s="236"/>
    </row>
    <row r="301" spans="1:23" x14ac:dyDescent="0.3">
      <c r="A301" s="316"/>
      <c r="B301" s="235" t="str">
        <f>'RSD (DEA)'!AJ167&amp;"_"&amp;'RSD (DEA)'!Z167</f>
        <v>RHAPA_HP_ELC_10</v>
      </c>
      <c r="C301" s="318"/>
      <c r="D301" s="235" t="str">
        <f t="shared" si="69"/>
        <v>RHAPA_HP_ELC_10</v>
      </c>
      <c r="E301" s="235" t="str">
        <f>'RSD (DEA)'!Q167</f>
        <v>Electric heat pumps</v>
      </c>
      <c r="F301" s="242" t="s">
        <v>239</v>
      </c>
      <c r="G301" s="242" t="s">
        <v>240</v>
      </c>
      <c r="H301" s="235">
        <f>'RSD (DEA)'!S167</f>
        <v>160</v>
      </c>
      <c r="I301" s="235" t="str">
        <f>IF(OR(RIGHT('RSD (DEA)'!AH167,3)="BIO",RIGHT(AD301,3)="BOA"),LEFT('RSD (DEA)'!AH167,3)&amp;"BFW",'RSD (DEA)'!AH167)</f>
        <v>RSDELC</v>
      </c>
      <c r="J301" s="182" t="str">
        <f>'RSD (DEA)'!AI167</f>
        <v>RSDGEO</v>
      </c>
      <c r="K301" s="235" t="str">
        <f>'RSD (DEA)'!AJ167</f>
        <v>RHAPA</v>
      </c>
      <c r="L301" s="235"/>
      <c r="M301" s="182">
        <f t="shared" si="67"/>
        <v>2019</v>
      </c>
      <c r="N301" s="182">
        <f>'RSD (DEA)'!X167</f>
        <v>2020</v>
      </c>
      <c r="O301" s="182">
        <f>IF(N301&lt;2019,2019,N301)</f>
        <v>2020</v>
      </c>
      <c r="P301" s="183">
        <f>'RSD (DEA)'!AZ167</f>
        <v>4.3</v>
      </c>
      <c r="Q301" s="183">
        <f>'RSD (DEA)'!BA167</f>
        <v>4.9000000000000004</v>
      </c>
      <c r="R301" s="182">
        <f>'RSD (DEA)'!BR167/'RSD (DEA)'!S167</f>
        <v>10.3125</v>
      </c>
      <c r="S301" s="182">
        <f>'RSD (DEA)'!BS167/X_RSD_HeatingDemand!$AA$8</f>
        <v>0.12291666666666666</v>
      </c>
      <c r="T301" s="182">
        <f>'RSD (DEA)'!BK167*X_RSD_HeatingDemand!$AA$9/'RSD (DEA)'!S167</f>
        <v>556.25</v>
      </c>
      <c r="U301" s="182">
        <f>'RSD (DEA)'!BI167</f>
        <v>20</v>
      </c>
      <c r="V301" s="182" t="str">
        <f t="shared" si="77"/>
        <v/>
      </c>
      <c r="W301" s="236">
        <f>'RSD (DEA)'!AM167</f>
        <v>31.536000000000001</v>
      </c>
    </row>
    <row r="302" spans="1:23" x14ac:dyDescent="0.3">
      <c r="A302" s="316"/>
      <c r="B302" s="235"/>
      <c r="C302" s="318"/>
      <c r="D302" s="235"/>
      <c r="E302" s="235"/>
      <c r="F302" s="242"/>
      <c r="G302" s="242"/>
      <c r="H302" s="235"/>
      <c r="I302" s="235"/>
      <c r="J302" s="182" t="str">
        <f>J301</f>
        <v>RSDGEO</v>
      </c>
      <c r="K302" s="235"/>
      <c r="L302" s="235" t="str">
        <f>$AA$11</f>
        <v>ACT</v>
      </c>
      <c r="M302" s="182" t="str">
        <f t="shared" si="67"/>
        <v/>
      </c>
      <c r="N302" s="182"/>
      <c r="O302" s="182"/>
      <c r="P302" s="183"/>
      <c r="Q302" s="183"/>
      <c r="R302" s="182"/>
      <c r="S302" s="182"/>
      <c r="T302" s="182"/>
      <c r="U302" s="182"/>
      <c r="V302" s="182">
        <f t="shared" si="77"/>
        <v>1</v>
      </c>
      <c r="W302" s="236"/>
    </row>
    <row r="303" spans="1:23" x14ac:dyDescent="0.3">
      <c r="A303" s="316"/>
      <c r="B303" s="235"/>
      <c r="C303" s="318"/>
      <c r="D303" s="235"/>
      <c r="E303" s="235"/>
      <c r="F303" s="242"/>
      <c r="G303" s="242"/>
      <c r="H303" s="235"/>
      <c r="I303" s="235"/>
      <c r="J303" s="182" t="str">
        <f>J302</f>
        <v>RSDGEO</v>
      </c>
      <c r="K303" s="235"/>
      <c r="L303" s="235" t="str">
        <f t="shared" ref="L303" si="83">I301</f>
        <v>RSDELC</v>
      </c>
      <c r="M303" s="182" t="str">
        <f t="shared" si="67"/>
        <v/>
      </c>
      <c r="N303" s="182"/>
      <c r="O303" s="182"/>
      <c r="P303" s="183"/>
      <c r="Q303" s="183"/>
      <c r="R303" s="182"/>
      <c r="S303" s="182"/>
      <c r="T303" s="182"/>
      <c r="U303" s="182"/>
      <c r="V303" s="182">
        <f t="shared" si="77"/>
        <v>-1</v>
      </c>
      <c r="W303" s="236"/>
    </row>
    <row r="304" spans="1:23" x14ac:dyDescent="0.3">
      <c r="A304" s="316"/>
      <c r="B304" s="235" t="str">
        <f>'RSD (DEA)'!AJ168&amp;"_"&amp;'RSD (DEA)'!Z168</f>
        <v>RHAPA_HP_ELC_10</v>
      </c>
      <c r="C304" s="318"/>
      <c r="D304" s="235" t="str">
        <f t="shared" si="69"/>
        <v>RHAPA_HP_ELC_10</v>
      </c>
      <c r="E304" s="235" t="str">
        <f>'RSD (DEA)'!Q168</f>
        <v>Electric heat pumps</v>
      </c>
      <c r="F304" s="242" t="s">
        <v>239</v>
      </c>
      <c r="G304" s="242" t="s">
        <v>240</v>
      </c>
      <c r="H304" s="235">
        <f>'RSD (DEA)'!S168</f>
        <v>160</v>
      </c>
      <c r="I304" s="235" t="str">
        <f>IF(OR(RIGHT('RSD (DEA)'!AH168,3)="BIO",RIGHT(AD304,3)="BOA"),LEFT('RSD (DEA)'!AH168,3)&amp;"BFW",'RSD (DEA)'!AH168)</f>
        <v>RSDELC</v>
      </c>
      <c r="J304" s="182" t="str">
        <f>'RSD (DEA)'!AI168</f>
        <v>RSDGEO</v>
      </c>
      <c r="K304" s="235" t="str">
        <f>'RSD (DEA)'!AJ168</f>
        <v>RHAPA</v>
      </c>
      <c r="L304" s="235"/>
      <c r="M304" s="182">
        <f t="shared" si="67"/>
        <v>2019</v>
      </c>
      <c r="N304" s="182">
        <f>'RSD (DEA)'!X168</f>
        <v>2030</v>
      </c>
      <c r="O304" s="182">
        <f>IF(N304&lt;2019,2019,N304)</f>
        <v>2030</v>
      </c>
      <c r="P304" s="183">
        <f>'RSD (DEA)'!AZ168</f>
        <v>4.4000000000000004</v>
      </c>
      <c r="Q304" s="183">
        <f>'RSD (DEA)'!BA168</f>
        <v>5</v>
      </c>
      <c r="R304" s="182">
        <f>'RSD (DEA)'!BR168/'RSD (DEA)'!S168</f>
        <v>11.6625</v>
      </c>
      <c r="S304" s="182">
        <f>'RSD (DEA)'!BS168/X_RSD_HeatingDemand!$AA$8</f>
        <v>0.12291666666666666</v>
      </c>
      <c r="T304" s="182">
        <f>'RSD (DEA)'!BK168*X_RSD_HeatingDemand!$AA$9/'RSD (DEA)'!S168</f>
        <v>500</v>
      </c>
      <c r="U304" s="182">
        <f>'RSD (DEA)'!BI168</f>
        <v>20</v>
      </c>
      <c r="V304" s="182" t="str">
        <f t="shared" si="77"/>
        <v/>
      </c>
      <c r="W304" s="236">
        <f>'RSD (DEA)'!AM168</f>
        <v>31.536000000000001</v>
      </c>
    </row>
    <row r="305" spans="1:23" x14ac:dyDescent="0.3">
      <c r="A305" s="316"/>
      <c r="B305" s="235"/>
      <c r="C305" s="318"/>
      <c r="D305" s="235"/>
      <c r="E305" s="235"/>
      <c r="F305" s="242"/>
      <c r="G305" s="242"/>
      <c r="H305" s="235"/>
      <c r="I305" s="235"/>
      <c r="J305" s="182" t="str">
        <f>J304</f>
        <v>RSDGEO</v>
      </c>
      <c r="K305" s="235"/>
      <c r="L305" s="235" t="str">
        <f>$AA$11</f>
        <v>ACT</v>
      </c>
      <c r="M305" s="182" t="str">
        <f t="shared" si="67"/>
        <v/>
      </c>
      <c r="N305" s="182"/>
      <c r="O305" s="182"/>
      <c r="P305" s="183"/>
      <c r="Q305" s="183"/>
      <c r="R305" s="182"/>
      <c r="S305" s="182"/>
      <c r="T305" s="182"/>
      <c r="U305" s="182"/>
      <c r="V305" s="182">
        <f t="shared" si="77"/>
        <v>1</v>
      </c>
      <c r="W305" s="236"/>
    </row>
    <row r="306" spans="1:23" x14ac:dyDescent="0.3">
      <c r="A306" s="316"/>
      <c r="B306" s="235"/>
      <c r="C306" s="318"/>
      <c r="D306" s="235"/>
      <c r="E306" s="235"/>
      <c r="F306" s="242"/>
      <c r="G306" s="242"/>
      <c r="H306" s="235"/>
      <c r="I306" s="235"/>
      <c r="J306" s="182" t="str">
        <f>J305</f>
        <v>RSDGEO</v>
      </c>
      <c r="K306" s="235"/>
      <c r="L306" s="235" t="str">
        <f t="shared" ref="L306" si="84">I304</f>
        <v>RSDELC</v>
      </c>
      <c r="M306" s="182" t="str">
        <f t="shared" si="67"/>
        <v/>
      </c>
      <c r="N306" s="182"/>
      <c r="O306" s="182"/>
      <c r="P306" s="183"/>
      <c r="Q306" s="183"/>
      <c r="R306" s="182"/>
      <c r="S306" s="182"/>
      <c r="T306" s="182"/>
      <c r="U306" s="182"/>
      <c r="V306" s="182">
        <f t="shared" si="77"/>
        <v>-1</v>
      </c>
      <c r="W306" s="236"/>
    </row>
    <row r="307" spans="1:23" x14ac:dyDescent="0.3">
      <c r="A307" s="316"/>
      <c r="B307" s="235" t="str">
        <f>'RSD (DEA)'!AJ169&amp;"_"&amp;'RSD (DEA)'!Z169</f>
        <v>RHAPA_HP_ELC_10</v>
      </c>
      <c r="C307" s="318"/>
      <c r="D307" s="235" t="str">
        <f t="shared" si="69"/>
        <v>RHAPA_HP_ELC_10</v>
      </c>
      <c r="E307" s="235" t="str">
        <f>'RSD (DEA)'!Q169</f>
        <v>Electric heat pumps</v>
      </c>
      <c r="F307" s="242" t="s">
        <v>239</v>
      </c>
      <c r="G307" s="242" t="s">
        <v>240</v>
      </c>
      <c r="H307" s="235">
        <f>'RSD (DEA)'!S169</f>
        <v>160</v>
      </c>
      <c r="I307" s="235" t="str">
        <f>IF(OR(RIGHT('RSD (DEA)'!AH169,3)="BIO",RIGHT(AD307,3)="BOA"),LEFT('RSD (DEA)'!AH169,3)&amp;"BFW",'RSD (DEA)'!AH169)</f>
        <v>RSDELC</v>
      </c>
      <c r="J307" s="182" t="str">
        <f>'RSD (DEA)'!AI169</f>
        <v>RSDGEO</v>
      </c>
      <c r="K307" s="235" t="str">
        <f>'RSD (DEA)'!AJ169</f>
        <v>RHAPA</v>
      </c>
      <c r="L307" s="235"/>
      <c r="M307" s="182">
        <f t="shared" si="67"/>
        <v>2019</v>
      </c>
      <c r="N307" s="182">
        <f>'RSD (DEA)'!X169</f>
        <v>2050</v>
      </c>
      <c r="O307" s="182">
        <f>IF(N307&lt;2019,2019,N307)</f>
        <v>2050</v>
      </c>
      <c r="P307" s="183">
        <f>'RSD (DEA)'!AZ169</f>
        <v>4.55</v>
      </c>
      <c r="Q307" s="183">
        <f>'RSD (DEA)'!BA169</f>
        <v>5.2</v>
      </c>
      <c r="R307" s="182">
        <f>'RSD (DEA)'!BR169/'RSD (DEA)'!S169</f>
        <v>15.06875</v>
      </c>
      <c r="S307" s="182">
        <f>'RSD (DEA)'!BS169/X_RSD_HeatingDemand!$AA$8</f>
        <v>0.12291666666666666</v>
      </c>
      <c r="T307" s="182">
        <f>'RSD (DEA)'!BK169*X_RSD_HeatingDemand!$AA$9/'RSD (DEA)'!S169</f>
        <v>450</v>
      </c>
      <c r="U307" s="182">
        <f>'RSD (DEA)'!BI169</f>
        <v>20</v>
      </c>
      <c r="V307" s="182" t="str">
        <f t="shared" si="77"/>
        <v/>
      </c>
      <c r="W307" s="236">
        <f>'RSD (DEA)'!AM169</f>
        <v>31.536000000000001</v>
      </c>
    </row>
    <row r="308" spans="1:23" x14ac:dyDescent="0.3">
      <c r="A308" s="316"/>
      <c r="B308" s="235"/>
      <c r="C308" s="318"/>
      <c r="D308" s="235"/>
      <c r="E308" s="235"/>
      <c r="F308" s="242"/>
      <c r="G308" s="242"/>
      <c r="H308" s="235"/>
      <c r="I308" s="235"/>
      <c r="J308" s="182" t="str">
        <f>J307</f>
        <v>RSDGEO</v>
      </c>
      <c r="K308" s="235"/>
      <c r="L308" s="235" t="str">
        <f>$AA$11</f>
        <v>ACT</v>
      </c>
      <c r="M308" s="182" t="str">
        <f t="shared" si="67"/>
        <v/>
      </c>
      <c r="N308" s="182"/>
      <c r="O308" s="182"/>
      <c r="P308" s="183"/>
      <c r="Q308" s="183"/>
      <c r="R308" s="182"/>
      <c r="S308" s="182"/>
      <c r="T308" s="182"/>
      <c r="U308" s="182"/>
      <c r="V308" s="182">
        <f t="shared" si="77"/>
        <v>1</v>
      </c>
      <c r="W308" s="236"/>
    </row>
    <row r="309" spans="1:23" x14ac:dyDescent="0.3">
      <c r="A309" s="316"/>
      <c r="B309" s="235"/>
      <c r="C309" s="318"/>
      <c r="D309" s="235"/>
      <c r="E309" s="235"/>
      <c r="F309" s="242"/>
      <c r="G309" s="242"/>
      <c r="H309" s="235"/>
      <c r="I309" s="235"/>
      <c r="J309" s="182" t="str">
        <f>J308</f>
        <v>RSDGEO</v>
      </c>
      <c r="K309" s="235"/>
      <c r="L309" s="235" t="str">
        <f t="shared" ref="L309" si="85">I307</f>
        <v>RSDELC</v>
      </c>
      <c r="M309" s="182" t="str">
        <f t="shared" si="67"/>
        <v/>
      </c>
      <c r="N309" s="182"/>
      <c r="O309" s="182"/>
      <c r="P309" s="183"/>
      <c r="Q309" s="183"/>
      <c r="R309" s="182"/>
      <c r="S309" s="182"/>
      <c r="T309" s="182"/>
      <c r="U309" s="182"/>
      <c r="V309" s="182">
        <f t="shared" si="77"/>
        <v>-1</v>
      </c>
      <c r="W309" s="236"/>
    </row>
    <row r="310" spans="1:23" x14ac:dyDescent="0.3">
      <c r="A310" s="316"/>
      <c r="B310" s="235" t="str">
        <f>'RSD (DEA)'!AJ170&amp;"_"&amp;'RSD (DEA)'!Z170</f>
        <v>RHHSA_HP_ELC_11</v>
      </c>
      <c r="C310" s="318"/>
      <c r="D310" s="235" t="str">
        <f t="shared" si="69"/>
        <v>RHHSA_HP_ELC_11</v>
      </c>
      <c r="E310" s="235" t="str">
        <f>'RSD (DEA)'!Q170</f>
        <v>Electric heat pumps</v>
      </c>
      <c r="F310" s="242" t="s">
        <v>239</v>
      </c>
      <c r="G310" s="242" t="s">
        <v>240</v>
      </c>
      <c r="H310" s="235">
        <f>'RSD (DEA)'!S170</f>
        <v>2</v>
      </c>
      <c r="I310" s="235" t="str">
        <f>IF(OR(RIGHT('RSD (DEA)'!AH170,3)="BIO",RIGHT(AD310,3)="BOA"),LEFT('RSD (DEA)'!AH170,3)&amp;"BFW",'RSD (DEA)'!AH170)</f>
        <v>RSDELC</v>
      </c>
      <c r="J310" s="182" t="str">
        <f>'RSD (DEA)'!AI170</f>
        <v>RSDAHT</v>
      </c>
      <c r="K310" s="235" t="str">
        <f>'RSD (DEA)'!AJ170</f>
        <v>RHHSA</v>
      </c>
      <c r="L310" s="235"/>
      <c r="M310" s="182">
        <f t="shared" si="67"/>
        <v>2019</v>
      </c>
      <c r="N310" s="182">
        <f>'RSD (DEA)'!X170</f>
        <v>2015</v>
      </c>
      <c r="O310" s="182">
        <f>IF(N310&lt;2019,2019,N310)</f>
        <v>2019</v>
      </c>
      <c r="P310" s="183">
        <f>'RSD (DEA)'!AZ170</f>
        <v>3.15</v>
      </c>
      <c r="Q310" s="183">
        <f>'RSD (DEA)'!BA170</f>
        <v>3.2</v>
      </c>
      <c r="R310" s="182">
        <f>'RSD (DEA)'!BR170/'RSD (DEA)'!S170</f>
        <v>101</v>
      </c>
      <c r="S310" s="182">
        <f>'RSD (DEA)'!BS170/X_RSD_HeatingDemand!$AA$8</f>
        <v>0</v>
      </c>
      <c r="T310" s="182">
        <f>'RSD (DEA)'!BK170*X_RSD_HeatingDemand!$AA$9/'RSD (DEA)'!S170</f>
        <v>1000</v>
      </c>
      <c r="U310" s="182">
        <f>'RSD (DEA)'!BI170</f>
        <v>20</v>
      </c>
      <c r="V310" s="182" t="str">
        <f t="shared" si="77"/>
        <v/>
      </c>
      <c r="W310" s="236">
        <f>'RSD (DEA)'!AM170</f>
        <v>31.536000000000001</v>
      </c>
    </row>
    <row r="311" spans="1:23" x14ac:dyDescent="0.3">
      <c r="A311" s="316"/>
      <c r="B311" s="235"/>
      <c r="C311" s="318"/>
      <c r="D311" s="235"/>
      <c r="E311" s="235"/>
      <c r="F311" s="242"/>
      <c r="G311" s="242"/>
      <c r="H311" s="235"/>
      <c r="I311" s="235"/>
      <c r="J311" s="182" t="str">
        <f>J310</f>
        <v>RSDAHT</v>
      </c>
      <c r="K311" s="235"/>
      <c r="L311" s="235" t="str">
        <f>$AA$11</f>
        <v>ACT</v>
      </c>
      <c r="M311" s="182" t="str">
        <f t="shared" si="67"/>
        <v/>
      </c>
      <c r="N311" s="182"/>
      <c r="O311" s="182"/>
      <c r="P311" s="183"/>
      <c r="Q311" s="183"/>
      <c r="R311" s="182"/>
      <c r="S311" s="182"/>
      <c r="T311" s="182"/>
      <c r="U311" s="182"/>
      <c r="V311" s="182">
        <f t="shared" si="77"/>
        <v>1</v>
      </c>
      <c r="W311" s="236"/>
    </row>
    <row r="312" spans="1:23" x14ac:dyDescent="0.3">
      <c r="A312" s="316"/>
      <c r="B312" s="235"/>
      <c r="C312" s="318"/>
      <c r="D312" s="235"/>
      <c r="E312" s="235"/>
      <c r="F312" s="242"/>
      <c r="G312" s="242"/>
      <c r="H312" s="235"/>
      <c r="I312" s="235"/>
      <c r="J312" s="182" t="str">
        <f>J311</f>
        <v>RSDAHT</v>
      </c>
      <c r="K312" s="235"/>
      <c r="L312" s="235" t="str">
        <f t="shared" ref="L312" si="86">I310</f>
        <v>RSDELC</v>
      </c>
      <c r="M312" s="182" t="str">
        <f t="shared" si="67"/>
        <v/>
      </c>
      <c r="N312" s="182"/>
      <c r="O312" s="182"/>
      <c r="P312" s="183"/>
      <c r="Q312" s="183"/>
      <c r="R312" s="182"/>
      <c r="S312" s="182"/>
      <c r="T312" s="182"/>
      <c r="U312" s="182"/>
      <c r="V312" s="182">
        <f t="shared" si="77"/>
        <v>-1</v>
      </c>
      <c r="W312" s="236"/>
    </row>
    <row r="313" spans="1:23" x14ac:dyDescent="0.3">
      <c r="A313" s="316"/>
      <c r="B313" s="235" t="str">
        <f>'RSD (DEA)'!AJ171&amp;"_"&amp;'RSD (DEA)'!Z171</f>
        <v>RHHSA_HP_ELC_11</v>
      </c>
      <c r="C313" s="318"/>
      <c r="D313" s="235" t="str">
        <f t="shared" si="69"/>
        <v>RHHSA_HP_ELC_11</v>
      </c>
      <c r="E313" s="235" t="str">
        <f>'RSD (DEA)'!Q171</f>
        <v>Electric heat pumps</v>
      </c>
      <c r="F313" s="242" t="s">
        <v>239</v>
      </c>
      <c r="G313" s="242" t="s">
        <v>240</v>
      </c>
      <c r="H313" s="235">
        <f>'RSD (DEA)'!S171</f>
        <v>2</v>
      </c>
      <c r="I313" s="235" t="str">
        <f>IF(OR(RIGHT('RSD (DEA)'!AH171,3)="BIO",RIGHT(AD313,3)="BOA"),LEFT('RSD (DEA)'!AH171,3)&amp;"BFW",'RSD (DEA)'!AH171)</f>
        <v>RSDELC</v>
      </c>
      <c r="J313" s="182" t="str">
        <f>'RSD (DEA)'!AI171</f>
        <v>RSDAHT</v>
      </c>
      <c r="K313" s="235" t="str">
        <f>'RSD (DEA)'!AJ171</f>
        <v>RHHSA</v>
      </c>
      <c r="L313" s="235"/>
      <c r="M313" s="182">
        <f t="shared" si="67"/>
        <v>2019</v>
      </c>
      <c r="N313" s="182">
        <f>'RSD (DEA)'!X171</f>
        <v>2020</v>
      </c>
      <c r="O313" s="182">
        <f>IF(N313&lt;2019,2019,N313)</f>
        <v>2020</v>
      </c>
      <c r="P313" s="183">
        <f>'RSD (DEA)'!AZ171</f>
        <v>3.25</v>
      </c>
      <c r="Q313" s="183">
        <f>'RSD (DEA)'!BA171</f>
        <v>3.3</v>
      </c>
      <c r="R313" s="182">
        <f>'RSD (DEA)'!BR171/'RSD (DEA)'!S171</f>
        <v>95</v>
      </c>
      <c r="S313" s="182">
        <f>'RSD (DEA)'!BS171/X_RSD_HeatingDemand!$AA$8</f>
        <v>0</v>
      </c>
      <c r="T313" s="182">
        <f>'RSD (DEA)'!BK171*X_RSD_HeatingDemand!$AA$9/'RSD (DEA)'!S171</f>
        <v>1000</v>
      </c>
      <c r="U313" s="182">
        <f>'RSD (DEA)'!BI171</f>
        <v>20</v>
      </c>
      <c r="V313" s="182" t="str">
        <f t="shared" si="77"/>
        <v/>
      </c>
      <c r="W313" s="236">
        <f>'RSD (DEA)'!AM171</f>
        <v>31.536000000000001</v>
      </c>
    </row>
    <row r="314" spans="1:23" x14ac:dyDescent="0.3">
      <c r="A314" s="316"/>
      <c r="B314" s="235"/>
      <c r="C314" s="318"/>
      <c r="D314" s="235"/>
      <c r="E314" s="235"/>
      <c r="F314" s="242"/>
      <c r="G314" s="242"/>
      <c r="H314" s="235"/>
      <c r="I314" s="235"/>
      <c r="J314" s="182" t="str">
        <f>J313</f>
        <v>RSDAHT</v>
      </c>
      <c r="K314" s="235"/>
      <c r="L314" s="235" t="str">
        <f>$AA$11</f>
        <v>ACT</v>
      </c>
      <c r="M314" s="182" t="str">
        <f t="shared" si="67"/>
        <v/>
      </c>
      <c r="N314" s="182"/>
      <c r="O314" s="182"/>
      <c r="P314" s="183"/>
      <c r="Q314" s="183"/>
      <c r="R314" s="182"/>
      <c r="S314" s="182"/>
      <c r="T314" s="182"/>
      <c r="U314" s="182"/>
      <c r="V314" s="182">
        <f t="shared" si="77"/>
        <v>1</v>
      </c>
      <c r="W314" s="236"/>
    </row>
    <row r="315" spans="1:23" x14ac:dyDescent="0.3">
      <c r="A315" s="316"/>
      <c r="B315" s="235"/>
      <c r="C315" s="318"/>
      <c r="D315" s="235"/>
      <c r="E315" s="235"/>
      <c r="F315" s="242"/>
      <c r="G315" s="242"/>
      <c r="H315" s="235"/>
      <c r="I315" s="235"/>
      <c r="J315" s="182" t="str">
        <f>J314</f>
        <v>RSDAHT</v>
      </c>
      <c r="K315" s="235"/>
      <c r="L315" s="235" t="str">
        <f t="shared" ref="L315" si="87">I313</f>
        <v>RSDELC</v>
      </c>
      <c r="M315" s="182" t="str">
        <f t="shared" si="67"/>
        <v/>
      </c>
      <c r="N315" s="182"/>
      <c r="O315" s="182"/>
      <c r="P315" s="183"/>
      <c r="Q315" s="183"/>
      <c r="R315" s="182"/>
      <c r="S315" s="182"/>
      <c r="T315" s="182"/>
      <c r="U315" s="182"/>
      <c r="V315" s="182">
        <f t="shared" si="77"/>
        <v>-1</v>
      </c>
      <c r="W315" s="236"/>
    </row>
    <row r="316" spans="1:23" x14ac:dyDescent="0.3">
      <c r="A316" s="316"/>
      <c r="B316" s="235" t="str">
        <f>'RSD (DEA)'!AJ172&amp;"_"&amp;'RSD (DEA)'!Z172</f>
        <v>RHHSA_HP_ELC_11</v>
      </c>
      <c r="C316" s="318"/>
      <c r="D316" s="235" t="str">
        <f t="shared" si="69"/>
        <v>RHHSA_HP_ELC_11</v>
      </c>
      <c r="E316" s="235" t="str">
        <f>'RSD (DEA)'!Q172</f>
        <v>Electric heat pumps</v>
      </c>
      <c r="F316" s="242" t="s">
        <v>239</v>
      </c>
      <c r="G316" s="242" t="s">
        <v>240</v>
      </c>
      <c r="H316" s="235">
        <f>'RSD (DEA)'!S172</f>
        <v>3</v>
      </c>
      <c r="I316" s="235" t="str">
        <f>IF(OR(RIGHT('RSD (DEA)'!AH172,3)="BIO",RIGHT(AD316,3)="BOA"),LEFT('RSD (DEA)'!AH172,3)&amp;"BFW",'RSD (DEA)'!AH172)</f>
        <v>RSDELC</v>
      </c>
      <c r="J316" s="182" t="str">
        <f>'RSD (DEA)'!AI172</f>
        <v>RSDAHT</v>
      </c>
      <c r="K316" s="235" t="str">
        <f>'RSD (DEA)'!AJ172</f>
        <v>RHHSA</v>
      </c>
      <c r="L316" s="235"/>
      <c r="M316" s="182">
        <f t="shared" si="67"/>
        <v>2019</v>
      </c>
      <c r="N316" s="182">
        <f>'RSD (DEA)'!X172</f>
        <v>2030</v>
      </c>
      <c r="O316" s="182">
        <f>IF(N316&lt;2019,2019,N316)</f>
        <v>2030</v>
      </c>
      <c r="P316" s="183">
        <f>'RSD (DEA)'!AZ172</f>
        <v>3.45</v>
      </c>
      <c r="Q316" s="183">
        <f>'RSD (DEA)'!BA172</f>
        <v>3.5</v>
      </c>
      <c r="R316" s="182">
        <f>'RSD (DEA)'!BR172/'RSD (DEA)'!S172</f>
        <v>57.333333333333336</v>
      </c>
      <c r="S316" s="182">
        <f>'RSD (DEA)'!BS172/X_RSD_HeatingDemand!$AA$8</f>
        <v>0</v>
      </c>
      <c r="T316" s="182">
        <f>'RSD (DEA)'!BK172*X_RSD_HeatingDemand!$AA$9/'RSD (DEA)'!S172</f>
        <v>666.66666666666663</v>
      </c>
      <c r="U316" s="182">
        <f>'RSD (DEA)'!BI172</f>
        <v>20</v>
      </c>
      <c r="V316" s="182" t="str">
        <f t="shared" si="77"/>
        <v/>
      </c>
      <c r="W316" s="236">
        <f>'RSD (DEA)'!AM172</f>
        <v>31.536000000000001</v>
      </c>
    </row>
    <row r="317" spans="1:23" x14ac:dyDescent="0.3">
      <c r="A317" s="316"/>
      <c r="B317" s="235"/>
      <c r="C317" s="318"/>
      <c r="D317" s="235"/>
      <c r="E317" s="235"/>
      <c r="F317" s="242"/>
      <c r="G317" s="242"/>
      <c r="H317" s="235"/>
      <c r="I317" s="235"/>
      <c r="J317" s="182" t="str">
        <f>J316</f>
        <v>RSDAHT</v>
      </c>
      <c r="K317" s="235"/>
      <c r="L317" s="235" t="str">
        <f>$AA$11</f>
        <v>ACT</v>
      </c>
      <c r="M317" s="182" t="str">
        <f t="shared" si="67"/>
        <v/>
      </c>
      <c r="N317" s="182"/>
      <c r="O317" s="182"/>
      <c r="P317" s="183"/>
      <c r="Q317" s="183"/>
      <c r="R317" s="182"/>
      <c r="S317" s="182"/>
      <c r="T317" s="182"/>
      <c r="U317" s="182"/>
      <c r="V317" s="182">
        <f t="shared" si="77"/>
        <v>1</v>
      </c>
      <c r="W317" s="236"/>
    </row>
    <row r="318" spans="1:23" x14ac:dyDescent="0.3">
      <c r="A318" s="316"/>
      <c r="B318" s="235"/>
      <c r="C318" s="318"/>
      <c r="D318" s="235"/>
      <c r="E318" s="235"/>
      <c r="F318" s="242"/>
      <c r="G318" s="242"/>
      <c r="H318" s="235"/>
      <c r="I318" s="235"/>
      <c r="J318" s="182" t="str">
        <f>J317</f>
        <v>RSDAHT</v>
      </c>
      <c r="K318" s="235"/>
      <c r="L318" s="235" t="str">
        <f t="shared" ref="L318" si="88">I316</f>
        <v>RSDELC</v>
      </c>
      <c r="M318" s="182" t="str">
        <f t="shared" si="67"/>
        <v/>
      </c>
      <c r="N318" s="182"/>
      <c r="O318" s="182"/>
      <c r="P318" s="183"/>
      <c r="Q318" s="183"/>
      <c r="R318" s="182"/>
      <c r="S318" s="182"/>
      <c r="T318" s="182"/>
      <c r="U318" s="182"/>
      <c r="V318" s="182">
        <f t="shared" si="77"/>
        <v>-1</v>
      </c>
      <c r="W318" s="236"/>
    </row>
    <row r="319" spans="1:23" x14ac:dyDescent="0.3">
      <c r="A319" s="316"/>
      <c r="B319" s="235" t="str">
        <f>'RSD (DEA)'!AJ173&amp;"_"&amp;'RSD (DEA)'!Z173</f>
        <v>RHHSA_HP_ELC_11</v>
      </c>
      <c r="C319" s="318"/>
      <c r="D319" s="235" t="str">
        <f t="shared" si="69"/>
        <v>RHHSA_HP_ELC_11</v>
      </c>
      <c r="E319" s="235" t="str">
        <f>'RSD (DEA)'!Q173</f>
        <v>Electric heat pumps</v>
      </c>
      <c r="F319" s="242" t="s">
        <v>239</v>
      </c>
      <c r="G319" s="242" t="s">
        <v>240</v>
      </c>
      <c r="H319" s="235">
        <f>'RSD (DEA)'!S173</f>
        <v>3</v>
      </c>
      <c r="I319" s="235" t="str">
        <f>IF(OR(RIGHT('RSD (DEA)'!AH173,3)="BIO",RIGHT(AD319,3)="BOA"),LEFT('RSD (DEA)'!AH173,3)&amp;"BFW",'RSD (DEA)'!AH173)</f>
        <v>RSDELC</v>
      </c>
      <c r="J319" s="182" t="str">
        <f>'RSD (DEA)'!AI173</f>
        <v>RSDAHT</v>
      </c>
      <c r="K319" s="235" t="str">
        <f>'RSD (DEA)'!AJ173</f>
        <v>RHHSA</v>
      </c>
      <c r="L319" s="235"/>
      <c r="M319" s="182">
        <f t="shared" si="67"/>
        <v>2019</v>
      </c>
      <c r="N319" s="182">
        <f>'RSD (DEA)'!X173</f>
        <v>2050</v>
      </c>
      <c r="O319" s="182">
        <f>IF(N319&lt;2019,2019,N319)</f>
        <v>2050</v>
      </c>
      <c r="P319" s="183">
        <f>'RSD (DEA)'!AZ173</f>
        <v>3.65</v>
      </c>
      <c r="Q319" s="183">
        <f>'RSD (DEA)'!BA173</f>
        <v>3.7</v>
      </c>
      <c r="R319" s="182">
        <f>'RSD (DEA)'!BR173/'RSD (DEA)'!S173</f>
        <v>52.333333333333336</v>
      </c>
      <c r="S319" s="182">
        <f>'RSD (DEA)'!BS173/X_RSD_HeatingDemand!$AA$8</f>
        <v>0</v>
      </c>
      <c r="T319" s="182">
        <f>'RSD (DEA)'!BK173*X_RSD_HeatingDemand!$AA$9/'RSD (DEA)'!S173</f>
        <v>666.66666666666663</v>
      </c>
      <c r="U319" s="182">
        <f>'RSD (DEA)'!BI173</f>
        <v>20</v>
      </c>
      <c r="V319" s="182" t="str">
        <f t="shared" si="77"/>
        <v/>
      </c>
      <c r="W319" s="236">
        <f>'RSD (DEA)'!AM173</f>
        <v>31.536000000000001</v>
      </c>
    </row>
    <row r="320" spans="1:23" x14ac:dyDescent="0.3">
      <c r="A320" s="316"/>
      <c r="B320" s="235"/>
      <c r="C320" s="318"/>
      <c r="D320" s="235"/>
      <c r="E320" s="235"/>
      <c r="F320" s="242"/>
      <c r="G320" s="242"/>
      <c r="H320" s="235"/>
      <c r="I320" s="235"/>
      <c r="J320" s="182" t="str">
        <f>J319</f>
        <v>RSDAHT</v>
      </c>
      <c r="K320" s="235"/>
      <c r="L320" s="235" t="str">
        <f>$AA$11</f>
        <v>ACT</v>
      </c>
      <c r="M320" s="182" t="str">
        <f t="shared" si="67"/>
        <v/>
      </c>
      <c r="N320" s="182"/>
      <c r="O320" s="182"/>
      <c r="P320" s="183"/>
      <c r="Q320" s="183"/>
      <c r="R320" s="182"/>
      <c r="S320" s="182"/>
      <c r="T320" s="182"/>
      <c r="U320" s="182"/>
      <c r="V320" s="182">
        <f t="shared" si="77"/>
        <v>1</v>
      </c>
      <c r="W320" s="236"/>
    </row>
    <row r="321" spans="1:23" x14ac:dyDescent="0.3">
      <c r="A321" s="316"/>
      <c r="B321" s="235"/>
      <c r="C321" s="318"/>
      <c r="D321" s="235"/>
      <c r="E321" s="235"/>
      <c r="F321" s="242"/>
      <c r="G321" s="242"/>
      <c r="H321" s="235"/>
      <c r="I321" s="235"/>
      <c r="J321" s="182" t="str">
        <f>J320</f>
        <v>RSDAHT</v>
      </c>
      <c r="K321" s="235"/>
      <c r="L321" s="235" t="str">
        <f t="shared" ref="L321" si="89">I319</f>
        <v>RSDELC</v>
      </c>
      <c r="M321" s="182" t="str">
        <f t="shared" si="67"/>
        <v/>
      </c>
      <c r="N321" s="182"/>
      <c r="O321" s="182"/>
      <c r="P321" s="183"/>
      <c r="Q321" s="183"/>
      <c r="R321" s="182"/>
      <c r="S321" s="182"/>
      <c r="T321" s="182"/>
      <c r="U321" s="182"/>
      <c r="V321" s="182">
        <f t="shared" si="77"/>
        <v>-1</v>
      </c>
      <c r="W321" s="236"/>
    </row>
    <row r="322" spans="1:23" x14ac:dyDescent="0.3">
      <c r="A322" s="316"/>
      <c r="B322" s="235" t="str">
        <f>'RSD (DEA)'!AJ174&amp;"_"&amp;'RSD (DEA)'!Z174</f>
        <v>RHAPA_HP_ELC_12</v>
      </c>
      <c r="C322" s="318"/>
      <c r="D322" s="235" t="str">
        <f t="shared" si="69"/>
        <v>RHAPA_HP_ELC_12</v>
      </c>
      <c r="E322" s="235" t="str">
        <f>'RSD (DEA)'!Q174</f>
        <v>Electric heat pumps</v>
      </c>
      <c r="F322" s="242" t="s">
        <v>239</v>
      </c>
      <c r="G322" s="242" t="s">
        <v>240</v>
      </c>
      <c r="H322" s="235">
        <f>'RSD (DEA)'!S174</f>
        <v>160</v>
      </c>
      <c r="I322" s="235" t="str">
        <f>IF(OR(RIGHT('RSD (DEA)'!AH174,3)="BIO",RIGHT(AD322,3)="BOA"),LEFT('RSD (DEA)'!AH174,3)&amp;"BFW",'RSD (DEA)'!AH174)</f>
        <v>RSDELC</v>
      </c>
      <c r="J322" s="182" t="str">
        <f>'RSD (DEA)'!AI174</f>
        <v>RSDAHT</v>
      </c>
      <c r="K322" s="235" t="str">
        <f>'RSD (DEA)'!AJ174</f>
        <v>RHAPA</v>
      </c>
      <c r="L322" s="235"/>
      <c r="M322" s="182">
        <f t="shared" si="67"/>
        <v>2019</v>
      </c>
      <c r="N322" s="182">
        <f>'RSD (DEA)'!X174</f>
        <v>2015</v>
      </c>
      <c r="O322" s="182">
        <f>IF(N322&lt;2019,2019,N322)</f>
        <v>2019</v>
      </c>
      <c r="P322" s="183">
        <f>'RSD (DEA)'!AZ174</f>
        <v>5.3</v>
      </c>
      <c r="Q322" s="183">
        <f>'RSD (DEA)'!BA174</f>
        <v>5.5</v>
      </c>
      <c r="R322" s="182">
        <f>'RSD (DEA)'!BR174/'RSD (DEA)'!S174</f>
        <v>7.46875</v>
      </c>
      <c r="S322" s="182">
        <f>'RSD (DEA)'!BS174/X_RSD_HeatingDemand!$AA$8</f>
        <v>0.12291666666666666</v>
      </c>
      <c r="T322" s="182">
        <f>'RSD (DEA)'!BK174*X_RSD_HeatingDemand!$AA$9/'RSD (DEA)'!S174</f>
        <v>468.75</v>
      </c>
      <c r="U322" s="182">
        <f>'RSD (DEA)'!BI174</f>
        <v>20</v>
      </c>
      <c r="V322" s="182" t="str">
        <f t="shared" si="77"/>
        <v/>
      </c>
      <c r="W322" s="236">
        <f>'RSD (DEA)'!AM174</f>
        <v>31.536000000000001</v>
      </c>
    </row>
    <row r="323" spans="1:23" x14ac:dyDescent="0.3">
      <c r="A323" s="316"/>
      <c r="B323" s="235"/>
      <c r="C323" s="318"/>
      <c r="D323" s="235"/>
      <c r="E323" s="235"/>
      <c r="F323" s="242"/>
      <c r="G323" s="242"/>
      <c r="H323" s="235"/>
      <c r="I323" s="235"/>
      <c r="J323" s="182" t="str">
        <f>J322</f>
        <v>RSDAHT</v>
      </c>
      <c r="K323" s="235"/>
      <c r="L323" s="235" t="str">
        <f>$AA$11</f>
        <v>ACT</v>
      </c>
      <c r="M323" s="182" t="str">
        <f t="shared" si="67"/>
        <v/>
      </c>
      <c r="N323" s="182"/>
      <c r="O323" s="182"/>
      <c r="P323" s="183"/>
      <c r="Q323" s="183"/>
      <c r="R323" s="182"/>
      <c r="S323" s="182"/>
      <c r="T323" s="182"/>
      <c r="U323" s="182"/>
      <c r="V323" s="182">
        <f t="shared" si="77"/>
        <v>1</v>
      </c>
      <c r="W323" s="236"/>
    </row>
    <row r="324" spans="1:23" x14ac:dyDescent="0.3">
      <c r="A324" s="316"/>
      <c r="B324" s="235"/>
      <c r="C324" s="318"/>
      <c r="D324" s="235"/>
      <c r="E324" s="235"/>
      <c r="F324" s="242"/>
      <c r="G324" s="242"/>
      <c r="H324" s="235"/>
      <c r="I324" s="235"/>
      <c r="J324" s="182" t="str">
        <f>J323</f>
        <v>RSDAHT</v>
      </c>
      <c r="K324" s="235"/>
      <c r="L324" s="235" t="str">
        <f t="shared" ref="L324" si="90">I322</f>
        <v>RSDELC</v>
      </c>
      <c r="M324" s="182" t="str">
        <f t="shared" si="67"/>
        <v/>
      </c>
      <c r="N324" s="182"/>
      <c r="O324" s="182"/>
      <c r="P324" s="183"/>
      <c r="Q324" s="183"/>
      <c r="R324" s="182"/>
      <c r="S324" s="182"/>
      <c r="T324" s="182"/>
      <c r="U324" s="182"/>
      <c r="V324" s="182">
        <f t="shared" si="77"/>
        <v>-1</v>
      </c>
      <c r="W324" s="236"/>
    </row>
    <row r="325" spans="1:23" x14ac:dyDescent="0.3">
      <c r="A325" s="316"/>
      <c r="B325" s="235" t="str">
        <f>'RSD (DEA)'!AJ175&amp;"_"&amp;'RSD (DEA)'!Z175</f>
        <v>RHAPA_HP_ELC_12</v>
      </c>
      <c r="C325" s="318"/>
      <c r="D325" s="235" t="str">
        <f t="shared" si="69"/>
        <v>RHAPA_HP_ELC_12</v>
      </c>
      <c r="E325" s="235" t="str">
        <f>'RSD (DEA)'!Q175</f>
        <v>Electric heat pumps</v>
      </c>
      <c r="F325" s="242" t="s">
        <v>239</v>
      </c>
      <c r="G325" s="242" t="s">
        <v>240</v>
      </c>
      <c r="H325" s="235">
        <f>'RSD (DEA)'!S175</f>
        <v>160</v>
      </c>
      <c r="I325" s="235" t="str">
        <f>IF(OR(RIGHT('RSD (DEA)'!AH175,3)="BIO",RIGHT(AD325,3)="BOA"),LEFT('RSD (DEA)'!AH175,3)&amp;"BFW",'RSD (DEA)'!AH175)</f>
        <v>RSDELC</v>
      </c>
      <c r="J325" s="182" t="str">
        <f>'RSD (DEA)'!AI175</f>
        <v>RSDAHT</v>
      </c>
      <c r="K325" s="235" t="str">
        <f>'RSD (DEA)'!AJ175</f>
        <v>RHAPA</v>
      </c>
      <c r="L325" s="235"/>
      <c r="M325" s="182">
        <f t="shared" si="67"/>
        <v>2019</v>
      </c>
      <c r="N325" s="182">
        <f>'RSD (DEA)'!X175</f>
        <v>2020</v>
      </c>
      <c r="O325" s="182">
        <f>IF(N325&lt;2019,2019,N325)</f>
        <v>2020</v>
      </c>
      <c r="P325" s="183">
        <f>'RSD (DEA)'!AZ175</f>
        <v>5.4</v>
      </c>
      <c r="Q325" s="183">
        <f>'RSD (DEA)'!BA175</f>
        <v>5.6</v>
      </c>
      <c r="R325" s="182">
        <f>'RSD (DEA)'!BR175/'RSD (DEA)'!S175</f>
        <v>7.1875</v>
      </c>
      <c r="S325" s="182">
        <f>'RSD (DEA)'!BS175/X_RSD_HeatingDemand!$AA$8</f>
        <v>0.12291666666666666</v>
      </c>
      <c r="T325" s="182">
        <f>'RSD (DEA)'!BK175*X_RSD_HeatingDemand!$AA$9/'RSD (DEA)'!S175</f>
        <v>443.75</v>
      </c>
      <c r="U325" s="182">
        <f>'RSD (DEA)'!BI175</f>
        <v>20</v>
      </c>
      <c r="V325" s="182" t="str">
        <f t="shared" si="77"/>
        <v/>
      </c>
      <c r="W325" s="236">
        <f>'RSD (DEA)'!AM175</f>
        <v>31.536000000000001</v>
      </c>
    </row>
    <row r="326" spans="1:23" x14ac:dyDescent="0.3">
      <c r="A326" s="316"/>
      <c r="B326" s="235"/>
      <c r="C326" s="318"/>
      <c r="D326" s="235"/>
      <c r="E326" s="235"/>
      <c r="F326" s="242"/>
      <c r="G326" s="242"/>
      <c r="H326" s="235"/>
      <c r="I326" s="235"/>
      <c r="J326" s="182" t="str">
        <f>J325</f>
        <v>RSDAHT</v>
      </c>
      <c r="K326" s="235"/>
      <c r="L326" s="235" t="str">
        <f>$AA$11</f>
        <v>ACT</v>
      </c>
      <c r="M326" s="182" t="str">
        <f t="shared" ref="M326:M389" si="91">IF(ISBLANK(B326),"",$AA$14)</f>
        <v/>
      </c>
      <c r="N326" s="182"/>
      <c r="O326" s="182"/>
      <c r="P326" s="183"/>
      <c r="Q326" s="183"/>
      <c r="R326" s="182"/>
      <c r="S326" s="182"/>
      <c r="T326" s="182"/>
      <c r="U326" s="182"/>
      <c r="V326" s="182">
        <f t="shared" si="77"/>
        <v>1</v>
      </c>
      <c r="W326" s="236"/>
    </row>
    <row r="327" spans="1:23" x14ac:dyDescent="0.3">
      <c r="A327" s="316"/>
      <c r="B327" s="235"/>
      <c r="C327" s="318"/>
      <c r="D327" s="235"/>
      <c r="E327" s="235"/>
      <c r="F327" s="242"/>
      <c r="G327" s="242"/>
      <c r="H327" s="235"/>
      <c r="I327" s="235"/>
      <c r="J327" s="182" t="str">
        <f>J326</f>
        <v>RSDAHT</v>
      </c>
      <c r="K327" s="235"/>
      <c r="L327" s="235" t="str">
        <f t="shared" ref="L327" si="92">I325</f>
        <v>RSDELC</v>
      </c>
      <c r="M327" s="182" t="str">
        <f t="shared" si="91"/>
        <v/>
      </c>
      <c r="N327" s="182"/>
      <c r="O327" s="182"/>
      <c r="P327" s="183"/>
      <c r="Q327" s="183"/>
      <c r="R327" s="182"/>
      <c r="S327" s="182"/>
      <c r="T327" s="182"/>
      <c r="U327" s="182"/>
      <c r="V327" s="182">
        <f t="shared" si="77"/>
        <v>-1</v>
      </c>
      <c r="W327" s="236"/>
    </row>
    <row r="328" spans="1:23" x14ac:dyDescent="0.3">
      <c r="A328" s="316"/>
      <c r="B328" s="235" t="str">
        <f>'RSD (DEA)'!AJ176&amp;"_"&amp;'RSD (DEA)'!Z176</f>
        <v>RHAPA_HP_ELC_12</v>
      </c>
      <c r="C328" s="318"/>
      <c r="D328" s="235" t="str">
        <f t="shared" ref="D328:D391" si="93">IF(B328=B327,LEFT(B328,LEN(B328)-2)&amp;IF(RIGHT(D327)+1&lt;9,"0"&amp;RIGHT(D327)+1,RIGHT(D327)+1),B328)</f>
        <v>RHAPA_HP_ELC_12</v>
      </c>
      <c r="E328" s="235" t="str">
        <f>'RSD (DEA)'!Q176</f>
        <v>Electric heat pumps</v>
      </c>
      <c r="F328" s="242" t="s">
        <v>239</v>
      </c>
      <c r="G328" s="242" t="s">
        <v>240</v>
      </c>
      <c r="H328" s="235">
        <f>'RSD (DEA)'!S176</f>
        <v>160</v>
      </c>
      <c r="I328" s="235" t="str">
        <f>IF(OR(RIGHT('RSD (DEA)'!AH176,3)="BIO",RIGHT(AD328,3)="BOA"),LEFT('RSD (DEA)'!AH176,3)&amp;"BFW",'RSD (DEA)'!AH176)</f>
        <v>RSDELC</v>
      </c>
      <c r="J328" s="182" t="str">
        <f>'RSD (DEA)'!AI176</f>
        <v>RSDAHT</v>
      </c>
      <c r="K328" s="235" t="str">
        <f>'RSD (DEA)'!AJ176</f>
        <v>RHAPA</v>
      </c>
      <c r="L328" s="235"/>
      <c r="M328" s="182">
        <f t="shared" si="91"/>
        <v>2019</v>
      </c>
      <c r="N328" s="182">
        <f>'RSD (DEA)'!X176</f>
        <v>2030</v>
      </c>
      <c r="O328" s="182">
        <f>IF(N328&lt;2019,2019,N328)</f>
        <v>2030</v>
      </c>
      <c r="P328" s="183">
        <f>'RSD (DEA)'!AZ176</f>
        <v>5.5</v>
      </c>
      <c r="Q328" s="183">
        <f>'RSD (DEA)'!BA176</f>
        <v>5.7</v>
      </c>
      <c r="R328" s="182">
        <f>'RSD (DEA)'!BR176/'RSD (DEA)'!S176</f>
        <v>7.1937499999999996</v>
      </c>
      <c r="S328" s="182">
        <f>'RSD (DEA)'!BS176/X_RSD_HeatingDemand!$AA$8</f>
        <v>0.12291666666666666</v>
      </c>
      <c r="T328" s="182">
        <f>'RSD (DEA)'!BK176*X_RSD_HeatingDemand!$AA$9/'RSD (DEA)'!S176</f>
        <v>393.75</v>
      </c>
      <c r="U328" s="182">
        <f>'RSD (DEA)'!BI176</f>
        <v>20</v>
      </c>
      <c r="V328" s="182" t="str">
        <f t="shared" si="77"/>
        <v/>
      </c>
      <c r="W328" s="236">
        <f>'RSD (DEA)'!AM176</f>
        <v>31.536000000000001</v>
      </c>
    </row>
    <row r="329" spans="1:23" x14ac:dyDescent="0.3">
      <c r="A329" s="316"/>
      <c r="B329" s="235"/>
      <c r="C329" s="318"/>
      <c r="D329" s="235"/>
      <c r="E329" s="235"/>
      <c r="F329" s="242"/>
      <c r="G329" s="242"/>
      <c r="H329" s="235"/>
      <c r="I329" s="235"/>
      <c r="J329" s="182" t="str">
        <f>J328</f>
        <v>RSDAHT</v>
      </c>
      <c r="K329" s="235"/>
      <c r="L329" s="235" t="str">
        <f>$AA$11</f>
        <v>ACT</v>
      </c>
      <c r="M329" s="182" t="str">
        <f t="shared" si="91"/>
        <v/>
      </c>
      <c r="N329" s="182"/>
      <c r="O329" s="182"/>
      <c r="P329" s="183"/>
      <c r="Q329" s="183"/>
      <c r="R329" s="182"/>
      <c r="S329" s="182"/>
      <c r="T329" s="182"/>
      <c r="U329" s="182"/>
      <c r="V329" s="182">
        <f t="shared" si="77"/>
        <v>1</v>
      </c>
      <c r="W329" s="236"/>
    </row>
    <row r="330" spans="1:23" x14ac:dyDescent="0.3">
      <c r="A330" s="316"/>
      <c r="B330" s="235"/>
      <c r="C330" s="318"/>
      <c r="D330" s="235"/>
      <c r="E330" s="235"/>
      <c r="F330" s="242"/>
      <c r="G330" s="242"/>
      <c r="H330" s="235"/>
      <c r="I330" s="235"/>
      <c r="J330" s="182" t="str">
        <f>J329</f>
        <v>RSDAHT</v>
      </c>
      <c r="K330" s="235"/>
      <c r="L330" s="235" t="str">
        <f t="shared" ref="L330" si="94">I328</f>
        <v>RSDELC</v>
      </c>
      <c r="M330" s="182" t="str">
        <f t="shared" si="91"/>
        <v/>
      </c>
      <c r="N330" s="182"/>
      <c r="O330" s="182"/>
      <c r="P330" s="183"/>
      <c r="Q330" s="183"/>
      <c r="R330" s="182"/>
      <c r="S330" s="182"/>
      <c r="T330" s="182"/>
      <c r="U330" s="182"/>
      <c r="V330" s="182">
        <f t="shared" si="77"/>
        <v>-1</v>
      </c>
      <c r="W330" s="236"/>
    </row>
    <row r="331" spans="1:23" x14ac:dyDescent="0.3">
      <c r="A331" s="316"/>
      <c r="B331" s="235" t="str">
        <f>'RSD (DEA)'!AJ177&amp;"_"&amp;'RSD (DEA)'!Z177</f>
        <v>RHAPA_HP_ELC_12</v>
      </c>
      <c r="C331" s="318"/>
      <c r="D331" s="235" t="str">
        <f t="shared" si="93"/>
        <v>RHAPA_HP_ELC_12</v>
      </c>
      <c r="E331" s="235" t="str">
        <f>'RSD (DEA)'!Q177</f>
        <v>Electric heat pumps</v>
      </c>
      <c r="F331" s="242" t="s">
        <v>239</v>
      </c>
      <c r="G331" s="242" t="s">
        <v>240</v>
      </c>
      <c r="H331" s="235">
        <f>'RSD (DEA)'!S177</f>
        <v>160</v>
      </c>
      <c r="I331" s="235" t="str">
        <f>IF(OR(RIGHT('RSD (DEA)'!AH177,3)="BIO",RIGHT(AD331,3)="BOA"),LEFT('RSD (DEA)'!AH177,3)&amp;"BFW",'RSD (DEA)'!AH177)</f>
        <v>RSDELC</v>
      </c>
      <c r="J331" s="182" t="str">
        <f>'RSD (DEA)'!AI177</f>
        <v>RSDAHT</v>
      </c>
      <c r="K331" s="235" t="str">
        <f>'RSD (DEA)'!AJ177</f>
        <v>RHAPA</v>
      </c>
      <c r="L331" s="235"/>
      <c r="M331" s="182">
        <f t="shared" si="91"/>
        <v>2019</v>
      </c>
      <c r="N331" s="182">
        <f>'RSD (DEA)'!X177</f>
        <v>2050</v>
      </c>
      <c r="O331" s="182">
        <f>IF(N331&lt;2019,2019,N331)</f>
        <v>2050</v>
      </c>
      <c r="P331" s="183">
        <f>'RSD (DEA)'!AZ177</f>
        <v>5.7</v>
      </c>
      <c r="Q331" s="183">
        <f>'RSD (DEA)'!BA177</f>
        <v>5.9</v>
      </c>
      <c r="R331" s="182">
        <f>'RSD (DEA)'!BR177/'RSD (DEA)'!S177</f>
        <v>7.85</v>
      </c>
      <c r="S331" s="182">
        <f>'RSD (DEA)'!BS177/X_RSD_HeatingDemand!$AA$8</f>
        <v>0.12291666666666666</v>
      </c>
      <c r="T331" s="182">
        <f>'RSD (DEA)'!BK177*X_RSD_HeatingDemand!$AA$9/'RSD (DEA)'!S177</f>
        <v>356.25</v>
      </c>
      <c r="U331" s="182">
        <f>'RSD (DEA)'!BI177</f>
        <v>20</v>
      </c>
      <c r="V331" s="182" t="str">
        <f t="shared" si="77"/>
        <v/>
      </c>
      <c r="W331" s="236">
        <f>'RSD (DEA)'!AM177</f>
        <v>31.536000000000001</v>
      </c>
    </row>
    <row r="332" spans="1:23" x14ac:dyDescent="0.3">
      <c r="A332" s="316"/>
      <c r="B332" s="235"/>
      <c r="C332" s="318"/>
      <c r="D332" s="235"/>
      <c r="E332" s="235"/>
      <c r="F332" s="242"/>
      <c r="G332" s="242"/>
      <c r="H332" s="235"/>
      <c r="I332" s="235"/>
      <c r="J332" s="182" t="str">
        <f>J331</f>
        <v>RSDAHT</v>
      </c>
      <c r="K332" s="235"/>
      <c r="L332" s="235" t="str">
        <f>$AA$11</f>
        <v>ACT</v>
      </c>
      <c r="M332" s="182" t="str">
        <f t="shared" si="91"/>
        <v/>
      </c>
      <c r="N332" s="182"/>
      <c r="O332" s="182"/>
      <c r="P332" s="183"/>
      <c r="Q332" s="183"/>
      <c r="R332" s="182"/>
      <c r="S332" s="182"/>
      <c r="T332" s="182"/>
      <c r="U332" s="182"/>
      <c r="V332" s="182">
        <f t="shared" si="77"/>
        <v>1</v>
      </c>
      <c r="W332" s="236"/>
    </row>
    <row r="333" spans="1:23" x14ac:dyDescent="0.3">
      <c r="A333" s="316"/>
      <c r="B333" s="235"/>
      <c r="C333" s="318"/>
      <c r="D333" s="235"/>
      <c r="E333" s="235"/>
      <c r="F333" s="242"/>
      <c r="G333" s="242"/>
      <c r="H333" s="235"/>
      <c r="I333" s="235"/>
      <c r="J333" s="182" t="str">
        <f>J332</f>
        <v>RSDAHT</v>
      </c>
      <c r="K333" s="235"/>
      <c r="L333" s="235" t="str">
        <f t="shared" ref="L333" si="95">I331</f>
        <v>RSDELC</v>
      </c>
      <c r="M333" s="182" t="str">
        <f t="shared" si="91"/>
        <v/>
      </c>
      <c r="N333" s="182"/>
      <c r="O333" s="182"/>
      <c r="P333" s="183"/>
      <c r="Q333" s="183"/>
      <c r="R333" s="182"/>
      <c r="S333" s="182"/>
      <c r="T333" s="182"/>
      <c r="U333" s="182"/>
      <c r="V333" s="182">
        <f t="shared" si="77"/>
        <v>-1</v>
      </c>
      <c r="W333" s="236"/>
    </row>
    <row r="334" spans="1:23" x14ac:dyDescent="0.3">
      <c r="A334" s="316"/>
      <c r="B334" s="235" t="str">
        <f>'RSD (DEA)'!AJ178&amp;"_"&amp;'RSD (DEA)'!Z178</f>
        <v>RHHSC_HP_GAS_01</v>
      </c>
      <c r="C334" s="318"/>
      <c r="D334" s="235" t="str">
        <f t="shared" si="93"/>
        <v>RHHSC_HP_GAS_01</v>
      </c>
      <c r="E334" s="235" t="str">
        <f>'RSD (DEA)'!Q178</f>
        <v>Gas driven absorption heat pumps</v>
      </c>
      <c r="F334" s="242" t="s">
        <v>239</v>
      </c>
      <c r="G334" s="242" t="s">
        <v>240</v>
      </c>
      <c r="H334" s="235">
        <f>'RSD (DEA)'!S178</f>
        <v>18</v>
      </c>
      <c r="I334" s="235" t="str">
        <f>IF(OR(RIGHT('RSD (DEA)'!AH178,3)="BIO",RIGHT(AD334,3)="BOA"),LEFT('RSD (DEA)'!AH178,3)&amp;"BFW",'RSD (DEA)'!AH178)</f>
        <v>RSDGAS</v>
      </c>
      <c r="J334" s="182" t="str">
        <f>'RSD (DEA)'!AI178</f>
        <v>RSDAHT</v>
      </c>
      <c r="K334" s="235" t="str">
        <f>'RSD (DEA)'!AJ178</f>
        <v>RHHSC</v>
      </c>
      <c r="L334" s="235"/>
      <c r="M334" s="182">
        <f t="shared" si="91"/>
        <v>2019</v>
      </c>
      <c r="N334" s="182">
        <f>'RSD (DEA)'!X178</f>
        <v>2015</v>
      </c>
      <c r="O334" s="182">
        <f>IF(N334&lt;2019,2019,N334)</f>
        <v>2019</v>
      </c>
      <c r="P334" s="183">
        <f>'RSD (DEA)'!AZ178</f>
        <v>1.35</v>
      </c>
      <c r="Q334" s="183">
        <f>'RSD (DEA)'!BA178</f>
        <v>0</v>
      </c>
      <c r="R334" s="182">
        <f>'RSD (DEA)'!BR178/'RSD (DEA)'!S178</f>
        <v>13.055555555555555</v>
      </c>
      <c r="S334" s="182">
        <f>'RSD (DEA)'!BS178/X_RSD_HeatingDemand!$AA$8</f>
        <v>0</v>
      </c>
      <c r="T334" s="182">
        <f>'RSD (DEA)'!BK178*X_RSD_HeatingDemand!$AA$9/'RSD (DEA)'!S178</f>
        <v>833.33333333333337</v>
      </c>
      <c r="U334" s="182">
        <f>'RSD (DEA)'!BI178</f>
        <v>20</v>
      </c>
      <c r="V334" s="182" t="str">
        <f t="shared" si="77"/>
        <v/>
      </c>
      <c r="W334" s="236">
        <f>'RSD (DEA)'!AM178</f>
        <v>31.536000000000001</v>
      </c>
    </row>
    <row r="335" spans="1:23" x14ac:dyDescent="0.3">
      <c r="A335" s="316"/>
      <c r="B335" s="235"/>
      <c r="C335" s="318"/>
      <c r="D335" s="235"/>
      <c r="E335" s="235"/>
      <c r="F335" s="242"/>
      <c r="G335" s="242"/>
      <c r="H335" s="235"/>
      <c r="I335" s="235"/>
      <c r="J335" s="182" t="str">
        <f>J334</f>
        <v>RSDAHT</v>
      </c>
      <c r="K335" s="235"/>
      <c r="L335" s="235" t="str">
        <f>$AA$11</f>
        <v>ACT</v>
      </c>
      <c r="M335" s="182" t="str">
        <f t="shared" si="91"/>
        <v/>
      </c>
      <c r="N335" s="182"/>
      <c r="O335" s="182"/>
      <c r="P335" s="183"/>
      <c r="Q335" s="183"/>
      <c r="R335" s="182"/>
      <c r="S335" s="182"/>
      <c r="T335" s="182"/>
      <c r="U335" s="182"/>
      <c r="V335" s="182">
        <f t="shared" si="77"/>
        <v>1</v>
      </c>
      <c r="W335" s="236"/>
    </row>
    <row r="336" spans="1:23" x14ac:dyDescent="0.3">
      <c r="A336" s="316"/>
      <c r="B336" s="235"/>
      <c r="C336" s="318"/>
      <c r="D336" s="235"/>
      <c r="E336" s="235"/>
      <c r="F336" s="242"/>
      <c r="G336" s="242"/>
      <c r="H336" s="235"/>
      <c r="I336" s="235"/>
      <c r="J336" s="182" t="str">
        <f>J335</f>
        <v>RSDAHT</v>
      </c>
      <c r="K336" s="235"/>
      <c r="L336" s="235" t="str">
        <f t="shared" ref="L336" si="96">I334</f>
        <v>RSDGAS</v>
      </c>
      <c r="M336" s="182" t="str">
        <f t="shared" si="91"/>
        <v/>
      </c>
      <c r="N336" s="182"/>
      <c r="O336" s="182"/>
      <c r="P336" s="183"/>
      <c r="Q336" s="183"/>
      <c r="R336" s="182"/>
      <c r="S336" s="182"/>
      <c r="T336" s="182"/>
      <c r="U336" s="182"/>
      <c r="V336" s="182">
        <f t="shared" si="77"/>
        <v>-1</v>
      </c>
      <c r="W336" s="236"/>
    </row>
    <row r="337" spans="1:23" x14ac:dyDescent="0.3">
      <c r="A337" s="316"/>
      <c r="B337" s="235" t="str">
        <f>'RSD (DEA)'!AJ179&amp;"_"&amp;'RSD (DEA)'!Z179</f>
        <v>RHHSC_HP_GAS_01</v>
      </c>
      <c r="C337" s="318"/>
      <c r="D337" s="235" t="str">
        <f t="shared" si="93"/>
        <v>RHHSC_HP_GAS_01</v>
      </c>
      <c r="E337" s="235" t="str">
        <f>'RSD (DEA)'!Q179</f>
        <v>Gas driven absorption heat pumps</v>
      </c>
      <c r="F337" s="242" t="s">
        <v>239</v>
      </c>
      <c r="G337" s="242" t="s">
        <v>240</v>
      </c>
      <c r="H337" s="235">
        <f>'RSD (DEA)'!S179</f>
        <v>30</v>
      </c>
      <c r="I337" s="235" t="str">
        <f>IF(OR(RIGHT('RSD (DEA)'!AH179,3)="BIO",RIGHT(AD337,3)="BOA"),LEFT('RSD (DEA)'!AH179,3)&amp;"BFW",'RSD (DEA)'!AH179)</f>
        <v>RSDGAS</v>
      </c>
      <c r="J337" s="182" t="str">
        <f>'RSD (DEA)'!AI179</f>
        <v>RSDAHT</v>
      </c>
      <c r="K337" s="235" t="str">
        <f>'RSD (DEA)'!AJ179</f>
        <v>RHHSC</v>
      </c>
      <c r="L337" s="235"/>
      <c r="M337" s="182">
        <f t="shared" si="91"/>
        <v>2019</v>
      </c>
      <c r="N337" s="182">
        <f>'RSD (DEA)'!X179</f>
        <v>2020</v>
      </c>
      <c r="O337" s="182">
        <f>IF(N337&lt;2019,2019,N337)</f>
        <v>2020</v>
      </c>
      <c r="P337" s="183">
        <f>'RSD (DEA)'!AZ179</f>
        <v>1.45</v>
      </c>
      <c r="Q337" s="183">
        <f>'RSD (DEA)'!BA179</f>
        <v>0</v>
      </c>
      <c r="R337" s="182">
        <f>'RSD (DEA)'!BR179/'RSD (DEA)'!S179</f>
        <v>7.833333333333333</v>
      </c>
      <c r="S337" s="182">
        <f>'RSD (DEA)'!BS179/X_RSD_HeatingDemand!$AA$8</f>
        <v>0</v>
      </c>
      <c r="T337" s="182">
        <f>'RSD (DEA)'!BK179*X_RSD_HeatingDemand!$AA$9/'RSD (DEA)'!S179</f>
        <v>466.66666666666669</v>
      </c>
      <c r="U337" s="182">
        <f>'RSD (DEA)'!BI179</f>
        <v>20</v>
      </c>
      <c r="V337" s="182" t="str">
        <f t="shared" si="77"/>
        <v/>
      </c>
      <c r="W337" s="236">
        <f>'RSD (DEA)'!AM179</f>
        <v>31.536000000000001</v>
      </c>
    </row>
    <row r="338" spans="1:23" x14ac:dyDescent="0.3">
      <c r="A338" s="316"/>
      <c r="B338" s="235"/>
      <c r="C338" s="318"/>
      <c r="D338" s="235"/>
      <c r="E338" s="235"/>
      <c r="F338" s="242"/>
      <c r="G338" s="242"/>
      <c r="H338" s="235"/>
      <c r="I338" s="235"/>
      <c r="J338" s="182" t="str">
        <f>J337</f>
        <v>RSDAHT</v>
      </c>
      <c r="K338" s="235"/>
      <c r="L338" s="235" t="str">
        <f>$AA$11</f>
        <v>ACT</v>
      </c>
      <c r="M338" s="182" t="str">
        <f t="shared" si="91"/>
        <v/>
      </c>
      <c r="N338" s="182"/>
      <c r="O338" s="182"/>
      <c r="P338" s="183"/>
      <c r="Q338" s="183"/>
      <c r="R338" s="182"/>
      <c r="S338" s="182"/>
      <c r="T338" s="182"/>
      <c r="U338" s="182"/>
      <c r="V338" s="182">
        <f t="shared" si="77"/>
        <v>1</v>
      </c>
      <c r="W338" s="236"/>
    </row>
    <row r="339" spans="1:23" x14ac:dyDescent="0.3">
      <c r="A339" s="316"/>
      <c r="B339" s="235"/>
      <c r="C339" s="318"/>
      <c r="D339" s="235"/>
      <c r="E339" s="235"/>
      <c r="F339" s="242"/>
      <c r="G339" s="242"/>
      <c r="H339" s="235"/>
      <c r="I339" s="235"/>
      <c r="J339" s="182" t="str">
        <f>J338</f>
        <v>RSDAHT</v>
      </c>
      <c r="K339" s="235"/>
      <c r="L339" s="235" t="str">
        <f t="shared" ref="L339" si="97">I337</f>
        <v>RSDGAS</v>
      </c>
      <c r="M339" s="182" t="str">
        <f t="shared" si="91"/>
        <v/>
      </c>
      <c r="N339" s="182"/>
      <c r="O339" s="182"/>
      <c r="P339" s="183"/>
      <c r="Q339" s="183"/>
      <c r="R339" s="182"/>
      <c r="S339" s="182"/>
      <c r="T339" s="182"/>
      <c r="U339" s="182"/>
      <c r="V339" s="182">
        <f t="shared" si="77"/>
        <v>-1</v>
      </c>
      <c r="W339" s="236"/>
    </row>
    <row r="340" spans="1:23" x14ac:dyDescent="0.3">
      <c r="A340" s="316"/>
      <c r="B340" s="235" t="str">
        <f>'RSD (DEA)'!AJ180&amp;"_"&amp;'RSD (DEA)'!Z180</f>
        <v>RHHSC_HP_GAS_01</v>
      </c>
      <c r="C340" s="318"/>
      <c r="D340" s="235" t="str">
        <f t="shared" si="93"/>
        <v>RHHSC_HP_GAS_01</v>
      </c>
      <c r="E340" s="235" t="str">
        <f>'RSD (DEA)'!Q180</f>
        <v>Gas driven absorption heat pumps</v>
      </c>
      <c r="F340" s="242" t="s">
        <v>239</v>
      </c>
      <c r="G340" s="242" t="s">
        <v>240</v>
      </c>
      <c r="H340" s="235">
        <f>'RSD (DEA)'!S180</f>
        <v>30</v>
      </c>
      <c r="I340" s="235" t="str">
        <f>IF(OR(RIGHT('RSD (DEA)'!AH180,3)="BIO",RIGHT(AD340,3)="BOA"),LEFT('RSD (DEA)'!AH180,3)&amp;"BFW",'RSD (DEA)'!AH180)</f>
        <v>RSDGAS</v>
      </c>
      <c r="J340" s="182" t="str">
        <f>'RSD (DEA)'!AI180</f>
        <v>RSDAHT</v>
      </c>
      <c r="K340" s="235" t="str">
        <f>'RSD (DEA)'!AJ180</f>
        <v>RHHSC</v>
      </c>
      <c r="L340" s="235"/>
      <c r="M340" s="182">
        <f t="shared" si="91"/>
        <v>2019</v>
      </c>
      <c r="N340" s="182">
        <f>'RSD (DEA)'!X180</f>
        <v>2030</v>
      </c>
      <c r="O340" s="182">
        <f>IF(N340&lt;2019,2019,N340)</f>
        <v>2030</v>
      </c>
      <c r="P340" s="183">
        <f>'RSD (DEA)'!AZ180</f>
        <v>1.7</v>
      </c>
      <c r="Q340" s="183">
        <f>'RSD (DEA)'!BA180</f>
        <v>0</v>
      </c>
      <c r="R340" s="182">
        <f>'RSD (DEA)'!BR180/'RSD (DEA)'!S180</f>
        <v>7.833333333333333</v>
      </c>
      <c r="S340" s="182">
        <f>'RSD (DEA)'!BS180/X_RSD_HeatingDemand!$AA$8</f>
        <v>0</v>
      </c>
      <c r="T340" s="182">
        <f>'RSD (DEA)'!BK180*X_RSD_HeatingDemand!$AA$9/'RSD (DEA)'!S180</f>
        <v>433.33333333333331</v>
      </c>
      <c r="U340" s="182">
        <f>'RSD (DEA)'!BI180</f>
        <v>20</v>
      </c>
      <c r="V340" s="182" t="str">
        <f t="shared" si="77"/>
        <v/>
      </c>
      <c r="W340" s="236">
        <f>'RSD (DEA)'!AM180</f>
        <v>31.536000000000001</v>
      </c>
    </row>
    <row r="341" spans="1:23" x14ac:dyDescent="0.3">
      <c r="A341" s="316"/>
      <c r="B341" s="235"/>
      <c r="C341" s="318"/>
      <c r="D341" s="235"/>
      <c r="E341" s="235"/>
      <c r="F341" s="242"/>
      <c r="G341" s="242"/>
      <c r="H341" s="235"/>
      <c r="I341" s="235"/>
      <c r="J341" s="182" t="str">
        <f>J340</f>
        <v>RSDAHT</v>
      </c>
      <c r="K341" s="235"/>
      <c r="L341" s="235" t="str">
        <f>$AA$11</f>
        <v>ACT</v>
      </c>
      <c r="M341" s="182" t="str">
        <f t="shared" si="91"/>
        <v/>
      </c>
      <c r="N341" s="182"/>
      <c r="O341" s="182"/>
      <c r="P341" s="183"/>
      <c r="Q341" s="183"/>
      <c r="R341" s="182"/>
      <c r="S341" s="182"/>
      <c r="T341" s="182"/>
      <c r="U341" s="182"/>
      <c r="V341" s="182">
        <f t="shared" si="77"/>
        <v>1</v>
      </c>
      <c r="W341" s="236"/>
    </row>
    <row r="342" spans="1:23" x14ac:dyDescent="0.3">
      <c r="A342" s="316"/>
      <c r="B342" s="235"/>
      <c r="C342" s="318"/>
      <c r="D342" s="235"/>
      <c r="E342" s="235"/>
      <c r="F342" s="242"/>
      <c r="G342" s="242"/>
      <c r="H342" s="235"/>
      <c r="I342" s="235"/>
      <c r="J342" s="182" t="str">
        <f>J341</f>
        <v>RSDAHT</v>
      </c>
      <c r="K342" s="235"/>
      <c r="L342" s="235" t="str">
        <f t="shared" ref="L342" si="98">I340</f>
        <v>RSDGAS</v>
      </c>
      <c r="M342" s="182" t="str">
        <f t="shared" si="91"/>
        <v/>
      </c>
      <c r="N342" s="182"/>
      <c r="O342" s="182"/>
      <c r="P342" s="183"/>
      <c r="Q342" s="183"/>
      <c r="R342" s="182"/>
      <c r="S342" s="182"/>
      <c r="T342" s="182"/>
      <c r="U342" s="182"/>
      <c r="V342" s="182">
        <f t="shared" si="77"/>
        <v>-1</v>
      </c>
      <c r="W342" s="236"/>
    </row>
    <row r="343" spans="1:23" x14ac:dyDescent="0.3">
      <c r="A343" s="316"/>
      <c r="B343" s="235" t="str">
        <f>'RSD (DEA)'!AJ181&amp;"_"&amp;'RSD (DEA)'!Z181</f>
        <v>RHHSC_HP_GAS_01</v>
      </c>
      <c r="C343" s="318"/>
      <c r="D343" s="235" t="str">
        <f t="shared" si="93"/>
        <v>RHHSC_HP_GAS_01</v>
      </c>
      <c r="E343" s="235" t="str">
        <f>'RSD (DEA)'!Q181</f>
        <v>Gas driven absorption heat pumps</v>
      </c>
      <c r="F343" s="242" t="s">
        <v>239</v>
      </c>
      <c r="G343" s="242" t="s">
        <v>240</v>
      </c>
      <c r="H343" s="235">
        <f>'RSD (DEA)'!S181</f>
        <v>30</v>
      </c>
      <c r="I343" s="235" t="str">
        <f>IF(OR(RIGHT('RSD (DEA)'!AH181,3)="BIO",RIGHT(AD343,3)="BOA"),LEFT('RSD (DEA)'!AH181,3)&amp;"BFW",'RSD (DEA)'!AH181)</f>
        <v>RSDGAS</v>
      </c>
      <c r="J343" s="182" t="str">
        <f>'RSD (DEA)'!AI181</f>
        <v>RSDAHT</v>
      </c>
      <c r="K343" s="235" t="str">
        <f>'RSD (DEA)'!AJ181</f>
        <v>RHHSC</v>
      </c>
      <c r="L343" s="235"/>
      <c r="M343" s="182">
        <f t="shared" si="91"/>
        <v>2019</v>
      </c>
      <c r="N343" s="182">
        <f>'RSD (DEA)'!X181</f>
        <v>2050</v>
      </c>
      <c r="O343" s="182">
        <f>IF(N343&lt;2019,2019,N343)</f>
        <v>2050</v>
      </c>
      <c r="P343" s="183">
        <f>'RSD (DEA)'!AZ181</f>
        <v>1.7</v>
      </c>
      <c r="Q343" s="183">
        <f>'RSD (DEA)'!BA181</f>
        <v>0</v>
      </c>
      <c r="R343" s="182">
        <f>'RSD (DEA)'!BR181/'RSD (DEA)'!S181</f>
        <v>7.833333333333333</v>
      </c>
      <c r="S343" s="182">
        <f>'RSD (DEA)'!BS181/X_RSD_HeatingDemand!$AA$8</f>
        <v>0</v>
      </c>
      <c r="T343" s="182">
        <f>'RSD (DEA)'!BK181*X_RSD_HeatingDemand!$AA$9/'RSD (DEA)'!S181</f>
        <v>400</v>
      </c>
      <c r="U343" s="182">
        <f>'RSD (DEA)'!BI181</f>
        <v>20</v>
      </c>
      <c r="V343" s="182" t="str">
        <f t="shared" si="77"/>
        <v/>
      </c>
      <c r="W343" s="236">
        <f>'RSD (DEA)'!AM181</f>
        <v>31.536000000000001</v>
      </c>
    </row>
    <row r="344" spans="1:23" x14ac:dyDescent="0.3">
      <c r="A344" s="316"/>
      <c r="B344" s="235"/>
      <c r="C344" s="318"/>
      <c r="D344" s="235"/>
      <c r="E344" s="235"/>
      <c r="F344" s="242"/>
      <c r="G344" s="242"/>
      <c r="H344" s="235"/>
      <c r="I344" s="235"/>
      <c r="J344" s="182" t="str">
        <f>J343</f>
        <v>RSDAHT</v>
      </c>
      <c r="K344" s="235"/>
      <c r="L344" s="235" t="str">
        <f>$AA$11</f>
        <v>ACT</v>
      </c>
      <c r="M344" s="182" t="str">
        <f t="shared" si="91"/>
        <v/>
      </c>
      <c r="N344" s="182"/>
      <c r="O344" s="182"/>
      <c r="P344" s="183"/>
      <c r="Q344" s="183"/>
      <c r="R344" s="182"/>
      <c r="S344" s="182"/>
      <c r="T344" s="182"/>
      <c r="U344" s="182"/>
      <c r="V344" s="182">
        <f t="shared" si="77"/>
        <v>1</v>
      </c>
      <c r="W344" s="236"/>
    </row>
    <row r="345" spans="1:23" x14ac:dyDescent="0.3">
      <c r="A345" s="316"/>
      <c r="B345" s="235"/>
      <c r="C345" s="318"/>
      <c r="D345" s="235"/>
      <c r="E345" s="235"/>
      <c r="F345" s="242"/>
      <c r="G345" s="242"/>
      <c r="H345" s="235"/>
      <c r="I345" s="235"/>
      <c r="J345" s="182" t="str">
        <f>J344</f>
        <v>RSDAHT</v>
      </c>
      <c r="K345" s="235"/>
      <c r="L345" s="235" t="str">
        <f t="shared" ref="L345" si="99">I343</f>
        <v>RSDGAS</v>
      </c>
      <c r="M345" s="182" t="str">
        <f t="shared" si="91"/>
        <v/>
      </c>
      <c r="N345" s="182"/>
      <c r="O345" s="182"/>
      <c r="P345" s="183"/>
      <c r="Q345" s="183"/>
      <c r="R345" s="182"/>
      <c r="S345" s="182"/>
      <c r="T345" s="182"/>
      <c r="U345" s="182"/>
      <c r="V345" s="182">
        <f t="shared" si="77"/>
        <v>-1</v>
      </c>
      <c r="W345" s="236"/>
    </row>
    <row r="346" spans="1:23" x14ac:dyDescent="0.3">
      <c r="A346" s="316"/>
      <c r="B346" s="235" t="str">
        <f>'RSD (DEA)'!AJ182&amp;"_"&amp;'RSD (DEA)'!Z182</f>
        <v>RHHSC_HP_GAS_02</v>
      </c>
      <c r="C346" s="318"/>
      <c r="D346" s="235" t="str">
        <f t="shared" si="93"/>
        <v>RHHSC_HP_GAS_02</v>
      </c>
      <c r="E346" s="235" t="str">
        <f>'RSD (DEA)'!Q182</f>
        <v>Gas driven absorption heat pumps</v>
      </c>
      <c r="F346" s="242" t="s">
        <v>239</v>
      </c>
      <c r="G346" s="242" t="s">
        <v>240</v>
      </c>
      <c r="H346" s="235">
        <f>'RSD (DEA)'!S182</f>
        <v>18</v>
      </c>
      <c r="I346" s="235" t="str">
        <f>IF(OR(RIGHT('RSD (DEA)'!AH182,3)="BIO",RIGHT(AD346,3)="BOA"),LEFT('RSD (DEA)'!AH182,3)&amp;"BFW",'RSD (DEA)'!AH182)</f>
        <v>RSDGAS</v>
      </c>
      <c r="J346" s="182" t="str">
        <f>'RSD (DEA)'!AI182</f>
        <v>RSDAHT</v>
      </c>
      <c r="K346" s="235" t="str">
        <f>'RSD (DEA)'!AJ182</f>
        <v>RHHSC</v>
      </c>
      <c r="L346" s="235"/>
      <c r="M346" s="182">
        <f t="shared" si="91"/>
        <v>2019</v>
      </c>
      <c r="N346" s="182">
        <f>'RSD (DEA)'!X182</f>
        <v>2015</v>
      </c>
      <c r="O346" s="182">
        <f>IF(N346&lt;2019,2019,N346)</f>
        <v>2019</v>
      </c>
      <c r="P346" s="183">
        <f>'RSD (DEA)'!AZ182</f>
        <v>1.35</v>
      </c>
      <c r="Q346" s="183">
        <f>'RSD (DEA)'!BA182</f>
        <v>0</v>
      </c>
      <c r="R346" s="182">
        <f>'RSD (DEA)'!BR182/'RSD (DEA)'!S182</f>
        <v>13.055555555555555</v>
      </c>
      <c r="S346" s="182">
        <f>'RSD (DEA)'!BS182/X_RSD_HeatingDemand!$AA$8</f>
        <v>0</v>
      </c>
      <c r="T346" s="182">
        <f>'RSD (DEA)'!BK182*X_RSD_HeatingDemand!$AA$9/'RSD (DEA)'!S182</f>
        <v>1222.2222222222222</v>
      </c>
      <c r="U346" s="182">
        <f>'RSD (DEA)'!BI182</f>
        <v>20</v>
      </c>
      <c r="V346" s="182" t="str">
        <f t="shared" si="77"/>
        <v/>
      </c>
      <c r="W346" s="236">
        <f>'RSD (DEA)'!AM182</f>
        <v>31.536000000000001</v>
      </c>
    </row>
    <row r="347" spans="1:23" x14ac:dyDescent="0.3">
      <c r="A347" s="316"/>
      <c r="B347" s="235"/>
      <c r="C347" s="318"/>
      <c r="D347" s="235"/>
      <c r="E347" s="235"/>
      <c r="F347" s="242"/>
      <c r="G347" s="242"/>
      <c r="H347" s="235"/>
      <c r="I347" s="235"/>
      <c r="J347" s="182" t="str">
        <f>J346</f>
        <v>RSDAHT</v>
      </c>
      <c r="K347" s="235"/>
      <c r="L347" s="235" t="str">
        <f>$AA$11</f>
        <v>ACT</v>
      </c>
      <c r="M347" s="182" t="str">
        <f t="shared" si="91"/>
        <v/>
      </c>
      <c r="N347" s="182"/>
      <c r="O347" s="182"/>
      <c r="P347" s="183"/>
      <c r="Q347" s="183"/>
      <c r="R347" s="182"/>
      <c r="S347" s="182"/>
      <c r="T347" s="182"/>
      <c r="U347" s="182"/>
      <c r="V347" s="182">
        <f t="shared" si="77"/>
        <v>1</v>
      </c>
      <c r="W347" s="236"/>
    </row>
    <row r="348" spans="1:23" x14ac:dyDescent="0.3">
      <c r="A348" s="316"/>
      <c r="B348" s="235"/>
      <c r="C348" s="318"/>
      <c r="D348" s="235"/>
      <c r="E348" s="235"/>
      <c r="F348" s="242"/>
      <c r="G348" s="242"/>
      <c r="H348" s="235"/>
      <c r="I348" s="235"/>
      <c r="J348" s="182" t="str">
        <f>J347</f>
        <v>RSDAHT</v>
      </c>
      <c r="K348" s="235"/>
      <c r="L348" s="235" t="str">
        <f t="shared" ref="L348" si="100">I346</f>
        <v>RSDGAS</v>
      </c>
      <c r="M348" s="182" t="str">
        <f t="shared" si="91"/>
        <v/>
      </c>
      <c r="N348" s="182"/>
      <c r="O348" s="182"/>
      <c r="P348" s="183"/>
      <c r="Q348" s="183"/>
      <c r="R348" s="182"/>
      <c r="S348" s="182"/>
      <c r="T348" s="182"/>
      <c r="U348" s="182"/>
      <c r="V348" s="182">
        <f t="shared" si="77"/>
        <v>-1</v>
      </c>
      <c r="W348" s="236"/>
    </row>
    <row r="349" spans="1:23" x14ac:dyDescent="0.3">
      <c r="A349" s="316"/>
      <c r="B349" s="235" t="str">
        <f>'RSD (DEA)'!AJ183&amp;"_"&amp;'RSD (DEA)'!Z183</f>
        <v>RHHSC_HP_GAS_02</v>
      </c>
      <c r="C349" s="318"/>
      <c r="D349" s="235" t="str">
        <f t="shared" si="93"/>
        <v>RHHSC_HP_GAS_02</v>
      </c>
      <c r="E349" s="235" t="str">
        <f>'RSD (DEA)'!Q183</f>
        <v>Gas driven absorption heat pumps</v>
      </c>
      <c r="F349" s="242" t="s">
        <v>239</v>
      </c>
      <c r="G349" s="242" t="s">
        <v>240</v>
      </c>
      <c r="H349" s="235">
        <f>'RSD (DEA)'!S183</f>
        <v>30</v>
      </c>
      <c r="I349" s="235" t="str">
        <f>IF(OR(RIGHT('RSD (DEA)'!AH183,3)="BIO",RIGHT(AD349,3)="BOA"),LEFT('RSD (DEA)'!AH183,3)&amp;"BFW",'RSD (DEA)'!AH183)</f>
        <v>RSDGAS</v>
      </c>
      <c r="J349" s="182" t="str">
        <f>'RSD (DEA)'!AI183</f>
        <v>RSDAHT</v>
      </c>
      <c r="K349" s="235" t="str">
        <f>'RSD (DEA)'!AJ183</f>
        <v>RHHSC</v>
      </c>
      <c r="L349" s="235"/>
      <c r="M349" s="182">
        <f t="shared" si="91"/>
        <v>2019</v>
      </c>
      <c r="N349" s="182">
        <f>'RSD (DEA)'!X183</f>
        <v>2020</v>
      </c>
      <c r="O349" s="182">
        <f>IF(N349&lt;2019,2019,N349)</f>
        <v>2020</v>
      </c>
      <c r="P349" s="183">
        <f>'RSD (DEA)'!AZ183</f>
        <v>1.45</v>
      </c>
      <c r="Q349" s="183">
        <f>'RSD (DEA)'!BA183</f>
        <v>0</v>
      </c>
      <c r="R349" s="182">
        <f>'RSD (DEA)'!BR183/'RSD (DEA)'!S183</f>
        <v>7.833333333333333</v>
      </c>
      <c r="S349" s="182">
        <f>'RSD (DEA)'!BS183/X_RSD_HeatingDemand!$AA$8</f>
        <v>0</v>
      </c>
      <c r="T349" s="182">
        <f>'RSD (DEA)'!BK183*X_RSD_HeatingDemand!$AA$9/'RSD (DEA)'!S183</f>
        <v>700</v>
      </c>
      <c r="U349" s="182">
        <f>'RSD (DEA)'!BI183</f>
        <v>20</v>
      </c>
      <c r="V349" s="182" t="str">
        <f t="shared" si="77"/>
        <v/>
      </c>
      <c r="W349" s="236">
        <f>'RSD (DEA)'!AM183</f>
        <v>31.536000000000001</v>
      </c>
    </row>
    <row r="350" spans="1:23" x14ac:dyDescent="0.3">
      <c r="A350" s="316"/>
      <c r="B350" s="235"/>
      <c r="C350" s="318"/>
      <c r="D350" s="235"/>
      <c r="E350" s="235"/>
      <c r="F350" s="242"/>
      <c r="G350" s="242"/>
      <c r="H350" s="235"/>
      <c r="I350" s="235"/>
      <c r="J350" s="182" t="str">
        <f>J349</f>
        <v>RSDAHT</v>
      </c>
      <c r="K350" s="235"/>
      <c r="L350" s="235" t="str">
        <f>$AA$11</f>
        <v>ACT</v>
      </c>
      <c r="M350" s="182" t="str">
        <f t="shared" si="91"/>
        <v/>
      </c>
      <c r="N350" s="182"/>
      <c r="O350" s="182"/>
      <c r="P350" s="183"/>
      <c r="Q350" s="183"/>
      <c r="R350" s="182"/>
      <c r="S350" s="182"/>
      <c r="T350" s="182"/>
      <c r="U350" s="182"/>
      <c r="V350" s="182">
        <f t="shared" si="77"/>
        <v>1</v>
      </c>
      <c r="W350" s="236"/>
    </row>
    <row r="351" spans="1:23" x14ac:dyDescent="0.3">
      <c r="A351" s="316"/>
      <c r="B351" s="235"/>
      <c r="C351" s="318"/>
      <c r="D351" s="235"/>
      <c r="E351" s="235"/>
      <c r="F351" s="242"/>
      <c r="G351" s="242"/>
      <c r="H351" s="235"/>
      <c r="I351" s="235"/>
      <c r="J351" s="182" t="str">
        <f>J350</f>
        <v>RSDAHT</v>
      </c>
      <c r="K351" s="235"/>
      <c r="L351" s="235" t="str">
        <f t="shared" ref="L351" si="101">I349</f>
        <v>RSDGAS</v>
      </c>
      <c r="M351" s="182" t="str">
        <f t="shared" si="91"/>
        <v/>
      </c>
      <c r="N351" s="182"/>
      <c r="O351" s="182"/>
      <c r="P351" s="183"/>
      <c r="Q351" s="183"/>
      <c r="R351" s="182"/>
      <c r="S351" s="182"/>
      <c r="T351" s="182"/>
      <c r="U351" s="182"/>
      <c r="V351" s="182">
        <f t="shared" ref="V351:V417" si="102">IF(L351="ACT",1,IF(LEFT(L351,3)="RSD",-1,""))</f>
        <v>-1</v>
      </c>
      <c r="W351" s="236"/>
    </row>
    <row r="352" spans="1:23" x14ac:dyDescent="0.3">
      <c r="A352" s="316"/>
      <c r="B352" s="235" t="str">
        <f>'RSD (DEA)'!AJ184&amp;"_"&amp;'RSD (DEA)'!Z184</f>
        <v>RHHSC_HP_GAS_02</v>
      </c>
      <c r="C352" s="318"/>
      <c r="D352" s="235" t="str">
        <f t="shared" si="93"/>
        <v>RHHSC_HP_GAS_02</v>
      </c>
      <c r="E352" s="235" t="str">
        <f>'RSD (DEA)'!Q184</f>
        <v>Gas driven absorption heat pumps</v>
      </c>
      <c r="F352" s="242" t="s">
        <v>239</v>
      </c>
      <c r="G352" s="242" t="s">
        <v>240</v>
      </c>
      <c r="H352" s="235">
        <f>'RSD (DEA)'!S184</f>
        <v>30</v>
      </c>
      <c r="I352" s="235" t="str">
        <f>IF(OR(RIGHT('RSD (DEA)'!AH184,3)="BIO",RIGHT(AD352,3)="BOA"),LEFT('RSD (DEA)'!AH184,3)&amp;"BFW",'RSD (DEA)'!AH184)</f>
        <v>RSDGAS</v>
      </c>
      <c r="J352" s="182" t="str">
        <f>'RSD (DEA)'!AI184</f>
        <v>RSDAHT</v>
      </c>
      <c r="K352" s="235" t="str">
        <f>'RSD (DEA)'!AJ184</f>
        <v>RHHSC</v>
      </c>
      <c r="L352" s="235"/>
      <c r="M352" s="182">
        <f t="shared" si="91"/>
        <v>2019</v>
      </c>
      <c r="N352" s="182">
        <f>'RSD (DEA)'!X184</f>
        <v>2030</v>
      </c>
      <c r="O352" s="182">
        <f>IF(N352&lt;2019,2019,N352)</f>
        <v>2030</v>
      </c>
      <c r="P352" s="183">
        <f>'RSD (DEA)'!AZ184</f>
        <v>1.7</v>
      </c>
      <c r="Q352" s="183">
        <f>'RSD (DEA)'!BA184</f>
        <v>0</v>
      </c>
      <c r="R352" s="182">
        <f>'RSD (DEA)'!BR184/'RSD (DEA)'!S184</f>
        <v>7.833333333333333</v>
      </c>
      <c r="S352" s="182">
        <f>'RSD (DEA)'!BS184/X_RSD_HeatingDemand!$AA$8</f>
        <v>0</v>
      </c>
      <c r="T352" s="182">
        <f>'RSD (DEA)'!BK184*X_RSD_HeatingDemand!$AA$9/'RSD (DEA)'!S184</f>
        <v>666.66666666666663</v>
      </c>
      <c r="U352" s="182">
        <f>'RSD (DEA)'!BI184</f>
        <v>20</v>
      </c>
      <c r="V352" s="182" t="str">
        <f t="shared" si="102"/>
        <v/>
      </c>
      <c r="W352" s="236">
        <f>'RSD (DEA)'!AM184</f>
        <v>31.536000000000001</v>
      </c>
    </row>
    <row r="353" spans="1:23" x14ac:dyDescent="0.3">
      <c r="A353" s="316"/>
      <c r="B353" s="235"/>
      <c r="C353" s="318"/>
      <c r="D353" s="235"/>
      <c r="E353" s="235"/>
      <c r="F353" s="242"/>
      <c r="G353" s="242"/>
      <c r="H353" s="235"/>
      <c r="I353" s="235"/>
      <c r="J353" s="182" t="str">
        <f>J352</f>
        <v>RSDAHT</v>
      </c>
      <c r="K353" s="235"/>
      <c r="L353" s="235" t="str">
        <f>$AA$11</f>
        <v>ACT</v>
      </c>
      <c r="M353" s="182" t="str">
        <f t="shared" si="91"/>
        <v/>
      </c>
      <c r="N353" s="182"/>
      <c r="O353" s="182"/>
      <c r="P353" s="183"/>
      <c r="Q353" s="183"/>
      <c r="R353" s="182"/>
      <c r="S353" s="182"/>
      <c r="T353" s="182"/>
      <c r="U353" s="182"/>
      <c r="V353" s="182">
        <f t="shared" si="102"/>
        <v>1</v>
      </c>
      <c r="W353" s="236"/>
    </row>
    <row r="354" spans="1:23" x14ac:dyDescent="0.3">
      <c r="A354" s="316"/>
      <c r="B354" s="235"/>
      <c r="C354" s="318"/>
      <c r="D354" s="235"/>
      <c r="E354" s="235"/>
      <c r="F354" s="242"/>
      <c r="G354" s="242"/>
      <c r="H354" s="235"/>
      <c r="I354" s="235"/>
      <c r="J354" s="182" t="str">
        <f>J353</f>
        <v>RSDAHT</v>
      </c>
      <c r="K354" s="235"/>
      <c r="L354" s="235" t="str">
        <f t="shared" ref="L354" si="103">I352</f>
        <v>RSDGAS</v>
      </c>
      <c r="M354" s="182" t="str">
        <f t="shared" si="91"/>
        <v/>
      </c>
      <c r="N354" s="182"/>
      <c r="O354" s="182"/>
      <c r="P354" s="183"/>
      <c r="Q354" s="183"/>
      <c r="R354" s="182"/>
      <c r="S354" s="182"/>
      <c r="T354" s="182"/>
      <c r="U354" s="182"/>
      <c r="V354" s="182">
        <f t="shared" si="102"/>
        <v>-1</v>
      </c>
      <c r="W354" s="236"/>
    </row>
    <row r="355" spans="1:23" x14ac:dyDescent="0.3">
      <c r="A355" s="316"/>
      <c r="B355" s="235" t="str">
        <f>'RSD (DEA)'!AJ185&amp;"_"&amp;'RSD (DEA)'!Z185</f>
        <v>RHHSC_HP_GAS_02</v>
      </c>
      <c r="C355" s="318"/>
      <c r="D355" s="235" t="str">
        <f t="shared" si="93"/>
        <v>RHHSC_HP_GAS_02</v>
      </c>
      <c r="E355" s="235" t="str">
        <f>'RSD (DEA)'!Q185</f>
        <v>Gas driven absorption heat pumps</v>
      </c>
      <c r="F355" s="242" t="s">
        <v>239</v>
      </c>
      <c r="G355" s="242" t="s">
        <v>240</v>
      </c>
      <c r="H355" s="235">
        <f>'RSD (DEA)'!S185</f>
        <v>30</v>
      </c>
      <c r="I355" s="235" t="str">
        <f>IF(OR(RIGHT('RSD (DEA)'!AH185,3)="BIO",RIGHT(AD355,3)="BOA"),LEFT('RSD (DEA)'!AH185,3)&amp;"BFW",'RSD (DEA)'!AH185)</f>
        <v>RSDGAS</v>
      </c>
      <c r="J355" s="182" t="str">
        <f>'RSD (DEA)'!AI185</f>
        <v>RSDAHT</v>
      </c>
      <c r="K355" s="235" t="str">
        <f>'RSD (DEA)'!AJ185</f>
        <v>RHHSC</v>
      </c>
      <c r="L355" s="235"/>
      <c r="M355" s="182">
        <f t="shared" si="91"/>
        <v>2019</v>
      </c>
      <c r="N355" s="182">
        <f>'RSD (DEA)'!X185</f>
        <v>2050</v>
      </c>
      <c r="O355" s="182">
        <f>IF(N355&lt;2019,2019,N355)</f>
        <v>2050</v>
      </c>
      <c r="P355" s="183">
        <f>'RSD (DEA)'!AZ185</f>
        <v>1.7</v>
      </c>
      <c r="Q355" s="183">
        <f>'RSD (DEA)'!BA185</f>
        <v>0</v>
      </c>
      <c r="R355" s="182">
        <f>'RSD (DEA)'!BR185/'RSD (DEA)'!S185</f>
        <v>7.833333333333333</v>
      </c>
      <c r="S355" s="182">
        <f>'RSD (DEA)'!BS185/X_RSD_HeatingDemand!$AA$8</f>
        <v>0</v>
      </c>
      <c r="T355" s="182">
        <f>'RSD (DEA)'!BK185*X_RSD_HeatingDemand!$AA$9/'RSD (DEA)'!S185</f>
        <v>600</v>
      </c>
      <c r="U355" s="182">
        <f>'RSD (DEA)'!BI185</f>
        <v>20</v>
      </c>
      <c r="V355" s="182" t="str">
        <f t="shared" si="102"/>
        <v/>
      </c>
      <c r="W355" s="236">
        <f>'RSD (DEA)'!AM185</f>
        <v>31.536000000000001</v>
      </c>
    </row>
    <row r="356" spans="1:23" x14ac:dyDescent="0.3">
      <c r="A356" s="316"/>
      <c r="B356" s="235"/>
      <c r="C356" s="318"/>
      <c r="D356" s="235"/>
      <c r="E356" s="235"/>
      <c r="F356" s="242"/>
      <c r="G356" s="242"/>
      <c r="H356" s="235"/>
      <c r="I356" s="235"/>
      <c r="J356" s="182" t="str">
        <f>J355</f>
        <v>RSDAHT</v>
      </c>
      <c r="K356" s="235"/>
      <c r="L356" s="235" t="str">
        <f>$AA$11</f>
        <v>ACT</v>
      </c>
      <c r="M356" s="182" t="str">
        <f t="shared" si="91"/>
        <v/>
      </c>
      <c r="N356" s="182"/>
      <c r="O356" s="182"/>
      <c r="P356" s="183"/>
      <c r="Q356" s="183"/>
      <c r="R356" s="182"/>
      <c r="S356" s="182"/>
      <c r="T356" s="182"/>
      <c r="U356" s="182"/>
      <c r="V356" s="182">
        <f t="shared" si="102"/>
        <v>1</v>
      </c>
      <c r="W356" s="236"/>
    </row>
    <row r="357" spans="1:23" x14ac:dyDescent="0.3">
      <c r="A357" s="316"/>
      <c r="B357" s="235"/>
      <c r="C357" s="318"/>
      <c r="D357" s="235"/>
      <c r="E357" s="235"/>
      <c r="F357" s="242"/>
      <c r="G357" s="242"/>
      <c r="H357" s="235"/>
      <c r="I357" s="235"/>
      <c r="J357" s="182" t="str">
        <f>J356</f>
        <v>RSDAHT</v>
      </c>
      <c r="K357" s="235"/>
      <c r="L357" s="235" t="str">
        <f t="shared" ref="L357" si="104">I355</f>
        <v>RSDGAS</v>
      </c>
      <c r="M357" s="182" t="str">
        <f t="shared" si="91"/>
        <v/>
      </c>
      <c r="N357" s="182"/>
      <c r="O357" s="182"/>
      <c r="P357" s="183"/>
      <c r="Q357" s="183"/>
      <c r="R357" s="182"/>
      <c r="S357" s="182"/>
      <c r="T357" s="182"/>
      <c r="U357" s="182"/>
      <c r="V357" s="182">
        <f t="shared" si="102"/>
        <v>-1</v>
      </c>
      <c r="W357" s="236"/>
    </row>
    <row r="358" spans="1:23" x14ac:dyDescent="0.3">
      <c r="A358" s="316"/>
      <c r="B358" s="235" t="str">
        <f>'RSD (DEA)'!AJ186&amp;"_"&amp;'RSD (DEA)'!Z186</f>
        <v>RHAPC_HP_GAS_03</v>
      </c>
      <c r="C358" s="318"/>
      <c r="D358" s="235" t="str">
        <f t="shared" si="93"/>
        <v>RHAPC_HP_GAS_03</v>
      </c>
      <c r="E358" s="235" t="str">
        <f>'RSD (DEA)'!Q186</f>
        <v>Gas driven absorption heat pumps</v>
      </c>
      <c r="F358" s="242" t="s">
        <v>239</v>
      </c>
      <c r="G358" s="242" t="s">
        <v>240</v>
      </c>
      <c r="H358" s="235">
        <f>'RSD (DEA)'!S186</f>
        <v>44</v>
      </c>
      <c r="I358" s="235" t="str">
        <f>IF(OR(RIGHT('RSD (DEA)'!AH186,3)="BIO",RIGHT(AD358,3)="BOA"),LEFT('RSD (DEA)'!AH186,3)&amp;"BFW",'RSD (DEA)'!AH186)</f>
        <v>RSDGAS</v>
      </c>
      <c r="J358" s="182" t="str">
        <f>'RSD (DEA)'!AI186</f>
        <v>RSDAHT</v>
      </c>
      <c r="K358" s="235" t="str">
        <f>'RSD (DEA)'!AJ186</f>
        <v>RHAPC</v>
      </c>
      <c r="L358" s="235"/>
      <c r="M358" s="182">
        <f t="shared" si="91"/>
        <v>2019</v>
      </c>
      <c r="N358" s="182">
        <f>'RSD (DEA)'!X186</f>
        <v>2015</v>
      </c>
      <c r="O358" s="182">
        <f>IF(N358&lt;2019,2019,N358)</f>
        <v>2019</v>
      </c>
      <c r="P358" s="183">
        <f>'RSD (DEA)'!AZ186</f>
        <v>1.35</v>
      </c>
      <c r="Q358" s="183">
        <f>'RSD (DEA)'!BA186</f>
        <v>0</v>
      </c>
      <c r="R358" s="182">
        <f>'RSD (DEA)'!BR186/'RSD (DEA)'!S186</f>
        <v>5.3409090909090908</v>
      </c>
      <c r="S358" s="182">
        <f>'RSD (DEA)'!BS186/X_RSD_HeatingDemand!$AA$8</f>
        <v>0</v>
      </c>
      <c r="T358" s="182">
        <f>'RSD (DEA)'!BK186*X_RSD_HeatingDemand!$AA$9/'RSD (DEA)'!S186</f>
        <v>445.45454545454544</v>
      </c>
      <c r="U358" s="182">
        <f>'RSD (DEA)'!BI186</f>
        <v>20</v>
      </c>
      <c r="V358" s="182" t="str">
        <f t="shared" si="102"/>
        <v/>
      </c>
      <c r="W358" s="236">
        <f>'RSD (DEA)'!AM186</f>
        <v>31.536000000000001</v>
      </c>
    </row>
    <row r="359" spans="1:23" x14ac:dyDescent="0.3">
      <c r="A359" s="316"/>
      <c r="B359" s="235"/>
      <c r="C359" s="318"/>
      <c r="D359" s="235"/>
      <c r="E359" s="235"/>
      <c r="F359" s="242"/>
      <c r="G359" s="242"/>
      <c r="H359" s="235"/>
      <c r="I359" s="235"/>
      <c r="J359" s="182" t="str">
        <f>J358</f>
        <v>RSDAHT</v>
      </c>
      <c r="K359" s="235"/>
      <c r="L359" s="235" t="str">
        <f>$AA$11</f>
        <v>ACT</v>
      </c>
      <c r="M359" s="182" t="str">
        <f t="shared" si="91"/>
        <v/>
      </c>
      <c r="N359" s="182"/>
      <c r="O359" s="182"/>
      <c r="P359" s="183"/>
      <c r="Q359" s="183"/>
      <c r="R359" s="182"/>
      <c r="S359" s="182"/>
      <c r="T359" s="182"/>
      <c r="U359" s="182"/>
      <c r="V359" s="182">
        <f t="shared" si="102"/>
        <v>1</v>
      </c>
      <c r="W359" s="236"/>
    </row>
    <row r="360" spans="1:23" x14ac:dyDescent="0.3">
      <c r="A360" s="316"/>
      <c r="B360" s="235"/>
      <c r="C360" s="318"/>
      <c r="D360" s="235"/>
      <c r="E360" s="235"/>
      <c r="F360" s="242"/>
      <c r="G360" s="242"/>
      <c r="H360" s="235"/>
      <c r="I360" s="235"/>
      <c r="J360" s="182" t="str">
        <f>J359</f>
        <v>RSDAHT</v>
      </c>
      <c r="K360" s="235"/>
      <c r="L360" s="235" t="str">
        <f t="shared" ref="L360" si="105">I358</f>
        <v>RSDGAS</v>
      </c>
      <c r="M360" s="182" t="str">
        <f t="shared" si="91"/>
        <v/>
      </c>
      <c r="N360" s="182"/>
      <c r="O360" s="182"/>
      <c r="P360" s="183"/>
      <c r="Q360" s="183"/>
      <c r="R360" s="182"/>
      <c r="S360" s="182"/>
      <c r="T360" s="182"/>
      <c r="U360" s="182"/>
      <c r="V360" s="182">
        <f t="shared" si="102"/>
        <v>-1</v>
      </c>
      <c r="W360" s="236"/>
    </row>
    <row r="361" spans="1:23" x14ac:dyDescent="0.3">
      <c r="A361" s="316"/>
      <c r="B361" s="235" t="str">
        <f>'RSD (DEA)'!AJ187&amp;"_"&amp;'RSD (DEA)'!Z187</f>
        <v>RHAPC_HP_GAS_03</v>
      </c>
      <c r="C361" s="318"/>
      <c r="D361" s="235" t="str">
        <f t="shared" si="93"/>
        <v>RHAPC_HP_GAS_03</v>
      </c>
      <c r="E361" s="235" t="str">
        <f>'RSD (DEA)'!Q187</f>
        <v>Gas driven absorption heat pumps</v>
      </c>
      <c r="F361" s="242" t="s">
        <v>239</v>
      </c>
      <c r="G361" s="242" t="s">
        <v>240</v>
      </c>
      <c r="H361" s="235">
        <f>'RSD (DEA)'!S187</f>
        <v>80</v>
      </c>
      <c r="I361" s="235" t="str">
        <f>IF(OR(RIGHT('RSD (DEA)'!AH187,3)="BIO",RIGHT(AD361,3)="BOA"),LEFT('RSD (DEA)'!AH187,3)&amp;"BFW",'RSD (DEA)'!AH187)</f>
        <v>RSDGAS</v>
      </c>
      <c r="J361" s="182" t="str">
        <f>'RSD (DEA)'!AI187</f>
        <v>RSDAHT</v>
      </c>
      <c r="K361" s="235" t="str">
        <f>'RSD (DEA)'!AJ187</f>
        <v>RHAPC</v>
      </c>
      <c r="L361" s="235"/>
      <c r="M361" s="182">
        <f t="shared" si="91"/>
        <v>2019</v>
      </c>
      <c r="N361" s="182">
        <f>'RSD (DEA)'!X187</f>
        <v>2020</v>
      </c>
      <c r="O361" s="182">
        <f>IF(N361&lt;2019,2019,N361)</f>
        <v>2020</v>
      </c>
      <c r="P361" s="183">
        <f>'RSD (DEA)'!AZ187</f>
        <v>1.45</v>
      </c>
      <c r="Q361" s="183">
        <f>'RSD (DEA)'!BA187</f>
        <v>0</v>
      </c>
      <c r="R361" s="182">
        <f>'RSD (DEA)'!BR187/'RSD (DEA)'!S187</f>
        <v>2.9375</v>
      </c>
      <c r="S361" s="182">
        <f>'RSD (DEA)'!BS187/X_RSD_HeatingDemand!$AA$8</f>
        <v>0</v>
      </c>
      <c r="T361" s="182">
        <f>'RSD (DEA)'!BK187*X_RSD_HeatingDemand!$AA$9/'RSD (DEA)'!S187</f>
        <v>237.5</v>
      </c>
      <c r="U361" s="182">
        <f>'RSD (DEA)'!BI187</f>
        <v>20</v>
      </c>
      <c r="V361" s="182" t="str">
        <f t="shared" si="102"/>
        <v/>
      </c>
      <c r="W361" s="236">
        <f>'RSD (DEA)'!AM187</f>
        <v>31.536000000000001</v>
      </c>
    </row>
    <row r="362" spans="1:23" x14ac:dyDescent="0.3">
      <c r="A362" s="316"/>
      <c r="B362" s="235"/>
      <c r="C362" s="318"/>
      <c r="D362" s="235"/>
      <c r="E362" s="235"/>
      <c r="F362" s="242"/>
      <c r="G362" s="242"/>
      <c r="H362" s="235"/>
      <c r="I362" s="235"/>
      <c r="J362" s="182" t="str">
        <f>J361</f>
        <v>RSDAHT</v>
      </c>
      <c r="K362" s="235"/>
      <c r="L362" s="235" t="str">
        <f>$AA$11</f>
        <v>ACT</v>
      </c>
      <c r="M362" s="182" t="str">
        <f t="shared" si="91"/>
        <v/>
      </c>
      <c r="N362" s="182"/>
      <c r="O362" s="182"/>
      <c r="P362" s="183"/>
      <c r="Q362" s="183"/>
      <c r="R362" s="182"/>
      <c r="S362" s="182"/>
      <c r="T362" s="182"/>
      <c r="U362" s="182"/>
      <c r="V362" s="182">
        <f t="shared" si="102"/>
        <v>1</v>
      </c>
      <c r="W362" s="236"/>
    </row>
    <row r="363" spans="1:23" x14ac:dyDescent="0.3">
      <c r="A363" s="316"/>
      <c r="B363" s="235"/>
      <c r="C363" s="318"/>
      <c r="D363" s="235"/>
      <c r="E363" s="235"/>
      <c r="F363" s="242"/>
      <c r="G363" s="242"/>
      <c r="H363" s="235"/>
      <c r="I363" s="235"/>
      <c r="J363" s="182" t="str">
        <f>J362</f>
        <v>RSDAHT</v>
      </c>
      <c r="K363" s="235"/>
      <c r="L363" s="235" t="str">
        <f t="shared" ref="L363" si="106">I361</f>
        <v>RSDGAS</v>
      </c>
      <c r="M363" s="182" t="str">
        <f t="shared" si="91"/>
        <v/>
      </c>
      <c r="N363" s="182"/>
      <c r="O363" s="182"/>
      <c r="P363" s="183"/>
      <c r="Q363" s="183"/>
      <c r="R363" s="182"/>
      <c r="S363" s="182"/>
      <c r="T363" s="182"/>
      <c r="U363" s="182"/>
      <c r="V363" s="182">
        <f t="shared" si="102"/>
        <v>-1</v>
      </c>
      <c r="W363" s="236"/>
    </row>
    <row r="364" spans="1:23" x14ac:dyDescent="0.3">
      <c r="A364" s="316"/>
      <c r="B364" s="235" t="str">
        <f>'RSD (DEA)'!AJ188&amp;"_"&amp;'RSD (DEA)'!Z188</f>
        <v>RHAPC_HP_GAS_03</v>
      </c>
      <c r="C364" s="318"/>
      <c r="D364" s="235" t="str">
        <f t="shared" si="93"/>
        <v>RHAPC_HP_GAS_03</v>
      </c>
      <c r="E364" s="235" t="str">
        <f>'RSD (DEA)'!Q188</f>
        <v>Gas driven absorption heat pumps</v>
      </c>
      <c r="F364" s="242" t="s">
        <v>239</v>
      </c>
      <c r="G364" s="242" t="s">
        <v>240</v>
      </c>
      <c r="H364" s="235">
        <f>'RSD (DEA)'!S188</f>
        <v>80</v>
      </c>
      <c r="I364" s="235" t="str">
        <f>IF(OR(RIGHT('RSD (DEA)'!AH188,3)="BIO",RIGHT(AD364,3)="BOA"),LEFT('RSD (DEA)'!AH188,3)&amp;"BFW",'RSD (DEA)'!AH188)</f>
        <v>RSDGAS</v>
      </c>
      <c r="J364" s="182" t="str">
        <f>'RSD (DEA)'!AI188</f>
        <v>RSDAHT</v>
      </c>
      <c r="K364" s="235" t="str">
        <f>'RSD (DEA)'!AJ188</f>
        <v>RHAPC</v>
      </c>
      <c r="L364" s="235"/>
      <c r="M364" s="182">
        <f t="shared" si="91"/>
        <v>2019</v>
      </c>
      <c r="N364" s="182">
        <f>'RSD (DEA)'!X188</f>
        <v>2030</v>
      </c>
      <c r="O364" s="182">
        <f>IF(N364&lt;2019,2019,N364)</f>
        <v>2030</v>
      </c>
      <c r="P364" s="183">
        <f>'RSD (DEA)'!AZ188</f>
        <v>1.7</v>
      </c>
      <c r="Q364" s="183">
        <f>'RSD (DEA)'!BA188</f>
        <v>0</v>
      </c>
      <c r="R364" s="182">
        <f>'RSD (DEA)'!BR188/'RSD (DEA)'!S188</f>
        <v>2.9375</v>
      </c>
      <c r="S364" s="182">
        <f>'RSD (DEA)'!BS188/X_RSD_HeatingDemand!$AA$8</f>
        <v>0</v>
      </c>
      <c r="T364" s="182">
        <f>'RSD (DEA)'!BK188*X_RSD_HeatingDemand!$AA$9/'RSD (DEA)'!S188</f>
        <v>212.5</v>
      </c>
      <c r="U364" s="182">
        <f>'RSD (DEA)'!BI188</f>
        <v>20</v>
      </c>
      <c r="V364" s="182" t="str">
        <f t="shared" si="102"/>
        <v/>
      </c>
      <c r="W364" s="236">
        <f>'RSD (DEA)'!AM188</f>
        <v>31.536000000000001</v>
      </c>
    </row>
    <row r="365" spans="1:23" x14ac:dyDescent="0.3">
      <c r="A365" s="316"/>
      <c r="B365" s="235"/>
      <c r="C365" s="318"/>
      <c r="D365" s="235"/>
      <c r="E365" s="235"/>
      <c r="F365" s="242"/>
      <c r="G365" s="242"/>
      <c r="H365" s="235"/>
      <c r="I365" s="235"/>
      <c r="J365" s="182" t="str">
        <f>J364</f>
        <v>RSDAHT</v>
      </c>
      <c r="K365" s="235"/>
      <c r="L365" s="235" t="str">
        <f>$AA$11</f>
        <v>ACT</v>
      </c>
      <c r="M365" s="182" t="str">
        <f t="shared" si="91"/>
        <v/>
      </c>
      <c r="N365" s="182"/>
      <c r="O365" s="182"/>
      <c r="P365" s="183"/>
      <c r="Q365" s="183"/>
      <c r="R365" s="182"/>
      <c r="S365" s="182"/>
      <c r="T365" s="182"/>
      <c r="U365" s="182"/>
      <c r="V365" s="182">
        <f t="shared" si="102"/>
        <v>1</v>
      </c>
      <c r="W365" s="236"/>
    </row>
    <row r="366" spans="1:23" x14ac:dyDescent="0.3">
      <c r="A366" s="316"/>
      <c r="B366" s="235"/>
      <c r="C366" s="318"/>
      <c r="D366" s="235"/>
      <c r="E366" s="235"/>
      <c r="F366" s="242"/>
      <c r="G366" s="242"/>
      <c r="H366" s="235"/>
      <c r="I366" s="235"/>
      <c r="J366" s="182" t="str">
        <f>J365</f>
        <v>RSDAHT</v>
      </c>
      <c r="K366" s="235"/>
      <c r="L366" s="235" t="str">
        <f t="shared" ref="L366" si="107">I364</f>
        <v>RSDGAS</v>
      </c>
      <c r="M366" s="182" t="str">
        <f t="shared" si="91"/>
        <v/>
      </c>
      <c r="N366" s="182"/>
      <c r="O366" s="182"/>
      <c r="P366" s="183"/>
      <c r="Q366" s="183"/>
      <c r="R366" s="182"/>
      <c r="S366" s="182"/>
      <c r="T366" s="182"/>
      <c r="U366" s="182"/>
      <c r="V366" s="182">
        <f t="shared" si="102"/>
        <v>-1</v>
      </c>
      <c r="W366" s="236"/>
    </row>
    <row r="367" spans="1:23" x14ac:dyDescent="0.3">
      <c r="A367" s="316"/>
      <c r="B367" s="235" t="str">
        <f>'RSD (DEA)'!AJ189&amp;"_"&amp;'RSD (DEA)'!Z189</f>
        <v>RHAPC_HP_GAS_03</v>
      </c>
      <c r="C367" s="318"/>
      <c r="D367" s="235" t="str">
        <f t="shared" si="93"/>
        <v>RHAPC_HP_GAS_03</v>
      </c>
      <c r="E367" s="235" t="str">
        <f>'RSD (DEA)'!Q189</f>
        <v>Gas driven absorption heat pumps</v>
      </c>
      <c r="F367" s="242" t="s">
        <v>239</v>
      </c>
      <c r="G367" s="242" t="s">
        <v>240</v>
      </c>
      <c r="H367" s="235">
        <f>'RSD (DEA)'!S189</f>
        <v>80</v>
      </c>
      <c r="I367" s="235" t="str">
        <f>IF(OR(RIGHT('RSD (DEA)'!AH189,3)="BIO",RIGHT(AD367,3)="BOA"),LEFT('RSD (DEA)'!AH189,3)&amp;"BFW",'RSD (DEA)'!AH189)</f>
        <v>RSDGAS</v>
      </c>
      <c r="J367" s="182" t="str">
        <f>'RSD (DEA)'!AI189</f>
        <v>RSDAHT</v>
      </c>
      <c r="K367" s="235" t="str">
        <f>'RSD (DEA)'!AJ189</f>
        <v>RHAPC</v>
      </c>
      <c r="L367" s="235"/>
      <c r="M367" s="182">
        <f t="shared" si="91"/>
        <v>2019</v>
      </c>
      <c r="N367" s="182">
        <f>'RSD (DEA)'!X189</f>
        <v>2050</v>
      </c>
      <c r="O367" s="182">
        <f>IF(N367&lt;2019,2019,N367)</f>
        <v>2050</v>
      </c>
      <c r="P367" s="183">
        <f>'RSD (DEA)'!AZ189</f>
        <v>1.7</v>
      </c>
      <c r="Q367" s="183">
        <f>'RSD (DEA)'!BA189</f>
        <v>0</v>
      </c>
      <c r="R367" s="182">
        <f>'RSD (DEA)'!BR189/'RSD (DEA)'!S189</f>
        <v>2.9375</v>
      </c>
      <c r="S367" s="182">
        <f>'RSD (DEA)'!BS189/X_RSD_HeatingDemand!$AA$8</f>
        <v>0</v>
      </c>
      <c r="T367" s="182">
        <f>'RSD (DEA)'!BK189*X_RSD_HeatingDemand!$AA$9/'RSD (DEA)'!S189</f>
        <v>200</v>
      </c>
      <c r="U367" s="182">
        <f>'RSD (DEA)'!BI189</f>
        <v>20</v>
      </c>
      <c r="V367" s="182" t="str">
        <f t="shared" si="102"/>
        <v/>
      </c>
      <c r="W367" s="236">
        <f>'RSD (DEA)'!AM189</f>
        <v>31.536000000000001</v>
      </c>
    </row>
    <row r="368" spans="1:23" x14ac:dyDescent="0.3">
      <c r="A368" s="316"/>
      <c r="B368" s="235"/>
      <c r="C368" s="318"/>
      <c r="D368" s="235"/>
      <c r="E368" s="235"/>
      <c r="F368" s="242"/>
      <c r="G368" s="242"/>
      <c r="H368" s="235"/>
      <c r="I368" s="235"/>
      <c r="J368" s="182" t="str">
        <f>J367</f>
        <v>RSDAHT</v>
      </c>
      <c r="K368" s="235"/>
      <c r="L368" s="235" t="str">
        <f>$AA$11</f>
        <v>ACT</v>
      </c>
      <c r="M368" s="182" t="str">
        <f t="shared" si="91"/>
        <v/>
      </c>
      <c r="N368" s="182"/>
      <c r="O368" s="182"/>
      <c r="P368" s="183"/>
      <c r="Q368" s="183"/>
      <c r="R368" s="182"/>
      <c r="S368" s="182"/>
      <c r="T368" s="182"/>
      <c r="U368" s="182"/>
      <c r="V368" s="182">
        <f t="shared" si="102"/>
        <v>1</v>
      </c>
      <c r="W368" s="236"/>
    </row>
    <row r="369" spans="1:23" x14ac:dyDescent="0.3">
      <c r="A369" s="316"/>
      <c r="B369" s="235"/>
      <c r="C369" s="318"/>
      <c r="D369" s="235"/>
      <c r="E369" s="235"/>
      <c r="F369" s="242"/>
      <c r="G369" s="242"/>
      <c r="H369" s="235"/>
      <c r="I369" s="235"/>
      <c r="J369" s="182" t="str">
        <f>J368</f>
        <v>RSDAHT</v>
      </c>
      <c r="K369" s="235"/>
      <c r="L369" s="235" t="str">
        <f t="shared" ref="L369" si="108">I367</f>
        <v>RSDGAS</v>
      </c>
      <c r="M369" s="182" t="str">
        <f t="shared" si="91"/>
        <v/>
      </c>
      <c r="N369" s="182"/>
      <c r="O369" s="182"/>
      <c r="P369" s="183"/>
      <c r="Q369" s="183"/>
      <c r="R369" s="182"/>
      <c r="S369" s="182"/>
      <c r="T369" s="182"/>
      <c r="U369" s="182"/>
      <c r="V369" s="182">
        <f t="shared" si="102"/>
        <v>-1</v>
      </c>
      <c r="W369" s="236"/>
    </row>
    <row r="370" spans="1:23" x14ac:dyDescent="0.3">
      <c r="A370" s="316"/>
      <c r="B370" s="235" t="str">
        <f>'RSD (DEA)'!AJ190&amp;"_"&amp;'RSD (DEA)'!Z190</f>
        <v>RHAPC_HP_GAS_04</v>
      </c>
      <c r="C370" s="318"/>
      <c r="D370" s="235" t="str">
        <f t="shared" si="93"/>
        <v>RHAPC_HP_GAS_04</v>
      </c>
      <c r="E370" s="235" t="str">
        <f>'RSD (DEA)'!Q190</f>
        <v>Gas driven absorption heat pumps</v>
      </c>
      <c r="F370" s="242" t="s">
        <v>239</v>
      </c>
      <c r="G370" s="242" t="s">
        <v>240</v>
      </c>
      <c r="H370" s="235">
        <f>'RSD (DEA)'!S190</f>
        <v>44</v>
      </c>
      <c r="I370" s="235" t="str">
        <f>IF(OR(RIGHT('RSD (DEA)'!AH190,3)="BIO",RIGHT(AD370,3)="BOA"),LEFT('RSD (DEA)'!AH190,3)&amp;"BFW",'RSD (DEA)'!AH190)</f>
        <v>RSDGAS</v>
      </c>
      <c r="J370" s="182" t="str">
        <f>'RSD (DEA)'!AI190</f>
        <v>RSDAHT</v>
      </c>
      <c r="K370" s="235" t="str">
        <f>'RSD (DEA)'!AJ190</f>
        <v>RHAPC</v>
      </c>
      <c r="L370" s="235"/>
      <c r="M370" s="182">
        <f t="shared" si="91"/>
        <v>2019</v>
      </c>
      <c r="N370" s="182">
        <f>'RSD (DEA)'!X190</f>
        <v>2015</v>
      </c>
      <c r="O370" s="182">
        <f>IF(N370&lt;2019,2019,N370)</f>
        <v>2019</v>
      </c>
      <c r="P370" s="183">
        <f>'RSD (DEA)'!AZ190</f>
        <v>1.35</v>
      </c>
      <c r="Q370" s="183">
        <f>'RSD (DEA)'!BA190</f>
        <v>0</v>
      </c>
      <c r="R370" s="182">
        <f>'RSD (DEA)'!BR190/'RSD (DEA)'!S190</f>
        <v>5.3409090909090908</v>
      </c>
      <c r="S370" s="182">
        <f>'RSD (DEA)'!BS190/X_RSD_HeatingDemand!$AA$8</f>
        <v>0</v>
      </c>
      <c r="T370" s="182">
        <f>'RSD (DEA)'!BK190*X_RSD_HeatingDemand!$AA$9/'RSD (DEA)'!S190</f>
        <v>1309.090909090909</v>
      </c>
      <c r="U370" s="182">
        <f>'RSD (DEA)'!BI190</f>
        <v>20</v>
      </c>
      <c r="V370" s="182" t="str">
        <f t="shared" si="102"/>
        <v/>
      </c>
      <c r="W370" s="236">
        <f>'RSD (DEA)'!AM190</f>
        <v>31.536000000000001</v>
      </c>
    </row>
    <row r="371" spans="1:23" x14ac:dyDescent="0.3">
      <c r="A371" s="316"/>
      <c r="B371" s="235"/>
      <c r="C371" s="318"/>
      <c r="D371" s="235"/>
      <c r="E371" s="235"/>
      <c r="F371" s="242"/>
      <c r="G371" s="242"/>
      <c r="H371" s="235"/>
      <c r="I371" s="235"/>
      <c r="J371" s="182" t="str">
        <f>J370</f>
        <v>RSDAHT</v>
      </c>
      <c r="K371" s="235"/>
      <c r="L371" s="235" t="str">
        <f>$AA$11</f>
        <v>ACT</v>
      </c>
      <c r="M371" s="182" t="str">
        <f t="shared" si="91"/>
        <v/>
      </c>
      <c r="N371" s="182"/>
      <c r="O371" s="182"/>
      <c r="P371" s="183"/>
      <c r="Q371" s="183"/>
      <c r="R371" s="182"/>
      <c r="S371" s="182"/>
      <c r="T371" s="182"/>
      <c r="U371" s="182"/>
      <c r="V371" s="182">
        <f t="shared" si="102"/>
        <v>1</v>
      </c>
      <c r="W371" s="236"/>
    </row>
    <row r="372" spans="1:23" x14ac:dyDescent="0.3">
      <c r="A372" s="316"/>
      <c r="B372" s="235"/>
      <c r="C372" s="318"/>
      <c r="D372" s="235"/>
      <c r="E372" s="235"/>
      <c r="F372" s="242"/>
      <c r="G372" s="242"/>
      <c r="H372" s="235"/>
      <c r="I372" s="235"/>
      <c r="J372" s="182" t="str">
        <f>J371</f>
        <v>RSDAHT</v>
      </c>
      <c r="K372" s="235"/>
      <c r="L372" s="235" t="str">
        <f t="shared" ref="L372" si="109">I370</f>
        <v>RSDGAS</v>
      </c>
      <c r="M372" s="182" t="str">
        <f t="shared" si="91"/>
        <v/>
      </c>
      <c r="N372" s="182"/>
      <c r="O372" s="182"/>
      <c r="P372" s="183"/>
      <c r="Q372" s="183"/>
      <c r="R372" s="182"/>
      <c r="S372" s="182"/>
      <c r="T372" s="182"/>
      <c r="U372" s="182"/>
      <c r="V372" s="182">
        <f t="shared" si="102"/>
        <v>-1</v>
      </c>
      <c r="W372" s="236"/>
    </row>
    <row r="373" spans="1:23" x14ac:dyDescent="0.3">
      <c r="A373" s="316"/>
      <c r="B373" s="235" t="str">
        <f>'RSD (DEA)'!AJ191&amp;"_"&amp;'RSD (DEA)'!Z191</f>
        <v>RHAPC_HP_GAS_04</v>
      </c>
      <c r="C373" s="318"/>
      <c r="D373" s="235" t="str">
        <f t="shared" si="93"/>
        <v>RHAPC_HP_GAS_04</v>
      </c>
      <c r="E373" s="235" t="str">
        <f>'RSD (DEA)'!Q191</f>
        <v>Gas driven absorption heat pumps</v>
      </c>
      <c r="F373" s="242" t="s">
        <v>239</v>
      </c>
      <c r="G373" s="242" t="s">
        <v>240</v>
      </c>
      <c r="H373" s="235">
        <f>'RSD (DEA)'!S191</f>
        <v>80</v>
      </c>
      <c r="I373" s="235" t="str">
        <f>IF(OR(RIGHT('RSD (DEA)'!AH191,3)="BIO",RIGHT(AD373,3)="BOA"),LEFT('RSD (DEA)'!AH191,3)&amp;"BFW",'RSD (DEA)'!AH191)</f>
        <v>RSDGAS</v>
      </c>
      <c r="J373" s="182" t="str">
        <f>'RSD (DEA)'!AI191</f>
        <v>RSDAHT</v>
      </c>
      <c r="K373" s="235" t="str">
        <f>'RSD (DEA)'!AJ191</f>
        <v>RHAPC</v>
      </c>
      <c r="L373" s="235"/>
      <c r="M373" s="182">
        <f t="shared" si="91"/>
        <v>2019</v>
      </c>
      <c r="N373" s="182">
        <f>'RSD (DEA)'!X191</f>
        <v>2020</v>
      </c>
      <c r="O373" s="182">
        <f>IF(N373&lt;2019,2019,N373)</f>
        <v>2020</v>
      </c>
      <c r="P373" s="183">
        <f>'RSD (DEA)'!AZ191</f>
        <v>1.45</v>
      </c>
      <c r="Q373" s="183">
        <f>'RSD (DEA)'!BA191</f>
        <v>0</v>
      </c>
      <c r="R373" s="182">
        <f>'RSD (DEA)'!BR191/'RSD (DEA)'!S191</f>
        <v>2.9375</v>
      </c>
      <c r="S373" s="182">
        <f>'RSD (DEA)'!BS191/X_RSD_HeatingDemand!$AA$8</f>
        <v>0</v>
      </c>
      <c r="T373" s="182">
        <f>'RSD (DEA)'!BK191*X_RSD_HeatingDemand!$AA$9/'RSD (DEA)'!S191</f>
        <v>700</v>
      </c>
      <c r="U373" s="182">
        <f>'RSD (DEA)'!BI191</f>
        <v>20</v>
      </c>
      <c r="V373" s="182" t="str">
        <f t="shared" si="102"/>
        <v/>
      </c>
      <c r="W373" s="236">
        <f>'RSD (DEA)'!AM191</f>
        <v>31.536000000000001</v>
      </c>
    </row>
    <row r="374" spans="1:23" x14ac:dyDescent="0.3">
      <c r="A374" s="316"/>
      <c r="B374" s="235"/>
      <c r="C374" s="318"/>
      <c r="D374" s="235"/>
      <c r="E374" s="235"/>
      <c r="F374" s="242"/>
      <c r="G374" s="242"/>
      <c r="H374" s="235"/>
      <c r="I374" s="235"/>
      <c r="J374" s="182" t="str">
        <f>J373</f>
        <v>RSDAHT</v>
      </c>
      <c r="K374" s="235"/>
      <c r="L374" s="235" t="str">
        <f>$AA$11</f>
        <v>ACT</v>
      </c>
      <c r="M374" s="182" t="str">
        <f t="shared" si="91"/>
        <v/>
      </c>
      <c r="N374" s="182"/>
      <c r="O374" s="182"/>
      <c r="P374" s="183"/>
      <c r="Q374" s="183"/>
      <c r="R374" s="182"/>
      <c r="S374" s="182"/>
      <c r="T374" s="182"/>
      <c r="U374" s="182"/>
      <c r="V374" s="182">
        <f t="shared" si="102"/>
        <v>1</v>
      </c>
      <c r="W374" s="236"/>
    </row>
    <row r="375" spans="1:23" x14ac:dyDescent="0.3">
      <c r="A375" s="316"/>
      <c r="B375" s="235"/>
      <c r="C375" s="318"/>
      <c r="D375" s="235"/>
      <c r="E375" s="235"/>
      <c r="F375" s="242"/>
      <c r="G375" s="242"/>
      <c r="H375" s="235"/>
      <c r="I375" s="235"/>
      <c r="J375" s="182" t="str">
        <f>J374</f>
        <v>RSDAHT</v>
      </c>
      <c r="K375" s="235"/>
      <c r="L375" s="235" t="str">
        <f t="shared" ref="L375" si="110">I373</f>
        <v>RSDGAS</v>
      </c>
      <c r="M375" s="182" t="str">
        <f t="shared" si="91"/>
        <v/>
      </c>
      <c r="N375" s="182"/>
      <c r="O375" s="182"/>
      <c r="P375" s="183"/>
      <c r="Q375" s="183"/>
      <c r="R375" s="182"/>
      <c r="S375" s="182"/>
      <c r="T375" s="182"/>
      <c r="U375" s="182"/>
      <c r="V375" s="182">
        <f t="shared" si="102"/>
        <v>-1</v>
      </c>
      <c r="W375" s="236"/>
    </row>
    <row r="376" spans="1:23" x14ac:dyDescent="0.3">
      <c r="A376" s="316"/>
      <c r="B376" s="235" t="str">
        <f>'RSD (DEA)'!AJ192&amp;"_"&amp;'RSD (DEA)'!Z192</f>
        <v>RHAPC_HP_GAS_04</v>
      </c>
      <c r="C376" s="318"/>
      <c r="D376" s="235" t="str">
        <f t="shared" si="93"/>
        <v>RHAPC_HP_GAS_04</v>
      </c>
      <c r="E376" s="235" t="str">
        <f>'RSD (DEA)'!Q192</f>
        <v>Gas driven absorption heat pumps</v>
      </c>
      <c r="F376" s="242" t="s">
        <v>239</v>
      </c>
      <c r="G376" s="242" t="s">
        <v>240</v>
      </c>
      <c r="H376" s="235">
        <f>'RSD (DEA)'!S192</f>
        <v>80</v>
      </c>
      <c r="I376" s="235" t="str">
        <f>IF(OR(RIGHT('RSD (DEA)'!AH192,3)="BIO",RIGHT(AD376,3)="BOA"),LEFT('RSD (DEA)'!AH192,3)&amp;"BFW",'RSD (DEA)'!AH192)</f>
        <v>RSDGAS</v>
      </c>
      <c r="J376" s="182" t="str">
        <f>'RSD (DEA)'!AI192</f>
        <v>RSDAHT</v>
      </c>
      <c r="K376" s="235" t="str">
        <f>'RSD (DEA)'!AJ192</f>
        <v>RHAPC</v>
      </c>
      <c r="L376" s="235"/>
      <c r="M376" s="182">
        <f t="shared" si="91"/>
        <v>2019</v>
      </c>
      <c r="N376" s="182">
        <f>'RSD (DEA)'!X192</f>
        <v>2030</v>
      </c>
      <c r="O376" s="182">
        <f>IF(N376&lt;2019,2019,N376)</f>
        <v>2030</v>
      </c>
      <c r="P376" s="183">
        <f>'RSD (DEA)'!AZ192</f>
        <v>1.7</v>
      </c>
      <c r="Q376" s="183">
        <f>'RSD (DEA)'!BA192</f>
        <v>0</v>
      </c>
      <c r="R376" s="182">
        <f>'RSD (DEA)'!BR192/'RSD (DEA)'!S192</f>
        <v>2.9375</v>
      </c>
      <c r="S376" s="182">
        <f>'RSD (DEA)'!BS192/X_RSD_HeatingDemand!$AA$8</f>
        <v>0</v>
      </c>
      <c r="T376" s="182">
        <f>'RSD (DEA)'!BK192*X_RSD_HeatingDemand!$AA$9/'RSD (DEA)'!S192</f>
        <v>662.5</v>
      </c>
      <c r="U376" s="182">
        <f>'RSD (DEA)'!BI192</f>
        <v>20</v>
      </c>
      <c r="V376" s="182" t="str">
        <f t="shared" si="102"/>
        <v/>
      </c>
      <c r="W376" s="236">
        <f>'RSD (DEA)'!AM192</f>
        <v>31.536000000000001</v>
      </c>
    </row>
    <row r="377" spans="1:23" x14ac:dyDescent="0.3">
      <c r="A377" s="316"/>
      <c r="B377" s="235"/>
      <c r="C377" s="318"/>
      <c r="D377" s="235"/>
      <c r="E377" s="235"/>
      <c r="F377" s="242"/>
      <c r="G377" s="242"/>
      <c r="H377" s="235"/>
      <c r="I377" s="235"/>
      <c r="J377" s="182" t="str">
        <f>J376</f>
        <v>RSDAHT</v>
      </c>
      <c r="K377" s="235"/>
      <c r="L377" s="235" t="str">
        <f>$AA$11</f>
        <v>ACT</v>
      </c>
      <c r="M377" s="182" t="str">
        <f t="shared" si="91"/>
        <v/>
      </c>
      <c r="N377" s="182"/>
      <c r="O377" s="182"/>
      <c r="P377" s="183"/>
      <c r="Q377" s="183"/>
      <c r="R377" s="182"/>
      <c r="S377" s="182"/>
      <c r="T377" s="182"/>
      <c r="U377" s="182"/>
      <c r="V377" s="182">
        <f t="shared" si="102"/>
        <v>1</v>
      </c>
      <c r="W377" s="236"/>
    </row>
    <row r="378" spans="1:23" x14ac:dyDescent="0.3">
      <c r="A378" s="316"/>
      <c r="B378" s="235"/>
      <c r="C378" s="318"/>
      <c r="D378" s="235"/>
      <c r="E378" s="235"/>
      <c r="F378" s="242"/>
      <c r="G378" s="242"/>
      <c r="H378" s="235"/>
      <c r="I378" s="235"/>
      <c r="J378" s="182" t="str">
        <f>J377</f>
        <v>RSDAHT</v>
      </c>
      <c r="K378" s="235"/>
      <c r="L378" s="235" t="str">
        <f t="shared" ref="L378" si="111">I376</f>
        <v>RSDGAS</v>
      </c>
      <c r="M378" s="182" t="str">
        <f t="shared" si="91"/>
        <v/>
      </c>
      <c r="N378" s="182"/>
      <c r="O378" s="182"/>
      <c r="P378" s="183"/>
      <c r="Q378" s="183"/>
      <c r="R378" s="182"/>
      <c r="S378" s="182"/>
      <c r="T378" s="182"/>
      <c r="U378" s="182"/>
      <c r="V378" s="182">
        <f t="shared" si="102"/>
        <v>-1</v>
      </c>
      <c r="W378" s="236"/>
    </row>
    <row r="379" spans="1:23" x14ac:dyDescent="0.3">
      <c r="A379" s="316"/>
      <c r="B379" s="235" t="str">
        <f>'RSD (DEA)'!AJ193&amp;"_"&amp;'RSD (DEA)'!Z193</f>
        <v>RHAPC_HP_GAS_04</v>
      </c>
      <c r="C379" s="318"/>
      <c r="D379" s="235" t="str">
        <f t="shared" si="93"/>
        <v>RHAPC_HP_GAS_04</v>
      </c>
      <c r="E379" s="235" t="str">
        <f>'RSD (DEA)'!Q193</f>
        <v>Gas driven absorption heat pumps</v>
      </c>
      <c r="F379" s="242" t="s">
        <v>239</v>
      </c>
      <c r="G379" s="242" t="s">
        <v>240</v>
      </c>
      <c r="H379" s="235">
        <f>'RSD (DEA)'!S193</f>
        <v>80</v>
      </c>
      <c r="I379" s="235" t="str">
        <f>IF(OR(RIGHT('RSD (DEA)'!AH193,3)="BIO",RIGHT(AD379,3)="BOA"),LEFT('RSD (DEA)'!AH193,3)&amp;"BFW",'RSD (DEA)'!AH193)</f>
        <v>RSDGAS</v>
      </c>
      <c r="J379" s="182" t="str">
        <f>'RSD (DEA)'!AI193</f>
        <v>RSDAHT</v>
      </c>
      <c r="K379" s="235" t="str">
        <f>'RSD (DEA)'!AJ193</f>
        <v>RHAPC</v>
      </c>
      <c r="L379" s="235"/>
      <c r="M379" s="182">
        <f t="shared" si="91"/>
        <v>2019</v>
      </c>
      <c r="N379" s="182">
        <f>'RSD (DEA)'!X193</f>
        <v>2050</v>
      </c>
      <c r="O379" s="182">
        <f>IF(N379&lt;2019,2019,N379)</f>
        <v>2050</v>
      </c>
      <c r="P379" s="183">
        <f>'RSD (DEA)'!AZ193</f>
        <v>1.7</v>
      </c>
      <c r="Q379" s="183">
        <f>'RSD (DEA)'!BA193</f>
        <v>0</v>
      </c>
      <c r="R379" s="182">
        <f>'RSD (DEA)'!BR193/'RSD (DEA)'!S193</f>
        <v>2.9375</v>
      </c>
      <c r="S379" s="182">
        <f>'RSD (DEA)'!BS193/X_RSD_HeatingDemand!$AA$8</f>
        <v>0</v>
      </c>
      <c r="T379" s="182">
        <f>'RSD (DEA)'!BK193*X_RSD_HeatingDemand!$AA$9/'RSD (DEA)'!S193</f>
        <v>625</v>
      </c>
      <c r="U379" s="182">
        <f>'RSD (DEA)'!BI193</f>
        <v>20</v>
      </c>
      <c r="V379" s="182" t="str">
        <f t="shared" si="102"/>
        <v/>
      </c>
      <c r="W379" s="236">
        <f>'RSD (DEA)'!AM193</f>
        <v>31.536000000000001</v>
      </c>
    </row>
    <row r="380" spans="1:23" x14ac:dyDescent="0.3">
      <c r="A380" s="316"/>
      <c r="B380" s="235"/>
      <c r="C380" s="318"/>
      <c r="D380" s="235"/>
      <c r="E380" s="235"/>
      <c r="F380" s="242"/>
      <c r="G380" s="242"/>
      <c r="H380" s="235"/>
      <c r="I380" s="235"/>
      <c r="J380" s="182" t="str">
        <f>J379</f>
        <v>RSDAHT</v>
      </c>
      <c r="K380" s="235"/>
      <c r="L380" s="235" t="str">
        <f>$AA$11</f>
        <v>ACT</v>
      </c>
      <c r="M380" s="182" t="str">
        <f t="shared" si="91"/>
        <v/>
      </c>
      <c r="N380" s="182"/>
      <c r="O380" s="182"/>
      <c r="P380" s="183"/>
      <c r="Q380" s="183"/>
      <c r="R380" s="182"/>
      <c r="S380" s="182"/>
      <c r="T380" s="182"/>
      <c r="U380" s="182"/>
      <c r="V380" s="182">
        <f t="shared" si="102"/>
        <v>1</v>
      </c>
      <c r="W380" s="236"/>
    </row>
    <row r="381" spans="1:23" x14ac:dyDescent="0.3">
      <c r="A381" s="316"/>
      <c r="B381" s="235"/>
      <c r="C381" s="318"/>
      <c r="D381" s="235"/>
      <c r="E381" s="235"/>
      <c r="F381" s="242"/>
      <c r="G381" s="242"/>
      <c r="H381" s="235"/>
      <c r="I381" s="235"/>
      <c r="J381" s="182" t="str">
        <f>J380</f>
        <v>RSDAHT</v>
      </c>
      <c r="K381" s="235"/>
      <c r="L381" s="235" t="str">
        <f t="shared" ref="L381" si="112">I379</f>
        <v>RSDGAS</v>
      </c>
      <c r="M381" s="182" t="str">
        <f t="shared" si="91"/>
        <v/>
      </c>
      <c r="N381" s="182"/>
      <c r="O381" s="182"/>
      <c r="P381" s="183"/>
      <c r="Q381" s="183"/>
      <c r="R381" s="182"/>
      <c r="S381" s="182"/>
      <c r="T381" s="182"/>
      <c r="U381" s="182"/>
      <c r="V381" s="182">
        <f t="shared" si="102"/>
        <v>-1</v>
      </c>
      <c r="W381" s="236"/>
    </row>
    <row r="382" spans="1:23" x14ac:dyDescent="0.3">
      <c r="A382" s="316"/>
      <c r="B382" s="235" t="str">
        <f>'RSD (DEA)'!AJ194&amp;"_"&amp;'RSD (DEA)'!Z194</f>
        <v>RHAPC_HP_GAS_05</v>
      </c>
      <c r="C382" s="318"/>
      <c r="D382" s="235" t="str">
        <f t="shared" si="93"/>
        <v>RHAPC_HP_GAS_05</v>
      </c>
      <c r="E382" s="235" t="str">
        <f>'RSD (DEA)'!Q194</f>
        <v>Gas engine driven heat pump</v>
      </c>
      <c r="F382" s="242" t="s">
        <v>239</v>
      </c>
      <c r="G382" s="242" t="s">
        <v>240</v>
      </c>
      <c r="H382" s="235">
        <f>'RSD (DEA)'!S194</f>
        <v>50</v>
      </c>
      <c r="I382" s="235" t="str">
        <f>IF(OR(RIGHT('RSD (DEA)'!AH194,3)="BIO",RIGHT(AD382,3)="BOA"),LEFT('RSD (DEA)'!AH194,3)&amp;"BFW",'RSD (DEA)'!AH194)</f>
        <v>RSDGAS</v>
      </c>
      <c r="J382" s="182" t="str">
        <f>'RSD (DEA)'!AI194</f>
        <v>RSDAHT</v>
      </c>
      <c r="K382" s="235" t="str">
        <f>'RSD (DEA)'!AJ194</f>
        <v>RHAPC</v>
      </c>
      <c r="L382" s="235"/>
      <c r="M382" s="182">
        <f t="shared" si="91"/>
        <v>2019</v>
      </c>
      <c r="N382" s="182">
        <f>'RSD (DEA)'!X194</f>
        <v>2015</v>
      </c>
      <c r="O382" s="182">
        <f>IF(N382&lt;2019,2019,N382)</f>
        <v>2019</v>
      </c>
      <c r="P382" s="183">
        <f>'RSD (DEA)'!AZ194</f>
        <v>1.5</v>
      </c>
      <c r="Q382" s="183">
        <f>'RSD (DEA)'!BA194</f>
        <v>0</v>
      </c>
      <c r="R382" s="182">
        <f>'RSD (DEA)'!BR194/'RSD (DEA)'!S194</f>
        <v>4.7</v>
      </c>
      <c r="S382" s="182">
        <f>'RSD (DEA)'!BS194/X_RSD_HeatingDemand!$AA$8</f>
        <v>0</v>
      </c>
      <c r="T382" s="182">
        <f>'RSD (DEA)'!BK194*X_RSD_HeatingDemand!$AA$9/'RSD (DEA)'!S194</f>
        <v>112</v>
      </c>
      <c r="U382" s="182">
        <f>'RSD (DEA)'!BI194</f>
        <v>15</v>
      </c>
      <c r="V382" s="182" t="str">
        <f t="shared" si="102"/>
        <v/>
      </c>
      <c r="W382" s="236">
        <f>'RSD (DEA)'!AM194</f>
        <v>31.536000000000001</v>
      </c>
    </row>
    <row r="383" spans="1:23" x14ac:dyDescent="0.3">
      <c r="A383" s="316"/>
      <c r="B383" s="235"/>
      <c r="C383" s="318"/>
      <c r="D383" s="235"/>
      <c r="E383" s="235"/>
      <c r="F383" s="242"/>
      <c r="G383" s="242"/>
      <c r="H383" s="235"/>
      <c r="I383" s="235"/>
      <c r="J383" s="182" t="str">
        <f>J382</f>
        <v>RSDAHT</v>
      </c>
      <c r="K383" s="235"/>
      <c r="L383" s="235" t="str">
        <f>$AA$11</f>
        <v>ACT</v>
      </c>
      <c r="M383" s="182" t="str">
        <f t="shared" si="91"/>
        <v/>
      </c>
      <c r="N383" s="182"/>
      <c r="O383" s="182"/>
      <c r="P383" s="183"/>
      <c r="Q383" s="183"/>
      <c r="R383" s="182"/>
      <c r="S383" s="182"/>
      <c r="T383" s="182"/>
      <c r="U383" s="182"/>
      <c r="V383" s="182">
        <f t="shared" si="102"/>
        <v>1</v>
      </c>
      <c r="W383" s="236"/>
    </row>
    <row r="384" spans="1:23" x14ac:dyDescent="0.3">
      <c r="A384" s="316"/>
      <c r="B384" s="235"/>
      <c r="C384" s="318"/>
      <c r="D384" s="235"/>
      <c r="E384" s="235"/>
      <c r="F384" s="242"/>
      <c r="G384" s="242"/>
      <c r="H384" s="235"/>
      <c r="I384" s="235"/>
      <c r="J384" s="182" t="str">
        <f>J383</f>
        <v>RSDAHT</v>
      </c>
      <c r="K384" s="235"/>
      <c r="L384" s="235" t="str">
        <f t="shared" ref="L384" si="113">I382</f>
        <v>RSDGAS</v>
      </c>
      <c r="M384" s="182" t="str">
        <f t="shared" si="91"/>
        <v/>
      </c>
      <c r="N384" s="182"/>
      <c r="O384" s="182"/>
      <c r="P384" s="183"/>
      <c r="Q384" s="183"/>
      <c r="R384" s="182"/>
      <c r="S384" s="182"/>
      <c r="T384" s="182"/>
      <c r="U384" s="182"/>
      <c r="V384" s="182">
        <f t="shared" si="102"/>
        <v>-1</v>
      </c>
      <c r="W384" s="236"/>
    </row>
    <row r="385" spans="1:23" x14ac:dyDescent="0.3">
      <c r="A385" s="316"/>
      <c r="B385" s="235" t="str">
        <f>'RSD (DEA)'!AJ195&amp;"_"&amp;'RSD (DEA)'!Z195</f>
        <v>RHAPC_HP_GAS_05</v>
      </c>
      <c r="C385" s="318"/>
      <c r="D385" s="235" t="str">
        <f t="shared" si="93"/>
        <v>RHAPC_HP_GAS_05</v>
      </c>
      <c r="E385" s="235" t="str">
        <f>'RSD (DEA)'!Q195</f>
        <v>Gas engine driven heat pump</v>
      </c>
      <c r="F385" s="242" t="s">
        <v>239</v>
      </c>
      <c r="G385" s="242" t="s">
        <v>240</v>
      </c>
      <c r="H385" s="235">
        <f>'RSD (DEA)'!S195</f>
        <v>50</v>
      </c>
      <c r="I385" s="235" t="str">
        <f>IF(OR(RIGHT('RSD (DEA)'!AH195,3)="BIO",RIGHT(AD385,3)="BOA"),LEFT('RSD (DEA)'!AH195,3)&amp;"BFW",'RSD (DEA)'!AH195)</f>
        <v>RSDGAS</v>
      </c>
      <c r="J385" s="182" t="str">
        <f>'RSD (DEA)'!AI195</f>
        <v>RSDAHT</v>
      </c>
      <c r="K385" s="235" t="str">
        <f>'RSD (DEA)'!AJ195</f>
        <v>RHAPC</v>
      </c>
      <c r="L385" s="235"/>
      <c r="M385" s="182">
        <f t="shared" si="91"/>
        <v>2019</v>
      </c>
      <c r="N385" s="182">
        <f>'RSD (DEA)'!X195</f>
        <v>2020</v>
      </c>
      <c r="O385" s="182">
        <f>IF(N385&lt;2019,2019,N385)</f>
        <v>2020</v>
      </c>
      <c r="P385" s="183">
        <f>'RSD (DEA)'!AZ195</f>
        <v>1.55</v>
      </c>
      <c r="Q385" s="183">
        <f>'RSD (DEA)'!BA195</f>
        <v>0</v>
      </c>
      <c r="R385" s="182">
        <f>'RSD (DEA)'!BR195/'RSD (DEA)'!S195</f>
        <v>4.7</v>
      </c>
      <c r="S385" s="182">
        <f>'RSD (DEA)'!BS195/X_RSD_HeatingDemand!$AA$8</f>
        <v>0</v>
      </c>
      <c r="T385" s="182">
        <f>'RSD (DEA)'!BK195*X_RSD_HeatingDemand!$AA$9/'RSD (DEA)'!S195</f>
        <v>112</v>
      </c>
      <c r="U385" s="182">
        <f>'RSD (DEA)'!BI195</f>
        <v>20</v>
      </c>
      <c r="V385" s="182" t="str">
        <f t="shared" si="102"/>
        <v/>
      </c>
      <c r="W385" s="236">
        <f>'RSD (DEA)'!AM195</f>
        <v>31.536000000000001</v>
      </c>
    </row>
    <row r="386" spans="1:23" x14ac:dyDescent="0.3">
      <c r="A386" s="316"/>
      <c r="B386" s="235"/>
      <c r="C386" s="318"/>
      <c r="D386" s="235"/>
      <c r="E386" s="235"/>
      <c r="F386" s="242"/>
      <c r="G386" s="242"/>
      <c r="H386" s="235"/>
      <c r="I386" s="235"/>
      <c r="J386" s="182" t="str">
        <f>J385</f>
        <v>RSDAHT</v>
      </c>
      <c r="K386" s="235"/>
      <c r="L386" s="235" t="str">
        <f>$AA$11</f>
        <v>ACT</v>
      </c>
      <c r="M386" s="182" t="str">
        <f t="shared" si="91"/>
        <v/>
      </c>
      <c r="N386" s="182"/>
      <c r="O386" s="182"/>
      <c r="P386" s="183"/>
      <c r="Q386" s="183"/>
      <c r="R386" s="182"/>
      <c r="S386" s="182"/>
      <c r="T386" s="182"/>
      <c r="U386" s="182"/>
      <c r="V386" s="182">
        <f t="shared" si="102"/>
        <v>1</v>
      </c>
      <c r="W386" s="236"/>
    </row>
    <row r="387" spans="1:23" x14ac:dyDescent="0.3">
      <c r="A387" s="316"/>
      <c r="B387" s="235"/>
      <c r="C387" s="318"/>
      <c r="D387" s="235"/>
      <c r="E387" s="235"/>
      <c r="F387" s="242"/>
      <c r="G387" s="242"/>
      <c r="H387" s="235"/>
      <c r="I387" s="235"/>
      <c r="J387" s="182" t="str">
        <f>J386</f>
        <v>RSDAHT</v>
      </c>
      <c r="K387" s="235"/>
      <c r="L387" s="235" t="str">
        <f t="shared" ref="L387" si="114">I385</f>
        <v>RSDGAS</v>
      </c>
      <c r="M387" s="182" t="str">
        <f t="shared" si="91"/>
        <v/>
      </c>
      <c r="N387" s="182"/>
      <c r="O387" s="182"/>
      <c r="P387" s="183"/>
      <c r="Q387" s="183"/>
      <c r="R387" s="182"/>
      <c r="S387" s="182"/>
      <c r="T387" s="182"/>
      <c r="U387" s="182"/>
      <c r="V387" s="182">
        <f t="shared" si="102"/>
        <v>-1</v>
      </c>
      <c r="W387" s="236"/>
    </row>
    <row r="388" spans="1:23" x14ac:dyDescent="0.3">
      <c r="A388" s="316"/>
      <c r="B388" s="235" t="str">
        <f>'RSD (DEA)'!AJ196&amp;"_"&amp;'RSD (DEA)'!Z196</f>
        <v>RHAPC_HP_GAS_05</v>
      </c>
      <c r="C388" s="318"/>
      <c r="D388" s="235" t="str">
        <f t="shared" si="93"/>
        <v>RHAPC_HP_GAS_05</v>
      </c>
      <c r="E388" s="235" t="str">
        <f>'RSD (DEA)'!Q196</f>
        <v>Gas engine driven heat pump</v>
      </c>
      <c r="F388" s="242" t="s">
        <v>239</v>
      </c>
      <c r="G388" s="242" t="s">
        <v>240</v>
      </c>
      <c r="H388" s="235">
        <f>'RSD (DEA)'!S196</f>
        <v>50</v>
      </c>
      <c r="I388" s="235" t="str">
        <f>IF(OR(RIGHT('RSD (DEA)'!AH196,3)="BIO",RIGHT(AD388,3)="BOA"),LEFT('RSD (DEA)'!AH196,3)&amp;"BFW",'RSD (DEA)'!AH196)</f>
        <v>RSDGAS</v>
      </c>
      <c r="J388" s="182" t="str">
        <f>'RSD (DEA)'!AI196</f>
        <v>RSDAHT</v>
      </c>
      <c r="K388" s="235" t="str">
        <f>'RSD (DEA)'!AJ196</f>
        <v>RHAPC</v>
      </c>
      <c r="L388" s="235"/>
      <c r="M388" s="182">
        <f t="shared" si="91"/>
        <v>2019</v>
      </c>
      <c r="N388" s="182">
        <f>'RSD (DEA)'!X196</f>
        <v>2030</v>
      </c>
      <c r="O388" s="182">
        <f>IF(N388&lt;2019,2019,N388)</f>
        <v>2030</v>
      </c>
      <c r="P388" s="183">
        <f>'RSD (DEA)'!AZ196</f>
        <v>1.55</v>
      </c>
      <c r="Q388" s="183">
        <f>'RSD (DEA)'!BA196</f>
        <v>0</v>
      </c>
      <c r="R388" s="182">
        <f>'RSD (DEA)'!BR196/'RSD (DEA)'!S196</f>
        <v>4.7</v>
      </c>
      <c r="S388" s="182">
        <f>'RSD (DEA)'!BS196/X_RSD_HeatingDemand!$AA$8</f>
        <v>0</v>
      </c>
      <c r="T388" s="182">
        <f>'RSD (DEA)'!BK196*X_RSD_HeatingDemand!$AA$9/'RSD (DEA)'!S196</f>
        <v>100</v>
      </c>
      <c r="U388" s="182">
        <f>'RSD (DEA)'!BI196</f>
        <v>20</v>
      </c>
      <c r="V388" s="182" t="str">
        <f t="shared" si="102"/>
        <v/>
      </c>
      <c r="W388" s="236">
        <f>'RSD (DEA)'!AM196</f>
        <v>31.536000000000001</v>
      </c>
    </row>
    <row r="389" spans="1:23" x14ac:dyDescent="0.3">
      <c r="A389" s="316"/>
      <c r="B389" s="235"/>
      <c r="C389" s="318"/>
      <c r="D389" s="235"/>
      <c r="E389" s="235"/>
      <c r="F389" s="242"/>
      <c r="G389" s="242"/>
      <c r="H389" s="235"/>
      <c r="I389" s="235"/>
      <c r="J389" s="182" t="str">
        <f>J388</f>
        <v>RSDAHT</v>
      </c>
      <c r="K389" s="235"/>
      <c r="L389" s="235" t="str">
        <f>$AA$11</f>
        <v>ACT</v>
      </c>
      <c r="M389" s="182" t="str">
        <f t="shared" si="91"/>
        <v/>
      </c>
      <c r="N389" s="182"/>
      <c r="O389" s="182"/>
      <c r="P389" s="183"/>
      <c r="Q389" s="183"/>
      <c r="R389" s="182"/>
      <c r="S389" s="182"/>
      <c r="T389" s="182"/>
      <c r="U389" s="182"/>
      <c r="V389" s="182">
        <f t="shared" si="102"/>
        <v>1</v>
      </c>
      <c r="W389" s="236"/>
    </row>
    <row r="390" spans="1:23" x14ac:dyDescent="0.3">
      <c r="A390" s="316"/>
      <c r="B390" s="235"/>
      <c r="C390" s="318"/>
      <c r="D390" s="235"/>
      <c r="E390" s="235"/>
      <c r="F390" s="242"/>
      <c r="G390" s="242"/>
      <c r="H390" s="235"/>
      <c r="I390" s="235"/>
      <c r="J390" s="182" t="str">
        <f>J389</f>
        <v>RSDAHT</v>
      </c>
      <c r="K390" s="235"/>
      <c r="L390" s="235" t="str">
        <f t="shared" ref="L390" si="115">I388</f>
        <v>RSDGAS</v>
      </c>
      <c r="M390" s="182" t="str">
        <f t="shared" ref="M390:M453" si="116">IF(ISBLANK(B390),"",$AA$14)</f>
        <v/>
      </c>
      <c r="N390" s="182"/>
      <c r="O390" s="182"/>
      <c r="P390" s="183"/>
      <c r="Q390" s="183"/>
      <c r="R390" s="182"/>
      <c r="S390" s="182"/>
      <c r="T390" s="182"/>
      <c r="U390" s="182"/>
      <c r="V390" s="182">
        <f t="shared" si="102"/>
        <v>-1</v>
      </c>
      <c r="W390" s="236"/>
    </row>
    <row r="391" spans="1:23" x14ac:dyDescent="0.3">
      <c r="A391" s="316"/>
      <c r="B391" s="235" t="str">
        <f>'RSD (DEA)'!AJ197&amp;"_"&amp;'RSD (DEA)'!Z197</f>
        <v>RHAPC_HP_GAS_05</v>
      </c>
      <c r="C391" s="318"/>
      <c r="D391" s="235" t="str">
        <f t="shared" si="93"/>
        <v>RHAPC_HP_GAS_05</v>
      </c>
      <c r="E391" s="235" t="str">
        <f>'RSD (DEA)'!Q197</f>
        <v>Gas engine driven heat pump</v>
      </c>
      <c r="F391" s="242" t="s">
        <v>239</v>
      </c>
      <c r="G391" s="242" t="s">
        <v>240</v>
      </c>
      <c r="H391" s="235">
        <f>'RSD (DEA)'!S197</f>
        <v>50</v>
      </c>
      <c r="I391" s="235" t="str">
        <f>IF(OR(RIGHT('RSD (DEA)'!AH197,3)="BIO",RIGHT(AD391,3)="BOA"),LEFT('RSD (DEA)'!AH197,3)&amp;"BFW",'RSD (DEA)'!AH197)</f>
        <v>RSDGAS</v>
      </c>
      <c r="J391" s="182" t="str">
        <f>'RSD (DEA)'!AI197</f>
        <v>RSDAHT</v>
      </c>
      <c r="K391" s="235" t="str">
        <f>'RSD (DEA)'!AJ197</f>
        <v>RHAPC</v>
      </c>
      <c r="L391" s="235"/>
      <c r="M391" s="182">
        <f t="shared" si="116"/>
        <v>2019</v>
      </c>
      <c r="N391" s="182">
        <f>'RSD (DEA)'!X197</f>
        <v>2050</v>
      </c>
      <c r="O391" s="182">
        <f>IF(N391&lt;2019,2019,N391)</f>
        <v>2050</v>
      </c>
      <c r="P391" s="183">
        <f>'RSD (DEA)'!AZ197</f>
        <v>1.6</v>
      </c>
      <c r="Q391" s="183">
        <f>'RSD (DEA)'!BA197</f>
        <v>0</v>
      </c>
      <c r="R391" s="182">
        <f>'RSD (DEA)'!BR197/'RSD (DEA)'!S197</f>
        <v>4.7</v>
      </c>
      <c r="S391" s="182">
        <f>'RSD (DEA)'!BS197/X_RSD_HeatingDemand!$AA$8</f>
        <v>0</v>
      </c>
      <c r="T391" s="182">
        <f>'RSD (DEA)'!BK197*X_RSD_HeatingDemand!$AA$9/'RSD (DEA)'!S197</f>
        <v>100</v>
      </c>
      <c r="U391" s="182">
        <f>'RSD (DEA)'!BI197</f>
        <v>20</v>
      </c>
      <c r="V391" s="182" t="str">
        <f t="shared" si="102"/>
        <v/>
      </c>
      <c r="W391" s="236">
        <f>'RSD (DEA)'!AM197</f>
        <v>31.536000000000001</v>
      </c>
    </row>
    <row r="392" spans="1:23" x14ac:dyDescent="0.3">
      <c r="A392" s="316"/>
      <c r="B392" s="235"/>
      <c r="C392" s="318"/>
      <c r="D392" s="235"/>
      <c r="E392" s="235"/>
      <c r="F392" s="242"/>
      <c r="G392" s="242"/>
      <c r="H392" s="235"/>
      <c r="I392" s="235"/>
      <c r="J392" s="182" t="str">
        <f>J391</f>
        <v>RSDAHT</v>
      </c>
      <c r="K392" s="235"/>
      <c r="L392" s="235" t="str">
        <f>$AA$11</f>
        <v>ACT</v>
      </c>
      <c r="M392" s="182" t="str">
        <f t="shared" si="116"/>
        <v/>
      </c>
      <c r="N392" s="182"/>
      <c r="O392" s="182"/>
      <c r="P392" s="183"/>
      <c r="Q392" s="183"/>
      <c r="R392" s="182"/>
      <c r="S392" s="182"/>
      <c r="T392" s="182"/>
      <c r="U392" s="182"/>
      <c r="V392" s="182">
        <f t="shared" si="102"/>
        <v>1</v>
      </c>
      <c r="W392" s="236"/>
    </row>
    <row r="393" spans="1:23" x14ac:dyDescent="0.3">
      <c r="A393" s="316"/>
      <c r="B393" s="235"/>
      <c r="C393" s="318"/>
      <c r="D393" s="235"/>
      <c r="E393" s="235"/>
      <c r="F393" s="242"/>
      <c r="G393" s="242"/>
      <c r="H393" s="235"/>
      <c r="I393" s="235"/>
      <c r="J393" s="182" t="str">
        <f>J392</f>
        <v>RSDAHT</v>
      </c>
      <c r="K393" s="235"/>
      <c r="L393" s="235" t="str">
        <f t="shared" ref="L393" si="117">I391</f>
        <v>RSDGAS</v>
      </c>
      <c r="M393" s="182" t="str">
        <f t="shared" si="116"/>
        <v/>
      </c>
      <c r="N393" s="182"/>
      <c r="O393" s="182"/>
      <c r="P393" s="183"/>
      <c r="Q393" s="183"/>
      <c r="R393" s="182"/>
      <c r="S393" s="182"/>
      <c r="T393" s="182"/>
      <c r="U393" s="182"/>
      <c r="V393" s="182">
        <f t="shared" si="102"/>
        <v>-1</v>
      </c>
      <c r="W393" s="236"/>
    </row>
    <row r="394" spans="1:23" x14ac:dyDescent="0.3">
      <c r="A394" s="316"/>
      <c r="B394" s="235" t="str">
        <f>'RSD (DEA)'!AJ198&amp;"_"&amp;'RSD (DEA)'!Z198</f>
        <v>RHAPC_HP_GAS_06</v>
      </c>
      <c r="C394" s="318"/>
      <c r="D394" s="235" t="str">
        <f t="shared" ref="D394:D455" si="118">IF(B394=B393,LEFT(B394,LEN(B394)-2)&amp;IF(RIGHT(D393)+1&lt;9,"0"&amp;RIGHT(D393)+1,RIGHT(D393)+1),B394)</f>
        <v>RHAPC_HP_GAS_06</v>
      </c>
      <c r="E394" s="235" t="str">
        <f>'RSD (DEA)'!Q198</f>
        <v>Gas engine driven heat pump</v>
      </c>
      <c r="F394" s="242" t="s">
        <v>239</v>
      </c>
      <c r="G394" s="242" t="s">
        <v>240</v>
      </c>
      <c r="H394" s="235">
        <f>'RSD (DEA)'!S198</f>
        <v>50</v>
      </c>
      <c r="I394" s="235" t="str">
        <f>IF(OR(RIGHT('RSD (DEA)'!AH198,3)="BIO",RIGHT(AD394,3)="BOA"),LEFT('RSD (DEA)'!AH198,3)&amp;"BFW",'RSD (DEA)'!AH198)</f>
        <v>RSDGAS</v>
      </c>
      <c r="J394" s="182" t="str">
        <f>'RSD (DEA)'!AI198</f>
        <v>RSDAHT</v>
      </c>
      <c r="K394" s="235" t="str">
        <f>'RSD (DEA)'!AJ198</f>
        <v>RHAPC</v>
      </c>
      <c r="L394" s="235"/>
      <c r="M394" s="182">
        <f t="shared" si="116"/>
        <v>2019</v>
      </c>
      <c r="N394" s="182">
        <f>'RSD (DEA)'!X198</f>
        <v>2015</v>
      </c>
      <c r="O394" s="182">
        <f>IF(N394&lt;2019,2019,N394)</f>
        <v>2019</v>
      </c>
      <c r="P394" s="183">
        <f>'RSD (DEA)'!AZ198</f>
        <v>1.5</v>
      </c>
      <c r="Q394" s="183">
        <f>'RSD (DEA)'!BA198</f>
        <v>0</v>
      </c>
      <c r="R394" s="182">
        <f>'RSD (DEA)'!BR198/'RSD (DEA)'!S198</f>
        <v>4.7</v>
      </c>
      <c r="S394" s="182">
        <f>'RSD (DEA)'!BS198/X_RSD_HeatingDemand!$AA$8</f>
        <v>0</v>
      </c>
      <c r="T394" s="182">
        <f>'RSD (DEA)'!BK198*X_RSD_HeatingDemand!$AA$9/'RSD (DEA)'!S198</f>
        <v>872</v>
      </c>
      <c r="U394" s="182">
        <f>'RSD (DEA)'!BI198</f>
        <v>15</v>
      </c>
      <c r="V394" s="182" t="str">
        <f t="shared" si="102"/>
        <v/>
      </c>
      <c r="W394" s="236">
        <f>'RSD (DEA)'!AM198</f>
        <v>31.536000000000001</v>
      </c>
    </row>
    <row r="395" spans="1:23" x14ac:dyDescent="0.3">
      <c r="A395" s="316"/>
      <c r="B395" s="235"/>
      <c r="C395" s="318"/>
      <c r="D395" s="235"/>
      <c r="E395" s="235"/>
      <c r="F395" s="242"/>
      <c r="G395" s="242"/>
      <c r="H395" s="235"/>
      <c r="I395" s="235"/>
      <c r="J395" s="182" t="str">
        <f>J394</f>
        <v>RSDAHT</v>
      </c>
      <c r="K395" s="235"/>
      <c r="L395" s="235" t="str">
        <f>$AA$11</f>
        <v>ACT</v>
      </c>
      <c r="M395" s="182" t="str">
        <f t="shared" si="116"/>
        <v/>
      </c>
      <c r="N395" s="182"/>
      <c r="O395" s="182"/>
      <c r="P395" s="183"/>
      <c r="Q395" s="183"/>
      <c r="R395" s="182"/>
      <c r="S395" s="182"/>
      <c r="T395" s="182"/>
      <c r="U395" s="182"/>
      <c r="V395" s="182">
        <f t="shared" si="102"/>
        <v>1</v>
      </c>
      <c r="W395" s="236"/>
    </row>
    <row r="396" spans="1:23" x14ac:dyDescent="0.3">
      <c r="A396" s="316"/>
      <c r="B396" s="235"/>
      <c r="C396" s="318"/>
      <c r="D396" s="235"/>
      <c r="E396" s="235"/>
      <c r="F396" s="242"/>
      <c r="G396" s="242"/>
      <c r="H396" s="235"/>
      <c r="I396" s="235"/>
      <c r="J396" s="182" t="str">
        <f>J395</f>
        <v>RSDAHT</v>
      </c>
      <c r="K396" s="235"/>
      <c r="L396" s="235" t="str">
        <f t="shared" ref="L396" si="119">I394</f>
        <v>RSDGAS</v>
      </c>
      <c r="M396" s="182" t="str">
        <f t="shared" si="116"/>
        <v/>
      </c>
      <c r="N396" s="182"/>
      <c r="O396" s="182"/>
      <c r="P396" s="183"/>
      <c r="Q396" s="183"/>
      <c r="R396" s="182"/>
      <c r="S396" s="182"/>
      <c r="T396" s="182"/>
      <c r="U396" s="182"/>
      <c r="V396" s="182">
        <f t="shared" si="102"/>
        <v>-1</v>
      </c>
      <c r="W396" s="236"/>
    </row>
    <row r="397" spans="1:23" x14ac:dyDescent="0.3">
      <c r="A397" s="316"/>
      <c r="B397" s="235" t="str">
        <f>'RSD (DEA)'!AJ199&amp;"_"&amp;'RSD (DEA)'!Z199</f>
        <v>RHAPC_HP_GAS_06</v>
      </c>
      <c r="C397" s="318"/>
      <c r="D397" s="235" t="str">
        <f t="shared" si="118"/>
        <v>RHAPC_HP_GAS_06</v>
      </c>
      <c r="E397" s="235" t="str">
        <f>'RSD (DEA)'!Q199</f>
        <v>Gas engine driven heat pump</v>
      </c>
      <c r="F397" s="242" t="s">
        <v>239</v>
      </c>
      <c r="G397" s="242" t="s">
        <v>240</v>
      </c>
      <c r="H397" s="235">
        <f>'RSD (DEA)'!S199</f>
        <v>50</v>
      </c>
      <c r="I397" s="235" t="str">
        <f>IF(OR(RIGHT('RSD (DEA)'!AH199,3)="BIO",RIGHT(AD397,3)="BOA"),LEFT('RSD (DEA)'!AH199,3)&amp;"BFW",'RSD (DEA)'!AH199)</f>
        <v>RSDGAS</v>
      </c>
      <c r="J397" s="182" t="str">
        <f>'RSD (DEA)'!AI199</f>
        <v>RSDAHT</v>
      </c>
      <c r="K397" s="235" t="str">
        <f>'RSD (DEA)'!AJ199</f>
        <v>RHAPC</v>
      </c>
      <c r="L397" s="235"/>
      <c r="M397" s="182">
        <f t="shared" si="116"/>
        <v>2019</v>
      </c>
      <c r="N397" s="182">
        <f>'RSD (DEA)'!X199</f>
        <v>2020</v>
      </c>
      <c r="O397" s="182">
        <f>IF(N397&lt;2019,2019,N397)</f>
        <v>2020</v>
      </c>
      <c r="P397" s="183">
        <f>'RSD (DEA)'!AZ199</f>
        <v>1.55</v>
      </c>
      <c r="Q397" s="183">
        <f>'RSD (DEA)'!BA199</f>
        <v>0</v>
      </c>
      <c r="R397" s="182">
        <f>'RSD (DEA)'!BR199/'RSD (DEA)'!S199</f>
        <v>4.7</v>
      </c>
      <c r="S397" s="182">
        <f>'RSD (DEA)'!BS199/X_RSD_HeatingDemand!$AA$8</f>
        <v>0</v>
      </c>
      <c r="T397" s="182">
        <f>'RSD (DEA)'!BK199*X_RSD_HeatingDemand!$AA$9/'RSD (DEA)'!S199</f>
        <v>840</v>
      </c>
      <c r="U397" s="182">
        <f>'RSD (DEA)'!BI199</f>
        <v>20</v>
      </c>
      <c r="V397" s="182" t="str">
        <f t="shared" si="102"/>
        <v/>
      </c>
      <c r="W397" s="236">
        <f>'RSD (DEA)'!AM199</f>
        <v>31.536000000000001</v>
      </c>
    </row>
    <row r="398" spans="1:23" x14ac:dyDescent="0.3">
      <c r="A398" s="316"/>
      <c r="B398" s="235"/>
      <c r="C398" s="318"/>
      <c r="D398" s="235"/>
      <c r="E398" s="235"/>
      <c r="F398" s="242"/>
      <c r="G398" s="242"/>
      <c r="H398" s="235"/>
      <c r="I398" s="235"/>
      <c r="J398" s="182" t="str">
        <f>J397</f>
        <v>RSDAHT</v>
      </c>
      <c r="K398" s="235"/>
      <c r="L398" s="235" t="str">
        <f>$AA$11</f>
        <v>ACT</v>
      </c>
      <c r="M398" s="182" t="str">
        <f t="shared" si="116"/>
        <v/>
      </c>
      <c r="N398" s="182"/>
      <c r="O398" s="182"/>
      <c r="P398" s="183"/>
      <c r="Q398" s="183"/>
      <c r="R398" s="182"/>
      <c r="S398" s="182"/>
      <c r="T398" s="182"/>
      <c r="U398" s="182"/>
      <c r="V398" s="182">
        <f t="shared" si="102"/>
        <v>1</v>
      </c>
      <c r="W398" s="236"/>
    </row>
    <row r="399" spans="1:23" x14ac:dyDescent="0.3">
      <c r="A399" s="316"/>
      <c r="B399" s="235"/>
      <c r="C399" s="318"/>
      <c r="D399" s="235"/>
      <c r="E399" s="235"/>
      <c r="F399" s="242"/>
      <c r="G399" s="242"/>
      <c r="H399" s="235"/>
      <c r="I399" s="235"/>
      <c r="J399" s="182" t="str">
        <f>J398</f>
        <v>RSDAHT</v>
      </c>
      <c r="K399" s="235"/>
      <c r="L399" s="235" t="str">
        <f t="shared" ref="L399" si="120">I397</f>
        <v>RSDGAS</v>
      </c>
      <c r="M399" s="182" t="str">
        <f t="shared" si="116"/>
        <v/>
      </c>
      <c r="N399" s="182"/>
      <c r="O399" s="182"/>
      <c r="P399" s="183"/>
      <c r="Q399" s="183"/>
      <c r="R399" s="182"/>
      <c r="S399" s="182"/>
      <c r="T399" s="182"/>
      <c r="U399" s="182"/>
      <c r="V399" s="182">
        <f t="shared" si="102"/>
        <v>-1</v>
      </c>
      <c r="W399" s="236"/>
    </row>
    <row r="400" spans="1:23" x14ac:dyDescent="0.3">
      <c r="A400" s="316"/>
      <c r="B400" s="235" t="str">
        <f>'RSD (DEA)'!AJ200&amp;"_"&amp;'RSD (DEA)'!Z200</f>
        <v>RHAPC_HP_GAS_06</v>
      </c>
      <c r="C400" s="318"/>
      <c r="D400" s="235" t="str">
        <f t="shared" si="118"/>
        <v>RHAPC_HP_GAS_06</v>
      </c>
      <c r="E400" s="235" t="str">
        <f>'RSD (DEA)'!Q200</f>
        <v>Gas engine driven heat pump</v>
      </c>
      <c r="F400" s="242" t="s">
        <v>239</v>
      </c>
      <c r="G400" s="242" t="s">
        <v>240</v>
      </c>
      <c r="H400" s="235">
        <f>'RSD (DEA)'!S200</f>
        <v>50</v>
      </c>
      <c r="I400" s="235" t="str">
        <f>IF(OR(RIGHT('RSD (DEA)'!AH200,3)="BIO",RIGHT(AD400,3)="BOA"),LEFT('RSD (DEA)'!AH200,3)&amp;"BFW",'RSD (DEA)'!AH200)</f>
        <v>RSDGAS</v>
      </c>
      <c r="J400" s="182" t="str">
        <f>'RSD (DEA)'!AI200</f>
        <v>RSDAHT</v>
      </c>
      <c r="K400" s="235" t="str">
        <f>'RSD (DEA)'!AJ200</f>
        <v>RHAPC</v>
      </c>
      <c r="L400" s="235"/>
      <c r="M400" s="182">
        <f t="shared" si="116"/>
        <v>2019</v>
      </c>
      <c r="N400" s="182">
        <f>'RSD (DEA)'!X200</f>
        <v>2030</v>
      </c>
      <c r="O400" s="182">
        <f>IF(N400&lt;2019,2019,N400)</f>
        <v>2030</v>
      </c>
      <c r="P400" s="183">
        <f>'RSD (DEA)'!AZ200</f>
        <v>1.55</v>
      </c>
      <c r="Q400" s="183">
        <f>'RSD (DEA)'!BA200</f>
        <v>0</v>
      </c>
      <c r="R400" s="182">
        <f>'RSD (DEA)'!BR200/'RSD (DEA)'!S200</f>
        <v>4.7</v>
      </c>
      <c r="S400" s="182">
        <f>'RSD (DEA)'!BS200/X_RSD_HeatingDemand!$AA$8</f>
        <v>0</v>
      </c>
      <c r="T400" s="182">
        <f>'RSD (DEA)'!BK200*X_RSD_HeatingDemand!$AA$9/'RSD (DEA)'!S200</f>
        <v>820</v>
      </c>
      <c r="U400" s="182">
        <f>'RSD (DEA)'!BI200</f>
        <v>20</v>
      </c>
      <c r="V400" s="182" t="str">
        <f t="shared" si="102"/>
        <v/>
      </c>
      <c r="W400" s="236">
        <f>'RSD (DEA)'!AM200</f>
        <v>31.536000000000001</v>
      </c>
    </row>
    <row r="401" spans="1:23" x14ac:dyDescent="0.3">
      <c r="A401" s="316"/>
      <c r="B401" s="235"/>
      <c r="C401" s="318"/>
      <c r="D401" s="235"/>
      <c r="E401" s="235"/>
      <c r="F401" s="242"/>
      <c r="G401" s="242"/>
      <c r="H401" s="235"/>
      <c r="I401" s="235"/>
      <c r="J401" s="182" t="str">
        <f>J400</f>
        <v>RSDAHT</v>
      </c>
      <c r="K401" s="235"/>
      <c r="L401" s="235" t="str">
        <f>$AA$11</f>
        <v>ACT</v>
      </c>
      <c r="M401" s="182" t="str">
        <f t="shared" si="116"/>
        <v/>
      </c>
      <c r="N401" s="182"/>
      <c r="O401" s="182"/>
      <c r="P401" s="183"/>
      <c r="Q401" s="183"/>
      <c r="R401" s="182"/>
      <c r="S401" s="182"/>
      <c r="T401" s="182"/>
      <c r="U401" s="182"/>
      <c r="V401" s="182">
        <f t="shared" si="102"/>
        <v>1</v>
      </c>
      <c r="W401" s="236"/>
    </row>
    <row r="402" spans="1:23" x14ac:dyDescent="0.3">
      <c r="A402" s="316"/>
      <c r="B402" s="235"/>
      <c r="C402" s="318"/>
      <c r="D402" s="235"/>
      <c r="E402" s="235"/>
      <c r="F402" s="242"/>
      <c r="G402" s="242"/>
      <c r="H402" s="235"/>
      <c r="I402" s="235"/>
      <c r="J402" s="182" t="str">
        <f>J401</f>
        <v>RSDAHT</v>
      </c>
      <c r="K402" s="235"/>
      <c r="L402" s="235" t="str">
        <f t="shared" ref="L402" si="121">I400</f>
        <v>RSDGAS</v>
      </c>
      <c r="M402" s="182" t="str">
        <f t="shared" si="116"/>
        <v/>
      </c>
      <c r="N402" s="182"/>
      <c r="O402" s="182"/>
      <c r="P402" s="183"/>
      <c r="Q402" s="183"/>
      <c r="R402" s="182"/>
      <c r="S402" s="182"/>
      <c r="T402" s="182"/>
      <c r="U402" s="182"/>
      <c r="V402" s="182">
        <f t="shared" si="102"/>
        <v>-1</v>
      </c>
      <c r="W402" s="236"/>
    </row>
    <row r="403" spans="1:23" x14ac:dyDescent="0.3">
      <c r="A403" s="316"/>
      <c r="B403" s="235" t="str">
        <f>'RSD (DEA)'!AJ201&amp;"_"&amp;'RSD (DEA)'!Z201</f>
        <v>RHAPC_HP_GAS_06</v>
      </c>
      <c r="C403" s="318"/>
      <c r="D403" s="235" t="str">
        <f t="shared" si="118"/>
        <v>RHAPC_HP_GAS_06</v>
      </c>
      <c r="E403" s="235" t="str">
        <f>'RSD (DEA)'!Q201</f>
        <v>Gas engine driven heat pump</v>
      </c>
      <c r="F403" s="242" t="s">
        <v>239</v>
      </c>
      <c r="G403" s="242" t="s">
        <v>240</v>
      </c>
      <c r="H403" s="235">
        <f>'RSD (DEA)'!S201</f>
        <v>50</v>
      </c>
      <c r="I403" s="235" t="str">
        <f>IF(OR(RIGHT('RSD (DEA)'!AH201,3)="BIO",RIGHT(AD403,3)="BOA"),LEFT('RSD (DEA)'!AH201,3)&amp;"BFW",'RSD (DEA)'!AH201)</f>
        <v>RSDGAS</v>
      </c>
      <c r="J403" s="182" t="str">
        <f>'RSD (DEA)'!AI201</f>
        <v>RSDAHT</v>
      </c>
      <c r="K403" s="235" t="str">
        <f>'RSD (DEA)'!AJ201</f>
        <v>RHAPC</v>
      </c>
      <c r="L403" s="235"/>
      <c r="M403" s="182">
        <f t="shared" si="116"/>
        <v>2019</v>
      </c>
      <c r="N403" s="182">
        <f>'RSD (DEA)'!X201</f>
        <v>2050</v>
      </c>
      <c r="O403" s="182">
        <f>IF(N403&lt;2019,2019,N403)</f>
        <v>2050</v>
      </c>
      <c r="P403" s="183">
        <f>'RSD (DEA)'!AZ201</f>
        <v>1.6</v>
      </c>
      <c r="Q403" s="183">
        <f>'RSD (DEA)'!BA201</f>
        <v>0</v>
      </c>
      <c r="R403" s="182">
        <f>'RSD (DEA)'!BR201/'RSD (DEA)'!S201</f>
        <v>4.7</v>
      </c>
      <c r="S403" s="182">
        <f>'RSD (DEA)'!BS201/X_RSD_HeatingDemand!$AA$8</f>
        <v>0</v>
      </c>
      <c r="T403" s="182">
        <f>'RSD (DEA)'!BK201*X_RSD_HeatingDemand!$AA$9/'RSD (DEA)'!S201</f>
        <v>780</v>
      </c>
      <c r="U403" s="182">
        <f>'RSD (DEA)'!BI201</f>
        <v>20</v>
      </c>
      <c r="V403" s="182" t="str">
        <f t="shared" si="102"/>
        <v/>
      </c>
      <c r="W403" s="236">
        <f>'RSD (DEA)'!AM201</f>
        <v>31.536000000000001</v>
      </c>
    </row>
    <row r="404" spans="1:23" x14ac:dyDescent="0.3">
      <c r="A404" s="316"/>
      <c r="B404" s="235"/>
      <c r="C404" s="318"/>
      <c r="D404" s="235"/>
      <c r="E404" s="235"/>
      <c r="F404" s="242"/>
      <c r="G404" s="242"/>
      <c r="H404" s="235"/>
      <c r="I404" s="235"/>
      <c r="J404" s="182" t="str">
        <f>J403</f>
        <v>RSDAHT</v>
      </c>
      <c r="K404" s="235"/>
      <c r="L404" s="235" t="str">
        <f>$AA$11</f>
        <v>ACT</v>
      </c>
      <c r="M404" s="182" t="str">
        <f t="shared" si="116"/>
        <v/>
      </c>
      <c r="N404" s="182"/>
      <c r="O404" s="182"/>
      <c r="P404" s="183"/>
      <c r="Q404" s="183"/>
      <c r="R404" s="182"/>
      <c r="S404" s="182"/>
      <c r="T404" s="182"/>
      <c r="U404" s="182"/>
      <c r="V404" s="182">
        <f t="shared" si="102"/>
        <v>1</v>
      </c>
      <c r="W404" s="236"/>
    </row>
    <row r="405" spans="1:23" x14ac:dyDescent="0.3">
      <c r="A405" s="316"/>
      <c r="B405" s="235"/>
      <c r="C405" s="318"/>
      <c r="D405" s="235"/>
      <c r="E405" s="235"/>
      <c r="F405" s="242"/>
      <c r="G405" s="242"/>
      <c r="H405" s="235"/>
      <c r="I405" s="235"/>
      <c r="J405" s="182" t="str">
        <f>J404</f>
        <v>RSDAHT</v>
      </c>
      <c r="K405" s="235"/>
      <c r="L405" s="235" t="str">
        <f t="shared" ref="L405" si="122">I403</f>
        <v>RSDGAS</v>
      </c>
      <c r="M405" s="182" t="str">
        <f t="shared" si="116"/>
        <v/>
      </c>
      <c r="N405" s="182"/>
      <c r="O405" s="182"/>
      <c r="P405" s="183"/>
      <c r="Q405" s="183"/>
      <c r="R405" s="182"/>
      <c r="S405" s="182"/>
      <c r="T405" s="182"/>
      <c r="U405" s="182"/>
      <c r="V405" s="182">
        <f t="shared" si="102"/>
        <v>-1</v>
      </c>
      <c r="W405" s="236"/>
    </row>
    <row r="406" spans="1:23" x14ac:dyDescent="0.3">
      <c r="A406" s="316"/>
      <c r="B406" s="235" t="str">
        <f>'RSD (DEA)'!AJ202&amp;"_"&amp;'RSD (DEA)'!Z202</f>
        <v>RHHSC_HP_GAS_07</v>
      </c>
      <c r="C406" s="318"/>
      <c r="D406" s="235" t="str">
        <f t="shared" si="118"/>
        <v>RHHSC_HP_GAS_07</v>
      </c>
      <c r="E406" s="235" t="str">
        <f>'RSD (DEA)'!Q202</f>
        <v>Gas driven adsorption heat pumps</v>
      </c>
      <c r="F406" s="242" t="s">
        <v>239</v>
      </c>
      <c r="G406" s="242" t="s">
        <v>240</v>
      </c>
      <c r="H406" s="235">
        <f>'RSD (DEA)'!S202</f>
        <v>10</v>
      </c>
      <c r="I406" s="235" t="str">
        <f>IF(OR(RIGHT('RSD (DEA)'!AH202,3)="BIO",RIGHT(AD406,3)="BOA"),LEFT('RSD (DEA)'!AH202,3)&amp;"BFW",'RSD (DEA)'!AH202)</f>
        <v>RSDGAS</v>
      </c>
      <c r="J406" s="182" t="str">
        <f>'RSD (DEA)'!AI202</f>
        <v>RSDAHT</v>
      </c>
      <c r="K406" s="235" t="str">
        <f>'RSD (DEA)'!AJ202</f>
        <v>RHHSC</v>
      </c>
      <c r="L406" s="235"/>
      <c r="M406" s="182">
        <f t="shared" si="116"/>
        <v>2019</v>
      </c>
      <c r="N406" s="182">
        <f>'RSD (DEA)'!X202</f>
        <v>2015</v>
      </c>
      <c r="O406" s="182">
        <f>IF(N406&lt;2019,2019,N406)</f>
        <v>2019</v>
      </c>
      <c r="P406" s="183">
        <f>'RSD (DEA)'!AZ202</f>
        <v>1.35</v>
      </c>
      <c r="Q406" s="183">
        <f>'RSD (DEA)'!BA202</f>
        <v>0</v>
      </c>
      <c r="R406" s="182">
        <f>'RSD (DEA)'!BR202/'RSD (DEA)'!S202</f>
        <v>23.5</v>
      </c>
      <c r="S406" s="182">
        <f>'RSD (DEA)'!BS202/X_RSD_HeatingDemand!$AA$8</f>
        <v>0</v>
      </c>
      <c r="T406" s="182">
        <f>'RSD (DEA)'!BK202*X_RSD_HeatingDemand!$AA$9/'RSD (DEA)'!S202</f>
        <v>1560</v>
      </c>
      <c r="U406" s="182">
        <f>'RSD (DEA)'!BI202</f>
        <v>20</v>
      </c>
      <c r="V406" s="182" t="str">
        <f t="shared" si="102"/>
        <v/>
      </c>
      <c r="W406" s="236">
        <f>'RSD (DEA)'!AM202</f>
        <v>31.536000000000001</v>
      </c>
    </row>
    <row r="407" spans="1:23" x14ac:dyDescent="0.3">
      <c r="A407" s="316"/>
      <c r="B407" s="235"/>
      <c r="C407" s="318"/>
      <c r="D407" s="235"/>
      <c r="E407" s="235"/>
      <c r="F407" s="242"/>
      <c r="G407" s="242"/>
      <c r="H407" s="235"/>
      <c r="I407" s="235"/>
      <c r="J407" s="182" t="str">
        <f>J406</f>
        <v>RSDAHT</v>
      </c>
      <c r="K407" s="235"/>
      <c r="L407" s="235" t="str">
        <f>$AA$11</f>
        <v>ACT</v>
      </c>
      <c r="M407" s="182" t="str">
        <f t="shared" si="116"/>
        <v/>
      </c>
      <c r="N407" s="182"/>
      <c r="O407" s="182"/>
      <c r="P407" s="183"/>
      <c r="Q407" s="183"/>
      <c r="R407" s="182"/>
      <c r="S407" s="182"/>
      <c r="T407" s="182"/>
      <c r="U407" s="182"/>
      <c r="V407" s="182">
        <f t="shared" si="102"/>
        <v>1</v>
      </c>
      <c r="W407" s="236"/>
    </row>
    <row r="408" spans="1:23" x14ac:dyDescent="0.3">
      <c r="A408" s="316"/>
      <c r="B408" s="235"/>
      <c r="C408" s="318"/>
      <c r="D408" s="235"/>
      <c r="E408" s="235"/>
      <c r="F408" s="242"/>
      <c r="G408" s="242"/>
      <c r="H408" s="235"/>
      <c r="I408" s="235"/>
      <c r="J408" s="182" t="str">
        <f>J407</f>
        <v>RSDAHT</v>
      </c>
      <c r="K408" s="235"/>
      <c r="L408" s="235" t="str">
        <f t="shared" ref="L408" si="123">I406</f>
        <v>RSDGAS</v>
      </c>
      <c r="M408" s="182" t="str">
        <f t="shared" si="116"/>
        <v/>
      </c>
      <c r="N408" s="182"/>
      <c r="O408" s="182"/>
      <c r="P408" s="183"/>
      <c r="Q408" s="183"/>
      <c r="R408" s="182"/>
      <c r="S408" s="182"/>
      <c r="T408" s="182"/>
      <c r="U408" s="182"/>
      <c r="V408" s="182">
        <f t="shared" si="102"/>
        <v>-1</v>
      </c>
      <c r="W408" s="236"/>
    </row>
    <row r="409" spans="1:23" x14ac:dyDescent="0.3">
      <c r="A409" s="316"/>
      <c r="B409" s="235" t="str">
        <f>'RSD (DEA)'!AJ203&amp;"_"&amp;'RSD (DEA)'!Z203</f>
        <v>RHHSC_HP_GAS_07</v>
      </c>
      <c r="C409" s="318"/>
      <c r="D409" s="235" t="str">
        <f t="shared" si="118"/>
        <v>RHHSC_HP_GAS_07</v>
      </c>
      <c r="E409" s="235" t="str">
        <f>'RSD (DEA)'!Q203</f>
        <v>Gas driven adsorption heat pumps</v>
      </c>
      <c r="F409" s="242" t="s">
        <v>239</v>
      </c>
      <c r="G409" s="242" t="s">
        <v>240</v>
      </c>
      <c r="H409" s="235">
        <f>'RSD (DEA)'!S203</f>
        <v>10</v>
      </c>
      <c r="I409" s="235" t="str">
        <f>IF(OR(RIGHT('RSD (DEA)'!AH203,3)="BIO",RIGHT(AD409,3)="BOA"),LEFT('RSD (DEA)'!AH203,3)&amp;"BFW",'RSD (DEA)'!AH203)</f>
        <v>RSDGAS</v>
      </c>
      <c r="J409" s="182" t="str">
        <f>'RSD (DEA)'!AI203</f>
        <v>RSDAHT</v>
      </c>
      <c r="K409" s="235" t="str">
        <f>'RSD (DEA)'!AJ203</f>
        <v>RHHSC</v>
      </c>
      <c r="L409" s="235"/>
      <c r="M409" s="182">
        <f t="shared" si="116"/>
        <v>2019</v>
      </c>
      <c r="N409" s="182">
        <f>'RSD (DEA)'!X203</f>
        <v>2020</v>
      </c>
      <c r="O409" s="182">
        <f>IF(N409&lt;2019,2019,N409)</f>
        <v>2020</v>
      </c>
      <c r="P409" s="183">
        <f>'RSD (DEA)'!AZ203</f>
        <v>1.35</v>
      </c>
      <c r="Q409" s="183">
        <f>'RSD (DEA)'!BA203</f>
        <v>0</v>
      </c>
      <c r="R409" s="182">
        <f>'RSD (DEA)'!BR203/'RSD (DEA)'!S203</f>
        <v>23.5</v>
      </c>
      <c r="S409" s="182">
        <f>'RSD (DEA)'!BS203/X_RSD_HeatingDemand!$AA$8</f>
        <v>0</v>
      </c>
      <c r="T409" s="182">
        <f>'RSD (DEA)'!BK203*X_RSD_HeatingDemand!$AA$9/'RSD (DEA)'!S203</f>
        <v>1500</v>
      </c>
      <c r="U409" s="182">
        <f>'RSD (DEA)'!BI203</f>
        <v>20</v>
      </c>
      <c r="V409" s="182" t="str">
        <f t="shared" si="102"/>
        <v/>
      </c>
      <c r="W409" s="236">
        <f>'RSD (DEA)'!AM203</f>
        <v>31.536000000000001</v>
      </c>
    </row>
    <row r="410" spans="1:23" x14ac:dyDescent="0.3">
      <c r="A410" s="316"/>
      <c r="B410" s="235"/>
      <c r="C410" s="318"/>
      <c r="D410" s="235"/>
      <c r="E410" s="235"/>
      <c r="F410" s="242"/>
      <c r="G410" s="242"/>
      <c r="H410" s="235"/>
      <c r="I410" s="235"/>
      <c r="J410" s="182" t="str">
        <f>J409</f>
        <v>RSDAHT</v>
      </c>
      <c r="K410" s="235"/>
      <c r="L410" s="235" t="str">
        <f>$AA$11</f>
        <v>ACT</v>
      </c>
      <c r="M410" s="182" t="str">
        <f t="shared" si="116"/>
        <v/>
      </c>
      <c r="N410" s="182"/>
      <c r="O410" s="182"/>
      <c r="P410" s="183"/>
      <c r="Q410" s="183"/>
      <c r="R410" s="182"/>
      <c r="S410" s="182"/>
      <c r="T410" s="182"/>
      <c r="U410" s="182"/>
      <c r="V410" s="182">
        <f t="shared" si="102"/>
        <v>1</v>
      </c>
      <c r="W410" s="236"/>
    </row>
    <row r="411" spans="1:23" x14ac:dyDescent="0.3">
      <c r="A411" s="316"/>
      <c r="B411" s="235"/>
      <c r="C411" s="318"/>
      <c r="D411" s="235"/>
      <c r="E411" s="235"/>
      <c r="F411" s="242"/>
      <c r="G411" s="242"/>
      <c r="H411" s="235"/>
      <c r="I411" s="235"/>
      <c r="J411" s="182" t="str">
        <f>J410</f>
        <v>RSDAHT</v>
      </c>
      <c r="K411" s="235"/>
      <c r="L411" s="235" t="str">
        <f t="shared" ref="L411" si="124">I409</f>
        <v>RSDGAS</v>
      </c>
      <c r="M411" s="182" t="str">
        <f t="shared" si="116"/>
        <v/>
      </c>
      <c r="N411" s="182"/>
      <c r="O411" s="182"/>
      <c r="P411" s="183"/>
      <c r="Q411" s="183"/>
      <c r="R411" s="182"/>
      <c r="S411" s="182"/>
      <c r="T411" s="182"/>
      <c r="U411" s="182"/>
      <c r="V411" s="182">
        <f t="shared" si="102"/>
        <v>-1</v>
      </c>
      <c r="W411" s="236"/>
    </row>
    <row r="412" spans="1:23" x14ac:dyDescent="0.3">
      <c r="A412" s="316"/>
      <c r="B412" s="235" t="str">
        <f>'RSD (DEA)'!AJ204&amp;"_"&amp;'RSD (DEA)'!Z204</f>
        <v>RHHSC_HP_GAS_07</v>
      </c>
      <c r="C412" s="318"/>
      <c r="D412" s="235" t="str">
        <f t="shared" si="118"/>
        <v>RHHSC_HP_GAS_07</v>
      </c>
      <c r="E412" s="235" t="str">
        <f>'RSD (DEA)'!Q204</f>
        <v>Gas driven adsorption heat pumps</v>
      </c>
      <c r="F412" s="242" t="s">
        <v>239</v>
      </c>
      <c r="G412" s="242" t="s">
        <v>240</v>
      </c>
      <c r="H412" s="235">
        <f>'RSD (DEA)'!S204</f>
        <v>10</v>
      </c>
      <c r="I412" s="235" t="str">
        <f>IF(OR(RIGHT('RSD (DEA)'!AH204,3)="BIO",RIGHT(AD412,3)="BOA"),LEFT('RSD (DEA)'!AH204,3)&amp;"BFW",'RSD (DEA)'!AH204)</f>
        <v>RSDGAS</v>
      </c>
      <c r="J412" s="182" t="str">
        <f>'RSD (DEA)'!AI204</f>
        <v>RSDAHT</v>
      </c>
      <c r="K412" s="235" t="str">
        <f>'RSD (DEA)'!AJ204</f>
        <v>RHHSC</v>
      </c>
      <c r="L412" s="235"/>
      <c r="M412" s="182">
        <f t="shared" si="116"/>
        <v>2019</v>
      </c>
      <c r="N412" s="182">
        <f>'RSD (DEA)'!X204</f>
        <v>2030</v>
      </c>
      <c r="O412" s="182">
        <f>IF(N412&lt;2019,2019,N412)</f>
        <v>2030</v>
      </c>
      <c r="P412" s="183">
        <f>'RSD (DEA)'!AZ204</f>
        <v>1.35</v>
      </c>
      <c r="Q412" s="183">
        <f>'RSD (DEA)'!BA204</f>
        <v>0</v>
      </c>
      <c r="R412" s="182">
        <f>'RSD (DEA)'!BR204/'RSD (DEA)'!S204</f>
        <v>23.5</v>
      </c>
      <c r="S412" s="182">
        <f>'RSD (DEA)'!BS204/X_RSD_HeatingDemand!$AA$8</f>
        <v>0</v>
      </c>
      <c r="T412" s="182">
        <f>'RSD (DEA)'!BK204*X_RSD_HeatingDemand!$AA$9/'RSD (DEA)'!S204</f>
        <v>1300</v>
      </c>
      <c r="U412" s="182">
        <f>'RSD (DEA)'!BI204</f>
        <v>20</v>
      </c>
      <c r="V412" s="182" t="str">
        <f t="shared" si="102"/>
        <v/>
      </c>
      <c r="W412" s="236">
        <f>'RSD (DEA)'!AM204</f>
        <v>31.536000000000001</v>
      </c>
    </row>
    <row r="413" spans="1:23" x14ac:dyDescent="0.3">
      <c r="A413" s="316"/>
      <c r="B413" s="235"/>
      <c r="C413" s="318"/>
      <c r="D413" s="235"/>
      <c r="E413" s="235"/>
      <c r="F413" s="242"/>
      <c r="G413" s="242"/>
      <c r="H413" s="235"/>
      <c r="I413" s="235"/>
      <c r="J413" s="182" t="str">
        <f>J412</f>
        <v>RSDAHT</v>
      </c>
      <c r="K413" s="235"/>
      <c r="L413" s="235" t="str">
        <f>$AA$11</f>
        <v>ACT</v>
      </c>
      <c r="M413" s="182" t="str">
        <f t="shared" si="116"/>
        <v/>
      </c>
      <c r="N413" s="182"/>
      <c r="O413" s="182"/>
      <c r="P413" s="183"/>
      <c r="Q413" s="183"/>
      <c r="R413" s="182"/>
      <c r="S413" s="182"/>
      <c r="T413" s="182"/>
      <c r="U413" s="182"/>
      <c r="V413" s="182">
        <f t="shared" si="102"/>
        <v>1</v>
      </c>
      <c r="W413" s="236"/>
    </row>
    <row r="414" spans="1:23" x14ac:dyDescent="0.3">
      <c r="A414" s="316"/>
      <c r="B414" s="235"/>
      <c r="C414" s="318"/>
      <c r="D414" s="235"/>
      <c r="E414" s="235"/>
      <c r="F414" s="242"/>
      <c r="G414" s="242"/>
      <c r="H414" s="235"/>
      <c r="I414" s="235"/>
      <c r="J414" s="182" t="str">
        <f>J413</f>
        <v>RSDAHT</v>
      </c>
      <c r="K414" s="235"/>
      <c r="L414" s="235" t="str">
        <f t="shared" ref="L414" si="125">I412</f>
        <v>RSDGAS</v>
      </c>
      <c r="M414" s="182" t="str">
        <f t="shared" si="116"/>
        <v/>
      </c>
      <c r="N414" s="182"/>
      <c r="O414" s="182"/>
      <c r="P414" s="183"/>
      <c r="Q414" s="183"/>
      <c r="R414" s="182"/>
      <c r="S414" s="182"/>
      <c r="T414" s="182"/>
      <c r="U414" s="182"/>
      <c r="V414" s="182">
        <f t="shared" si="102"/>
        <v>-1</v>
      </c>
      <c r="W414" s="236"/>
    </row>
    <row r="415" spans="1:23" x14ac:dyDescent="0.3">
      <c r="A415" s="316"/>
      <c r="B415" s="235" t="str">
        <f>'RSD (DEA)'!AJ205&amp;"_"&amp;'RSD (DEA)'!Z205</f>
        <v>RHHSC_HP_GAS_07</v>
      </c>
      <c r="C415" s="318"/>
      <c r="D415" s="235" t="str">
        <f t="shared" si="118"/>
        <v>RHHSC_HP_GAS_07</v>
      </c>
      <c r="E415" s="235" t="str">
        <f>'RSD (DEA)'!Q205</f>
        <v>Gas driven adsorption heat pumps</v>
      </c>
      <c r="F415" s="242" t="s">
        <v>239</v>
      </c>
      <c r="G415" s="242" t="s">
        <v>240</v>
      </c>
      <c r="H415" s="235">
        <f>'RSD (DEA)'!S205</f>
        <v>10</v>
      </c>
      <c r="I415" s="235" t="str">
        <f>IF(OR(RIGHT('RSD (DEA)'!AH205,3)="BIO",RIGHT(AD415,3)="BOA"),LEFT('RSD (DEA)'!AH205,3)&amp;"BFW",'RSD (DEA)'!AH205)</f>
        <v>RSDGAS</v>
      </c>
      <c r="J415" s="182" t="str">
        <f>'RSD (DEA)'!AI205</f>
        <v>RSDAHT</v>
      </c>
      <c r="K415" s="235" t="str">
        <f>'RSD (DEA)'!AJ205</f>
        <v>RHHSC</v>
      </c>
      <c r="L415" s="235"/>
      <c r="M415" s="182">
        <f t="shared" si="116"/>
        <v>2019</v>
      </c>
      <c r="N415" s="182">
        <f>'RSD (DEA)'!X205</f>
        <v>2050</v>
      </c>
      <c r="O415" s="182">
        <f>IF(N415&lt;2019,2019,N415)</f>
        <v>2050</v>
      </c>
      <c r="P415" s="183">
        <f>'RSD (DEA)'!AZ205</f>
        <v>1.35</v>
      </c>
      <c r="Q415" s="183">
        <f>'RSD (DEA)'!BA205</f>
        <v>0</v>
      </c>
      <c r="R415" s="182">
        <f>'RSD (DEA)'!BR205/'RSD (DEA)'!S205</f>
        <v>23.5</v>
      </c>
      <c r="S415" s="182">
        <f>'RSD (DEA)'!BS205/X_RSD_HeatingDemand!$AA$8</f>
        <v>0</v>
      </c>
      <c r="T415" s="182">
        <f>'RSD (DEA)'!BK205*X_RSD_HeatingDemand!$AA$9/'RSD (DEA)'!S205</f>
        <v>1200</v>
      </c>
      <c r="U415" s="182">
        <f>'RSD (DEA)'!BI205</f>
        <v>20</v>
      </c>
      <c r="V415" s="182" t="str">
        <f t="shared" si="102"/>
        <v/>
      </c>
      <c r="W415" s="236">
        <f>'RSD (DEA)'!AM205</f>
        <v>31.536000000000001</v>
      </c>
    </row>
    <row r="416" spans="1:23" x14ac:dyDescent="0.3">
      <c r="A416" s="316"/>
      <c r="B416" s="235"/>
      <c r="C416" s="318"/>
      <c r="D416" s="235"/>
      <c r="E416" s="235"/>
      <c r="F416" s="242"/>
      <c r="G416" s="242"/>
      <c r="H416" s="235"/>
      <c r="I416" s="235"/>
      <c r="J416" s="182" t="str">
        <f>J415</f>
        <v>RSDAHT</v>
      </c>
      <c r="K416" s="235"/>
      <c r="L416" s="235" t="str">
        <f>$AA$11</f>
        <v>ACT</v>
      </c>
      <c r="M416" s="182" t="str">
        <f t="shared" si="116"/>
        <v/>
      </c>
      <c r="N416" s="182"/>
      <c r="O416" s="182"/>
      <c r="P416" s="183"/>
      <c r="Q416" s="183"/>
      <c r="R416" s="182"/>
      <c r="S416" s="182"/>
      <c r="T416" s="182"/>
      <c r="U416" s="182"/>
      <c r="V416" s="182">
        <f t="shared" si="102"/>
        <v>1</v>
      </c>
      <c r="W416" s="236"/>
    </row>
    <row r="417" spans="1:29" x14ac:dyDescent="0.3">
      <c r="A417" s="316"/>
      <c r="B417" s="235"/>
      <c r="C417" s="318"/>
      <c r="D417" s="235"/>
      <c r="E417" s="235"/>
      <c r="F417" s="242"/>
      <c r="G417" s="242"/>
      <c r="H417" s="235"/>
      <c r="I417" s="235"/>
      <c r="J417" s="182" t="str">
        <f>J416</f>
        <v>RSDAHT</v>
      </c>
      <c r="K417" s="235"/>
      <c r="L417" s="235" t="str">
        <f t="shared" ref="L417" si="126">I415</f>
        <v>RSDGAS</v>
      </c>
      <c r="M417" s="182" t="str">
        <f t="shared" si="116"/>
        <v/>
      </c>
      <c r="N417" s="182"/>
      <c r="O417" s="182"/>
      <c r="P417" s="183"/>
      <c r="Q417" s="183"/>
      <c r="R417" s="182"/>
      <c r="S417" s="182"/>
      <c r="T417" s="182"/>
      <c r="U417" s="182"/>
      <c r="V417" s="182">
        <f t="shared" si="102"/>
        <v>-1</v>
      </c>
      <c r="W417" s="236"/>
    </row>
    <row r="418" spans="1:29" x14ac:dyDescent="0.3">
      <c r="A418" s="316"/>
      <c r="B418" s="235" t="str">
        <f>'RSD (DEA)'!AJ206&amp;"_"&amp;'RSD (DEA)'!Z206</f>
        <v>RHHSC_T_SOL_01</v>
      </c>
      <c r="C418" s="318"/>
      <c r="D418" s="235" t="str">
        <f t="shared" si="118"/>
        <v>RHHSC_T_SOL_01</v>
      </c>
      <c r="E418" s="235" t="str">
        <f>'RSD (DEA)'!Q206</f>
        <v>Solar heating</v>
      </c>
      <c r="F418" s="242" t="s">
        <v>239</v>
      </c>
      <c r="G418" s="242" t="s">
        <v>240</v>
      </c>
      <c r="H418" s="235">
        <f>'RSD (DEA)'!S206</f>
        <v>4.2</v>
      </c>
      <c r="I418" s="235" t="str">
        <f>IF(OR(RIGHT('RSD (DEA)'!AH206,3)="BIO",RIGHT(AD418,3)="BOA"),LEFT('RSD (DEA)'!AH206,3)&amp;"BFW",'RSD (DEA)'!AH206)</f>
        <v>RSDSOL</v>
      </c>
      <c r="J418" s="182" t="str">
        <f>'RSD (DEA)'!AI206</f>
        <v/>
      </c>
      <c r="K418" s="235" t="str">
        <f>'RSD (DEA)'!AJ206</f>
        <v>RHHSC</v>
      </c>
      <c r="L418" s="235"/>
      <c r="M418" s="182">
        <f t="shared" si="116"/>
        <v>2019</v>
      </c>
      <c r="N418" s="182">
        <f>'RSD (DEA)'!X206</f>
        <v>2015</v>
      </c>
      <c r="O418" s="182">
        <f t="shared" ref="O418:O449" si="127">IF(N418&lt;2019,2019,N418)</f>
        <v>2019</v>
      </c>
      <c r="P418" s="311">
        <f t="shared" ref="P418:Q437" si="128">$AC$6</f>
        <v>0.65</v>
      </c>
      <c r="Q418" s="311">
        <f t="shared" si="128"/>
        <v>0.65</v>
      </c>
      <c r="R418" s="182">
        <f>'RSD (DEA)'!BR206/'RSD (DEA)'!S206</f>
        <v>16.535714285714285</v>
      </c>
      <c r="S418" s="182">
        <f>'RSD (DEA)'!BS206/X_RSD_HeatingDemand!$AA$8</f>
        <v>0</v>
      </c>
      <c r="T418" s="182">
        <f>'RSD (DEA)'!BK206*X_RSD_HeatingDemand!$AA$9/'RSD (DEA)'!S206</f>
        <v>958.77277085330763</v>
      </c>
      <c r="U418" s="182">
        <f>'RSD (DEA)'!BI206</f>
        <v>20</v>
      </c>
      <c r="V418" s="182"/>
      <c r="W418" s="236">
        <f>'RSD (DEA)'!AM206</f>
        <v>31.536000000000001</v>
      </c>
      <c r="AC418" s="239"/>
    </row>
    <row r="419" spans="1:29" x14ac:dyDescent="0.3">
      <c r="A419" s="316"/>
      <c r="B419" s="235" t="str">
        <f>'RSD (DEA)'!AJ207&amp;"_"&amp;'RSD (DEA)'!Z207</f>
        <v>RHHSC_T_SOL_01</v>
      </c>
      <c r="C419" s="318"/>
      <c r="D419" s="235" t="str">
        <f t="shared" si="118"/>
        <v>RHHSC_T_SOL_02</v>
      </c>
      <c r="E419" s="235" t="str">
        <f>'RSD (DEA)'!Q207</f>
        <v>Solar heating</v>
      </c>
      <c r="F419" s="242" t="s">
        <v>239</v>
      </c>
      <c r="G419" s="242" t="s">
        <v>240</v>
      </c>
      <c r="H419" s="235">
        <f>'RSD (DEA)'!S207</f>
        <v>4.2</v>
      </c>
      <c r="I419" s="235" t="str">
        <f>IF(OR(RIGHT('RSD (DEA)'!AH207,3)="BIO",RIGHT(AD419,3)="BOA"),LEFT('RSD (DEA)'!AH207,3)&amp;"BFW",'RSD (DEA)'!AH207)</f>
        <v>RSDSOL</v>
      </c>
      <c r="J419" s="182" t="str">
        <f>'RSD (DEA)'!AI207</f>
        <v/>
      </c>
      <c r="K419" s="235" t="str">
        <f>'RSD (DEA)'!AJ207</f>
        <v>RHHSC</v>
      </c>
      <c r="L419" s="235"/>
      <c r="M419" s="182">
        <f t="shared" si="116"/>
        <v>2019</v>
      </c>
      <c r="N419" s="182">
        <f>'RSD (DEA)'!X207</f>
        <v>2020</v>
      </c>
      <c r="O419" s="182">
        <f t="shared" si="127"/>
        <v>2020</v>
      </c>
      <c r="P419" s="311">
        <f t="shared" si="128"/>
        <v>0.65</v>
      </c>
      <c r="Q419" s="311">
        <f t="shared" si="128"/>
        <v>0.65</v>
      </c>
      <c r="R419" s="182">
        <f>'RSD (DEA)'!BR207/'RSD (DEA)'!S207</f>
        <v>16.19047619047619</v>
      </c>
      <c r="S419" s="182">
        <f>'RSD (DEA)'!BS207/X_RSD_HeatingDemand!$AA$8</f>
        <v>0</v>
      </c>
      <c r="T419" s="182">
        <f>'RSD (DEA)'!BK207*X_RSD_HeatingDemand!$AA$9/'RSD (DEA)'!S207</f>
        <v>958.77277085330763</v>
      </c>
      <c r="U419" s="182">
        <f>'RSD (DEA)'!BI207</f>
        <v>25</v>
      </c>
      <c r="V419" s="182"/>
      <c r="W419" s="236">
        <f>'RSD (DEA)'!AM207</f>
        <v>31.536000000000001</v>
      </c>
    </row>
    <row r="420" spans="1:29" x14ac:dyDescent="0.3">
      <c r="A420" s="316"/>
      <c r="B420" s="235" t="str">
        <f>'RSD (DEA)'!AJ208&amp;"_"&amp;'RSD (DEA)'!Z208</f>
        <v>RHHSC_T_SOL_01</v>
      </c>
      <c r="C420" s="318"/>
      <c r="D420" s="235" t="str">
        <f t="shared" si="118"/>
        <v>RHHSC_T_SOL_03</v>
      </c>
      <c r="E420" s="235" t="str">
        <f>'RSD (DEA)'!Q208</f>
        <v>Solar heating</v>
      </c>
      <c r="F420" s="242" t="s">
        <v>239</v>
      </c>
      <c r="G420" s="242" t="s">
        <v>240</v>
      </c>
      <c r="H420" s="235">
        <f>'RSD (DEA)'!S208</f>
        <v>4.2</v>
      </c>
      <c r="I420" s="235" t="str">
        <f>IF(OR(RIGHT('RSD (DEA)'!AH208,3)="BIO",RIGHT(AD420,3)="BOA"),LEFT('RSD (DEA)'!AH208,3)&amp;"BFW",'RSD (DEA)'!AH208)</f>
        <v>RSDSOL</v>
      </c>
      <c r="J420" s="182" t="str">
        <f>'RSD (DEA)'!AI208</f>
        <v/>
      </c>
      <c r="K420" s="235" t="str">
        <f>'RSD (DEA)'!AJ208</f>
        <v>RHHSC</v>
      </c>
      <c r="L420" s="235"/>
      <c r="M420" s="182">
        <f t="shared" si="116"/>
        <v>2019</v>
      </c>
      <c r="N420" s="182">
        <f>'RSD (DEA)'!X208</f>
        <v>2030</v>
      </c>
      <c r="O420" s="182">
        <f t="shared" si="127"/>
        <v>2030</v>
      </c>
      <c r="P420" s="311">
        <f t="shared" si="128"/>
        <v>0.65</v>
      </c>
      <c r="Q420" s="311">
        <f t="shared" si="128"/>
        <v>0.65</v>
      </c>
      <c r="R420" s="182">
        <f>'RSD (DEA)'!BR208/'RSD (DEA)'!S208</f>
        <v>16.535714285714285</v>
      </c>
      <c r="S420" s="182">
        <f>'RSD (DEA)'!BS208/X_RSD_HeatingDemand!$AA$8</f>
        <v>0</v>
      </c>
      <c r="T420" s="182">
        <f>'RSD (DEA)'!BK208*X_RSD_HeatingDemand!$AA$9/'RSD (DEA)'!S208</f>
        <v>714.28571428571422</v>
      </c>
      <c r="U420" s="182">
        <f>'RSD (DEA)'!BI208</f>
        <v>30</v>
      </c>
      <c r="V420" s="182"/>
      <c r="W420" s="236">
        <f>'RSD (DEA)'!AM208</f>
        <v>31.536000000000001</v>
      </c>
    </row>
    <row r="421" spans="1:29" x14ac:dyDescent="0.3">
      <c r="A421" s="316"/>
      <c r="B421" s="235" t="str">
        <f>'RSD (DEA)'!AJ209&amp;"_"&amp;'RSD (DEA)'!Z209</f>
        <v>RHHSC_T_SOL_01</v>
      </c>
      <c r="C421" s="318"/>
      <c r="D421" s="235" t="str">
        <f t="shared" si="118"/>
        <v>RHHSC_T_SOL_04</v>
      </c>
      <c r="E421" s="235" t="str">
        <f>'RSD (DEA)'!Q209</f>
        <v>Solar heating</v>
      </c>
      <c r="F421" s="242" t="s">
        <v>239</v>
      </c>
      <c r="G421" s="242" t="s">
        <v>240</v>
      </c>
      <c r="H421" s="235">
        <f>'RSD (DEA)'!S209</f>
        <v>4.2</v>
      </c>
      <c r="I421" s="235" t="str">
        <f>IF(OR(RIGHT('RSD (DEA)'!AH209,3)="BIO",RIGHT(AD421,3)="BOA"),LEFT('RSD (DEA)'!AH209,3)&amp;"BFW",'RSD (DEA)'!AH209)</f>
        <v>RSDSOL</v>
      </c>
      <c r="J421" s="182" t="str">
        <f>'RSD (DEA)'!AI209</f>
        <v/>
      </c>
      <c r="K421" s="235" t="str">
        <f>'RSD (DEA)'!AJ209</f>
        <v>RHHSC</v>
      </c>
      <c r="L421" s="235"/>
      <c r="M421" s="182">
        <f t="shared" si="116"/>
        <v>2019</v>
      </c>
      <c r="N421" s="182">
        <f>'RSD (DEA)'!X209</f>
        <v>2050</v>
      </c>
      <c r="O421" s="182">
        <f t="shared" si="127"/>
        <v>2050</v>
      </c>
      <c r="P421" s="311">
        <f t="shared" si="128"/>
        <v>0.65</v>
      </c>
      <c r="Q421" s="311">
        <f t="shared" si="128"/>
        <v>0.65</v>
      </c>
      <c r="R421" s="182">
        <f>'RSD (DEA)'!BR209/'RSD (DEA)'!S209</f>
        <v>15</v>
      </c>
      <c r="S421" s="182">
        <f>'RSD (DEA)'!BS209/X_RSD_HeatingDemand!$AA$8</f>
        <v>0</v>
      </c>
      <c r="T421" s="182">
        <f>'RSD (DEA)'!BK209*X_RSD_HeatingDemand!$AA$9/'RSD (DEA)'!S209</f>
        <v>714.28571428571422</v>
      </c>
      <c r="U421" s="182">
        <f>'RSD (DEA)'!BI209</f>
        <v>30</v>
      </c>
      <c r="V421" s="182"/>
      <c r="W421" s="236">
        <f>'RSD (DEA)'!AM209</f>
        <v>31.536000000000001</v>
      </c>
    </row>
    <row r="422" spans="1:29" x14ac:dyDescent="0.3">
      <c r="A422" s="316"/>
      <c r="B422" s="235" t="str">
        <f>'RSD (DEA)'!AJ210&amp;"_"&amp;'RSD (DEA)'!Z210</f>
        <v>RHHSB_T_SOL_02</v>
      </c>
      <c r="C422" s="318"/>
      <c r="D422" s="235" t="str">
        <f t="shared" si="118"/>
        <v>RHHSB_T_SOL_02</v>
      </c>
      <c r="E422" s="235" t="str">
        <f>'RSD (DEA)'!Q210</f>
        <v>Solar heating</v>
      </c>
      <c r="F422" s="242" t="s">
        <v>239</v>
      </c>
      <c r="G422" s="242" t="s">
        <v>240</v>
      </c>
      <c r="H422" s="235">
        <f>'RSD (DEA)'!S210</f>
        <v>4.2</v>
      </c>
      <c r="I422" s="235" t="str">
        <f>IF(OR(RIGHT('RSD (DEA)'!AH210,3)="BIO",RIGHT(AD422,3)="BOA"),LEFT('RSD (DEA)'!AH210,3)&amp;"BFW",'RSD (DEA)'!AH210)</f>
        <v>RSDSOL</v>
      </c>
      <c r="J422" s="182" t="str">
        <f>'RSD (DEA)'!AI210</f>
        <v/>
      </c>
      <c r="K422" s="235" t="str">
        <f>'RSD (DEA)'!AJ210</f>
        <v>RHHSB</v>
      </c>
      <c r="L422" s="235"/>
      <c r="M422" s="182">
        <f t="shared" si="116"/>
        <v>2019</v>
      </c>
      <c r="N422" s="182">
        <f>'RSD (DEA)'!X210</f>
        <v>2015</v>
      </c>
      <c r="O422" s="182">
        <f t="shared" si="127"/>
        <v>2019</v>
      </c>
      <c r="P422" s="311">
        <f t="shared" si="128"/>
        <v>0.65</v>
      </c>
      <c r="Q422" s="311">
        <f t="shared" si="128"/>
        <v>0.65</v>
      </c>
      <c r="R422" s="182">
        <f>'RSD (DEA)'!BR210/'RSD (DEA)'!S210</f>
        <v>16.535714285714285</v>
      </c>
      <c r="S422" s="182">
        <f>'RSD (DEA)'!BS210/X_RSD_HeatingDemand!$AA$8</f>
        <v>0</v>
      </c>
      <c r="T422" s="182">
        <f>'RSD (DEA)'!BK210*X_RSD_HeatingDemand!$AA$9/'RSD (DEA)'!S210</f>
        <v>798.97730904442312</v>
      </c>
      <c r="U422" s="182">
        <f>'RSD (DEA)'!BI210</f>
        <v>20</v>
      </c>
      <c r="V422" s="182"/>
      <c r="W422" s="236">
        <f>'RSD (DEA)'!AM210</f>
        <v>31.536000000000001</v>
      </c>
    </row>
    <row r="423" spans="1:29" x14ac:dyDescent="0.3">
      <c r="A423" s="316"/>
      <c r="B423" s="235" t="str">
        <f>'RSD (DEA)'!AJ211&amp;"_"&amp;'RSD (DEA)'!Z211</f>
        <v>RHHSB_T_SOL_02</v>
      </c>
      <c r="C423" s="318"/>
      <c r="D423" s="235" t="str">
        <f t="shared" si="118"/>
        <v>RHHSB_T_SOL_03</v>
      </c>
      <c r="E423" s="235" t="str">
        <f>'RSD (DEA)'!Q211</f>
        <v>Solar heating</v>
      </c>
      <c r="F423" s="242" t="s">
        <v>239</v>
      </c>
      <c r="G423" s="242" t="s">
        <v>240</v>
      </c>
      <c r="H423" s="235">
        <f>'RSD (DEA)'!S211</f>
        <v>4.2</v>
      </c>
      <c r="I423" s="235" t="str">
        <f>IF(OR(RIGHT('RSD (DEA)'!AH211,3)="BIO",RIGHT(AD423,3)="BOA"),LEFT('RSD (DEA)'!AH211,3)&amp;"BFW",'RSD (DEA)'!AH211)</f>
        <v>RSDSOL</v>
      </c>
      <c r="J423" s="182" t="str">
        <f>'RSD (DEA)'!AI211</f>
        <v/>
      </c>
      <c r="K423" s="235" t="str">
        <f>'RSD (DEA)'!AJ211</f>
        <v>RHHSB</v>
      </c>
      <c r="L423" s="235"/>
      <c r="M423" s="182">
        <f t="shared" si="116"/>
        <v>2019</v>
      </c>
      <c r="N423" s="182">
        <f>'RSD (DEA)'!X211</f>
        <v>2020</v>
      </c>
      <c r="O423" s="182">
        <f t="shared" si="127"/>
        <v>2020</v>
      </c>
      <c r="P423" s="311">
        <f t="shared" si="128"/>
        <v>0.65</v>
      </c>
      <c r="Q423" s="311">
        <f t="shared" si="128"/>
        <v>0.65</v>
      </c>
      <c r="R423" s="182">
        <f>'RSD (DEA)'!BR211/'RSD (DEA)'!S211</f>
        <v>16.19047619047619</v>
      </c>
      <c r="S423" s="182">
        <f>'RSD (DEA)'!BS211/X_RSD_HeatingDemand!$AA$8</f>
        <v>0</v>
      </c>
      <c r="T423" s="182">
        <f>'RSD (DEA)'!BK211*X_RSD_HeatingDemand!$AA$9/'RSD (DEA)'!S211</f>
        <v>798.97730904442312</v>
      </c>
      <c r="U423" s="182">
        <f>'RSD (DEA)'!BI211</f>
        <v>25</v>
      </c>
      <c r="V423" s="182"/>
      <c r="W423" s="236">
        <f>'RSD (DEA)'!AM211</f>
        <v>31.536000000000001</v>
      </c>
    </row>
    <row r="424" spans="1:29" x14ac:dyDescent="0.3">
      <c r="A424" s="316"/>
      <c r="B424" s="235" t="str">
        <f>'RSD (DEA)'!AJ212&amp;"_"&amp;'RSD (DEA)'!Z212</f>
        <v>RHHSB_T_SOL_02</v>
      </c>
      <c r="C424" s="318"/>
      <c r="D424" s="235" t="str">
        <f t="shared" si="118"/>
        <v>RHHSB_T_SOL_04</v>
      </c>
      <c r="E424" s="235" t="str">
        <f>'RSD (DEA)'!Q212</f>
        <v>Solar heating</v>
      </c>
      <c r="F424" s="242" t="s">
        <v>239</v>
      </c>
      <c r="G424" s="242" t="s">
        <v>240</v>
      </c>
      <c r="H424" s="235">
        <f>'RSD (DEA)'!S212</f>
        <v>4.2</v>
      </c>
      <c r="I424" s="235" t="str">
        <f>IF(OR(RIGHT('RSD (DEA)'!AH212,3)="BIO",RIGHT(AD424,3)="BOA"),LEFT('RSD (DEA)'!AH212,3)&amp;"BFW",'RSD (DEA)'!AH212)</f>
        <v>RSDSOL</v>
      </c>
      <c r="J424" s="182" t="str">
        <f>'RSD (DEA)'!AI212</f>
        <v/>
      </c>
      <c r="K424" s="235" t="str">
        <f>'RSD (DEA)'!AJ212</f>
        <v>RHHSB</v>
      </c>
      <c r="L424" s="235"/>
      <c r="M424" s="182">
        <f t="shared" si="116"/>
        <v>2019</v>
      </c>
      <c r="N424" s="182">
        <f>'RSD (DEA)'!X212</f>
        <v>2030</v>
      </c>
      <c r="O424" s="182">
        <f t="shared" si="127"/>
        <v>2030</v>
      </c>
      <c r="P424" s="311">
        <f t="shared" si="128"/>
        <v>0.65</v>
      </c>
      <c r="Q424" s="311">
        <f t="shared" si="128"/>
        <v>0.65</v>
      </c>
      <c r="R424" s="182">
        <f>'RSD (DEA)'!BR212/'RSD (DEA)'!S212</f>
        <v>16.535714285714285</v>
      </c>
      <c r="S424" s="182">
        <f>'RSD (DEA)'!BS212/X_RSD_HeatingDemand!$AA$8</f>
        <v>0</v>
      </c>
      <c r="T424" s="182">
        <f>'RSD (DEA)'!BK212*X_RSD_HeatingDemand!$AA$9/'RSD (DEA)'!S212</f>
        <v>798.97730904442312</v>
      </c>
      <c r="U424" s="182">
        <f>'RSD (DEA)'!BI212</f>
        <v>30</v>
      </c>
      <c r="V424" s="182"/>
      <c r="W424" s="236">
        <f>'RSD (DEA)'!AM212</f>
        <v>31.536000000000001</v>
      </c>
    </row>
    <row r="425" spans="1:29" x14ac:dyDescent="0.3">
      <c r="A425" s="316"/>
      <c r="B425" s="235" t="str">
        <f>'RSD (DEA)'!AJ213&amp;"_"&amp;'RSD (DEA)'!Z213</f>
        <v>RHHSB_T_SOL_02</v>
      </c>
      <c r="C425" s="318"/>
      <c r="D425" s="235" t="str">
        <f t="shared" si="118"/>
        <v>RHHSB_T_SOL_05</v>
      </c>
      <c r="E425" s="235" t="str">
        <f>'RSD (DEA)'!Q213</f>
        <v>Solar heating</v>
      </c>
      <c r="F425" s="242" t="s">
        <v>239</v>
      </c>
      <c r="G425" s="242" t="s">
        <v>240</v>
      </c>
      <c r="H425" s="235">
        <f>'RSD (DEA)'!S213</f>
        <v>4.2</v>
      </c>
      <c r="I425" s="235" t="str">
        <f>IF(OR(RIGHT('RSD (DEA)'!AH213,3)="BIO",RIGHT(AD425,3)="BOA"),LEFT('RSD (DEA)'!AH213,3)&amp;"BFW",'RSD (DEA)'!AH213)</f>
        <v>RSDSOL</v>
      </c>
      <c r="J425" s="182" t="str">
        <f>'RSD (DEA)'!AI213</f>
        <v/>
      </c>
      <c r="K425" s="235" t="str">
        <f>'RSD (DEA)'!AJ213</f>
        <v>RHHSB</v>
      </c>
      <c r="L425" s="235"/>
      <c r="M425" s="182">
        <f t="shared" si="116"/>
        <v>2019</v>
      </c>
      <c r="N425" s="182">
        <f>'RSD (DEA)'!X213</f>
        <v>2050</v>
      </c>
      <c r="O425" s="182">
        <f t="shared" si="127"/>
        <v>2050</v>
      </c>
      <c r="P425" s="311">
        <f t="shared" si="128"/>
        <v>0.65</v>
      </c>
      <c r="Q425" s="311">
        <f t="shared" si="128"/>
        <v>0.65</v>
      </c>
      <c r="R425" s="182">
        <f>'RSD (DEA)'!BR213/'RSD (DEA)'!S213</f>
        <v>15</v>
      </c>
      <c r="S425" s="182">
        <f>'RSD (DEA)'!BS213/X_RSD_HeatingDemand!$AA$8</f>
        <v>0</v>
      </c>
      <c r="T425" s="182">
        <f>'RSD (DEA)'!BK213*X_RSD_HeatingDemand!$AA$9/'RSD (DEA)'!S213</f>
        <v>476.19047619047615</v>
      </c>
      <c r="U425" s="182">
        <f>'RSD (DEA)'!BI213</f>
        <v>30</v>
      </c>
      <c r="V425" s="182"/>
      <c r="W425" s="236">
        <f>'RSD (DEA)'!AM213</f>
        <v>31.536000000000001</v>
      </c>
    </row>
    <row r="426" spans="1:29" x14ac:dyDescent="0.3">
      <c r="A426" s="316"/>
      <c r="B426" s="235" t="str">
        <f>'RSD (DEA)'!AJ214&amp;"_"&amp;'RSD (DEA)'!Z214</f>
        <v>RHHSA_T_SOL_03</v>
      </c>
      <c r="C426" s="318"/>
      <c r="D426" s="235" t="str">
        <f t="shared" si="118"/>
        <v>RHHSA_T_SOL_03</v>
      </c>
      <c r="E426" s="235" t="str">
        <f>'RSD (DEA)'!Q214</f>
        <v>Solar heating</v>
      </c>
      <c r="F426" s="242" t="s">
        <v>239</v>
      </c>
      <c r="G426" s="242" t="s">
        <v>240</v>
      </c>
      <c r="H426" s="235">
        <f>'RSD (DEA)'!S214</f>
        <v>4.2</v>
      </c>
      <c r="I426" s="235" t="str">
        <f>IF(OR(RIGHT('RSD (DEA)'!AH214,3)="BIO",RIGHT(AD426,3)="BOA"),LEFT('RSD (DEA)'!AH214,3)&amp;"BFW",'RSD (DEA)'!AH214)</f>
        <v>RSDSOL</v>
      </c>
      <c r="J426" s="182" t="str">
        <f>'RSD (DEA)'!AI214</f>
        <v/>
      </c>
      <c r="K426" s="235" t="str">
        <f>'RSD (DEA)'!AJ214</f>
        <v>RHHSA</v>
      </c>
      <c r="L426" s="235"/>
      <c r="M426" s="182">
        <f t="shared" si="116"/>
        <v>2019</v>
      </c>
      <c r="N426" s="182">
        <f>'RSD (DEA)'!X214</f>
        <v>2015</v>
      </c>
      <c r="O426" s="182">
        <f t="shared" si="127"/>
        <v>2019</v>
      </c>
      <c r="P426" s="311">
        <f t="shared" si="128"/>
        <v>0.65</v>
      </c>
      <c r="Q426" s="311">
        <f t="shared" si="128"/>
        <v>0.65</v>
      </c>
      <c r="R426" s="182">
        <f>'RSD (DEA)'!BR214/'RSD (DEA)'!S214</f>
        <v>16.535714285714285</v>
      </c>
      <c r="S426" s="182">
        <f>'RSD (DEA)'!BS214/X_RSD_HeatingDemand!$AA$8</f>
        <v>0</v>
      </c>
      <c r="T426" s="182">
        <f>'RSD (DEA)'!BK214*X_RSD_HeatingDemand!$AA$9/'RSD (DEA)'!S214</f>
        <v>639.1818472355385</v>
      </c>
      <c r="U426" s="182">
        <f>'RSD (DEA)'!BI214</f>
        <v>20</v>
      </c>
      <c r="V426" s="182"/>
      <c r="W426" s="236">
        <f>'RSD (DEA)'!AM214</f>
        <v>31.536000000000001</v>
      </c>
    </row>
    <row r="427" spans="1:29" x14ac:dyDescent="0.3">
      <c r="A427" s="316"/>
      <c r="B427" s="235" t="str">
        <f>'RSD (DEA)'!AJ215&amp;"_"&amp;'RSD (DEA)'!Z215</f>
        <v>RHHSA_T_SOL_03</v>
      </c>
      <c r="C427" s="318"/>
      <c r="D427" s="235" t="str">
        <f t="shared" si="118"/>
        <v>RHHSA_T_SOL_04</v>
      </c>
      <c r="E427" s="235" t="str">
        <f>'RSD (DEA)'!Q215</f>
        <v>Solar heating</v>
      </c>
      <c r="F427" s="242" t="s">
        <v>239</v>
      </c>
      <c r="G427" s="242" t="s">
        <v>240</v>
      </c>
      <c r="H427" s="235">
        <f>'RSD (DEA)'!S215</f>
        <v>4.2</v>
      </c>
      <c r="I427" s="235" t="str">
        <f>IF(OR(RIGHT('RSD (DEA)'!AH215,3)="BIO",RIGHT(AD427,3)="BOA"),LEFT('RSD (DEA)'!AH215,3)&amp;"BFW",'RSD (DEA)'!AH215)</f>
        <v>RSDSOL</v>
      </c>
      <c r="J427" s="182" t="str">
        <f>'RSD (DEA)'!AI215</f>
        <v/>
      </c>
      <c r="K427" s="235" t="str">
        <f>'RSD (DEA)'!AJ215</f>
        <v>RHHSA</v>
      </c>
      <c r="L427" s="235"/>
      <c r="M427" s="182">
        <f t="shared" si="116"/>
        <v>2019</v>
      </c>
      <c r="N427" s="182">
        <f>'RSD (DEA)'!X215</f>
        <v>2020</v>
      </c>
      <c r="O427" s="182">
        <f t="shared" si="127"/>
        <v>2020</v>
      </c>
      <c r="P427" s="311">
        <f t="shared" si="128"/>
        <v>0.65</v>
      </c>
      <c r="Q427" s="311">
        <f t="shared" si="128"/>
        <v>0.65</v>
      </c>
      <c r="R427" s="182">
        <f>'RSD (DEA)'!BR215/'RSD (DEA)'!S215</f>
        <v>16.19047619047619</v>
      </c>
      <c r="S427" s="182">
        <f>'RSD (DEA)'!BS215/X_RSD_HeatingDemand!$AA$8</f>
        <v>0</v>
      </c>
      <c r="T427" s="182">
        <f>'RSD (DEA)'!BK215*X_RSD_HeatingDemand!$AA$9/'RSD (DEA)'!S215</f>
        <v>476.19047619047615</v>
      </c>
      <c r="U427" s="182">
        <f>'RSD (DEA)'!BI215</f>
        <v>25</v>
      </c>
      <c r="V427" s="182"/>
      <c r="W427" s="236">
        <f>'RSD (DEA)'!AM215</f>
        <v>31.536000000000001</v>
      </c>
    </row>
    <row r="428" spans="1:29" x14ac:dyDescent="0.3">
      <c r="A428" s="316"/>
      <c r="B428" s="235" t="str">
        <f>'RSD (DEA)'!AJ216&amp;"_"&amp;'RSD (DEA)'!Z216</f>
        <v>RHHSA_T_SOL_03</v>
      </c>
      <c r="C428" s="318"/>
      <c r="D428" s="235" t="str">
        <f t="shared" si="118"/>
        <v>RHHSA_T_SOL_05</v>
      </c>
      <c r="E428" s="235" t="str">
        <f>'RSD (DEA)'!Q216</f>
        <v>Solar heating</v>
      </c>
      <c r="F428" s="242" t="s">
        <v>239</v>
      </c>
      <c r="G428" s="242" t="s">
        <v>240</v>
      </c>
      <c r="H428" s="235">
        <f>'RSD (DEA)'!S216</f>
        <v>4.2</v>
      </c>
      <c r="I428" s="235" t="str">
        <f>IF(OR(RIGHT('RSD (DEA)'!AH216,3)="BIO",RIGHT(AD428,3)="BOA"),LEFT('RSD (DEA)'!AH216,3)&amp;"BFW",'RSD (DEA)'!AH216)</f>
        <v>RSDSOL</v>
      </c>
      <c r="J428" s="182" t="str">
        <f>'RSD (DEA)'!AI216</f>
        <v/>
      </c>
      <c r="K428" s="235" t="str">
        <f>'RSD (DEA)'!AJ216</f>
        <v>RHHSA</v>
      </c>
      <c r="L428" s="235"/>
      <c r="M428" s="182">
        <f t="shared" si="116"/>
        <v>2019</v>
      </c>
      <c r="N428" s="182">
        <f>'RSD (DEA)'!X216</f>
        <v>2030</v>
      </c>
      <c r="O428" s="182">
        <f t="shared" si="127"/>
        <v>2030</v>
      </c>
      <c r="P428" s="311">
        <f t="shared" si="128"/>
        <v>0.65</v>
      </c>
      <c r="Q428" s="311">
        <f t="shared" si="128"/>
        <v>0.65</v>
      </c>
      <c r="R428" s="182">
        <f>'RSD (DEA)'!BR216/'RSD (DEA)'!S216</f>
        <v>16.535714285714285</v>
      </c>
      <c r="S428" s="182">
        <f>'RSD (DEA)'!BS216/X_RSD_HeatingDemand!$AA$8</f>
        <v>0</v>
      </c>
      <c r="T428" s="182">
        <f>'RSD (DEA)'!BK216*X_RSD_HeatingDemand!$AA$9/'RSD (DEA)'!S216</f>
        <v>476.19047619047615</v>
      </c>
      <c r="U428" s="182">
        <f>'RSD (DEA)'!BI216</f>
        <v>30</v>
      </c>
      <c r="V428" s="182"/>
      <c r="W428" s="236">
        <f>'RSD (DEA)'!AM216</f>
        <v>31.536000000000001</v>
      </c>
    </row>
    <row r="429" spans="1:29" x14ac:dyDescent="0.3">
      <c r="A429" s="316"/>
      <c r="B429" s="235" t="str">
        <f>'RSD (DEA)'!AJ217&amp;"_"&amp;'RSD (DEA)'!Z217</f>
        <v>RHHSA_T_SOL_03</v>
      </c>
      <c r="C429" s="318"/>
      <c r="D429" s="235" t="str">
        <f t="shared" si="118"/>
        <v>RHHSA_T_SOL_06</v>
      </c>
      <c r="E429" s="235" t="str">
        <f>'RSD (DEA)'!Q217</f>
        <v>Solar heating</v>
      </c>
      <c r="F429" s="242" t="s">
        <v>239</v>
      </c>
      <c r="G429" s="242" t="s">
        <v>240</v>
      </c>
      <c r="H429" s="235">
        <f>'RSD (DEA)'!S217</f>
        <v>4.2</v>
      </c>
      <c r="I429" s="235" t="str">
        <f>IF(OR(RIGHT('RSD (DEA)'!AH217,3)="BIO",RIGHT(AD429,3)="BOA"),LEFT('RSD (DEA)'!AH217,3)&amp;"BFW",'RSD (DEA)'!AH217)</f>
        <v>RSDSOL</v>
      </c>
      <c r="J429" s="182" t="str">
        <f>'RSD (DEA)'!AI217</f>
        <v/>
      </c>
      <c r="K429" s="235" t="str">
        <f>'RSD (DEA)'!AJ217</f>
        <v>RHHSA</v>
      </c>
      <c r="L429" s="235"/>
      <c r="M429" s="182">
        <f t="shared" si="116"/>
        <v>2019</v>
      </c>
      <c r="N429" s="182">
        <f>'RSD (DEA)'!X217</f>
        <v>2050</v>
      </c>
      <c r="O429" s="182">
        <f t="shared" si="127"/>
        <v>2050</v>
      </c>
      <c r="P429" s="311">
        <f t="shared" si="128"/>
        <v>0.65</v>
      </c>
      <c r="Q429" s="311">
        <f t="shared" si="128"/>
        <v>0.65</v>
      </c>
      <c r="R429" s="182">
        <f>'RSD (DEA)'!BR217/'RSD (DEA)'!S217</f>
        <v>15</v>
      </c>
      <c r="S429" s="182">
        <f>'RSD (DEA)'!BS217/X_RSD_HeatingDemand!$AA$8</f>
        <v>0</v>
      </c>
      <c r="T429" s="182">
        <f>'RSD (DEA)'!BK217*X_RSD_HeatingDemand!$AA$9/'RSD (DEA)'!S217</f>
        <v>476.19047619047615</v>
      </c>
      <c r="U429" s="182">
        <f>'RSD (DEA)'!BI217</f>
        <v>30</v>
      </c>
      <c r="V429" s="182"/>
      <c r="W429" s="236">
        <f>'RSD (DEA)'!AM217</f>
        <v>31.536000000000001</v>
      </c>
    </row>
    <row r="430" spans="1:29" x14ac:dyDescent="0.3">
      <c r="A430" s="316"/>
      <c r="B430" s="235" t="str">
        <f>'RSD (DEA)'!AJ218&amp;"_"&amp;'RSD (DEA)'!Z218</f>
        <v>RHAPC_T_SOL_04</v>
      </c>
      <c r="C430" s="318"/>
      <c r="D430" s="235" t="str">
        <f t="shared" si="118"/>
        <v>RHAPC_T_SOL_04</v>
      </c>
      <c r="E430" s="235" t="str">
        <f>'RSD (DEA)'!Q218</f>
        <v>Solar heating</v>
      </c>
      <c r="F430" s="242" t="s">
        <v>239</v>
      </c>
      <c r="G430" s="242" t="s">
        <v>240</v>
      </c>
      <c r="H430" s="235">
        <f>'RSD (DEA)'!S218</f>
        <v>140</v>
      </c>
      <c r="I430" s="235" t="str">
        <f>IF(OR(RIGHT('RSD (DEA)'!AH218,3)="BIO",RIGHT(AD430,3)="BOA"),LEFT('RSD (DEA)'!AH218,3)&amp;"BFW",'RSD (DEA)'!AH218)</f>
        <v>RSDSOL</v>
      </c>
      <c r="J430" s="182" t="str">
        <f>'RSD (DEA)'!AI218</f>
        <v/>
      </c>
      <c r="K430" s="235" t="str">
        <f>'RSD (DEA)'!AJ218</f>
        <v>RHAPC</v>
      </c>
      <c r="L430" s="235"/>
      <c r="M430" s="182">
        <f t="shared" si="116"/>
        <v>2019</v>
      </c>
      <c r="N430" s="182">
        <f>'RSD (DEA)'!X218</f>
        <v>2015</v>
      </c>
      <c r="O430" s="182">
        <f t="shared" si="127"/>
        <v>2019</v>
      </c>
      <c r="P430" s="311">
        <f t="shared" si="128"/>
        <v>0.65</v>
      </c>
      <c r="Q430" s="311">
        <f t="shared" si="128"/>
        <v>0.65</v>
      </c>
      <c r="R430" s="182">
        <f>'RSD (DEA)'!BR218/'RSD (DEA)'!S218</f>
        <v>2.7785714285714285</v>
      </c>
      <c r="S430" s="182">
        <f>'RSD (DEA)'!BS218/X_RSD_HeatingDemand!$AA$8</f>
        <v>0</v>
      </c>
      <c r="T430" s="182">
        <f>'RSD (DEA)'!BK218*X_RSD_HeatingDemand!$AA$9/'RSD (DEA)'!S218</f>
        <v>613.61457334611691</v>
      </c>
      <c r="U430" s="182">
        <f>'RSD (DEA)'!BI218</f>
        <v>20</v>
      </c>
      <c r="V430" s="182"/>
      <c r="W430" s="236">
        <f>'RSD (DEA)'!AM218</f>
        <v>31.536000000000001</v>
      </c>
    </row>
    <row r="431" spans="1:29" x14ac:dyDescent="0.3">
      <c r="A431" s="316"/>
      <c r="B431" s="235" t="str">
        <f>'RSD (DEA)'!AJ219&amp;"_"&amp;'RSD (DEA)'!Z219</f>
        <v>RHAPC_T_SOL_04</v>
      </c>
      <c r="C431" s="318"/>
      <c r="D431" s="235" t="str">
        <f t="shared" si="118"/>
        <v>RHAPC_T_SOL_05</v>
      </c>
      <c r="E431" s="235" t="str">
        <f>'RSD (DEA)'!Q219</f>
        <v>Solar heating</v>
      </c>
      <c r="F431" s="242" t="s">
        <v>239</v>
      </c>
      <c r="G431" s="242" t="s">
        <v>240</v>
      </c>
      <c r="H431" s="235">
        <f>'RSD (DEA)'!S219</f>
        <v>140</v>
      </c>
      <c r="I431" s="235" t="str">
        <f>IF(OR(RIGHT('RSD (DEA)'!AH219,3)="BIO",RIGHT(AD431,3)="BOA"),LEFT('RSD (DEA)'!AH219,3)&amp;"BFW",'RSD (DEA)'!AH219)</f>
        <v>RSDSOL</v>
      </c>
      <c r="J431" s="182" t="str">
        <f>'RSD (DEA)'!AI219</f>
        <v/>
      </c>
      <c r="K431" s="235" t="str">
        <f>'RSD (DEA)'!AJ219</f>
        <v>RHAPC</v>
      </c>
      <c r="L431" s="235"/>
      <c r="M431" s="182">
        <f t="shared" si="116"/>
        <v>2019</v>
      </c>
      <c r="N431" s="182">
        <f>'RSD (DEA)'!X219</f>
        <v>2020</v>
      </c>
      <c r="O431" s="182">
        <f t="shared" si="127"/>
        <v>2020</v>
      </c>
      <c r="P431" s="311">
        <f t="shared" si="128"/>
        <v>0.65</v>
      </c>
      <c r="Q431" s="311">
        <f t="shared" si="128"/>
        <v>0.65</v>
      </c>
      <c r="R431" s="182">
        <f>'RSD (DEA)'!BR219/'RSD (DEA)'!S219</f>
        <v>2.7714285714285714</v>
      </c>
      <c r="S431" s="182">
        <f>'RSD (DEA)'!BS219/X_RSD_HeatingDemand!$AA$8</f>
        <v>0</v>
      </c>
      <c r="T431" s="182">
        <f>'RSD (DEA)'!BK219*X_RSD_HeatingDemand!$AA$9/'RSD (DEA)'!S219</f>
        <v>578.57142857142856</v>
      </c>
      <c r="U431" s="182">
        <f>'RSD (DEA)'!BI219</f>
        <v>25</v>
      </c>
      <c r="V431" s="182"/>
      <c r="W431" s="236">
        <f>'RSD (DEA)'!AM219</f>
        <v>31.536000000000001</v>
      </c>
    </row>
    <row r="432" spans="1:29" x14ac:dyDescent="0.3">
      <c r="A432" s="316"/>
      <c r="B432" s="235" t="str">
        <f>'RSD (DEA)'!AJ220&amp;"_"&amp;'RSD (DEA)'!Z220</f>
        <v>RHAPC_T_SOL_04</v>
      </c>
      <c r="C432" s="318"/>
      <c r="D432" s="235" t="str">
        <f t="shared" si="118"/>
        <v>RHAPC_T_SOL_06</v>
      </c>
      <c r="E432" s="235" t="str">
        <f>'RSD (DEA)'!Q220</f>
        <v>Solar heating</v>
      </c>
      <c r="F432" s="242" t="s">
        <v>239</v>
      </c>
      <c r="G432" s="242" t="s">
        <v>240</v>
      </c>
      <c r="H432" s="235">
        <f>'RSD (DEA)'!S220</f>
        <v>140</v>
      </c>
      <c r="I432" s="235" t="str">
        <f>IF(OR(RIGHT('RSD (DEA)'!AH220,3)="BIO",RIGHT(AD432,3)="BOA"),LEFT('RSD (DEA)'!AH220,3)&amp;"BFW",'RSD (DEA)'!AH220)</f>
        <v>RSDSOL</v>
      </c>
      <c r="J432" s="182" t="str">
        <f>'RSD (DEA)'!AI220</f>
        <v/>
      </c>
      <c r="K432" s="235" t="str">
        <f>'RSD (DEA)'!AJ220</f>
        <v>RHAPC</v>
      </c>
      <c r="L432" s="235"/>
      <c r="M432" s="182">
        <f t="shared" si="116"/>
        <v>2019</v>
      </c>
      <c r="N432" s="182">
        <f>'RSD (DEA)'!X220</f>
        <v>2030</v>
      </c>
      <c r="O432" s="182">
        <f t="shared" si="127"/>
        <v>2030</v>
      </c>
      <c r="P432" s="311">
        <f t="shared" si="128"/>
        <v>0.65</v>
      </c>
      <c r="Q432" s="311">
        <f t="shared" si="128"/>
        <v>0.65</v>
      </c>
      <c r="R432" s="182">
        <f>'RSD (DEA)'!BR220/'RSD (DEA)'!S220</f>
        <v>3.1285714285714286</v>
      </c>
      <c r="S432" s="182">
        <f>'RSD (DEA)'!BS220/X_RSD_HeatingDemand!$AA$8</f>
        <v>0</v>
      </c>
      <c r="T432" s="182">
        <f>'RSD (DEA)'!BK220*X_RSD_HeatingDemand!$AA$9/'RSD (DEA)'!S220</f>
        <v>528.57142857142856</v>
      </c>
      <c r="U432" s="182">
        <f>'RSD (DEA)'!BI220</f>
        <v>30</v>
      </c>
      <c r="V432" s="182"/>
      <c r="W432" s="236">
        <f>'RSD (DEA)'!AM220</f>
        <v>31.536000000000001</v>
      </c>
    </row>
    <row r="433" spans="1:24" x14ac:dyDescent="0.3">
      <c r="A433" s="316"/>
      <c r="B433" s="235" t="str">
        <f>'RSD (DEA)'!AJ221&amp;"_"&amp;'RSD (DEA)'!Z221</f>
        <v>RHAPC_T_SOL_04</v>
      </c>
      <c r="C433" s="318"/>
      <c r="D433" s="235" t="str">
        <f t="shared" si="118"/>
        <v>RHAPC_T_SOL_07</v>
      </c>
      <c r="E433" s="235" t="str">
        <f>'RSD (DEA)'!Q221</f>
        <v>Solar heating</v>
      </c>
      <c r="F433" s="242" t="s">
        <v>239</v>
      </c>
      <c r="G433" s="242" t="s">
        <v>240</v>
      </c>
      <c r="H433" s="235">
        <f>'RSD (DEA)'!S221</f>
        <v>140</v>
      </c>
      <c r="I433" s="235" t="str">
        <f>IF(OR(RIGHT('RSD (DEA)'!AH221,3)="BIO",RIGHT(AD433,3)="BOA"),LEFT('RSD (DEA)'!AH221,3)&amp;"BFW",'RSD (DEA)'!AH221)</f>
        <v>RSDSOL</v>
      </c>
      <c r="J433" s="182" t="str">
        <f>'RSD (DEA)'!AI221</f>
        <v/>
      </c>
      <c r="K433" s="235" t="str">
        <f>'RSD (DEA)'!AJ221</f>
        <v>RHAPC</v>
      </c>
      <c r="L433" s="235"/>
      <c r="M433" s="182">
        <f t="shared" si="116"/>
        <v>2019</v>
      </c>
      <c r="N433" s="182">
        <f>'RSD (DEA)'!X221</f>
        <v>2050</v>
      </c>
      <c r="O433" s="182">
        <f t="shared" si="127"/>
        <v>2050</v>
      </c>
      <c r="P433" s="311">
        <f t="shared" si="128"/>
        <v>0.65</v>
      </c>
      <c r="Q433" s="311">
        <f t="shared" si="128"/>
        <v>0.65</v>
      </c>
      <c r="R433" s="182">
        <f>'RSD (DEA)'!BR221/'RSD (DEA)'!S221</f>
        <v>2.8857142857142857</v>
      </c>
      <c r="S433" s="182">
        <f>'RSD (DEA)'!BS221/X_RSD_HeatingDemand!$AA$8</f>
        <v>0</v>
      </c>
      <c r="T433" s="182">
        <f>'RSD (DEA)'!BK221*X_RSD_HeatingDemand!$AA$9/'RSD (DEA)'!S221</f>
        <v>478.57142857142856</v>
      </c>
      <c r="U433" s="182">
        <f>'RSD (DEA)'!BI221</f>
        <v>30</v>
      </c>
      <c r="V433" s="182"/>
      <c r="W433" s="236">
        <f>'RSD (DEA)'!AM221</f>
        <v>31.536000000000001</v>
      </c>
    </row>
    <row r="434" spans="1:24" x14ac:dyDescent="0.3">
      <c r="A434" s="316"/>
      <c r="B434" s="235" t="str">
        <f>'RSD (DEA)'!AJ222&amp;"_"&amp;'RSD (DEA)'!Z222</f>
        <v>RHAPA_T_SOL_05</v>
      </c>
      <c r="C434" s="318"/>
      <c r="D434" s="235" t="str">
        <f t="shared" si="118"/>
        <v>RHAPA_T_SOL_05</v>
      </c>
      <c r="E434" s="235" t="str">
        <f>'RSD (DEA)'!Q222</f>
        <v>Solar heating</v>
      </c>
      <c r="F434" s="242" t="s">
        <v>239</v>
      </c>
      <c r="G434" s="242" t="s">
        <v>240</v>
      </c>
      <c r="H434" s="235">
        <f>'RSD (DEA)'!S222</f>
        <v>140</v>
      </c>
      <c r="I434" s="235" t="str">
        <f>IF(OR(RIGHT('RSD (DEA)'!AH222,3)="BIO",RIGHT(AD434,3)="BOA"),LEFT('RSD (DEA)'!AH222,3)&amp;"BFW",'RSD (DEA)'!AH222)</f>
        <v>RSDSOL</v>
      </c>
      <c r="J434" s="182" t="str">
        <f>'RSD (DEA)'!AI222</f>
        <v/>
      </c>
      <c r="K434" s="235" t="str">
        <f>'RSD (DEA)'!AJ222</f>
        <v>RHAPA</v>
      </c>
      <c r="L434" s="235"/>
      <c r="M434" s="182">
        <f t="shared" si="116"/>
        <v>2019</v>
      </c>
      <c r="N434" s="182">
        <f>'RSD (DEA)'!X222</f>
        <v>2015</v>
      </c>
      <c r="O434" s="182">
        <f t="shared" si="127"/>
        <v>2019</v>
      </c>
      <c r="P434" s="311">
        <f t="shared" si="128"/>
        <v>0.65</v>
      </c>
      <c r="Q434" s="311">
        <f t="shared" si="128"/>
        <v>0.65</v>
      </c>
      <c r="R434" s="182">
        <f>'RSD (DEA)'!BR222/'RSD (DEA)'!S222</f>
        <v>2.7785714285714285</v>
      </c>
      <c r="S434" s="182">
        <f>'RSD (DEA)'!BS222/X_RSD_HeatingDemand!$AA$8</f>
        <v>0</v>
      </c>
      <c r="T434" s="182">
        <f>'RSD (DEA)'!BK222*X_RSD_HeatingDemand!$AA$9/'RSD (DEA)'!S222</f>
        <v>575.26366251198465</v>
      </c>
      <c r="U434" s="182">
        <f>'RSD (DEA)'!BI222</f>
        <v>20</v>
      </c>
      <c r="V434" s="182"/>
      <c r="W434" s="236">
        <f>'RSD (DEA)'!AM222</f>
        <v>31.536000000000001</v>
      </c>
    </row>
    <row r="435" spans="1:24" x14ac:dyDescent="0.3">
      <c r="A435" s="316"/>
      <c r="B435" s="235" t="str">
        <f>'RSD (DEA)'!AJ223&amp;"_"&amp;'RSD (DEA)'!Z223</f>
        <v>RHAPA_T_SOL_05</v>
      </c>
      <c r="C435" s="318"/>
      <c r="D435" s="235" t="str">
        <f t="shared" si="118"/>
        <v>RHAPA_T_SOL_06</v>
      </c>
      <c r="E435" s="235" t="str">
        <f>'RSD (DEA)'!Q223</f>
        <v>Solar heating</v>
      </c>
      <c r="F435" s="242" t="s">
        <v>239</v>
      </c>
      <c r="G435" s="242" t="s">
        <v>240</v>
      </c>
      <c r="H435" s="235">
        <f>'RSD (DEA)'!S223</f>
        <v>140</v>
      </c>
      <c r="I435" s="235" t="str">
        <f>IF(OR(RIGHT('RSD (DEA)'!AH223,3)="BIO",RIGHT(AD435,3)="BOA"),LEFT('RSD (DEA)'!AH223,3)&amp;"BFW",'RSD (DEA)'!AH223)</f>
        <v>RSDSOL</v>
      </c>
      <c r="J435" s="182" t="str">
        <f>'RSD (DEA)'!AI223</f>
        <v/>
      </c>
      <c r="K435" s="235" t="str">
        <f>'RSD (DEA)'!AJ223</f>
        <v>RHAPA</v>
      </c>
      <c r="L435" s="235"/>
      <c r="M435" s="182">
        <f t="shared" si="116"/>
        <v>2019</v>
      </c>
      <c r="N435" s="182">
        <f>'RSD (DEA)'!X223</f>
        <v>2020</v>
      </c>
      <c r="O435" s="182">
        <f t="shared" si="127"/>
        <v>2020</v>
      </c>
      <c r="P435" s="311">
        <f t="shared" si="128"/>
        <v>0.65</v>
      </c>
      <c r="Q435" s="311">
        <f t="shared" si="128"/>
        <v>0.65</v>
      </c>
      <c r="R435" s="182">
        <f>'RSD (DEA)'!BR223/'RSD (DEA)'!S223</f>
        <v>2.7714285714285714</v>
      </c>
      <c r="S435" s="182">
        <f>'RSD (DEA)'!BS223/X_RSD_HeatingDemand!$AA$8</f>
        <v>0</v>
      </c>
      <c r="T435" s="182">
        <f>'RSD (DEA)'!BK223*X_RSD_HeatingDemand!$AA$9/'RSD (DEA)'!S223</f>
        <v>528.57142857142856</v>
      </c>
      <c r="U435" s="182">
        <f>'RSD (DEA)'!BI223</f>
        <v>25</v>
      </c>
      <c r="V435" s="182"/>
      <c r="W435" s="236">
        <f>'RSD (DEA)'!AM223</f>
        <v>31.536000000000001</v>
      </c>
    </row>
    <row r="436" spans="1:24" x14ac:dyDescent="0.3">
      <c r="A436" s="316"/>
      <c r="B436" s="235" t="str">
        <f>'RSD (DEA)'!AJ224&amp;"_"&amp;'RSD (DEA)'!Z224</f>
        <v>RHAPA_T_SOL_05</v>
      </c>
      <c r="C436" s="318"/>
      <c r="D436" s="235" t="str">
        <f t="shared" si="118"/>
        <v>RHAPA_T_SOL_07</v>
      </c>
      <c r="E436" s="235" t="str">
        <f>'RSD (DEA)'!Q224</f>
        <v>Solar heating</v>
      </c>
      <c r="F436" s="242" t="s">
        <v>239</v>
      </c>
      <c r="G436" s="242" t="s">
        <v>240</v>
      </c>
      <c r="H436" s="235">
        <f>'RSD (DEA)'!S224</f>
        <v>140</v>
      </c>
      <c r="I436" s="235" t="str">
        <f>IF(OR(RIGHT('RSD (DEA)'!AH224,3)="BIO",RIGHT(AD436,3)="BOA"),LEFT('RSD (DEA)'!AH224,3)&amp;"BFW",'RSD (DEA)'!AH224)</f>
        <v>RSDSOL</v>
      </c>
      <c r="J436" s="182" t="str">
        <f>'RSD (DEA)'!AI224</f>
        <v/>
      </c>
      <c r="K436" s="235" t="str">
        <f>'RSD (DEA)'!AJ224</f>
        <v>RHAPA</v>
      </c>
      <c r="L436" s="235"/>
      <c r="M436" s="182">
        <f t="shared" si="116"/>
        <v>2019</v>
      </c>
      <c r="N436" s="182">
        <f>'RSD (DEA)'!X224</f>
        <v>2030</v>
      </c>
      <c r="O436" s="182">
        <f t="shared" si="127"/>
        <v>2030</v>
      </c>
      <c r="P436" s="311">
        <f t="shared" si="128"/>
        <v>0.65</v>
      </c>
      <c r="Q436" s="311">
        <f t="shared" si="128"/>
        <v>0.65</v>
      </c>
      <c r="R436" s="182">
        <f>'RSD (DEA)'!BR224/'RSD (DEA)'!S224</f>
        <v>3.1285714285714286</v>
      </c>
      <c r="S436" s="182">
        <f>'RSD (DEA)'!BS224/X_RSD_HeatingDemand!$AA$8</f>
        <v>0</v>
      </c>
      <c r="T436" s="182">
        <f>'RSD (DEA)'!BK224*X_RSD_HeatingDemand!$AA$9/'RSD (DEA)'!S224</f>
        <v>478.57142857142856</v>
      </c>
      <c r="U436" s="182">
        <f>'RSD (DEA)'!BI224</f>
        <v>30</v>
      </c>
      <c r="V436" s="182"/>
      <c r="W436" s="236">
        <f>'RSD (DEA)'!AM224</f>
        <v>31.536000000000001</v>
      </c>
    </row>
    <row r="437" spans="1:24" x14ac:dyDescent="0.3">
      <c r="A437" s="316"/>
      <c r="B437" s="235" t="str">
        <f>'RSD (DEA)'!AJ225&amp;"_"&amp;'RSD (DEA)'!Z225</f>
        <v>RHAPA_T_SOL_05</v>
      </c>
      <c r="C437" s="318"/>
      <c r="D437" s="235" t="str">
        <f t="shared" si="118"/>
        <v>RHAPA_T_SOL_08</v>
      </c>
      <c r="E437" s="235" t="str">
        <f>'RSD (DEA)'!Q225</f>
        <v>Solar heating</v>
      </c>
      <c r="F437" s="242" t="s">
        <v>239</v>
      </c>
      <c r="G437" s="242" t="s">
        <v>240</v>
      </c>
      <c r="H437" s="235">
        <f>'RSD (DEA)'!S225</f>
        <v>140</v>
      </c>
      <c r="I437" s="235" t="str">
        <f>IF(OR(RIGHT('RSD (DEA)'!AH225,3)="BIO",RIGHT(AD437,3)="BOA"),LEFT('RSD (DEA)'!AH225,3)&amp;"BFW",'RSD (DEA)'!AH225)</f>
        <v>RSDSOL</v>
      </c>
      <c r="J437" s="182" t="str">
        <f>'RSD (DEA)'!AI225</f>
        <v/>
      </c>
      <c r="K437" s="235" t="str">
        <f>'RSD (DEA)'!AJ225</f>
        <v>RHAPA</v>
      </c>
      <c r="L437" s="235"/>
      <c r="M437" s="182">
        <f t="shared" si="116"/>
        <v>2019</v>
      </c>
      <c r="N437" s="182">
        <f>'RSD (DEA)'!X225</f>
        <v>2050</v>
      </c>
      <c r="O437" s="182">
        <f t="shared" si="127"/>
        <v>2050</v>
      </c>
      <c r="P437" s="311">
        <f t="shared" si="128"/>
        <v>0.65</v>
      </c>
      <c r="Q437" s="311">
        <f t="shared" si="128"/>
        <v>0.65</v>
      </c>
      <c r="R437" s="182">
        <f>'RSD (DEA)'!BR225/'RSD (DEA)'!S225</f>
        <v>2.8857142857142857</v>
      </c>
      <c r="S437" s="182">
        <f>'RSD (DEA)'!BS225/X_RSD_HeatingDemand!$AA$8</f>
        <v>0</v>
      </c>
      <c r="T437" s="182">
        <f>'RSD (DEA)'!BK225*X_RSD_HeatingDemand!$AA$9/'RSD (DEA)'!S225</f>
        <v>428.57142857142856</v>
      </c>
      <c r="U437" s="182">
        <f>'RSD (DEA)'!BI225</f>
        <v>30</v>
      </c>
      <c r="V437" s="182"/>
      <c r="W437" s="236">
        <f>'RSD (DEA)'!AM225</f>
        <v>31.536000000000001</v>
      </c>
    </row>
    <row r="438" spans="1:24" x14ac:dyDescent="0.3">
      <c r="A438" s="316"/>
      <c r="B438" s="235" t="str">
        <f>'RSD (DEA)'!AJ226&amp;"_"&amp;'RSD (DEA)'!Z226</f>
        <v>RHHSA_R_ELC_01</v>
      </c>
      <c r="C438" s="318"/>
      <c r="D438" s="235" t="str">
        <f t="shared" si="118"/>
        <v>RHHSA_R_ELC_01</v>
      </c>
      <c r="E438" s="235" t="str">
        <f>'RSD (DEA)'!Q226</f>
        <v>Electric heating</v>
      </c>
      <c r="F438" s="242" t="s">
        <v>239</v>
      </c>
      <c r="G438" s="242" t="s">
        <v>240</v>
      </c>
      <c r="H438" s="235">
        <f>'RSD (DEA)'!S226</f>
        <v>3</v>
      </c>
      <c r="I438" s="235" t="str">
        <f>IF(OR(RIGHT('RSD (DEA)'!AH226,3)="BIO",RIGHT(AD438,3)="BOA"),LEFT('RSD (DEA)'!AH226,3)&amp;"BFW",'RSD (DEA)'!AH226)</f>
        <v>RSDELC</v>
      </c>
      <c r="J438" s="182" t="str">
        <f>'RSD (DEA)'!AI226</f>
        <v/>
      </c>
      <c r="K438" s="235" t="str">
        <f>'RSD (DEA)'!AJ226</f>
        <v>RHHSA</v>
      </c>
      <c r="L438" s="235"/>
      <c r="M438" s="182">
        <f t="shared" si="116"/>
        <v>2019</v>
      </c>
      <c r="N438" s="182">
        <f>'RSD (DEA)'!X226</f>
        <v>2015</v>
      </c>
      <c r="O438" s="182">
        <f t="shared" si="127"/>
        <v>2019</v>
      </c>
      <c r="P438" s="183">
        <f>'RSD (DEA)'!AZ226</f>
        <v>1</v>
      </c>
      <c r="Q438" s="183">
        <f>'RSD (DEA)'!BA226</f>
        <v>1</v>
      </c>
      <c r="R438" s="182">
        <f>'RSD (DEA)'!BR226/'RSD (DEA)'!S226</f>
        <v>8.3333333333333339</v>
      </c>
      <c r="S438" s="182">
        <f>'RSD (DEA)'!BS226/X_RSD_HeatingDemand!$AA$8</f>
        <v>0</v>
      </c>
      <c r="T438" s="182">
        <f>'RSD (DEA)'!BK226*X_RSD_HeatingDemand!$AA$9/'RSD (DEA)'!S226</f>
        <v>1000</v>
      </c>
      <c r="U438" s="182">
        <f>'RSD (DEA)'!BI226</f>
        <v>30</v>
      </c>
      <c r="V438" s="182"/>
      <c r="W438" s="236">
        <f>'RSD (DEA)'!AM226</f>
        <v>31.536000000000001</v>
      </c>
    </row>
    <row r="439" spans="1:24" x14ac:dyDescent="0.3">
      <c r="A439" s="316"/>
      <c r="B439" s="235" t="str">
        <f>'RSD (DEA)'!AJ227&amp;"_"&amp;'RSD (DEA)'!Z227</f>
        <v>RHAPA_R_ELC_02</v>
      </c>
      <c r="C439" s="318"/>
      <c r="D439" s="235" t="str">
        <f t="shared" si="118"/>
        <v>RHAPA_R_ELC_02</v>
      </c>
      <c r="E439" s="235" t="str">
        <f>'RSD (DEA)'!Q227</f>
        <v>Electric heating</v>
      </c>
      <c r="F439" s="242" t="s">
        <v>239</v>
      </c>
      <c r="G439" s="242" t="s">
        <v>240</v>
      </c>
      <c r="H439" s="235">
        <f>'RSD (DEA)'!S227</f>
        <v>160</v>
      </c>
      <c r="I439" s="235" t="str">
        <f>IF(OR(RIGHT('RSD (DEA)'!AH227,3)="BIO",RIGHT(AD439,3)="BOA"),LEFT('RSD (DEA)'!AH227,3)&amp;"BFW",'RSD (DEA)'!AH227)</f>
        <v>RSDELC</v>
      </c>
      <c r="J439" s="182" t="str">
        <f>'RSD (DEA)'!AI227</f>
        <v/>
      </c>
      <c r="K439" s="235" t="str">
        <f>'RSD (DEA)'!AJ227</f>
        <v>RHAPA</v>
      </c>
      <c r="L439" s="235"/>
      <c r="M439" s="182">
        <f t="shared" si="116"/>
        <v>2019</v>
      </c>
      <c r="N439" s="182">
        <f>'RSD (DEA)'!X227</f>
        <v>2015</v>
      </c>
      <c r="O439" s="182">
        <f t="shared" si="127"/>
        <v>2019</v>
      </c>
      <c r="P439" s="183">
        <f>'RSD (DEA)'!AZ227</f>
        <v>1</v>
      </c>
      <c r="Q439" s="183">
        <f>'RSD (DEA)'!BA227</f>
        <v>1</v>
      </c>
      <c r="R439" s="182">
        <f>'RSD (DEA)'!BR227/'RSD (DEA)'!S227</f>
        <v>0.3125</v>
      </c>
      <c r="S439" s="182">
        <f>'RSD (DEA)'!BS227/X_RSD_HeatingDemand!$AA$8</f>
        <v>0</v>
      </c>
      <c r="T439" s="182">
        <f>'RSD (DEA)'!BK227*X_RSD_HeatingDemand!$AA$9/'RSD (DEA)'!S227</f>
        <v>662.5</v>
      </c>
      <c r="U439" s="182">
        <f>'RSD (DEA)'!BI227</f>
        <v>30</v>
      </c>
      <c r="V439" s="182"/>
      <c r="W439" s="236">
        <f>'RSD (DEA)'!AM227</f>
        <v>31.536000000000001</v>
      </c>
    </row>
    <row r="440" spans="1:24" x14ac:dyDescent="0.3">
      <c r="A440" s="316"/>
      <c r="B440" s="235" t="str">
        <f>'RSD (DEA)'!AJ228&amp;"_"&amp;'RSD (DEA)'!Z228</f>
        <v>RHAPA_R_ELC_02</v>
      </c>
      <c r="C440" s="318"/>
      <c r="D440" s="235" t="str">
        <f t="shared" si="118"/>
        <v>RHAPA_R_ELC_03</v>
      </c>
      <c r="E440" s="235" t="str">
        <f>'RSD (DEA)'!Q228</f>
        <v>Electric heating</v>
      </c>
      <c r="F440" s="242" t="s">
        <v>239</v>
      </c>
      <c r="G440" s="242" t="s">
        <v>240</v>
      </c>
      <c r="H440" s="235">
        <f>'RSD (DEA)'!S228</f>
        <v>160</v>
      </c>
      <c r="I440" s="235" t="str">
        <f>IF(OR(RIGHT('RSD (DEA)'!AH228,3)="BIO",RIGHT(AD440,3)="BOA"),LEFT('RSD (DEA)'!AH228,3)&amp;"BFW",'RSD (DEA)'!AH228)</f>
        <v>RSDELC</v>
      </c>
      <c r="J440" s="182" t="str">
        <f>'RSD (DEA)'!AI228</f>
        <v/>
      </c>
      <c r="K440" s="235" t="str">
        <f>'RSD (DEA)'!AJ228</f>
        <v>RHAPA</v>
      </c>
      <c r="L440" s="235"/>
      <c r="M440" s="182">
        <f t="shared" si="116"/>
        <v>2019</v>
      </c>
      <c r="N440" s="182">
        <f>'RSD (DEA)'!X228</f>
        <v>2020</v>
      </c>
      <c r="O440" s="182">
        <f t="shared" si="127"/>
        <v>2020</v>
      </c>
      <c r="P440" s="183">
        <f>'RSD (DEA)'!AZ228</f>
        <v>1</v>
      </c>
      <c r="Q440" s="183">
        <f>'RSD (DEA)'!BA228</f>
        <v>1</v>
      </c>
      <c r="R440" s="182">
        <f>'RSD (DEA)'!BR228/'RSD (DEA)'!S228</f>
        <v>0.30625000000000002</v>
      </c>
      <c r="S440" s="182">
        <f>'RSD (DEA)'!BS228/X_RSD_HeatingDemand!$AA$8</f>
        <v>0</v>
      </c>
      <c r="T440" s="182">
        <f>'RSD (DEA)'!BK228*X_RSD_HeatingDemand!$AA$9/'RSD (DEA)'!S228</f>
        <v>643.75</v>
      </c>
      <c r="U440" s="182">
        <f>'RSD (DEA)'!BI228</f>
        <v>30</v>
      </c>
      <c r="V440" s="182"/>
      <c r="W440" s="236">
        <f>'RSD (DEA)'!AM228</f>
        <v>31.536000000000001</v>
      </c>
    </row>
    <row r="441" spans="1:24" x14ac:dyDescent="0.3">
      <c r="A441" s="316"/>
      <c r="B441" s="235" t="str">
        <f>'RSD (DEA)'!AJ229&amp;"_"&amp;'RSD (DEA)'!Z229</f>
        <v>RHAPA_R_ELC_02</v>
      </c>
      <c r="C441" s="318"/>
      <c r="D441" s="235" t="str">
        <f t="shared" si="118"/>
        <v>RHAPA_R_ELC_04</v>
      </c>
      <c r="E441" s="235" t="str">
        <f>'RSD (DEA)'!Q229</f>
        <v>Electric heating</v>
      </c>
      <c r="F441" s="242" t="s">
        <v>239</v>
      </c>
      <c r="G441" s="242" t="s">
        <v>240</v>
      </c>
      <c r="H441" s="235">
        <f>'RSD (DEA)'!S229</f>
        <v>160</v>
      </c>
      <c r="I441" s="235" t="str">
        <f>IF(OR(RIGHT('RSD (DEA)'!AH229,3)="BIO",RIGHT(AD441,3)="BOA"),LEFT('RSD (DEA)'!AH229,3)&amp;"BFW",'RSD (DEA)'!AH229)</f>
        <v>RSDELC</v>
      </c>
      <c r="J441" s="182" t="str">
        <f>'RSD (DEA)'!AI229</f>
        <v/>
      </c>
      <c r="K441" s="235" t="str">
        <f>'RSD (DEA)'!AJ229</f>
        <v>RHAPA</v>
      </c>
      <c r="L441" s="235"/>
      <c r="M441" s="182">
        <f t="shared" si="116"/>
        <v>2019</v>
      </c>
      <c r="N441" s="182">
        <f>'RSD (DEA)'!X229</f>
        <v>2030</v>
      </c>
      <c r="O441" s="182">
        <f t="shared" si="127"/>
        <v>2030</v>
      </c>
      <c r="P441" s="183">
        <f>'RSD (DEA)'!AZ229</f>
        <v>1</v>
      </c>
      <c r="Q441" s="183">
        <f>'RSD (DEA)'!BA229</f>
        <v>1</v>
      </c>
      <c r="R441" s="182">
        <f>'RSD (DEA)'!BR229/'RSD (DEA)'!S229</f>
        <v>0.28749999999999998</v>
      </c>
      <c r="S441" s="182">
        <f>'RSD (DEA)'!BS229/X_RSD_HeatingDemand!$AA$8</f>
        <v>0</v>
      </c>
      <c r="T441" s="182">
        <f>'RSD (DEA)'!BK229*X_RSD_HeatingDemand!$AA$9/'RSD (DEA)'!S229</f>
        <v>612.5</v>
      </c>
      <c r="U441" s="182">
        <f>'RSD (DEA)'!BI229</f>
        <v>30</v>
      </c>
      <c r="V441" s="182"/>
      <c r="W441" s="236">
        <f>'RSD (DEA)'!AM229</f>
        <v>31.536000000000001</v>
      </c>
    </row>
    <row r="442" spans="1:24" x14ac:dyDescent="0.3">
      <c r="A442" s="316"/>
      <c r="B442" s="235" t="str">
        <f>'RSD (DEA)'!AJ230&amp;"_"&amp;'RSD (DEA)'!Z230</f>
        <v>RHAPA_R_ELC_02</v>
      </c>
      <c r="C442" s="318"/>
      <c r="D442" s="235" t="str">
        <f t="shared" si="118"/>
        <v>RHAPA_R_ELC_05</v>
      </c>
      <c r="E442" s="235" t="str">
        <f>'RSD (DEA)'!Q230</f>
        <v>Electric heating</v>
      </c>
      <c r="F442" s="242" t="s">
        <v>239</v>
      </c>
      <c r="G442" s="242" t="s">
        <v>240</v>
      </c>
      <c r="H442" s="235">
        <f>'RSD (DEA)'!S230</f>
        <v>160</v>
      </c>
      <c r="I442" s="235" t="str">
        <f>IF(OR(RIGHT('RSD (DEA)'!AH230,3)="BIO",RIGHT(AD442,3)="BOA"),LEFT('RSD (DEA)'!AH230,3)&amp;"BFW",'RSD (DEA)'!AH230)</f>
        <v>RSDELC</v>
      </c>
      <c r="J442" s="182" t="str">
        <f>'RSD (DEA)'!AI230</f>
        <v/>
      </c>
      <c r="K442" s="235" t="str">
        <f>'RSD (DEA)'!AJ230</f>
        <v>RHAPA</v>
      </c>
      <c r="L442" s="235"/>
      <c r="M442" s="182">
        <f t="shared" si="116"/>
        <v>2019</v>
      </c>
      <c r="N442" s="182">
        <f>'RSD (DEA)'!X230</f>
        <v>2050</v>
      </c>
      <c r="O442" s="182">
        <f t="shared" si="127"/>
        <v>2050</v>
      </c>
      <c r="P442" s="183">
        <f>'RSD (DEA)'!AZ230</f>
        <v>1</v>
      </c>
      <c r="Q442" s="183">
        <f>'RSD (DEA)'!BA230</f>
        <v>1</v>
      </c>
      <c r="R442" s="182">
        <f>'RSD (DEA)'!BR230/'RSD (DEA)'!S230</f>
        <v>0.26250000000000001</v>
      </c>
      <c r="S442" s="182">
        <f>'RSD (DEA)'!BS230/X_RSD_HeatingDemand!$AA$8</f>
        <v>0</v>
      </c>
      <c r="T442" s="182">
        <f>'RSD (DEA)'!BK230*X_RSD_HeatingDemand!$AA$9/'RSD (DEA)'!S230</f>
        <v>556.25</v>
      </c>
      <c r="U442" s="182">
        <f>'RSD (DEA)'!BI230</f>
        <v>30</v>
      </c>
      <c r="V442" s="182"/>
      <c r="W442" s="236">
        <f>'RSD (DEA)'!AM230</f>
        <v>31.536000000000001</v>
      </c>
    </row>
    <row r="443" spans="1:24" x14ac:dyDescent="0.3">
      <c r="A443" s="316"/>
      <c r="B443" s="235" t="str">
        <f>'RSD (DEA)'!AJ231&amp;"_"&amp;'RSD (DEA)'!Z231</f>
        <v>RHHSC_FC_mCHP_01</v>
      </c>
      <c r="C443" s="318"/>
      <c r="D443" s="235" t="str">
        <f t="shared" si="118"/>
        <v>RHHSC_FC_mCHP_01</v>
      </c>
      <c r="E443" s="235" t="str">
        <f>'RSD (DEA)'!Q231</f>
        <v>SOFC mCHP</v>
      </c>
      <c r="F443" s="242" t="s">
        <v>239</v>
      </c>
      <c r="G443" s="242" t="s">
        <v>240</v>
      </c>
      <c r="H443" s="235">
        <f>'RSD (DEA)'!S231</f>
        <v>0.66956521739130426</v>
      </c>
      <c r="I443" s="235" t="str">
        <f>IF(OR(RIGHT('RSD (DEA)'!AH231,3)="BIO",RIGHT(AD443,3)="BOA"),LEFT('RSD (DEA)'!AH231,3)&amp;"BFW",'RSD (DEA)'!AH231)</f>
        <v>RSDGAS</v>
      </c>
      <c r="J443" s="182" t="str">
        <f>'RSD (DEA)'!AI231</f>
        <v/>
      </c>
      <c r="K443" s="235" t="str">
        <f>'RSD (DEA)'!AJ231</f>
        <v>RHHSC</v>
      </c>
      <c r="L443" s="235"/>
      <c r="M443" s="182">
        <f t="shared" si="116"/>
        <v>2019</v>
      </c>
      <c r="N443" s="182">
        <f>'RSD (DEA)'!X231</f>
        <v>2015</v>
      </c>
      <c r="O443" s="182">
        <f t="shared" si="127"/>
        <v>2019</v>
      </c>
      <c r="P443" s="183">
        <f>'RSD (DEA)'!AZ231</f>
        <v>0.9</v>
      </c>
      <c r="Q443" s="183">
        <f>'RSD (DEA)'!BA231</f>
        <v>0.44</v>
      </c>
      <c r="R443" s="182">
        <f>'RSD (DEA)'!BR231/'RSD (DEA)'!S231</f>
        <v>2016.2337662337666</v>
      </c>
      <c r="S443" s="182">
        <f>'RSD (DEA)'!BS231/X_RSD_HeatingDemand!$AA$8</f>
        <v>0</v>
      </c>
      <c r="T443" s="182">
        <f>'RSD (DEA)'!BK231*X_RSD_HeatingDemand!$AA$9/'RSD (DEA)'!S231</f>
        <v>40324.675324675329</v>
      </c>
      <c r="U443" s="182">
        <f>'RSD (DEA)'!BI231</f>
        <v>10</v>
      </c>
      <c r="V443" s="182"/>
      <c r="W443" s="236">
        <f>'RSD (DEA)'!AM231</f>
        <v>31.536000000000001</v>
      </c>
    </row>
    <row r="444" spans="1:24" x14ac:dyDescent="0.3">
      <c r="A444" s="316"/>
      <c r="B444" s="235" t="str">
        <f>'RSD (DEA)'!AJ232&amp;"_"&amp;'RSD (DEA)'!Z232</f>
        <v>RHHSC_FC_mCHP_01</v>
      </c>
      <c r="C444" s="318"/>
      <c r="D444" s="235" t="str">
        <f t="shared" si="118"/>
        <v>RHHSC_FC_mCHP_02</v>
      </c>
      <c r="E444" s="235" t="str">
        <f>'RSD (DEA)'!Q232</f>
        <v>SOFC mCHP</v>
      </c>
      <c r="F444" s="242" t="s">
        <v>239</v>
      </c>
      <c r="G444" s="242" t="s">
        <v>240</v>
      </c>
      <c r="H444" s="235">
        <f>'RSD (DEA)'!S232</f>
        <v>0.56000000000000005</v>
      </c>
      <c r="I444" s="235" t="str">
        <f>IF(OR(RIGHT('RSD (DEA)'!AH232,3)="BIO",RIGHT(AD444,3)="BOA"),LEFT('RSD (DEA)'!AH232,3)&amp;"BFW",'RSD (DEA)'!AH232)</f>
        <v>RSDGAS</v>
      </c>
      <c r="J444" s="182" t="str">
        <f>'RSD (DEA)'!AI232</f>
        <v/>
      </c>
      <c r="K444" s="235" t="str">
        <f>'RSD (DEA)'!AJ232</f>
        <v>RHHSC</v>
      </c>
      <c r="L444" s="235"/>
      <c r="M444" s="182">
        <f t="shared" si="116"/>
        <v>2019</v>
      </c>
      <c r="N444" s="182">
        <f>'RSD (DEA)'!X232</f>
        <v>2020</v>
      </c>
      <c r="O444" s="182">
        <f t="shared" si="127"/>
        <v>2020</v>
      </c>
      <c r="P444" s="183">
        <f>'RSD (DEA)'!AZ232</f>
        <v>0.9</v>
      </c>
      <c r="Q444" s="183">
        <f>'RSD (DEA)'!BA232</f>
        <v>0.4</v>
      </c>
      <c r="R444" s="182">
        <f>'RSD (DEA)'!BR232/'RSD (DEA)'!S232</f>
        <v>1874.9999999999998</v>
      </c>
      <c r="S444" s="182">
        <f>'RSD (DEA)'!BS232/X_RSD_HeatingDemand!$AA$8</f>
        <v>0</v>
      </c>
      <c r="T444" s="182">
        <f>'RSD (DEA)'!BK232*X_RSD_HeatingDemand!$AA$9/'RSD (DEA)'!S232</f>
        <v>37500</v>
      </c>
      <c r="U444" s="182">
        <f>'RSD (DEA)'!BI232</f>
        <v>20</v>
      </c>
      <c r="V444" s="182"/>
      <c r="W444" s="236">
        <f>'RSD (DEA)'!AM232</f>
        <v>31.536000000000001</v>
      </c>
    </row>
    <row r="445" spans="1:24" x14ac:dyDescent="0.3">
      <c r="A445" s="316"/>
      <c r="B445" s="235" t="str">
        <f>'RSD (DEA)'!AJ233&amp;"_"&amp;'RSD (DEA)'!Z233</f>
        <v>RHHSC_FC_mCHP_01</v>
      </c>
      <c r="C445" s="318"/>
      <c r="D445" s="235" t="str">
        <f t="shared" si="118"/>
        <v>RHHSC_FC_mCHP_03</v>
      </c>
      <c r="E445" s="235" t="str">
        <f>'RSD (DEA)'!Q233</f>
        <v>SOFC mCHP</v>
      </c>
      <c r="F445" s="242" t="s">
        <v>239</v>
      </c>
      <c r="G445" s="242" t="s">
        <v>240</v>
      </c>
      <c r="H445" s="235">
        <f>'RSD (DEA)'!S233</f>
        <v>0.56000000000000005</v>
      </c>
      <c r="I445" s="235" t="str">
        <f>IF(OR(RIGHT('RSD (DEA)'!AH233,3)="BIO",RIGHT(AD445,3)="BOA"),LEFT('RSD (DEA)'!AH233,3)&amp;"BFW",'RSD (DEA)'!AH233)</f>
        <v>RSDGAS</v>
      </c>
      <c r="J445" s="182" t="str">
        <f>'RSD (DEA)'!AI233</f>
        <v/>
      </c>
      <c r="K445" s="235" t="str">
        <f>'RSD (DEA)'!AJ233</f>
        <v>RHHSC</v>
      </c>
      <c r="L445" s="235"/>
      <c r="M445" s="182">
        <f t="shared" si="116"/>
        <v>2019</v>
      </c>
      <c r="N445" s="182">
        <f>'RSD (DEA)'!X233</f>
        <v>2030</v>
      </c>
      <c r="O445" s="182">
        <f t="shared" si="127"/>
        <v>2030</v>
      </c>
      <c r="P445" s="183">
        <f>'RSD (DEA)'!AZ233</f>
        <v>0.9</v>
      </c>
      <c r="Q445" s="183">
        <f>'RSD (DEA)'!BA233</f>
        <v>0.4</v>
      </c>
      <c r="R445" s="182">
        <f>'RSD (DEA)'!BR233/'RSD (DEA)'!S233</f>
        <v>1428.5714285714284</v>
      </c>
      <c r="S445" s="182">
        <f>'RSD (DEA)'!BS233/X_RSD_HeatingDemand!$AA$8</f>
        <v>0</v>
      </c>
      <c r="T445" s="182">
        <f>'RSD (DEA)'!BK233*X_RSD_HeatingDemand!$AA$9/'RSD (DEA)'!S233</f>
        <v>28571.428571428569</v>
      </c>
      <c r="U445" s="182">
        <f>'RSD (DEA)'!BI233</f>
        <v>20</v>
      </c>
      <c r="V445" s="182"/>
      <c r="W445" s="236">
        <f>'RSD (DEA)'!AM233</f>
        <v>31.536000000000001</v>
      </c>
    </row>
    <row r="446" spans="1:24" x14ac:dyDescent="0.3">
      <c r="A446" s="316"/>
      <c r="B446" s="235" t="str">
        <f>'RSD (DEA)'!AJ234&amp;"_"&amp;'RSD (DEA)'!Z234</f>
        <v>RHHSC_FC_mCHP_01</v>
      </c>
      <c r="C446" s="318"/>
      <c r="D446" s="235" t="str">
        <f t="shared" si="118"/>
        <v>RHHSC_FC_mCHP_04</v>
      </c>
      <c r="E446" s="235" t="str">
        <f>'RSD (DEA)'!Q234</f>
        <v>SOFC mCHP</v>
      </c>
      <c r="F446" s="242" t="s">
        <v>239</v>
      </c>
      <c r="G446" s="242" t="s">
        <v>240</v>
      </c>
      <c r="H446" s="235">
        <f>'RSD (DEA)'!S234</f>
        <v>0.56000000000000005</v>
      </c>
      <c r="I446" s="235" t="str">
        <f>IF(OR(RIGHT('RSD (DEA)'!AH234,3)="BIO",RIGHT(AD446,3)="BOA"),LEFT('RSD (DEA)'!AH234,3)&amp;"BFW",'RSD (DEA)'!AH234)</f>
        <v>RSDGAS</v>
      </c>
      <c r="J446" s="182" t="str">
        <f>'RSD (DEA)'!AI234</f>
        <v/>
      </c>
      <c r="K446" s="235" t="str">
        <f>'RSD (DEA)'!AJ234</f>
        <v>RHHSC</v>
      </c>
      <c r="L446" s="235"/>
      <c r="M446" s="182">
        <f t="shared" si="116"/>
        <v>2019</v>
      </c>
      <c r="N446" s="182">
        <f>'RSD (DEA)'!X234</f>
        <v>2050</v>
      </c>
      <c r="O446" s="182">
        <f t="shared" si="127"/>
        <v>2050</v>
      </c>
      <c r="P446" s="183">
        <f>'RSD (DEA)'!AZ234</f>
        <v>0.9</v>
      </c>
      <c r="Q446" s="183">
        <f>'RSD (DEA)'!BA234</f>
        <v>0.4</v>
      </c>
      <c r="R446" s="182">
        <f>'RSD (DEA)'!BR234/'RSD (DEA)'!S234</f>
        <v>982.142857142857</v>
      </c>
      <c r="S446" s="182">
        <f>'RSD (DEA)'!BS234/X_RSD_HeatingDemand!$AA$8</f>
        <v>0</v>
      </c>
      <c r="T446" s="182">
        <f>'RSD (DEA)'!BK234*X_RSD_HeatingDemand!$AA$9/'RSD (DEA)'!S234</f>
        <v>19642.857142857141</v>
      </c>
      <c r="U446" s="182">
        <f>'RSD (DEA)'!BI234</f>
        <v>20</v>
      </c>
      <c r="V446" s="182"/>
      <c r="W446" s="236">
        <f>'RSD (DEA)'!AM234</f>
        <v>31.536000000000001</v>
      </c>
    </row>
    <row r="447" spans="1:24" x14ac:dyDescent="0.3">
      <c r="A447" s="316"/>
      <c r="B447" s="244" t="str">
        <f>'RSD (DEA)'!AJ10&amp;"_"&amp;'RSD (DEA)'!Z10</f>
        <v>RHHSB_B_OIL_01</v>
      </c>
      <c r="C447" s="318"/>
      <c r="D447" s="235" t="str">
        <f t="shared" si="118"/>
        <v>RHHSB_B_OIL_01</v>
      </c>
      <c r="E447" s="244" t="str">
        <f>'RSD (DEA)'!Q10</f>
        <v>Oil-fired boiler</v>
      </c>
      <c r="F447" s="255" t="s">
        <v>239</v>
      </c>
      <c r="G447" s="255" t="s">
        <v>240</v>
      </c>
      <c r="H447" s="244">
        <f>'RSD (DEA)'!S10</f>
        <v>15</v>
      </c>
      <c r="I447" s="244" t="str">
        <f>IF(OR(RIGHT('RSD (DEA)'!AH10,3)="BIO",RIGHT(AD447,3)="BOA"),LEFT('RSD (DEA)'!AH10,3)&amp;"BFW",'RSD (DEA)'!AH10)</f>
        <v>RSDOIL</v>
      </c>
      <c r="J447" s="252" t="str">
        <f>'RSD (DEA)'!AI10</f>
        <v/>
      </c>
      <c r="K447" s="244" t="str">
        <f>'RSD (DEA)'!AK10</f>
        <v>RWHSB</v>
      </c>
      <c r="L447" s="244"/>
      <c r="M447" s="182">
        <f t="shared" si="116"/>
        <v>2019</v>
      </c>
      <c r="N447" s="252">
        <f>'RSD (DEA)'!X10</f>
        <v>2015</v>
      </c>
      <c r="O447" s="182">
        <f t="shared" si="127"/>
        <v>2019</v>
      </c>
      <c r="P447" s="256">
        <f>'RSD (DEA)'!AZ10</f>
        <v>0.92</v>
      </c>
      <c r="Q447" s="256">
        <f>'RSD (DEA)'!BA10</f>
        <v>0.92</v>
      </c>
      <c r="R447" s="252">
        <f>'RSD (DEA)'!BR10/'RSD (DEA)'!S10</f>
        <v>16.63</v>
      </c>
      <c r="S447" s="252">
        <f>'RSD (DEA)'!BS10/X_RSD_HeatingDemand!$AA$8</f>
        <v>0</v>
      </c>
      <c r="T447" s="252">
        <f>'RSD (DEA)'!BK10*X_RSD_HeatingDemand!$AA$9/'RSD (DEA)'!S10</f>
        <v>400</v>
      </c>
      <c r="U447" s="252">
        <f>'RSD (DEA)'!BI10</f>
        <v>20</v>
      </c>
      <c r="V447" s="252"/>
      <c r="W447" s="257">
        <f>'RSD (DEA)'!AM10</f>
        <v>31.536000000000001</v>
      </c>
      <c r="X447" s="239"/>
    </row>
    <row r="448" spans="1:24" x14ac:dyDescent="0.3">
      <c r="A448" s="316"/>
      <c r="B448" s="235" t="str">
        <f>'RSD (DEA)'!AJ11&amp;"_"&amp;'RSD (DEA)'!Z11</f>
        <v>RHHSB_B_OIL_01</v>
      </c>
      <c r="C448" s="318"/>
      <c r="D448" s="235" t="str">
        <f t="shared" si="118"/>
        <v>RHHSB_B_OIL_02</v>
      </c>
      <c r="E448" s="235" t="str">
        <f>'RSD (DEA)'!Q11</f>
        <v>Oil-fired boiler</v>
      </c>
      <c r="F448" s="242" t="s">
        <v>239</v>
      </c>
      <c r="G448" s="242" t="s">
        <v>240</v>
      </c>
      <c r="H448" s="235">
        <f>'RSD (DEA)'!S11</f>
        <v>15</v>
      </c>
      <c r="I448" s="235" t="str">
        <f>IF(OR(RIGHT('RSD (DEA)'!AH11,3)="BIO",RIGHT(AD448,3)="BOA"),LEFT('RSD (DEA)'!AH11,3)&amp;"BFW",'RSD (DEA)'!AH11)</f>
        <v>RSDOIL</v>
      </c>
      <c r="J448" s="182" t="str">
        <f>'RSD (DEA)'!AI11</f>
        <v/>
      </c>
      <c r="K448" s="235" t="str">
        <f>'RSD (DEA)'!AK11</f>
        <v>RWHSB</v>
      </c>
      <c r="L448" s="235"/>
      <c r="M448" s="182">
        <f t="shared" si="116"/>
        <v>2019</v>
      </c>
      <c r="N448" s="182">
        <f>'RSD (DEA)'!X11</f>
        <v>2020</v>
      </c>
      <c r="O448" s="182">
        <f t="shared" si="127"/>
        <v>2020</v>
      </c>
      <c r="P448" s="183">
        <f>'RSD (DEA)'!AZ11</f>
        <v>0.92</v>
      </c>
      <c r="Q448" s="183">
        <f>'RSD (DEA)'!BA11</f>
        <v>0.92</v>
      </c>
      <c r="R448" s="182">
        <f>'RSD (DEA)'!BR11/'RSD (DEA)'!S11</f>
        <v>16.266666666666666</v>
      </c>
      <c r="S448" s="182">
        <f>'RSD (DEA)'!BS11/X_RSD_HeatingDemand!$AA$8</f>
        <v>0</v>
      </c>
      <c r="T448" s="252">
        <f>'RSD (DEA)'!BK11*X_RSD_HeatingDemand!$AA$9/'RSD (DEA)'!S11</f>
        <v>400</v>
      </c>
      <c r="U448" s="182">
        <f>'RSD (DEA)'!BI11</f>
        <v>20</v>
      </c>
      <c r="V448" s="182"/>
      <c r="W448" s="236">
        <f>'RSD (DEA)'!AM11</f>
        <v>31.536000000000001</v>
      </c>
    </row>
    <row r="449" spans="1:23" x14ac:dyDescent="0.3">
      <c r="A449" s="316"/>
      <c r="B449" s="235" t="str">
        <f>'RSD (DEA)'!AJ12&amp;"_"&amp;'RSD (DEA)'!Z12</f>
        <v>RHHSB_B_OIL_01</v>
      </c>
      <c r="C449" s="318"/>
      <c r="D449" s="235" t="str">
        <f t="shared" si="118"/>
        <v>RHHSB_B_OIL_03</v>
      </c>
      <c r="E449" s="235" t="str">
        <f>'RSD (DEA)'!Q12</f>
        <v>Oil-fired boiler</v>
      </c>
      <c r="F449" s="242" t="s">
        <v>239</v>
      </c>
      <c r="G449" s="242" t="s">
        <v>240</v>
      </c>
      <c r="H449" s="235">
        <f>'RSD (DEA)'!S12</f>
        <v>15</v>
      </c>
      <c r="I449" s="235" t="str">
        <f>IF(OR(RIGHT('RSD (DEA)'!AH12,3)="BIO",RIGHT(AD449,3)="BOA"),LEFT('RSD (DEA)'!AH12,3)&amp;"BFW",'RSD (DEA)'!AH12)</f>
        <v>RSDOIL</v>
      </c>
      <c r="J449" s="182" t="str">
        <f>'RSD (DEA)'!AI12</f>
        <v/>
      </c>
      <c r="K449" s="235" t="str">
        <f>'RSD (DEA)'!AK12</f>
        <v>RWHSB</v>
      </c>
      <c r="L449" s="235"/>
      <c r="M449" s="182">
        <f t="shared" si="116"/>
        <v>2019</v>
      </c>
      <c r="N449" s="182">
        <f>'RSD (DEA)'!X12</f>
        <v>2030</v>
      </c>
      <c r="O449" s="182">
        <f t="shared" si="127"/>
        <v>2030</v>
      </c>
      <c r="P449" s="183">
        <f>'RSD (DEA)'!AZ12</f>
        <v>0.93</v>
      </c>
      <c r="Q449" s="183">
        <f>'RSD (DEA)'!BA12</f>
        <v>0.93</v>
      </c>
      <c r="R449" s="182">
        <f>'RSD (DEA)'!BR12/'RSD (DEA)'!S12</f>
        <v>15.733333333333333</v>
      </c>
      <c r="S449" s="182">
        <f>'RSD (DEA)'!BS12/X_RSD_HeatingDemand!$AA$8</f>
        <v>0</v>
      </c>
      <c r="T449" s="252">
        <f>'RSD (DEA)'!BK12*X_RSD_HeatingDemand!$AA$9/'RSD (DEA)'!S12</f>
        <v>400</v>
      </c>
      <c r="U449" s="182">
        <f>'RSD (DEA)'!BI12</f>
        <v>20</v>
      </c>
      <c r="V449" s="182"/>
      <c r="W449" s="236">
        <f>'RSD (DEA)'!AM12</f>
        <v>31.536000000000001</v>
      </c>
    </row>
    <row r="450" spans="1:23" x14ac:dyDescent="0.3">
      <c r="A450" s="316"/>
      <c r="B450" s="235" t="str">
        <f>'RSD (DEA)'!AJ13&amp;"_"&amp;'RSD (DEA)'!Z13</f>
        <v>RHHSB_B_OIL_01</v>
      </c>
      <c r="C450" s="318"/>
      <c r="D450" s="235" t="str">
        <f t="shared" si="118"/>
        <v>RHHSB_B_OIL_04</v>
      </c>
      <c r="E450" s="235" t="str">
        <f>'RSD (DEA)'!Q13</f>
        <v>Oil-fired boiler</v>
      </c>
      <c r="F450" s="242" t="s">
        <v>239</v>
      </c>
      <c r="G450" s="242" t="s">
        <v>240</v>
      </c>
      <c r="H450" s="235">
        <f>'RSD (DEA)'!S13</f>
        <v>15</v>
      </c>
      <c r="I450" s="235" t="str">
        <f>IF(OR(RIGHT('RSD (DEA)'!AH13,3)="BIO",RIGHT(AD450,3)="BOA"),LEFT('RSD (DEA)'!AH13,3)&amp;"BFW",'RSD (DEA)'!AH13)</f>
        <v>RSDOIL</v>
      </c>
      <c r="J450" s="182" t="str">
        <f>'RSD (DEA)'!AI13</f>
        <v/>
      </c>
      <c r="K450" s="235" t="str">
        <f>'RSD (DEA)'!AK13</f>
        <v>RWHSB</v>
      </c>
      <c r="L450" s="235"/>
      <c r="M450" s="182">
        <f t="shared" si="116"/>
        <v>2019</v>
      </c>
      <c r="N450" s="182">
        <f>'RSD (DEA)'!X13</f>
        <v>2050</v>
      </c>
      <c r="O450" s="182">
        <f t="shared" ref="O450:O481" si="129">IF(N450&lt;2019,2019,N450)</f>
        <v>2050</v>
      </c>
      <c r="P450" s="183">
        <f>'RSD (DEA)'!AZ13</f>
        <v>0.95</v>
      </c>
      <c r="Q450" s="183">
        <f>'RSD (DEA)'!BA13</f>
        <v>0.95</v>
      </c>
      <c r="R450" s="182">
        <f>'RSD (DEA)'!BR13/'RSD (DEA)'!S13</f>
        <v>14.266666666666667</v>
      </c>
      <c r="S450" s="182">
        <f>'RSD (DEA)'!BS13/X_RSD_HeatingDemand!$AA$8</f>
        <v>0</v>
      </c>
      <c r="T450" s="252">
        <f>'RSD (DEA)'!BK13*X_RSD_HeatingDemand!$AA$9/'RSD (DEA)'!S13</f>
        <v>666.66666666666663</v>
      </c>
      <c r="U450" s="182">
        <f>'RSD (DEA)'!BI13</f>
        <v>20</v>
      </c>
      <c r="V450" s="182"/>
      <c r="W450" s="236">
        <f>'RSD (DEA)'!AM13</f>
        <v>31.536000000000001</v>
      </c>
    </row>
    <row r="451" spans="1:23" x14ac:dyDescent="0.3">
      <c r="A451" s="316"/>
      <c r="B451" s="235" t="str">
        <f>'RSD (DEA)'!AJ14&amp;"_"&amp;'RSD (DEA)'!Z14</f>
        <v>RHHSA_B_WOO_01</v>
      </c>
      <c r="C451" s="318"/>
      <c r="D451" s="235" t="str">
        <f t="shared" si="118"/>
        <v>RHHSA_B_WOO_01</v>
      </c>
      <c r="E451" s="235" t="str">
        <f>'RSD (DEA)'!Q14</f>
        <v>Oil-fired boiler</v>
      </c>
      <c r="F451" s="242" t="s">
        <v>239</v>
      </c>
      <c r="G451" s="242" t="s">
        <v>240</v>
      </c>
      <c r="H451" s="235">
        <f>'RSD (DEA)'!S14</f>
        <v>15</v>
      </c>
      <c r="I451" s="235" t="str">
        <f>IF(OR(RIGHT('RSD (DEA)'!AH14,3)="BIO",RIGHT(AD451,3)="BOA"),LEFT('RSD (DEA)'!AH14,3)&amp;"BFW",'RSD (DEA)'!AH14)</f>
        <v>RSDWOO</v>
      </c>
      <c r="J451" s="182" t="str">
        <f>'RSD (DEA)'!AI14</f>
        <v/>
      </c>
      <c r="K451" s="235" t="str">
        <f>'RSD (DEA)'!AK14</f>
        <v>RWHSA</v>
      </c>
      <c r="L451" s="235"/>
      <c r="M451" s="182">
        <f t="shared" si="116"/>
        <v>2019</v>
      </c>
      <c r="N451" s="182">
        <f>'RSD (DEA)'!X14</f>
        <v>2015</v>
      </c>
      <c r="O451" s="182">
        <f t="shared" si="129"/>
        <v>2019</v>
      </c>
      <c r="P451" s="183">
        <f>'RSD (DEA)'!AZ14</f>
        <v>0.88</v>
      </c>
      <c r="Q451" s="183">
        <f>'RSD (DEA)'!BA14</f>
        <v>0.88</v>
      </c>
      <c r="R451" s="182">
        <f>'RSD (DEA)'!BR14/'RSD (DEA)'!S14</f>
        <v>16.420000000000002</v>
      </c>
      <c r="S451" s="182">
        <f>'RSD (DEA)'!BS14/X_RSD_HeatingDemand!$AA$8</f>
        <v>0</v>
      </c>
      <c r="T451" s="252">
        <f>'RSD (DEA)'!BK14*X_RSD_HeatingDemand!$AA$9/'RSD (DEA)'!S14</f>
        <v>666.66666666666663</v>
      </c>
      <c r="U451" s="182">
        <f>'RSD (DEA)'!BI14</f>
        <v>20</v>
      </c>
      <c r="V451" s="182"/>
      <c r="W451" s="236">
        <f>'RSD (DEA)'!AM14</f>
        <v>31.536000000000001</v>
      </c>
    </row>
    <row r="452" spans="1:23" x14ac:dyDescent="0.3">
      <c r="A452" s="316"/>
      <c r="B452" s="235" t="str">
        <f>'RSD (DEA)'!AJ15&amp;"_"&amp;'RSD (DEA)'!Z15</f>
        <v>RHHSA_B_WOO_01</v>
      </c>
      <c r="C452" s="318"/>
      <c r="D452" s="235" t="str">
        <f t="shared" si="118"/>
        <v>RHHSA_B_WOO_02</v>
      </c>
      <c r="E452" s="235" t="str">
        <f>'RSD (DEA)'!Q15</f>
        <v>Oil-fired boiler</v>
      </c>
      <c r="F452" s="242" t="s">
        <v>239</v>
      </c>
      <c r="G452" s="242" t="s">
        <v>240</v>
      </c>
      <c r="H452" s="235">
        <f>'RSD (DEA)'!S15</f>
        <v>15</v>
      </c>
      <c r="I452" s="235" t="str">
        <f>IF(OR(RIGHT('RSD (DEA)'!AH15,3)="BIO",RIGHT(AD452,3)="BOA"),LEFT('RSD (DEA)'!AH15,3)&amp;"BFW",'RSD (DEA)'!AH15)</f>
        <v>RSDWOO</v>
      </c>
      <c r="J452" s="182" t="str">
        <f>'RSD (DEA)'!AI15</f>
        <v/>
      </c>
      <c r="K452" s="235" t="str">
        <f>'RSD (DEA)'!AK15</f>
        <v>RWHSA</v>
      </c>
      <c r="L452" s="235"/>
      <c r="M452" s="182">
        <f t="shared" si="116"/>
        <v>2019</v>
      </c>
      <c r="N452" s="182">
        <f>'RSD (DEA)'!X15</f>
        <v>2020</v>
      </c>
      <c r="O452" s="182">
        <f t="shared" si="129"/>
        <v>2020</v>
      </c>
      <c r="P452" s="183">
        <f>'RSD (DEA)'!AZ15</f>
        <v>0.88</v>
      </c>
      <c r="Q452" s="183">
        <f>'RSD (DEA)'!BA15</f>
        <v>0.88</v>
      </c>
      <c r="R452" s="182">
        <f>'RSD (DEA)'!BR15/'RSD (DEA)'!S15</f>
        <v>16.066666666666666</v>
      </c>
      <c r="S452" s="182">
        <f>'RSD (DEA)'!BS15/X_RSD_HeatingDemand!$AA$8</f>
        <v>0</v>
      </c>
      <c r="T452" s="252">
        <f>'RSD (DEA)'!BK15*X_RSD_HeatingDemand!$AA$9/'RSD (DEA)'!S15</f>
        <v>666.66666666666663</v>
      </c>
      <c r="U452" s="182">
        <f>'RSD (DEA)'!BI15</f>
        <v>20</v>
      </c>
      <c r="V452" s="182"/>
      <c r="W452" s="236">
        <f>'RSD (DEA)'!AM15</f>
        <v>31.536000000000001</v>
      </c>
    </row>
    <row r="453" spans="1:23" x14ac:dyDescent="0.3">
      <c r="A453" s="316"/>
      <c r="B453" s="235" t="str">
        <f>'RSD (DEA)'!AJ16&amp;"_"&amp;'RSD (DEA)'!Z16</f>
        <v>RHHSA_B_WOO_01</v>
      </c>
      <c r="C453" s="318"/>
      <c r="D453" s="235" t="str">
        <f t="shared" si="118"/>
        <v>RHHSA_B_WOO_03</v>
      </c>
      <c r="E453" s="235" t="str">
        <f>'RSD (DEA)'!Q16</f>
        <v>Oil-fired boiler</v>
      </c>
      <c r="F453" s="242" t="s">
        <v>239</v>
      </c>
      <c r="G453" s="242" t="s">
        <v>240</v>
      </c>
      <c r="H453" s="235">
        <f>'RSD (DEA)'!S16</f>
        <v>15</v>
      </c>
      <c r="I453" s="235" t="str">
        <f>IF(OR(RIGHT('RSD (DEA)'!AH16,3)="BIO",RIGHT(AD453,3)="BOA"),LEFT('RSD (DEA)'!AH16,3)&amp;"BFW",'RSD (DEA)'!AH16)</f>
        <v>RSDWOO</v>
      </c>
      <c r="J453" s="182" t="str">
        <f>'RSD (DEA)'!AI16</f>
        <v/>
      </c>
      <c r="K453" s="235" t="str">
        <f>'RSD (DEA)'!AK16</f>
        <v>RWHSA</v>
      </c>
      <c r="L453" s="235"/>
      <c r="M453" s="182">
        <f t="shared" si="116"/>
        <v>2019</v>
      </c>
      <c r="N453" s="182">
        <f>'RSD (DEA)'!X16</f>
        <v>2030</v>
      </c>
      <c r="O453" s="182">
        <f t="shared" si="129"/>
        <v>2030</v>
      </c>
      <c r="P453" s="183">
        <f>'RSD (DEA)'!AZ16</f>
        <v>0.92</v>
      </c>
      <c r="Q453" s="183">
        <f>'RSD (DEA)'!BA16</f>
        <v>0.92</v>
      </c>
      <c r="R453" s="182">
        <f>'RSD (DEA)'!BR16/'RSD (DEA)'!S16</f>
        <v>15.466666666666667</v>
      </c>
      <c r="S453" s="182">
        <f>'RSD (DEA)'!BS16/X_RSD_HeatingDemand!$AA$8</f>
        <v>0</v>
      </c>
      <c r="T453" s="252">
        <f>'RSD (DEA)'!BK16*X_RSD_HeatingDemand!$AA$9/'RSD (DEA)'!S16</f>
        <v>600</v>
      </c>
      <c r="U453" s="182">
        <f>'RSD (DEA)'!BI16</f>
        <v>20</v>
      </c>
      <c r="V453" s="182"/>
      <c r="W453" s="236">
        <f>'RSD (DEA)'!AM16</f>
        <v>31.536000000000001</v>
      </c>
    </row>
    <row r="454" spans="1:23" x14ac:dyDescent="0.3">
      <c r="A454" s="316"/>
      <c r="B454" s="235" t="str">
        <f>'RSD (DEA)'!AJ17&amp;"_"&amp;'RSD (DEA)'!Z17</f>
        <v>RHHSA_B_WOO_01</v>
      </c>
      <c r="C454" s="318"/>
      <c r="D454" s="235" t="str">
        <f t="shared" si="118"/>
        <v>RHHSA_B_WOO_04</v>
      </c>
      <c r="E454" s="235" t="str">
        <f>'RSD (DEA)'!Q17</f>
        <v>Oil-fired boiler</v>
      </c>
      <c r="F454" s="242" t="s">
        <v>239</v>
      </c>
      <c r="G454" s="242" t="s">
        <v>240</v>
      </c>
      <c r="H454" s="235">
        <f>'RSD (DEA)'!S17</f>
        <v>15</v>
      </c>
      <c r="I454" s="235" t="str">
        <f>IF(OR(RIGHT('RSD (DEA)'!AH17,3)="BIO",RIGHT(AD454,3)="BOA"),LEFT('RSD (DEA)'!AH17,3)&amp;"BFW",'RSD (DEA)'!AH17)</f>
        <v>RSDWOO</v>
      </c>
      <c r="J454" s="182" t="str">
        <f>'RSD (DEA)'!AI17</f>
        <v/>
      </c>
      <c r="K454" s="235" t="str">
        <f>'RSD (DEA)'!AK17</f>
        <v>RWHSA</v>
      </c>
      <c r="L454" s="235"/>
      <c r="M454" s="182">
        <f t="shared" ref="M454:M517" si="130">IF(ISBLANK(B454),"",$AA$14)</f>
        <v>2019</v>
      </c>
      <c r="N454" s="182">
        <f>'RSD (DEA)'!X17</f>
        <v>2050</v>
      </c>
      <c r="O454" s="182">
        <f t="shared" si="129"/>
        <v>2050</v>
      </c>
      <c r="P454" s="183">
        <f>'RSD (DEA)'!AZ17</f>
        <v>0.94</v>
      </c>
      <c r="Q454" s="183">
        <f>'RSD (DEA)'!BA17</f>
        <v>0.94</v>
      </c>
      <c r="R454" s="182">
        <f>'RSD (DEA)'!BR17/'RSD (DEA)'!S17</f>
        <v>14</v>
      </c>
      <c r="S454" s="182">
        <f>'RSD (DEA)'!BS17/X_RSD_HeatingDemand!$AA$8</f>
        <v>0</v>
      </c>
      <c r="T454" s="252">
        <f>'RSD (DEA)'!BK17*X_RSD_HeatingDemand!$AA$9/'RSD (DEA)'!S17</f>
        <v>1133.3333333333333</v>
      </c>
      <c r="U454" s="182">
        <f>'RSD (DEA)'!BI17</f>
        <v>20</v>
      </c>
      <c r="V454" s="182"/>
      <c r="W454" s="236">
        <f>'RSD (DEA)'!AM17</f>
        <v>31.536000000000001</v>
      </c>
    </row>
    <row r="455" spans="1:23" x14ac:dyDescent="0.3">
      <c r="A455" s="316"/>
      <c r="B455" s="235" t="str">
        <f>'RSD (DEA)'!AJ18&amp;"_"&amp;'RSD (DEA)'!Z18</f>
        <v>RHAPC_B_OIL_02</v>
      </c>
      <c r="C455" s="318"/>
      <c r="D455" s="235" t="str">
        <f t="shared" si="118"/>
        <v>RHAPC_B_OIL_02</v>
      </c>
      <c r="E455" s="235" t="str">
        <f>'RSD (DEA)'!Q18</f>
        <v>Oil-fired boiler</v>
      </c>
      <c r="F455" s="242" t="s">
        <v>239</v>
      </c>
      <c r="G455" s="242" t="s">
        <v>240</v>
      </c>
      <c r="H455" s="235">
        <f>'RSD (DEA)'!S18</f>
        <v>400</v>
      </c>
      <c r="I455" s="235" t="str">
        <f>IF(OR(RIGHT('RSD (DEA)'!AH18,3)="BIO",RIGHT(AD455,3)="BOA"),LEFT('RSD (DEA)'!AH18,3)&amp;"BFW",'RSD (DEA)'!AH18)</f>
        <v>RSDOIL</v>
      </c>
      <c r="J455" s="182" t="str">
        <f>'RSD (DEA)'!AI18</f>
        <v/>
      </c>
      <c r="K455" s="235" t="str">
        <f>'RSD (DEA)'!AK18</f>
        <v>RWAPC</v>
      </c>
      <c r="L455" s="235"/>
      <c r="M455" s="182">
        <f t="shared" si="130"/>
        <v>2019</v>
      </c>
      <c r="N455" s="182">
        <f>'RSD (DEA)'!X18</f>
        <v>2015</v>
      </c>
      <c r="O455" s="182">
        <f t="shared" si="129"/>
        <v>2019</v>
      </c>
      <c r="P455" s="183">
        <f>'RSD (DEA)'!AZ18</f>
        <v>0.92</v>
      </c>
      <c r="Q455" s="183">
        <f>'RSD (DEA)'!BA18</f>
        <v>0.92</v>
      </c>
      <c r="R455" s="182">
        <f>'RSD (DEA)'!BR18/'RSD (DEA)'!S18</f>
        <v>2.13625</v>
      </c>
      <c r="S455" s="182">
        <f>'RSD (DEA)'!BS18/X_RSD_HeatingDemand!$AA$8</f>
        <v>6.5483360815438685</v>
      </c>
      <c r="T455" s="252">
        <f>'RSD (DEA)'!BK18*X_RSD_HeatingDemand!$AA$9/'RSD (DEA)'!S18</f>
        <v>87.5</v>
      </c>
      <c r="U455" s="182">
        <f>'RSD (DEA)'!BI18</f>
        <v>20</v>
      </c>
      <c r="V455" s="182"/>
      <c r="W455" s="236">
        <f>'RSD (DEA)'!AM18</f>
        <v>31.536000000000001</v>
      </c>
    </row>
    <row r="456" spans="1:23" x14ac:dyDescent="0.3">
      <c r="A456" s="316"/>
      <c r="B456" s="235" t="str">
        <f>'RSD (DEA)'!AJ19&amp;"_"&amp;'RSD (DEA)'!Z19</f>
        <v>RHAPC_B_OIL_02</v>
      </c>
      <c r="C456" s="318"/>
      <c r="D456" s="235" t="str">
        <f t="shared" ref="D456:D519" si="131">IF(B456=B455,LEFT(B456,LEN(B456)-2)&amp;IF(RIGHT(D455)+1&lt;9,"0"&amp;RIGHT(D455)+1,RIGHT(D455)+1),B456)</f>
        <v>RHAPC_B_OIL_03</v>
      </c>
      <c r="E456" s="235" t="str">
        <f>'RSD (DEA)'!Q19</f>
        <v>Oil-fired boiler</v>
      </c>
      <c r="F456" s="242" t="s">
        <v>239</v>
      </c>
      <c r="G456" s="242" t="s">
        <v>240</v>
      </c>
      <c r="H456" s="235">
        <f>'RSD (DEA)'!S19</f>
        <v>400</v>
      </c>
      <c r="I456" s="235" t="str">
        <f>IF(OR(RIGHT('RSD (DEA)'!AH19,3)="BIO",RIGHT(AD456,3)="BOA"),LEFT('RSD (DEA)'!AH19,3)&amp;"BFW",'RSD (DEA)'!AH19)</f>
        <v>RSDOIL</v>
      </c>
      <c r="J456" s="182" t="str">
        <f>'RSD (DEA)'!AI19</f>
        <v/>
      </c>
      <c r="K456" s="235" t="str">
        <f>'RSD (DEA)'!AK19</f>
        <v>RWAPC</v>
      </c>
      <c r="L456" s="235"/>
      <c r="M456" s="182">
        <f t="shared" si="130"/>
        <v>2019</v>
      </c>
      <c r="N456" s="182">
        <f>'RSD (DEA)'!X19</f>
        <v>2020</v>
      </c>
      <c r="O456" s="182">
        <f t="shared" si="129"/>
        <v>2020</v>
      </c>
      <c r="P456" s="183">
        <f>'RSD (DEA)'!AZ19</f>
        <v>0.92</v>
      </c>
      <c r="Q456" s="183">
        <f>'RSD (DEA)'!BA19</f>
        <v>0.92</v>
      </c>
      <c r="R456" s="182">
        <f>'RSD (DEA)'!BR19/'RSD (DEA)'!S19</f>
        <v>2.0950000000000002</v>
      </c>
      <c r="S456" s="182">
        <f>'RSD (DEA)'!BS19/X_RSD_HeatingDemand!$AA$8</f>
        <v>6.5483360815438685</v>
      </c>
      <c r="T456" s="252">
        <f>'RSD (DEA)'!BK19*X_RSD_HeatingDemand!$AA$9/'RSD (DEA)'!S19</f>
        <v>85</v>
      </c>
      <c r="U456" s="182">
        <f>'RSD (DEA)'!BI19</f>
        <v>20</v>
      </c>
      <c r="V456" s="182"/>
      <c r="W456" s="236">
        <f>'RSD (DEA)'!AM19</f>
        <v>31.536000000000001</v>
      </c>
    </row>
    <row r="457" spans="1:23" x14ac:dyDescent="0.3">
      <c r="A457" s="316"/>
      <c r="B457" s="235" t="str">
        <f>'RSD (DEA)'!AJ20&amp;"_"&amp;'RSD (DEA)'!Z20</f>
        <v>RHAPC_B_OIL_02</v>
      </c>
      <c r="C457" s="318"/>
      <c r="D457" s="235" t="str">
        <f t="shared" si="131"/>
        <v>RHAPC_B_OIL_04</v>
      </c>
      <c r="E457" s="235" t="str">
        <f>'RSD (DEA)'!Q20</f>
        <v>Oil-fired boiler</v>
      </c>
      <c r="F457" s="242" t="s">
        <v>239</v>
      </c>
      <c r="G457" s="242" t="s">
        <v>240</v>
      </c>
      <c r="H457" s="235">
        <f>'RSD (DEA)'!S20</f>
        <v>400</v>
      </c>
      <c r="I457" s="235" t="str">
        <f>IF(OR(RIGHT('RSD (DEA)'!AH20,3)="BIO",RIGHT(AD457,3)="BOA"),LEFT('RSD (DEA)'!AH20,3)&amp;"BFW",'RSD (DEA)'!AH20)</f>
        <v>RSDOIL</v>
      </c>
      <c r="J457" s="182" t="str">
        <f>'RSD (DEA)'!AI20</f>
        <v/>
      </c>
      <c r="K457" s="235" t="str">
        <f>'RSD (DEA)'!AK20</f>
        <v>RWAPC</v>
      </c>
      <c r="L457" s="235"/>
      <c r="M457" s="182">
        <f t="shared" si="130"/>
        <v>2019</v>
      </c>
      <c r="N457" s="182">
        <f>'RSD (DEA)'!X20</f>
        <v>2030</v>
      </c>
      <c r="O457" s="182">
        <f t="shared" si="129"/>
        <v>2030</v>
      </c>
      <c r="P457" s="183">
        <f>'RSD (DEA)'!AZ20</f>
        <v>0.93</v>
      </c>
      <c r="Q457" s="183">
        <f>'RSD (DEA)'!BA20</f>
        <v>0.93</v>
      </c>
      <c r="R457" s="182">
        <f>'RSD (DEA)'!BR20/'RSD (DEA)'!S20</f>
        <v>2.09</v>
      </c>
      <c r="S457" s="182">
        <f>'RSD (DEA)'!BS20/X_RSD_HeatingDemand!$AA$8</f>
        <v>6.5483360815438685</v>
      </c>
      <c r="T457" s="252">
        <f>'RSD (DEA)'!BK20*X_RSD_HeatingDemand!$AA$9/'RSD (DEA)'!S20</f>
        <v>80</v>
      </c>
      <c r="U457" s="182">
        <f>'RSD (DEA)'!BI20</f>
        <v>20</v>
      </c>
      <c r="V457" s="182"/>
      <c r="W457" s="236">
        <f>'RSD (DEA)'!AM20</f>
        <v>31.536000000000001</v>
      </c>
    </row>
    <row r="458" spans="1:23" x14ac:dyDescent="0.3">
      <c r="A458" s="316"/>
      <c r="B458" s="235" t="str">
        <f>'RSD (DEA)'!AJ21&amp;"_"&amp;'RSD (DEA)'!Z21</f>
        <v>RHAPC_B_OIL_02</v>
      </c>
      <c r="C458" s="318"/>
      <c r="D458" s="235" t="str">
        <f t="shared" si="131"/>
        <v>RHAPC_B_OIL_05</v>
      </c>
      <c r="E458" s="235" t="str">
        <f>'RSD (DEA)'!Q21</f>
        <v>Oil-fired boiler</v>
      </c>
      <c r="F458" s="242" t="s">
        <v>239</v>
      </c>
      <c r="G458" s="242" t="s">
        <v>240</v>
      </c>
      <c r="H458" s="235">
        <f>'RSD (DEA)'!S21</f>
        <v>400</v>
      </c>
      <c r="I458" s="235" t="str">
        <f>IF(OR(RIGHT('RSD (DEA)'!AH21,3)="BIO",RIGHT(AD458,3)="BOA"),LEFT('RSD (DEA)'!AH21,3)&amp;"BFW",'RSD (DEA)'!AH21)</f>
        <v>RSDOIL</v>
      </c>
      <c r="J458" s="182" t="str">
        <f>'RSD (DEA)'!AI21</f>
        <v/>
      </c>
      <c r="K458" s="235" t="str">
        <f>'RSD (DEA)'!AK21</f>
        <v>RWAPC</v>
      </c>
      <c r="L458" s="235"/>
      <c r="M458" s="182">
        <f t="shared" si="130"/>
        <v>2019</v>
      </c>
      <c r="N458" s="182">
        <f>'RSD (DEA)'!X21</f>
        <v>2050</v>
      </c>
      <c r="O458" s="182">
        <f t="shared" si="129"/>
        <v>2050</v>
      </c>
      <c r="P458" s="183">
        <f>'RSD (DEA)'!AZ21</f>
        <v>0.95</v>
      </c>
      <c r="Q458" s="183">
        <f>'RSD (DEA)'!BA21</f>
        <v>0.95</v>
      </c>
      <c r="R458" s="182">
        <f>'RSD (DEA)'!BR21/'RSD (DEA)'!S21</f>
        <v>1.9450000000000001</v>
      </c>
      <c r="S458" s="182">
        <f>'RSD (DEA)'!BS21/X_RSD_HeatingDemand!$AA$8</f>
        <v>6.5483360815438685</v>
      </c>
      <c r="T458" s="252">
        <f>'RSD (DEA)'!BK21*X_RSD_HeatingDemand!$AA$9/'RSD (DEA)'!S21</f>
        <v>147.5</v>
      </c>
      <c r="U458" s="182">
        <f>'RSD (DEA)'!BI21</f>
        <v>20</v>
      </c>
      <c r="V458" s="182"/>
      <c r="W458" s="236">
        <f>'RSD (DEA)'!AM21</f>
        <v>31.536000000000001</v>
      </c>
    </row>
    <row r="459" spans="1:23" x14ac:dyDescent="0.3">
      <c r="A459" s="316"/>
      <c r="B459" s="235" t="str">
        <f>'RSD (DEA)'!AJ22&amp;"_"&amp;'RSD (DEA)'!Z22</f>
        <v>RHAPA_B_WOO_02</v>
      </c>
      <c r="C459" s="318"/>
      <c r="D459" s="235" t="str">
        <f t="shared" si="131"/>
        <v>RHAPA_B_WOO_02</v>
      </c>
      <c r="E459" s="235" t="str">
        <f>'RSD (DEA)'!Q22</f>
        <v>Oil-fired boiler</v>
      </c>
      <c r="F459" s="242" t="s">
        <v>239</v>
      </c>
      <c r="G459" s="242" t="s">
        <v>240</v>
      </c>
      <c r="H459" s="235">
        <f>'RSD (DEA)'!S22</f>
        <v>160</v>
      </c>
      <c r="I459" s="235" t="str">
        <f>IF(OR(RIGHT('RSD (DEA)'!AH22,3)="BIO",RIGHT(AD459,3)="BOA"),LEFT('RSD (DEA)'!AH22,3)&amp;"BFW",'RSD (DEA)'!AH22)</f>
        <v>RSDWOO</v>
      </c>
      <c r="J459" s="182" t="str">
        <f>'RSD (DEA)'!AI22</f>
        <v/>
      </c>
      <c r="K459" s="235" t="str">
        <f>'RSD (DEA)'!AK22</f>
        <v>RWAPA</v>
      </c>
      <c r="L459" s="235"/>
      <c r="M459" s="182">
        <f t="shared" si="130"/>
        <v>2019</v>
      </c>
      <c r="N459" s="182">
        <f>'RSD (DEA)'!X22</f>
        <v>2015</v>
      </c>
      <c r="O459" s="182">
        <f t="shared" si="129"/>
        <v>2019</v>
      </c>
      <c r="P459" s="183">
        <f>'RSD (DEA)'!AZ22</f>
        <v>0.88</v>
      </c>
      <c r="Q459" s="183">
        <f>'RSD (DEA)'!BA22</f>
        <v>0.88</v>
      </c>
      <c r="R459" s="182">
        <f>'RSD (DEA)'!BR22/'RSD (DEA)'!S22</f>
        <v>3.5187499999999998</v>
      </c>
      <c r="S459" s="182">
        <f>'RSD (DEA)'!BS22/X_RSD_HeatingDemand!$AA$8</f>
        <v>6.5483360815438685</v>
      </c>
      <c r="T459" s="252">
        <f>'RSD (DEA)'!BK22*X_RSD_HeatingDemand!$AA$9/'RSD (DEA)'!S22</f>
        <v>175</v>
      </c>
      <c r="U459" s="182">
        <f>'RSD (DEA)'!BI22</f>
        <v>20</v>
      </c>
      <c r="V459" s="182"/>
      <c r="W459" s="236">
        <f>'RSD (DEA)'!AM22</f>
        <v>31.536000000000001</v>
      </c>
    </row>
    <row r="460" spans="1:23" x14ac:dyDescent="0.3">
      <c r="A460" s="316"/>
      <c r="B460" s="235" t="str">
        <f>'RSD (DEA)'!AJ23&amp;"_"&amp;'RSD (DEA)'!Z23</f>
        <v>RHAPA_B_WOO_02</v>
      </c>
      <c r="C460" s="318"/>
      <c r="D460" s="235" t="str">
        <f t="shared" si="131"/>
        <v>RHAPA_B_WOO_03</v>
      </c>
      <c r="E460" s="235" t="str">
        <f>'RSD (DEA)'!Q23</f>
        <v>Oil-fired boiler</v>
      </c>
      <c r="F460" s="242" t="s">
        <v>239</v>
      </c>
      <c r="G460" s="242" t="s">
        <v>240</v>
      </c>
      <c r="H460" s="235">
        <f>'RSD (DEA)'!S23</f>
        <v>160</v>
      </c>
      <c r="I460" s="235" t="str">
        <f>IF(OR(RIGHT('RSD (DEA)'!AH23,3)="BIO",RIGHT(AD460,3)="BOA"),LEFT('RSD (DEA)'!AH23,3)&amp;"BFW",'RSD (DEA)'!AH23)</f>
        <v>RSDWOO</v>
      </c>
      <c r="J460" s="182" t="str">
        <f>'RSD (DEA)'!AI23</f>
        <v/>
      </c>
      <c r="K460" s="235" t="str">
        <f>'RSD (DEA)'!AK23</f>
        <v>RWAPA</v>
      </c>
      <c r="L460" s="235"/>
      <c r="M460" s="182">
        <f t="shared" si="130"/>
        <v>2019</v>
      </c>
      <c r="N460" s="182">
        <f>'RSD (DEA)'!X23</f>
        <v>2020</v>
      </c>
      <c r="O460" s="182">
        <f t="shared" si="129"/>
        <v>2020</v>
      </c>
      <c r="P460" s="183">
        <f>'RSD (DEA)'!AZ23</f>
        <v>0.88</v>
      </c>
      <c r="Q460" s="183">
        <f>'RSD (DEA)'!BA23</f>
        <v>0.88</v>
      </c>
      <c r="R460" s="182">
        <f>'RSD (DEA)'!BR23/'RSD (DEA)'!S23</f>
        <v>3.4375</v>
      </c>
      <c r="S460" s="182">
        <f>'RSD (DEA)'!BS23/X_RSD_HeatingDemand!$AA$8</f>
        <v>6.5483360815438685</v>
      </c>
      <c r="T460" s="252">
        <f>'RSD (DEA)'!BK23*X_RSD_HeatingDemand!$AA$9/'RSD (DEA)'!S23</f>
        <v>168.75</v>
      </c>
      <c r="U460" s="182">
        <f>'RSD (DEA)'!BI23</f>
        <v>20</v>
      </c>
      <c r="V460" s="182"/>
      <c r="W460" s="236">
        <f>'RSD (DEA)'!AM23</f>
        <v>31.536000000000001</v>
      </c>
    </row>
    <row r="461" spans="1:23" x14ac:dyDescent="0.3">
      <c r="A461" s="316"/>
      <c r="B461" s="235" t="str">
        <f>'RSD (DEA)'!AJ24&amp;"_"&amp;'RSD (DEA)'!Z24</f>
        <v>RHAPA_B_WOO_02</v>
      </c>
      <c r="C461" s="318"/>
      <c r="D461" s="235" t="str">
        <f t="shared" si="131"/>
        <v>RHAPA_B_WOO_04</v>
      </c>
      <c r="E461" s="235" t="str">
        <f>'RSD (DEA)'!Q24</f>
        <v>Oil-fired boiler</v>
      </c>
      <c r="F461" s="242" t="s">
        <v>239</v>
      </c>
      <c r="G461" s="242" t="s">
        <v>240</v>
      </c>
      <c r="H461" s="235">
        <f>'RSD (DEA)'!S24</f>
        <v>160</v>
      </c>
      <c r="I461" s="235" t="str">
        <f>IF(OR(RIGHT('RSD (DEA)'!AH24,3)="BIO",RIGHT(AD461,3)="BOA"),LEFT('RSD (DEA)'!AH24,3)&amp;"BFW",'RSD (DEA)'!AH24)</f>
        <v>RSDWOO</v>
      </c>
      <c r="J461" s="182" t="str">
        <f>'RSD (DEA)'!AI24</f>
        <v/>
      </c>
      <c r="K461" s="235" t="str">
        <f>'RSD (DEA)'!AK24</f>
        <v>RWAPA</v>
      </c>
      <c r="L461" s="235"/>
      <c r="M461" s="182">
        <f t="shared" si="130"/>
        <v>2019</v>
      </c>
      <c r="N461" s="182">
        <f>'RSD (DEA)'!X24</f>
        <v>2030</v>
      </c>
      <c r="O461" s="182">
        <f t="shared" si="129"/>
        <v>2030</v>
      </c>
      <c r="P461" s="183">
        <f>'RSD (DEA)'!AZ24</f>
        <v>0.92</v>
      </c>
      <c r="Q461" s="183">
        <f>'RSD (DEA)'!BA24</f>
        <v>0.92</v>
      </c>
      <c r="R461" s="182">
        <f>'RSD (DEA)'!BR24/'RSD (DEA)'!S24</f>
        <v>3.2250000000000001</v>
      </c>
      <c r="S461" s="182">
        <f>'RSD (DEA)'!BS24/X_RSD_HeatingDemand!$AA$8</f>
        <v>6.5483360815438685</v>
      </c>
      <c r="T461" s="252">
        <f>'RSD (DEA)'!BK24*X_RSD_HeatingDemand!$AA$9/'RSD (DEA)'!S24</f>
        <v>162.5</v>
      </c>
      <c r="U461" s="182">
        <f>'RSD (DEA)'!BI24</f>
        <v>20</v>
      </c>
      <c r="V461" s="182"/>
      <c r="W461" s="236">
        <f>'RSD (DEA)'!AM24</f>
        <v>31.536000000000001</v>
      </c>
    </row>
    <row r="462" spans="1:23" x14ac:dyDescent="0.3">
      <c r="A462" s="316"/>
      <c r="B462" s="235" t="str">
        <f>'RSD (DEA)'!AJ25&amp;"_"&amp;'RSD (DEA)'!Z25</f>
        <v>RHAPA_B_WOO_02</v>
      </c>
      <c r="C462" s="318"/>
      <c r="D462" s="235" t="str">
        <f t="shared" si="131"/>
        <v>RHAPA_B_WOO_05</v>
      </c>
      <c r="E462" s="235" t="str">
        <f>'RSD (DEA)'!Q25</f>
        <v>Oil-fired boiler</v>
      </c>
      <c r="F462" s="242" t="s">
        <v>239</v>
      </c>
      <c r="G462" s="242" t="s">
        <v>240</v>
      </c>
      <c r="H462" s="235">
        <f>'RSD (DEA)'!S25</f>
        <v>160</v>
      </c>
      <c r="I462" s="235" t="str">
        <f>IF(OR(RIGHT('RSD (DEA)'!AH25,3)="BIO",RIGHT(AD462,3)="BOA"),LEFT('RSD (DEA)'!AH25,3)&amp;"BFW",'RSD (DEA)'!AH25)</f>
        <v>RSDWOO</v>
      </c>
      <c r="J462" s="182" t="str">
        <f>'RSD (DEA)'!AI25</f>
        <v/>
      </c>
      <c r="K462" s="235" t="str">
        <f>'RSD (DEA)'!AK25</f>
        <v>RWAPA</v>
      </c>
      <c r="L462" s="235"/>
      <c r="M462" s="182">
        <f t="shared" si="130"/>
        <v>2019</v>
      </c>
      <c r="N462" s="182">
        <f>'RSD (DEA)'!X25</f>
        <v>2050</v>
      </c>
      <c r="O462" s="182">
        <f t="shared" si="129"/>
        <v>2050</v>
      </c>
      <c r="P462" s="183">
        <f>'RSD (DEA)'!AZ25</f>
        <v>0.94</v>
      </c>
      <c r="Q462" s="183">
        <f>'RSD (DEA)'!BA25</f>
        <v>0.94</v>
      </c>
      <c r="R462" s="182">
        <f>'RSD (DEA)'!BR25/'RSD (DEA)'!S25</f>
        <v>2.9750000000000001</v>
      </c>
      <c r="S462" s="182">
        <f>'RSD (DEA)'!BS25/X_RSD_HeatingDemand!$AA$8</f>
        <v>6.5483360815438685</v>
      </c>
      <c r="T462" s="252">
        <f>'RSD (DEA)'!BK25*X_RSD_HeatingDemand!$AA$9/'RSD (DEA)'!S25</f>
        <v>293.75</v>
      </c>
      <c r="U462" s="182">
        <f>'RSD (DEA)'!BI25</f>
        <v>20</v>
      </c>
      <c r="V462" s="182"/>
      <c r="W462" s="236">
        <f>'RSD (DEA)'!AM25</f>
        <v>31.536000000000001</v>
      </c>
    </row>
    <row r="463" spans="1:23" x14ac:dyDescent="0.3">
      <c r="A463" s="316"/>
      <c r="B463" s="235" t="str">
        <f>'RSD (DEA)'!AJ26&amp;"_"&amp;'RSD (DEA)'!Z26</f>
        <v>RHHSB_B_GAS_01</v>
      </c>
      <c r="C463" s="318"/>
      <c r="D463" s="235" t="str">
        <f t="shared" si="131"/>
        <v>RHHSB_B_GAS_01</v>
      </c>
      <c r="E463" s="235" t="str">
        <f>'RSD (DEA)'!Q26</f>
        <v>Natural gas boiler</v>
      </c>
      <c r="F463" s="242" t="s">
        <v>239</v>
      </c>
      <c r="G463" s="242" t="s">
        <v>240</v>
      </c>
      <c r="H463" s="235">
        <f>'RSD (DEA)'!S26</f>
        <v>10</v>
      </c>
      <c r="I463" s="235" t="str">
        <f>IF(OR(RIGHT('RSD (DEA)'!AH26,3)="BIO",RIGHT(AD463,3)="BOA"),LEFT('RSD (DEA)'!AH26,3)&amp;"BFW",'RSD (DEA)'!AH26)</f>
        <v>RSDGAS</v>
      </c>
      <c r="J463" s="182" t="str">
        <f>'RSD (DEA)'!AI26</f>
        <v/>
      </c>
      <c r="K463" s="235" t="str">
        <f>'RSD (DEA)'!AK26</f>
        <v>RWHSB</v>
      </c>
      <c r="L463" s="235"/>
      <c r="M463" s="182">
        <f t="shared" si="130"/>
        <v>2019</v>
      </c>
      <c r="N463" s="182">
        <f>'RSD (DEA)'!X26</f>
        <v>2015</v>
      </c>
      <c r="O463" s="182">
        <f t="shared" si="129"/>
        <v>2019</v>
      </c>
      <c r="P463" s="183">
        <f>'RSD (DEA)'!AZ26</f>
        <v>0.97</v>
      </c>
      <c r="Q463" s="183">
        <f>'RSD (DEA)'!BA26</f>
        <v>0.97</v>
      </c>
      <c r="R463" s="182">
        <f>'RSD (DEA)'!BR26/'RSD (DEA)'!S26</f>
        <v>20.945</v>
      </c>
      <c r="S463" s="182">
        <f>'RSD (DEA)'!BS26/X_RSD_HeatingDemand!$AA$8</f>
        <v>0</v>
      </c>
      <c r="T463" s="252">
        <f>'RSD (DEA)'!BK26*X_RSD_HeatingDemand!$AA$9/'RSD (DEA)'!S26</f>
        <v>520</v>
      </c>
      <c r="U463" s="182">
        <f>'RSD (DEA)'!BI26</f>
        <v>20</v>
      </c>
      <c r="V463" s="182"/>
      <c r="W463" s="236">
        <f>'RSD (DEA)'!AM26</f>
        <v>31.536000000000001</v>
      </c>
    </row>
    <row r="464" spans="1:23" x14ac:dyDescent="0.3">
      <c r="A464" s="316"/>
      <c r="B464" s="235" t="str">
        <f>'RSD (DEA)'!AJ27&amp;"_"&amp;'RSD (DEA)'!Z27</f>
        <v>RHHSB_B_GAS_01</v>
      </c>
      <c r="C464" s="318"/>
      <c r="D464" s="235" t="str">
        <f t="shared" si="131"/>
        <v>RHHSB_B_GAS_02</v>
      </c>
      <c r="E464" s="235" t="str">
        <f>'RSD (DEA)'!Q27</f>
        <v>Natural gas boiler</v>
      </c>
      <c r="F464" s="242" t="s">
        <v>239</v>
      </c>
      <c r="G464" s="242" t="s">
        <v>240</v>
      </c>
      <c r="H464" s="235">
        <f>'RSD (DEA)'!S27</f>
        <v>10</v>
      </c>
      <c r="I464" s="235" t="str">
        <f>IF(OR(RIGHT('RSD (DEA)'!AH27,3)="BIO",RIGHT(AD464,3)="BOA"),LEFT('RSD (DEA)'!AH27,3)&amp;"BFW",'RSD (DEA)'!AH27)</f>
        <v>RSDGAS</v>
      </c>
      <c r="J464" s="182" t="str">
        <f>'RSD (DEA)'!AI27</f>
        <v/>
      </c>
      <c r="K464" s="235" t="str">
        <f>'RSD (DEA)'!AK27</f>
        <v>RWHSB</v>
      </c>
      <c r="L464" s="235"/>
      <c r="M464" s="182">
        <f t="shared" si="130"/>
        <v>2019</v>
      </c>
      <c r="N464" s="182">
        <f>'RSD (DEA)'!X27</f>
        <v>2020</v>
      </c>
      <c r="O464" s="182">
        <f t="shared" si="129"/>
        <v>2020</v>
      </c>
      <c r="P464" s="183">
        <f>'RSD (DEA)'!AZ27</f>
        <v>0.97</v>
      </c>
      <c r="Q464" s="183">
        <f>'RSD (DEA)'!BA27</f>
        <v>0.97</v>
      </c>
      <c r="R464" s="182">
        <f>'RSD (DEA)'!BR27/'RSD (DEA)'!S27</f>
        <v>20.5</v>
      </c>
      <c r="S464" s="182">
        <f>'RSD (DEA)'!BS27/X_RSD_HeatingDemand!$AA$8</f>
        <v>0</v>
      </c>
      <c r="T464" s="252">
        <f>'RSD (DEA)'!BK27*X_RSD_HeatingDemand!$AA$9/'RSD (DEA)'!S27</f>
        <v>520</v>
      </c>
      <c r="U464" s="182">
        <f>'RSD (DEA)'!BI27</f>
        <v>20</v>
      </c>
      <c r="V464" s="182"/>
      <c r="W464" s="236">
        <f>'RSD (DEA)'!AM27</f>
        <v>31.536000000000001</v>
      </c>
    </row>
    <row r="465" spans="1:23" x14ac:dyDescent="0.3">
      <c r="A465" s="316"/>
      <c r="B465" s="235" t="str">
        <f>'RSD (DEA)'!AJ28&amp;"_"&amp;'RSD (DEA)'!Z28</f>
        <v>RHHSB_B_GAS_01</v>
      </c>
      <c r="C465" s="318"/>
      <c r="D465" s="235" t="str">
        <f t="shared" si="131"/>
        <v>RHHSB_B_GAS_03</v>
      </c>
      <c r="E465" s="235" t="str">
        <f>'RSD (DEA)'!Q28</f>
        <v>Natural gas boiler</v>
      </c>
      <c r="F465" s="242" t="s">
        <v>239</v>
      </c>
      <c r="G465" s="242" t="s">
        <v>240</v>
      </c>
      <c r="H465" s="235">
        <f>'RSD (DEA)'!S28</f>
        <v>10</v>
      </c>
      <c r="I465" s="235" t="str">
        <f>IF(OR(RIGHT('RSD (DEA)'!AH28,3)="BIO",RIGHT(AD465,3)="BOA"),LEFT('RSD (DEA)'!AH28,3)&amp;"BFW",'RSD (DEA)'!AH28)</f>
        <v>RSDGAS</v>
      </c>
      <c r="J465" s="182" t="str">
        <f>'RSD (DEA)'!AI28</f>
        <v/>
      </c>
      <c r="K465" s="235" t="str">
        <f>'RSD (DEA)'!AK28</f>
        <v>RWHSB</v>
      </c>
      <c r="L465" s="235"/>
      <c r="M465" s="182">
        <f t="shared" si="130"/>
        <v>2019</v>
      </c>
      <c r="N465" s="182">
        <f>'RSD (DEA)'!X28</f>
        <v>2030</v>
      </c>
      <c r="O465" s="182">
        <f t="shared" si="129"/>
        <v>2030</v>
      </c>
      <c r="P465" s="183">
        <f>'RSD (DEA)'!AZ28</f>
        <v>0.98</v>
      </c>
      <c r="Q465" s="183">
        <f>'RSD (DEA)'!BA28</f>
        <v>0.98</v>
      </c>
      <c r="R465" s="182">
        <f>'RSD (DEA)'!BR28/'RSD (DEA)'!S28</f>
        <v>19.899999999999999</v>
      </c>
      <c r="S465" s="182">
        <f>'RSD (DEA)'!BS28/X_RSD_HeatingDemand!$AA$8</f>
        <v>0</v>
      </c>
      <c r="T465" s="252">
        <f>'RSD (DEA)'!BK28*X_RSD_HeatingDemand!$AA$9/'RSD (DEA)'!S28</f>
        <v>520</v>
      </c>
      <c r="U465" s="182">
        <f>'RSD (DEA)'!BI28</f>
        <v>20</v>
      </c>
      <c r="V465" s="182"/>
      <c r="W465" s="236">
        <f>'RSD (DEA)'!AM28</f>
        <v>31.536000000000001</v>
      </c>
    </row>
    <row r="466" spans="1:23" x14ac:dyDescent="0.3">
      <c r="A466" s="316"/>
      <c r="B466" s="235" t="str">
        <f>'RSD (DEA)'!AJ29&amp;"_"&amp;'RSD (DEA)'!Z29</f>
        <v>RHHSB_B_GAS_01</v>
      </c>
      <c r="C466" s="318"/>
      <c r="D466" s="235" t="str">
        <f t="shared" si="131"/>
        <v>RHHSB_B_GAS_04</v>
      </c>
      <c r="E466" s="235" t="str">
        <f>'RSD (DEA)'!Q29</f>
        <v>Natural gas boiler</v>
      </c>
      <c r="F466" s="242" t="s">
        <v>239</v>
      </c>
      <c r="G466" s="242" t="s">
        <v>240</v>
      </c>
      <c r="H466" s="235">
        <f>'RSD (DEA)'!S29</f>
        <v>10</v>
      </c>
      <c r="I466" s="235" t="str">
        <f>IF(OR(RIGHT('RSD (DEA)'!AH29,3)="BIO",RIGHT(AD466,3)="BOA"),LEFT('RSD (DEA)'!AH29,3)&amp;"BFW",'RSD (DEA)'!AH29)</f>
        <v>RSDGAS</v>
      </c>
      <c r="J466" s="182" t="str">
        <f>'RSD (DEA)'!AI29</f>
        <v/>
      </c>
      <c r="K466" s="235" t="str">
        <f>'RSD (DEA)'!AK29</f>
        <v>RWHSB</v>
      </c>
      <c r="L466" s="235"/>
      <c r="M466" s="182">
        <f t="shared" si="130"/>
        <v>2019</v>
      </c>
      <c r="N466" s="182">
        <f>'RSD (DEA)'!X29</f>
        <v>2050</v>
      </c>
      <c r="O466" s="182">
        <f t="shared" si="129"/>
        <v>2050</v>
      </c>
      <c r="P466" s="183">
        <f>'RSD (DEA)'!AZ29</f>
        <v>0.99</v>
      </c>
      <c r="Q466" s="183">
        <f>'RSD (DEA)'!BA29</f>
        <v>0.99</v>
      </c>
      <c r="R466" s="182">
        <f>'RSD (DEA)'!BR29/'RSD (DEA)'!S29</f>
        <v>18.100000000000001</v>
      </c>
      <c r="S466" s="182">
        <f>'RSD (DEA)'!BS29/X_RSD_HeatingDemand!$AA$8</f>
        <v>0</v>
      </c>
      <c r="T466" s="252">
        <f>'RSD (DEA)'!BK29*X_RSD_HeatingDemand!$AA$9/'RSD (DEA)'!S29</f>
        <v>520</v>
      </c>
      <c r="U466" s="182">
        <f>'RSD (DEA)'!BI29</f>
        <v>20</v>
      </c>
      <c r="V466" s="182"/>
      <c r="W466" s="236">
        <f>'RSD (DEA)'!AM29</f>
        <v>31.536000000000001</v>
      </c>
    </row>
    <row r="467" spans="1:23" x14ac:dyDescent="0.3">
      <c r="A467" s="316"/>
      <c r="B467" s="235" t="str">
        <f>'RSD (DEA)'!AJ30&amp;"_"&amp;'RSD (DEA)'!Z30</f>
        <v>RHHSA_B_GAS_02</v>
      </c>
      <c r="C467" s="318"/>
      <c r="D467" s="235" t="str">
        <f t="shared" si="131"/>
        <v>RHHSA_B_GAS_02</v>
      </c>
      <c r="E467" s="235" t="str">
        <f>'RSD (DEA)'!Q30</f>
        <v>Natural gas boiler</v>
      </c>
      <c r="F467" s="242" t="s">
        <v>239</v>
      </c>
      <c r="G467" s="242" t="s">
        <v>240</v>
      </c>
      <c r="H467" s="235">
        <f>'RSD (DEA)'!S30</f>
        <v>10</v>
      </c>
      <c r="I467" s="235" t="str">
        <f>IF(OR(RIGHT('RSD (DEA)'!AH30,3)="BIO",RIGHT(AD467,3)="BOA"),LEFT('RSD (DEA)'!AH30,3)&amp;"BFW",'RSD (DEA)'!AH30)</f>
        <v>RSDGAS</v>
      </c>
      <c r="J467" s="182" t="str">
        <f>'RSD (DEA)'!AI30</f>
        <v/>
      </c>
      <c r="K467" s="235" t="str">
        <f>'RSD (DEA)'!AK30</f>
        <v>RWHSA</v>
      </c>
      <c r="L467" s="235"/>
      <c r="M467" s="182">
        <f t="shared" si="130"/>
        <v>2019</v>
      </c>
      <c r="N467" s="182">
        <f>'RSD (DEA)'!X30</f>
        <v>2015</v>
      </c>
      <c r="O467" s="182">
        <f t="shared" si="129"/>
        <v>2019</v>
      </c>
      <c r="P467" s="183">
        <f>'RSD (DEA)'!AZ30</f>
        <v>0.95</v>
      </c>
      <c r="Q467" s="183">
        <f>'RSD (DEA)'!BA30</f>
        <v>0.95</v>
      </c>
      <c r="R467" s="182">
        <f>'RSD (DEA)'!BR30/'RSD (DEA)'!S30</f>
        <v>20.945</v>
      </c>
      <c r="S467" s="182">
        <f>'RSD (DEA)'!BS30/X_RSD_HeatingDemand!$AA$8</f>
        <v>0</v>
      </c>
      <c r="T467" s="252">
        <f>'RSD (DEA)'!BK30*X_RSD_HeatingDemand!$AA$9/'RSD (DEA)'!S30</f>
        <v>520</v>
      </c>
      <c r="U467" s="182">
        <f>'RSD (DEA)'!BI30</f>
        <v>20</v>
      </c>
      <c r="V467" s="182"/>
      <c r="W467" s="236">
        <f>'RSD (DEA)'!AM30</f>
        <v>31.536000000000001</v>
      </c>
    </row>
    <row r="468" spans="1:23" x14ac:dyDescent="0.3">
      <c r="A468" s="316"/>
      <c r="B468" s="235" t="str">
        <f>'RSD (DEA)'!AJ31&amp;"_"&amp;'RSD (DEA)'!Z31</f>
        <v>RHHSA_B_GAS_02</v>
      </c>
      <c r="C468" s="318"/>
      <c r="D468" s="235" t="str">
        <f t="shared" si="131"/>
        <v>RHHSA_B_GAS_03</v>
      </c>
      <c r="E468" s="235" t="str">
        <f>'RSD (DEA)'!Q31</f>
        <v>Natural gas boiler</v>
      </c>
      <c r="F468" s="242" t="s">
        <v>239</v>
      </c>
      <c r="G468" s="242" t="s">
        <v>240</v>
      </c>
      <c r="H468" s="235">
        <f>'RSD (DEA)'!S31</f>
        <v>10</v>
      </c>
      <c r="I468" s="235" t="str">
        <f>IF(OR(RIGHT('RSD (DEA)'!AH31,3)="BIO",RIGHT(AD468,3)="BOA"),LEFT('RSD (DEA)'!AH31,3)&amp;"BFW",'RSD (DEA)'!AH31)</f>
        <v>RSDGAS</v>
      </c>
      <c r="J468" s="182" t="str">
        <f>'RSD (DEA)'!AI31</f>
        <v/>
      </c>
      <c r="K468" s="235" t="str">
        <f>'RSD (DEA)'!AK31</f>
        <v>RWHSA</v>
      </c>
      <c r="L468" s="235"/>
      <c r="M468" s="182">
        <f t="shared" si="130"/>
        <v>2019</v>
      </c>
      <c r="N468" s="182">
        <f>'RSD (DEA)'!X31</f>
        <v>2020</v>
      </c>
      <c r="O468" s="182">
        <f t="shared" si="129"/>
        <v>2020</v>
      </c>
      <c r="P468" s="183">
        <f>'RSD (DEA)'!AZ31</f>
        <v>0.95</v>
      </c>
      <c r="Q468" s="183">
        <f>'RSD (DEA)'!BA31</f>
        <v>0.95</v>
      </c>
      <c r="R468" s="182">
        <f>'RSD (DEA)'!BR31/'RSD (DEA)'!S31</f>
        <v>20.5</v>
      </c>
      <c r="S468" s="182">
        <f>'RSD (DEA)'!BS31/X_RSD_HeatingDemand!$AA$8</f>
        <v>0</v>
      </c>
      <c r="T468" s="252">
        <f>'RSD (DEA)'!BK31*X_RSD_HeatingDemand!$AA$9/'RSD (DEA)'!S31</f>
        <v>520</v>
      </c>
      <c r="U468" s="182">
        <f>'RSD (DEA)'!BI31</f>
        <v>20</v>
      </c>
      <c r="V468" s="182"/>
      <c r="W468" s="236">
        <f>'RSD (DEA)'!AM31</f>
        <v>31.536000000000001</v>
      </c>
    </row>
    <row r="469" spans="1:23" x14ac:dyDescent="0.3">
      <c r="A469" s="316"/>
      <c r="B469" s="235" t="str">
        <f>'RSD (DEA)'!AJ32&amp;"_"&amp;'RSD (DEA)'!Z32</f>
        <v>RHHSA_B_GAS_02</v>
      </c>
      <c r="C469" s="318"/>
      <c r="D469" s="235" t="str">
        <f t="shared" si="131"/>
        <v>RHHSA_B_GAS_04</v>
      </c>
      <c r="E469" s="235" t="str">
        <f>'RSD (DEA)'!Q32</f>
        <v>Natural gas boiler</v>
      </c>
      <c r="F469" s="242" t="s">
        <v>239</v>
      </c>
      <c r="G469" s="242" t="s">
        <v>240</v>
      </c>
      <c r="H469" s="235">
        <f>'RSD (DEA)'!S32</f>
        <v>10</v>
      </c>
      <c r="I469" s="235" t="str">
        <f>IF(OR(RIGHT('RSD (DEA)'!AH32,3)="BIO",RIGHT(AD469,3)="BOA"),LEFT('RSD (DEA)'!AH32,3)&amp;"BFW",'RSD (DEA)'!AH32)</f>
        <v>RSDGAS</v>
      </c>
      <c r="J469" s="182" t="str">
        <f>'RSD (DEA)'!AI32</f>
        <v/>
      </c>
      <c r="K469" s="235" t="str">
        <f>'RSD (DEA)'!AK32</f>
        <v>RWHSA</v>
      </c>
      <c r="L469" s="235"/>
      <c r="M469" s="182">
        <f t="shared" si="130"/>
        <v>2019</v>
      </c>
      <c r="N469" s="182">
        <f>'RSD (DEA)'!X32</f>
        <v>2030</v>
      </c>
      <c r="O469" s="182">
        <f t="shared" si="129"/>
        <v>2030</v>
      </c>
      <c r="P469" s="183">
        <f>'RSD (DEA)'!AZ32</f>
        <v>0.96</v>
      </c>
      <c r="Q469" s="183">
        <f>'RSD (DEA)'!BA32</f>
        <v>0.96</v>
      </c>
      <c r="R469" s="182">
        <f>'RSD (DEA)'!BR32/'RSD (DEA)'!S32</f>
        <v>19.899999999999999</v>
      </c>
      <c r="S469" s="182">
        <f>'RSD (DEA)'!BS32/X_RSD_HeatingDemand!$AA$8</f>
        <v>0</v>
      </c>
      <c r="T469" s="252">
        <f>'RSD (DEA)'!BK32*X_RSD_HeatingDemand!$AA$9/'RSD (DEA)'!S32</f>
        <v>520</v>
      </c>
      <c r="U469" s="182">
        <f>'RSD (DEA)'!BI32</f>
        <v>20</v>
      </c>
      <c r="V469" s="182"/>
      <c r="W469" s="236">
        <f>'RSD (DEA)'!AM32</f>
        <v>31.536000000000001</v>
      </c>
    </row>
    <row r="470" spans="1:23" x14ac:dyDescent="0.3">
      <c r="A470" s="316"/>
      <c r="B470" s="235" t="str">
        <f>'RSD (DEA)'!AJ33&amp;"_"&amp;'RSD (DEA)'!Z33</f>
        <v>RHHSA_B_GAS_02</v>
      </c>
      <c r="C470" s="318"/>
      <c r="D470" s="235" t="str">
        <f t="shared" si="131"/>
        <v>RHHSA_B_GAS_05</v>
      </c>
      <c r="E470" s="235" t="str">
        <f>'RSD (DEA)'!Q33</f>
        <v>Natural gas boiler</v>
      </c>
      <c r="F470" s="242" t="s">
        <v>239</v>
      </c>
      <c r="G470" s="242" t="s">
        <v>240</v>
      </c>
      <c r="H470" s="235">
        <f>'RSD (DEA)'!S33</f>
        <v>10</v>
      </c>
      <c r="I470" s="235" t="str">
        <f>IF(OR(RIGHT('RSD (DEA)'!AH33,3)="BIO",RIGHT(AD470,3)="BOA"),LEFT('RSD (DEA)'!AH33,3)&amp;"BFW",'RSD (DEA)'!AH33)</f>
        <v>RSDGAS</v>
      </c>
      <c r="J470" s="182" t="str">
        <f>'RSD (DEA)'!AI33</f>
        <v/>
      </c>
      <c r="K470" s="235" t="str">
        <f>'RSD (DEA)'!AK33</f>
        <v>RWHSA</v>
      </c>
      <c r="L470" s="235"/>
      <c r="M470" s="182">
        <f t="shared" si="130"/>
        <v>2019</v>
      </c>
      <c r="N470" s="182">
        <f>'RSD (DEA)'!X33</f>
        <v>2050</v>
      </c>
      <c r="O470" s="182">
        <f t="shared" si="129"/>
        <v>2050</v>
      </c>
      <c r="P470" s="183">
        <f>'RSD (DEA)'!AZ33</f>
        <v>0.97</v>
      </c>
      <c r="Q470" s="183">
        <f>'RSD (DEA)'!BA33</f>
        <v>0.97</v>
      </c>
      <c r="R470" s="182">
        <f>'RSD (DEA)'!BR33/'RSD (DEA)'!S33</f>
        <v>18.100000000000001</v>
      </c>
      <c r="S470" s="182">
        <f>'RSD (DEA)'!BS33/X_RSD_HeatingDemand!$AA$8</f>
        <v>0</v>
      </c>
      <c r="T470" s="252">
        <f>'RSD (DEA)'!BK33*X_RSD_HeatingDemand!$AA$9/'RSD (DEA)'!S33</f>
        <v>520</v>
      </c>
      <c r="U470" s="182">
        <f>'RSD (DEA)'!BI33</f>
        <v>20</v>
      </c>
      <c r="V470" s="182"/>
      <c r="W470" s="236">
        <f>'RSD (DEA)'!AM33</f>
        <v>31.536000000000001</v>
      </c>
    </row>
    <row r="471" spans="1:23" x14ac:dyDescent="0.3">
      <c r="A471" s="316"/>
      <c r="B471" s="235" t="str">
        <f>'RSD (DEA)'!AJ34&amp;"_"&amp;'RSD (DEA)'!Z34</f>
        <v>RHAPC_B_GAS_03</v>
      </c>
      <c r="C471" s="318"/>
      <c r="D471" s="235" t="str">
        <f t="shared" si="131"/>
        <v>RHAPC_B_GAS_03</v>
      </c>
      <c r="E471" s="235" t="str">
        <f>'RSD (DEA)'!Q34</f>
        <v>Natural gas boiler</v>
      </c>
      <c r="F471" s="242" t="s">
        <v>239</v>
      </c>
      <c r="G471" s="242" t="s">
        <v>240</v>
      </c>
      <c r="H471" s="235">
        <f>'RSD (DEA)'!S34</f>
        <v>400</v>
      </c>
      <c r="I471" s="235" t="str">
        <f>IF(OR(RIGHT('RSD (DEA)'!AH34,3)="BIO",RIGHT(AD471,3)="BOA"),LEFT('RSD (DEA)'!AH34,3)&amp;"BFW",'RSD (DEA)'!AH34)</f>
        <v>RSDGAS</v>
      </c>
      <c r="J471" s="182" t="str">
        <f>'RSD (DEA)'!AI34</f>
        <v/>
      </c>
      <c r="K471" s="235" t="str">
        <f>'RSD (DEA)'!AK34</f>
        <v>RWAPC</v>
      </c>
      <c r="L471" s="235"/>
      <c r="M471" s="182">
        <f t="shared" si="130"/>
        <v>2019</v>
      </c>
      <c r="N471" s="182">
        <f>'RSD (DEA)'!X34</f>
        <v>2015</v>
      </c>
      <c r="O471" s="182">
        <f t="shared" si="129"/>
        <v>2019</v>
      </c>
      <c r="P471" s="183">
        <f>'RSD (DEA)'!AZ34</f>
        <v>1.01</v>
      </c>
      <c r="Q471" s="183">
        <f>'RSD (DEA)'!BA34</f>
        <v>1.01</v>
      </c>
      <c r="R471" s="182">
        <f>'RSD (DEA)'!BR34/'RSD (DEA)'!S34</f>
        <v>1.7081249999999999</v>
      </c>
      <c r="S471" s="182">
        <f>'RSD (DEA)'!BS34/X_RSD_HeatingDemand!$AA$8</f>
        <v>0</v>
      </c>
      <c r="T471" s="252">
        <f>'RSD (DEA)'!BK34*X_RSD_HeatingDemand!$AA$9/'RSD (DEA)'!S34</f>
        <v>68.000000000000014</v>
      </c>
      <c r="U471" s="182">
        <f>'RSD (DEA)'!BI34</f>
        <v>25</v>
      </c>
      <c r="V471" s="182"/>
      <c r="W471" s="236">
        <f>'RSD (DEA)'!AM34</f>
        <v>31.536000000000001</v>
      </c>
    </row>
    <row r="472" spans="1:23" x14ac:dyDescent="0.3">
      <c r="A472" s="316"/>
      <c r="B472" s="235" t="str">
        <f>'RSD (DEA)'!AJ35&amp;"_"&amp;'RSD (DEA)'!Z35</f>
        <v>RHAPC_B_GAS_03</v>
      </c>
      <c r="C472" s="318"/>
      <c r="D472" s="235" t="str">
        <f t="shared" si="131"/>
        <v>RHAPC_B_GAS_04</v>
      </c>
      <c r="E472" s="235" t="str">
        <f>'RSD (DEA)'!Q35</f>
        <v>Natural gas boiler</v>
      </c>
      <c r="F472" s="242" t="s">
        <v>239</v>
      </c>
      <c r="G472" s="242" t="s">
        <v>240</v>
      </c>
      <c r="H472" s="235">
        <f>'RSD (DEA)'!S35</f>
        <v>400</v>
      </c>
      <c r="I472" s="235" t="str">
        <f>IF(OR(RIGHT('RSD (DEA)'!AH35,3)="BIO",RIGHT(AD472,3)="BOA"),LEFT('RSD (DEA)'!AH35,3)&amp;"BFW",'RSD (DEA)'!AH35)</f>
        <v>RSDGAS</v>
      </c>
      <c r="J472" s="182" t="str">
        <f>'RSD (DEA)'!AI35</f>
        <v/>
      </c>
      <c r="K472" s="235" t="str">
        <f>'RSD (DEA)'!AK35</f>
        <v>RWAPC</v>
      </c>
      <c r="L472" s="235"/>
      <c r="M472" s="182">
        <f t="shared" si="130"/>
        <v>2019</v>
      </c>
      <c r="N472" s="182">
        <f>'RSD (DEA)'!X35</f>
        <v>2020</v>
      </c>
      <c r="O472" s="182">
        <f t="shared" si="129"/>
        <v>2020</v>
      </c>
      <c r="P472" s="183">
        <f>'RSD (DEA)'!AZ35</f>
        <v>1.01</v>
      </c>
      <c r="Q472" s="183">
        <f>'RSD (DEA)'!BA35</f>
        <v>1.01</v>
      </c>
      <c r="R472" s="182">
        <f>'RSD (DEA)'!BR35/'RSD (DEA)'!S35</f>
        <v>1.6725000000000001</v>
      </c>
      <c r="S472" s="182">
        <f>'RSD (DEA)'!BS35/X_RSD_HeatingDemand!$AA$8</f>
        <v>0</v>
      </c>
      <c r="T472" s="252">
        <f>'RSD (DEA)'!BK35*X_RSD_HeatingDemand!$AA$9/'RSD (DEA)'!S35</f>
        <v>68.000000000000014</v>
      </c>
      <c r="U472" s="182">
        <f>'RSD (DEA)'!BI35</f>
        <v>25</v>
      </c>
      <c r="V472" s="182"/>
      <c r="W472" s="236">
        <f>'RSD (DEA)'!AM35</f>
        <v>31.536000000000001</v>
      </c>
    </row>
    <row r="473" spans="1:23" x14ac:dyDescent="0.3">
      <c r="A473" s="316"/>
      <c r="B473" s="235" t="str">
        <f>'RSD (DEA)'!AJ36&amp;"_"&amp;'RSD (DEA)'!Z36</f>
        <v>RHAPC_B_GAS_03</v>
      </c>
      <c r="C473" s="318"/>
      <c r="D473" s="235" t="str">
        <f t="shared" si="131"/>
        <v>RHAPC_B_GAS_05</v>
      </c>
      <c r="E473" s="235" t="str">
        <f>'RSD (DEA)'!Q36</f>
        <v>Natural gas boiler</v>
      </c>
      <c r="F473" s="242" t="s">
        <v>239</v>
      </c>
      <c r="G473" s="242" t="s">
        <v>240</v>
      </c>
      <c r="H473" s="235">
        <f>'RSD (DEA)'!S36</f>
        <v>400</v>
      </c>
      <c r="I473" s="235" t="str">
        <f>IF(OR(RIGHT('RSD (DEA)'!AH36,3)="BIO",RIGHT(AD473,3)="BOA"),LEFT('RSD (DEA)'!AH36,3)&amp;"BFW",'RSD (DEA)'!AH36)</f>
        <v>RSDGAS</v>
      </c>
      <c r="J473" s="182" t="str">
        <f>'RSD (DEA)'!AI36</f>
        <v/>
      </c>
      <c r="K473" s="235" t="str">
        <f>'RSD (DEA)'!AK36</f>
        <v>RWAPC</v>
      </c>
      <c r="L473" s="235"/>
      <c r="M473" s="182">
        <f t="shared" si="130"/>
        <v>2019</v>
      </c>
      <c r="N473" s="182">
        <f>'RSD (DEA)'!X36</f>
        <v>2030</v>
      </c>
      <c r="O473" s="182">
        <f t="shared" si="129"/>
        <v>2030</v>
      </c>
      <c r="P473" s="183">
        <f>'RSD (DEA)'!AZ36</f>
        <v>1.02</v>
      </c>
      <c r="Q473" s="183">
        <f>'RSD (DEA)'!BA36</f>
        <v>1.02</v>
      </c>
      <c r="R473" s="182">
        <f>'RSD (DEA)'!BR36/'RSD (DEA)'!S36</f>
        <v>1.6274999999999999</v>
      </c>
      <c r="S473" s="182">
        <f>'RSD (DEA)'!BS36/X_RSD_HeatingDemand!$AA$8</f>
        <v>0</v>
      </c>
      <c r="T473" s="252">
        <f>'RSD (DEA)'!BK36*X_RSD_HeatingDemand!$AA$9/'RSD (DEA)'!S36</f>
        <v>62.5</v>
      </c>
      <c r="U473" s="182">
        <f>'RSD (DEA)'!BI36</f>
        <v>25</v>
      </c>
      <c r="V473" s="182"/>
      <c r="W473" s="236">
        <f>'RSD (DEA)'!AM36</f>
        <v>31.536000000000001</v>
      </c>
    </row>
    <row r="474" spans="1:23" x14ac:dyDescent="0.3">
      <c r="A474" s="316"/>
      <c r="B474" s="235" t="str">
        <f>'RSD (DEA)'!AJ37&amp;"_"&amp;'RSD (DEA)'!Z37</f>
        <v>RHAPC_B_GAS_03</v>
      </c>
      <c r="C474" s="318"/>
      <c r="D474" s="235" t="str">
        <f t="shared" si="131"/>
        <v>RHAPC_B_GAS_06</v>
      </c>
      <c r="E474" s="235" t="str">
        <f>'RSD (DEA)'!Q37</f>
        <v>Natural gas boiler</v>
      </c>
      <c r="F474" s="242" t="s">
        <v>239</v>
      </c>
      <c r="G474" s="242" t="s">
        <v>240</v>
      </c>
      <c r="H474" s="235">
        <f>'RSD (DEA)'!S37</f>
        <v>400</v>
      </c>
      <c r="I474" s="235" t="str">
        <f>IF(OR(RIGHT('RSD (DEA)'!AH37,3)="BIO",RIGHT(AD474,3)="BOA"),LEFT('RSD (DEA)'!AH37,3)&amp;"BFW",'RSD (DEA)'!AH37)</f>
        <v>RSDGAS</v>
      </c>
      <c r="J474" s="182" t="str">
        <f>'RSD (DEA)'!AI37</f>
        <v/>
      </c>
      <c r="K474" s="235" t="str">
        <f>'RSD (DEA)'!AK37</f>
        <v>RWAPC</v>
      </c>
      <c r="L474" s="235"/>
      <c r="M474" s="182">
        <f t="shared" si="130"/>
        <v>2019</v>
      </c>
      <c r="N474" s="182">
        <f>'RSD (DEA)'!X37</f>
        <v>2050</v>
      </c>
      <c r="O474" s="182">
        <f t="shared" si="129"/>
        <v>2050</v>
      </c>
      <c r="P474" s="183">
        <f>'RSD (DEA)'!AZ37</f>
        <v>1.02</v>
      </c>
      <c r="Q474" s="183">
        <f>'RSD (DEA)'!BA37</f>
        <v>1.02</v>
      </c>
      <c r="R474" s="182">
        <f>'RSD (DEA)'!BR37/'RSD (DEA)'!S37</f>
        <v>1.55</v>
      </c>
      <c r="S474" s="182">
        <f>'RSD (DEA)'!BS37/X_RSD_HeatingDemand!$AA$8</f>
        <v>0</v>
      </c>
      <c r="T474" s="252">
        <f>'RSD (DEA)'!BK37*X_RSD_HeatingDemand!$AA$9/'RSD (DEA)'!S37</f>
        <v>57.5</v>
      </c>
      <c r="U474" s="182">
        <f>'RSD (DEA)'!BI37</f>
        <v>25</v>
      </c>
      <c r="V474" s="182"/>
      <c r="W474" s="236">
        <f>'RSD (DEA)'!AM37</f>
        <v>31.536000000000001</v>
      </c>
    </row>
    <row r="475" spans="1:23" x14ac:dyDescent="0.3">
      <c r="A475" s="316"/>
      <c r="B475" s="235" t="str">
        <f>'RSD (DEA)'!AJ38&amp;"_"&amp;'RSD (DEA)'!Z38</f>
        <v>RHAPA_B_GAS_04</v>
      </c>
      <c r="C475" s="318"/>
      <c r="D475" s="235" t="str">
        <f t="shared" si="131"/>
        <v>RHAPA_B_GAS_04</v>
      </c>
      <c r="E475" s="235" t="str">
        <f>'RSD (DEA)'!Q38</f>
        <v>Natural gas boiler</v>
      </c>
      <c r="F475" s="242" t="s">
        <v>239</v>
      </c>
      <c r="G475" s="242" t="s">
        <v>240</v>
      </c>
      <c r="H475" s="235">
        <f>'RSD (DEA)'!S38</f>
        <v>160</v>
      </c>
      <c r="I475" s="235" t="str">
        <f>IF(OR(RIGHT('RSD (DEA)'!AH38,3)="BIO",RIGHT(AD475,3)="BOA"),LEFT('RSD (DEA)'!AH38,3)&amp;"BFW",'RSD (DEA)'!AH38)</f>
        <v>RSDGAS</v>
      </c>
      <c r="J475" s="182" t="str">
        <f>'RSD (DEA)'!AI38</f>
        <v/>
      </c>
      <c r="K475" s="235" t="str">
        <f>'RSD (DEA)'!AK38</f>
        <v>RWAPA</v>
      </c>
      <c r="L475" s="235"/>
      <c r="M475" s="182">
        <f t="shared" si="130"/>
        <v>2019</v>
      </c>
      <c r="N475" s="182">
        <f>'RSD (DEA)'!X38</f>
        <v>2015</v>
      </c>
      <c r="O475" s="182">
        <f t="shared" si="129"/>
        <v>2019</v>
      </c>
      <c r="P475" s="183">
        <f>'RSD (DEA)'!AZ38</f>
        <v>1.01</v>
      </c>
      <c r="Q475" s="183">
        <f>'RSD (DEA)'!BA38</f>
        <v>1.01</v>
      </c>
      <c r="R475" s="182">
        <f>'RSD (DEA)'!BR38/'RSD (DEA)'!S38</f>
        <v>2.7976562500000002</v>
      </c>
      <c r="S475" s="182">
        <f>'RSD (DEA)'!BS38/X_RSD_HeatingDemand!$AA$8</f>
        <v>0</v>
      </c>
      <c r="T475" s="252">
        <f>'RSD (DEA)'!BK38*X_RSD_HeatingDemand!$AA$9/'RSD (DEA)'!S38</f>
        <v>125</v>
      </c>
      <c r="U475" s="182">
        <f>'RSD (DEA)'!BI38</f>
        <v>25</v>
      </c>
      <c r="V475" s="182"/>
      <c r="W475" s="236">
        <f>'RSD (DEA)'!AM38</f>
        <v>31.536000000000001</v>
      </c>
    </row>
    <row r="476" spans="1:23" x14ac:dyDescent="0.3">
      <c r="A476" s="316"/>
      <c r="B476" s="235" t="str">
        <f>'RSD (DEA)'!AJ39&amp;"_"&amp;'RSD (DEA)'!Z39</f>
        <v>RHAPA_B_GAS_04</v>
      </c>
      <c r="C476" s="318"/>
      <c r="D476" s="235" t="str">
        <f t="shared" si="131"/>
        <v>RHAPA_B_GAS_05</v>
      </c>
      <c r="E476" s="235" t="str">
        <f>'RSD (DEA)'!Q39</f>
        <v>Natural gas boiler</v>
      </c>
      <c r="F476" s="242" t="s">
        <v>239</v>
      </c>
      <c r="G476" s="242" t="s">
        <v>240</v>
      </c>
      <c r="H476" s="235">
        <f>'RSD (DEA)'!S39</f>
        <v>160</v>
      </c>
      <c r="I476" s="235" t="str">
        <f>IF(OR(RIGHT('RSD (DEA)'!AH39,3)="BIO",RIGHT(AD476,3)="BOA"),LEFT('RSD (DEA)'!AH39,3)&amp;"BFW",'RSD (DEA)'!AH39)</f>
        <v>RSDGAS</v>
      </c>
      <c r="J476" s="182" t="str">
        <f>'RSD (DEA)'!AI39</f>
        <v/>
      </c>
      <c r="K476" s="235" t="str">
        <f>'RSD (DEA)'!AK39</f>
        <v>RWAPA</v>
      </c>
      <c r="L476" s="235"/>
      <c r="M476" s="182">
        <f t="shared" si="130"/>
        <v>2019</v>
      </c>
      <c r="N476" s="182">
        <f>'RSD (DEA)'!X39</f>
        <v>2020</v>
      </c>
      <c r="O476" s="182">
        <f t="shared" si="129"/>
        <v>2020</v>
      </c>
      <c r="P476" s="183">
        <f>'RSD (DEA)'!AZ39</f>
        <v>1.01</v>
      </c>
      <c r="Q476" s="183">
        <f>'RSD (DEA)'!BA39</f>
        <v>1.01</v>
      </c>
      <c r="R476" s="182">
        <f>'RSD (DEA)'!BR39/'RSD (DEA)'!S39</f>
        <v>2.7374999999999998</v>
      </c>
      <c r="S476" s="182">
        <f>'RSD (DEA)'!BS39/X_RSD_HeatingDemand!$AA$8</f>
        <v>0</v>
      </c>
      <c r="T476" s="252">
        <f>'RSD (DEA)'!BK39*X_RSD_HeatingDemand!$AA$9/'RSD (DEA)'!S39</f>
        <v>125</v>
      </c>
      <c r="U476" s="182">
        <f>'RSD (DEA)'!BI39</f>
        <v>25</v>
      </c>
      <c r="V476" s="182"/>
      <c r="W476" s="236">
        <f>'RSD (DEA)'!AM39</f>
        <v>31.536000000000001</v>
      </c>
    </row>
    <row r="477" spans="1:23" x14ac:dyDescent="0.3">
      <c r="A477" s="316"/>
      <c r="B477" s="235" t="str">
        <f>'RSD (DEA)'!AJ40&amp;"_"&amp;'RSD (DEA)'!Z40</f>
        <v>RHAPA_B_GAS_04</v>
      </c>
      <c r="C477" s="318"/>
      <c r="D477" s="235" t="str">
        <f t="shared" si="131"/>
        <v>RHAPA_B_GAS_06</v>
      </c>
      <c r="E477" s="235" t="str">
        <f>'RSD (DEA)'!Q40</f>
        <v>Natural gas boiler</v>
      </c>
      <c r="F477" s="242" t="s">
        <v>239</v>
      </c>
      <c r="G477" s="242" t="s">
        <v>240</v>
      </c>
      <c r="H477" s="235">
        <f>'RSD (DEA)'!S40</f>
        <v>160</v>
      </c>
      <c r="I477" s="235" t="str">
        <f>IF(OR(RIGHT('RSD (DEA)'!AH40,3)="BIO",RIGHT(AD477,3)="BOA"),LEFT('RSD (DEA)'!AH40,3)&amp;"BFW",'RSD (DEA)'!AH40)</f>
        <v>RSDGAS</v>
      </c>
      <c r="J477" s="182" t="str">
        <f>'RSD (DEA)'!AI40</f>
        <v/>
      </c>
      <c r="K477" s="235" t="str">
        <f>'RSD (DEA)'!AK40</f>
        <v>RWAPA</v>
      </c>
      <c r="L477" s="235"/>
      <c r="M477" s="182">
        <f t="shared" si="130"/>
        <v>2019</v>
      </c>
      <c r="N477" s="182">
        <f>'RSD (DEA)'!X40</f>
        <v>2030</v>
      </c>
      <c r="O477" s="182">
        <f t="shared" si="129"/>
        <v>2030</v>
      </c>
      <c r="P477" s="183">
        <f>'RSD (DEA)'!AZ40</f>
        <v>1.02</v>
      </c>
      <c r="Q477" s="183">
        <f>'RSD (DEA)'!BA40</f>
        <v>1.02</v>
      </c>
      <c r="R477" s="182">
        <f>'RSD (DEA)'!BR40/'RSD (DEA)'!S40</f>
        <v>2.65</v>
      </c>
      <c r="S477" s="182">
        <f>'RSD (DEA)'!BS40/X_RSD_HeatingDemand!$AA$8</f>
        <v>0</v>
      </c>
      <c r="T477" s="252">
        <f>'RSD (DEA)'!BK40*X_RSD_HeatingDemand!$AA$9/'RSD (DEA)'!S40</f>
        <v>118.75</v>
      </c>
      <c r="U477" s="182">
        <f>'RSD (DEA)'!BI40</f>
        <v>25</v>
      </c>
      <c r="V477" s="182"/>
      <c r="W477" s="236">
        <f>'RSD (DEA)'!AM40</f>
        <v>31.536000000000001</v>
      </c>
    </row>
    <row r="478" spans="1:23" x14ac:dyDescent="0.3">
      <c r="A478" s="316"/>
      <c r="B478" s="235" t="str">
        <f>'RSD (DEA)'!AJ41&amp;"_"&amp;'RSD (DEA)'!Z41</f>
        <v>RHAPA_B_GAS_04</v>
      </c>
      <c r="C478" s="318"/>
      <c r="D478" s="235" t="str">
        <f t="shared" si="131"/>
        <v>RHAPA_B_GAS_07</v>
      </c>
      <c r="E478" s="235" t="str">
        <f>'RSD (DEA)'!Q41</f>
        <v>Natural gas boiler</v>
      </c>
      <c r="F478" s="242" t="s">
        <v>239</v>
      </c>
      <c r="G478" s="242" t="s">
        <v>240</v>
      </c>
      <c r="H478" s="235">
        <f>'RSD (DEA)'!S41</f>
        <v>160</v>
      </c>
      <c r="I478" s="235" t="str">
        <f>IF(OR(RIGHT('RSD (DEA)'!AH41,3)="BIO",RIGHT(AD478,3)="BOA"),LEFT('RSD (DEA)'!AH41,3)&amp;"BFW",'RSD (DEA)'!AH41)</f>
        <v>RSDGAS</v>
      </c>
      <c r="J478" s="182" t="str">
        <f>'RSD (DEA)'!AI41</f>
        <v/>
      </c>
      <c r="K478" s="235" t="str">
        <f>'RSD (DEA)'!AK41</f>
        <v>RWAPA</v>
      </c>
      <c r="L478" s="235"/>
      <c r="M478" s="182">
        <f t="shared" si="130"/>
        <v>2019</v>
      </c>
      <c r="N478" s="182">
        <f>'RSD (DEA)'!X41</f>
        <v>2050</v>
      </c>
      <c r="O478" s="182">
        <f t="shared" si="129"/>
        <v>2050</v>
      </c>
      <c r="P478" s="183">
        <f>'RSD (DEA)'!AZ41</f>
        <v>1.02</v>
      </c>
      <c r="Q478" s="183">
        <f>'RSD (DEA)'!BA41</f>
        <v>1.02</v>
      </c>
      <c r="R478" s="182">
        <f>'RSD (DEA)'!BR41/'RSD (DEA)'!S41</f>
        <v>2.5187499999999998</v>
      </c>
      <c r="S478" s="182">
        <f>'RSD (DEA)'!BS41/X_RSD_HeatingDemand!$AA$8</f>
        <v>0</v>
      </c>
      <c r="T478" s="252">
        <f>'RSD (DEA)'!BK41*X_RSD_HeatingDemand!$AA$9/'RSD (DEA)'!S41</f>
        <v>106.25</v>
      </c>
      <c r="U478" s="182">
        <f>'RSD (DEA)'!BI41</f>
        <v>25</v>
      </c>
      <c r="V478" s="182"/>
      <c r="W478" s="236">
        <f>'RSD (DEA)'!AM41</f>
        <v>31.536000000000001</v>
      </c>
    </row>
    <row r="479" spans="1:23" x14ac:dyDescent="0.3">
      <c r="A479" s="316"/>
      <c r="B479" s="235" t="str">
        <f>'RSD (DEA)'!AJ42&amp;"_"&amp;'RSD (DEA)'!Z42</f>
        <v>RHHSB_HTH_01</v>
      </c>
      <c r="C479" s="318"/>
      <c r="D479" s="235" t="str">
        <f t="shared" si="131"/>
        <v>RHHSB_HTH_01</v>
      </c>
      <c r="E479" s="235" t="str">
        <f>'RSD (DEA)'!Q42</f>
        <v>District heating</v>
      </c>
      <c r="F479" s="242" t="s">
        <v>239</v>
      </c>
      <c r="G479" s="242" t="s">
        <v>240</v>
      </c>
      <c r="H479" s="235">
        <f>'RSD (DEA)'!S42</f>
        <v>10</v>
      </c>
      <c r="I479" s="235" t="str">
        <f>IF(OR(RIGHT('RSD (DEA)'!AH42,3)="BIO",RIGHT(AD479,3)="BOA"),LEFT('RSD (DEA)'!AH42,3)&amp;"BFW",'RSD (DEA)'!AH42)</f>
        <v>RSDHTH</v>
      </c>
      <c r="J479" s="182" t="str">
        <f>'RSD (DEA)'!AI42</f>
        <v/>
      </c>
      <c r="K479" s="235" t="str">
        <f>'RSD (DEA)'!AK42</f>
        <v>RWHSB</v>
      </c>
      <c r="L479" s="235"/>
      <c r="M479" s="182">
        <f t="shared" si="130"/>
        <v>2019</v>
      </c>
      <c r="N479" s="182">
        <f>'RSD (DEA)'!X42</f>
        <v>2015</v>
      </c>
      <c r="O479" s="182">
        <f t="shared" si="129"/>
        <v>2019</v>
      </c>
      <c r="P479" s="183">
        <f>'RSD (DEA)'!AZ42</f>
        <v>0.97</v>
      </c>
      <c r="Q479" s="183">
        <f>'RSD (DEA)'!BA42</f>
        <v>0.97</v>
      </c>
      <c r="R479" s="182">
        <f>'RSD (DEA)'!BR42/'RSD (DEA)'!S42</f>
        <v>5.7560000000000002</v>
      </c>
      <c r="S479" s="182">
        <f>'RSD (DEA)'!BS42/X_RSD_HeatingDemand!$AA$8</f>
        <v>0</v>
      </c>
      <c r="T479" s="252">
        <f>'RSD (DEA)'!BK42*X_RSD_HeatingDemand!$AA$9/'RSD (DEA)'!S42</f>
        <v>520</v>
      </c>
      <c r="U479" s="182">
        <f>'RSD (DEA)'!BI42</f>
        <v>25</v>
      </c>
      <c r="V479" s="182"/>
      <c r="W479" s="236">
        <f>'RSD (DEA)'!AM42</f>
        <v>31.536000000000001</v>
      </c>
    </row>
    <row r="480" spans="1:23" x14ac:dyDescent="0.3">
      <c r="A480" s="316"/>
      <c r="B480" s="235" t="str">
        <f>'RSD (DEA)'!AJ43&amp;"_"&amp;'RSD (DEA)'!Z43</f>
        <v>RHHSB_HTH_01</v>
      </c>
      <c r="C480" s="318"/>
      <c r="D480" s="235" t="str">
        <f t="shared" si="131"/>
        <v>RHHSB_HTH_02</v>
      </c>
      <c r="E480" s="235" t="str">
        <f>'RSD (DEA)'!Q43</f>
        <v>District heating</v>
      </c>
      <c r="F480" s="242" t="s">
        <v>239</v>
      </c>
      <c r="G480" s="242" t="s">
        <v>240</v>
      </c>
      <c r="H480" s="235">
        <f>'RSD (DEA)'!S43</f>
        <v>10</v>
      </c>
      <c r="I480" s="235" t="str">
        <f>IF(OR(RIGHT('RSD (DEA)'!AH43,3)="BIO",RIGHT(AD480,3)="BOA"),LEFT('RSD (DEA)'!AH43,3)&amp;"BFW",'RSD (DEA)'!AH43)</f>
        <v>RSDHTH</v>
      </c>
      <c r="J480" s="182" t="str">
        <f>'RSD (DEA)'!AI43</f>
        <v/>
      </c>
      <c r="K480" s="235" t="str">
        <f>'RSD (DEA)'!AK43</f>
        <v>RWHSB</v>
      </c>
      <c r="L480" s="235"/>
      <c r="M480" s="182">
        <f t="shared" si="130"/>
        <v>2019</v>
      </c>
      <c r="N480" s="182">
        <f>'RSD (DEA)'!X43</f>
        <v>2020</v>
      </c>
      <c r="O480" s="182">
        <f t="shared" si="129"/>
        <v>2020</v>
      </c>
      <c r="P480" s="183">
        <f>'RSD (DEA)'!AZ43</f>
        <v>0.98</v>
      </c>
      <c r="Q480" s="183">
        <f>'RSD (DEA)'!BA43</f>
        <v>0.98</v>
      </c>
      <c r="R480" s="182">
        <f>'RSD (DEA)'!BR43/'RSD (DEA)'!S43</f>
        <v>5.6</v>
      </c>
      <c r="S480" s="182">
        <f>'RSD (DEA)'!BS43/X_RSD_HeatingDemand!$AA$8</f>
        <v>0</v>
      </c>
      <c r="T480" s="252">
        <f>'RSD (DEA)'!BK43*X_RSD_HeatingDemand!$AA$9/'RSD (DEA)'!S43</f>
        <v>520</v>
      </c>
      <c r="U480" s="182">
        <f>'RSD (DEA)'!BI43</f>
        <v>25</v>
      </c>
      <c r="V480" s="182"/>
      <c r="W480" s="236">
        <f>'RSD (DEA)'!AM43</f>
        <v>31.536000000000001</v>
      </c>
    </row>
    <row r="481" spans="1:23" x14ac:dyDescent="0.3">
      <c r="A481" s="316"/>
      <c r="B481" s="235" t="str">
        <f>'RSD (DEA)'!AJ44&amp;"_"&amp;'RSD (DEA)'!Z44</f>
        <v>RHHSB_HTH_01</v>
      </c>
      <c r="C481" s="318"/>
      <c r="D481" s="235" t="str">
        <f t="shared" si="131"/>
        <v>RHHSB_HTH_03</v>
      </c>
      <c r="E481" s="235" t="str">
        <f>'RSD (DEA)'!Q44</f>
        <v>District heating</v>
      </c>
      <c r="F481" s="242" t="s">
        <v>239</v>
      </c>
      <c r="G481" s="242" t="s">
        <v>240</v>
      </c>
      <c r="H481" s="235">
        <f>'RSD (DEA)'!S44</f>
        <v>10</v>
      </c>
      <c r="I481" s="235" t="str">
        <f>IF(OR(RIGHT('RSD (DEA)'!AH44,3)="BIO",RIGHT(AD481,3)="BOA"),LEFT('RSD (DEA)'!AH44,3)&amp;"BFW",'RSD (DEA)'!AH44)</f>
        <v>RSDHTH</v>
      </c>
      <c r="J481" s="182" t="str">
        <f>'RSD (DEA)'!AI44</f>
        <v/>
      </c>
      <c r="K481" s="235" t="str">
        <f>'RSD (DEA)'!AK44</f>
        <v>RWHSB</v>
      </c>
      <c r="L481" s="235"/>
      <c r="M481" s="182">
        <f t="shared" si="130"/>
        <v>2019</v>
      </c>
      <c r="N481" s="182">
        <f>'RSD (DEA)'!X44</f>
        <v>2030</v>
      </c>
      <c r="O481" s="182">
        <f t="shared" si="129"/>
        <v>2030</v>
      </c>
      <c r="P481" s="183">
        <f>'RSD (DEA)'!AZ44</f>
        <v>0.98</v>
      </c>
      <c r="Q481" s="183">
        <f>'RSD (DEA)'!BA44</f>
        <v>0.98</v>
      </c>
      <c r="R481" s="182">
        <f>'RSD (DEA)'!BR44/'RSD (DEA)'!S44</f>
        <v>5.6</v>
      </c>
      <c r="S481" s="182">
        <f>'RSD (DEA)'!BS44/X_RSD_HeatingDemand!$AA$8</f>
        <v>0</v>
      </c>
      <c r="T481" s="252">
        <f>'RSD (DEA)'!BK44*X_RSD_HeatingDemand!$AA$9/'RSD (DEA)'!S44</f>
        <v>520</v>
      </c>
      <c r="U481" s="182">
        <f>'RSD (DEA)'!BI44</f>
        <v>25</v>
      </c>
      <c r="V481" s="182"/>
      <c r="W481" s="236">
        <f>'RSD (DEA)'!AM44</f>
        <v>31.536000000000001</v>
      </c>
    </row>
    <row r="482" spans="1:23" x14ac:dyDescent="0.3">
      <c r="A482" s="316"/>
      <c r="B482" s="235" t="str">
        <f>'RSD (DEA)'!AJ45&amp;"_"&amp;'RSD (DEA)'!Z45</f>
        <v>RHHSB_HTH_01</v>
      </c>
      <c r="C482" s="318"/>
      <c r="D482" s="235" t="str">
        <f t="shared" si="131"/>
        <v>RHHSB_HTH_04</v>
      </c>
      <c r="E482" s="235" t="str">
        <f>'RSD (DEA)'!Q45</f>
        <v>District heating</v>
      </c>
      <c r="F482" s="242" t="s">
        <v>239</v>
      </c>
      <c r="G482" s="242" t="s">
        <v>240</v>
      </c>
      <c r="H482" s="235">
        <f>'RSD (DEA)'!S45</f>
        <v>10</v>
      </c>
      <c r="I482" s="235" t="str">
        <f>IF(OR(RIGHT('RSD (DEA)'!AH45,3)="BIO",RIGHT(AD482,3)="BOA"),LEFT('RSD (DEA)'!AH45,3)&amp;"BFW",'RSD (DEA)'!AH45)</f>
        <v>RSDHTH</v>
      </c>
      <c r="J482" s="182" t="str">
        <f>'RSD (DEA)'!AI45</f>
        <v/>
      </c>
      <c r="K482" s="235" t="str">
        <f>'RSD (DEA)'!AK45</f>
        <v>RWHSB</v>
      </c>
      <c r="L482" s="235"/>
      <c r="M482" s="182">
        <f t="shared" si="130"/>
        <v>2019</v>
      </c>
      <c r="N482" s="182">
        <f>'RSD (DEA)'!X45</f>
        <v>2050</v>
      </c>
      <c r="O482" s="182">
        <f t="shared" ref="O482:O513" si="132">IF(N482&lt;2019,2019,N482)</f>
        <v>2050</v>
      </c>
      <c r="P482" s="183">
        <f>'RSD (DEA)'!AZ45</f>
        <v>0.98</v>
      </c>
      <c r="Q482" s="183">
        <f>'RSD (DEA)'!BA45</f>
        <v>0.98</v>
      </c>
      <c r="R482" s="182">
        <f>'RSD (DEA)'!BR45/'RSD (DEA)'!S45</f>
        <v>5.0999999999999996</v>
      </c>
      <c r="S482" s="182">
        <f>'RSD (DEA)'!BS45/X_RSD_HeatingDemand!$AA$8</f>
        <v>0</v>
      </c>
      <c r="T482" s="252">
        <f>'RSD (DEA)'!BK45*X_RSD_HeatingDemand!$AA$9/'RSD (DEA)'!S45</f>
        <v>400</v>
      </c>
      <c r="U482" s="182">
        <f>'RSD (DEA)'!BI45</f>
        <v>25</v>
      </c>
      <c r="V482" s="182"/>
      <c r="W482" s="236">
        <f>'RSD (DEA)'!AM45</f>
        <v>31.536000000000001</v>
      </c>
    </row>
    <row r="483" spans="1:23" x14ac:dyDescent="0.3">
      <c r="A483" s="316"/>
      <c r="B483" s="235" t="str">
        <f>'RSD (DEA)'!AJ46&amp;"_"&amp;'RSD (DEA)'!Z46</f>
        <v>RHHSA_HTH_02</v>
      </c>
      <c r="C483" s="318"/>
      <c r="D483" s="235" t="str">
        <f t="shared" si="131"/>
        <v>RHHSA_HTH_02</v>
      </c>
      <c r="E483" s="235" t="str">
        <f>'RSD (DEA)'!Q46</f>
        <v>District heating</v>
      </c>
      <c r="F483" s="242" t="s">
        <v>239</v>
      </c>
      <c r="G483" s="242" t="s">
        <v>240</v>
      </c>
      <c r="H483" s="235">
        <f>'RSD (DEA)'!S46</f>
        <v>10</v>
      </c>
      <c r="I483" s="235" t="str">
        <f>IF(OR(RIGHT('RSD (DEA)'!AH46,3)="BIO",RIGHT(AD483,3)="BOA"),LEFT('RSD (DEA)'!AH46,3)&amp;"BFW",'RSD (DEA)'!AH46)</f>
        <v>RSDHTH</v>
      </c>
      <c r="J483" s="182" t="str">
        <f>'RSD (DEA)'!AI46</f>
        <v/>
      </c>
      <c r="K483" s="235" t="str">
        <f>'RSD (DEA)'!AK46</f>
        <v>RWHSA</v>
      </c>
      <c r="L483" s="235"/>
      <c r="M483" s="182">
        <f t="shared" si="130"/>
        <v>2019</v>
      </c>
      <c r="N483" s="182">
        <f>'RSD (DEA)'!X46</f>
        <v>2015</v>
      </c>
      <c r="O483" s="182">
        <f t="shared" si="132"/>
        <v>2019</v>
      </c>
      <c r="P483" s="183">
        <f>'RSD (DEA)'!AZ46</f>
        <v>0.96</v>
      </c>
      <c r="Q483" s="183">
        <f>'RSD (DEA)'!BA46</f>
        <v>0.96</v>
      </c>
      <c r="R483" s="182">
        <f>'RSD (DEA)'!BR46/'RSD (DEA)'!S46</f>
        <v>5.3780000000000001</v>
      </c>
      <c r="S483" s="182">
        <f>'RSD (DEA)'!BS46/X_RSD_HeatingDemand!$AA$8</f>
        <v>0</v>
      </c>
      <c r="T483" s="252">
        <f>'RSD (DEA)'!BK46*X_RSD_HeatingDemand!$AA$9/'RSD (DEA)'!S46</f>
        <v>404.5994942815276</v>
      </c>
      <c r="U483" s="182">
        <f>'RSD (DEA)'!BI46</f>
        <v>25</v>
      </c>
      <c r="V483" s="182"/>
      <c r="W483" s="236">
        <f>'RSD (DEA)'!AM46</f>
        <v>31.536000000000001</v>
      </c>
    </row>
    <row r="484" spans="1:23" x14ac:dyDescent="0.3">
      <c r="A484" s="316"/>
      <c r="B484" s="235" t="str">
        <f>'RSD (DEA)'!AJ47&amp;"_"&amp;'RSD (DEA)'!Z47</f>
        <v>RHHSA_HTH_02</v>
      </c>
      <c r="C484" s="318"/>
      <c r="D484" s="235" t="str">
        <f t="shared" si="131"/>
        <v>RHHSA_HTH_03</v>
      </c>
      <c r="E484" s="235" t="str">
        <f>'RSD (DEA)'!Q47</f>
        <v>District heating</v>
      </c>
      <c r="F484" s="242" t="s">
        <v>239</v>
      </c>
      <c r="G484" s="242" t="s">
        <v>240</v>
      </c>
      <c r="H484" s="235">
        <f>'RSD (DEA)'!S47</f>
        <v>10</v>
      </c>
      <c r="I484" s="235" t="str">
        <f>IF(OR(RIGHT('RSD (DEA)'!AH47,3)="BIO",RIGHT(AD484,3)="BOA"),LEFT('RSD (DEA)'!AH47,3)&amp;"BFW",'RSD (DEA)'!AH47)</f>
        <v>RSDHTH</v>
      </c>
      <c r="J484" s="182" t="str">
        <f>'RSD (DEA)'!AI47</f>
        <v/>
      </c>
      <c r="K484" s="235" t="str">
        <f>'RSD (DEA)'!AK47</f>
        <v>RWHSA</v>
      </c>
      <c r="L484" s="235"/>
      <c r="M484" s="182">
        <f t="shared" si="130"/>
        <v>2019</v>
      </c>
      <c r="N484" s="182">
        <f>'RSD (DEA)'!X47</f>
        <v>2020</v>
      </c>
      <c r="O484" s="182">
        <f t="shared" si="132"/>
        <v>2020</v>
      </c>
      <c r="P484" s="183">
        <f>'RSD (DEA)'!AZ47</f>
        <v>0.96</v>
      </c>
      <c r="Q484" s="183">
        <f>'RSD (DEA)'!BA47</f>
        <v>0.96</v>
      </c>
      <c r="R484" s="182">
        <f>'RSD (DEA)'!BR47/'RSD (DEA)'!S47</f>
        <v>5.3</v>
      </c>
      <c r="S484" s="182">
        <f>'RSD (DEA)'!BS47/X_RSD_HeatingDemand!$AA$8</f>
        <v>0</v>
      </c>
      <c r="T484" s="252">
        <f>'RSD (DEA)'!BK47*X_RSD_HeatingDemand!$AA$9/'RSD (DEA)'!S47</f>
        <v>500</v>
      </c>
      <c r="U484" s="182">
        <f>'RSD (DEA)'!BI47</f>
        <v>25</v>
      </c>
      <c r="V484" s="182"/>
      <c r="W484" s="236">
        <f>'RSD (DEA)'!AM47</f>
        <v>31.536000000000001</v>
      </c>
    </row>
    <row r="485" spans="1:23" x14ac:dyDescent="0.3">
      <c r="A485" s="316"/>
      <c r="B485" s="235" t="str">
        <f>'RSD (DEA)'!AJ48&amp;"_"&amp;'RSD (DEA)'!Z48</f>
        <v>RHHSA_HTH_02</v>
      </c>
      <c r="C485" s="318"/>
      <c r="D485" s="235" t="str">
        <f t="shared" si="131"/>
        <v>RHHSA_HTH_04</v>
      </c>
      <c r="E485" s="235" t="str">
        <f>'RSD (DEA)'!Q48</f>
        <v>District heating</v>
      </c>
      <c r="F485" s="242" t="s">
        <v>239</v>
      </c>
      <c r="G485" s="242" t="s">
        <v>240</v>
      </c>
      <c r="H485" s="235">
        <f>'RSD (DEA)'!S48</f>
        <v>10</v>
      </c>
      <c r="I485" s="235" t="str">
        <f>IF(OR(RIGHT('RSD (DEA)'!AH48,3)="BIO",RIGHT(AD485,3)="BOA"),LEFT('RSD (DEA)'!AH48,3)&amp;"BFW",'RSD (DEA)'!AH48)</f>
        <v>RSDHTH</v>
      </c>
      <c r="J485" s="182" t="str">
        <f>'RSD (DEA)'!AI48</f>
        <v/>
      </c>
      <c r="K485" s="235" t="str">
        <f>'RSD (DEA)'!AK48</f>
        <v>RWHSA</v>
      </c>
      <c r="L485" s="235"/>
      <c r="M485" s="182">
        <f t="shared" si="130"/>
        <v>2019</v>
      </c>
      <c r="N485" s="182">
        <f>'RSD (DEA)'!X48</f>
        <v>2030</v>
      </c>
      <c r="O485" s="182">
        <f t="shared" si="132"/>
        <v>2030</v>
      </c>
      <c r="P485" s="183">
        <f>'RSD (DEA)'!AZ48</f>
        <v>0.97</v>
      </c>
      <c r="Q485" s="183">
        <f>'RSD (DEA)'!BA48</f>
        <v>0.97</v>
      </c>
      <c r="R485" s="182">
        <f>'RSD (DEA)'!BR48/'RSD (DEA)'!S48</f>
        <v>5.0999999999999996</v>
      </c>
      <c r="S485" s="182">
        <f>'RSD (DEA)'!BS48/X_RSD_HeatingDemand!$AA$8</f>
        <v>0</v>
      </c>
      <c r="T485" s="252">
        <f>'RSD (DEA)'!BK48*X_RSD_HeatingDemand!$AA$9/'RSD (DEA)'!S48</f>
        <v>500</v>
      </c>
      <c r="U485" s="182">
        <f>'RSD (DEA)'!BI48</f>
        <v>25</v>
      </c>
      <c r="V485" s="182"/>
      <c r="W485" s="236">
        <f>'RSD (DEA)'!AM48</f>
        <v>31.536000000000001</v>
      </c>
    </row>
    <row r="486" spans="1:23" x14ac:dyDescent="0.3">
      <c r="A486" s="316"/>
      <c r="B486" s="235" t="str">
        <f>'RSD (DEA)'!AJ49&amp;"_"&amp;'RSD (DEA)'!Z49</f>
        <v>RHHSA_HTH_02</v>
      </c>
      <c r="C486" s="318"/>
      <c r="D486" s="235" t="str">
        <f t="shared" si="131"/>
        <v>RHHSA_HTH_05</v>
      </c>
      <c r="E486" s="235" t="str">
        <f>'RSD (DEA)'!Q49</f>
        <v>District heating</v>
      </c>
      <c r="F486" s="242" t="s">
        <v>239</v>
      </c>
      <c r="G486" s="242" t="s">
        <v>240</v>
      </c>
      <c r="H486" s="235">
        <f>'RSD (DEA)'!S49</f>
        <v>10</v>
      </c>
      <c r="I486" s="235" t="str">
        <f>IF(OR(RIGHT('RSD (DEA)'!AH49,3)="BIO",RIGHT(AD486,3)="BOA"),LEFT('RSD (DEA)'!AH49,3)&amp;"BFW",'RSD (DEA)'!AH49)</f>
        <v>RSDHTH</v>
      </c>
      <c r="J486" s="182" t="str">
        <f>'RSD (DEA)'!AI49</f>
        <v/>
      </c>
      <c r="K486" s="235" t="str">
        <f>'RSD (DEA)'!AK49</f>
        <v>RWHSA</v>
      </c>
      <c r="L486" s="235"/>
      <c r="M486" s="182">
        <f t="shared" si="130"/>
        <v>2019</v>
      </c>
      <c r="N486" s="182">
        <f>'RSD (DEA)'!X49</f>
        <v>2050</v>
      </c>
      <c r="O486" s="182">
        <f t="shared" si="132"/>
        <v>2050</v>
      </c>
      <c r="P486" s="183">
        <f>'RSD (DEA)'!AZ49</f>
        <v>0.98</v>
      </c>
      <c r="Q486" s="183">
        <f>'RSD (DEA)'!BA49</f>
        <v>0.98</v>
      </c>
      <c r="R486" s="182">
        <f>'RSD (DEA)'!BR49/'RSD (DEA)'!S49</f>
        <v>4.7</v>
      </c>
      <c r="S486" s="182">
        <f>'RSD (DEA)'!BS49/X_RSD_HeatingDemand!$AA$8</f>
        <v>0</v>
      </c>
      <c r="T486" s="252">
        <f>'RSD (DEA)'!BK49*X_RSD_HeatingDemand!$AA$9/'RSD (DEA)'!S49</f>
        <v>404.5994942815276</v>
      </c>
      <c r="U486" s="182">
        <f>'RSD (DEA)'!BI49</f>
        <v>25</v>
      </c>
      <c r="V486" s="182"/>
      <c r="W486" s="236">
        <f>'RSD (DEA)'!AM49</f>
        <v>31.536000000000001</v>
      </c>
    </row>
    <row r="487" spans="1:23" x14ac:dyDescent="0.3">
      <c r="A487" s="316"/>
      <c r="B487" s="235" t="str">
        <f>'RSD (DEA)'!AJ50&amp;"_"&amp;'RSD (DEA)'!Z50</f>
        <v>RHAPC_HTH_03</v>
      </c>
      <c r="C487" s="318"/>
      <c r="D487" s="235" t="str">
        <f t="shared" si="131"/>
        <v>RHAPC_HTH_03</v>
      </c>
      <c r="E487" s="235" t="str">
        <f>'RSD (DEA)'!Q50</f>
        <v>District heating</v>
      </c>
      <c r="F487" s="242" t="s">
        <v>239</v>
      </c>
      <c r="G487" s="242" t="s">
        <v>240</v>
      </c>
      <c r="H487" s="235">
        <f>'RSD (DEA)'!S50</f>
        <v>400</v>
      </c>
      <c r="I487" s="235" t="str">
        <f>IF(OR(RIGHT('RSD (DEA)'!AH50,3)="BIO",RIGHT(AD487,3)="BOA"),LEFT('RSD (DEA)'!AH50,3)&amp;"BFW",'RSD (DEA)'!AH50)</f>
        <v>RSDHTH</v>
      </c>
      <c r="J487" s="182" t="str">
        <f>'RSD (DEA)'!AI50</f>
        <v/>
      </c>
      <c r="K487" s="235" t="str">
        <f>'RSD (DEA)'!AK50</f>
        <v>RWAPC</v>
      </c>
      <c r="L487" s="235"/>
      <c r="M487" s="182">
        <f t="shared" si="130"/>
        <v>2019</v>
      </c>
      <c r="N487" s="182">
        <f>'RSD (DEA)'!X50</f>
        <v>2015</v>
      </c>
      <c r="O487" s="182">
        <f t="shared" si="132"/>
        <v>2019</v>
      </c>
      <c r="P487" s="183">
        <f>'RSD (DEA)'!AZ50</f>
        <v>1</v>
      </c>
      <c r="Q487" s="183">
        <f>'RSD (DEA)'!BA50</f>
        <v>1</v>
      </c>
      <c r="R487" s="182">
        <f>'RSD (DEA)'!BR50/'RSD (DEA)'!S50</f>
        <v>0.34700000000000003</v>
      </c>
      <c r="S487" s="182">
        <f>'RSD (DEA)'!BS50/X_RSD_HeatingDemand!$AA$8</f>
        <v>0</v>
      </c>
      <c r="T487" s="252">
        <f>'RSD (DEA)'!BK50*X_RSD_HeatingDemand!$AA$9/'RSD (DEA)'!S50</f>
        <v>50</v>
      </c>
      <c r="U487" s="182">
        <f>'RSD (DEA)'!BI50</f>
        <v>25</v>
      </c>
      <c r="V487" s="182"/>
      <c r="W487" s="236">
        <f>'RSD (DEA)'!AM50</f>
        <v>31.536000000000001</v>
      </c>
    </row>
    <row r="488" spans="1:23" x14ac:dyDescent="0.3">
      <c r="A488" s="316"/>
      <c r="B488" s="235" t="str">
        <f>'RSD (DEA)'!AJ51&amp;"_"&amp;'RSD (DEA)'!Z51</f>
        <v>RHAPC_HTH_03</v>
      </c>
      <c r="C488" s="318"/>
      <c r="D488" s="235" t="str">
        <f t="shared" si="131"/>
        <v>RHAPC_HTH_04</v>
      </c>
      <c r="E488" s="235" t="str">
        <f>'RSD (DEA)'!Q51</f>
        <v>District heating</v>
      </c>
      <c r="F488" s="242" t="s">
        <v>239</v>
      </c>
      <c r="G488" s="242" t="s">
        <v>240</v>
      </c>
      <c r="H488" s="235">
        <f>'RSD (DEA)'!S51</f>
        <v>400</v>
      </c>
      <c r="I488" s="235" t="str">
        <f>IF(OR(RIGHT('RSD (DEA)'!AH51,3)="BIO",RIGHT(AD488,3)="BOA"),LEFT('RSD (DEA)'!AH51,3)&amp;"BFW",'RSD (DEA)'!AH51)</f>
        <v>RSDHTH</v>
      </c>
      <c r="J488" s="182" t="str">
        <f>'RSD (DEA)'!AI51</f>
        <v/>
      </c>
      <c r="K488" s="235" t="str">
        <f>'RSD (DEA)'!AK51</f>
        <v>RWAPC</v>
      </c>
      <c r="L488" s="235"/>
      <c r="M488" s="182">
        <f t="shared" si="130"/>
        <v>2019</v>
      </c>
      <c r="N488" s="182">
        <f>'RSD (DEA)'!X51</f>
        <v>2020</v>
      </c>
      <c r="O488" s="182">
        <f t="shared" si="132"/>
        <v>2020</v>
      </c>
      <c r="P488" s="183">
        <f>'RSD (DEA)'!AZ51</f>
        <v>1</v>
      </c>
      <c r="Q488" s="183">
        <f>'RSD (DEA)'!BA51</f>
        <v>1</v>
      </c>
      <c r="R488" s="182">
        <f>'RSD (DEA)'!BR51/'RSD (DEA)'!S51</f>
        <v>0.34</v>
      </c>
      <c r="S488" s="182">
        <f>'RSD (DEA)'!BS51/X_RSD_HeatingDemand!$AA$8</f>
        <v>0</v>
      </c>
      <c r="T488" s="252">
        <f>'RSD (DEA)'!BK51*X_RSD_HeatingDemand!$AA$9/'RSD (DEA)'!S51</f>
        <v>50</v>
      </c>
      <c r="U488" s="182">
        <f>'RSD (DEA)'!BI51</f>
        <v>25</v>
      </c>
      <c r="V488" s="182"/>
      <c r="W488" s="236">
        <f>'RSD (DEA)'!AM51</f>
        <v>31.536000000000001</v>
      </c>
    </row>
    <row r="489" spans="1:23" x14ac:dyDescent="0.3">
      <c r="A489" s="316"/>
      <c r="B489" s="235" t="str">
        <f>'RSD (DEA)'!AJ52&amp;"_"&amp;'RSD (DEA)'!Z52</f>
        <v>RHAPC_HTH_03</v>
      </c>
      <c r="C489" s="318"/>
      <c r="D489" s="235" t="str">
        <f t="shared" si="131"/>
        <v>RHAPC_HTH_05</v>
      </c>
      <c r="E489" s="235" t="str">
        <f>'RSD (DEA)'!Q52</f>
        <v>District heating</v>
      </c>
      <c r="F489" s="242" t="s">
        <v>239</v>
      </c>
      <c r="G489" s="242" t="s">
        <v>240</v>
      </c>
      <c r="H489" s="235">
        <f>'RSD (DEA)'!S52</f>
        <v>400</v>
      </c>
      <c r="I489" s="235" t="str">
        <f>IF(OR(RIGHT('RSD (DEA)'!AH52,3)="BIO",RIGHT(AD489,3)="BOA"),LEFT('RSD (DEA)'!AH52,3)&amp;"BFW",'RSD (DEA)'!AH52)</f>
        <v>RSDHTH</v>
      </c>
      <c r="J489" s="182" t="str">
        <f>'RSD (DEA)'!AI52</f>
        <v/>
      </c>
      <c r="K489" s="235" t="str">
        <f>'RSD (DEA)'!AK52</f>
        <v>RWAPC</v>
      </c>
      <c r="L489" s="235"/>
      <c r="M489" s="182">
        <f t="shared" si="130"/>
        <v>2019</v>
      </c>
      <c r="N489" s="182">
        <f>'RSD (DEA)'!X52</f>
        <v>2030</v>
      </c>
      <c r="O489" s="182">
        <f t="shared" si="132"/>
        <v>2030</v>
      </c>
      <c r="P489" s="183">
        <f>'RSD (DEA)'!AZ52</f>
        <v>1</v>
      </c>
      <c r="Q489" s="183">
        <f>'RSD (DEA)'!BA52</f>
        <v>1</v>
      </c>
      <c r="R489" s="182">
        <f>'RSD (DEA)'!BR52/'RSD (DEA)'!S52</f>
        <v>0.36</v>
      </c>
      <c r="S489" s="182">
        <f>'RSD (DEA)'!BS52/X_RSD_HeatingDemand!$AA$8</f>
        <v>0</v>
      </c>
      <c r="T489" s="252">
        <f>'RSD (DEA)'!BK52*X_RSD_HeatingDemand!$AA$9/'RSD (DEA)'!S52</f>
        <v>47.5</v>
      </c>
      <c r="U489" s="182">
        <f>'RSD (DEA)'!BI52</f>
        <v>25</v>
      </c>
      <c r="V489" s="182"/>
      <c r="W489" s="236">
        <f>'RSD (DEA)'!AM52</f>
        <v>31.536000000000001</v>
      </c>
    </row>
    <row r="490" spans="1:23" x14ac:dyDescent="0.3">
      <c r="A490" s="316"/>
      <c r="B490" s="235" t="str">
        <f>'RSD (DEA)'!AJ53&amp;"_"&amp;'RSD (DEA)'!Z53</f>
        <v>RHAPC_HTH_03</v>
      </c>
      <c r="C490" s="318"/>
      <c r="D490" s="235" t="str">
        <f t="shared" si="131"/>
        <v>RHAPC_HTH_06</v>
      </c>
      <c r="E490" s="235" t="str">
        <f>'RSD (DEA)'!Q53</f>
        <v>District heating</v>
      </c>
      <c r="F490" s="242" t="s">
        <v>239</v>
      </c>
      <c r="G490" s="242" t="s">
        <v>240</v>
      </c>
      <c r="H490" s="235">
        <f>'RSD (DEA)'!S53</f>
        <v>400</v>
      </c>
      <c r="I490" s="235" t="str">
        <f>IF(OR(RIGHT('RSD (DEA)'!AH53,3)="BIO",RIGHT(AD490,3)="BOA"),LEFT('RSD (DEA)'!AH53,3)&amp;"BFW",'RSD (DEA)'!AH53)</f>
        <v>RSDHTH</v>
      </c>
      <c r="J490" s="182" t="str">
        <f>'RSD (DEA)'!AI53</f>
        <v/>
      </c>
      <c r="K490" s="235" t="str">
        <f>'RSD (DEA)'!AK53</f>
        <v>RWAPC</v>
      </c>
      <c r="L490" s="235"/>
      <c r="M490" s="182">
        <f t="shared" si="130"/>
        <v>2019</v>
      </c>
      <c r="N490" s="182">
        <f>'RSD (DEA)'!X53</f>
        <v>2050</v>
      </c>
      <c r="O490" s="182">
        <f t="shared" si="132"/>
        <v>2050</v>
      </c>
      <c r="P490" s="183">
        <f>'RSD (DEA)'!AZ53</f>
        <v>1</v>
      </c>
      <c r="Q490" s="183">
        <f>'RSD (DEA)'!BA53</f>
        <v>1</v>
      </c>
      <c r="R490" s="182">
        <f>'RSD (DEA)'!BR53/'RSD (DEA)'!S53</f>
        <v>0.33</v>
      </c>
      <c r="S490" s="182">
        <f>'RSD (DEA)'!BS53/X_RSD_HeatingDemand!$AA$8</f>
        <v>0</v>
      </c>
      <c r="T490" s="252">
        <f>'RSD (DEA)'!BK53*X_RSD_HeatingDemand!$AA$9/'RSD (DEA)'!S53</f>
        <v>42.5</v>
      </c>
      <c r="U490" s="182">
        <f>'RSD (DEA)'!BI53</f>
        <v>25</v>
      </c>
      <c r="V490" s="182"/>
      <c r="W490" s="236">
        <f>'RSD (DEA)'!AM53</f>
        <v>31.536000000000001</v>
      </c>
    </row>
    <row r="491" spans="1:23" x14ac:dyDescent="0.3">
      <c r="A491" s="316"/>
      <c r="B491" s="235" t="str">
        <f>'RSD (DEA)'!AJ54&amp;"_"&amp;'RSD (DEA)'!Z54</f>
        <v>RHAPA_HTH_04</v>
      </c>
      <c r="C491" s="318"/>
      <c r="D491" s="235" t="str">
        <f t="shared" si="131"/>
        <v>RHAPA_HTH_04</v>
      </c>
      <c r="E491" s="235" t="str">
        <f>'RSD (DEA)'!Q54</f>
        <v>District heating</v>
      </c>
      <c r="F491" s="242" t="s">
        <v>239</v>
      </c>
      <c r="G491" s="242" t="s">
        <v>240</v>
      </c>
      <c r="H491" s="235">
        <f>'RSD (DEA)'!S54</f>
        <v>160</v>
      </c>
      <c r="I491" s="235" t="str">
        <f>IF(OR(RIGHT('RSD (DEA)'!AH54,3)="BIO",RIGHT(AD491,3)="BOA"),LEFT('RSD (DEA)'!AH54,3)&amp;"BFW",'RSD (DEA)'!AH54)</f>
        <v>RSDHTH</v>
      </c>
      <c r="J491" s="182" t="str">
        <f>'RSD (DEA)'!AI54</f>
        <v/>
      </c>
      <c r="K491" s="235" t="str">
        <f>'RSD (DEA)'!AK54</f>
        <v>RWAPA</v>
      </c>
      <c r="L491" s="235"/>
      <c r="M491" s="182">
        <f t="shared" si="130"/>
        <v>2019</v>
      </c>
      <c r="N491" s="182">
        <f>'RSD (DEA)'!X54</f>
        <v>2015</v>
      </c>
      <c r="O491" s="182">
        <f t="shared" si="132"/>
        <v>2019</v>
      </c>
      <c r="P491" s="183">
        <f>'RSD (DEA)'!AZ54</f>
        <v>1</v>
      </c>
      <c r="Q491" s="183">
        <f>'RSD (DEA)'!BA54</f>
        <v>1</v>
      </c>
      <c r="R491" s="182">
        <f>'RSD (DEA)'!BR54/'RSD (DEA)'!S54</f>
        <v>0.6690625</v>
      </c>
      <c r="S491" s="182">
        <f>'RSD (DEA)'!BS54/X_RSD_HeatingDemand!$AA$8</f>
        <v>0</v>
      </c>
      <c r="T491" s="252">
        <f>'RSD (DEA)'!BK54*X_RSD_HeatingDemand!$AA$9/'RSD (DEA)'!S54</f>
        <v>95</v>
      </c>
      <c r="U491" s="182">
        <f>'RSD (DEA)'!BI54</f>
        <v>25</v>
      </c>
      <c r="V491" s="182"/>
      <c r="W491" s="236">
        <f>'RSD (DEA)'!AM54</f>
        <v>31.536000000000001</v>
      </c>
    </row>
    <row r="492" spans="1:23" x14ac:dyDescent="0.3">
      <c r="A492" s="316"/>
      <c r="B492" s="235" t="str">
        <f>'RSD (DEA)'!AJ55&amp;"_"&amp;'RSD (DEA)'!Z55</f>
        <v>RHAPA_HTH_04</v>
      </c>
      <c r="C492" s="318"/>
      <c r="D492" s="235" t="str">
        <f t="shared" si="131"/>
        <v>RHAPA_HTH_05</v>
      </c>
      <c r="E492" s="235" t="str">
        <f>'RSD (DEA)'!Q55</f>
        <v>District heating</v>
      </c>
      <c r="F492" s="242" t="s">
        <v>239</v>
      </c>
      <c r="G492" s="242" t="s">
        <v>240</v>
      </c>
      <c r="H492" s="235">
        <f>'RSD (DEA)'!S55</f>
        <v>160</v>
      </c>
      <c r="I492" s="235" t="str">
        <f>IF(OR(RIGHT('RSD (DEA)'!AH55,3)="BIO",RIGHT(AD492,3)="BOA"),LEFT('RSD (DEA)'!AH55,3)&amp;"BFW",'RSD (DEA)'!AH55)</f>
        <v>RSDHTH</v>
      </c>
      <c r="J492" s="182" t="str">
        <f>'RSD (DEA)'!AI55</f>
        <v/>
      </c>
      <c r="K492" s="235" t="str">
        <f>'RSD (DEA)'!AK55</f>
        <v>RWAPA</v>
      </c>
      <c r="L492" s="235"/>
      <c r="M492" s="182">
        <f t="shared" si="130"/>
        <v>2019</v>
      </c>
      <c r="N492" s="182">
        <f>'RSD (DEA)'!X55</f>
        <v>2020</v>
      </c>
      <c r="O492" s="182">
        <f t="shared" si="132"/>
        <v>2020</v>
      </c>
      <c r="P492" s="183">
        <f>'RSD (DEA)'!AZ55</f>
        <v>1</v>
      </c>
      <c r="Q492" s="183">
        <f>'RSD (DEA)'!BA55</f>
        <v>1</v>
      </c>
      <c r="R492" s="182">
        <f>'RSD (DEA)'!BR55/'RSD (DEA)'!S55</f>
        <v>0.65625</v>
      </c>
      <c r="S492" s="182">
        <f>'RSD (DEA)'!BS55/X_RSD_HeatingDemand!$AA$8</f>
        <v>0</v>
      </c>
      <c r="T492" s="252">
        <f>'RSD (DEA)'!BK55*X_RSD_HeatingDemand!$AA$9/'RSD (DEA)'!S55</f>
        <v>95</v>
      </c>
      <c r="U492" s="182">
        <f>'RSD (DEA)'!BI55</f>
        <v>25</v>
      </c>
      <c r="V492" s="182"/>
      <c r="W492" s="236">
        <f>'RSD (DEA)'!AM55</f>
        <v>31.536000000000001</v>
      </c>
    </row>
    <row r="493" spans="1:23" x14ac:dyDescent="0.3">
      <c r="A493" s="316"/>
      <c r="B493" s="235" t="str">
        <f>'RSD (DEA)'!AJ56&amp;"_"&amp;'RSD (DEA)'!Z56</f>
        <v>RHAPA_HTH_04</v>
      </c>
      <c r="C493" s="318"/>
      <c r="D493" s="235" t="str">
        <f t="shared" si="131"/>
        <v>RHAPA_HTH_06</v>
      </c>
      <c r="E493" s="235" t="str">
        <f>'RSD (DEA)'!Q56</f>
        <v>District heating</v>
      </c>
      <c r="F493" s="242" t="s">
        <v>239</v>
      </c>
      <c r="G493" s="242" t="s">
        <v>240</v>
      </c>
      <c r="H493" s="235">
        <f>'RSD (DEA)'!S56</f>
        <v>160</v>
      </c>
      <c r="I493" s="235" t="str">
        <f>IF(OR(RIGHT('RSD (DEA)'!AH56,3)="BIO",RIGHT(AD493,3)="BOA"),LEFT('RSD (DEA)'!AH56,3)&amp;"BFW",'RSD (DEA)'!AH56)</f>
        <v>RSDHTH</v>
      </c>
      <c r="J493" s="182" t="str">
        <f>'RSD (DEA)'!AI56</f>
        <v/>
      </c>
      <c r="K493" s="235" t="str">
        <f>'RSD (DEA)'!AK56</f>
        <v>RWAPA</v>
      </c>
      <c r="L493" s="235"/>
      <c r="M493" s="182">
        <f t="shared" si="130"/>
        <v>2019</v>
      </c>
      <c r="N493" s="182">
        <f>'RSD (DEA)'!X56</f>
        <v>2030</v>
      </c>
      <c r="O493" s="182">
        <f t="shared" si="132"/>
        <v>2030</v>
      </c>
      <c r="P493" s="183">
        <f>'RSD (DEA)'!AZ56</f>
        <v>1</v>
      </c>
      <c r="Q493" s="183">
        <f>'RSD (DEA)'!BA56</f>
        <v>1</v>
      </c>
      <c r="R493" s="182">
        <f>'RSD (DEA)'!BR56/'RSD (DEA)'!S56</f>
        <v>0.68125000000000002</v>
      </c>
      <c r="S493" s="182">
        <f>'RSD (DEA)'!BS56/X_RSD_HeatingDemand!$AA$8</f>
        <v>0</v>
      </c>
      <c r="T493" s="252">
        <f>'RSD (DEA)'!BK56*X_RSD_HeatingDemand!$AA$9/'RSD (DEA)'!S56</f>
        <v>87.5</v>
      </c>
      <c r="U493" s="182">
        <f>'RSD (DEA)'!BI56</f>
        <v>25</v>
      </c>
      <c r="V493" s="182"/>
      <c r="W493" s="236">
        <f>'RSD (DEA)'!AM56</f>
        <v>31.536000000000001</v>
      </c>
    </row>
    <row r="494" spans="1:23" x14ac:dyDescent="0.3">
      <c r="A494" s="316"/>
      <c r="B494" s="235" t="str">
        <f>'RSD (DEA)'!AJ57&amp;"_"&amp;'RSD (DEA)'!Z57</f>
        <v>RHAPA_HTH_04</v>
      </c>
      <c r="C494" s="318"/>
      <c r="D494" s="235" t="str">
        <f t="shared" si="131"/>
        <v>RHAPA_HTH_07</v>
      </c>
      <c r="E494" s="235" t="str">
        <f>'RSD (DEA)'!Q57</f>
        <v>District heating</v>
      </c>
      <c r="F494" s="242" t="s">
        <v>239</v>
      </c>
      <c r="G494" s="242" t="s">
        <v>240</v>
      </c>
      <c r="H494" s="235">
        <f>'RSD (DEA)'!S57</f>
        <v>160</v>
      </c>
      <c r="I494" s="235" t="str">
        <f>IF(OR(RIGHT('RSD (DEA)'!AH57,3)="BIO",RIGHT(AD494,3)="BOA"),LEFT('RSD (DEA)'!AH57,3)&amp;"BFW",'RSD (DEA)'!AH57)</f>
        <v>RSDHTH</v>
      </c>
      <c r="J494" s="182" t="str">
        <f>'RSD (DEA)'!AI57</f>
        <v/>
      </c>
      <c r="K494" s="235" t="str">
        <f>'RSD (DEA)'!AK57</f>
        <v>RWAPA</v>
      </c>
      <c r="L494" s="235"/>
      <c r="M494" s="182">
        <f t="shared" si="130"/>
        <v>2019</v>
      </c>
      <c r="N494" s="182">
        <f>'RSD (DEA)'!X57</f>
        <v>2050</v>
      </c>
      <c r="O494" s="182">
        <f t="shared" si="132"/>
        <v>2050</v>
      </c>
      <c r="P494" s="183">
        <f>'RSD (DEA)'!AZ57</f>
        <v>1</v>
      </c>
      <c r="Q494" s="183">
        <f>'RSD (DEA)'!BA57</f>
        <v>1</v>
      </c>
      <c r="R494" s="182">
        <f>'RSD (DEA)'!BR57/'RSD (DEA)'!S57</f>
        <v>0.63124999999999998</v>
      </c>
      <c r="S494" s="182">
        <f>'RSD (DEA)'!BS57/X_RSD_HeatingDemand!$AA$8</f>
        <v>0</v>
      </c>
      <c r="T494" s="252">
        <f>'RSD (DEA)'!BK57*X_RSD_HeatingDemand!$AA$9/'RSD (DEA)'!S57</f>
        <v>81.25</v>
      </c>
      <c r="U494" s="182">
        <f>'RSD (DEA)'!BI57</f>
        <v>25</v>
      </c>
      <c r="V494" s="182"/>
      <c r="W494" s="236">
        <f>'RSD (DEA)'!AM57</f>
        <v>31.536000000000001</v>
      </c>
    </row>
    <row r="495" spans="1:23" x14ac:dyDescent="0.3">
      <c r="A495" s="316"/>
      <c r="B495" s="235" t="str">
        <f>'RSD (DEA)'!AJ58&amp;"_"&amp;'RSD (DEA)'!Z58</f>
        <v>RHHSB_HTH_05</v>
      </c>
      <c r="C495" s="318"/>
      <c r="D495" s="235" t="str">
        <f t="shared" si="131"/>
        <v>RHHSB_HTH_05</v>
      </c>
      <c r="E495" s="235" t="str">
        <f>'RSD (DEA)'!Q58</f>
        <v>District heating</v>
      </c>
      <c r="F495" s="242" t="s">
        <v>239</v>
      </c>
      <c r="G495" s="242" t="s">
        <v>240</v>
      </c>
      <c r="H495" s="235">
        <f>'RSD (DEA)'!S58</f>
        <v>10</v>
      </c>
      <c r="I495" s="235" t="str">
        <f>IF(OR(RIGHT('RSD (DEA)'!AH58,3)="BIO",RIGHT(AD495,3)="BOA"),LEFT('RSD (DEA)'!AH58,3)&amp;"BFW",'RSD (DEA)'!AH58)</f>
        <v>RSDHTH</v>
      </c>
      <c r="J495" s="182" t="str">
        <f>'RSD (DEA)'!AI58</f>
        <v/>
      </c>
      <c r="K495" s="235" t="str">
        <f>'RSD (DEA)'!AK58</f>
        <v>RWHSB</v>
      </c>
      <c r="L495" s="235"/>
      <c r="M495" s="182">
        <f t="shared" si="130"/>
        <v>2019</v>
      </c>
      <c r="N495" s="182">
        <f>'RSD (DEA)'!X58</f>
        <v>2015</v>
      </c>
      <c r="O495" s="182">
        <f t="shared" si="132"/>
        <v>2019</v>
      </c>
      <c r="P495" s="183">
        <f>'RSD (DEA)'!AZ58</f>
        <v>1</v>
      </c>
      <c r="Q495" s="183">
        <f>'RSD (DEA)'!BA58</f>
        <v>1</v>
      </c>
      <c r="R495" s="182">
        <f>'RSD (DEA)'!BR58/'RSD (DEA)'!S58</f>
        <v>4.952</v>
      </c>
      <c r="S495" s="182">
        <f>'RSD (DEA)'!BS58/X_RSD_HeatingDemand!$AA$8</f>
        <v>0</v>
      </c>
      <c r="T495" s="252">
        <f>'RSD (DEA)'!BK58*X_RSD_HeatingDemand!$AA$9/'RSD (DEA)'!S58</f>
        <v>490</v>
      </c>
      <c r="U495" s="182">
        <f>'RSD (DEA)'!BI58</f>
        <v>25</v>
      </c>
      <c r="V495" s="182"/>
      <c r="W495" s="236">
        <f>'RSD (DEA)'!AM58</f>
        <v>31.536000000000001</v>
      </c>
    </row>
    <row r="496" spans="1:23" x14ac:dyDescent="0.3">
      <c r="A496" s="316"/>
      <c r="B496" s="235" t="str">
        <f>'RSD (DEA)'!AJ59&amp;"_"&amp;'RSD (DEA)'!Z59</f>
        <v>RHHSB_HTH_05</v>
      </c>
      <c r="C496" s="318"/>
      <c r="D496" s="235" t="str">
        <f t="shared" si="131"/>
        <v>RHHSB_HTH_06</v>
      </c>
      <c r="E496" s="235" t="str">
        <f>'RSD (DEA)'!Q59</f>
        <v>District heating</v>
      </c>
      <c r="F496" s="242" t="s">
        <v>239</v>
      </c>
      <c r="G496" s="242" t="s">
        <v>240</v>
      </c>
      <c r="H496" s="235">
        <f>'RSD (DEA)'!S59</f>
        <v>10</v>
      </c>
      <c r="I496" s="235" t="str">
        <f>IF(OR(RIGHT('RSD (DEA)'!AH59,3)="BIO",RIGHT(AD496,3)="BOA"),LEFT('RSD (DEA)'!AH59,3)&amp;"BFW",'RSD (DEA)'!AH59)</f>
        <v>RSDHTH</v>
      </c>
      <c r="J496" s="182" t="str">
        <f>'RSD (DEA)'!AI59</f>
        <v/>
      </c>
      <c r="K496" s="235" t="str">
        <f>'RSD (DEA)'!AK59</f>
        <v>RWHSB</v>
      </c>
      <c r="L496" s="235"/>
      <c r="M496" s="182">
        <f t="shared" si="130"/>
        <v>2019</v>
      </c>
      <c r="N496" s="182">
        <f>'RSD (DEA)'!X59</f>
        <v>2020</v>
      </c>
      <c r="O496" s="182">
        <f t="shared" si="132"/>
        <v>2020</v>
      </c>
      <c r="P496" s="183">
        <f>'RSD (DEA)'!AZ59</f>
        <v>1</v>
      </c>
      <c r="Q496" s="183">
        <f>'RSD (DEA)'!BA59</f>
        <v>1</v>
      </c>
      <c r="R496" s="182">
        <f>'RSD (DEA)'!BR59/'RSD (DEA)'!S59</f>
        <v>4.9000000000000004</v>
      </c>
      <c r="S496" s="182">
        <f>'RSD (DEA)'!BS59/X_RSD_HeatingDemand!$AA$8</f>
        <v>0</v>
      </c>
      <c r="T496" s="252">
        <f>'RSD (DEA)'!BK59*X_RSD_HeatingDemand!$AA$9/'RSD (DEA)'!S59</f>
        <v>490</v>
      </c>
      <c r="U496" s="182">
        <f>'RSD (DEA)'!BI59</f>
        <v>25</v>
      </c>
      <c r="V496" s="182"/>
      <c r="W496" s="236">
        <f>'RSD (DEA)'!AM59</f>
        <v>31.536000000000001</v>
      </c>
    </row>
    <row r="497" spans="1:23" x14ac:dyDescent="0.3">
      <c r="A497" s="316"/>
      <c r="B497" s="235" t="str">
        <f>'RSD (DEA)'!AJ60&amp;"_"&amp;'RSD (DEA)'!Z60</f>
        <v>RHHSB_HTH_05</v>
      </c>
      <c r="C497" s="318"/>
      <c r="D497" s="235" t="str">
        <f t="shared" si="131"/>
        <v>RHHSB_HTH_07</v>
      </c>
      <c r="E497" s="235" t="str">
        <f>'RSD (DEA)'!Q60</f>
        <v>District heating</v>
      </c>
      <c r="F497" s="242" t="s">
        <v>239</v>
      </c>
      <c r="G497" s="242" t="s">
        <v>240</v>
      </c>
      <c r="H497" s="235">
        <f>'RSD (DEA)'!S60</f>
        <v>10</v>
      </c>
      <c r="I497" s="235" t="str">
        <f>IF(OR(RIGHT('RSD (DEA)'!AH60,3)="BIO",RIGHT(AD497,3)="BOA"),LEFT('RSD (DEA)'!AH60,3)&amp;"BFW",'RSD (DEA)'!AH60)</f>
        <v>RSDHTH</v>
      </c>
      <c r="J497" s="182" t="str">
        <f>'RSD (DEA)'!AI60</f>
        <v/>
      </c>
      <c r="K497" s="235" t="str">
        <f>'RSD (DEA)'!AK60</f>
        <v>RWHSB</v>
      </c>
      <c r="L497" s="235"/>
      <c r="M497" s="182">
        <f t="shared" si="130"/>
        <v>2019</v>
      </c>
      <c r="N497" s="182">
        <f>'RSD (DEA)'!X60</f>
        <v>2030</v>
      </c>
      <c r="O497" s="182">
        <f t="shared" si="132"/>
        <v>2030</v>
      </c>
      <c r="P497" s="183">
        <f>'RSD (DEA)'!AZ60</f>
        <v>1</v>
      </c>
      <c r="Q497" s="183">
        <f>'RSD (DEA)'!BA60</f>
        <v>1</v>
      </c>
      <c r="R497" s="182">
        <f>'RSD (DEA)'!BR60/'RSD (DEA)'!S60</f>
        <v>4.7</v>
      </c>
      <c r="S497" s="182">
        <f>'RSD (DEA)'!BS60/X_RSD_HeatingDemand!$AA$8</f>
        <v>0</v>
      </c>
      <c r="T497" s="252">
        <f>'RSD (DEA)'!BK60*X_RSD_HeatingDemand!$AA$9/'RSD (DEA)'!S60</f>
        <v>490</v>
      </c>
      <c r="U497" s="182">
        <f>'RSD (DEA)'!BI60</f>
        <v>25</v>
      </c>
      <c r="V497" s="182"/>
      <c r="W497" s="236">
        <f>'RSD (DEA)'!AM60</f>
        <v>31.536000000000001</v>
      </c>
    </row>
    <row r="498" spans="1:23" x14ac:dyDescent="0.3">
      <c r="A498" s="316"/>
      <c r="B498" s="235" t="str">
        <f>'RSD (DEA)'!AJ61&amp;"_"&amp;'RSD (DEA)'!Z61</f>
        <v>RHHSB_HTH_05</v>
      </c>
      <c r="C498" s="318"/>
      <c r="D498" s="235" t="str">
        <f t="shared" si="131"/>
        <v>RHHSB_HTH_08</v>
      </c>
      <c r="E498" s="235" t="str">
        <f>'RSD (DEA)'!Q61</f>
        <v>District heating</v>
      </c>
      <c r="F498" s="242" t="s">
        <v>239</v>
      </c>
      <c r="G498" s="242" t="s">
        <v>240</v>
      </c>
      <c r="H498" s="235">
        <f>'RSD (DEA)'!S61</f>
        <v>10</v>
      </c>
      <c r="I498" s="235" t="str">
        <f>IF(OR(RIGHT('RSD (DEA)'!AH61,3)="BIO",RIGHT(AD498,3)="BOA"),LEFT('RSD (DEA)'!AH61,3)&amp;"BFW",'RSD (DEA)'!AH61)</f>
        <v>RSDHTH</v>
      </c>
      <c r="J498" s="182" t="str">
        <f>'RSD (DEA)'!AI61</f>
        <v/>
      </c>
      <c r="K498" s="235" t="str">
        <f>'RSD (DEA)'!AK61</f>
        <v>RWHSB</v>
      </c>
      <c r="L498" s="235"/>
      <c r="M498" s="182">
        <f t="shared" si="130"/>
        <v>2019</v>
      </c>
      <c r="N498" s="182">
        <f>'RSD (DEA)'!X61</f>
        <v>2050</v>
      </c>
      <c r="O498" s="182">
        <f t="shared" si="132"/>
        <v>2050</v>
      </c>
      <c r="P498" s="183">
        <f>'RSD (DEA)'!AZ61</f>
        <v>1</v>
      </c>
      <c r="Q498" s="183">
        <f>'RSD (DEA)'!BA61</f>
        <v>1</v>
      </c>
      <c r="R498" s="182">
        <f>'RSD (DEA)'!BR61/'RSD (DEA)'!S61</f>
        <v>4.3</v>
      </c>
      <c r="S498" s="182">
        <f>'RSD (DEA)'!BS61/X_RSD_HeatingDemand!$AA$8</f>
        <v>0</v>
      </c>
      <c r="T498" s="252">
        <f>'RSD (DEA)'!BK61*X_RSD_HeatingDemand!$AA$9/'RSD (DEA)'!S61</f>
        <v>400</v>
      </c>
      <c r="U498" s="182">
        <f>'RSD (DEA)'!BI61</f>
        <v>25</v>
      </c>
      <c r="V498" s="182"/>
      <c r="W498" s="236">
        <f>'RSD (DEA)'!AM61</f>
        <v>31.536000000000001</v>
      </c>
    </row>
    <row r="499" spans="1:23" x14ac:dyDescent="0.3">
      <c r="A499" s="316"/>
      <c r="B499" s="235" t="str">
        <f>'RSD (DEA)'!AJ62&amp;"_"&amp;'RSD (DEA)'!Z62</f>
        <v>RHAPC_HTH_06</v>
      </c>
      <c r="C499" s="318"/>
      <c r="D499" s="235" t="str">
        <f t="shared" si="131"/>
        <v>RHAPC_HTH_06</v>
      </c>
      <c r="E499" s="235" t="str">
        <f>'RSD (DEA)'!Q62</f>
        <v>District heating</v>
      </c>
      <c r="F499" s="242" t="s">
        <v>239</v>
      </c>
      <c r="G499" s="242" t="s">
        <v>240</v>
      </c>
      <c r="H499" s="235">
        <f>'RSD (DEA)'!S62</f>
        <v>400</v>
      </c>
      <c r="I499" s="235" t="str">
        <f>IF(OR(RIGHT('RSD (DEA)'!AH62,3)="BIO",RIGHT(AD499,3)="BOA"),LEFT('RSD (DEA)'!AH62,3)&amp;"BFW",'RSD (DEA)'!AH62)</f>
        <v>RSDHTH</v>
      </c>
      <c r="J499" s="182" t="str">
        <f>'RSD (DEA)'!AI62</f>
        <v/>
      </c>
      <c r="K499" s="235" t="str">
        <f>'RSD (DEA)'!AK62</f>
        <v>RWAPC</v>
      </c>
      <c r="L499" s="235"/>
      <c r="M499" s="182">
        <f t="shared" si="130"/>
        <v>2019</v>
      </c>
      <c r="N499" s="182">
        <f>'RSD (DEA)'!X62</f>
        <v>2015</v>
      </c>
      <c r="O499" s="182">
        <f t="shared" si="132"/>
        <v>2019</v>
      </c>
      <c r="P499" s="183">
        <f>'RSD (DEA)'!AZ62</f>
        <v>1</v>
      </c>
      <c r="Q499" s="183">
        <f>'RSD (DEA)'!BA62</f>
        <v>1</v>
      </c>
      <c r="R499" s="182">
        <f>'RSD (DEA)'!BR62/'RSD (DEA)'!S62</f>
        <v>0.22399999999999998</v>
      </c>
      <c r="S499" s="182">
        <f>'RSD (DEA)'!BS62/X_RSD_HeatingDemand!$AA$8</f>
        <v>0</v>
      </c>
      <c r="T499" s="252">
        <f>'RSD (DEA)'!BK62*X_RSD_HeatingDemand!$AA$9/'RSD (DEA)'!S62</f>
        <v>45</v>
      </c>
      <c r="U499" s="182">
        <f>'RSD (DEA)'!BI62</f>
        <v>25</v>
      </c>
      <c r="V499" s="182"/>
      <c r="W499" s="236">
        <f>'RSD (DEA)'!AM62</f>
        <v>31.536000000000001</v>
      </c>
    </row>
    <row r="500" spans="1:23" x14ac:dyDescent="0.3">
      <c r="A500" s="316"/>
      <c r="B500" s="235" t="str">
        <f>'RSD (DEA)'!AJ63&amp;"_"&amp;'RSD (DEA)'!Z63</f>
        <v>RHAPC_HTH_06</v>
      </c>
      <c r="C500" s="318"/>
      <c r="D500" s="235" t="str">
        <f t="shared" si="131"/>
        <v>RHAPC_HTH_07</v>
      </c>
      <c r="E500" s="235" t="str">
        <f>'RSD (DEA)'!Q63</f>
        <v>District heating</v>
      </c>
      <c r="F500" s="242" t="s">
        <v>239</v>
      </c>
      <c r="G500" s="242" t="s">
        <v>240</v>
      </c>
      <c r="H500" s="235">
        <f>'RSD (DEA)'!S63</f>
        <v>400</v>
      </c>
      <c r="I500" s="235" t="str">
        <f>IF(OR(RIGHT('RSD (DEA)'!AH63,3)="BIO",RIGHT(AD500,3)="BOA"),LEFT('RSD (DEA)'!AH63,3)&amp;"BFW",'RSD (DEA)'!AH63)</f>
        <v>RSDHTH</v>
      </c>
      <c r="J500" s="182" t="str">
        <f>'RSD (DEA)'!AI63</f>
        <v/>
      </c>
      <c r="K500" s="235" t="str">
        <f>'RSD (DEA)'!AK63</f>
        <v>RWAPC</v>
      </c>
      <c r="L500" s="235"/>
      <c r="M500" s="182">
        <f t="shared" si="130"/>
        <v>2019</v>
      </c>
      <c r="N500" s="182">
        <f>'RSD (DEA)'!X63</f>
        <v>2020</v>
      </c>
      <c r="O500" s="182">
        <f t="shared" si="132"/>
        <v>2020</v>
      </c>
      <c r="P500" s="183">
        <f>'RSD (DEA)'!AZ63</f>
        <v>1</v>
      </c>
      <c r="Q500" s="183">
        <f>'RSD (DEA)'!BA63</f>
        <v>1</v>
      </c>
      <c r="R500" s="182">
        <f>'RSD (DEA)'!BR63/'RSD (DEA)'!S63</f>
        <v>0.2225</v>
      </c>
      <c r="S500" s="182">
        <f>'RSD (DEA)'!BS63/X_RSD_HeatingDemand!$AA$8</f>
        <v>0</v>
      </c>
      <c r="T500" s="252">
        <f>'RSD (DEA)'!BK63*X_RSD_HeatingDemand!$AA$9/'RSD (DEA)'!S63</f>
        <v>45</v>
      </c>
      <c r="U500" s="182">
        <f>'RSD (DEA)'!BI63</f>
        <v>25</v>
      </c>
      <c r="V500" s="182"/>
      <c r="W500" s="236">
        <f>'RSD (DEA)'!AM63</f>
        <v>31.536000000000001</v>
      </c>
    </row>
    <row r="501" spans="1:23" x14ac:dyDescent="0.3">
      <c r="A501" s="316"/>
      <c r="B501" s="235" t="str">
        <f>'RSD (DEA)'!AJ64&amp;"_"&amp;'RSD (DEA)'!Z64</f>
        <v>RHAPC_HTH_06</v>
      </c>
      <c r="C501" s="318"/>
      <c r="D501" s="235" t="str">
        <f t="shared" si="131"/>
        <v>RHAPC_HTH_08</v>
      </c>
      <c r="E501" s="235" t="str">
        <f>'RSD (DEA)'!Q64</f>
        <v>District heating</v>
      </c>
      <c r="F501" s="242" t="s">
        <v>239</v>
      </c>
      <c r="G501" s="242" t="s">
        <v>240</v>
      </c>
      <c r="H501" s="235">
        <f>'RSD (DEA)'!S64</f>
        <v>400</v>
      </c>
      <c r="I501" s="235" t="str">
        <f>IF(OR(RIGHT('RSD (DEA)'!AH64,3)="BIO",RIGHT(AD501,3)="BOA"),LEFT('RSD (DEA)'!AH64,3)&amp;"BFW",'RSD (DEA)'!AH64)</f>
        <v>RSDHTH</v>
      </c>
      <c r="J501" s="182" t="str">
        <f>'RSD (DEA)'!AI64</f>
        <v/>
      </c>
      <c r="K501" s="235" t="str">
        <f>'RSD (DEA)'!AK64</f>
        <v>RWAPC</v>
      </c>
      <c r="L501" s="235"/>
      <c r="M501" s="182">
        <f t="shared" si="130"/>
        <v>2019</v>
      </c>
      <c r="N501" s="182">
        <f>'RSD (DEA)'!X64</f>
        <v>2030</v>
      </c>
      <c r="O501" s="182">
        <f t="shared" si="132"/>
        <v>2030</v>
      </c>
      <c r="P501" s="183">
        <f>'RSD (DEA)'!AZ64</f>
        <v>1</v>
      </c>
      <c r="Q501" s="183">
        <f>'RSD (DEA)'!BA64</f>
        <v>1</v>
      </c>
      <c r="R501" s="182">
        <f>'RSD (DEA)'!BR64/'RSD (DEA)'!S64</f>
        <v>0.2225</v>
      </c>
      <c r="S501" s="182">
        <f>'RSD (DEA)'!BS64/X_RSD_HeatingDemand!$AA$8</f>
        <v>0</v>
      </c>
      <c r="T501" s="252">
        <f>'RSD (DEA)'!BK64*X_RSD_HeatingDemand!$AA$9/'RSD (DEA)'!S64</f>
        <v>42.5</v>
      </c>
      <c r="U501" s="182">
        <f>'RSD (DEA)'!BI64</f>
        <v>25</v>
      </c>
      <c r="V501" s="182"/>
      <c r="W501" s="236">
        <f>'RSD (DEA)'!AM64</f>
        <v>31.536000000000001</v>
      </c>
    </row>
    <row r="502" spans="1:23" x14ac:dyDescent="0.3">
      <c r="A502" s="316"/>
      <c r="B502" s="235" t="str">
        <f>'RSD (DEA)'!AJ65&amp;"_"&amp;'RSD (DEA)'!Z65</f>
        <v>RHAPC_HTH_06</v>
      </c>
      <c r="C502" s="318"/>
      <c r="D502" s="235" t="str">
        <f t="shared" si="131"/>
        <v>RHAPC_HTH_9</v>
      </c>
      <c r="E502" s="235" t="str">
        <f>'RSD (DEA)'!Q65</f>
        <v>District heating</v>
      </c>
      <c r="F502" s="242" t="s">
        <v>239</v>
      </c>
      <c r="G502" s="242" t="s">
        <v>240</v>
      </c>
      <c r="H502" s="235">
        <f>'RSD (DEA)'!S65</f>
        <v>400</v>
      </c>
      <c r="I502" s="235" t="str">
        <f>IF(OR(RIGHT('RSD (DEA)'!AH65,3)="BIO",RIGHT(AD502,3)="BOA"),LEFT('RSD (DEA)'!AH65,3)&amp;"BFW",'RSD (DEA)'!AH65)</f>
        <v>RSDHTH</v>
      </c>
      <c r="J502" s="182" t="str">
        <f>'RSD (DEA)'!AI65</f>
        <v/>
      </c>
      <c r="K502" s="235" t="str">
        <f>'RSD (DEA)'!AK65</f>
        <v>RWAPC</v>
      </c>
      <c r="L502" s="235"/>
      <c r="M502" s="182">
        <f t="shared" si="130"/>
        <v>2019</v>
      </c>
      <c r="N502" s="182">
        <f>'RSD (DEA)'!X65</f>
        <v>2050</v>
      </c>
      <c r="O502" s="182">
        <f t="shared" si="132"/>
        <v>2050</v>
      </c>
      <c r="P502" s="183">
        <f>'RSD (DEA)'!AZ65</f>
        <v>1</v>
      </c>
      <c r="Q502" s="183">
        <f>'RSD (DEA)'!BA65</f>
        <v>1</v>
      </c>
      <c r="R502" s="182">
        <f>'RSD (DEA)'!BR65/'RSD (DEA)'!S65</f>
        <v>0.20499999999999999</v>
      </c>
      <c r="S502" s="182">
        <f>'RSD (DEA)'!BS65/X_RSD_HeatingDemand!$AA$8</f>
        <v>0</v>
      </c>
      <c r="T502" s="252">
        <f>'RSD (DEA)'!BK65*X_RSD_HeatingDemand!$AA$9/'RSD (DEA)'!S65</f>
        <v>37.5</v>
      </c>
      <c r="U502" s="182">
        <f>'RSD (DEA)'!BI65</f>
        <v>25</v>
      </c>
      <c r="V502" s="182"/>
      <c r="W502" s="236">
        <f>'RSD (DEA)'!AM65</f>
        <v>31.536000000000001</v>
      </c>
    </row>
    <row r="503" spans="1:23" x14ac:dyDescent="0.3">
      <c r="A503" s="316"/>
      <c r="B503" s="235" t="str">
        <f>'RSD (DEA)'!AJ66&amp;"_"&amp;'RSD (DEA)'!Z66</f>
        <v>RHAPA_HTH_07</v>
      </c>
      <c r="C503" s="318"/>
      <c r="D503" s="235" t="str">
        <f t="shared" si="131"/>
        <v>RHAPA_HTH_07</v>
      </c>
      <c r="E503" s="235" t="str">
        <f>'RSD (DEA)'!Q66</f>
        <v>District heating</v>
      </c>
      <c r="F503" s="242" t="s">
        <v>239</v>
      </c>
      <c r="G503" s="242" t="s">
        <v>240</v>
      </c>
      <c r="H503" s="235">
        <f>'RSD (DEA)'!S66</f>
        <v>160</v>
      </c>
      <c r="I503" s="235" t="str">
        <f>IF(OR(RIGHT('RSD (DEA)'!AH66,3)="BIO",RIGHT(AD503,3)="BOA"),LEFT('RSD (DEA)'!AH66,3)&amp;"BFW",'RSD (DEA)'!AH66)</f>
        <v>RSDHTH</v>
      </c>
      <c r="J503" s="182" t="str">
        <f>'RSD (DEA)'!AI66</f>
        <v/>
      </c>
      <c r="K503" s="235" t="str">
        <f>'RSD (DEA)'!AK66</f>
        <v>RWAPA</v>
      </c>
      <c r="L503" s="235"/>
      <c r="M503" s="182">
        <f t="shared" si="130"/>
        <v>2019</v>
      </c>
      <c r="N503" s="182">
        <f>'RSD (DEA)'!X66</f>
        <v>2015</v>
      </c>
      <c r="O503" s="182">
        <f t="shared" si="132"/>
        <v>2019</v>
      </c>
      <c r="P503" s="183">
        <f>'RSD (DEA)'!AZ66</f>
        <v>1</v>
      </c>
      <c r="Q503" s="183">
        <f>'RSD (DEA)'!BA66</f>
        <v>1</v>
      </c>
      <c r="R503" s="182">
        <f>'RSD (DEA)'!BR66/'RSD (DEA)'!S66</f>
        <v>0.48499999999999999</v>
      </c>
      <c r="S503" s="182">
        <f>'RSD (DEA)'!BS66/X_RSD_HeatingDemand!$AA$8</f>
        <v>0</v>
      </c>
      <c r="T503" s="252">
        <f>'RSD (DEA)'!BK66*X_RSD_HeatingDemand!$AA$9/'RSD (DEA)'!S66</f>
        <v>87.5</v>
      </c>
      <c r="U503" s="182">
        <f>'RSD (DEA)'!BI66</f>
        <v>25</v>
      </c>
      <c r="V503" s="182"/>
      <c r="W503" s="236">
        <f>'RSD (DEA)'!AM66</f>
        <v>31.536000000000001</v>
      </c>
    </row>
    <row r="504" spans="1:23" x14ac:dyDescent="0.3">
      <c r="A504" s="316"/>
      <c r="B504" s="235" t="str">
        <f>'RSD (DEA)'!AJ67&amp;"_"&amp;'RSD (DEA)'!Z67</f>
        <v>RHAPA_HTH_07</v>
      </c>
      <c r="C504" s="318"/>
      <c r="D504" s="235" t="str">
        <f t="shared" si="131"/>
        <v>RHAPA_HTH_08</v>
      </c>
      <c r="E504" s="235" t="str">
        <f>'RSD (DEA)'!Q67</f>
        <v>District heating</v>
      </c>
      <c r="F504" s="242" t="s">
        <v>239</v>
      </c>
      <c r="G504" s="242" t="s">
        <v>240</v>
      </c>
      <c r="H504" s="235">
        <f>'RSD (DEA)'!S67</f>
        <v>160</v>
      </c>
      <c r="I504" s="235" t="str">
        <f>IF(OR(RIGHT('RSD (DEA)'!AH67,3)="BIO",RIGHT(AD504,3)="BOA"),LEFT('RSD (DEA)'!AH67,3)&amp;"BFW",'RSD (DEA)'!AH67)</f>
        <v>RSDHTH</v>
      </c>
      <c r="J504" s="182" t="str">
        <f>'RSD (DEA)'!AI67</f>
        <v/>
      </c>
      <c r="K504" s="235" t="str">
        <f>'RSD (DEA)'!AK67</f>
        <v>RWAPA</v>
      </c>
      <c r="L504" s="235"/>
      <c r="M504" s="182">
        <f t="shared" si="130"/>
        <v>2019</v>
      </c>
      <c r="N504" s="182">
        <f>'RSD (DEA)'!X67</f>
        <v>2020</v>
      </c>
      <c r="O504" s="182">
        <f t="shared" si="132"/>
        <v>2020</v>
      </c>
      <c r="P504" s="183">
        <f>'RSD (DEA)'!AZ67</f>
        <v>1</v>
      </c>
      <c r="Q504" s="183">
        <f>'RSD (DEA)'!BA67</f>
        <v>1</v>
      </c>
      <c r="R504" s="182">
        <f>'RSD (DEA)'!BR67/'RSD (DEA)'!S67</f>
        <v>0.48125000000000001</v>
      </c>
      <c r="S504" s="182">
        <f>'RSD (DEA)'!BS67/X_RSD_HeatingDemand!$AA$8</f>
        <v>0</v>
      </c>
      <c r="T504" s="252">
        <f>'RSD (DEA)'!BK67*X_RSD_HeatingDemand!$AA$9/'RSD (DEA)'!S67</f>
        <v>87.5</v>
      </c>
      <c r="U504" s="182">
        <f>'RSD (DEA)'!BI67</f>
        <v>25</v>
      </c>
      <c r="V504" s="182"/>
      <c r="W504" s="236">
        <f>'RSD (DEA)'!AM67</f>
        <v>31.536000000000001</v>
      </c>
    </row>
    <row r="505" spans="1:23" x14ac:dyDescent="0.3">
      <c r="A505" s="316"/>
      <c r="B505" s="235" t="str">
        <f>'RSD (DEA)'!AJ68&amp;"_"&amp;'RSD (DEA)'!Z68</f>
        <v>RHAPA_HTH_07</v>
      </c>
      <c r="C505" s="318"/>
      <c r="D505" s="235" t="str">
        <f t="shared" si="131"/>
        <v>RHAPA_HTH_9</v>
      </c>
      <c r="E505" s="235" t="str">
        <f>'RSD (DEA)'!Q68</f>
        <v>District heating</v>
      </c>
      <c r="F505" s="242" t="s">
        <v>239</v>
      </c>
      <c r="G505" s="242" t="s">
        <v>240</v>
      </c>
      <c r="H505" s="235">
        <f>'RSD (DEA)'!S68</f>
        <v>160</v>
      </c>
      <c r="I505" s="235" t="str">
        <f>IF(OR(RIGHT('RSD (DEA)'!AH68,3)="BIO",RIGHT(AD505,3)="BOA"),LEFT('RSD (DEA)'!AH68,3)&amp;"BFW",'RSD (DEA)'!AH68)</f>
        <v>RSDHTH</v>
      </c>
      <c r="J505" s="182" t="str">
        <f>'RSD (DEA)'!AI68</f>
        <v/>
      </c>
      <c r="K505" s="235" t="str">
        <f>'RSD (DEA)'!AK68</f>
        <v>RWAPA</v>
      </c>
      <c r="L505" s="235"/>
      <c r="M505" s="182">
        <f t="shared" si="130"/>
        <v>2019</v>
      </c>
      <c r="N505" s="182">
        <f>'RSD (DEA)'!X68</f>
        <v>2030</v>
      </c>
      <c r="O505" s="182">
        <f t="shared" si="132"/>
        <v>2030</v>
      </c>
      <c r="P505" s="183">
        <f>'RSD (DEA)'!AZ68</f>
        <v>1</v>
      </c>
      <c r="Q505" s="183">
        <f>'RSD (DEA)'!BA68</f>
        <v>1</v>
      </c>
      <c r="R505" s="182">
        <f>'RSD (DEA)'!BR68/'RSD (DEA)'!S68</f>
        <v>0.48749999999999999</v>
      </c>
      <c r="S505" s="182">
        <f>'RSD (DEA)'!BS68/X_RSD_HeatingDemand!$AA$8</f>
        <v>0</v>
      </c>
      <c r="T505" s="252">
        <f>'RSD (DEA)'!BK68*X_RSD_HeatingDemand!$AA$9/'RSD (DEA)'!S68</f>
        <v>81.25</v>
      </c>
      <c r="U505" s="182">
        <f>'RSD (DEA)'!BI68</f>
        <v>25</v>
      </c>
      <c r="V505" s="182"/>
      <c r="W505" s="236">
        <f>'RSD (DEA)'!AM68</f>
        <v>31.536000000000001</v>
      </c>
    </row>
    <row r="506" spans="1:23" x14ac:dyDescent="0.3">
      <c r="A506" s="316"/>
      <c r="B506" s="235" t="str">
        <f>'RSD (DEA)'!AJ69&amp;"_"&amp;'RSD (DEA)'!Z69</f>
        <v>RHAPA_HTH_07</v>
      </c>
      <c r="C506" s="318"/>
      <c r="D506" s="235" t="str">
        <f t="shared" si="131"/>
        <v>RHAPA_HTH_10</v>
      </c>
      <c r="E506" s="235" t="str">
        <f>'RSD (DEA)'!Q69</f>
        <v>District heating</v>
      </c>
      <c r="F506" s="242" t="s">
        <v>239</v>
      </c>
      <c r="G506" s="242" t="s">
        <v>240</v>
      </c>
      <c r="H506" s="235">
        <f>'RSD (DEA)'!S69</f>
        <v>160</v>
      </c>
      <c r="I506" s="235" t="str">
        <f>IF(OR(RIGHT('RSD (DEA)'!AH69,3)="BIO",RIGHT(AD506,3)="BOA"),LEFT('RSD (DEA)'!AH69,3)&amp;"BFW",'RSD (DEA)'!AH69)</f>
        <v>RSDHTH</v>
      </c>
      <c r="J506" s="182" t="str">
        <f>'RSD (DEA)'!AI69</f>
        <v/>
      </c>
      <c r="K506" s="235" t="str">
        <f>'RSD (DEA)'!AK69</f>
        <v>RWAPA</v>
      </c>
      <c r="L506" s="235"/>
      <c r="M506" s="182">
        <f t="shared" si="130"/>
        <v>2019</v>
      </c>
      <c r="N506" s="182">
        <f>'RSD (DEA)'!X69</f>
        <v>2050</v>
      </c>
      <c r="O506" s="182">
        <f t="shared" si="132"/>
        <v>2050</v>
      </c>
      <c r="P506" s="183">
        <f>'RSD (DEA)'!AZ69</f>
        <v>1</v>
      </c>
      <c r="Q506" s="183">
        <f>'RSD (DEA)'!BA69</f>
        <v>1</v>
      </c>
      <c r="R506" s="182">
        <f>'RSD (DEA)'!BR69/'RSD (DEA)'!S69</f>
        <v>0.45</v>
      </c>
      <c r="S506" s="182">
        <f>'RSD (DEA)'!BS69/X_RSD_HeatingDemand!$AA$8</f>
        <v>0</v>
      </c>
      <c r="T506" s="252">
        <f>'RSD (DEA)'!BK69*X_RSD_HeatingDemand!$AA$9/'RSD (DEA)'!S69</f>
        <v>75</v>
      </c>
      <c r="U506" s="182">
        <f>'RSD (DEA)'!BI69</f>
        <v>25</v>
      </c>
      <c r="V506" s="182"/>
      <c r="W506" s="236">
        <f>'RSD (DEA)'!AM69</f>
        <v>31.536000000000001</v>
      </c>
    </row>
    <row r="507" spans="1:23" x14ac:dyDescent="0.3">
      <c r="A507" s="316"/>
      <c r="B507" s="235" t="str">
        <f>'RSD (DEA)'!AJ70&amp;"_"&amp;'RSD (DEA)'!Z70</f>
        <v>RHHSB_B_WOF_01</v>
      </c>
      <c r="C507" s="318"/>
      <c r="D507" s="235" t="str">
        <f t="shared" si="131"/>
        <v>RHHSB_B_WOF_01</v>
      </c>
      <c r="E507" s="235" t="str">
        <f>'RSD (DEA)'!Q70</f>
        <v>Biomass boilers</v>
      </c>
      <c r="F507" s="242" t="s">
        <v>239</v>
      </c>
      <c r="G507" s="242" t="s">
        <v>240</v>
      </c>
      <c r="H507" s="235">
        <f>'RSD (DEA)'!S70</f>
        <v>12</v>
      </c>
      <c r="I507" s="235" t="str">
        <f>IF(OR(RIGHT('RSD (DEA)'!AH70,3)="BIO",RIGHT(AD507,3)="BOA"),LEFT('RSD (DEA)'!AH70,3)&amp;"BFW",'RSD (DEA)'!AH70)</f>
        <v>RSDWOF</v>
      </c>
      <c r="J507" s="182" t="str">
        <f>'RSD (DEA)'!AI70</f>
        <v/>
      </c>
      <c r="K507" s="235" t="str">
        <f>'RSD (DEA)'!AK70</f>
        <v>RWHSB</v>
      </c>
      <c r="L507" s="235"/>
      <c r="M507" s="182">
        <f t="shared" si="130"/>
        <v>2019</v>
      </c>
      <c r="N507" s="182">
        <f>'RSD (DEA)'!X70</f>
        <v>2015</v>
      </c>
      <c r="O507" s="182">
        <f t="shared" si="132"/>
        <v>2019</v>
      </c>
      <c r="P507" s="183">
        <f>'RSD (DEA)'!AZ70</f>
        <v>0.8</v>
      </c>
      <c r="Q507" s="183">
        <f>'RSD (DEA)'!BA70</f>
        <v>0.8</v>
      </c>
      <c r="R507" s="182">
        <f>'RSD (DEA)'!BR70/'RSD (DEA)'!S70</f>
        <v>42.979166666666664</v>
      </c>
      <c r="S507" s="182">
        <f>'RSD (DEA)'!BS70/X_RSD_HeatingDemand!$AA$8</f>
        <v>0</v>
      </c>
      <c r="T507" s="252">
        <f>'RSD (DEA)'!BK70*X_RSD_HeatingDemand!$AA$9/'RSD (DEA)'!S70</f>
        <v>716.66666666666663</v>
      </c>
      <c r="U507" s="182">
        <f>'RSD (DEA)'!BI70</f>
        <v>20</v>
      </c>
      <c r="V507" s="182"/>
      <c r="W507" s="236">
        <f>'RSD (DEA)'!AM70</f>
        <v>31.536000000000001</v>
      </c>
    </row>
    <row r="508" spans="1:23" x14ac:dyDescent="0.3">
      <c r="A508" s="316"/>
      <c r="B508" s="235" t="str">
        <f>'RSD (DEA)'!AJ71&amp;"_"&amp;'RSD (DEA)'!Z71</f>
        <v>RHHSB_B_WOF_01</v>
      </c>
      <c r="C508" s="318"/>
      <c r="D508" s="235" t="str">
        <f t="shared" si="131"/>
        <v>RHHSB_B_WOF_02</v>
      </c>
      <c r="E508" s="235" t="str">
        <f>'RSD (DEA)'!Q71</f>
        <v>Biomass boilers</v>
      </c>
      <c r="F508" s="242" t="s">
        <v>239</v>
      </c>
      <c r="G508" s="242" t="s">
        <v>240</v>
      </c>
      <c r="H508" s="235">
        <f>'RSD (DEA)'!S71</f>
        <v>10</v>
      </c>
      <c r="I508" s="235" t="str">
        <f>IF(OR(RIGHT('RSD (DEA)'!AH71,3)="BIO",RIGHT(AD508,3)="BOA"),LEFT('RSD (DEA)'!AH71,3)&amp;"BFW",'RSD (DEA)'!AH71)</f>
        <v>RSDWOF</v>
      </c>
      <c r="J508" s="182" t="str">
        <f>'RSD (DEA)'!AI71</f>
        <v/>
      </c>
      <c r="K508" s="235" t="str">
        <f>'RSD (DEA)'!AK71</f>
        <v>RWHSB</v>
      </c>
      <c r="L508" s="235"/>
      <c r="M508" s="182">
        <f t="shared" si="130"/>
        <v>2019</v>
      </c>
      <c r="N508" s="182">
        <f>'RSD (DEA)'!X71</f>
        <v>2020</v>
      </c>
      <c r="O508" s="182">
        <f t="shared" si="132"/>
        <v>2020</v>
      </c>
      <c r="P508" s="183">
        <f>'RSD (DEA)'!AZ71</f>
        <v>0.82</v>
      </c>
      <c r="Q508" s="183">
        <f>'RSD (DEA)'!BA71</f>
        <v>0.82</v>
      </c>
      <c r="R508" s="182">
        <f>'RSD (DEA)'!BR71/'RSD (DEA)'!S71</f>
        <v>50.4</v>
      </c>
      <c r="S508" s="182">
        <f>'RSD (DEA)'!BS71/X_RSD_HeatingDemand!$AA$8</f>
        <v>0</v>
      </c>
      <c r="T508" s="252">
        <f>'RSD (DEA)'!BK71*X_RSD_HeatingDemand!$AA$9/'RSD (DEA)'!S71</f>
        <v>800</v>
      </c>
      <c r="U508" s="182">
        <f>'RSD (DEA)'!BI71</f>
        <v>20</v>
      </c>
      <c r="V508" s="182"/>
      <c r="W508" s="236">
        <f>'RSD (DEA)'!AM71</f>
        <v>31.536000000000001</v>
      </c>
    </row>
    <row r="509" spans="1:23" x14ac:dyDescent="0.3">
      <c r="A509" s="316"/>
      <c r="B509" s="235" t="str">
        <f>'RSD (DEA)'!AJ72&amp;"_"&amp;'RSD (DEA)'!Z72</f>
        <v>RHHSB_B_WOF_01</v>
      </c>
      <c r="C509" s="318"/>
      <c r="D509" s="235" t="str">
        <f t="shared" si="131"/>
        <v>RHHSB_B_WOF_03</v>
      </c>
      <c r="E509" s="235" t="str">
        <f>'RSD (DEA)'!Q72</f>
        <v>Biomass boilers</v>
      </c>
      <c r="F509" s="242" t="s">
        <v>239</v>
      </c>
      <c r="G509" s="242" t="s">
        <v>240</v>
      </c>
      <c r="H509" s="235">
        <f>'RSD (DEA)'!S72</f>
        <v>10</v>
      </c>
      <c r="I509" s="235" t="str">
        <f>IF(OR(RIGHT('RSD (DEA)'!AH72,3)="BIO",RIGHT(AD509,3)="BOA"),LEFT('RSD (DEA)'!AH72,3)&amp;"BFW",'RSD (DEA)'!AH72)</f>
        <v>RSDWOF</v>
      </c>
      <c r="J509" s="182" t="str">
        <f>'RSD (DEA)'!AI72</f>
        <v/>
      </c>
      <c r="K509" s="235" t="str">
        <f>'RSD (DEA)'!AK72</f>
        <v>RWHSB</v>
      </c>
      <c r="L509" s="235"/>
      <c r="M509" s="182">
        <f t="shared" si="130"/>
        <v>2019</v>
      </c>
      <c r="N509" s="182">
        <f>'RSD (DEA)'!X72</f>
        <v>2030</v>
      </c>
      <c r="O509" s="182">
        <f t="shared" si="132"/>
        <v>2030</v>
      </c>
      <c r="P509" s="183">
        <f>'RSD (DEA)'!AZ72</f>
        <v>0.86</v>
      </c>
      <c r="Q509" s="183">
        <f>'RSD (DEA)'!BA72</f>
        <v>0.86</v>
      </c>
      <c r="R509" s="182">
        <f>'RSD (DEA)'!BR72/'RSD (DEA)'!S72</f>
        <v>48.6</v>
      </c>
      <c r="S509" s="182">
        <f>'RSD (DEA)'!BS72/X_RSD_HeatingDemand!$AA$8</f>
        <v>0</v>
      </c>
      <c r="T509" s="252">
        <f>'RSD (DEA)'!BK72*X_RSD_HeatingDemand!$AA$9/'RSD (DEA)'!S72</f>
        <v>800</v>
      </c>
      <c r="U509" s="182">
        <f>'RSD (DEA)'!BI72</f>
        <v>20</v>
      </c>
      <c r="V509" s="182"/>
      <c r="W509" s="236">
        <f>'RSD (DEA)'!AM72</f>
        <v>31.536000000000001</v>
      </c>
    </row>
    <row r="510" spans="1:23" x14ac:dyDescent="0.3">
      <c r="A510" s="316"/>
      <c r="B510" s="235" t="str">
        <f>'RSD (DEA)'!AJ73&amp;"_"&amp;'RSD (DEA)'!Z73</f>
        <v>RHHSB_B_WOF_01</v>
      </c>
      <c r="C510" s="318"/>
      <c r="D510" s="235" t="str">
        <f t="shared" si="131"/>
        <v>RHHSB_B_WOF_04</v>
      </c>
      <c r="E510" s="235" t="str">
        <f>'RSD (DEA)'!Q73</f>
        <v>Biomass boilers</v>
      </c>
      <c r="F510" s="242" t="s">
        <v>239</v>
      </c>
      <c r="G510" s="242" t="s">
        <v>240</v>
      </c>
      <c r="H510" s="235">
        <f>'RSD (DEA)'!S73</f>
        <v>10</v>
      </c>
      <c r="I510" s="235" t="str">
        <f>IF(OR(RIGHT('RSD (DEA)'!AH73,3)="BIO",RIGHT(AD510,3)="BOA"),LEFT('RSD (DEA)'!AH73,3)&amp;"BFW",'RSD (DEA)'!AH73)</f>
        <v>RSDWOF</v>
      </c>
      <c r="J510" s="182" t="str">
        <f>'RSD (DEA)'!AI73</f>
        <v/>
      </c>
      <c r="K510" s="235" t="str">
        <f>'RSD (DEA)'!AK73</f>
        <v>RWHSB</v>
      </c>
      <c r="L510" s="235"/>
      <c r="M510" s="182">
        <f t="shared" si="130"/>
        <v>2019</v>
      </c>
      <c r="N510" s="182">
        <f>'RSD (DEA)'!X73</f>
        <v>2050</v>
      </c>
      <c r="O510" s="182">
        <f t="shared" si="132"/>
        <v>2050</v>
      </c>
      <c r="P510" s="183">
        <f>'RSD (DEA)'!AZ73</f>
        <v>0.88</v>
      </c>
      <c r="Q510" s="183">
        <f>'RSD (DEA)'!BA73</f>
        <v>0.88</v>
      </c>
      <c r="R510" s="182">
        <f>'RSD (DEA)'!BR73/'RSD (DEA)'!S73</f>
        <v>44.3</v>
      </c>
      <c r="S510" s="182">
        <f>'RSD (DEA)'!BS73/X_RSD_HeatingDemand!$AA$8</f>
        <v>0</v>
      </c>
      <c r="T510" s="252">
        <f>'RSD (DEA)'!BK73*X_RSD_HeatingDemand!$AA$9/'RSD (DEA)'!S73</f>
        <v>700</v>
      </c>
      <c r="U510" s="182">
        <f>'RSD (DEA)'!BI73</f>
        <v>20</v>
      </c>
      <c r="V510" s="182"/>
      <c r="W510" s="236">
        <f>'RSD (DEA)'!AM73</f>
        <v>31.536000000000001</v>
      </c>
    </row>
    <row r="511" spans="1:23" x14ac:dyDescent="0.3">
      <c r="A511" s="316"/>
      <c r="B511" s="235" t="str">
        <f>'RSD (DEA)'!AJ74&amp;"_"&amp;'RSD (DEA)'!Z74</f>
        <v>RHHSA_B_WOF_02</v>
      </c>
      <c r="C511" s="318"/>
      <c r="D511" s="235" t="str">
        <f t="shared" si="131"/>
        <v>RHHSA_B_WOF_02</v>
      </c>
      <c r="E511" s="235" t="str">
        <f>'RSD (DEA)'!Q74</f>
        <v>Biomass boilers</v>
      </c>
      <c r="F511" s="242" t="s">
        <v>239</v>
      </c>
      <c r="G511" s="242" t="s">
        <v>240</v>
      </c>
      <c r="H511" s="235">
        <f>'RSD (DEA)'!S74</f>
        <v>12</v>
      </c>
      <c r="I511" s="235" t="str">
        <f>IF(OR(RIGHT('RSD (DEA)'!AH74,3)="BIO",RIGHT(AD511,3)="BOA"),LEFT('RSD (DEA)'!AH74,3)&amp;"BFW",'RSD (DEA)'!AH74)</f>
        <v>RSDWOF</v>
      </c>
      <c r="J511" s="182" t="str">
        <f>'RSD (DEA)'!AI74</f>
        <v/>
      </c>
      <c r="K511" s="235" t="str">
        <f>'RSD (DEA)'!AK74</f>
        <v>RWHSA</v>
      </c>
      <c r="L511" s="235"/>
      <c r="M511" s="182">
        <f t="shared" si="130"/>
        <v>2019</v>
      </c>
      <c r="N511" s="182">
        <f>'RSD (DEA)'!X74</f>
        <v>2015</v>
      </c>
      <c r="O511" s="182">
        <f t="shared" si="132"/>
        <v>2019</v>
      </c>
      <c r="P511" s="183">
        <f>'RSD (DEA)'!AZ74</f>
        <v>0.75</v>
      </c>
      <c r="Q511" s="183">
        <f>'RSD (DEA)'!BA74</f>
        <v>0.75</v>
      </c>
      <c r="R511" s="182">
        <f>'RSD (DEA)'!BR74/'RSD (DEA)'!S74</f>
        <v>42.716666666666669</v>
      </c>
      <c r="S511" s="182">
        <f>'RSD (DEA)'!BS74/X_RSD_HeatingDemand!$AA$8</f>
        <v>0</v>
      </c>
      <c r="T511" s="252">
        <f>'RSD (DEA)'!BK74*X_RSD_HeatingDemand!$AA$9/'RSD (DEA)'!S74</f>
        <v>691.66666666666663</v>
      </c>
      <c r="U511" s="182">
        <f>'RSD (DEA)'!BI74</f>
        <v>20</v>
      </c>
      <c r="V511" s="182"/>
      <c r="W511" s="236">
        <f>'RSD (DEA)'!AM74</f>
        <v>31.536000000000001</v>
      </c>
    </row>
    <row r="512" spans="1:23" x14ac:dyDescent="0.3">
      <c r="A512" s="316"/>
      <c r="B512" s="235" t="str">
        <f>'RSD (DEA)'!AJ75&amp;"_"&amp;'RSD (DEA)'!Z75</f>
        <v>RHHSA_B_WOF_02</v>
      </c>
      <c r="C512" s="318"/>
      <c r="D512" s="235" t="str">
        <f t="shared" si="131"/>
        <v>RHHSA_B_WOF_03</v>
      </c>
      <c r="E512" s="235" t="str">
        <f>'RSD (DEA)'!Q75</f>
        <v>Biomass boilers</v>
      </c>
      <c r="F512" s="242" t="s">
        <v>239</v>
      </c>
      <c r="G512" s="242" t="s">
        <v>240</v>
      </c>
      <c r="H512" s="235">
        <f>'RSD (DEA)'!S75</f>
        <v>10</v>
      </c>
      <c r="I512" s="235" t="str">
        <f>IF(OR(RIGHT('RSD (DEA)'!AH75,3)="BIO",RIGHT(AD512,3)="BOA"),LEFT('RSD (DEA)'!AH75,3)&amp;"BFW",'RSD (DEA)'!AH75)</f>
        <v>RSDWOF</v>
      </c>
      <c r="J512" s="182" t="str">
        <f>'RSD (DEA)'!AI75</f>
        <v/>
      </c>
      <c r="K512" s="235" t="str">
        <f>'RSD (DEA)'!AK75</f>
        <v>RWHSA</v>
      </c>
      <c r="L512" s="235"/>
      <c r="M512" s="182">
        <f t="shared" si="130"/>
        <v>2019</v>
      </c>
      <c r="N512" s="182">
        <f>'RSD (DEA)'!X75</f>
        <v>2020</v>
      </c>
      <c r="O512" s="182">
        <f t="shared" si="132"/>
        <v>2020</v>
      </c>
      <c r="P512" s="183">
        <f>'RSD (DEA)'!AZ75</f>
        <v>0.78</v>
      </c>
      <c r="Q512" s="183">
        <f>'RSD (DEA)'!BA75</f>
        <v>0.78</v>
      </c>
      <c r="R512" s="182">
        <f>'RSD (DEA)'!BR75/'RSD (DEA)'!S75</f>
        <v>50.1</v>
      </c>
      <c r="S512" s="182">
        <f>'RSD (DEA)'!BS75/X_RSD_HeatingDemand!$AA$8</f>
        <v>0</v>
      </c>
      <c r="T512" s="252">
        <f>'RSD (DEA)'!BK75*X_RSD_HeatingDemand!$AA$9/'RSD (DEA)'!S75</f>
        <v>830</v>
      </c>
      <c r="U512" s="182">
        <f>'RSD (DEA)'!BI75</f>
        <v>20</v>
      </c>
      <c r="V512" s="182"/>
      <c r="W512" s="236">
        <f>'RSD (DEA)'!AM75</f>
        <v>31.536000000000001</v>
      </c>
    </row>
    <row r="513" spans="1:23" x14ac:dyDescent="0.3">
      <c r="A513" s="316"/>
      <c r="B513" s="235" t="str">
        <f>'RSD (DEA)'!AJ76&amp;"_"&amp;'RSD (DEA)'!Z76</f>
        <v>RHHSA_B_WOF_02</v>
      </c>
      <c r="C513" s="318"/>
      <c r="D513" s="235" t="str">
        <f t="shared" si="131"/>
        <v>RHHSA_B_WOF_04</v>
      </c>
      <c r="E513" s="235" t="str">
        <f>'RSD (DEA)'!Q76</f>
        <v>Biomass boilers</v>
      </c>
      <c r="F513" s="242" t="s">
        <v>239</v>
      </c>
      <c r="G513" s="242" t="s">
        <v>240</v>
      </c>
      <c r="H513" s="235">
        <f>'RSD (DEA)'!S76</f>
        <v>8</v>
      </c>
      <c r="I513" s="235" t="str">
        <f>IF(OR(RIGHT('RSD (DEA)'!AH76,3)="BIO",RIGHT(AD513,3)="BOA"),LEFT('RSD (DEA)'!AH76,3)&amp;"BFW",'RSD (DEA)'!AH76)</f>
        <v>RSDWOF</v>
      </c>
      <c r="J513" s="182" t="str">
        <f>'RSD (DEA)'!AI76</f>
        <v/>
      </c>
      <c r="K513" s="235" t="str">
        <f>'RSD (DEA)'!AK76</f>
        <v>RWHSA</v>
      </c>
      <c r="L513" s="235"/>
      <c r="M513" s="182">
        <f t="shared" si="130"/>
        <v>2019</v>
      </c>
      <c r="N513" s="182">
        <f>'RSD (DEA)'!X76</f>
        <v>2030</v>
      </c>
      <c r="O513" s="182">
        <f t="shared" si="132"/>
        <v>2030</v>
      </c>
      <c r="P513" s="183">
        <f>'RSD (DEA)'!AZ76</f>
        <v>0.8</v>
      </c>
      <c r="Q513" s="183">
        <f>'RSD (DEA)'!BA76</f>
        <v>0.8</v>
      </c>
      <c r="R513" s="182">
        <f>'RSD (DEA)'!BR76/'RSD (DEA)'!S76</f>
        <v>60.25</v>
      </c>
      <c r="S513" s="182">
        <f>'RSD (DEA)'!BS76/X_RSD_HeatingDemand!$AA$8</f>
        <v>0</v>
      </c>
      <c r="T513" s="252">
        <f>'RSD (DEA)'!BK76*X_RSD_HeatingDemand!$AA$9/'RSD (DEA)'!S76</f>
        <v>1037.5</v>
      </c>
      <c r="U513" s="182">
        <f>'RSD (DEA)'!BI76</f>
        <v>20</v>
      </c>
      <c r="V513" s="182"/>
      <c r="W513" s="236">
        <f>'RSD (DEA)'!AM76</f>
        <v>31.536000000000001</v>
      </c>
    </row>
    <row r="514" spans="1:23" x14ac:dyDescent="0.3">
      <c r="A514" s="316"/>
      <c r="B514" s="235" t="str">
        <f>'RSD (DEA)'!AJ77&amp;"_"&amp;'RSD (DEA)'!Z77</f>
        <v>RHHSA_B_WOF_02</v>
      </c>
      <c r="C514" s="318"/>
      <c r="D514" s="235" t="str">
        <f t="shared" si="131"/>
        <v>RHHSA_B_WOF_05</v>
      </c>
      <c r="E514" s="235" t="str">
        <f>'RSD (DEA)'!Q77</f>
        <v>Biomass boilers</v>
      </c>
      <c r="F514" s="242" t="s">
        <v>239</v>
      </c>
      <c r="G514" s="242" t="s">
        <v>240</v>
      </c>
      <c r="H514" s="235">
        <f>'RSD (DEA)'!S77</f>
        <v>8</v>
      </c>
      <c r="I514" s="235" t="str">
        <f>IF(OR(RIGHT('RSD (DEA)'!AH77,3)="BIO",RIGHT(AD514,3)="BOA"),LEFT('RSD (DEA)'!AH77,3)&amp;"BFW",'RSD (DEA)'!AH77)</f>
        <v>RSDWOF</v>
      </c>
      <c r="J514" s="182" t="str">
        <f>'RSD (DEA)'!AI77</f>
        <v/>
      </c>
      <c r="K514" s="235" t="str">
        <f>'RSD (DEA)'!AK77</f>
        <v>RWHSA</v>
      </c>
      <c r="L514" s="235"/>
      <c r="M514" s="182">
        <f t="shared" si="130"/>
        <v>2019</v>
      </c>
      <c r="N514" s="182">
        <f>'RSD (DEA)'!X77</f>
        <v>2050</v>
      </c>
      <c r="O514" s="182">
        <f t="shared" ref="O514:O531" si="133">IF(N514&lt;2019,2019,N514)</f>
        <v>2050</v>
      </c>
      <c r="P514" s="183">
        <f>'RSD (DEA)'!AZ77</f>
        <v>0.85</v>
      </c>
      <c r="Q514" s="183">
        <f>'RSD (DEA)'!BA77</f>
        <v>0.85</v>
      </c>
      <c r="R514" s="182">
        <f>'RSD (DEA)'!BR77/'RSD (DEA)'!S77</f>
        <v>54.75</v>
      </c>
      <c r="S514" s="182">
        <f>'RSD (DEA)'!BS77/X_RSD_HeatingDemand!$AA$8</f>
        <v>0</v>
      </c>
      <c r="T514" s="252">
        <f>'RSD (DEA)'!BK77*X_RSD_HeatingDemand!$AA$9/'RSD (DEA)'!S77</f>
        <v>875</v>
      </c>
      <c r="U514" s="182">
        <f>'RSD (DEA)'!BI77</f>
        <v>20</v>
      </c>
      <c r="V514" s="182"/>
      <c r="W514" s="236">
        <f>'RSD (DEA)'!AM77</f>
        <v>31.536000000000001</v>
      </c>
    </row>
    <row r="515" spans="1:23" x14ac:dyDescent="0.3">
      <c r="A515" s="316"/>
      <c r="B515" s="235" t="str">
        <f>'RSD (DEA)'!AJ78&amp;"_"&amp;'RSD (DEA)'!Z78</f>
        <v>RHAPC_B_WOF_03</v>
      </c>
      <c r="C515" s="318"/>
      <c r="D515" s="235" t="str">
        <f t="shared" si="131"/>
        <v>RHAPC_B_WOF_03</v>
      </c>
      <c r="E515" s="235" t="str">
        <f>'RSD (DEA)'!Q78</f>
        <v>Biomass boilers</v>
      </c>
      <c r="F515" s="242" t="s">
        <v>239</v>
      </c>
      <c r="G515" s="242" t="s">
        <v>240</v>
      </c>
      <c r="H515" s="235">
        <f>'RSD (DEA)'!S78</f>
        <v>400</v>
      </c>
      <c r="I515" s="235" t="str">
        <f>IF(OR(RIGHT('RSD (DEA)'!AH78,3)="BIO",RIGHT(AD515,3)="BOA"),LEFT('RSD (DEA)'!AH78,3)&amp;"BFW",'RSD (DEA)'!AH78)</f>
        <v>RSDWOF</v>
      </c>
      <c r="J515" s="182" t="str">
        <f>'RSD (DEA)'!AI78</f>
        <v/>
      </c>
      <c r="K515" s="235" t="str">
        <f>'RSD (DEA)'!AK78</f>
        <v>RWAPC</v>
      </c>
      <c r="L515" s="235"/>
      <c r="M515" s="182">
        <f t="shared" si="130"/>
        <v>2019</v>
      </c>
      <c r="N515" s="182">
        <f>'RSD (DEA)'!X78</f>
        <v>2015</v>
      </c>
      <c r="O515" s="182">
        <f t="shared" si="133"/>
        <v>2019</v>
      </c>
      <c r="P515" s="183">
        <f>'RSD (DEA)'!AZ78</f>
        <v>0.8</v>
      </c>
      <c r="Q515" s="183">
        <f>'RSD (DEA)'!BA78</f>
        <v>0.8</v>
      </c>
      <c r="R515" s="182">
        <f>'RSD (DEA)'!BR78/'RSD (DEA)'!S78</f>
        <v>4.3937499999999998</v>
      </c>
      <c r="S515" s="182">
        <f>'RSD (DEA)'!BS78/X_RSD_HeatingDemand!$AA$8</f>
        <v>0</v>
      </c>
      <c r="T515" s="252">
        <f>'RSD (DEA)'!BK78*X_RSD_HeatingDemand!$AA$9/'RSD (DEA)'!S78</f>
        <v>262.5</v>
      </c>
      <c r="U515" s="182">
        <f>'RSD (DEA)'!BI78</f>
        <v>20</v>
      </c>
      <c r="V515" s="182"/>
      <c r="W515" s="236">
        <f>'RSD (DEA)'!AM78</f>
        <v>31.536000000000001</v>
      </c>
    </row>
    <row r="516" spans="1:23" x14ac:dyDescent="0.3">
      <c r="A516" s="316"/>
      <c r="B516" s="235" t="str">
        <f>'RSD (DEA)'!AJ79&amp;"_"&amp;'RSD (DEA)'!Z79</f>
        <v>RHAPC_B_WOF_03</v>
      </c>
      <c r="C516" s="318"/>
      <c r="D516" s="235" t="str">
        <f t="shared" si="131"/>
        <v>RHAPC_B_WOF_04</v>
      </c>
      <c r="E516" s="235" t="str">
        <f>'RSD (DEA)'!Q79</f>
        <v>Biomass boilers</v>
      </c>
      <c r="F516" s="242" t="s">
        <v>239</v>
      </c>
      <c r="G516" s="242" t="s">
        <v>240</v>
      </c>
      <c r="H516" s="235">
        <f>'RSD (DEA)'!S79</f>
        <v>400</v>
      </c>
      <c r="I516" s="235" t="str">
        <f>IF(OR(RIGHT('RSD (DEA)'!AH79,3)="BIO",RIGHT(AD516,3)="BOA"),LEFT('RSD (DEA)'!AH79,3)&amp;"BFW",'RSD (DEA)'!AH79)</f>
        <v>RSDWOF</v>
      </c>
      <c r="J516" s="182" t="str">
        <f>'RSD (DEA)'!AI79</f>
        <v/>
      </c>
      <c r="K516" s="235" t="str">
        <f>'RSD (DEA)'!AK79</f>
        <v>RWAPC</v>
      </c>
      <c r="L516" s="235"/>
      <c r="M516" s="182">
        <f t="shared" si="130"/>
        <v>2019</v>
      </c>
      <c r="N516" s="182">
        <f>'RSD (DEA)'!X79</f>
        <v>2020</v>
      </c>
      <c r="O516" s="182">
        <f t="shared" si="133"/>
        <v>2020</v>
      </c>
      <c r="P516" s="183">
        <f>'RSD (DEA)'!AZ79</f>
        <v>0.85</v>
      </c>
      <c r="Q516" s="183">
        <f>'RSD (DEA)'!BA79</f>
        <v>0.85</v>
      </c>
      <c r="R516" s="182">
        <f>'RSD (DEA)'!BR79/'RSD (DEA)'!S79</f>
        <v>4.3150000000000004</v>
      </c>
      <c r="S516" s="182">
        <f>'RSD (DEA)'!BS79/X_RSD_HeatingDemand!$AA$8</f>
        <v>0</v>
      </c>
      <c r="T516" s="252">
        <f>'RSD (DEA)'!BK79*X_RSD_HeatingDemand!$AA$9/'RSD (DEA)'!S79</f>
        <v>255</v>
      </c>
      <c r="U516" s="182">
        <f>'RSD (DEA)'!BI79</f>
        <v>20</v>
      </c>
      <c r="V516" s="182"/>
      <c r="W516" s="236">
        <f>'RSD (DEA)'!AM79</f>
        <v>31.536000000000001</v>
      </c>
    </row>
    <row r="517" spans="1:23" x14ac:dyDescent="0.3">
      <c r="A517" s="316"/>
      <c r="B517" s="235" t="str">
        <f>'RSD (DEA)'!AJ80&amp;"_"&amp;'RSD (DEA)'!Z80</f>
        <v>RHAPC_B_WOF_03</v>
      </c>
      <c r="C517" s="318"/>
      <c r="D517" s="235" t="str">
        <f t="shared" si="131"/>
        <v>RHAPC_B_WOF_05</v>
      </c>
      <c r="E517" s="235" t="str">
        <f>'RSD (DEA)'!Q80</f>
        <v>Biomass boilers</v>
      </c>
      <c r="F517" s="242" t="s">
        <v>239</v>
      </c>
      <c r="G517" s="242" t="s">
        <v>240</v>
      </c>
      <c r="H517" s="235">
        <f>'RSD (DEA)'!S80</f>
        <v>400</v>
      </c>
      <c r="I517" s="235" t="str">
        <f>IF(OR(RIGHT('RSD (DEA)'!AH80,3)="BIO",RIGHT(AD517,3)="BOA"),LEFT('RSD (DEA)'!AH80,3)&amp;"BFW",'RSD (DEA)'!AH80)</f>
        <v>RSDWOF</v>
      </c>
      <c r="J517" s="182" t="str">
        <f>'RSD (DEA)'!AI80</f>
        <v/>
      </c>
      <c r="K517" s="235" t="str">
        <f>'RSD (DEA)'!AK80</f>
        <v>RWAPC</v>
      </c>
      <c r="L517" s="235"/>
      <c r="M517" s="182">
        <f t="shared" si="130"/>
        <v>2019</v>
      </c>
      <c r="N517" s="182">
        <f>'RSD (DEA)'!X80</f>
        <v>2030</v>
      </c>
      <c r="O517" s="182">
        <f t="shared" si="133"/>
        <v>2030</v>
      </c>
      <c r="P517" s="183">
        <f>'RSD (DEA)'!AZ80</f>
        <v>0.9</v>
      </c>
      <c r="Q517" s="183">
        <f>'RSD (DEA)'!BA80</f>
        <v>0.9</v>
      </c>
      <c r="R517" s="182">
        <f>'RSD (DEA)'!BR80/'RSD (DEA)'!S80</f>
        <v>4.2649999999999997</v>
      </c>
      <c r="S517" s="182">
        <f>'RSD (DEA)'!BS80/X_RSD_HeatingDemand!$AA$8</f>
        <v>0</v>
      </c>
      <c r="T517" s="252">
        <f>'RSD (DEA)'!BK80*X_RSD_HeatingDemand!$AA$9/'RSD (DEA)'!S80</f>
        <v>242.5</v>
      </c>
      <c r="U517" s="182">
        <f>'RSD (DEA)'!BI80</f>
        <v>20</v>
      </c>
      <c r="V517" s="182"/>
      <c r="W517" s="236">
        <f>'RSD (DEA)'!AM80</f>
        <v>31.536000000000001</v>
      </c>
    </row>
    <row r="518" spans="1:23" x14ac:dyDescent="0.3">
      <c r="A518" s="316"/>
      <c r="B518" s="235" t="str">
        <f>'RSD (DEA)'!AJ81&amp;"_"&amp;'RSD (DEA)'!Z81</f>
        <v>RHAPC_B_WOF_03</v>
      </c>
      <c r="C518" s="318"/>
      <c r="D518" s="235" t="str">
        <f t="shared" si="131"/>
        <v>RHAPC_B_WOF_06</v>
      </c>
      <c r="E518" s="235" t="str">
        <f>'RSD (DEA)'!Q81</f>
        <v>Biomass boilers</v>
      </c>
      <c r="F518" s="242" t="s">
        <v>239</v>
      </c>
      <c r="G518" s="242" t="s">
        <v>240</v>
      </c>
      <c r="H518" s="235">
        <f>'RSD (DEA)'!S81</f>
        <v>400</v>
      </c>
      <c r="I518" s="235" t="str">
        <f>IF(OR(RIGHT('RSD (DEA)'!AH81,3)="BIO",RIGHT(AD518,3)="BOA"),LEFT('RSD (DEA)'!AH81,3)&amp;"BFW",'RSD (DEA)'!AH81)</f>
        <v>RSDWOF</v>
      </c>
      <c r="J518" s="182" t="str">
        <f>'RSD (DEA)'!AI81</f>
        <v/>
      </c>
      <c r="K518" s="235" t="str">
        <f>'RSD (DEA)'!AK81</f>
        <v>RWAPC</v>
      </c>
      <c r="L518" s="235"/>
      <c r="M518" s="182">
        <f t="shared" ref="M518:M581" si="134">IF(ISBLANK(B518),"",$AA$14)</f>
        <v>2019</v>
      </c>
      <c r="N518" s="182">
        <f>'RSD (DEA)'!X81</f>
        <v>2050</v>
      </c>
      <c r="O518" s="182">
        <f t="shared" si="133"/>
        <v>2050</v>
      </c>
      <c r="P518" s="183">
        <f>'RSD (DEA)'!AZ81</f>
        <v>0.9</v>
      </c>
      <c r="Q518" s="183">
        <f>'RSD (DEA)'!BA81</f>
        <v>0.9</v>
      </c>
      <c r="R518" s="182">
        <f>'RSD (DEA)'!BR81/'RSD (DEA)'!S81</f>
        <v>3.9424999999999999</v>
      </c>
      <c r="S518" s="182">
        <f>'RSD (DEA)'!BS81/X_RSD_HeatingDemand!$AA$8</f>
        <v>0</v>
      </c>
      <c r="T518" s="252">
        <f>'RSD (DEA)'!BK81*X_RSD_HeatingDemand!$AA$9/'RSD (DEA)'!S81</f>
        <v>220</v>
      </c>
      <c r="U518" s="182">
        <f>'RSD (DEA)'!BI81</f>
        <v>20</v>
      </c>
      <c r="V518" s="182"/>
      <c r="W518" s="236">
        <f>'RSD (DEA)'!AM81</f>
        <v>31.536000000000001</v>
      </c>
    </row>
    <row r="519" spans="1:23" x14ac:dyDescent="0.3">
      <c r="A519" s="316"/>
      <c r="B519" s="235" t="str">
        <f>'RSD (DEA)'!AJ82&amp;"_"&amp;'RSD (DEA)'!Z82</f>
        <v>RHAPA_B_WOF_04</v>
      </c>
      <c r="C519" s="318"/>
      <c r="D519" s="235" t="str">
        <f t="shared" si="131"/>
        <v>RHAPA_B_WOF_04</v>
      </c>
      <c r="E519" s="235" t="str">
        <f>'RSD (DEA)'!Q82</f>
        <v>Biomass boilers</v>
      </c>
      <c r="F519" s="242" t="s">
        <v>239</v>
      </c>
      <c r="G519" s="242" t="s">
        <v>240</v>
      </c>
      <c r="H519" s="235">
        <f>'RSD (DEA)'!S82</f>
        <v>160</v>
      </c>
      <c r="I519" s="235" t="str">
        <f>IF(OR(RIGHT('RSD (DEA)'!AH82,3)="BIO",RIGHT(AD519,3)="BOA"),LEFT('RSD (DEA)'!AH82,3)&amp;"BFW",'RSD (DEA)'!AH82)</f>
        <v>RSDWOF</v>
      </c>
      <c r="J519" s="182" t="str">
        <f>'RSD (DEA)'!AI82</f>
        <v/>
      </c>
      <c r="K519" s="235" t="str">
        <f>'RSD (DEA)'!AK82</f>
        <v>RWAPA</v>
      </c>
      <c r="L519" s="235"/>
      <c r="M519" s="182">
        <f t="shared" si="134"/>
        <v>2019</v>
      </c>
      <c r="N519" s="182">
        <f>'RSD (DEA)'!X82</f>
        <v>2015</v>
      </c>
      <c r="O519" s="182">
        <f t="shared" si="133"/>
        <v>2019</v>
      </c>
      <c r="P519" s="183">
        <f>'RSD (DEA)'!AZ82</f>
        <v>0.8</v>
      </c>
      <c r="Q519" s="183">
        <f>'RSD (DEA)'!BA82</f>
        <v>0.8</v>
      </c>
      <c r="R519" s="182">
        <f>'RSD (DEA)'!BR82/'RSD (DEA)'!S82</f>
        <v>7.2156250000000002</v>
      </c>
      <c r="S519" s="182">
        <f>'RSD (DEA)'!BS82/X_RSD_HeatingDemand!$AA$8</f>
        <v>0</v>
      </c>
      <c r="T519" s="252">
        <f>'RSD (DEA)'!BK82*X_RSD_HeatingDemand!$AA$9/'RSD (DEA)'!S82</f>
        <v>393.75</v>
      </c>
      <c r="U519" s="182">
        <f>'RSD (DEA)'!BI82</f>
        <v>20</v>
      </c>
      <c r="V519" s="182"/>
      <c r="W519" s="236">
        <f>'RSD (DEA)'!AM82</f>
        <v>31.536000000000001</v>
      </c>
    </row>
    <row r="520" spans="1:23" x14ac:dyDescent="0.3">
      <c r="A520" s="316"/>
      <c r="B520" s="235" t="str">
        <f>'RSD (DEA)'!AJ83&amp;"_"&amp;'RSD (DEA)'!Z83</f>
        <v>RHAPA_B_WOF_04</v>
      </c>
      <c r="C520" s="318"/>
      <c r="D520" s="235" t="str">
        <f t="shared" ref="D520:D582" si="135">IF(B520=B519,LEFT(B520,LEN(B520)-2)&amp;IF(RIGHT(D519)+1&lt;9,"0"&amp;RIGHT(D519)+1,RIGHT(D519)+1),B520)</f>
        <v>RHAPA_B_WOF_05</v>
      </c>
      <c r="E520" s="235" t="str">
        <f>'RSD (DEA)'!Q83</f>
        <v>Biomass boilers</v>
      </c>
      <c r="F520" s="242" t="s">
        <v>239</v>
      </c>
      <c r="G520" s="242" t="s">
        <v>240</v>
      </c>
      <c r="H520" s="235">
        <f>'RSD (DEA)'!S83</f>
        <v>160</v>
      </c>
      <c r="I520" s="235" t="str">
        <f>IF(OR(RIGHT('RSD (DEA)'!AH83,3)="BIO",RIGHT(AD520,3)="BOA"),LEFT('RSD (DEA)'!AH83,3)&amp;"BFW",'RSD (DEA)'!AH83)</f>
        <v>RSDWOF</v>
      </c>
      <c r="J520" s="182" t="str">
        <f>'RSD (DEA)'!AI83</f>
        <v/>
      </c>
      <c r="K520" s="235" t="str">
        <f>'RSD (DEA)'!AK83</f>
        <v>RWAPA</v>
      </c>
      <c r="L520" s="235"/>
      <c r="M520" s="182">
        <f t="shared" si="134"/>
        <v>2019</v>
      </c>
      <c r="N520" s="182">
        <f>'RSD (DEA)'!X83</f>
        <v>2020</v>
      </c>
      <c r="O520" s="182">
        <f t="shared" si="133"/>
        <v>2020</v>
      </c>
      <c r="P520" s="183">
        <f>'RSD (DEA)'!AZ83</f>
        <v>0.85</v>
      </c>
      <c r="Q520" s="183">
        <f>'RSD (DEA)'!BA83</f>
        <v>0.85</v>
      </c>
      <c r="R520" s="182">
        <f>'RSD (DEA)'!BR83/'RSD (DEA)'!S83</f>
        <v>7.0625</v>
      </c>
      <c r="S520" s="182">
        <f>'RSD (DEA)'!BS83/X_RSD_HeatingDemand!$AA$8</f>
        <v>0</v>
      </c>
      <c r="T520" s="252">
        <f>'RSD (DEA)'!BK83*X_RSD_HeatingDemand!$AA$9/'RSD (DEA)'!S83</f>
        <v>381.25</v>
      </c>
      <c r="U520" s="182">
        <f>'RSD (DEA)'!BI83</f>
        <v>20</v>
      </c>
      <c r="V520" s="182"/>
      <c r="W520" s="236">
        <f>'RSD (DEA)'!AM83</f>
        <v>31.536000000000001</v>
      </c>
    </row>
    <row r="521" spans="1:23" x14ac:dyDescent="0.3">
      <c r="A521" s="316"/>
      <c r="B521" s="235" t="str">
        <f>'RSD (DEA)'!AJ84&amp;"_"&amp;'RSD (DEA)'!Z84</f>
        <v>RHAPA_B_WOF_04</v>
      </c>
      <c r="C521" s="318"/>
      <c r="D521" s="235" t="str">
        <f t="shared" si="135"/>
        <v>RHAPA_B_WOF_06</v>
      </c>
      <c r="E521" s="235" t="str">
        <f>'RSD (DEA)'!Q84</f>
        <v>Biomass boilers</v>
      </c>
      <c r="F521" s="242" t="s">
        <v>239</v>
      </c>
      <c r="G521" s="242" t="s">
        <v>240</v>
      </c>
      <c r="H521" s="235">
        <f>'RSD (DEA)'!S84</f>
        <v>160</v>
      </c>
      <c r="I521" s="235" t="str">
        <f>IF(OR(RIGHT('RSD (DEA)'!AH84,3)="BIO",RIGHT(AD521,3)="BOA"),LEFT('RSD (DEA)'!AH84,3)&amp;"BFW",'RSD (DEA)'!AH84)</f>
        <v>RSDWOF</v>
      </c>
      <c r="J521" s="182" t="str">
        <f>'RSD (DEA)'!AI84</f>
        <v/>
      </c>
      <c r="K521" s="235" t="str">
        <f>'RSD (DEA)'!AK84</f>
        <v>RWAPA</v>
      </c>
      <c r="L521" s="235"/>
      <c r="M521" s="182">
        <f t="shared" si="134"/>
        <v>2019</v>
      </c>
      <c r="N521" s="182">
        <f>'RSD (DEA)'!X84</f>
        <v>2030</v>
      </c>
      <c r="O521" s="182">
        <f t="shared" si="133"/>
        <v>2030</v>
      </c>
      <c r="P521" s="183">
        <f>'RSD (DEA)'!AZ84</f>
        <v>0.9</v>
      </c>
      <c r="Q521" s="183">
        <f>'RSD (DEA)'!BA84</f>
        <v>0.9</v>
      </c>
      <c r="R521" s="182">
        <f>'RSD (DEA)'!BR84/'RSD (DEA)'!S84</f>
        <v>6.9812500000000002</v>
      </c>
      <c r="S521" s="182">
        <f>'RSD (DEA)'!BS84/X_RSD_HeatingDemand!$AA$8</f>
        <v>0</v>
      </c>
      <c r="T521" s="252">
        <f>'RSD (DEA)'!BK84*X_RSD_HeatingDemand!$AA$9/'RSD (DEA)'!S84</f>
        <v>362.5</v>
      </c>
      <c r="U521" s="182">
        <f>'RSD (DEA)'!BI84</f>
        <v>20</v>
      </c>
      <c r="V521" s="182"/>
      <c r="W521" s="236">
        <f>'RSD (DEA)'!AM84</f>
        <v>31.536000000000001</v>
      </c>
    </row>
    <row r="522" spans="1:23" x14ac:dyDescent="0.3">
      <c r="A522" s="316"/>
      <c r="B522" s="235" t="str">
        <f>'RSD (DEA)'!AJ85&amp;"_"&amp;'RSD (DEA)'!Z85</f>
        <v>RHAPA_B_WOF_04</v>
      </c>
      <c r="C522" s="318"/>
      <c r="D522" s="235" t="str">
        <f t="shared" si="135"/>
        <v>RHAPA_B_WOF_07</v>
      </c>
      <c r="E522" s="235" t="str">
        <f>'RSD (DEA)'!Q85</f>
        <v>Biomass boilers</v>
      </c>
      <c r="F522" s="242" t="s">
        <v>239</v>
      </c>
      <c r="G522" s="242" t="s">
        <v>240</v>
      </c>
      <c r="H522" s="235">
        <f>'RSD (DEA)'!S85</f>
        <v>160</v>
      </c>
      <c r="I522" s="235" t="str">
        <f>IF(OR(RIGHT('RSD (DEA)'!AH85,3)="BIO",RIGHT(AD522,3)="BOA"),LEFT('RSD (DEA)'!AH85,3)&amp;"BFW",'RSD (DEA)'!AH85)</f>
        <v>RSDWOF</v>
      </c>
      <c r="J522" s="182" t="str">
        <f>'RSD (DEA)'!AI85</f>
        <v/>
      </c>
      <c r="K522" s="235" t="str">
        <f>'RSD (DEA)'!AK85</f>
        <v>RWAPA</v>
      </c>
      <c r="L522" s="235"/>
      <c r="M522" s="182">
        <f t="shared" si="134"/>
        <v>2019</v>
      </c>
      <c r="N522" s="182">
        <f>'RSD (DEA)'!X85</f>
        <v>2050</v>
      </c>
      <c r="O522" s="182">
        <f t="shared" si="133"/>
        <v>2050</v>
      </c>
      <c r="P522" s="183">
        <f>'RSD (DEA)'!AZ85</f>
        <v>0.9</v>
      </c>
      <c r="Q522" s="183">
        <f>'RSD (DEA)'!BA85</f>
        <v>0.9</v>
      </c>
      <c r="R522" s="182">
        <f>'RSD (DEA)'!BR85/'RSD (DEA)'!S85</f>
        <v>6.4749999999999996</v>
      </c>
      <c r="S522" s="182">
        <f>'RSD (DEA)'!BS85/X_RSD_HeatingDemand!$AA$8</f>
        <v>0</v>
      </c>
      <c r="T522" s="252">
        <f>'RSD (DEA)'!BK85*X_RSD_HeatingDemand!$AA$9/'RSD (DEA)'!S85</f>
        <v>331.25</v>
      </c>
      <c r="U522" s="182">
        <f>'RSD (DEA)'!BI85</f>
        <v>20</v>
      </c>
      <c r="V522" s="182"/>
      <c r="W522" s="236">
        <f>'RSD (DEA)'!AM85</f>
        <v>31.536000000000001</v>
      </c>
    </row>
    <row r="523" spans="1:23" x14ac:dyDescent="0.3">
      <c r="A523" s="316"/>
      <c r="B523" s="235" t="str">
        <f>'RSD (DEA)'!AJ86&amp;"_"&amp;'RSD (DEA)'!Z86</f>
        <v>RHHSB_B_WOF_05</v>
      </c>
      <c r="C523" s="318"/>
      <c r="D523" s="235" t="str">
        <f t="shared" si="135"/>
        <v>RHHSB_B_WOF_05</v>
      </c>
      <c r="E523" s="235" t="str">
        <f>'RSD (DEA)'!Q86</f>
        <v>Biomass boilers</v>
      </c>
      <c r="F523" s="242" t="s">
        <v>239</v>
      </c>
      <c r="G523" s="242" t="s">
        <v>240</v>
      </c>
      <c r="H523" s="235">
        <f>'RSD (DEA)'!S86</f>
        <v>35</v>
      </c>
      <c r="I523" s="235" t="str">
        <f>IF(OR(RIGHT('RSD (DEA)'!AH86,3)="BIO",RIGHT(AD523,3)="BOA"),LEFT('RSD (DEA)'!AH86,3)&amp;"BFW",'RSD (DEA)'!AH86)</f>
        <v>RSDWOF</v>
      </c>
      <c r="J523" s="182" t="str">
        <f>'RSD (DEA)'!AI86</f>
        <v/>
      </c>
      <c r="K523" s="235" t="str">
        <f>'RSD (DEA)'!AK86</f>
        <v>RWHSB</v>
      </c>
      <c r="L523" s="235"/>
      <c r="M523" s="182">
        <f t="shared" si="134"/>
        <v>2019</v>
      </c>
      <c r="N523" s="182">
        <f>'RSD (DEA)'!X86</f>
        <v>2015</v>
      </c>
      <c r="O523" s="182">
        <f t="shared" si="133"/>
        <v>2019</v>
      </c>
      <c r="P523" s="183">
        <f>'RSD (DEA)'!AZ86</f>
        <v>0.8</v>
      </c>
      <c r="Q523" s="183">
        <f>'RSD (DEA)'!BA86</f>
        <v>0.8</v>
      </c>
      <c r="R523" s="182">
        <f>'RSD (DEA)'!BR86/'RSD (DEA)'!S86</f>
        <v>13.307142857142857</v>
      </c>
      <c r="S523" s="182">
        <f>'RSD (DEA)'!BS86/X_RSD_HeatingDemand!$AA$8</f>
        <v>0</v>
      </c>
      <c r="T523" s="252">
        <f>'RSD (DEA)'!BK86*X_RSD_HeatingDemand!$AA$9/'RSD (DEA)'!S86</f>
        <v>288.57142857142856</v>
      </c>
      <c r="U523" s="182">
        <f>'RSD (DEA)'!BI86</f>
        <v>20</v>
      </c>
      <c r="V523" s="182"/>
      <c r="W523" s="236">
        <f>'RSD (DEA)'!AM86</f>
        <v>31.536000000000001</v>
      </c>
    </row>
    <row r="524" spans="1:23" x14ac:dyDescent="0.3">
      <c r="A524" s="316"/>
      <c r="B524" s="235" t="str">
        <f>'RSD (DEA)'!AJ87&amp;"_"&amp;'RSD (DEA)'!Z87</f>
        <v>RHHSB_B_WOF_05</v>
      </c>
      <c r="C524" s="318"/>
      <c r="D524" s="235" t="str">
        <f t="shared" si="135"/>
        <v>RHHSB_B_WOF_06</v>
      </c>
      <c r="E524" s="235" t="str">
        <f>'RSD (DEA)'!Q87</f>
        <v>Biomass boilers</v>
      </c>
      <c r="F524" s="242" t="s">
        <v>239</v>
      </c>
      <c r="G524" s="242" t="s">
        <v>240</v>
      </c>
      <c r="H524" s="235">
        <f>'RSD (DEA)'!S87</f>
        <v>30</v>
      </c>
      <c r="I524" s="235" t="str">
        <f>IF(OR(RIGHT('RSD (DEA)'!AH87,3)="BIO",RIGHT(AD524,3)="BOA"),LEFT('RSD (DEA)'!AH87,3)&amp;"BFW",'RSD (DEA)'!AH87)</f>
        <v>RSDWOF</v>
      </c>
      <c r="J524" s="182" t="str">
        <f>'RSD (DEA)'!AI87</f>
        <v/>
      </c>
      <c r="K524" s="235" t="str">
        <f>'RSD (DEA)'!AK87</f>
        <v>RWHSB</v>
      </c>
      <c r="L524" s="235"/>
      <c r="M524" s="182">
        <f t="shared" si="134"/>
        <v>2019</v>
      </c>
      <c r="N524" s="182">
        <f>'RSD (DEA)'!X87</f>
        <v>2020</v>
      </c>
      <c r="O524" s="182">
        <f t="shared" si="133"/>
        <v>2020</v>
      </c>
      <c r="P524" s="183">
        <f>'RSD (DEA)'!AZ87</f>
        <v>0.82</v>
      </c>
      <c r="Q524" s="183">
        <f>'RSD (DEA)'!BA87</f>
        <v>0.82</v>
      </c>
      <c r="R524" s="182">
        <f>'RSD (DEA)'!BR87/'RSD (DEA)'!S87</f>
        <v>15.166666666666666</v>
      </c>
      <c r="S524" s="182">
        <f>'RSD (DEA)'!BS87/X_RSD_HeatingDemand!$AA$8</f>
        <v>0</v>
      </c>
      <c r="T524" s="252">
        <f>'RSD (DEA)'!BK87*X_RSD_HeatingDemand!$AA$9/'RSD (DEA)'!S87</f>
        <v>336.66666666666669</v>
      </c>
      <c r="U524" s="182">
        <f>'RSD (DEA)'!BI87</f>
        <v>20</v>
      </c>
      <c r="V524" s="182"/>
      <c r="W524" s="236">
        <f>'RSD (DEA)'!AM87</f>
        <v>31.536000000000001</v>
      </c>
    </row>
    <row r="525" spans="1:23" x14ac:dyDescent="0.3">
      <c r="A525" s="316"/>
      <c r="B525" s="235" t="str">
        <f>'RSD (DEA)'!AJ88&amp;"_"&amp;'RSD (DEA)'!Z88</f>
        <v>RHHSB_B_WOF_05</v>
      </c>
      <c r="C525" s="318"/>
      <c r="D525" s="235" t="str">
        <f t="shared" si="135"/>
        <v>RHHSB_B_WOF_07</v>
      </c>
      <c r="E525" s="235" t="str">
        <f>'RSD (DEA)'!Q88</f>
        <v>Biomass boilers</v>
      </c>
      <c r="F525" s="242" t="s">
        <v>239</v>
      </c>
      <c r="G525" s="242" t="s">
        <v>240</v>
      </c>
      <c r="H525" s="235">
        <f>'RSD (DEA)'!S88</f>
        <v>25</v>
      </c>
      <c r="I525" s="235" t="str">
        <f>IF(OR(RIGHT('RSD (DEA)'!AH88,3)="BIO",RIGHT(AD525,3)="BOA"),LEFT('RSD (DEA)'!AH88,3)&amp;"BFW",'RSD (DEA)'!AH88)</f>
        <v>RSDWOF</v>
      </c>
      <c r="J525" s="182" t="str">
        <f>'RSD (DEA)'!AI88</f>
        <v/>
      </c>
      <c r="K525" s="235" t="str">
        <f>'RSD (DEA)'!AK88</f>
        <v>RWHSB</v>
      </c>
      <c r="L525" s="235"/>
      <c r="M525" s="182">
        <f t="shared" si="134"/>
        <v>2019</v>
      </c>
      <c r="N525" s="182">
        <f>'RSD (DEA)'!X88</f>
        <v>2030</v>
      </c>
      <c r="O525" s="182">
        <f t="shared" si="133"/>
        <v>2030</v>
      </c>
      <c r="P525" s="183">
        <f>'RSD (DEA)'!AZ88</f>
        <v>0.86</v>
      </c>
      <c r="Q525" s="183">
        <f>'RSD (DEA)'!BA88</f>
        <v>0.86</v>
      </c>
      <c r="R525" s="182">
        <f>'RSD (DEA)'!BR88/'RSD (DEA)'!S88</f>
        <v>17.600000000000001</v>
      </c>
      <c r="S525" s="182">
        <f>'RSD (DEA)'!BS88/X_RSD_HeatingDemand!$AA$8</f>
        <v>0</v>
      </c>
      <c r="T525" s="252">
        <f>'RSD (DEA)'!BK88*X_RSD_HeatingDemand!$AA$9/'RSD (DEA)'!S88</f>
        <v>360</v>
      </c>
      <c r="U525" s="182">
        <f>'RSD (DEA)'!BI88</f>
        <v>20</v>
      </c>
      <c r="V525" s="182"/>
      <c r="W525" s="236">
        <f>'RSD (DEA)'!AM88</f>
        <v>31.536000000000001</v>
      </c>
    </row>
    <row r="526" spans="1:23" x14ac:dyDescent="0.3">
      <c r="A526" s="316"/>
      <c r="B526" s="235" t="str">
        <f>'RSD (DEA)'!AJ89&amp;"_"&amp;'RSD (DEA)'!Z89</f>
        <v>RHHSB_B_WOF_05</v>
      </c>
      <c r="C526" s="318"/>
      <c r="D526" s="235" t="str">
        <f t="shared" si="135"/>
        <v>RHHSB_B_WOF_08</v>
      </c>
      <c r="E526" s="235" t="str">
        <f>'RSD (DEA)'!Q89</f>
        <v>Biomass boilers</v>
      </c>
      <c r="F526" s="242" t="s">
        <v>239</v>
      </c>
      <c r="G526" s="242" t="s">
        <v>240</v>
      </c>
      <c r="H526" s="235">
        <f>'RSD (DEA)'!S89</f>
        <v>25</v>
      </c>
      <c r="I526" s="235" t="str">
        <f>IF(OR(RIGHT('RSD (DEA)'!AH89,3)="BIO",RIGHT(AD526,3)="BOA"),LEFT('RSD (DEA)'!AH89,3)&amp;"BFW",'RSD (DEA)'!AH89)</f>
        <v>RSDWOF</v>
      </c>
      <c r="J526" s="182" t="str">
        <f>'RSD (DEA)'!AI89</f>
        <v/>
      </c>
      <c r="K526" s="235" t="str">
        <f>'RSD (DEA)'!AK89</f>
        <v>RWHSB</v>
      </c>
      <c r="L526" s="235"/>
      <c r="M526" s="182">
        <f t="shared" si="134"/>
        <v>2019</v>
      </c>
      <c r="N526" s="182">
        <f>'RSD (DEA)'!X89</f>
        <v>2050</v>
      </c>
      <c r="O526" s="182">
        <f t="shared" si="133"/>
        <v>2050</v>
      </c>
      <c r="P526" s="183">
        <f>'RSD (DEA)'!AZ89</f>
        <v>0.88</v>
      </c>
      <c r="Q526" s="183">
        <f>'RSD (DEA)'!BA89</f>
        <v>0.88</v>
      </c>
      <c r="R526" s="182">
        <f>'RSD (DEA)'!BR89/'RSD (DEA)'!S89</f>
        <v>16.04</v>
      </c>
      <c r="S526" s="182">
        <f>'RSD (DEA)'!BS89/X_RSD_HeatingDemand!$AA$8</f>
        <v>0</v>
      </c>
      <c r="T526" s="252">
        <f>'RSD (DEA)'!BK89*X_RSD_HeatingDemand!$AA$9/'RSD (DEA)'!S89</f>
        <v>320</v>
      </c>
      <c r="U526" s="182">
        <f>'RSD (DEA)'!BI89</f>
        <v>20</v>
      </c>
      <c r="V526" s="182"/>
      <c r="W526" s="236">
        <f>'RSD (DEA)'!AM89</f>
        <v>31.536000000000001</v>
      </c>
    </row>
    <row r="527" spans="1:23" x14ac:dyDescent="0.3">
      <c r="A527" s="316"/>
      <c r="B527" s="235" t="str">
        <f>'RSD (DEA)'!AJ94&amp;"_"&amp;'RSD (DEA)'!Z94</f>
        <v>RHHSB_S_WOF_02</v>
      </c>
      <c r="C527" s="318"/>
      <c r="D527" s="235" t="str">
        <f t="shared" si="135"/>
        <v>RHHSB_S_WOF_02</v>
      </c>
      <c r="E527" s="235" t="str">
        <f>'RSD (DEA)'!Q94</f>
        <v>Wood stove</v>
      </c>
      <c r="F527" s="242" t="s">
        <v>239</v>
      </c>
      <c r="G527" s="242" t="s">
        <v>240</v>
      </c>
      <c r="H527" s="235">
        <f>'RSD (DEA)'!S94</f>
        <v>15</v>
      </c>
      <c r="I527" s="235" t="str">
        <f>IF(OR(RIGHT('RSD (DEA)'!AH94,3)="BIO",RIGHT(AD531,3)="BOA"),LEFT('RSD (DEA)'!AH94,3)&amp;"BFW",'RSD (DEA)'!AH94)</f>
        <v>RSDWOF</v>
      </c>
      <c r="J527" s="182" t="str">
        <f>'RSD (DEA)'!AI94</f>
        <v/>
      </c>
      <c r="K527" s="235" t="str">
        <f>'RSD (DEA)'!AK94</f>
        <v>RWHSB</v>
      </c>
      <c r="L527" s="235"/>
      <c r="M527" s="182">
        <f t="shared" si="134"/>
        <v>2019</v>
      </c>
      <c r="N527" s="182">
        <f>'RSD (DEA)'!X94</f>
        <v>2015</v>
      </c>
      <c r="O527" s="182">
        <f t="shared" si="133"/>
        <v>2019</v>
      </c>
      <c r="P527" s="183">
        <f>'RSD (DEA)'!AZ94</f>
        <v>0.65</v>
      </c>
      <c r="Q527" s="183">
        <f>'RSD (DEA)'!BA94</f>
        <v>0.65</v>
      </c>
      <c r="R527" s="182">
        <f>'RSD (DEA)'!BR94/'RSD (DEA)'!S94</f>
        <v>13.963333333333333</v>
      </c>
      <c r="S527" s="182">
        <f>'RSD (DEA)'!BS94/X_RSD_HeatingDemand!$AA$8</f>
        <v>0</v>
      </c>
      <c r="T527" s="252">
        <f>'RSD (DEA)'!BK90*X_RSD_HeatingDemand!$AA$9/'RSD (DEA)'!S90</f>
        <v>683.33333333333337</v>
      </c>
      <c r="U527" s="182">
        <f>'RSD (DEA)'!BI94</f>
        <v>20</v>
      </c>
      <c r="V527" s="182"/>
      <c r="W527" s="236">
        <f>'RSD (DEA)'!AM94</f>
        <v>31.536000000000001</v>
      </c>
    </row>
    <row r="528" spans="1:23" x14ac:dyDescent="0.3">
      <c r="A528" s="316"/>
      <c r="B528" s="235" t="str">
        <f>'RSD (DEA)'!AJ95&amp;"_"&amp;'RSD (DEA)'!Z95</f>
        <v>RHHSB_S_WOF_02</v>
      </c>
      <c r="C528" s="318"/>
      <c r="D528" s="235" t="str">
        <f t="shared" si="135"/>
        <v>RHHSB_S_WOF_03</v>
      </c>
      <c r="E528" s="235" t="str">
        <f>'RSD (DEA)'!Q95</f>
        <v>Wood stove</v>
      </c>
      <c r="F528" s="242" t="s">
        <v>239</v>
      </c>
      <c r="G528" s="242" t="s">
        <v>240</v>
      </c>
      <c r="H528" s="235">
        <f>'RSD (DEA)'!S95</f>
        <v>12</v>
      </c>
      <c r="I528" s="235" t="str">
        <f>IF(OR(RIGHT('RSD (DEA)'!AH95,3)="BIO",RIGHT(AD532,3)="BOA"),LEFT('RSD (DEA)'!AH95,3)&amp;"BFW",'RSD (DEA)'!AH95)</f>
        <v>RSDWOF</v>
      </c>
      <c r="J528" s="182" t="str">
        <f>'RSD (DEA)'!AI95</f>
        <v/>
      </c>
      <c r="K528" s="235" t="str">
        <f>'RSD (DEA)'!AK95</f>
        <v>RWHSB</v>
      </c>
      <c r="L528" s="235"/>
      <c r="M528" s="182">
        <f t="shared" si="134"/>
        <v>2019</v>
      </c>
      <c r="N528" s="182">
        <f>'RSD (DEA)'!X95</f>
        <v>2020</v>
      </c>
      <c r="O528" s="182">
        <f t="shared" si="133"/>
        <v>2020</v>
      </c>
      <c r="P528" s="183">
        <f>'RSD (DEA)'!AZ95</f>
        <v>0.7</v>
      </c>
      <c r="Q528" s="183">
        <f>'RSD (DEA)'!BA95</f>
        <v>0.7</v>
      </c>
      <c r="R528" s="182">
        <f>'RSD (DEA)'!BR95/'RSD (DEA)'!S95</f>
        <v>17.083333333333332</v>
      </c>
      <c r="S528" s="182">
        <f>'RSD (DEA)'!BS95/X_RSD_HeatingDemand!$AA$8</f>
        <v>0</v>
      </c>
      <c r="T528" s="252">
        <f>'RSD (DEA)'!BK91*X_RSD_HeatingDemand!$AA$9/'RSD (DEA)'!S91</f>
        <v>820</v>
      </c>
      <c r="U528" s="182">
        <f>'RSD (DEA)'!BI95</f>
        <v>20</v>
      </c>
      <c r="V528" s="182"/>
      <c r="W528" s="236">
        <f>'RSD (DEA)'!AM95</f>
        <v>31.536000000000001</v>
      </c>
    </row>
    <row r="529" spans="1:23" x14ac:dyDescent="0.3">
      <c r="A529" s="316"/>
      <c r="B529" s="235" t="str">
        <f>'RSD (DEA)'!AJ96&amp;"_"&amp;'RSD (DEA)'!Z96</f>
        <v>RHHSB_S_WOF_02</v>
      </c>
      <c r="C529" s="318"/>
      <c r="D529" s="235" t="str">
        <f t="shared" si="135"/>
        <v>RHHSB_S_WOF_04</v>
      </c>
      <c r="E529" s="235" t="str">
        <f>'RSD (DEA)'!Q96</f>
        <v>Wood stove</v>
      </c>
      <c r="F529" s="242" t="s">
        <v>239</v>
      </c>
      <c r="G529" s="242" t="s">
        <v>240</v>
      </c>
      <c r="H529" s="235">
        <f>'RSD (DEA)'!S96</f>
        <v>10</v>
      </c>
      <c r="I529" s="235" t="str">
        <f>IF(OR(RIGHT('RSD (DEA)'!AH96,3)="BIO",RIGHT(AD533,3)="BOA"),LEFT('RSD (DEA)'!AH96,3)&amp;"BFW",'RSD (DEA)'!AH96)</f>
        <v>RSDWOF</v>
      </c>
      <c r="J529" s="182" t="str">
        <f>'RSD (DEA)'!AI96</f>
        <v/>
      </c>
      <c r="K529" s="235" t="str">
        <f>'RSD (DEA)'!AK96</f>
        <v>RWHSB</v>
      </c>
      <c r="L529" s="235"/>
      <c r="M529" s="182">
        <f t="shared" si="134"/>
        <v>2019</v>
      </c>
      <c r="N529" s="182">
        <f>'RSD (DEA)'!X96</f>
        <v>2030</v>
      </c>
      <c r="O529" s="182">
        <f t="shared" si="133"/>
        <v>2030</v>
      </c>
      <c r="P529" s="183">
        <f>'RSD (DEA)'!AZ96</f>
        <v>0.75</v>
      </c>
      <c r="Q529" s="183">
        <f>'RSD (DEA)'!BA96</f>
        <v>0.75</v>
      </c>
      <c r="R529" s="182">
        <f>'RSD (DEA)'!BR96/'RSD (DEA)'!S96</f>
        <v>26.3</v>
      </c>
      <c r="S529" s="182">
        <f>'RSD (DEA)'!BS96/X_RSD_HeatingDemand!$AA$8</f>
        <v>0</v>
      </c>
      <c r="T529" s="252">
        <f>'RSD (DEA)'!BK92*X_RSD_HeatingDemand!$AA$9/'RSD (DEA)'!S92</f>
        <v>1250</v>
      </c>
      <c r="U529" s="182">
        <f>'RSD (DEA)'!BI96</f>
        <v>20</v>
      </c>
      <c r="V529" s="182"/>
      <c r="W529" s="236">
        <f>'RSD (DEA)'!AM96</f>
        <v>31.536000000000001</v>
      </c>
    </row>
    <row r="530" spans="1:23" x14ac:dyDescent="0.3">
      <c r="A530" s="316"/>
      <c r="B530" s="235" t="str">
        <f>'RSD (DEA)'!AJ97&amp;"_"&amp;'RSD (DEA)'!Z97</f>
        <v>RHHSB_S_WOF_02</v>
      </c>
      <c r="C530" s="318"/>
      <c r="D530" s="235" t="str">
        <f t="shared" si="135"/>
        <v>RHHSB_S_WOF_05</v>
      </c>
      <c r="E530" s="235" t="str">
        <f>'RSD (DEA)'!Q97</f>
        <v>Wood stove</v>
      </c>
      <c r="F530" s="242" t="s">
        <v>239</v>
      </c>
      <c r="G530" s="242" t="s">
        <v>240</v>
      </c>
      <c r="H530" s="235">
        <f>'RSD (DEA)'!S97</f>
        <v>10</v>
      </c>
      <c r="I530" s="235" t="str">
        <f>IF(OR(RIGHT('RSD (DEA)'!AH97,3)="BIO",RIGHT(AD534,3)="BOA"),LEFT('RSD (DEA)'!AH97,3)&amp;"BFW",'RSD (DEA)'!AH97)</f>
        <v>RSDWOF</v>
      </c>
      <c r="J530" s="182" t="str">
        <f>'RSD (DEA)'!AI97</f>
        <v/>
      </c>
      <c r="K530" s="235" t="str">
        <f>'RSD (DEA)'!AK97</f>
        <v>RWHSB</v>
      </c>
      <c r="L530" s="235"/>
      <c r="M530" s="182">
        <f t="shared" si="134"/>
        <v>2019</v>
      </c>
      <c r="N530" s="182">
        <f>'RSD (DEA)'!X97</f>
        <v>2050</v>
      </c>
      <c r="O530" s="182">
        <f t="shared" si="133"/>
        <v>2050</v>
      </c>
      <c r="P530" s="183">
        <f>'RSD (DEA)'!AZ97</f>
        <v>0.75</v>
      </c>
      <c r="Q530" s="183">
        <f>'RSD (DEA)'!BA97</f>
        <v>0.75</v>
      </c>
      <c r="R530" s="182">
        <f>'RSD (DEA)'!BR97/'RSD (DEA)'!S97</f>
        <v>25.3</v>
      </c>
      <c r="S530" s="182">
        <f>'RSD (DEA)'!BS97/X_RSD_HeatingDemand!$AA$8</f>
        <v>0</v>
      </c>
      <c r="T530" s="252">
        <f>'RSD (DEA)'!BK93*X_RSD_HeatingDemand!$AA$9/'RSD (DEA)'!S93</f>
        <v>1000</v>
      </c>
      <c r="U530" s="182">
        <f>'RSD (DEA)'!BI97</f>
        <v>20</v>
      </c>
      <c r="V530" s="182"/>
      <c r="W530" s="236">
        <f>'RSD (DEA)'!AM97</f>
        <v>31.536000000000001</v>
      </c>
    </row>
    <row r="531" spans="1:23" x14ac:dyDescent="0.3">
      <c r="A531" s="316"/>
      <c r="B531" s="244" t="str">
        <f>'RSD (DEA)'!AJ100&amp;"_"&amp;'RSD (DEA)'!Z100</f>
        <v>RHHSC_HP_ELC_01</v>
      </c>
      <c r="C531" s="318"/>
      <c r="D531" s="235" t="str">
        <f t="shared" si="135"/>
        <v>RHHSC_HP_ELC_01</v>
      </c>
      <c r="E531" s="244" t="str">
        <f>'RSD (DEA)'!Q100</f>
        <v>Electric heat pumps</v>
      </c>
      <c r="F531" s="255" t="s">
        <v>239</v>
      </c>
      <c r="G531" s="255" t="s">
        <v>240</v>
      </c>
      <c r="H531" s="244">
        <f>'RSD (DEA)'!S100</f>
        <v>6</v>
      </c>
      <c r="I531" s="244" t="str">
        <f>IF(OR(RIGHT('RSD (DEA)'!AH100,3)="BIO",RIGHT(AD537,3)="BOA"),LEFT('RSD (DEA)'!AH100,3)&amp;"BFW",'RSD (DEA)'!AH100)</f>
        <v>RSDELC</v>
      </c>
      <c r="J531" s="252" t="str">
        <f>'RSD (DEA)'!AI100</f>
        <v>RSDAHT</v>
      </c>
      <c r="K531" s="244" t="str">
        <f>'RSD (DEA)'!AK100</f>
        <v>RWHSC</v>
      </c>
      <c r="L531" s="244"/>
      <c r="M531" s="182">
        <f t="shared" si="134"/>
        <v>2019</v>
      </c>
      <c r="N531" s="252">
        <f>'RSD (DEA)'!X100</f>
        <v>2030</v>
      </c>
      <c r="O531" s="182">
        <f t="shared" si="133"/>
        <v>2030</v>
      </c>
      <c r="P531" s="256">
        <f>'RSD (DEA)'!AZ100</f>
        <v>4.0999999999999996</v>
      </c>
      <c r="Q531" s="256">
        <f>'RSD (DEA)'!BA100</f>
        <v>4.0999999999999996</v>
      </c>
      <c r="R531" s="252">
        <f>'RSD (DEA)'!BR100/'RSD (DEA)'!S100</f>
        <v>24.333333333333332</v>
      </c>
      <c r="S531" s="252">
        <f>'RSD (DEA)'!BS100/X_RSD_HeatingDemand!$AA$8</f>
        <v>0</v>
      </c>
      <c r="T531" s="252">
        <f>'RSD (DEA)'!BK94*X_RSD_HeatingDemand!$AA$9/'RSD (DEA)'!S94</f>
        <v>373.33333333333331</v>
      </c>
      <c r="U531" s="252">
        <f>'RSD (DEA)'!BI100</f>
        <v>12</v>
      </c>
      <c r="V531" s="252"/>
      <c r="W531" s="257">
        <f>'RSD (DEA)'!AM100</f>
        <v>31.536000000000001</v>
      </c>
    </row>
    <row r="532" spans="1:23" x14ac:dyDescent="0.3">
      <c r="A532" s="316"/>
      <c r="B532" s="235"/>
      <c r="C532" s="318"/>
      <c r="D532" s="235"/>
      <c r="E532" s="235"/>
      <c r="F532" s="242"/>
      <c r="G532" s="242"/>
      <c r="H532" s="235"/>
      <c r="I532" s="235"/>
      <c r="J532" s="182" t="str">
        <f>J531</f>
        <v>RSDAHT</v>
      </c>
      <c r="K532" s="235"/>
      <c r="L532" s="244" t="str">
        <f>$AA$11</f>
        <v>ACT</v>
      </c>
      <c r="M532" s="182" t="str">
        <f t="shared" si="134"/>
        <v/>
      </c>
      <c r="N532" s="182"/>
      <c r="O532" s="182"/>
      <c r="P532" s="183"/>
      <c r="Q532" s="183"/>
      <c r="R532" s="182"/>
      <c r="S532" s="182"/>
      <c r="T532" s="252"/>
      <c r="U532" s="182"/>
      <c r="V532" s="252">
        <f t="shared" ref="V532:V595" si="136">IF(L532="ACT",1,IF(LEFT(L532,3)="RSD",-1,""))</f>
        <v>1</v>
      </c>
      <c r="W532" s="236"/>
    </row>
    <row r="533" spans="1:23" x14ac:dyDescent="0.3">
      <c r="A533" s="316"/>
      <c r="B533" s="235"/>
      <c r="C533" s="318"/>
      <c r="D533" s="235"/>
      <c r="E533" s="235"/>
      <c r="F533" s="242"/>
      <c r="G533" s="242"/>
      <c r="H533" s="235"/>
      <c r="I533" s="235"/>
      <c r="J533" s="182" t="str">
        <f>J532</f>
        <v>RSDAHT</v>
      </c>
      <c r="K533" s="235"/>
      <c r="L533" s="244" t="str">
        <f>I531</f>
        <v>RSDELC</v>
      </c>
      <c r="M533" s="182" t="str">
        <f t="shared" si="134"/>
        <v/>
      </c>
      <c r="N533" s="182"/>
      <c r="O533" s="182"/>
      <c r="P533" s="183"/>
      <c r="Q533" s="183"/>
      <c r="R533" s="182"/>
      <c r="S533" s="182"/>
      <c r="T533" s="252"/>
      <c r="U533" s="182"/>
      <c r="V533" s="252">
        <f t="shared" si="136"/>
        <v>-1</v>
      </c>
      <c r="W533" s="236"/>
    </row>
    <row r="534" spans="1:23" x14ac:dyDescent="0.3">
      <c r="A534" s="316"/>
      <c r="B534" s="235" t="str">
        <f>'RSD (DEA)'!AJ101&amp;"_"&amp;'RSD (DEA)'!Z101</f>
        <v>RHHSC_HP_ELC_01</v>
      </c>
      <c r="C534" s="318"/>
      <c r="D534" s="235" t="str">
        <f t="shared" si="135"/>
        <v>RHHSC_HP_ELC_01</v>
      </c>
      <c r="E534" s="235" t="str">
        <f>'RSD (DEA)'!Q101</f>
        <v>Electric heat pumps</v>
      </c>
      <c r="F534" s="242" t="s">
        <v>239</v>
      </c>
      <c r="G534" s="242" t="s">
        <v>240</v>
      </c>
      <c r="H534" s="235">
        <f>'RSD (DEA)'!S101</f>
        <v>6</v>
      </c>
      <c r="I534" s="235" t="str">
        <f>IF(OR(RIGHT('RSD (DEA)'!AH101,3)="BIO",RIGHT(AD540,3)="BOA"),LEFT('RSD (DEA)'!AH101,3)&amp;"BFW",'RSD (DEA)'!AH101)</f>
        <v>RSDELC</v>
      </c>
      <c r="J534" s="182" t="str">
        <f>'RSD (DEA)'!AI101</f>
        <v>RSDAHT</v>
      </c>
      <c r="K534" s="235" t="str">
        <f>'RSD (DEA)'!AK101</f>
        <v>RWHSC</v>
      </c>
      <c r="L534" s="244"/>
      <c r="M534" s="182">
        <f t="shared" si="134"/>
        <v>2019</v>
      </c>
      <c r="N534" s="182">
        <f>'RSD (DEA)'!X101</f>
        <v>2050</v>
      </c>
      <c r="O534" s="182">
        <f>IF(N534&lt;2019,2019,N534)</f>
        <v>2050</v>
      </c>
      <c r="P534" s="183">
        <f>'RSD (DEA)'!AZ101</f>
        <v>4.2</v>
      </c>
      <c r="Q534" s="183">
        <f>'RSD (DEA)'!BA101</f>
        <v>4.2</v>
      </c>
      <c r="R534" s="182">
        <f>'RSD (DEA)'!BR101/'RSD (DEA)'!S101</f>
        <v>22</v>
      </c>
      <c r="S534" s="182">
        <f>'RSD (DEA)'!BS101/X_RSD_HeatingDemand!$AA$8</f>
        <v>0</v>
      </c>
      <c r="T534" s="252">
        <f>'RSD (DEA)'!BK95*X_RSD_HeatingDemand!$AA$9/'RSD (DEA)'!S95</f>
        <v>466.66666666666669</v>
      </c>
      <c r="U534" s="182">
        <f>'RSD (DEA)'!BI101</f>
        <v>12</v>
      </c>
      <c r="V534" s="252" t="str">
        <f t="shared" si="136"/>
        <v/>
      </c>
      <c r="W534" s="236">
        <f>'RSD (DEA)'!AM101</f>
        <v>31.536000000000001</v>
      </c>
    </row>
    <row r="535" spans="1:23" x14ac:dyDescent="0.3">
      <c r="A535" s="316"/>
      <c r="B535" s="235"/>
      <c r="C535" s="318"/>
      <c r="D535" s="235"/>
      <c r="E535" s="235"/>
      <c r="F535" s="242"/>
      <c r="G535" s="242"/>
      <c r="H535" s="235"/>
      <c r="I535" s="235"/>
      <c r="J535" s="182" t="str">
        <f>J534</f>
        <v>RSDAHT</v>
      </c>
      <c r="K535" s="235"/>
      <c r="L535" s="244" t="str">
        <f>$AA$11</f>
        <v>ACT</v>
      </c>
      <c r="M535" s="182" t="str">
        <f t="shared" si="134"/>
        <v/>
      </c>
      <c r="N535" s="182"/>
      <c r="O535" s="182"/>
      <c r="P535" s="183"/>
      <c r="Q535" s="183"/>
      <c r="R535" s="182"/>
      <c r="S535" s="182"/>
      <c r="T535" s="252"/>
      <c r="U535" s="182"/>
      <c r="V535" s="252">
        <f t="shared" si="136"/>
        <v>1</v>
      </c>
      <c r="W535" s="236"/>
    </row>
    <row r="536" spans="1:23" x14ac:dyDescent="0.3">
      <c r="A536" s="316"/>
      <c r="B536" s="235"/>
      <c r="C536" s="318"/>
      <c r="D536" s="235"/>
      <c r="E536" s="235"/>
      <c r="F536" s="242"/>
      <c r="G536" s="242"/>
      <c r="H536" s="235"/>
      <c r="I536" s="235"/>
      <c r="J536" s="182" t="str">
        <f>J535</f>
        <v>RSDAHT</v>
      </c>
      <c r="K536" s="235"/>
      <c r="L536" s="244" t="str">
        <f>I534</f>
        <v>RSDELC</v>
      </c>
      <c r="M536" s="182" t="str">
        <f t="shared" si="134"/>
        <v/>
      </c>
      <c r="N536" s="182"/>
      <c r="O536" s="182"/>
      <c r="P536" s="183"/>
      <c r="Q536" s="183"/>
      <c r="R536" s="182"/>
      <c r="S536" s="182"/>
      <c r="T536" s="252"/>
      <c r="U536" s="182"/>
      <c r="V536" s="252">
        <f t="shared" si="136"/>
        <v>-1</v>
      </c>
      <c r="W536" s="236"/>
    </row>
    <row r="537" spans="1:23" x14ac:dyDescent="0.3">
      <c r="A537" s="316"/>
      <c r="B537" s="235" t="str">
        <f>'RSD (DEA)'!AJ104&amp;"_"&amp;'RSD (DEA)'!Z104</f>
        <v>RHHSA_HP_ELC_02</v>
      </c>
      <c r="C537" s="318"/>
      <c r="D537" s="235" t="str">
        <f t="shared" si="135"/>
        <v>RHHSA_HP_ELC_02</v>
      </c>
      <c r="E537" s="235" t="str">
        <f>'RSD (DEA)'!Q104</f>
        <v>Electric heat pumps</v>
      </c>
      <c r="F537" s="242" t="s">
        <v>239</v>
      </c>
      <c r="G537" s="242" t="s">
        <v>240</v>
      </c>
      <c r="H537" s="235">
        <f>'RSD (DEA)'!S104</f>
        <v>3.5</v>
      </c>
      <c r="I537" s="235" t="str">
        <f>IF(OR(RIGHT('RSD (DEA)'!AH104,3)="BIO",RIGHT(AD545,3)="BOA"),LEFT('RSD (DEA)'!AH104,3)&amp;"BFW",'RSD (DEA)'!AH104)</f>
        <v>RSDELC</v>
      </c>
      <c r="J537" s="182" t="str">
        <f>'RSD (DEA)'!AI104</f>
        <v>RSDAHT</v>
      </c>
      <c r="K537" s="235" t="str">
        <f>'RSD (DEA)'!AK104</f>
        <v>RWHSA</v>
      </c>
      <c r="L537" s="244"/>
      <c r="M537" s="182">
        <f t="shared" si="134"/>
        <v>2019</v>
      </c>
      <c r="N537" s="182">
        <f>'RSD (DEA)'!X104</f>
        <v>2030</v>
      </c>
      <c r="O537" s="182">
        <f>IF(N537&lt;2019,2019,N537)</f>
        <v>2030</v>
      </c>
      <c r="P537" s="183">
        <f>'RSD (DEA)'!AZ104</f>
        <v>3.4</v>
      </c>
      <c r="Q537" s="183">
        <f>'RSD (DEA)'!BA104</f>
        <v>3.4</v>
      </c>
      <c r="R537" s="182">
        <f>'RSD (DEA)'!BR104/'RSD (DEA)'!S104</f>
        <v>41.714285714285715</v>
      </c>
      <c r="S537" s="182">
        <f>'RSD (DEA)'!BS104/X_RSD_HeatingDemand!$AA$8</f>
        <v>0</v>
      </c>
      <c r="T537" s="252">
        <f>'RSD (DEA)'!BK96*X_RSD_HeatingDemand!$AA$9/'RSD (DEA)'!S96</f>
        <v>560</v>
      </c>
      <c r="U537" s="182">
        <f>'RSD (DEA)'!BI104</f>
        <v>12</v>
      </c>
      <c r="V537" s="252" t="str">
        <f t="shared" si="136"/>
        <v/>
      </c>
      <c r="W537" s="236">
        <f>'RSD (DEA)'!AM104</f>
        <v>31.536000000000001</v>
      </c>
    </row>
    <row r="538" spans="1:23" x14ac:dyDescent="0.3">
      <c r="A538" s="316"/>
      <c r="B538" s="235"/>
      <c r="C538" s="318"/>
      <c r="D538" s="235"/>
      <c r="E538" s="235"/>
      <c r="F538" s="242"/>
      <c r="G538" s="242"/>
      <c r="H538" s="235"/>
      <c r="I538" s="235"/>
      <c r="J538" s="182" t="str">
        <f>J537</f>
        <v>RSDAHT</v>
      </c>
      <c r="K538" s="235"/>
      <c r="L538" s="244" t="str">
        <f>$AA$11</f>
        <v>ACT</v>
      </c>
      <c r="M538" s="182" t="str">
        <f t="shared" si="134"/>
        <v/>
      </c>
      <c r="N538" s="182"/>
      <c r="O538" s="182"/>
      <c r="P538" s="183"/>
      <c r="Q538" s="183"/>
      <c r="R538" s="182"/>
      <c r="S538" s="182"/>
      <c r="T538" s="252"/>
      <c r="U538" s="182"/>
      <c r="V538" s="252">
        <f t="shared" si="136"/>
        <v>1</v>
      </c>
      <c r="W538" s="236"/>
    </row>
    <row r="539" spans="1:23" x14ac:dyDescent="0.3">
      <c r="A539" s="316"/>
      <c r="B539" s="235"/>
      <c r="C539" s="318"/>
      <c r="D539" s="235"/>
      <c r="E539" s="235"/>
      <c r="F539" s="242"/>
      <c r="G539" s="242"/>
      <c r="H539" s="235"/>
      <c r="I539" s="235"/>
      <c r="J539" s="182" t="str">
        <f>J538</f>
        <v>RSDAHT</v>
      </c>
      <c r="K539" s="235"/>
      <c r="L539" s="244" t="str">
        <f t="shared" ref="L539" si="137">I537</f>
        <v>RSDELC</v>
      </c>
      <c r="M539" s="182" t="str">
        <f t="shared" si="134"/>
        <v/>
      </c>
      <c r="N539" s="182"/>
      <c r="O539" s="182"/>
      <c r="P539" s="183"/>
      <c r="Q539" s="183"/>
      <c r="R539" s="182"/>
      <c r="S539" s="182"/>
      <c r="T539" s="252"/>
      <c r="U539" s="182"/>
      <c r="V539" s="252">
        <f t="shared" si="136"/>
        <v>-1</v>
      </c>
      <c r="W539" s="236"/>
    </row>
    <row r="540" spans="1:23" x14ac:dyDescent="0.3">
      <c r="A540" s="316"/>
      <c r="B540" s="235" t="str">
        <f>'RSD (DEA)'!AJ105&amp;"_"&amp;'RSD (DEA)'!Z105</f>
        <v>RHHSA_HP_ELC_02</v>
      </c>
      <c r="C540" s="318"/>
      <c r="D540" s="235" t="str">
        <f t="shared" si="135"/>
        <v>RHHSA_HP_ELC_02</v>
      </c>
      <c r="E540" s="235" t="str">
        <f>'RSD (DEA)'!Q105</f>
        <v>Electric heat pumps</v>
      </c>
      <c r="F540" s="242" t="s">
        <v>239</v>
      </c>
      <c r="G540" s="242" t="s">
        <v>240</v>
      </c>
      <c r="H540" s="235">
        <f>'RSD (DEA)'!S105</f>
        <v>3.5</v>
      </c>
      <c r="I540" s="235" t="str">
        <f>IF(OR(RIGHT('RSD (DEA)'!AH105,3)="BIO",RIGHT(AD548,3)="BOA"),LEFT('RSD (DEA)'!AH105,3)&amp;"BFW",'RSD (DEA)'!AH105)</f>
        <v>RSDELC</v>
      </c>
      <c r="J540" s="182" t="str">
        <f>'RSD (DEA)'!AI105</f>
        <v>RSDAHT</v>
      </c>
      <c r="K540" s="235" t="str">
        <f>'RSD (DEA)'!AK105</f>
        <v>RWHSA</v>
      </c>
      <c r="L540" s="244"/>
      <c r="M540" s="182">
        <f t="shared" si="134"/>
        <v>2019</v>
      </c>
      <c r="N540" s="182">
        <f>'RSD (DEA)'!X105</f>
        <v>2050</v>
      </c>
      <c r="O540" s="182">
        <f>IF(N540&lt;2019,2019,N540)</f>
        <v>2050</v>
      </c>
      <c r="P540" s="183">
        <f>'RSD (DEA)'!AZ105</f>
        <v>3.6</v>
      </c>
      <c r="Q540" s="183">
        <f>'RSD (DEA)'!BA105</f>
        <v>3.6</v>
      </c>
      <c r="R540" s="182">
        <f>'RSD (DEA)'!BR105/'RSD (DEA)'!S105</f>
        <v>37.714285714285715</v>
      </c>
      <c r="S540" s="182">
        <f>'RSD (DEA)'!BS105/X_RSD_HeatingDemand!$AA$8</f>
        <v>0</v>
      </c>
      <c r="T540" s="252">
        <f>'RSD (DEA)'!BK97*X_RSD_HeatingDemand!$AA$9/'RSD (DEA)'!S97</f>
        <v>560</v>
      </c>
      <c r="U540" s="182">
        <f>'RSD (DEA)'!BI105</f>
        <v>12</v>
      </c>
      <c r="V540" s="252" t="str">
        <f t="shared" si="136"/>
        <v/>
      </c>
      <c r="W540" s="236">
        <f>'RSD (DEA)'!AM105</f>
        <v>31.536000000000001</v>
      </c>
    </row>
    <row r="541" spans="1:23" x14ac:dyDescent="0.3">
      <c r="A541" s="316"/>
      <c r="B541" s="235"/>
      <c r="C541" s="318"/>
      <c r="D541" s="235"/>
      <c r="E541" s="235"/>
      <c r="F541" s="242"/>
      <c r="G541" s="242"/>
      <c r="H541" s="235"/>
      <c r="I541" s="235"/>
      <c r="J541" s="182" t="str">
        <f>J540</f>
        <v>RSDAHT</v>
      </c>
      <c r="K541" s="235"/>
      <c r="L541" s="244" t="str">
        <f>$AA$11</f>
        <v>ACT</v>
      </c>
      <c r="M541" s="182" t="str">
        <f t="shared" si="134"/>
        <v/>
      </c>
      <c r="N541" s="182"/>
      <c r="O541" s="182"/>
      <c r="P541" s="183"/>
      <c r="Q541" s="183"/>
      <c r="R541" s="182"/>
      <c r="S541" s="182"/>
      <c r="T541" s="252"/>
      <c r="U541" s="182"/>
      <c r="V541" s="252">
        <f t="shared" si="136"/>
        <v>1</v>
      </c>
      <c r="W541" s="236"/>
    </row>
    <row r="542" spans="1:23" x14ac:dyDescent="0.3">
      <c r="A542" s="316"/>
      <c r="B542" s="235"/>
      <c r="C542" s="318"/>
      <c r="D542" s="235"/>
      <c r="E542" s="235"/>
      <c r="F542" s="242"/>
      <c r="G542" s="242"/>
      <c r="H542" s="235"/>
      <c r="I542" s="235"/>
      <c r="J542" s="182" t="str">
        <f>J541</f>
        <v>RSDAHT</v>
      </c>
      <c r="K542" s="235"/>
      <c r="L542" s="244" t="str">
        <f t="shared" ref="L542" si="138">I540</f>
        <v>RSDELC</v>
      </c>
      <c r="M542" s="182" t="str">
        <f t="shared" si="134"/>
        <v/>
      </c>
      <c r="N542" s="182"/>
      <c r="O542" s="182"/>
      <c r="P542" s="183"/>
      <c r="Q542" s="183"/>
      <c r="R542" s="182"/>
      <c r="S542" s="182"/>
      <c r="T542" s="252"/>
      <c r="U542" s="182"/>
      <c r="V542" s="252">
        <f t="shared" si="136"/>
        <v>-1</v>
      </c>
      <c r="W542" s="236"/>
    </row>
    <row r="543" spans="1:23" x14ac:dyDescent="0.3">
      <c r="A543" s="316"/>
      <c r="B543" s="235" t="str">
        <f>'RSD (DEA)'!AJ106&amp;"_"&amp;'RSD (DEA)'!Z106</f>
        <v>RHHSC_HP_ELC_03</v>
      </c>
      <c r="C543" s="318"/>
      <c r="D543" s="235" t="str">
        <f t="shared" si="135"/>
        <v>RHHSC_HP_ELC_03</v>
      </c>
      <c r="E543" s="235" t="str">
        <f>'RSD (DEA)'!Q106</f>
        <v>Electric heat pumps</v>
      </c>
      <c r="F543" s="242" t="s">
        <v>239</v>
      </c>
      <c r="G543" s="242" t="s">
        <v>240</v>
      </c>
      <c r="H543" s="235">
        <f>'RSD (DEA)'!S106</f>
        <v>10</v>
      </c>
      <c r="I543" s="235" t="str">
        <f>IF(OR(RIGHT('RSD (DEA)'!AH106,3)="BIO",RIGHT(AD551,3)="BOA"),LEFT('RSD (DEA)'!AH106,3)&amp;"BFW",'RSD (DEA)'!AH106)</f>
        <v>RSDELC</v>
      </c>
      <c r="J543" s="182" t="str">
        <f>'RSD (DEA)'!AI106</f>
        <v>RSDAHT</v>
      </c>
      <c r="K543" s="235" t="str">
        <f>'RSD (DEA)'!AK106</f>
        <v>RWHSC</v>
      </c>
      <c r="L543" s="244"/>
      <c r="M543" s="182">
        <f t="shared" si="134"/>
        <v>2019</v>
      </c>
      <c r="N543" s="182">
        <f>'RSD (DEA)'!X106</f>
        <v>2015</v>
      </c>
      <c r="O543" s="182">
        <f>IF(N543&lt;2019,2019,N543)</f>
        <v>2019</v>
      </c>
      <c r="P543" s="183">
        <f>'RSD (DEA)'!AZ106</f>
        <v>3.9</v>
      </c>
      <c r="Q543" s="183">
        <f>'RSD (DEA)'!BA106</f>
        <v>4</v>
      </c>
      <c r="R543" s="182">
        <f>'RSD (DEA)'!BR106/'RSD (DEA)'!S106</f>
        <v>29.1</v>
      </c>
      <c r="S543" s="182">
        <f>'RSD (DEA)'!BS106/X_RSD_HeatingDemand!$AA$8</f>
        <v>0</v>
      </c>
      <c r="T543" s="252">
        <f>'RSD (DEA)'!BK98*X_RSD_HeatingDemand!$AA$9/'RSD (DEA)'!S98</f>
        <v>450</v>
      </c>
      <c r="U543" s="182">
        <f>'RSD (DEA)'!BI106</f>
        <v>18</v>
      </c>
      <c r="V543" s="252" t="str">
        <f t="shared" si="136"/>
        <v/>
      </c>
      <c r="W543" s="236">
        <f>'RSD (DEA)'!AM106</f>
        <v>31.536000000000001</v>
      </c>
    </row>
    <row r="544" spans="1:23" x14ac:dyDescent="0.3">
      <c r="A544" s="316"/>
      <c r="B544" s="235"/>
      <c r="C544" s="318"/>
      <c r="D544" s="235"/>
      <c r="E544" s="235"/>
      <c r="F544" s="242"/>
      <c r="G544" s="242"/>
      <c r="H544" s="235"/>
      <c r="I544" s="235"/>
      <c r="J544" s="182" t="str">
        <f>J543</f>
        <v>RSDAHT</v>
      </c>
      <c r="K544" s="235"/>
      <c r="L544" s="244" t="str">
        <f>$AA$11</f>
        <v>ACT</v>
      </c>
      <c r="M544" s="182" t="str">
        <f t="shared" si="134"/>
        <v/>
      </c>
      <c r="N544" s="182"/>
      <c r="O544" s="182"/>
      <c r="P544" s="183"/>
      <c r="Q544" s="183"/>
      <c r="R544" s="182"/>
      <c r="S544" s="182"/>
      <c r="T544" s="252"/>
      <c r="U544" s="182"/>
      <c r="V544" s="252">
        <f t="shared" si="136"/>
        <v>1</v>
      </c>
      <c r="W544" s="236"/>
    </row>
    <row r="545" spans="1:23" x14ac:dyDescent="0.3">
      <c r="A545" s="316"/>
      <c r="B545" s="235"/>
      <c r="C545" s="318"/>
      <c r="D545" s="235"/>
      <c r="E545" s="235"/>
      <c r="F545" s="242"/>
      <c r="G545" s="242"/>
      <c r="H545" s="235"/>
      <c r="I545" s="235"/>
      <c r="J545" s="182" t="str">
        <f>J544</f>
        <v>RSDAHT</v>
      </c>
      <c r="K545" s="235"/>
      <c r="L545" s="244" t="str">
        <f t="shared" ref="L545" si="139">I543</f>
        <v>RSDELC</v>
      </c>
      <c r="M545" s="182" t="str">
        <f t="shared" si="134"/>
        <v/>
      </c>
      <c r="N545" s="182"/>
      <c r="O545" s="182"/>
      <c r="P545" s="183"/>
      <c r="Q545" s="183"/>
      <c r="R545" s="182"/>
      <c r="S545" s="182"/>
      <c r="T545" s="252"/>
      <c r="U545" s="182"/>
      <c r="V545" s="252">
        <f t="shared" si="136"/>
        <v>-1</v>
      </c>
      <c r="W545" s="236"/>
    </row>
    <row r="546" spans="1:23" x14ac:dyDescent="0.3">
      <c r="A546" s="316"/>
      <c r="B546" s="235" t="str">
        <f>'RSD (DEA)'!AJ107&amp;"_"&amp;'RSD (DEA)'!Z107</f>
        <v>RHHSC_HP_ELC_03</v>
      </c>
      <c r="C546" s="318"/>
      <c r="D546" s="235" t="str">
        <f t="shared" si="135"/>
        <v>RHHSC_HP_ELC_03</v>
      </c>
      <c r="E546" s="235" t="str">
        <f>'RSD (DEA)'!Q107</f>
        <v>Electric heat pumps</v>
      </c>
      <c r="F546" s="242" t="s">
        <v>239</v>
      </c>
      <c r="G546" s="242" t="s">
        <v>240</v>
      </c>
      <c r="H546" s="235">
        <f>'RSD (DEA)'!S107</f>
        <v>10</v>
      </c>
      <c r="I546" s="235" t="str">
        <f>IF(OR(RIGHT('RSD (DEA)'!AH107,3)="BIO",RIGHT(AD554,3)="BOA"),LEFT('RSD (DEA)'!AH107,3)&amp;"BFW",'RSD (DEA)'!AH107)</f>
        <v>RSDELC</v>
      </c>
      <c r="J546" s="182" t="str">
        <f>'RSD (DEA)'!AI107</f>
        <v>RSDAHT</v>
      </c>
      <c r="K546" s="235" t="str">
        <f>'RSD (DEA)'!AK107</f>
        <v>RWHSC</v>
      </c>
      <c r="L546" s="244"/>
      <c r="M546" s="182">
        <f t="shared" si="134"/>
        <v>2019</v>
      </c>
      <c r="N546" s="182">
        <f>'RSD (DEA)'!X107</f>
        <v>2020</v>
      </c>
      <c r="O546" s="182">
        <f>IF(N546&lt;2019,2019,N546)</f>
        <v>2020</v>
      </c>
      <c r="P546" s="183">
        <f>'RSD (DEA)'!AZ107</f>
        <v>4</v>
      </c>
      <c r="Q546" s="183">
        <f>'RSD (DEA)'!BA107</f>
        <v>4.0999999999999996</v>
      </c>
      <c r="R546" s="182">
        <f>'RSD (DEA)'!BR107/'RSD (DEA)'!S107</f>
        <v>27.8</v>
      </c>
      <c r="S546" s="182">
        <f>'RSD (DEA)'!BS107/X_RSD_HeatingDemand!$AA$8</f>
        <v>0</v>
      </c>
      <c r="T546" s="252">
        <f>'RSD (DEA)'!BK99*X_RSD_HeatingDemand!$AA$9/'RSD (DEA)'!S99</f>
        <v>450</v>
      </c>
      <c r="U546" s="182">
        <f>'RSD (DEA)'!BI107</f>
        <v>18</v>
      </c>
      <c r="V546" s="252" t="str">
        <f t="shared" si="136"/>
        <v/>
      </c>
      <c r="W546" s="236">
        <f>'RSD (DEA)'!AM107</f>
        <v>31.536000000000001</v>
      </c>
    </row>
    <row r="547" spans="1:23" x14ac:dyDescent="0.3">
      <c r="A547" s="316"/>
      <c r="B547" s="235"/>
      <c r="C547" s="318"/>
      <c r="D547" s="235"/>
      <c r="E547" s="235"/>
      <c r="F547" s="242"/>
      <c r="G547" s="242"/>
      <c r="H547" s="235"/>
      <c r="I547" s="235"/>
      <c r="J547" s="182" t="str">
        <f>J546</f>
        <v>RSDAHT</v>
      </c>
      <c r="K547" s="235"/>
      <c r="L547" s="244" t="str">
        <f>$AA$11</f>
        <v>ACT</v>
      </c>
      <c r="M547" s="182" t="str">
        <f t="shared" si="134"/>
        <v/>
      </c>
      <c r="N547" s="182"/>
      <c r="O547" s="182"/>
      <c r="P547" s="183"/>
      <c r="Q547" s="183"/>
      <c r="R547" s="182"/>
      <c r="S547" s="182"/>
      <c r="T547" s="252"/>
      <c r="U547" s="182"/>
      <c r="V547" s="252">
        <f t="shared" si="136"/>
        <v>1</v>
      </c>
      <c r="W547" s="236"/>
    </row>
    <row r="548" spans="1:23" x14ac:dyDescent="0.3">
      <c r="A548" s="316"/>
      <c r="B548" s="235"/>
      <c r="C548" s="318"/>
      <c r="D548" s="235"/>
      <c r="E548" s="235"/>
      <c r="F548" s="242"/>
      <c r="G548" s="242"/>
      <c r="H548" s="235"/>
      <c r="I548" s="235"/>
      <c r="J548" s="182" t="str">
        <f>J547</f>
        <v>RSDAHT</v>
      </c>
      <c r="K548" s="235"/>
      <c r="L548" s="244" t="str">
        <f t="shared" ref="L548" si="140">I546</f>
        <v>RSDELC</v>
      </c>
      <c r="M548" s="182" t="str">
        <f t="shared" si="134"/>
        <v/>
      </c>
      <c r="N548" s="182"/>
      <c r="O548" s="182"/>
      <c r="P548" s="183"/>
      <c r="Q548" s="183"/>
      <c r="R548" s="182"/>
      <c r="S548" s="182"/>
      <c r="T548" s="252"/>
      <c r="U548" s="182"/>
      <c r="V548" s="252">
        <f t="shared" si="136"/>
        <v>-1</v>
      </c>
      <c r="W548" s="236"/>
    </row>
    <row r="549" spans="1:23" x14ac:dyDescent="0.3">
      <c r="A549" s="316"/>
      <c r="B549" s="235" t="str">
        <f>'RSD (DEA)'!AJ108&amp;"_"&amp;'RSD (DEA)'!Z108</f>
        <v>RHHSC_HP_ELC_03</v>
      </c>
      <c r="C549" s="318"/>
      <c r="D549" s="235" t="str">
        <f t="shared" si="135"/>
        <v>RHHSC_HP_ELC_03</v>
      </c>
      <c r="E549" s="235" t="str">
        <f>'RSD (DEA)'!Q108</f>
        <v>Electric heat pumps</v>
      </c>
      <c r="F549" s="242" t="s">
        <v>239</v>
      </c>
      <c r="G549" s="242" t="s">
        <v>240</v>
      </c>
      <c r="H549" s="235">
        <f>'RSD (DEA)'!S108</f>
        <v>10</v>
      </c>
      <c r="I549" s="235" t="str">
        <f>IF(OR(RIGHT('RSD (DEA)'!AH108,3)="BIO",RIGHT(AD557,3)="BOA"),LEFT('RSD (DEA)'!AH108,3)&amp;"BFW",'RSD (DEA)'!AH108)</f>
        <v>RSDELC</v>
      </c>
      <c r="J549" s="182" t="str">
        <f>'RSD (DEA)'!AI108</f>
        <v>RSDAHT</v>
      </c>
      <c r="K549" s="235" t="str">
        <f>'RSD (DEA)'!AK108</f>
        <v>RWHSC</v>
      </c>
      <c r="L549" s="244"/>
      <c r="M549" s="182">
        <f t="shared" si="134"/>
        <v>2019</v>
      </c>
      <c r="N549" s="182">
        <f>'RSD (DEA)'!X108</f>
        <v>2030</v>
      </c>
      <c r="O549" s="182">
        <f>IF(N549&lt;2019,2019,N549)</f>
        <v>2030</v>
      </c>
      <c r="P549" s="183">
        <f>'RSD (DEA)'!AZ108</f>
        <v>4.2</v>
      </c>
      <c r="Q549" s="183">
        <f>'RSD (DEA)'!BA108</f>
        <v>4.3</v>
      </c>
      <c r="R549" s="182">
        <f>'RSD (DEA)'!BR108/'RSD (DEA)'!S108</f>
        <v>25.5</v>
      </c>
      <c r="S549" s="182">
        <f>'RSD (DEA)'!BS108/X_RSD_HeatingDemand!$AA$8</f>
        <v>0</v>
      </c>
      <c r="T549" s="252">
        <f>'RSD (DEA)'!BK100*X_RSD_HeatingDemand!$AA$9/'RSD (DEA)'!S100</f>
        <v>300</v>
      </c>
      <c r="U549" s="182">
        <f>'RSD (DEA)'!BI108</f>
        <v>18</v>
      </c>
      <c r="V549" s="252" t="str">
        <f t="shared" si="136"/>
        <v/>
      </c>
      <c r="W549" s="236">
        <f>'RSD (DEA)'!AM108</f>
        <v>31.536000000000001</v>
      </c>
    </row>
    <row r="550" spans="1:23" x14ac:dyDescent="0.3">
      <c r="A550" s="316"/>
      <c r="B550" s="235"/>
      <c r="C550" s="318"/>
      <c r="D550" s="235"/>
      <c r="E550" s="235"/>
      <c r="F550" s="242"/>
      <c r="G550" s="242"/>
      <c r="H550" s="235"/>
      <c r="I550" s="235"/>
      <c r="J550" s="182" t="str">
        <f>J549</f>
        <v>RSDAHT</v>
      </c>
      <c r="K550" s="235"/>
      <c r="L550" s="244" t="str">
        <f>$AA$11</f>
        <v>ACT</v>
      </c>
      <c r="M550" s="182" t="str">
        <f t="shared" si="134"/>
        <v/>
      </c>
      <c r="N550" s="182"/>
      <c r="O550" s="182"/>
      <c r="P550" s="183"/>
      <c r="Q550" s="183"/>
      <c r="R550" s="182"/>
      <c r="S550" s="182"/>
      <c r="T550" s="252"/>
      <c r="U550" s="182"/>
      <c r="V550" s="252">
        <f t="shared" si="136"/>
        <v>1</v>
      </c>
      <c r="W550" s="236"/>
    </row>
    <row r="551" spans="1:23" x14ac:dyDescent="0.3">
      <c r="A551" s="316"/>
      <c r="B551" s="235"/>
      <c r="C551" s="318"/>
      <c r="D551" s="235"/>
      <c r="E551" s="235"/>
      <c r="F551" s="242"/>
      <c r="G551" s="242"/>
      <c r="H551" s="235"/>
      <c r="I551" s="235"/>
      <c r="J551" s="182" t="str">
        <f>J550</f>
        <v>RSDAHT</v>
      </c>
      <c r="K551" s="235"/>
      <c r="L551" s="244" t="str">
        <f t="shared" ref="L551" si="141">I549</f>
        <v>RSDELC</v>
      </c>
      <c r="M551" s="182" t="str">
        <f t="shared" si="134"/>
        <v/>
      </c>
      <c r="N551" s="182"/>
      <c r="O551" s="182"/>
      <c r="P551" s="183"/>
      <c r="Q551" s="183"/>
      <c r="R551" s="182"/>
      <c r="S551" s="182"/>
      <c r="T551" s="252"/>
      <c r="U551" s="182"/>
      <c r="V551" s="252">
        <f t="shared" si="136"/>
        <v>-1</v>
      </c>
      <c r="W551" s="236"/>
    </row>
    <row r="552" spans="1:23" x14ac:dyDescent="0.3">
      <c r="A552" s="316"/>
      <c r="B552" s="235" t="str">
        <f>'RSD (DEA)'!AJ109&amp;"_"&amp;'RSD (DEA)'!Z109</f>
        <v>RHHSC_HP_ELC_03</v>
      </c>
      <c r="C552" s="318"/>
      <c r="D552" s="235" t="str">
        <f t="shared" si="135"/>
        <v>RHHSC_HP_ELC_03</v>
      </c>
      <c r="E552" s="235" t="str">
        <f>'RSD (DEA)'!Q109</f>
        <v>Electric heat pumps</v>
      </c>
      <c r="F552" s="242" t="s">
        <v>239</v>
      </c>
      <c r="G552" s="242" t="s">
        <v>240</v>
      </c>
      <c r="H552" s="235">
        <f>'RSD (DEA)'!S109</f>
        <v>10</v>
      </c>
      <c r="I552" s="235" t="str">
        <f>IF(OR(RIGHT('RSD (DEA)'!AH109,3)="BIO",RIGHT(AD560,3)="BOA"),LEFT('RSD (DEA)'!AH109,3)&amp;"BFW",'RSD (DEA)'!AH109)</f>
        <v>RSDELC</v>
      </c>
      <c r="J552" s="182" t="str">
        <f>'RSD (DEA)'!AI109</f>
        <v>RSDAHT</v>
      </c>
      <c r="K552" s="235" t="str">
        <f>'RSD (DEA)'!AK109</f>
        <v>RWHSC</v>
      </c>
      <c r="L552" s="244"/>
      <c r="M552" s="182">
        <f t="shared" si="134"/>
        <v>2019</v>
      </c>
      <c r="N552" s="182">
        <f>'RSD (DEA)'!X109</f>
        <v>2050</v>
      </c>
      <c r="O552" s="182">
        <f>IF(N552&lt;2019,2019,N552)</f>
        <v>2050</v>
      </c>
      <c r="P552" s="183">
        <f>'RSD (DEA)'!AZ109</f>
        <v>4.4000000000000004</v>
      </c>
      <c r="Q552" s="183">
        <f>'RSD (DEA)'!BA109</f>
        <v>4.5</v>
      </c>
      <c r="R552" s="182">
        <f>'RSD (DEA)'!BR109/'RSD (DEA)'!S109</f>
        <v>23.9</v>
      </c>
      <c r="S552" s="182">
        <f>'RSD (DEA)'!BS109/X_RSD_HeatingDemand!$AA$8</f>
        <v>0</v>
      </c>
      <c r="T552" s="252">
        <f>'RSD (DEA)'!BK101*X_RSD_HeatingDemand!$AA$9/'RSD (DEA)'!S101</f>
        <v>300</v>
      </c>
      <c r="U552" s="182">
        <f>'RSD (DEA)'!BI109</f>
        <v>18</v>
      </c>
      <c r="V552" s="252" t="str">
        <f t="shared" si="136"/>
        <v/>
      </c>
      <c r="W552" s="236">
        <f>'RSD (DEA)'!AM109</f>
        <v>31.536000000000001</v>
      </c>
    </row>
    <row r="553" spans="1:23" x14ac:dyDescent="0.3">
      <c r="A553" s="316"/>
      <c r="B553" s="235"/>
      <c r="C553" s="318"/>
      <c r="D553" s="235"/>
      <c r="E553" s="235"/>
      <c r="F553" s="242"/>
      <c r="G553" s="242"/>
      <c r="H553" s="235"/>
      <c r="I553" s="235"/>
      <c r="J553" s="182" t="str">
        <f>J552</f>
        <v>RSDAHT</v>
      </c>
      <c r="K553" s="235"/>
      <c r="L553" s="244" t="str">
        <f>$AA$11</f>
        <v>ACT</v>
      </c>
      <c r="M553" s="182" t="str">
        <f t="shared" si="134"/>
        <v/>
      </c>
      <c r="N553" s="182"/>
      <c r="O553" s="182"/>
      <c r="P553" s="183"/>
      <c r="Q553" s="183"/>
      <c r="R553" s="182"/>
      <c r="S553" s="182"/>
      <c r="T553" s="252"/>
      <c r="U553" s="182"/>
      <c r="V553" s="252">
        <f t="shared" si="136"/>
        <v>1</v>
      </c>
      <c r="W553" s="236"/>
    </row>
    <row r="554" spans="1:23" x14ac:dyDescent="0.3">
      <c r="A554" s="316"/>
      <c r="B554" s="235"/>
      <c r="C554" s="318"/>
      <c r="D554" s="235"/>
      <c r="E554" s="235"/>
      <c r="F554" s="242"/>
      <c r="G554" s="242"/>
      <c r="H554" s="235"/>
      <c r="I554" s="235"/>
      <c r="J554" s="182" t="str">
        <f>J553</f>
        <v>RSDAHT</v>
      </c>
      <c r="K554" s="235"/>
      <c r="L554" s="244" t="str">
        <f t="shared" ref="L554" si="142">I552</f>
        <v>RSDELC</v>
      </c>
      <c r="M554" s="182" t="str">
        <f t="shared" si="134"/>
        <v/>
      </c>
      <c r="N554" s="182"/>
      <c r="O554" s="182"/>
      <c r="P554" s="183"/>
      <c r="Q554" s="183"/>
      <c r="R554" s="182"/>
      <c r="S554" s="182"/>
      <c r="T554" s="252"/>
      <c r="U554" s="182"/>
      <c r="V554" s="252">
        <f t="shared" si="136"/>
        <v>-1</v>
      </c>
      <c r="W554" s="236"/>
    </row>
    <row r="555" spans="1:23" x14ac:dyDescent="0.3">
      <c r="A555" s="316"/>
      <c r="B555" s="235" t="str">
        <f>'RSD (DEA)'!AJ110&amp;"_"&amp;'RSD (DEA)'!Z110</f>
        <v>RHHSA_HP_ELC_04</v>
      </c>
      <c r="C555" s="318"/>
      <c r="D555" s="235" t="str">
        <f t="shared" si="135"/>
        <v>RHHSA_HP_ELC_04</v>
      </c>
      <c r="E555" s="235" t="str">
        <f>'RSD (DEA)'!Q110</f>
        <v>Electric heat pumps</v>
      </c>
      <c r="F555" s="242" t="s">
        <v>239</v>
      </c>
      <c r="G555" s="242" t="s">
        <v>240</v>
      </c>
      <c r="H555" s="235">
        <f>'RSD (DEA)'!S110</f>
        <v>4</v>
      </c>
      <c r="I555" s="235" t="str">
        <f>IF(OR(RIGHT('RSD (DEA)'!AH110,3)="BIO",RIGHT(AD563,3)="BOA"),LEFT('RSD (DEA)'!AH110,3)&amp;"BFW",'RSD (DEA)'!AH110)</f>
        <v>RSDELC</v>
      </c>
      <c r="J555" s="182" t="str">
        <f>'RSD (DEA)'!AI110</f>
        <v>RSDAHT</v>
      </c>
      <c r="K555" s="235" t="str">
        <f>'RSD (DEA)'!AK110</f>
        <v>RWHSA</v>
      </c>
      <c r="L555" s="244"/>
      <c r="M555" s="182">
        <f t="shared" si="134"/>
        <v>2019</v>
      </c>
      <c r="N555" s="182">
        <f>'RSD (DEA)'!X110</f>
        <v>2015</v>
      </c>
      <c r="O555" s="182">
        <f>IF(N555&lt;2019,2019,N555)</f>
        <v>2019</v>
      </c>
      <c r="P555" s="183">
        <f>'RSD (DEA)'!AZ110</f>
        <v>3.25</v>
      </c>
      <c r="Q555" s="183">
        <f>'RSD (DEA)'!BA110</f>
        <v>3.45</v>
      </c>
      <c r="R555" s="182">
        <f>'RSD (DEA)'!BR110/'RSD (DEA)'!S110</f>
        <v>72.75</v>
      </c>
      <c r="S555" s="182">
        <f>'RSD (DEA)'!BS110/X_RSD_HeatingDemand!$AA$8</f>
        <v>0</v>
      </c>
      <c r="T555" s="252">
        <f>'RSD (DEA)'!BK102*X_RSD_HeatingDemand!$AA$9/'RSD (DEA)'!S102</f>
        <v>480</v>
      </c>
      <c r="U555" s="182">
        <f>'RSD (DEA)'!BI110</f>
        <v>18</v>
      </c>
      <c r="V555" s="252" t="str">
        <f t="shared" si="136"/>
        <v/>
      </c>
      <c r="W555" s="236">
        <f>'RSD (DEA)'!AM110</f>
        <v>31.536000000000001</v>
      </c>
    </row>
    <row r="556" spans="1:23" x14ac:dyDescent="0.3">
      <c r="A556" s="316"/>
      <c r="B556" s="235"/>
      <c r="C556" s="318"/>
      <c r="D556" s="235"/>
      <c r="E556" s="235"/>
      <c r="F556" s="242"/>
      <c r="G556" s="242"/>
      <c r="H556" s="235"/>
      <c r="I556" s="235"/>
      <c r="J556" s="182" t="str">
        <f>J555</f>
        <v>RSDAHT</v>
      </c>
      <c r="K556" s="235"/>
      <c r="L556" s="244" t="str">
        <f>$AA$11</f>
        <v>ACT</v>
      </c>
      <c r="M556" s="182" t="str">
        <f t="shared" si="134"/>
        <v/>
      </c>
      <c r="N556" s="182"/>
      <c r="O556" s="182"/>
      <c r="P556" s="183"/>
      <c r="Q556" s="183"/>
      <c r="R556" s="182"/>
      <c r="S556" s="182"/>
      <c r="T556" s="252"/>
      <c r="U556" s="182"/>
      <c r="V556" s="252">
        <f t="shared" si="136"/>
        <v>1</v>
      </c>
      <c r="W556" s="236"/>
    </row>
    <row r="557" spans="1:23" x14ac:dyDescent="0.3">
      <c r="A557" s="316"/>
      <c r="B557" s="235"/>
      <c r="C557" s="318"/>
      <c r="D557" s="235"/>
      <c r="E557" s="235"/>
      <c r="F557" s="242"/>
      <c r="G557" s="242"/>
      <c r="H557" s="235"/>
      <c r="I557" s="235"/>
      <c r="J557" s="182" t="str">
        <f>J556</f>
        <v>RSDAHT</v>
      </c>
      <c r="K557" s="235"/>
      <c r="L557" s="244" t="str">
        <f t="shared" ref="L557" si="143">I555</f>
        <v>RSDELC</v>
      </c>
      <c r="M557" s="182" t="str">
        <f t="shared" si="134"/>
        <v/>
      </c>
      <c r="N557" s="182"/>
      <c r="O557" s="182"/>
      <c r="P557" s="183"/>
      <c r="Q557" s="183"/>
      <c r="R557" s="182"/>
      <c r="S557" s="182"/>
      <c r="T557" s="252"/>
      <c r="U557" s="182"/>
      <c r="V557" s="252">
        <f t="shared" si="136"/>
        <v>-1</v>
      </c>
      <c r="W557" s="236"/>
    </row>
    <row r="558" spans="1:23" x14ac:dyDescent="0.3">
      <c r="A558" s="316"/>
      <c r="B558" s="235" t="str">
        <f>'RSD (DEA)'!AJ111&amp;"_"&amp;'RSD (DEA)'!Z111</f>
        <v>RHHSA_HP_ELC_04</v>
      </c>
      <c r="C558" s="318"/>
      <c r="D558" s="235" t="str">
        <f t="shared" si="135"/>
        <v>RHHSA_HP_ELC_04</v>
      </c>
      <c r="E558" s="235" t="str">
        <f>'RSD (DEA)'!Q111</f>
        <v>Electric heat pumps</v>
      </c>
      <c r="F558" s="242" t="s">
        <v>239</v>
      </c>
      <c r="G558" s="242" t="s">
        <v>240</v>
      </c>
      <c r="H558" s="235">
        <f>'RSD (DEA)'!S111</f>
        <v>4</v>
      </c>
      <c r="I558" s="235" t="str">
        <f>IF(OR(RIGHT('RSD (DEA)'!AH111,3)="BIO",RIGHT(AD566,3)="BOA"),LEFT('RSD (DEA)'!AH111,3)&amp;"BFW",'RSD (DEA)'!AH111)</f>
        <v>RSDELC</v>
      </c>
      <c r="J558" s="182" t="str">
        <f>'RSD (DEA)'!AI111</f>
        <v>RSDAHT</v>
      </c>
      <c r="K558" s="235" t="str">
        <f>'RSD (DEA)'!AK111</f>
        <v>RWHSA</v>
      </c>
      <c r="L558" s="244"/>
      <c r="M558" s="182">
        <f t="shared" si="134"/>
        <v>2019</v>
      </c>
      <c r="N558" s="182">
        <f>'RSD (DEA)'!X111</f>
        <v>2020</v>
      </c>
      <c r="O558" s="182">
        <f>IF(N558&lt;2019,2019,N558)</f>
        <v>2020</v>
      </c>
      <c r="P558" s="183">
        <f>'RSD (DEA)'!AZ111</f>
        <v>3.35</v>
      </c>
      <c r="Q558" s="183">
        <f>'RSD (DEA)'!BA111</f>
        <v>3.55</v>
      </c>
      <c r="R558" s="182">
        <f>'RSD (DEA)'!BR111/'RSD (DEA)'!S111</f>
        <v>69.5</v>
      </c>
      <c r="S558" s="182">
        <f>'RSD (DEA)'!BS111/X_RSD_HeatingDemand!$AA$8</f>
        <v>0</v>
      </c>
      <c r="T558" s="252">
        <f>'RSD (DEA)'!BK103*X_RSD_HeatingDemand!$AA$9/'RSD (DEA)'!S103</f>
        <v>480</v>
      </c>
      <c r="U558" s="182">
        <f>'RSD (DEA)'!BI111</f>
        <v>18</v>
      </c>
      <c r="V558" s="252" t="str">
        <f t="shared" si="136"/>
        <v/>
      </c>
      <c r="W558" s="236">
        <f>'RSD (DEA)'!AM111</f>
        <v>31.536000000000001</v>
      </c>
    </row>
    <row r="559" spans="1:23" x14ac:dyDescent="0.3">
      <c r="A559" s="316"/>
      <c r="B559" s="235"/>
      <c r="C559" s="318"/>
      <c r="D559" s="235"/>
      <c r="E559" s="235"/>
      <c r="F559" s="242"/>
      <c r="G559" s="242"/>
      <c r="H559" s="235"/>
      <c r="I559" s="235"/>
      <c r="J559" s="182" t="str">
        <f>J558</f>
        <v>RSDAHT</v>
      </c>
      <c r="K559" s="235"/>
      <c r="L559" s="244" t="str">
        <f>$AA$11</f>
        <v>ACT</v>
      </c>
      <c r="M559" s="182" t="str">
        <f t="shared" si="134"/>
        <v/>
      </c>
      <c r="N559" s="182"/>
      <c r="O559" s="182"/>
      <c r="P559" s="183"/>
      <c r="Q559" s="183"/>
      <c r="R559" s="182"/>
      <c r="S559" s="182"/>
      <c r="T559" s="252"/>
      <c r="U559" s="182"/>
      <c r="V559" s="252">
        <f t="shared" si="136"/>
        <v>1</v>
      </c>
      <c r="W559" s="236"/>
    </row>
    <row r="560" spans="1:23" x14ac:dyDescent="0.3">
      <c r="A560" s="316"/>
      <c r="B560" s="235"/>
      <c r="C560" s="318"/>
      <c r="D560" s="235"/>
      <c r="E560" s="235"/>
      <c r="F560" s="242"/>
      <c r="G560" s="242"/>
      <c r="H560" s="235"/>
      <c r="I560" s="235"/>
      <c r="J560" s="182" t="str">
        <f>J559</f>
        <v>RSDAHT</v>
      </c>
      <c r="K560" s="235"/>
      <c r="L560" s="244" t="str">
        <f t="shared" ref="L560" si="144">I558</f>
        <v>RSDELC</v>
      </c>
      <c r="M560" s="182" t="str">
        <f t="shared" si="134"/>
        <v/>
      </c>
      <c r="N560" s="182"/>
      <c r="O560" s="182"/>
      <c r="P560" s="183"/>
      <c r="Q560" s="183"/>
      <c r="R560" s="182"/>
      <c r="S560" s="182"/>
      <c r="T560" s="252"/>
      <c r="U560" s="182"/>
      <c r="V560" s="252">
        <f t="shared" si="136"/>
        <v>-1</v>
      </c>
      <c r="W560" s="236"/>
    </row>
    <row r="561" spans="1:23" x14ac:dyDescent="0.3">
      <c r="A561" s="316"/>
      <c r="B561" s="235" t="str">
        <f>'RSD (DEA)'!AJ112&amp;"_"&amp;'RSD (DEA)'!Z112</f>
        <v>RHHSA_HP_ELC_04</v>
      </c>
      <c r="C561" s="318"/>
      <c r="D561" s="235" t="str">
        <f t="shared" si="135"/>
        <v>RHHSA_HP_ELC_04</v>
      </c>
      <c r="E561" s="235" t="str">
        <f>'RSD (DEA)'!Q112</f>
        <v>Electric heat pumps</v>
      </c>
      <c r="F561" s="242" t="s">
        <v>239</v>
      </c>
      <c r="G561" s="242" t="s">
        <v>240</v>
      </c>
      <c r="H561" s="235">
        <f>'RSD (DEA)'!S112</f>
        <v>4</v>
      </c>
      <c r="I561" s="235" t="str">
        <f>IF(OR(RIGHT('RSD (DEA)'!AH112,3)="BIO",RIGHT(AD569,3)="BOA"),LEFT('RSD (DEA)'!AH112,3)&amp;"BFW",'RSD (DEA)'!AH112)</f>
        <v>RSDELC</v>
      </c>
      <c r="J561" s="182" t="str">
        <f>'RSD (DEA)'!AI112</f>
        <v>RSDAHT</v>
      </c>
      <c r="K561" s="235" t="str">
        <f>'RSD (DEA)'!AK112</f>
        <v>RWHSA</v>
      </c>
      <c r="L561" s="244"/>
      <c r="M561" s="182">
        <f t="shared" si="134"/>
        <v>2019</v>
      </c>
      <c r="N561" s="182">
        <f>'RSD (DEA)'!X112</f>
        <v>2030</v>
      </c>
      <c r="O561" s="182">
        <f>IF(N561&lt;2019,2019,N561)</f>
        <v>2030</v>
      </c>
      <c r="P561" s="183">
        <f>'RSD (DEA)'!AZ112</f>
        <v>3.45</v>
      </c>
      <c r="Q561" s="183">
        <f>'RSD (DEA)'!BA112</f>
        <v>3.65</v>
      </c>
      <c r="R561" s="182">
        <f>'RSD (DEA)'!BR112/'RSD (DEA)'!S112</f>
        <v>63.75</v>
      </c>
      <c r="S561" s="182">
        <f>'RSD (DEA)'!BS112/X_RSD_HeatingDemand!$AA$8</f>
        <v>0</v>
      </c>
      <c r="T561" s="252">
        <f>'RSD (DEA)'!BK104*X_RSD_HeatingDemand!$AA$9/'RSD (DEA)'!S104</f>
        <v>571.42857142857144</v>
      </c>
      <c r="U561" s="182">
        <f>'RSD (DEA)'!BI112</f>
        <v>18</v>
      </c>
      <c r="V561" s="252" t="str">
        <f t="shared" si="136"/>
        <v/>
      </c>
      <c r="W561" s="236">
        <f>'RSD (DEA)'!AM112</f>
        <v>31.536000000000001</v>
      </c>
    </row>
    <row r="562" spans="1:23" x14ac:dyDescent="0.3">
      <c r="A562" s="316"/>
      <c r="B562" s="235"/>
      <c r="C562" s="318"/>
      <c r="D562" s="235"/>
      <c r="E562" s="235"/>
      <c r="F562" s="242"/>
      <c r="G562" s="242"/>
      <c r="H562" s="235"/>
      <c r="I562" s="235"/>
      <c r="J562" s="182" t="str">
        <f>J561</f>
        <v>RSDAHT</v>
      </c>
      <c r="K562" s="235"/>
      <c r="L562" s="244" t="str">
        <f>$AA$11</f>
        <v>ACT</v>
      </c>
      <c r="M562" s="182" t="str">
        <f t="shared" si="134"/>
        <v/>
      </c>
      <c r="N562" s="182"/>
      <c r="O562" s="182"/>
      <c r="P562" s="183"/>
      <c r="Q562" s="183"/>
      <c r="R562" s="182"/>
      <c r="S562" s="182"/>
      <c r="T562" s="252"/>
      <c r="U562" s="182"/>
      <c r="V562" s="252">
        <f t="shared" si="136"/>
        <v>1</v>
      </c>
      <c r="W562" s="236"/>
    </row>
    <row r="563" spans="1:23" x14ac:dyDescent="0.3">
      <c r="A563" s="316"/>
      <c r="B563" s="235"/>
      <c r="C563" s="318"/>
      <c r="D563" s="235"/>
      <c r="E563" s="235"/>
      <c r="F563" s="242"/>
      <c r="G563" s="242"/>
      <c r="H563" s="235"/>
      <c r="I563" s="235"/>
      <c r="J563" s="182" t="str">
        <f>J562</f>
        <v>RSDAHT</v>
      </c>
      <c r="K563" s="235"/>
      <c r="L563" s="244" t="str">
        <f t="shared" ref="L563" si="145">I561</f>
        <v>RSDELC</v>
      </c>
      <c r="M563" s="182" t="str">
        <f t="shared" si="134"/>
        <v/>
      </c>
      <c r="N563" s="182"/>
      <c r="O563" s="182"/>
      <c r="P563" s="183"/>
      <c r="Q563" s="183"/>
      <c r="R563" s="182"/>
      <c r="S563" s="182"/>
      <c r="T563" s="252"/>
      <c r="U563" s="182"/>
      <c r="V563" s="252">
        <f t="shared" si="136"/>
        <v>-1</v>
      </c>
      <c r="W563" s="236"/>
    </row>
    <row r="564" spans="1:23" x14ac:dyDescent="0.3">
      <c r="A564" s="316"/>
      <c r="B564" s="235" t="str">
        <f>'RSD (DEA)'!AJ113&amp;"_"&amp;'RSD (DEA)'!Z113</f>
        <v>RHHSA_HP_ELC_04</v>
      </c>
      <c r="C564" s="318"/>
      <c r="D564" s="235" t="str">
        <f t="shared" si="135"/>
        <v>RHHSA_HP_ELC_04</v>
      </c>
      <c r="E564" s="235" t="str">
        <f>'RSD (DEA)'!Q113</f>
        <v>Electric heat pumps</v>
      </c>
      <c r="F564" s="242" t="s">
        <v>239</v>
      </c>
      <c r="G564" s="242" t="s">
        <v>240</v>
      </c>
      <c r="H564" s="235">
        <f>'RSD (DEA)'!S113</f>
        <v>4</v>
      </c>
      <c r="I564" s="235" t="str">
        <f>IF(OR(RIGHT('RSD (DEA)'!AH113,3)="BIO",RIGHT(AD572,3)="BOA"),LEFT('RSD (DEA)'!AH113,3)&amp;"BFW",'RSD (DEA)'!AH113)</f>
        <v>RSDELC</v>
      </c>
      <c r="J564" s="182" t="str">
        <f>'RSD (DEA)'!AI113</f>
        <v>RSDAHT</v>
      </c>
      <c r="K564" s="235" t="str">
        <f>'RSD (DEA)'!AK113</f>
        <v>RWHSA</v>
      </c>
      <c r="L564" s="244"/>
      <c r="M564" s="182">
        <f t="shared" si="134"/>
        <v>2019</v>
      </c>
      <c r="N564" s="182">
        <f>'RSD (DEA)'!X113</f>
        <v>2050</v>
      </c>
      <c r="O564" s="182">
        <f>IF(N564&lt;2019,2019,N564)</f>
        <v>2050</v>
      </c>
      <c r="P564" s="183">
        <f>'RSD (DEA)'!AZ113</f>
        <v>3.65</v>
      </c>
      <c r="Q564" s="183">
        <f>'RSD (DEA)'!BA113</f>
        <v>3.8</v>
      </c>
      <c r="R564" s="182">
        <f>'RSD (DEA)'!BR113/'RSD (DEA)'!S113</f>
        <v>59.75</v>
      </c>
      <c r="S564" s="182">
        <f>'RSD (DEA)'!BS113/X_RSD_HeatingDemand!$AA$8</f>
        <v>0</v>
      </c>
      <c r="T564" s="252">
        <f>'RSD (DEA)'!BK105*X_RSD_HeatingDemand!$AA$9/'RSD (DEA)'!S105</f>
        <v>571.42857142857144</v>
      </c>
      <c r="U564" s="182">
        <f>'RSD (DEA)'!BI113</f>
        <v>18</v>
      </c>
      <c r="V564" s="252" t="str">
        <f t="shared" si="136"/>
        <v/>
      </c>
      <c r="W564" s="236">
        <f>'RSD (DEA)'!AM113</f>
        <v>31.536000000000001</v>
      </c>
    </row>
    <row r="565" spans="1:23" x14ac:dyDescent="0.3">
      <c r="A565" s="316"/>
      <c r="B565" s="235"/>
      <c r="C565" s="318"/>
      <c r="D565" s="235"/>
      <c r="E565" s="235"/>
      <c r="F565" s="242"/>
      <c r="G565" s="242"/>
      <c r="H565" s="235"/>
      <c r="I565" s="235"/>
      <c r="J565" s="182" t="str">
        <f>J564</f>
        <v>RSDAHT</v>
      </c>
      <c r="K565" s="235"/>
      <c r="L565" s="244" t="str">
        <f>$AA$11</f>
        <v>ACT</v>
      </c>
      <c r="M565" s="182" t="str">
        <f t="shared" si="134"/>
        <v/>
      </c>
      <c r="N565" s="182"/>
      <c r="O565" s="182"/>
      <c r="P565" s="183"/>
      <c r="Q565" s="183"/>
      <c r="R565" s="182"/>
      <c r="S565" s="182"/>
      <c r="T565" s="252"/>
      <c r="U565" s="182"/>
      <c r="V565" s="252">
        <f t="shared" si="136"/>
        <v>1</v>
      </c>
      <c r="W565" s="236"/>
    </row>
    <row r="566" spans="1:23" x14ac:dyDescent="0.3">
      <c r="A566" s="316"/>
      <c r="B566" s="235"/>
      <c r="C566" s="318"/>
      <c r="D566" s="235"/>
      <c r="E566" s="235"/>
      <c r="F566" s="242"/>
      <c r="G566" s="242"/>
      <c r="H566" s="235"/>
      <c r="I566" s="235"/>
      <c r="J566" s="182" t="str">
        <f>J565</f>
        <v>RSDAHT</v>
      </c>
      <c r="K566" s="235"/>
      <c r="L566" s="244" t="str">
        <f t="shared" ref="L566:L626" si="146">I564</f>
        <v>RSDELC</v>
      </c>
      <c r="M566" s="182" t="str">
        <f t="shared" si="134"/>
        <v/>
      </c>
      <c r="N566" s="182"/>
      <c r="O566" s="182"/>
      <c r="P566" s="183"/>
      <c r="Q566" s="183"/>
      <c r="R566" s="182"/>
      <c r="S566" s="182"/>
      <c r="T566" s="252"/>
      <c r="U566" s="182"/>
      <c r="V566" s="252">
        <f t="shared" si="136"/>
        <v>-1</v>
      </c>
      <c r="W566" s="236"/>
    </row>
    <row r="567" spans="1:23" x14ac:dyDescent="0.3">
      <c r="A567" s="316"/>
      <c r="B567" s="235" t="str">
        <f>'RSD (DEA)'!AJ114&amp;"_"&amp;'RSD (DEA)'!Z114</f>
        <v>RHAPC_HP_ELC_05</v>
      </c>
      <c r="C567" s="318"/>
      <c r="D567" s="235" t="str">
        <f t="shared" si="135"/>
        <v>RHAPC_HP_ELC_05</v>
      </c>
      <c r="E567" s="235" t="str">
        <f>'RSD (DEA)'!Q114</f>
        <v>Electric heat pumps</v>
      </c>
      <c r="F567" s="242" t="s">
        <v>239</v>
      </c>
      <c r="G567" s="242" t="s">
        <v>240</v>
      </c>
      <c r="H567" s="235">
        <f>'RSD (DEA)'!S114</f>
        <v>400</v>
      </c>
      <c r="I567" s="235" t="str">
        <f>IF(OR(RIGHT('RSD (DEA)'!AH114,3)="BIO",RIGHT(AD575,3)="BOA"),LEFT('RSD (DEA)'!AH114,3)&amp;"BFW",'RSD (DEA)'!AH114)</f>
        <v>RSDELC</v>
      </c>
      <c r="J567" s="182" t="str">
        <f>'RSD (DEA)'!AI114</f>
        <v>RSDAHT</v>
      </c>
      <c r="K567" s="235" t="str">
        <f>'RSD (DEA)'!AK114</f>
        <v>RWAPC</v>
      </c>
      <c r="L567" s="244"/>
      <c r="M567" s="182">
        <f t="shared" si="134"/>
        <v>2019</v>
      </c>
      <c r="N567" s="182">
        <f>'RSD (DEA)'!X114</f>
        <v>2015</v>
      </c>
      <c r="O567" s="182">
        <f>IF(N567&lt;2019,2019,N567)</f>
        <v>2019</v>
      </c>
      <c r="P567" s="183">
        <f>'RSD (DEA)'!AZ114</f>
        <v>4.0999999999999996</v>
      </c>
      <c r="Q567" s="183">
        <f>'RSD (DEA)'!BA114</f>
        <v>4.3</v>
      </c>
      <c r="R567" s="182">
        <f>'RSD (DEA)'!BR114/'RSD (DEA)'!S114</f>
        <v>4.0999999999999996</v>
      </c>
      <c r="S567" s="182">
        <f>'RSD (DEA)'!BS114/X_RSD_HeatingDemand!$AA$8</f>
        <v>0.12291666666666666</v>
      </c>
      <c r="T567" s="252">
        <f>'RSD (DEA)'!BK106*X_RSD_HeatingDemand!$AA$9/'RSD (DEA)'!S106</f>
        <v>1000</v>
      </c>
      <c r="U567" s="182">
        <f>'RSD (DEA)'!BI114</f>
        <v>20</v>
      </c>
      <c r="V567" s="252" t="str">
        <f t="shared" si="136"/>
        <v/>
      </c>
      <c r="W567" s="236">
        <f>'RSD (DEA)'!AM114</f>
        <v>31.536000000000001</v>
      </c>
    </row>
    <row r="568" spans="1:23" x14ac:dyDescent="0.3">
      <c r="A568" s="316"/>
      <c r="B568" s="235"/>
      <c r="C568" s="318"/>
      <c r="D568" s="235"/>
      <c r="E568" s="235"/>
      <c r="F568" s="242"/>
      <c r="G568" s="242"/>
      <c r="H568" s="235"/>
      <c r="I568" s="235"/>
      <c r="J568" s="182" t="str">
        <f>J567</f>
        <v>RSDAHT</v>
      </c>
      <c r="K568" s="235"/>
      <c r="L568" s="244" t="str">
        <f>$AA$11</f>
        <v>ACT</v>
      </c>
      <c r="M568" s="182" t="str">
        <f t="shared" si="134"/>
        <v/>
      </c>
      <c r="N568" s="182"/>
      <c r="O568" s="182"/>
      <c r="P568" s="183"/>
      <c r="Q568" s="183"/>
      <c r="R568" s="182"/>
      <c r="S568" s="182"/>
      <c r="T568" s="252"/>
      <c r="U568" s="182"/>
      <c r="V568" s="252">
        <f t="shared" si="136"/>
        <v>1</v>
      </c>
      <c r="W568" s="236"/>
    </row>
    <row r="569" spans="1:23" x14ac:dyDescent="0.3">
      <c r="A569" s="316"/>
      <c r="B569" s="235"/>
      <c r="C569" s="318"/>
      <c r="D569" s="235"/>
      <c r="E569" s="235"/>
      <c r="F569" s="242"/>
      <c r="G569" s="242"/>
      <c r="H569" s="235"/>
      <c r="I569" s="235"/>
      <c r="J569" s="182" t="str">
        <f>J568</f>
        <v>RSDAHT</v>
      </c>
      <c r="K569" s="235"/>
      <c r="L569" s="244" t="str">
        <f t="shared" ref="L569:L629" si="147">I567</f>
        <v>RSDELC</v>
      </c>
      <c r="M569" s="182" t="str">
        <f t="shared" si="134"/>
        <v/>
      </c>
      <c r="N569" s="182"/>
      <c r="O569" s="182"/>
      <c r="P569" s="183"/>
      <c r="Q569" s="183"/>
      <c r="R569" s="182"/>
      <c r="S569" s="182"/>
      <c r="T569" s="252"/>
      <c r="U569" s="182"/>
      <c r="V569" s="252">
        <f t="shared" si="136"/>
        <v>-1</v>
      </c>
      <c r="W569" s="236"/>
    </row>
    <row r="570" spans="1:23" x14ac:dyDescent="0.3">
      <c r="A570" s="316"/>
      <c r="B570" s="235" t="str">
        <f>'RSD (DEA)'!AJ115&amp;"_"&amp;'RSD (DEA)'!Z115</f>
        <v>RHAPC_HP_ELC_05</v>
      </c>
      <c r="C570" s="318"/>
      <c r="D570" s="235" t="str">
        <f t="shared" si="135"/>
        <v>RHAPC_HP_ELC_05</v>
      </c>
      <c r="E570" s="235" t="str">
        <f>'RSD (DEA)'!Q115</f>
        <v>Electric heat pumps</v>
      </c>
      <c r="F570" s="242" t="s">
        <v>239</v>
      </c>
      <c r="G570" s="242" t="s">
        <v>240</v>
      </c>
      <c r="H570" s="235">
        <f>'RSD (DEA)'!S115</f>
        <v>400</v>
      </c>
      <c r="I570" s="235" t="str">
        <f>IF(OR(RIGHT('RSD (DEA)'!AH115,3)="BIO",RIGHT(AD578,3)="BOA"),LEFT('RSD (DEA)'!AH115,3)&amp;"BFW",'RSD (DEA)'!AH115)</f>
        <v>RSDELC</v>
      </c>
      <c r="J570" s="182" t="str">
        <f>'RSD (DEA)'!AI115</f>
        <v>RSDAHT</v>
      </c>
      <c r="K570" s="235" t="str">
        <f>'RSD (DEA)'!AK115</f>
        <v>RWAPC</v>
      </c>
      <c r="L570" s="244"/>
      <c r="M570" s="182">
        <f t="shared" si="134"/>
        <v>2019</v>
      </c>
      <c r="N570" s="182">
        <f>'RSD (DEA)'!X115</f>
        <v>2020</v>
      </c>
      <c r="O570" s="182">
        <f>IF(N570&lt;2019,2019,N570)</f>
        <v>2020</v>
      </c>
      <c r="P570" s="183">
        <f>'RSD (DEA)'!AZ115</f>
        <v>4.2</v>
      </c>
      <c r="Q570" s="183">
        <f>'RSD (DEA)'!BA115</f>
        <v>4.4000000000000004</v>
      </c>
      <c r="R570" s="182">
        <f>'RSD (DEA)'!BR115/'RSD (DEA)'!S115</f>
        <v>4.125</v>
      </c>
      <c r="S570" s="182">
        <f>'RSD (DEA)'!BS115/X_RSD_HeatingDemand!$AA$8</f>
        <v>0.12291666666666666</v>
      </c>
      <c r="T570" s="252">
        <f>'RSD (DEA)'!BK107*X_RSD_HeatingDemand!$AA$9/'RSD (DEA)'!S107</f>
        <v>900</v>
      </c>
      <c r="U570" s="182">
        <f>'RSD (DEA)'!BI115</f>
        <v>20</v>
      </c>
      <c r="V570" s="252" t="str">
        <f t="shared" si="136"/>
        <v/>
      </c>
      <c r="W570" s="236">
        <f>'RSD (DEA)'!AM115</f>
        <v>31.536000000000001</v>
      </c>
    </row>
    <row r="571" spans="1:23" x14ac:dyDescent="0.3">
      <c r="A571" s="316"/>
      <c r="B571" s="235"/>
      <c r="C571" s="318"/>
      <c r="D571" s="235"/>
      <c r="E571" s="235"/>
      <c r="F571" s="242"/>
      <c r="G571" s="242"/>
      <c r="H571" s="235"/>
      <c r="I571" s="235"/>
      <c r="J571" s="182" t="str">
        <f>J570</f>
        <v>RSDAHT</v>
      </c>
      <c r="K571" s="235"/>
      <c r="L571" s="244" t="str">
        <f>$AA$11</f>
        <v>ACT</v>
      </c>
      <c r="M571" s="182" t="str">
        <f t="shared" si="134"/>
        <v/>
      </c>
      <c r="N571" s="182"/>
      <c r="O571" s="182"/>
      <c r="P571" s="183"/>
      <c r="Q571" s="183"/>
      <c r="R571" s="182"/>
      <c r="S571" s="182"/>
      <c r="T571" s="252"/>
      <c r="U571" s="182"/>
      <c r="V571" s="252">
        <f t="shared" si="136"/>
        <v>1</v>
      </c>
      <c r="W571" s="236"/>
    </row>
    <row r="572" spans="1:23" x14ac:dyDescent="0.3">
      <c r="A572" s="316"/>
      <c r="B572" s="235"/>
      <c r="C572" s="318"/>
      <c r="D572" s="235"/>
      <c r="E572" s="235"/>
      <c r="F572" s="242"/>
      <c r="G572" s="242"/>
      <c r="H572" s="235"/>
      <c r="I572" s="235"/>
      <c r="J572" s="182" t="str">
        <f>J571</f>
        <v>RSDAHT</v>
      </c>
      <c r="K572" s="235"/>
      <c r="L572" s="244" t="str">
        <f t="shared" si="146"/>
        <v>RSDELC</v>
      </c>
      <c r="M572" s="182" t="str">
        <f t="shared" si="134"/>
        <v/>
      </c>
      <c r="N572" s="182"/>
      <c r="O572" s="182"/>
      <c r="P572" s="183"/>
      <c r="Q572" s="183"/>
      <c r="R572" s="182"/>
      <c r="S572" s="182"/>
      <c r="T572" s="252"/>
      <c r="U572" s="182"/>
      <c r="V572" s="252">
        <f t="shared" si="136"/>
        <v>-1</v>
      </c>
      <c r="W572" s="236"/>
    </row>
    <row r="573" spans="1:23" x14ac:dyDescent="0.3">
      <c r="A573" s="316"/>
      <c r="B573" s="235" t="str">
        <f>'RSD (DEA)'!AJ116&amp;"_"&amp;'RSD (DEA)'!Z116</f>
        <v>RHAPC_HP_ELC_05</v>
      </c>
      <c r="C573" s="318"/>
      <c r="D573" s="235" t="str">
        <f t="shared" si="135"/>
        <v>RHAPC_HP_ELC_05</v>
      </c>
      <c r="E573" s="235" t="str">
        <f>'RSD (DEA)'!Q116</f>
        <v>Electric heat pumps</v>
      </c>
      <c r="F573" s="242" t="s">
        <v>239</v>
      </c>
      <c r="G573" s="242" t="s">
        <v>240</v>
      </c>
      <c r="H573" s="235">
        <f>'RSD (DEA)'!S116</f>
        <v>400</v>
      </c>
      <c r="I573" s="235" t="str">
        <f>IF(OR(RIGHT('RSD (DEA)'!AH116,3)="BIO",RIGHT(AD581,3)="BOA"),LEFT('RSD (DEA)'!AH116,3)&amp;"BFW",'RSD (DEA)'!AH116)</f>
        <v>RSDELC</v>
      </c>
      <c r="J573" s="182" t="str">
        <f>'RSD (DEA)'!AI116</f>
        <v>RSDAHT</v>
      </c>
      <c r="K573" s="235" t="str">
        <f>'RSD (DEA)'!AK116</f>
        <v>RWAPC</v>
      </c>
      <c r="L573" s="244"/>
      <c r="M573" s="182">
        <f t="shared" si="134"/>
        <v>2019</v>
      </c>
      <c r="N573" s="182">
        <f>'RSD (DEA)'!X116</f>
        <v>2030</v>
      </c>
      <c r="O573" s="182">
        <f>IF(N573&lt;2019,2019,N573)</f>
        <v>2030</v>
      </c>
      <c r="P573" s="183">
        <f>'RSD (DEA)'!AZ116</f>
        <v>4.3</v>
      </c>
      <c r="Q573" s="183">
        <f>'RSD (DEA)'!BA116</f>
        <v>4.5</v>
      </c>
      <c r="R573" s="182">
        <f>'RSD (DEA)'!BR116/'RSD (DEA)'!S116</f>
        <v>4.665</v>
      </c>
      <c r="S573" s="182">
        <f>'RSD (DEA)'!BS116/X_RSD_HeatingDemand!$AA$8</f>
        <v>0.12291666666666666</v>
      </c>
      <c r="T573" s="252">
        <f>'RSD (DEA)'!BK108*X_RSD_HeatingDemand!$AA$9/'RSD (DEA)'!S108</f>
        <v>900</v>
      </c>
      <c r="U573" s="182">
        <f>'RSD (DEA)'!BI116</f>
        <v>20</v>
      </c>
      <c r="V573" s="252" t="str">
        <f t="shared" si="136"/>
        <v/>
      </c>
      <c r="W573" s="236">
        <f>'RSD (DEA)'!AM116</f>
        <v>31.536000000000001</v>
      </c>
    </row>
    <row r="574" spans="1:23" x14ac:dyDescent="0.3">
      <c r="A574" s="316"/>
      <c r="B574" s="235"/>
      <c r="C574" s="318"/>
      <c r="D574" s="235"/>
      <c r="E574" s="235"/>
      <c r="F574" s="242"/>
      <c r="G574" s="242"/>
      <c r="H574" s="235"/>
      <c r="I574" s="235"/>
      <c r="J574" s="182" t="str">
        <f>J573</f>
        <v>RSDAHT</v>
      </c>
      <c r="K574" s="235"/>
      <c r="L574" s="244" t="str">
        <f>$AA$11</f>
        <v>ACT</v>
      </c>
      <c r="M574" s="182" t="str">
        <f t="shared" si="134"/>
        <v/>
      </c>
      <c r="N574" s="182"/>
      <c r="O574" s="182"/>
      <c r="P574" s="183"/>
      <c r="Q574" s="183"/>
      <c r="R574" s="182"/>
      <c r="S574" s="182"/>
      <c r="T574" s="252"/>
      <c r="U574" s="182"/>
      <c r="V574" s="252">
        <f t="shared" si="136"/>
        <v>1</v>
      </c>
      <c r="W574" s="236"/>
    </row>
    <row r="575" spans="1:23" x14ac:dyDescent="0.3">
      <c r="A575" s="316"/>
      <c r="B575" s="235"/>
      <c r="C575" s="318"/>
      <c r="D575" s="235"/>
      <c r="E575" s="235"/>
      <c r="F575" s="242"/>
      <c r="G575" s="242"/>
      <c r="H575" s="235"/>
      <c r="I575" s="235"/>
      <c r="J575" s="182" t="str">
        <f>J574</f>
        <v>RSDAHT</v>
      </c>
      <c r="K575" s="235"/>
      <c r="L575" s="244" t="str">
        <f t="shared" si="147"/>
        <v>RSDELC</v>
      </c>
      <c r="M575" s="182" t="str">
        <f t="shared" si="134"/>
        <v/>
      </c>
      <c r="N575" s="182"/>
      <c r="O575" s="182"/>
      <c r="P575" s="183"/>
      <c r="Q575" s="183"/>
      <c r="R575" s="182"/>
      <c r="S575" s="182"/>
      <c r="T575" s="252"/>
      <c r="U575" s="182"/>
      <c r="V575" s="252">
        <f t="shared" si="136"/>
        <v>-1</v>
      </c>
      <c r="W575" s="236"/>
    </row>
    <row r="576" spans="1:23" x14ac:dyDescent="0.3">
      <c r="A576" s="316"/>
      <c r="B576" s="235" t="str">
        <f>'RSD (DEA)'!AJ117&amp;"_"&amp;'RSD (DEA)'!Z117</f>
        <v>RHAPC_HP_ELC_05</v>
      </c>
      <c r="C576" s="318"/>
      <c r="D576" s="235" t="str">
        <f t="shared" si="135"/>
        <v>RHAPC_HP_ELC_05</v>
      </c>
      <c r="E576" s="235" t="str">
        <f>'RSD (DEA)'!Q117</f>
        <v>Electric heat pumps</v>
      </c>
      <c r="F576" s="242" t="s">
        <v>239</v>
      </c>
      <c r="G576" s="242" t="s">
        <v>240</v>
      </c>
      <c r="H576" s="235">
        <f>'RSD (DEA)'!S117</f>
        <v>400</v>
      </c>
      <c r="I576" s="235" t="str">
        <f>IF(OR(RIGHT('RSD (DEA)'!AH117,3)="BIO",RIGHT(AD584,3)="BOA"),LEFT('RSD (DEA)'!AH117,3)&amp;"BFW",'RSD (DEA)'!AH117)</f>
        <v>RSDELC</v>
      </c>
      <c r="J576" s="182" t="str">
        <f>'RSD (DEA)'!AI117</f>
        <v>RSDAHT</v>
      </c>
      <c r="K576" s="235" t="str">
        <f>'RSD (DEA)'!AK117</f>
        <v>RWAPC</v>
      </c>
      <c r="L576" s="244"/>
      <c r="M576" s="182">
        <f t="shared" si="134"/>
        <v>2019</v>
      </c>
      <c r="N576" s="182">
        <f>'RSD (DEA)'!X117</f>
        <v>2050</v>
      </c>
      <c r="O576" s="182">
        <f>IF(N576&lt;2019,2019,N576)</f>
        <v>2050</v>
      </c>
      <c r="P576" s="183">
        <f>'RSD (DEA)'!AZ117</f>
        <v>4.5999999999999996</v>
      </c>
      <c r="Q576" s="183">
        <f>'RSD (DEA)'!BA117</f>
        <v>4.8</v>
      </c>
      <c r="R576" s="182">
        <f>'RSD (DEA)'!BR117/'RSD (DEA)'!S117</f>
        <v>6.0274999999999999</v>
      </c>
      <c r="S576" s="182">
        <f>'RSD (DEA)'!BS117/X_RSD_HeatingDemand!$AA$8</f>
        <v>0.12291666666666666</v>
      </c>
      <c r="T576" s="252">
        <f>'RSD (DEA)'!BK109*X_RSD_HeatingDemand!$AA$9/'RSD (DEA)'!S109</f>
        <v>800</v>
      </c>
      <c r="U576" s="182">
        <f>'RSD (DEA)'!BI117</f>
        <v>20</v>
      </c>
      <c r="V576" s="252" t="str">
        <f t="shared" si="136"/>
        <v/>
      </c>
      <c r="W576" s="236">
        <f>'RSD (DEA)'!AM117</f>
        <v>31.536000000000001</v>
      </c>
    </row>
    <row r="577" spans="1:23" x14ac:dyDescent="0.3">
      <c r="A577" s="316"/>
      <c r="B577" s="235"/>
      <c r="C577" s="318"/>
      <c r="D577" s="235"/>
      <c r="E577" s="235"/>
      <c r="F577" s="242"/>
      <c r="G577" s="242"/>
      <c r="H577" s="235"/>
      <c r="I577" s="235"/>
      <c r="J577" s="182" t="str">
        <f>J576</f>
        <v>RSDAHT</v>
      </c>
      <c r="K577" s="235"/>
      <c r="L577" s="244" t="str">
        <f>$AA$11</f>
        <v>ACT</v>
      </c>
      <c r="M577" s="182" t="str">
        <f t="shared" si="134"/>
        <v/>
      </c>
      <c r="N577" s="182"/>
      <c r="O577" s="182"/>
      <c r="P577" s="183"/>
      <c r="Q577" s="183"/>
      <c r="R577" s="182"/>
      <c r="S577" s="182"/>
      <c r="T577" s="252"/>
      <c r="U577" s="182"/>
      <c r="V577" s="252">
        <f t="shared" si="136"/>
        <v>1</v>
      </c>
      <c r="W577" s="236"/>
    </row>
    <row r="578" spans="1:23" x14ac:dyDescent="0.3">
      <c r="A578" s="316"/>
      <c r="B578" s="235"/>
      <c r="C578" s="318"/>
      <c r="D578" s="235"/>
      <c r="E578" s="235"/>
      <c r="F578" s="242"/>
      <c r="G578" s="242"/>
      <c r="H578" s="235"/>
      <c r="I578" s="235"/>
      <c r="J578" s="182" t="str">
        <f>J577</f>
        <v>RSDAHT</v>
      </c>
      <c r="K578" s="235"/>
      <c r="L578" s="244" t="str">
        <f t="shared" si="146"/>
        <v>RSDELC</v>
      </c>
      <c r="M578" s="182" t="str">
        <f t="shared" si="134"/>
        <v/>
      </c>
      <c r="N578" s="182"/>
      <c r="O578" s="182"/>
      <c r="P578" s="183"/>
      <c r="Q578" s="183"/>
      <c r="R578" s="182"/>
      <c r="S578" s="182"/>
      <c r="T578" s="252"/>
      <c r="U578" s="182"/>
      <c r="V578" s="252">
        <f t="shared" si="136"/>
        <v>-1</v>
      </c>
      <c r="W578" s="236"/>
    </row>
    <row r="579" spans="1:23" x14ac:dyDescent="0.3">
      <c r="A579" s="316"/>
      <c r="B579" s="235" t="str">
        <f>'RSD (DEA)'!AJ118&amp;"_"&amp;'RSD (DEA)'!Z118</f>
        <v>RHAPA_HP_ELC_06</v>
      </c>
      <c r="C579" s="318"/>
      <c r="D579" s="235" t="str">
        <f t="shared" si="135"/>
        <v>RHAPA_HP_ELC_06</v>
      </c>
      <c r="E579" s="235" t="str">
        <f>'RSD (DEA)'!Q118</f>
        <v>Electric heat pumps</v>
      </c>
      <c r="F579" s="242" t="s">
        <v>239</v>
      </c>
      <c r="G579" s="242" t="s">
        <v>240</v>
      </c>
      <c r="H579" s="235">
        <f>'RSD (DEA)'!S118</f>
        <v>160</v>
      </c>
      <c r="I579" s="235" t="str">
        <f>IF(OR(RIGHT('RSD (DEA)'!AH118,3)="BIO",RIGHT(AD587,3)="BOA"),LEFT('RSD (DEA)'!AH118,3)&amp;"BFW",'RSD (DEA)'!AH118)</f>
        <v>RSDELC</v>
      </c>
      <c r="J579" s="182" t="str">
        <f>'RSD (DEA)'!AI118</f>
        <v>RSDAHT</v>
      </c>
      <c r="K579" s="235" t="str">
        <f>'RSD (DEA)'!AK118</f>
        <v>RWAPA</v>
      </c>
      <c r="L579" s="244"/>
      <c r="M579" s="182">
        <f t="shared" si="134"/>
        <v>2019</v>
      </c>
      <c r="N579" s="182">
        <f>'RSD (DEA)'!X118</f>
        <v>2015</v>
      </c>
      <c r="O579" s="182">
        <f>IF(N579&lt;2019,2019,N579)</f>
        <v>2019</v>
      </c>
      <c r="P579" s="183">
        <f>'RSD (DEA)'!AZ118</f>
        <v>3.9</v>
      </c>
      <c r="Q579" s="183">
        <f>'RSD (DEA)'!BA118</f>
        <v>4.4000000000000004</v>
      </c>
      <c r="R579" s="182">
        <f>'RSD (DEA)'!BR118/'RSD (DEA)'!S118</f>
        <v>10.25</v>
      </c>
      <c r="S579" s="182">
        <f>'RSD (DEA)'!BS118/X_RSD_HeatingDemand!$AA$8</f>
        <v>0.12291666666666666</v>
      </c>
      <c r="T579" s="252">
        <f>'RSD (DEA)'!BK110*X_RSD_HeatingDemand!$AA$9/'RSD (DEA)'!S110</f>
        <v>1750</v>
      </c>
      <c r="U579" s="182">
        <f>'RSD (DEA)'!BI118</f>
        <v>20</v>
      </c>
      <c r="V579" s="252" t="str">
        <f t="shared" si="136"/>
        <v/>
      </c>
      <c r="W579" s="236">
        <f>'RSD (DEA)'!AM118</f>
        <v>31.536000000000001</v>
      </c>
    </row>
    <row r="580" spans="1:23" x14ac:dyDescent="0.3">
      <c r="A580" s="316"/>
      <c r="B580" s="235"/>
      <c r="C580" s="318"/>
      <c r="D580" s="235"/>
      <c r="E580" s="235"/>
      <c r="F580" s="242"/>
      <c r="G580" s="242"/>
      <c r="H580" s="235"/>
      <c r="I580" s="235"/>
      <c r="J580" s="182" t="str">
        <f>J579</f>
        <v>RSDAHT</v>
      </c>
      <c r="K580" s="235"/>
      <c r="L580" s="244" t="str">
        <f>$AA$11</f>
        <v>ACT</v>
      </c>
      <c r="M580" s="182" t="str">
        <f t="shared" si="134"/>
        <v/>
      </c>
      <c r="N580" s="182"/>
      <c r="O580" s="182"/>
      <c r="P580" s="183"/>
      <c r="Q580" s="183"/>
      <c r="R580" s="182"/>
      <c r="S580" s="182"/>
      <c r="T580" s="252"/>
      <c r="U580" s="182"/>
      <c r="V580" s="252">
        <f t="shared" si="136"/>
        <v>1</v>
      </c>
      <c r="W580" s="236"/>
    </row>
    <row r="581" spans="1:23" x14ac:dyDescent="0.3">
      <c r="A581" s="316"/>
      <c r="B581" s="235"/>
      <c r="C581" s="318"/>
      <c r="D581" s="235"/>
      <c r="E581" s="235"/>
      <c r="F581" s="242"/>
      <c r="G581" s="242"/>
      <c r="H581" s="235"/>
      <c r="I581" s="235"/>
      <c r="J581" s="182" t="str">
        <f>J580</f>
        <v>RSDAHT</v>
      </c>
      <c r="K581" s="235"/>
      <c r="L581" s="244" t="str">
        <f t="shared" si="147"/>
        <v>RSDELC</v>
      </c>
      <c r="M581" s="182" t="str">
        <f t="shared" si="134"/>
        <v/>
      </c>
      <c r="N581" s="182"/>
      <c r="O581" s="182"/>
      <c r="P581" s="183"/>
      <c r="Q581" s="183"/>
      <c r="R581" s="182"/>
      <c r="S581" s="182"/>
      <c r="T581" s="252"/>
      <c r="U581" s="182"/>
      <c r="V581" s="252">
        <f t="shared" si="136"/>
        <v>-1</v>
      </c>
      <c r="W581" s="236"/>
    </row>
    <row r="582" spans="1:23" x14ac:dyDescent="0.3">
      <c r="A582" s="316"/>
      <c r="B582" s="235" t="str">
        <f>'RSD (DEA)'!AJ119&amp;"_"&amp;'RSD (DEA)'!Z119</f>
        <v>RHAPA_HP_ELC_06</v>
      </c>
      <c r="C582" s="318"/>
      <c r="D582" s="235" t="str">
        <f t="shared" si="135"/>
        <v>RHAPA_HP_ELC_06</v>
      </c>
      <c r="E582" s="235" t="str">
        <f>'RSD (DEA)'!Q119</f>
        <v>Electric heat pumps</v>
      </c>
      <c r="F582" s="242" t="s">
        <v>239</v>
      </c>
      <c r="G582" s="242" t="s">
        <v>240</v>
      </c>
      <c r="H582" s="235">
        <f>'RSD (DEA)'!S119</f>
        <v>160</v>
      </c>
      <c r="I582" s="235" t="str">
        <f>IF(OR(RIGHT('RSD (DEA)'!AH119,3)="BIO",RIGHT(AD590,3)="BOA"),LEFT('RSD (DEA)'!AH119,3)&amp;"BFW",'RSD (DEA)'!AH119)</f>
        <v>RSDELC</v>
      </c>
      <c r="J582" s="182" t="str">
        <f>'RSD (DEA)'!AI119</f>
        <v>RSDAHT</v>
      </c>
      <c r="K582" s="235" t="str">
        <f>'RSD (DEA)'!AK119</f>
        <v>RWAPA</v>
      </c>
      <c r="L582" s="244"/>
      <c r="M582" s="182">
        <f t="shared" ref="M582:M645" si="148">IF(ISBLANK(B582),"",$AA$14)</f>
        <v>2019</v>
      </c>
      <c r="N582" s="182">
        <f>'RSD (DEA)'!X119</f>
        <v>2020</v>
      </c>
      <c r="O582" s="182">
        <f>IF(N582&lt;2019,2019,N582)</f>
        <v>2020</v>
      </c>
      <c r="P582" s="183">
        <f>'RSD (DEA)'!AZ119</f>
        <v>4</v>
      </c>
      <c r="Q582" s="183">
        <f>'RSD (DEA)'!BA119</f>
        <v>4.5</v>
      </c>
      <c r="R582" s="182">
        <f>'RSD (DEA)'!BR119/'RSD (DEA)'!S119</f>
        <v>10.3125</v>
      </c>
      <c r="S582" s="182">
        <f>'RSD (DEA)'!BS119/X_RSD_HeatingDemand!$AA$8</f>
        <v>0.12291666666666666</v>
      </c>
      <c r="T582" s="252">
        <f>'RSD (DEA)'!BK111*X_RSD_HeatingDemand!$AA$9/'RSD (DEA)'!S111</f>
        <v>1750</v>
      </c>
      <c r="U582" s="182">
        <f>'RSD (DEA)'!BI119</f>
        <v>20</v>
      </c>
      <c r="V582" s="252" t="str">
        <f t="shared" si="136"/>
        <v/>
      </c>
      <c r="W582" s="236">
        <f>'RSD (DEA)'!AM119</f>
        <v>31.536000000000001</v>
      </c>
    </row>
    <row r="583" spans="1:23" x14ac:dyDescent="0.3">
      <c r="A583" s="316"/>
      <c r="B583" s="235"/>
      <c r="C583" s="318"/>
      <c r="D583" s="235"/>
      <c r="E583" s="235"/>
      <c r="F583" s="242"/>
      <c r="G583" s="242"/>
      <c r="H583" s="235"/>
      <c r="I583" s="235"/>
      <c r="J583" s="182" t="str">
        <f>J582</f>
        <v>RSDAHT</v>
      </c>
      <c r="K583" s="235"/>
      <c r="L583" s="244" t="str">
        <f>$AA$11</f>
        <v>ACT</v>
      </c>
      <c r="M583" s="182" t="str">
        <f t="shared" si="148"/>
        <v/>
      </c>
      <c r="N583" s="182"/>
      <c r="O583" s="182"/>
      <c r="P583" s="183"/>
      <c r="Q583" s="183"/>
      <c r="R583" s="182"/>
      <c r="S583" s="182"/>
      <c r="T583" s="252"/>
      <c r="U583" s="182"/>
      <c r="V583" s="252">
        <f t="shared" si="136"/>
        <v>1</v>
      </c>
      <c r="W583" s="236"/>
    </row>
    <row r="584" spans="1:23" x14ac:dyDescent="0.3">
      <c r="A584" s="316"/>
      <c r="B584" s="235"/>
      <c r="C584" s="318"/>
      <c r="D584" s="235"/>
      <c r="E584" s="235"/>
      <c r="F584" s="242"/>
      <c r="G584" s="242"/>
      <c r="H584" s="235"/>
      <c r="I584" s="235"/>
      <c r="J584" s="182" t="str">
        <f>J583</f>
        <v>RSDAHT</v>
      </c>
      <c r="K584" s="235"/>
      <c r="L584" s="244" t="str">
        <f t="shared" si="146"/>
        <v>RSDELC</v>
      </c>
      <c r="M584" s="182" t="str">
        <f t="shared" si="148"/>
        <v/>
      </c>
      <c r="N584" s="182"/>
      <c r="O584" s="182"/>
      <c r="P584" s="183"/>
      <c r="Q584" s="183"/>
      <c r="R584" s="182"/>
      <c r="S584" s="182"/>
      <c r="T584" s="252"/>
      <c r="U584" s="182"/>
      <c r="V584" s="252">
        <f t="shared" si="136"/>
        <v>-1</v>
      </c>
      <c r="W584" s="236"/>
    </row>
    <row r="585" spans="1:23" x14ac:dyDescent="0.3">
      <c r="A585" s="316"/>
      <c r="B585" s="235" t="str">
        <f>'RSD (DEA)'!AJ120&amp;"_"&amp;'RSD (DEA)'!Z120</f>
        <v>RHAPA_HP_ELC_06</v>
      </c>
      <c r="C585" s="318"/>
      <c r="D585" s="235" t="str">
        <f t="shared" ref="D585:D645" si="149">IF(B585=B584,LEFT(B585,LEN(B585)-2)&amp;IF(RIGHT(D584)+1&lt;9,"0"&amp;RIGHT(D584)+1,RIGHT(D584)+1),B585)</f>
        <v>RHAPA_HP_ELC_06</v>
      </c>
      <c r="E585" s="235" t="str">
        <f>'RSD (DEA)'!Q120</f>
        <v>Electric heat pumps</v>
      </c>
      <c r="F585" s="242" t="s">
        <v>239</v>
      </c>
      <c r="G585" s="242" t="s">
        <v>240</v>
      </c>
      <c r="H585" s="235">
        <f>'RSD (DEA)'!S120</f>
        <v>160</v>
      </c>
      <c r="I585" s="235" t="str">
        <f>IF(OR(RIGHT('RSD (DEA)'!AH120,3)="BIO",RIGHT(AD593,3)="BOA"),LEFT('RSD (DEA)'!AH120,3)&amp;"BFW",'RSD (DEA)'!AH120)</f>
        <v>RSDELC</v>
      </c>
      <c r="J585" s="182" t="str">
        <f>'RSD (DEA)'!AI120</f>
        <v>RSDAHT</v>
      </c>
      <c r="K585" s="235" t="str">
        <f>'RSD (DEA)'!AK120</f>
        <v>RWAPA</v>
      </c>
      <c r="L585" s="244"/>
      <c r="M585" s="182">
        <f t="shared" si="148"/>
        <v>2019</v>
      </c>
      <c r="N585" s="182">
        <f>'RSD (DEA)'!X120</f>
        <v>2030</v>
      </c>
      <c r="O585" s="182">
        <f>IF(N585&lt;2019,2019,N585)</f>
        <v>2030</v>
      </c>
      <c r="P585" s="183">
        <f>'RSD (DEA)'!AZ120</f>
        <v>4.05</v>
      </c>
      <c r="Q585" s="183">
        <f>'RSD (DEA)'!BA120</f>
        <v>4.5999999999999996</v>
      </c>
      <c r="R585" s="182">
        <f>'RSD (DEA)'!BR120/'RSD (DEA)'!S120</f>
        <v>11.6625</v>
      </c>
      <c r="S585" s="182">
        <f>'RSD (DEA)'!BS120/X_RSD_HeatingDemand!$AA$8</f>
        <v>0.12291666666666666</v>
      </c>
      <c r="T585" s="252">
        <f>'RSD (DEA)'!BK112*X_RSD_HeatingDemand!$AA$9/'RSD (DEA)'!S112</f>
        <v>1500</v>
      </c>
      <c r="U585" s="182">
        <f>'RSD (DEA)'!BI120</f>
        <v>20</v>
      </c>
      <c r="V585" s="252" t="str">
        <f t="shared" si="136"/>
        <v/>
      </c>
      <c r="W585" s="236">
        <f>'RSD (DEA)'!AM120</f>
        <v>31.536000000000001</v>
      </c>
    </row>
    <row r="586" spans="1:23" x14ac:dyDescent="0.3">
      <c r="A586" s="316"/>
      <c r="B586" s="235"/>
      <c r="C586" s="318"/>
      <c r="D586" s="235"/>
      <c r="E586" s="235"/>
      <c r="F586" s="242"/>
      <c r="G586" s="242"/>
      <c r="H586" s="235"/>
      <c r="I586" s="235"/>
      <c r="J586" s="182" t="str">
        <f>J585</f>
        <v>RSDAHT</v>
      </c>
      <c r="K586" s="235"/>
      <c r="L586" s="244" t="str">
        <f>$AA$11</f>
        <v>ACT</v>
      </c>
      <c r="M586" s="182" t="str">
        <f t="shared" si="148"/>
        <v/>
      </c>
      <c r="N586" s="182"/>
      <c r="O586" s="182"/>
      <c r="P586" s="183"/>
      <c r="Q586" s="183"/>
      <c r="R586" s="182"/>
      <c r="S586" s="182"/>
      <c r="T586" s="252"/>
      <c r="U586" s="182"/>
      <c r="V586" s="252">
        <f t="shared" si="136"/>
        <v>1</v>
      </c>
      <c r="W586" s="236"/>
    </row>
    <row r="587" spans="1:23" x14ac:dyDescent="0.3">
      <c r="A587" s="316"/>
      <c r="B587" s="235"/>
      <c r="C587" s="318"/>
      <c r="D587" s="235"/>
      <c r="E587" s="235"/>
      <c r="F587" s="242"/>
      <c r="G587" s="242"/>
      <c r="H587" s="235"/>
      <c r="I587" s="235"/>
      <c r="J587" s="182" t="str">
        <f>J586</f>
        <v>RSDAHT</v>
      </c>
      <c r="K587" s="235"/>
      <c r="L587" s="244" t="str">
        <f t="shared" si="147"/>
        <v>RSDELC</v>
      </c>
      <c r="M587" s="182" t="str">
        <f t="shared" si="148"/>
        <v/>
      </c>
      <c r="N587" s="182"/>
      <c r="O587" s="182"/>
      <c r="P587" s="183"/>
      <c r="Q587" s="183"/>
      <c r="R587" s="182"/>
      <c r="S587" s="182"/>
      <c r="T587" s="252"/>
      <c r="U587" s="182"/>
      <c r="V587" s="252">
        <f t="shared" si="136"/>
        <v>-1</v>
      </c>
      <c r="W587" s="236"/>
    </row>
    <row r="588" spans="1:23" x14ac:dyDescent="0.3">
      <c r="A588" s="316"/>
      <c r="B588" s="235" t="str">
        <f>'RSD (DEA)'!AJ121&amp;"_"&amp;'RSD (DEA)'!Z121</f>
        <v>RHAPA_HP_ELC_06</v>
      </c>
      <c r="C588" s="318"/>
      <c r="D588" s="235" t="str">
        <f t="shared" si="149"/>
        <v>RHAPA_HP_ELC_06</v>
      </c>
      <c r="E588" s="235" t="str">
        <f>'RSD (DEA)'!Q121</f>
        <v>Electric heat pumps</v>
      </c>
      <c r="F588" s="242" t="s">
        <v>239</v>
      </c>
      <c r="G588" s="242" t="s">
        <v>240</v>
      </c>
      <c r="H588" s="235">
        <f>'RSD (DEA)'!S121</f>
        <v>160</v>
      </c>
      <c r="I588" s="235" t="str">
        <f>IF(OR(RIGHT('RSD (DEA)'!AH121,3)="BIO",RIGHT(AD596,3)="BOA"),LEFT('RSD (DEA)'!AH121,3)&amp;"BFW",'RSD (DEA)'!AH121)</f>
        <v>RSDELC</v>
      </c>
      <c r="J588" s="182" t="str">
        <f>'RSD (DEA)'!AI121</f>
        <v>RSDAHT</v>
      </c>
      <c r="K588" s="235" t="str">
        <f>'RSD (DEA)'!AK121</f>
        <v>RWAPA</v>
      </c>
      <c r="L588" s="244"/>
      <c r="M588" s="182">
        <f t="shared" si="148"/>
        <v>2019</v>
      </c>
      <c r="N588" s="182">
        <f>'RSD (DEA)'!X121</f>
        <v>2050</v>
      </c>
      <c r="O588" s="182">
        <f>IF(N588&lt;2019,2019,N588)</f>
        <v>2050</v>
      </c>
      <c r="P588" s="183">
        <f>'RSD (DEA)'!AZ121</f>
        <v>4.0999999999999996</v>
      </c>
      <c r="Q588" s="183">
        <f>'RSD (DEA)'!BA121</f>
        <v>4.8</v>
      </c>
      <c r="R588" s="182">
        <f>'RSD (DEA)'!BR121/'RSD (DEA)'!S121</f>
        <v>15.06875</v>
      </c>
      <c r="S588" s="182">
        <f>'RSD (DEA)'!BS121/X_RSD_HeatingDemand!$AA$8</f>
        <v>0.12291666666666666</v>
      </c>
      <c r="T588" s="252">
        <f>'RSD (DEA)'!BK113*X_RSD_HeatingDemand!$AA$9/'RSD (DEA)'!S113</f>
        <v>1250</v>
      </c>
      <c r="U588" s="182">
        <f>'RSD (DEA)'!BI121</f>
        <v>20</v>
      </c>
      <c r="V588" s="252" t="str">
        <f t="shared" si="136"/>
        <v/>
      </c>
      <c r="W588" s="236">
        <f>'RSD (DEA)'!AM121</f>
        <v>31.536000000000001</v>
      </c>
    </row>
    <row r="589" spans="1:23" x14ac:dyDescent="0.3">
      <c r="A589" s="316"/>
      <c r="B589" s="235"/>
      <c r="C589" s="318"/>
      <c r="D589" s="235"/>
      <c r="E589" s="235"/>
      <c r="F589" s="242"/>
      <c r="G589" s="242"/>
      <c r="H589" s="235"/>
      <c r="I589" s="235"/>
      <c r="J589" s="182" t="str">
        <f>J588</f>
        <v>RSDAHT</v>
      </c>
      <c r="K589" s="235"/>
      <c r="L589" s="244" t="str">
        <f>$AA$11</f>
        <v>ACT</v>
      </c>
      <c r="M589" s="182" t="str">
        <f t="shared" si="148"/>
        <v/>
      </c>
      <c r="N589" s="182"/>
      <c r="O589" s="182"/>
      <c r="P589" s="183"/>
      <c r="Q589" s="183"/>
      <c r="R589" s="182"/>
      <c r="S589" s="182"/>
      <c r="T589" s="252"/>
      <c r="U589" s="182"/>
      <c r="V589" s="252">
        <f t="shared" si="136"/>
        <v>1</v>
      </c>
      <c r="W589" s="236"/>
    </row>
    <row r="590" spans="1:23" x14ac:dyDescent="0.3">
      <c r="A590" s="316"/>
      <c r="B590" s="235"/>
      <c r="C590" s="318"/>
      <c r="D590" s="235"/>
      <c r="E590" s="235"/>
      <c r="F590" s="242"/>
      <c r="G590" s="242"/>
      <c r="H590" s="235"/>
      <c r="I590" s="235"/>
      <c r="J590" s="182" t="str">
        <f>J589</f>
        <v>RSDAHT</v>
      </c>
      <c r="K590" s="235"/>
      <c r="L590" s="244" t="str">
        <f t="shared" si="146"/>
        <v>RSDELC</v>
      </c>
      <c r="M590" s="182" t="str">
        <f t="shared" si="148"/>
        <v/>
      </c>
      <c r="N590" s="182"/>
      <c r="O590" s="182"/>
      <c r="P590" s="183"/>
      <c r="Q590" s="183"/>
      <c r="R590" s="182"/>
      <c r="S590" s="182"/>
      <c r="T590" s="252"/>
      <c r="U590" s="182"/>
      <c r="V590" s="252">
        <f t="shared" si="136"/>
        <v>-1</v>
      </c>
      <c r="W590" s="236"/>
    </row>
    <row r="591" spans="1:23" x14ac:dyDescent="0.3">
      <c r="A591" s="316"/>
      <c r="B591" s="235" t="str">
        <f>'RSD (DEA)'!AJ122&amp;"_"&amp;'RSD (DEA)'!Z122</f>
        <v>RHHSC_HP_ELC_07</v>
      </c>
      <c r="C591" s="318"/>
      <c r="D591" s="235" t="str">
        <f t="shared" si="149"/>
        <v>RHHSC_HP_ELC_07</v>
      </c>
      <c r="E591" s="235" t="str">
        <f>'RSD (DEA)'!Q122</f>
        <v>Electric heat pumps</v>
      </c>
      <c r="F591" s="242" t="s">
        <v>239</v>
      </c>
      <c r="G591" s="242" t="s">
        <v>240</v>
      </c>
      <c r="H591" s="235">
        <f>'RSD (DEA)'!S122</f>
        <v>10</v>
      </c>
      <c r="I591" s="235" t="str">
        <f>IF(OR(RIGHT('RSD (DEA)'!AH122,3)="BIO",RIGHT(AD599,3)="BOA"),LEFT('RSD (DEA)'!AH122,3)&amp;"BFW",'RSD (DEA)'!AH122)</f>
        <v>RSDELC</v>
      </c>
      <c r="J591" s="182" t="str">
        <f>'RSD (DEA)'!AI122</f>
        <v>RSDGEO</v>
      </c>
      <c r="K591" s="235" t="str">
        <f>'RSD (DEA)'!AK122</f>
        <v>RWHSC</v>
      </c>
      <c r="L591" s="244"/>
      <c r="M591" s="182">
        <f t="shared" si="148"/>
        <v>2019</v>
      </c>
      <c r="N591" s="182">
        <f>'RSD (DEA)'!X122</f>
        <v>2015</v>
      </c>
      <c r="O591" s="182">
        <f>IF(N591&lt;2019,2019,N591)</f>
        <v>2019</v>
      </c>
      <c r="P591" s="183">
        <f>'RSD (DEA)'!AZ122</f>
        <v>4.3</v>
      </c>
      <c r="Q591" s="183">
        <f>'RSD (DEA)'!BA122</f>
        <v>4.4000000000000004</v>
      </c>
      <c r="R591" s="182">
        <f>'RSD (DEA)'!BR122/'RSD (DEA)'!S122</f>
        <v>29.1</v>
      </c>
      <c r="S591" s="182">
        <f>'RSD (DEA)'!BS122/X_RSD_HeatingDemand!$AA$8</f>
        <v>0</v>
      </c>
      <c r="T591" s="252">
        <f>'RSD (DEA)'!BK114*X_RSD_HeatingDemand!$AA$9/'RSD (DEA)'!S114</f>
        <v>375</v>
      </c>
      <c r="U591" s="182">
        <f>'RSD (DEA)'!BI122</f>
        <v>20</v>
      </c>
      <c r="V591" s="252" t="str">
        <f t="shared" si="136"/>
        <v/>
      </c>
      <c r="W591" s="236">
        <f>'RSD (DEA)'!AM122</f>
        <v>31.536000000000001</v>
      </c>
    </row>
    <row r="592" spans="1:23" x14ac:dyDescent="0.3">
      <c r="A592" s="316"/>
      <c r="B592" s="235"/>
      <c r="C592" s="318"/>
      <c r="D592" s="235"/>
      <c r="E592" s="235"/>
      <c r="F592" s="242"/>
      <c r="G592" s="242"/>
      <c r="H592" s="235"/>
      <c r="I592" s="235"/>
      <c r="J592" s="182" t="str">
        <f>J591</f>
        <v>RSDGEO</v>
      </c>
      <c r="K592" s="235"/>
      <c r="L592" s="244" t="str">
        <f>$AA$11</f>
        <v>ACT</v>
      </c>
      <c r="M592" s="182" t="str">
        <f t="shared" si="148"/>
        <v/>
      </c>
      <c r="N592" s="182"/>
      <c r="O592" s="182"/>
      <c r="P592" s="183"/>
      <c r="Q592" s="183"/>
      <c r="R592" s="182"/>
      <c r="S592" s="182"/>
      <c r="T592" s="252"/>
      <c r="U592" s="182"/>
      <c r="V592" s="252">
        <f t="shared" si="136"/>
        <v>1</v>
      </c>
      <c r="W592" s="236"/>
    </row>
    <row r="593" spans="1:23" x14ac:dyDescent="0.3">
      <c r="A593" s="316"/>
      <c r="B593" s="235"/>
      <c r="C593" s="318"/>
      <c r="D593" s="235"/>
      <c r="E593" s="235"/>
      <c r="F593" s="242"/>
      <c r="G593" s="242"/>
      <c r="H593" s="235"/>
      <c r="I593" s="235"/>
      <c r="J593" s="182" t="str">
        <f>J592</f>
        <v>RSDGEO</v>
      </c>
      <c r="K593" s="235"/>
      <c r="L593" s="244" t="str">
        <f t="shared" si="147"/>
        <v>RSDELC</v>
      </c>
      <c r="M593" s="182" t="str">
        <f t="shared" si="148"/>
        <v/>
      </c>
      <c r="N593" s="182"/>
      <c r="O593" s="182"/>
      <c r="P593" s="183"/>
      <c r="Q593" s="183"/>
      <c r="R593" s="182"/>
      <c r="S593" s="182"/>
      <c r="T593" s="252"/>
      <c r="U593" s="182"/>
      <c r="V593" s="252">
        <f t="shared" si="136"/>
        <v>-1</v>
      </c>
      <c r="W593" s="236"/>
    </row>
    <row r="594" spans="1:23" x14ac:dyDescent="0.3">
      <c r="A594" s="316"/>
      <c r="B594" s="235" t="str">
        <f>'RSD (DEA)'!AJ123&amp;"_"&amp;'RSD (DEA)'!Z123</f>
        <v>RHHSC_HP_ELC_07</v>
      </c>
      <c r="C594" s="318"/>
      <c r="D594" s="235" t="str">
        <f t="shared" si="149"/>
        <v>RHHSC_HP_ELC_07</v>
      </c>
      <c r="E594" s="235" t="str">
        <f>'RSD (DEA)'!Q123</f>
        <v>Electric heat pumps</v>
      </c>
      <c r="F594" s="242" t="s">
        <v>239</v>
      </c>
      <c r="G594" s="242" t="s">
        <v>240</v>
      </c>
      <c r="H594" s="235">
        <f>'RSD (DEA)'!S123</f>
        <v>10</v>
      </c>
      <c r="I594" s="235" t="str">
        <f>IF(OR(RIGHT('RSD (DEA)'!AH123,3)="BIO",RIGHT(AD602,3)="BOA"),LEFT('RSD (DEA)'!AH123,3)&amp;"BFW",'RSD (DEA)'!AH123)</f>
        <v>RSDELC</v>
      </c>
      <c r="J594" s="182" t="str">
        <f>'RSD (DEA)'!AI123</f>
        <v>RSDGEO</v>
      </c>
      <c r="K594" s="235" t="str">
        <f>'RSD (DEA)'!AK123</f>
        <v>RWHSC</v>
      </c>
      <c r="L594" s="244"/>
      <c r="M594" s="182">
        <f t="shared" si="148"/>
        <v>2019</v>
      </c>
      <c r="N594" s="182">
        <f>'RSD (DEA)'!X123</f>
        <v>2020</v>
      </c>
      <c r="O594" s="182">
        <f>IF(N594&lt;2019,2019,N594)</f>
        <v>2020</v>
      </c>
      <c r="P594" s="183">
        <f>'RSD (DEA)'!AZ123</f>
        <v>4.4000000000000004</v>
      </c>
      <c r="Q594" s="183">
        <f>'RSD (DEA)'!BA123</f>
        <v>4.5</v>
      </c>
      <c r="R594" s="182">
        <f>'RSD (DEA)'!BR123/'RSD (DEA)'!S123</f>
        <v>27.8</v>
      </c>
      <c r="S594" s="182">
        <f>'RSD (DEA)'!BS123/X_RSD_HeatingDemand!$AA$8</f>
        <v>0</v>
      </c>
      <c r="T594" s="252">
        <f>'RSD (DEA)'!BK115*X_RSD_HeatingDemand!$AA$9/'RSD (DEA)'!S115</f>
        <v>352.5</v>
      </c>
      <c r="U594" s="182">
        <f>'RSD (DEA)'!BI123</f>
        <v>20</v>
      </c>
      <c r="V594" s="252" t="str">
        <f t="shared" si="136"/>
        <v/>
      </c>
      <c r="W594" s="236">
        <f>'RSD (DEA)'!AM123</f>
        <v>31.536000000000001</v>
      </c>
    </row>
    <row r="595" spans="1:23" x14ac:dyDescent="0.3">
      <c r="A595" s="316"/>
      <c r="B595" s="235"/>
      <c r="C595" s="318"/>
      <c r="D595" s="235"/>
      <c r="E595" s="235"/>
      <c r="F595" s="242"/>
      <c r="G595" s="242"/>
      <c r="H595" s="235"/>
      <c r="I595" s="235"/>
      <c r="J595" s="182" t="str">
        <f>J594</f>
        <v>RSDGEO</v>
      </c>
      <c r="K595" s="235"/>
      <c r="L595" s="244" t="str">
        <f>$AA$11</f>
        <v>ACT</v>
      </c>
      <c r="M595" s="182" t="str">
        <f t="shared" si="148"/>
        <v/>
      </c>
      <c r="N595" s="182"/>
      <c r="O595" s="182"/>
      <c r="P595" s="183"/>
      <c r="Q595" s="183"/>
      <c r="R595" s="182"/>
      <c r="S595" s="182"/>
      <c r="T595" s="252"/>
      <c r="U595" s="182"/>
      <c r="V595" s="252">
        <f t="shared" si="136"/>
        <v>1</v>
      </c>
      <c r="W595" s="236"/>
    </row>
    <row r="596" spans="1:23" x14ac:dyDescent="0.3">
      <c r="A596" s="316"/>
      <c r="B596" s="235"/>
      <c r="C596" s="318"/>
      <c r="D596" s="235"/>
      <c r="E596" s="235"/>
      <c r="F596" s="242"/>
      <c r="G596" s="242"/>
      <c r="H596" s="235"/>
      <c r="I596" s="235"/>
      <c r="J596" s="182" t="str">
        <f>J595</f>
        <v>RSDGEO</v>
      </c>
      <c r="K596" s="235"/>
      <c r="L596" s="244" t="str">
        <f t="shared" si="146"/>
        <v>RSDELC</v>
      </c>
      <c r="M596" s="182" t="str">
        <f t="shared" si="148"/>
        <v/>
      </c>
      <c r="N596" s="182"/>
      <c r="O596" s="182"/>
      <c r="P596" s="183"/>
      <c r="Q596" s="183"/>
      <c r="R596" s="182"/>
      <c r="S596" s="182"/>
      <c r="T596" s="252"/>
      <c r="U596" s="182"/>
      <c r="V596" s="252">
        <f t="shared" ref="V596:V659" si="150">IF(L596="ACT",1,IF(LEFT(L596,3)="RSD",-1,""))</f>
        <v>-1</v>
      </c>
      <c r="W596" s="236"/>
    </row>
    <row r="597" spans="1:23" x14ac:dyDescent="0.3">
      <c r="A597" s="316"/>
      <c r="B597" s="235" t="str">
        <f>'RSD (DEA)'!AJ124&amp;"_"&amp;'RSD (DEA)'!Z124</f>
        <v>RHHSC_HP_ELC_07</v>
      </c>
      <c r="C597" s="318"/>
      <c r="D597" s="235" t="str">
        <f t="shared" si="149"/>
        <v>RHHSC_HP_ELC_07</v>
      </c>
      <c r="E597" s="235" t="str">
        <f>'RSD (DEA)'!Q124</f>
        <v>Electric heat pumps</v>
      </c>
      <c r="F597" s="242" t="s">
        <v>239</v>
      </c>
      <c r="G597" s="242" t="s">
        <v>240</v>
      </c>
      <c r="H597" s="235">
        <f>'RSD (DEA)'!S124</f>
        <v>10</v>
      </c>
      <c r="I597" s="235" t="str">
        <f>IF(OR(RIGHT('RSD (DEA)'!AH124,3)="BIO",RIGHT(AD605,3)="BOA"),LEFT('RSD (DEA)'!AH124,3)&amp;"BFW",'RSD (DEA)'!AH124)</f>
        <v>RSDELC</v>
      </c>
      <c r="J597" s="182" t="str">
        <f>'RSD (DEA)'!AI124</f>
        <v>RSDGEO</v>
      </c>
      <c r="K597" s="235" t="str">
        <f>'RSD (DEA)'!AK124</f>
        <v>RWHSC</v>
      </c>
      <c r="L597" s="244"/>
      <c r="M597" s="182">
        <f t="shared" si="148"/>
        <v>2019</v>
      </c>
      <c r="N597" s="182">
        <f>'RSD (DEA)'!X124</f>
        <v>2030</v>
      </c>
      <c r="O597" s="182">
        <f>IF(N597&lt;2019,2019,N597)</f>
        <v>2030</v>
      </c>
      <c r="P597" s="183">
        <f>'RSD (DEA)'!AZ124</f>
        <v>4.5</v>
      </c>
      <c r="Q597" s="183">
        <f>'RSD (DEA)'!BA124</f>
        <v>4.5999999999999996</v>
      </c>
      <c r="R597" s="182">
        <f>'RSD (DEA)'!BR124/'RSD (DEA)'!S124</f>
        <v>25.5</v>
      </c>
      <c r="S597" s="182">
        <f>'RSD (DEA)'!BS124/X_RSD_HeatingDemand!$AA$8</f>
        <v>0</v>
      </c>
      <c r="T597" s="252">
        <f>'RSD (DEA)'!BK116*X_RSD_HeatingDemand!$AA$9/'RSD (DEA)'!S116</f>
        <v>317.5</v>
      </c>
      <c r="U597" s="182">
        <f>'RSD (DEA)'!BI124</f>
        <v>20</v>
      </c>
      <c r="V597" s="252" t="str">
        <f t="shared" si="150"/>
        <v/>
      </c>
      <c r="W597" s="236">
        <f>'RSD (DEA)'!AM124</f>
        <v>31.536000000000001</v>
      </c>
    </row>
    <row r="598" spans="1:23" x14ac:dyDescent="0.3">
      <c r="A598" s="316"/>
      <c r="B598" s="235"/>
      <c r="C598" s="318"/>
      <c r="D598" s="235"/>
      <c r="E598" s="235"/>
      <c r="F598" s="242"/>
      <c r="G598" s="242"/>
      <c r="H598" s="235"/>
      <c r="I598" s="235"/>
      <c r="J598" s="182" t="str">
        <f>J597</f>
        <v>RSDGEO</v>
      </c>
      <c r="K598" s="235"/>
      <c r="L598" s="244" t="str">
        <f>$AA$11</f>
        <v>ACT</v>
      </c>
      <c r="M598" s="182" t="str">
        <f t="shared" si="148"/>
        <v/>
      </c>
      <c r="N598" s="182"/>
      <c r="O598" s="182"/>
      <c r="P598" s="183"/>
      <c r="Q598" s="183"/>
      <c r="R598" s="182"/>
      <c r="S598" s="182"/>
      <c r="T598" s="252"/>
      <c r="U598" s="182"/>
      <c r="V598" s="252">
        <f t="shared" si="150"/>
        <v>1</v>
      </c>
      <c r="W598" s="236"/>
    </row>
    <row r="599" spans="1:23" x14ac:dyDescent="0.3">
      <c r="A599" s="316"/>
      <c r="B599" s="235"/>
      <c r="C599" s="318"/>
      <c r="D599" s="235"/>
      <c r="E599" s="235"/>
      <c r="F599" s="242"/>
      <c r="G599" s="242"/>
      <c r="H599" s="235"/>
      <c r="I599" s="235"/>
      <c r="J599" s="182" t="str">
        <f>J598</f>
        <v>RSDGEO</v>
      </c>
      <c r="K599" s="235"/>
      <c r="L599" s="244" t="str">
        <f t="shared" si="147"/>
        <v>RSDELC</v>
      </c>
      <c r="M599" s="182" t="str">
        <f t="shared" si="148"/>
        <v/>
      </c>
      <c r="N599" s="182"/>
      <c r="O599" s="182"/>
      <c r="P599" s="183"/>
      <c r="Q599" s="183"/>
      <c r="R599" s="182"/>
      <c r="S599" s="182"/>
      <c r="T599" s="252"/>
      <c r="U599" s="182"/>
      <c r="V599" s="252">
        <f t="shared" si="150"/>
        <v>-1</v>
      </c>
      <c r="W599" s="236"/>
    </row>
    <row r="600" spans="1:23" x14ac:dyDescent="0.3">
      <c r="A600" s="316"/>
      <c r="B600" s="235" t="str">
        <f>'RSD (DEA)'!AJ125&amp;"_"&amp;'RSD (DEA)'!Z125</f>
        <v>RHHSC_HP_ELC_07</v>
      </c>
      <c r="C600" s="318"/>
      <c r="D600" s="235" t="str">
        <f t="shared" si="149"/>
        <v>RHHSC_HP_ELC_07</v>
      </c>
      <c r="E600" s="235" t="str">
        <f>'RSD (DEA)'!Q125</f>
        <v>Electric heat pumps</v>
      </c>
      <c r="F600" s="242" t="s">
        <v>239</v>
      </c>
      <c r="G600" s="242" t="s">
        <v>240</v>
      </c>
      <c r="H600" s="235">
        <f>'RSD (DEA)'!S125</f>
        <v>10</v>
      </c>
      <c r="I600" s="235" t="str">
        <f>IF(OR(RIGHT('RSD (DEA)'!AH125,3)="BIO",RIGHT(AD608,3)="BOA"),LEFT('RSD (DEA)'!AH125,3)&amp;"BFW",'RSD (DEA)'!AH125)</f>
        <v>RSDELC</v>
      </c>
      <c r="J600" s="182" t="str">
        <f>'RSD (DEA)'!AI125</f>
        <v>RSDGEO</v>
      </c>
      <c r="K600" s="235" t="str">
        <f>'RSD (DEA)'!AK125</f>
        <v>RWHSC</v>
      </c>
      <c r="L600" s="244"/>
      <c r="M600" s="182">
        <f t="shared" si="148"/>
        <v>2019</v>
      </c>
      <c r="N600" s="182">
        <f>'RSD (DEA)'!X125</f>
        <v>2050</v>
      </c>
      <c r="O600" s="182">
        <f>IF(N600&lt;2019,2019,N600)</f>
        <v>2050</v>
      </c>
      <c r="P600" s="183">
        <f>'RSD (DEA)'!AZ125</f>
        <v>4.75</v>
      </c>
      <c r="Q600" s="183">
        <f>'RSD (DEA)'!BA125</f>
        <v>4.8499999999999996</v>
      </c>
      <c r="R600" s="182">
        <f>'RSD (DEA)'!BR125/'RSD (DEA)'!S125</f>
        <v>23.9</v>
      </c>
      <c r="S600" s="182">
        <f>'RSD (DEA)'!BS125/X_RSD_HeatingDemand!$AA$8</f>
        <v>0</v>
      </c>
      <c r="T600" s="252">
        <f>'RSD (DEA)'!BK117*X_RSD_HeatingDemand!$AA$9/'RSD (DEA)'!S117</f>
        <v>285</v>
      </c>
      <c r="U600" s="182">
        <f>'RSD (DEA)'!BI125</f>
        <v>20</v>
      </c>
      <c r="V600" s="252" t="str">
        <f t="shared" si="150"/>
        <v/>
      </c>
      <c r="W600" s="236">
        <f>'RSD (DEA)'!AM125</f>
        <v>31.536000000000001</v>
      </c>
    </row>
    <row r="601" spans="1:23" x14ac:dyDescent="0.3">
      <c r="A601" s="316"/>
      <c r="B601" s="235"/>
      <c r="C601" s="318"/>
      <c r="D601" s="235"/>
      <c r="E601" s="235"/>
      <c r="F601" s="242"/>
      <c r="G601" s="242"/>
      <c r="H601" s="235"/>
      <c r="I601" s="235"/>
      <c r="J601" s="182" t="str">
        <f>J600</f>
        <v>RSDGEO</v>
      </c>
      <c r="K601" s="235"/>
      <c r="L601" s="244" t="str">
        <f>$AA$11</f>
        <v>ACT</v>
      </c>
      <c r="M601" s="182" t="str">
        <f t="shared" si="148"/>
        <v/>
      </c>
      <c r="N601" s="182"/>
      <c r="O601" s="182"/>
      <c r="P601" s="183"/>
      <c r="Q601" s="183"/>
      <c r="R601" s="182"/>
      <c r="S601" s="182"/>
      <c r="T601" s="252"/>
      <c r="U601" s="182"/>
      <c r="V601" s="252">
        <f t="shared" si="150"/>
        <v>1</v>
      </c>
      <c r="W601" s="236"/>
    </row>
    <row r="602" spans="1:23" x14ac:dyDescent="0.3">
      <c r="A602" s="316"/>
      <c r="B602" s="235"/>
      <c r="C602" s="318"/>
      <c r="D602" s="235"/>
      <c r="E602" s="235"/>
      <c r="F602" s="242"/>
      <c r="G602" s="242"/>
      <c r="H602" s="235"/>
      <c r="I602" s="235"/>
      <c r="J602" s="182" t="str">
        <f>J601</f>
        <v>RSDGEO</v>
      </c>
      <c r="K602" s="235"/>
      <c r="L602" s="244" t="str">
        <f t="shared" si="146"/>
        <v>RSDELC</v>
      </c>
      <c r="M602" s="182" t="str">
        <f t="shared" si="148"/>
        <v/>
      </c>
      <c r="N602" s="182"/>
      <c r="O602" s="182"/>
      <c r="P602" s="183"/>
      <c r="Q602" s="183"/>
      <c r="R602" s="182"/>
      <c r="S602" s="182"/>
      <c r="T602" s="252"/>
      <c r="U602" s="182"/>
      <c r="V602" s="252">
        <f t="shared" si="150"/>
        <v>-1</v>
      </c>
      <c r="W602" s="236"/>
    </row>
    <row r="603" spans="1:23" x14ac:dyDescent="0.3">
      <c r="A603" s="316"/>
      <c r="B603" s="235" t="str">
        <f>'RSD (DEA)'!AJ126&amp;"_"&amp;'RSD (DEA)'!Z126</f>
        <v>RHHSA_HP_ELC_08</v>
      </c>
      <c r="C603" s="318"/>
      <c r="D603" s="235" t="str">
        <f t="shared" si="149"/>
        <v>RHHSA_HP_ELC_08</v>
      </c>
      <c r="E603" s="235" t="str">
        <f>'RSD (DEA)'!Q126</f>
        <v>Electric heat pumps</v>
      </c>
      <c r="F603" s="242" t="s">
        <v>239</v>
      </c>
      <c r="G603" s="242" t="s">
        <v>240</v>
      </c>
      <c r="H603" s="235">
        <f>'RSD (DEA)'!S126</f>
        <v>4</v>
      </c>
      <c r="I603" s="235" t="str">
        <f>IF(OR(RIGHT('RSD (DEA)'!AH126,3)="BIO",RIGHT(AD611,3)="BOA"),LEFT('RSD (DEA)'!AH126,3)&amp;"BFW",'RSD (DEA)'!AH126)</f>
        <v>RSDELC</v>
      </c>
      <c r="J603" s="182" t="str">
        <f>'RSD (DEA)'!AI126</f>
        <v>RSDGEO</v>
      </c>
      <c r="K603" s="235" t="str">
        <f>'RSD (DEA)'!AK126</f>
        <v>RWHSA</v>
      </c>
      <c r="L603" s="244"/>
      <c r="M603" s="182">
        <f t="shared" si="148"/>
        <v>2019</v>
      </c>
      <c r="N603" s="182">
        <f>'RSD (DEA)'!X126</f>
        <v>2015</v>
      </c>
      <c r="O603" s="182">
        <f>IF(N603&lt;2019,2019,N603)</f>
        <v>2019</v>
      </c>
      <c r="P603" s="183">
        <f>'RSD (DEA)'!AZ126</f>
        <v>3.35</v>
      </c>
      <c r="Q603" s="183">
        <f>'RSD (DEA)'!BA126</f>
        <v>3.55</v>
      </c>
      <c r="R603" s="182">
        <f>'RSD (DEA)'!BR126/'RSD (DEA)'!S126</f>
        <v>72.75</v>
      </c>
      <c r="S603" s="182">
        <f>'RSD (DEA)'!BS126/X_RSD_HeatingDemand!$AA$8</f>
        <v>0</v>
      </c>
      <c r="T603" s="252">
        <f>'RSD (DEA)'!BK118*X_RSD_HeatingDemand!$AA$9/'RSD (DEA)'!S118</f>
        <v>468.75</v>
      </c>
      <c r="U603" s="182">
        <f>'RSD (DEA)'!BI126</f>
        <v>20</v>
      </c>
      <c r="V603" s="252" t="str">
        <f t="shared" si="150"/>
        <v/>
      </c>
      <c r="W603" s="236">
        <f>'RSD (DEA)'!AM126</f>
        <v>31.536000000000001</v>
      </c>
    </row>
    <row r="604" spans="1:23" x14ac:dyDescent="0.3">
      <c r="A604" s="316"/>
      <c r="B604" s="235"/>
      <c r="C604" s="318"/>
      <c r="D604" s="235"/>
      <c r="E604" s="235"/>
      <c r="F604" s="242"/>
      <c r="G604" s="242"/>
      <c r="H604" s="235"/>
      <c r="I604" s="235"/>
      <c r="J604" s="182" t="str">
        <f>J603</f>
        <v>RSDGEO</v>
      </c>
      <c r="K604" s="235"/>
      <c r="L604" s="244" t="str">
        <f>$AA$11</f>
        <v>ACT</v>
      </c>
      <c r="M604" s="182" t="str">
        <f t="shared" si="148"/>
        <v/>
      </c>
      <c r="N604" s="182"/>
      <c r="O604" s="182"/>
      <c r="P604" s="183"/>
      <c r="Q604" s="183"/>
      <c r="R604" s="182"/>
      <c r="S604" s="182"/>
      <c r="T604" s="252"/>
      <c r="U604" s="182"/>
      <c r="V604" s="252">
        <f t="shared" si="150"/>
        <v>1</v>
      </c>
      <c r="W604" s="236"/>
    </row>
    <row r="605" spans="1:23" x14ac:dyDescent="0.3">
      <c r="A605" s="316"/>
      <c r="B605" s="235"/>
      <c r="C605" s="318"/>
      <c r="D605" s="235"/>
      <c r="E605" s="235"/>
      <c r="F605" s="242"/>
      <c r="G605" s="242"/>
      <c r="H605" s="235"/>
      <c r="I605" s="235"/>
      <c r="J605" s="182" t="str">
        <f>J604</f>
        <v>RSDGEO</v>
      </c>
      <c r="K605" s="235"/>
      <c r="L605" s="244" t="str">
        <f t="shared" si="147"/>
        <v>RSDELC</v>
      </c>
      <c r="M605" s="182" t="str">
        <f t="shared" si="148"/>
        <v/>
      </c>
      <c r="N605" s="182"/>
      <c r="O605" s="182"/>
      <c r="P605" s="183"/>
      <c r="Q605" s="183"/>
      <c r="R605" s="182"/>
      <c r="S605" s="182"/>
      <c r="T605" s="252"/>
      <c r="U605" s="182"/>
      <c r="V605" s="252">
        <f t="shared" si="150"/>
        <v>-1</v>
      </c>
      <c r="W605" s="236"/>
    </row>
    <row r="606" spans="1:23" x14ac:dyDescent="0.3">
      <c r="A606" s="316"/>
      <c r="B606" s="235" t="str">
        <f>'RSD (DEA)'!AJ127&amp;"_"&amp;'RSD (DEA)'!Z127</f>
        <v>RHHSA_HP_ELC_08</v>
      </c>
      <c r="C606" s="318"/>
      <c r="D606" s="235" t="str">
        <f t="shared" si="149"/>
        <v>RHHSA_HP_ELC_08</v>
      </c>
      <c r="E606" s="235" t="str">
        <f>'RSD (DEA)'!Q127</f>
        <v>Electric heat pumps</v>
      </c>
      <c r="F606" s="242" t="s">
        <v>239</v>
      </c>
      <c r="G606" s="242" t="s">
        <v>240</v>
      </c>
      <c r="H606" s="235">
        <f>'RSD (DEA)'!S127</f>
        <v>4</v>
      </c>
      <c r="I606" s="235" t="str">
        <f>IF(OR(RIGHT('RSD (DEA)'!AH127,3)="BIO",RIGHT(AD614,3)="BOA"),LEFT('RSD (DEA)'!AH127,3)&amp;"BFW",'RSD (DEA)'!AH127)</f>
        <v>RSDELC</v>
      </c>
      <c r="J606" s="182" t="str">
        <f>'RSD (DEA)'!AI127</f>
        <v>RSDGEO</v>
      </c>
      <c r="K606" s="235" t="str">
        <f>'RSD (DEA)'!AK127</f>
        <v>RWHSA</v>
      </c>
      <c r="L606" s="244"/>
      <c r="M606" s="182">
        <f t="shared" si="148"/>
        <v>2019</v>
      </c>
      <c r="N606" s="182">
        <f>'RSD (DEA)'!X127</f>
        <v>2020</v>
      </c>
      <c r="O606" s="182">
        <f>IF(N606&lt;2019,2019,N606)</f>
        <v>2020</v>
      </c>
      <c r="P606" s="183">
        <f>'RSD (DEA)'!AZ127</f>
        <v>3.45</v>
      </c>
      <c r="Q606" s="183">
        <f>'RSD (DEA)'!BA127</f>
        <v>3.65</v>
      </c>
      <c r="R606" s="182">
        <f>'RSD (DEA)'!BR127/'RSD (DEA)'!S127</f>
        <v>69.5</v>
      </c>
      <c r="S606" s="182">
        <f>'RSD (DEA)'!BS127/X_RSD_HeatingDemand!$AA$8</f>
        <v>0</v>
      </c>
      <c r="T606" s="252">
        <f>'RSD (DEA)'!BK119*X_RSD_HeatingDemand!$AA$9/'RSD (DEA)'!S119</f>
        <v>443.75</v>
      </c>
      <c r="U606" s="182">
        <f>'RSD (DEA)'!BI127</f>
        <v>20</v>
      </c>
      <c r="V606" s="252" t="str">
        <f t="shared" si="150"/>
        <v/>
      </c>
      <c r="W606" s="236">
        <f>'RSD (DEA)'!AM127</f>
        <v>31.536000000000001</v>
      </c>
    </row>
    <row r="607" spans="1:23" x14ac:dyDescent="0.3">
      <c r="A607" s="316"/>
      <c r="B607" s="235"/>
      <c r="C607" s="318"/>
      <c r="D607" s="235"/>
      <c r="E607" s="235"/>
      <c r="F607" s="242"/>
      <c r="G607" s="242"/>
      <c r="H607" s="235"/>
      <c r="I607" s="235"/>
      <c r="J607" s="182" t="str">
        <f>J606</f>
        <v>RSDGEO</v>
      </c>
      <c r="K607" s="235"/>
      <c r="L607" s="244" t="str">
        <f>$AA$11</f>
        <v>ACT</v>
      </c>
      <c r="M607" s="182" t="str">
        <f t="shared" si="148"/>
        <v/>
      </c>
      <c r="N607" s="182"/>
      <c r="O607" s="182"/>
      <c r="P607" s="183"/>
      <c r="Q607" s="183"/>
      <c r="R607" s="182"/>
      <c r="S607" s="182"/>
      <c r="T607" s="252"/>
      <c r="U607" s="182"/>
      <c r="V607" s="252">
        <f t="shared" si="150"/>
        <v>1</v>
      </c>
      <c r="W607" s="236"/>
    </row>
    <row r="608" spans="1:23" x14ac:dyDescent="0.3">
      <c r="A608" s="316"/>
      <c r="B608" s="235"/>
      <c r="C608" s="318"/>
      <c r="D608" s="235"/>
      <c r="E608" s="235"/>
      <c r="F608" s="242"/>
      <c r="G608" s="242"/>
      <c r="H608" s="235"/>
      <c r="I608" s="235"/>
      <c r="J608" s="182" t="str">
        <f>J607</f>
        <v>RSDGEO</v>
      </c>
      <c r="K608" s="235"/>
      <c r="L608" s="244" t="str">
        <f t="shared" si="146"/>
        <v>RSDELC</v>
      </c>
      <c r="M608" s="182" t="str">
        <f t="shared" si="148"/>
        <v/>
      </c>
      <c r="N608" s="182"/>
      <c r="O608" s="182"/>
      <c r="P608" s="183"/>
      <c r="Q608" s="183"/>
      <c r="R608" s="182"/>
      <c r="S608" s="182"/>
      <c r="T608" s="252"/>
      <c r="U608" s="182"/>
      <c r="V608" s="252">
        <f t="shared" si="150"/>
        <v>-1</v>
      </c>
      <c r="W608" s="236"/>
    </row>
    <row r="609" spans="1:23" x14ac:dyDescent="0.3">
      <c r="A609" s="316"/>
      <c r="B609" s="235" t="str">
        <f>'RSD (DEA)'!AJ128&amp;"_"&amp;'RSD (DEA)'!Z128</f>
        <v>RHHSA_HP_ELC_08</v>
      </c>
      <c r="C609" s="318"/>
      <c r="D609" s="235" t="str">
        <f t="shared" si="149"/>
        <v>RHHSA_HP_ELC_08</v>
      </c>
      <c r="E609" s="235" t="str">
        <f>'RSD (DEA)'!Q128</f>
        <v>Electric heat pumps</v>
      </c>
      <c r="F609" s="242" t="s">
        <v>239</v>
      </c>
      <c r="G609" s="242" t="s">
        <v>240</v>
      </c>
      <c r="H609" s="235">
        <f>'RSD (DEA)'!S128</f>
        <v>4</v>
      </c>
      <c r="I609" s="235" t="str">
        <f>IF(OR(RIGHT('RSD (DEA)'!AH128,3)="BIO",RIGHT(AD617,3)="BOA"),LEFT('RSD (DEA)'!AH128,3)&amp;"BFW",'RSD (DEA)'!AH128)</f>
        <v>RSDELC</v>
      </c>
      <c r="J609" s="182" t="str">
        <f>'RSD (DEA)'!AI128</f>
        <v>RSDGEO</v>
      </c>
      <c r="K609" s="235" t="str">
        <f>'RSD (DEA)'!AK128</f>
        <v>RWHSA</v>
      </c>
      <c r="L609" s="244"/>
      <c r="M609" s="182">
        <f t="shared" si="148"/>
        <v>2019</v>
      </c>
      <c r="N609" s="182">
        <f>'RSD (DEA)'!X128</f>
        <v>2030</v>
      </c>
      <c r="O609" s="182">
        <f>IF(N609&lt;2019,2019,N609)</f>
        <v>2030</v>
      </c>
      <c r="P609" s="183">
        <f>'RSD (DEA)'!AZ128</f>
        <v>3.6</v>
      </c>
      <c r="Q609" s="183">
        <f>'RSD (DEA)'!BA128</f>
        <v>3.75</v>
      </c>
      <c r="R609" s="182">
        <f>'RSD (DEA)'!BR128/'RSD (DEA)'!S128</f>
        <v>63.75</v>
      </c>
      <c r="S609" s="182">
        <f>'RSD (DEA)'!BS128/X_RSD_HeatingDemand!$AA$8</f>
        <v>0</v>
      </c>
      <c r="T609" s="252">
        <f>'RSD (DEA)'!BK120*X_RSD_HeatingDemand!$AA$9/'RSD (DEA)'!S120</f>
        <v>393.75</v>
      </c>
      <c r="U609" s="182">
        <f>'RSD (DEA)'!BI128</f>
        <v>20</v>
      </c>
      <c r="V609" s="252" t="str">
        <f t="shared" si="150"/>
        <v/>
      </c>
      <c r="W609" s="236">
        <f>'RSD (DEA)'!AM128</f>
        <v>31.536000000000001</v>
      </c>
    </row>
    <row r="610" spans="1:23" x14ac:dyDescent="0.3">
      <c r="A610" s="316"/>
      <c r="B610" s="235"/>
      <c r="C610" s="318"/>
      <c r="D610" s="235"/>
      <c r="E610" s="235"/>
      <c r="F610" s="242"/>
      <c r="G610" s="242"/>
      <c r="H610" s="235"/>
      <c r="I610" s="235"/>
      <c r="J610" s="182" t="str">
        <f>J609</f>
        <v>RSDGEO</v>
      </c>
      <c r="K610" s="235"/>
      <c r="L610" s="244" t="str">
        <f>$AA$11</f>
        <v>ACT</v>
      </c>
      <c r="M610" s="182" t="str">
        <f t="shared" si="148"/>
        <v/>
      </c>
      <c r="N610" s="182"/>
      <c r="O610" s="182"/>
      <c r="P610" s="183"/>
      <c r="Q610" s="183"/>
      <c r="R610" s="182"/>
      <c r="S610" s="182"/>
      <c r="T610" s="252"/>
      <c r="U610" s="182"/>
      <c r="V610" s="252">
        <f t="shared" si="150"/>
        <v>1</v>
      </c>
      <c r="W610" s="236"/>
    </row>
    <row r="611" spans="1:23" x14ac:dyDescent="0.3">
      <c r="A611" s="316"/>
      <c r="B611" s="235"/>
      <c r="C611" s="318"/>
      <c r="D611" s="235"/>
      <c r="E611" s="235"/>
      <c r="F611" s="242"/>
      <c r="G611" s="242"/>
      <c r="H611" s="235"/>
      <c r="I611" s="235"/>
      <c r="J611" s="182" t="str">
        <f>J610</f>
        <v>RSDGEO</v>
      </c>
      <c r="K611" s="235"/>
      <c r="L611" s="244" t="str">
        <f t="shared" si="147"/>
        <v>RSDELC</v>
      </c>
      <c r="M611" s="182" t="str">
        <f t="shared" si="148"/>
        <v/>
      </c>
      <c r="N611" s="182"/>
      <c r="O611" s="182"/>
      <c r="P611" s="183"/>
      <c r="Q611" s="183"/>
      <c r="R611" s="182"/>
      <c r="S611" s="182"/>
      <c r="T611" s="252"/>
      <c r="U611" s="182"/>
      <c r="V611" s="252">
        <f t="shared" si="150"/>
        <v>-1</v>
      </c>
      <c r="W611" s="236"/>
    </row>
    <row r="612" spans="1:23" x14ac:dyDescent="0.3">
      <c r="A612" s="316"/>
      <c r="B612" s="235" t="str">
        <f>'RSD (DEA)'!AJ129&amp;"_"&amp;'RSD (DEA)'!Z129</f>
        <v>RHHSA_HP_ELC_08</v>
      </c>
      <c r="C612" s="318"/>
      <c r="D612" s="235" t="str">
        <f t="shared" si="149"/>
        <v>RHHSA_HP_ELC_08</v>
      </c>
      <c r="E612" s="235" t="str">
        <f>'RSD (DEA)'!Q129</f>
        <v>Electric heat pumps</v>
      </c>
      <c r="F612" s="242" t="s">
        <v>239</v>
      </c>
      <c r="G612" s="242" t="s">
        <v>240</v>
      </c>
      <c r="H612" s="235">
        <f>'RSD (DEA)'!S129</f>
        <v>4</v>
      </c>
      <c r="I612" s="235" t="str">
        <f>IF(OR(RIGHT('RSD (DEA)'!AH129,3)="BIO",RIGHT(AD620,3)="BOA"),LEFT('RSD (DEA)'!AH129,3)&amp;"BFW",'RSD (DEA)'!AH129)</f>
        <v>RSDELC</v>
      </c>
      <c r="J612" s="182" t="str">
        <f>'RSD (DEA)'!AI129</f>
        <v>RSDGEO</v>
      </c>
      <c r="K612" s="235" t="str">
        <f>'RSD (DEA)'!AK129</f>
        <v>RWHSA</v>
      </c>
      <c r="L612" s="244"/>
      <c r="M612" s="182">
        <f t="shared" si="148"/>
        <v>2019</v>
      </c>
      <c r="N612" s="182">
        <f>'RSD (DEA)'!X129</f>
        <v>2050</v>
      </c>
      <c r="O612" s="182">
        <f>IF(N612&lt;2019,2019,N612)</f>
        <v>2050</v>
      </c>
      <c r="P612" s="183">
        <f>'RSD (DEA)'!AZ129</f>
        <v>3.75</v>
      </c>
      <c r="Q612" s="183">
        <f>'RSD (DEA)'!BA129</f>
        <v>3.9</v>
      </c>
      <c r="R612" s="182">
        <f>'RSD (DEA)'!BR129/'RSD (DEA)'!S129</f>
        <v>59.75</v>
      </c>
      <c r="S612" s="182">
        <f>'RSD (DEA)'!BS129/X_RSD_HeatingDemand!$AA$8</f>
        <v>0</v>
      </c>
      <c r="T612" s="252">
        <f>'RSD (DEA)'!BK121*X_RSD_HeatingDemand!$AA$9/'RSD (DEA)'!S121</f>
        <v>356.25</v>
      </c>
      <c r="U612" s="182">
        <f>'RSD (DEA)'!BI129</f>
        <v>20</v>
      </c>
      <c r="V612" s="252" t="str">
        <f t="shared" si="150"/>
        <v/>
      </c>
      <c r="W612" s="236">
        <f>'RSD (DEA)'!AM129</f>
        <v>31.536000000000001</v>
      </c>
    </row>
    <row r="613" spans="1:23" x14ac:dyDescent="0.3">
      <c r="A613" s="316"/>
      <c r="B613" s="235"/>
      <c r="C613" s="318"/>
      <c r="D613" s="235"/>
      <c r="E613" s="235"/>
      <c r="F613" s="242"/>
      <c r="G613" s="242"/>
      <c r="H613" s="235"/>
      <c r="I613" s="235"/>
      <c r="J613" s="182" t="str">
        <f>J612</f>
        <v>RSDGEO</v>
      </c>
      <c r="K613" s="235"/>
      <c r="L613" s="244" t="str">
        <f>$AA$11</f>
        <v>ACT</v>
      </c>
      <c r="M613" s="182" t="str">
        <f t="shared" si="148"/>
        <v/>
      </c>
      <c r="N613" s="182"/>
      <c r="O613" s="182"/>
      <c r="P613" s="183"/>
      <c r="Q613" s="183"/>
      <c r="R613" s="182"/>
      <c r="S613" s="182"/>
      <c r="T613" s="252"/>
      <c r="U613" s="182"/>
      <c r="V613" s="252">
        <f t="shared" si="150"/>
        <v>1</v>
      </c>
      <c r="W613" s="236"/>
    </row>
    <row r="614" spans="1:23" x14ac:dyDescent="0.3">
      <c r="A614" s="316"/>
      <c r="B614" s="235"/>
      <c r="C614" s="318"/>
      <c r="D614" s="235"/>
      <c r="E614" s="235"/>
      <c r="F614" s="242"/>
      <c r="G614" s="242"/>
      <c r="H614" s="235"/>
      <c r="I614" s="235"/>
      <c r="J614" s="182" t="str">
        <f>J613</f>
        <v>RSDGEO</v>
      </c>
      <c r="K614" s="235"/>
      <c r="L614" s="244" t="str">
        <f t="shared" si="146"/>
        <v>RSDELC</v>
      </c>
      <c r="M614" s="182" t="str">
        <f t="shared" si="148"/>
        <v/>
      </c>
      <c r="N614" s="182"/>
      <c r="O614" s="182"/>
      <c r="P614" s="183"/>
      <c r="Q614" s="183"/>
      <c r="R614" s="182"/>
      <c r="S614" s="182"/>
      <c r="T614" s="252"/>
      <c r="U614" s="182"/>
      <c r="V614" s="252">
        <f t="shared" si="150"/>
        <v>-1</v>
      </c>
      <c r="W614" s="236"/>
    </row>
    <row r="615" spans="1:23" x14ac:dyDescent="0.3">
      <c r="A615" s="316"/>
      <c r="B615" s="235" t="str">
        <f>'RSD (DEA)'!AJ130&amp;"_"&amp;'RSD (DEA)'!Z130</f>
        <v>RHAPC_HP_ELC_09</v>
      </c>
      <c r="C615" s="318"/>
      <c r="D615" s="235" t="str">
        <f t="shared" si="149"/>
        <v>RHAPC_HP_ELC_09</v>
      </c>
      <c r="E615" s="235" t="str">
        <f>'RSD (DEA)'!Q130</f>
        <v>Electric heat pumps</v>
      </c>
      <c r="F615" s="242" t="s">
        <v>239</v>
      </c>
      <c r="G615" s="242" t="s">
        <v>240</v>
      </c>
      <c r="H615" s="235">
        <f>'RSD (DEA)'!S130</f>
        <v>400</v>
      </c>
      <c r="I615" s="235" t="str">
        <f>IF(OR(RIGHT('RSD (DEA)'!AH130,3)="BIO",RIGHT(AD623,3)="BOA"),LEFT('RSD (DEA)'!AH130,3)&amp;"BFW",'RSD (DEA)'!AH130)</f>
        <v>RSDELC</v>
      </c>
      <c r="J615" s="182" t="str">
        <f>'RSD (DEA)'!AI130</f>
        <v>RSDGEO</v>
      </c>
      <c r="K615" s="235" t="str">
        <f>'RSD (DEA)'!AK130</f>
        <v>RWAPC</v>
      </c>
      <c r="L615" s="244"/>
      <c r="M615" s="182">
        <f t="shared" si="148"/>
        <v>2019</v>
      </c>
      <c r="N615" s="182">
        <f>'RSD (DEA)'!X130</f>
        <v>2015</v>
      </c>
      <c r="O615" s="182">
        <f>IF(N615&lt;2019,2019,N615)</f>
        <v>2019</v>
      </c>
      <c r="P615" s="183">
        <f>'RSD (DEA)'!AZ130</f>
        <v>4.5</v>
      </c>
      <c r="Q615" s="183">
        <f>'RSD (DEA)'!BA130</f>
        <v>4.7</v>
      </c>
      <c r="R615" s="182">
        <f>'RSD (DEA)'!BR130/'RSD (DEA)'!S130</f>
        <v>4.0999999999999996</v>
      </c>
      <c r="S615" s="182">
        <f>'RSD (DEA)'!BS130/X_RSD_HeatingDemand!$AA$8</f>
        <v>0.12291666666666666</v>
      </c>
      <c r="T615" s="252">
        <f>'RSD (DEA)'!BK122*X_RSD_HeatingDemand!$AA$9/'RSD (DEA)'!S122</f>
        <v>1600</v>
      </c>
      <c r="U615" s="182">
        <f>'RSD (DEA)'!BI130</f>
        <v>20</v>
      </c>
      <c r="V615" s="252" t="str">
        <f t="shared" si="150"/>
        <v/>
      </c>
      <c r="W615" s="236">
        <f>'RSD (DEA)'!AM130</f>
        <v>31.536000000000001</v>
      </c>
    </row>
    <row r="616" spans="1:23" x14ac:dyDescent="0.3">
      <c r="A616" s="316"/>
      <c r="B616" s="235"/>
      <c r="C616" s="318"/>
      <c r="D616" s="235"/>
      <c r="E616" s="235"/>
      <c r="F616" s="242"/>
      <c r="G616" s="242"/>
      <c r="H616" s="235"/>
      <c r="I616" s="235"/>
      <c r="J616" s="182" t="str">
        <f>J615</f>
        <v>RSDGEO</v>
      </c>
      <c r="K616" s="235"/>
      <c r="L616" s="244" t="str">
        <f>$AA$11</f>
        <v>ACT</v>
      </c>
      <c r="M616" s="182" t="str">
        <f t="shared" si="148"/>
        <v/>
      </c>
      <c r="N616" s="182"/>
      <c r="O616" s="182"/>
      <c r="P616" s="183"/>
      <c r="Q616" s="183"/>
      <c r="R616" s="182"/>
      <c r="S616" s="182"/>
      <c r="T616" s="252"/>
      <c r="U616" s="182"/>
      <c r="V616" s="252">
        <f t="shared" si="150"/>
        <v>1</v>
      </c>
      <c r="W616" s="236"/>
    </row>
    <row r="617" spans="1:23" x14ac:dyDescent="0.3">
      <c r="A617" s="316"/>
      <c r="B617" s="235"/>
      <c r="C617" s="318"/>
      <c r="D617" s="235"/>
      <c r="E617" s="235"/>
      <c r="F617" s="242"/>
      <c r="G617" s="242"/>
      <c r="H617" s="235"/>
      <c r="I617" s="235"/>
      <c r="J617" s="182" t="str">
        <f>J616</f>
        <v>RSDGEO</v>
      </c>
      <c r="K617" s="235"/>
      <c r="L617" s="244" t="str">
        <f t="shared" si="147"/>
        <v>RSDELC</v>
      </c>
      <c r="M617" s="182" t="str">
        <f t="shared" si="148"/>
        <v/>
      </c>
      <c r="N617" s="182"/>
      <c r="O617" s="182"/>
      <c r="P617" s="183"/>
      <c r="Q617" s="183"/>
      <c r="R617" s="182"/>
      <c r="S617" s="182"/>
      <c r="T617" s="252"/>
      <c r="U617" s="182"/>
      <c r="V617" s="252">
        <f t="shared" si="150"/>
        <v>-1</v>
      </c>
      <c r="W617" s="236"/>
    </row>
    <row r="618" spans="1:23" x14ac:dyDescent="0.3">
      <c r="A618" s="316"/>
      <c r="B618" s="235" t="str">
        <f>'RSD (DEA)'!AJ131&amp;"_"&amp;'RSD (DEA)'!Z131</f>
        <v>RHAPC_HP_ELC_09</v>
      </c>
      <c r="C618" s="318"/>
      <c r="D618" s="235" t="str">
        <f t="shared" si="149"/>
        <v>RHAPC_HP_ELC_09</v>
      </c>
      <c r="E618" s="235" t="str">
        <f>'RSD (DEA)'!Q131</f>
        <v>Electric heat pumps</v>
      </c>
      <c r="F618" s="242" t="s">
        <v>239</v>
      </c>
      <c r="G618" s="242" t="s">
        <v>240</v>
      </c>
      <c r="H618" s="235">
        <f>'RSD (DEA)'!S131</f>
        <v>400</v>
      </c>
      <c r="I618" s="235" t="str">
        <f>IF(OR(RIGHT('RSD (DEA)'!AH131,3)="BIO",RIGHT(AD626,3)="BOA"),LEFT('RSD (DEA)'!AH131,3)&amp;"BFW",'RSD (DEA)'!AH131)</f>
        <v>RSDELC</v>
      </c>
      <c r="J618" s="182" t="str">
        <f>'RSD (DEA)'!AI131</f>
        <v>RSDGEO</v>
      </c>
      <c r="K618" s="235" t="str">
        <f>'RSD (DEA)'!AK131</f>
        <v>RWAPC</v>
      </c>
      <c r="L618" s="244"/>
      <c r="M618" s="182">
        <f t="shared" si="148"/>
        <v>2019</v>
      </c>
      <c r="N618" s="182">
        <f>'RSD (DEA)'!X131</f>
        <v>2020</v>
      </c>
      <c r="O618" s="182">
        <f>IF(N618&lt;2019,2019,N618)</f>
        <v>2020</v>
      </c>
      <c r="P618" s="183">
        <f>'RSD (DEA)'!AZ131</f>
        <v>4.5999999999999996</v>
      </c>
      <c r="Q618" s="183">
        <f>'RSD (DEA)'!BA131</f>
        <v>4.8</v>
      </c>
      <c r="R618" s="182">
        <f>'RSD (DEA)'!BR131/'RSD (DEA)'!S131</f>
        <v>4.125</v>
      </c>
      <c r="S618" s="182">
        <f>'RSD (DEA)'!BS131/X_RSD_HeatingDemand!$AA$8</f>
        <v>0.12291666666666666</v>
      </c>
      <c r="T618" s="252">
        <f>'RSD (DEA)'!BK123*X_RSD_HeatingDemand!$AA$9/'RSD (DEA)'!S123</f>
        <v>1500</v>
      </c>
      <c r="U618" s="182">
        <f>'RSD (DEA)'!BI131</f>
        <v>20</v>
      </c>
      <c r="V618" s="252" t="str">
        <f t="shared" si="150"/>
        <v/>
      </c>
      <c r="W618" s="236">
        <f>'RSD (DEA)'!AM131</f>
        <v>31.536000000000001</v>
      </c>
    </row>
    <row r="619" spans="1:23" x14ac:dyDescent="0.3">
      <c r="A619" s="316"/>
      <c r="B619" s="235"/>
      <c r="C619" s="318"/>
      <c r="D619" s="235"/>
      <c r="E619" s="235"/>
      <c r="F619" s="242"/>
      <c r="G619" s="242"/>
      <c r="H619" s="235"/>
      <c r="I619" s="235"/>
      <c r="J619" s="182" t="str">
        <f>J618</f>
        <v>RSDGEO</v>
      </c>
      <c r="K619" s="235"/>
      <c r="L619" s="244" t="str">
        <f>$AA$11</f>
        <v>ACT</v>
      </c>
      <c r="M619" s="182" t="str">
        <f t="shared" si="148"/>
        <v/>
      </c>
      <c r="N619" s="182"/>
      <c r="O619" s="182"/>
      <c r="P619" s="183"/>
      <c r="Q619" s="183"/>
      <c r="R619" s="182"/>
      <c r="S619" s="182"/>
      <c r="T619" s="252"/>
      <c r="U619" s="182"/>
      <c r="V619" s="252">
        <f t="shared" si="150"/>
        <v>1</v>
      </c>
      <c r="W619" s="236"/>
    </row>
    <row r="620" spans="1:23" x14ac:dyDescent="0.3">
      <c r="A620" s="316"/>
      <c r="B620" s="235"/>
      <c r="C620" s="318"/>
      <c r="D620" s="235"/>
      <c r="E620" s="235"/>
      <c r="F620" s="242"/>
      <c r="G620" s="242"/>
      <c r="H620" s="235"/>
      <c r="I620" s="235"/>
      <c r="J620" s="182" t="str">
        <f>J619</f>
        <v>RSDGEO</v>
      </c>
      <c r="K620" s="235"/>
      <c r="L620" s="244" t="str">
        <f t="shared" si="146"/>
        <v>RSDELC</v>
      </c>
      <c r="M620" s="182" t="str">
        <f t="shared" si="148"/>
        <v/>
      </c>
      <c r="N620" s="182"/>
      <c r="O620" s="182"/>
      <c r="P620" s="183"/>
      <c r="Q620" s="183"/>
      <c r="R620" s="182"/>
      <c r="S620" s="182"/>
      <c r="T620" s="252"/>
      <c r="U620" s="182"/>
      <c r="V620" s="252">
        <f t="shared" si="150"/>
        <v>-1</v>
      </c>
      <c r="W620" s="236"/>
    </row>
    <row r="621" spans="1:23" x14ac:dyDescent="0.3">
      <c r="A621" s="316"/>
      <c r="B621" s="235" t="str">
        <f>'RSD (DEA)'!AJ132&amp;"_"&amp;'RSD (DEA)'!Z132</f>
        <v>RHAPC_HP_ELC_09</v>
      </c>
      <c r="C621" s="318"/>
      <c r="D621" s="235" t="str">
        <f t="shared" si="149"/>
        <v>RHAPC_HP_ELC_09</v>
      </c>
      <c r="E621" s="235" t="str">
        <f>'RSD (DEA)'!Q132</f>
        <v>Electric heat pumps</v>
      </c>
      <c r="F621" s="242" t="s">
        <v>239</v>
      </c>
      <c r="G621" s="242" t="s">
        <v>240</v>
      </c>
      <c r="H621" s="235">
        <f>'RSD (DEA)'!S132</f>
        <v>400</v>
      </c>
      <c r="I621" s="235" t="str">
        <f>IF(OR(RIGHT('RSD (DEA)'!AH132,3)="BIO",RIGHT(AD629,3)="BOA"),LEFT('RSD (DEA)'!AH132,3)&amp;"BFW",'RSD (DEA)'!AH132)</f>
        <v>RSDELC</v>
      </c>
      <c r="J621" s="182" t="str">
        <f>'RSD (DEA)'!AI132</f>
        <v>RSDGEO</v>
      </c>
      <c r="K621" s="235" t="str">
        <f>'RSD (DEA)'!AK132</f>
        <v>RWAPC</v>
      </c>
      <c r="L621" s="244"/>
      <c r="M621" s="182">
        <f t="shared" si="148"/>
        <v>2019</v>
      </c>
      <c r="N621" s="182">
        <f>'RSD (DEA)'!X132</f>
        <v>2030</v>
      </c>
      <c r="O621" s="182">
        <f>IF(N621&lt;2019,2019,N621)</f>
        <v>2030</v>
      </c>
      <c r="P621" s="183">
        <f>'RSD (DEA)'!AZ132</f>
        <v>4.7</v>
      </c>
      <c r="Q621" s="183">
        <f>'RSD (DEA)'!BA132</f>
        <v>4.9000000000000004</v>
      </c>
      <c r="R621" s="182">
        <f>'RSD (DEA)'!BR132/'RSD (DEA)'!S132</f>
        <v>4.665</v>
      </c>
      <c r="S621" s="182">
        <f>'RSD (DEA)'!BS132/X_RSD_HeatingDemand!$AA$8</f>
        <v>0.12291666666666666</v>
      </c>
      <c r="T621" s="252">
        <f>'RSD (DEA)'!BK124*X_RSD_HeatingDemand!$AA$9/'RSD (DEA)'!S124</f>
        <v>1400</v>
      </c>
      <c r="U621" s="182">
        <f>'RSD (DEA)'!BI132</f>
        <v>20</v>
      </c>
      <c r="V621" s="252" t="str">
        <f t="shared" si="150"/>
        <v/>
      </c>
      <c r="W621" s="236">
        <f>'RSD (DEA)'!AM132</f>
        <v>31.536000000000001</v>
      </c>
    </row>
    <row r="622" spans="1:23" x14ac:dyDescent="0.3">
      <c r="A622" s="316"/>
      <c r="B622" s="235"/>
      <c r="C622" s="318"/>
      <c r="D622" s="235"/>
      <c r="E622" s="235"/>
      <c r="F622" s="242"/>
      <c r="G622" s="242"/>
      <c r="H622" s="235"/>
      <c r="I622" s="235"/>
      <c r="J622" s="182" t="str">
        <f>J621</f>
        <v>RSDGEO</v>
      </c>
      <c r="K622" s="235"/>
      <c r="L622" s="244" t="str">
        <f>$AA$11</f>
        <v>ACT</v>
      </c>
      <c r="M622" s="182" t="str">
        <f t="shared" si="148"/>
        <v/>
      </c>
      <c r="N622" s="182"/>
      <c r="O622" s="182"/>
      <c r="P622" s="183"/>
      <c r="Q622" s="183"/>
      <c r="R622" s="182"/>
      <c r="S622" s="182"/>
      <c r="T622" s="252"/>
      <c r="U622" s="182"/>
      <c r="V622" s="252">
        <f t="shared" si="150"/>
        <v>1</v>
      </c>
      <c r="W622" s="236"/>
    </row>
    <row r="623" spans="1:23" x14ac:dyDescent="0.3">
      <c r="A623" s="316"/>
      <c r="B623" s="235"/>
      <c r="C623" s="318"/>
      <c r="D623" s="235"/>
      <c r="E623" s="235"/>
      <c r="F623" s="242"/>
      <c r="G623" s="242"/>
      <c r="H623" s="235"/>
      <c r="I623" s="235"/>
      <c r="J623" s="182" t="str">
        <f>J622</f>
        <v>RSDGEO</v>
      </c>
      <c r="K623" s="235"/>
      <c r="L623" s="244" t="str">
        <f t="shared" si="147"/>
        <v>RSDELC</v>
      </c>
      <c r="M623" s="182" t="str">
        <f t="shared" si="148"/>
        <v/>
      </c>
      <c r="N623" s="182"/>
      <c r="O623" s="182"/>
      <c r="P623" s="183"/>
      <c r="Q623" s="183"/>
      <c r="R623" s="182"/>
      <c r="S623" s="182"/>
      <c r="T623" s="252"/>
      <c r="U623" s="182"/>
      <c r="V623" s="252">
        <f t="shared" si="150"/>
        <v>-1</v>
      </c>
      <c r="W623" s="236"/>
    </row>
    <row r="624" spans="1:23" x14ac:dyDescent="0.3">
      <c r="A624" s="316"/>
      <c r="B624" s="235" t="str">
        <f>'RSD (DEA)'!AJ133&amp;"_"&amp;'RSD (DEA)'!Z133</f>
        <v>RHAPC_HP_ELC_09</v>
      </c>
      <c r="C624" s="318"/>
      <c r="D624" s="235" t="str">
        <f t="shared" si="149"/>
        <v>RHAPC_HP_ELC_09</v>
      </c>
      <c r="E624" s="235" t="str">
        <f>'RSD (DEA)'!Q133</f>
        <v>Electric heat pumps</v>
      </c>
      <c r="F624" s="242" t="s">
        <v>239</v>
      </c>
      <c r="G624" s="242" t="s">
        <v>240</v>
      </c>
      <c r="H624" s="235">
        <f>'RSD (DEA)'!S133</f>
        <v>400</v>
      </c>
      <c r="I624" s="235" t="str">
        <f>IF(OR(RIGHT('RSD (DEA)'!AH133,3)="BIO",RIGHT(AD632,3)="BOA"),LEFT('RSD (DEA)'!AH133,3)&amp;"BFW",'RSD (DEA)'!AH133)</f>
        <v>RSDELC</v>
      </c>
      <c r="J624" s="182" t="str">
        <f>'RSD (DEA)'!AI133</f>
        <v>RSDGEO</v>
      </c>
      <c r="K624" s="235" t="str">
        <f>'RSD (DEA)'!AK133</f>
        <v>RWAPC</v>
      </c>
      <c r="L624" s="244"/>
      <c r="M624" s="182">
        <f t="shared" si="148"/>
        <v>2019</v>
      </c>
      <c r="N624" s="182">
        <f>'RSD (DEA)'!X133</f>
        <v>2050</v>
      </c>
      <c r="O624" s="182">
        <f>IF(N624&lt;2019,2019,N624)</f>
        <v>2050</v>
      </c>
      <c r="P624" s="183">
        <f>'RSD (DEA)'!AZ133</f>
        <v>4.9000000000000004</v>
      </c>
      <c r="Q624" s="183">
        <f>'RSD (DEA)'!BA133</f>
        <v>5.0999999999999996</v>
      </c>
      <c r="R624" s="182">
        <f>'RSD (DEA)'!BR133/'RSD (DEA)'!S133</f>
        <v>6.0274999999999999</v>
      </c>
      <c r="S624" s="182">
        <f>'RSD (DEA)'!BS133/X_RSD_HeatingDemand!$AA$8</f>
        <v>0.12291666666666666</v>
      </c>
      <c r="T624" s="252">
        <f>'RSD (DEA)'!BK125*X_RSD_HeatingDemand!$AA$9/'RSD (DEA)'!S125</f>
        <v>1200</v>
      </c>
      <c r="U624" s="182">
        <f>'RSD (DEA)'!BI133</f>
        <v>20</v>
      </c>
      <c r="V624" s="252" t="str">
        <f t="shared" si="150"/>
        <v/>
      </c>
      <c r="W624" s="236">
        <f>'RSD (DEA)'!AM133</f>
        <v>31.536000000000001</v>
      </c>
    </row>
    <row r="625" spans="1:23" x14ac:dyDescent="0.3">
      <c r="A625" s="316"/>
      <c r="B625" s="235"/>
      <c r="C625" s="318"/>
      <c r="D625" s="235"/>
      <c r="E625" s="235"/>
      <c r="F625" s="242"/>
      <c r="G625" s="242"/>
      <c r="H625" s="235"/>
      <c r="I625" s="235"/>
      <c r="J625" s="182" t="str">
        <f>J624</f>
        <v>RSDGEO</v>
      </c>
      <c r="K625" s="235"/>
      <c r="L625" s="244" t="str">
        <f>$AA$11</f>
        <v>ACT</v>
      </c>
      <c r="M625" s="182" t="str">
        <f t="shared" si="148"/>
        <v/>
      </c>
      <c r="N625" s="182"/>
      <c r="O625" s="182"/>
      <c r="P625" s="183"/>
      <c r="Q625" s="183"/>
      <c r="R625" s="182"/>
      <c r="S625" s="182"/>
      <c r="T625" s="252"/>
      <c r="U625" s="182"/>
      <c r="V625" s="252">
        <f t="shared" si="150"/>
        <v>1</v>
      </c>
      <c r="W625" s="236"/>
    </row>
    <row r="626" spans="1:23" x14ac:dyDescent="0.3">
      <c r="A626" s="316"/>
      <c r="B626" s="235"/>
      <c r="C626" s="318"/>
      <c r="D626" s="235"/>
      <c r="E626" s="235"/>
      <c r="F626" s="242"/>
      <c r="G626" s="242"/>
      <c r="H626" s="235"/>
      <c r="I626" s="235"/>
      <c r="J626" s="182" t="str">
        <f>J625</f>
        <v>RSDGEO</v>
      </c>
      <c r="K626" s="235"/>
      <c r="L626" s="244" t="str">
        <f t="shared" si="146"/>
        <v>RSDELC</v>
      </c>
      <c r="M626" s="182" t="str">
        <f t="shared" si="148"/>
        <v/>
      </c>
      <c r="N626" s="182"/>
      <c r="O626" s="182"/>
      <c r="P626" s="183"/>
      <c r="Q626" s="183"/>
      <c r="R626" s="182"/>
      <c r="S626" s="182"/>
      <c r="T626" s="252"/>
      <c r="U626" s="182"/>
      <c r="V626" s="252">
        <f t="shared" si="150"/>
        <v>-1</v>
      </c>
      <c r="W626" s="236"/>
    </row>
    <row r="627" spans="1:23" x14ac:dyDescent="0.3">
      <c r="A627" s="316"/>
      <c r="B627" s="235" t="str">
        <f>'RSD (DEA)'!AJ134&amp;"_"&amp;'RSD (DEA)'!Z134</f>
        <v>RHAPA_HP_ELC_10</v>
      </c>
      <c r="C627" s="318"/>
      <c r="D627" s="235" t="str">
        <f t="shared" si="149"/>
        <v>RHAPA_HP_ELC_10</v>
      </c>
      <c r="E627" s="235" t="str">
        <f>'RSD (DEA)'!Q134</f>
        <v>Electric heat pumps</v>
      </c>
      <c r="F627" s="242" t="s">
        <v>239</v>
      </c>
      <c r="G627" s="242" t="s">
        <v>240</v>
      </c>
      <c r="H627" s="235">
        <f>'RSD (DEA)'!S134</f>
        <v>160</v>
      </c>
      <c r="I627" s="235" t="str">
        <f>IF(OR(RIGHT('RSD (DEA)'!AH134,3)="BIO",RIGHT(AD635,3)="BOA"),LEFT('RSD (DEA)'!AH134,3)&amp;"BFW",'RSD (DEA)'!AH134)</f>
        <v>RSDELC</v>
      </c>
      <c r="J627" s="182" t="str">
        <f>'RSD (DEA)'!AI134</f>
        <v>RSDGEO</v>
      </c>
      <c r="K627" s="235" t="str">
        <f>'RSD (DEA)'!AK134</f>
        <v>RWAPA</v>
      </c>
      <c r="L627" s="244"/>
      <c r="M627" s="182">
        <f t="shared" si="148"/>
        <v>2019</v>
      </c>
      <c r="N627" s="182">
        <f>'RSD (DEA)'!X134</f>
        <v>2015</v>
      </c>
      <c r="O627" s="182">
        <f>IF(N627&lt;2019,2019,N627)</f>
        <v>2019</v>
      </c>
      <c r="P627" s="183">
        <f>'RSD (DEA)'!AZ134</f>
        <v>4.3</v>
      </c>
      <c r="Q627" s="183">
        <f>'RSD (DEA)'!BA134</f>
        <v>5</v>
      </c>
      <c r="R627" s="182">
        <f>'RSD (DEA)'!BR134/'RSD (DEA)'!S134</f>
        <v>10.25</v>
      </c>
      <c r="S627" s="182">
        <f>'RSD (DEA)'!BS134/X_RSD_HeatingDemand!$AA$8</f>
        <v>0.12291666666666666</v>
      </c>
      <c r="T627" s="252">
        <f>'RSD (DEA)'!BK126*X_RSD_HeatingDemand!$AA$9/'RSD (DEA)'!S126</f>
        <v>3000</v>
      </c>
      <c r="U627" s="182">
        <f>'RSD (DEA)'!BI134</f>
        <v>20</v>
      </c>
      <c r="V627" s="252" t="str">
        <f t="shared" si="150"/>
        <v/>
      </c>
      <c r="W627" s="236">
        <f>'RSD (DEA)'!AM134</f>
        <v>31.536000000000001</v>
      </c>
    </row>
    <row r="628" spans="1:23" x14ac:dyDescent="0.3">
      <c r="A628" s="316"/>
      <c r="B628" s="235"/>
      <c r="C628" s="318"/>
      <c r="D628" s="235"/>
      <c r="E628" s="235"/>
      <c r="F628" s="242"/>
      <c r="G628" s="242"/>
      <c r="H628" s="235"/>
      <c r="I628" s="235"/>
      <c r="J628" s="182" t="str">
        <f>J627</f>
        <v>RSDGEO</v>
      </c>
      <c r="K628" s="235"/>
      <c r="L628" s="244" t="str">
        <f>$AA$11</f>
        <v>ACT</v>
      </c>
      <c r="M628" s="182" t="str">
        <f t="shared" si="148"/>
        <v/>
      </c>
      <c r="N628" s="182"/>
      <c r="O628" s="182"/>
      <c r="P628" s="183"/>
      <c r="Q628" s="183"/>
      <c r="R628" s="182"/>
      <c r="S628" s="182"/>
      <c r="T628" s="252"/>
      <c r="U628" s="182"/>
      <c r="V628" s="252">
        <f t="shared" si="150"/>
        <v>1</v>
      </c>
      <c r="W628" s="236"/>
    </row>
    <row r="629" spans="1:23" x14ac:dyDescent="0.3">
      <c r="A629" s="316"/>
      <c r="B629" s="235"/>
      <c r="C629" s="318"/>
      <c r="D629" s="235"/>
      <c r="E629" s="235"/>
      <c r="F629" s="242"/>
      <c r="G629" s="242"/>
      <c r="H629" s="235"/>
      <c r="I629" s="235"/>
      <c r="J629" s="182" t="str">
        <f>J628</f>
        <v>RSDGEO</v>
      </c>
      <c r="K629" s="235"/>
      <c r="L629" s="244" t="str">
        <f t="shared" si="147"/>
        <v>RSDELC</v>
      </c>
      <c r="M629" s="182" t="str">
        <f t="shared" si="148"/>
        <v/>
      </c>
      <c r="N629" s="182"/>
      <c r="O629" s="182"/>
      <c r="P629" s="183"/>
      <c r="Q629" s="183"/>
      <c r="R629" s="182"/>
      <c r="S629" s="182"/>
      <c r="T629" s="252"/>
      <c r="U629" s="182"/>
      <c r="V629" s="252">
        <f t="shared" si="150"/>
        <v>-1</v>
      </c>
      <c r="W629" s="236"/>
    </row>
    <row r="630" spans="1:23" x14ac:dyDescent="0.3">
      <c r="A630" s="316"/>
      <c r="B630" s="235" t="str">
        <f>'RSD (DEA)'!AJ135&amp;"_"&amp;'RSD (DEA)'!Z135</f>
        <v>RHAPA_HP_ELC_10</v>
      </c>
      <c r="C630" s="318"/>
      <c r="D630" s="235" t="str">
        <f t="shared" si="149"/>
        <v>RHAPA_HP_ELC_10</v>
      </c>
      <c r="E630" s="235" t="str">
        <f>'RSD (DEA)'!Q135</f>
        <v>Electric heat pumps</v>
      </c>
      <c r="F630" s="242" t="s">
        <v>239</v>
      </c>
      <c r="G630" s="242" t="s">
        <v>240</v>
      </c>
      <c r="H630" s="235">
        <f>'RSD (DEA)'!S135</f>
        <v>160</v>
      </c>
      <c r="I630" s="235" t="str">
        <f>IF(OR(RIGHT('RSD (DEA)'!AH135,3)="BIO",RIGHT(AD638,3)="BOA"),LEFT('RSD (DEA)'!AH135,3)&amp;"BFW",'RSD (DEA)'!AH135)</f>
        <v>RSDELC</v>
      </c>
      <c r="J630" s="182" t="str">
        <f>'RSD (DEA)'!AI135</f>
        <v>RSDGEO</v>
      </c>
      <c r="K630" s="235" t="str">
        <f>'RSD (DEA)'!AK135</f>
        <v>RWAPA</v>
      </c>
      <c r="L630" s="244"/>
      <c r="M630" s="182">
        <f t="shared" si="148"/>
        <v>2019</v>
      </c>
      <c r="N630" s="182">
        <f>'RSD (DEA)'!X135</f>
        <v>2020</v>
      </c>
      <c r="O630" s="182">
        <f>IF(N630&lt;2019,2019,N630)</f>
        <v>2020</v>
      </c>
      <c r="P630" s="183">
        <f>'RSD (DEA)'!AZ135</f>
        <v>4.4000000000000004</v>
      </c>
      <c r="Q630" s="183">
        <f>'RSD (DEA)'!BA135</f>
        <v>5.0999999999999996</v>
      </c>
      <c r="R630" s="182">
        <f>'RSD (DEA)'!BR135/'RSD (DEA)'!S135</f>
        <v>10.3125</v>
      </c>
      <c r="S630" s="182">
        <f>'RSD (DEA)'!BS135/X_RSD_HeatingDemand!$AA$8</f>
        <v>0.12291666666666666</v>
      </c>
      <c r="T630" s="252">
        <f>'RSD (DEA)'!BK127*X_RSD_HeatingDemand!$AA$9/'RSD (DEA)'!S127</f>
        <v>2750</v>
      </c>
      <c r="U630" s="182">
        <f>'RSD (DEA)'!BI135</f>
        <v>20</v>
      </c>
      <c r="V630" s="252" t="str">
        <f t="shared" si="150"/>
        <v/>
      </c>
      <c r="W630" s="236">
        <f>'RSD (DEA)'!AM135</f>
        <v>31.536000000000001</v>
      </c>
    </row>
    <row r="631" spans="1:23" x14ac:dyDescent="0.3">
      <c r="A631" s="316"/>
      <c r="B631" s="235"/>
      <c r="C631" s="318"/>
      <c r="D631" s="235"/>
      <c r="E631" s="235"/>
      <c r="F631" s="242"/>
      <c r="G631" s="242"/>
      <c r="H631" s="235"/>
      <c r="I631" s="235"/>
      <c r="J631" s="182" t="str">
        <f>J630</f>
        <v>RSDGEO</v>
      </c>
      <c r="K631" s="235"/>
      <c r="L631" s="244" t="str">
        <f>$AA$11</f>
        <v>ACT</v>
      </c>
      <c r="M631" s="182" t="str">
        <f t="shared" si="148"/>
        <v/>
      </c>
      <c r="N631" s="182"/>
      <c r="O631" s="182"/>
      <c r="P631" s="183"/>
      <c r="Q631" s="183"/>
      <c r="R631" s="182"/>
      <c r="S631" s="182"/>
      <c r="T631" s="252"/>
      <c r="U631" s="182"/>
      <c r="V631" s="252">
        <f t="shared" si="150"/>
        <v>1</v>
      </c>
      <c r="W631" s="236"/>
    </row>
    <row r="632" spans="1:23" x14ac:dyDescent="0.3">
      <c r="A632" s="316"/>
      <c r="B632" s="235"/>
      <c r="C632" s="318"/>
      <c r="D632" s="235"/>
      <c r="E632" s="235"/>
      <c r="F632" s="242"/>
      <c r="G632" s="242"/>
      <c r="H632" s="235"/>
      <c r="I632" s="235"/>
      <c r="J632" s="182" t="str">
        <f>J631</f>
        <v>RSDGEO</v>
      </c>
      <c r="K632" s="235"/>
      <c r="L632" s="244" t="str">
        <f t="shared" ref="L632:L692" si="151">I630</f>
        <v>RSDELC</v>
      </c>
      <c r="M632" s="182" t="str">
        <f t="shared" si="148"/>
        <v/>
      </c>
      <c r="N632" s="182"/>
      <c r="O632" s="182"/>
      <c r="P632" s="183"/>
      <c r="Q632" s="183"/>
      <c r="R632" s="182"/>
      <c r="S632" s="182"/>
      <c r="T632" s="252"/>
      <c r="U632" s="182"/>
      <c r="V632" s="252">
        <f t="shared" si="150"/>
        <v>-1</v>
      </c>
      <c r="W632" s="236"/>
    </row>
    <row r="633" spans="1:23" x14ac:dyDescent="0.3">
      <c r="A633" s="316"/>
      <c r="B633" s="235" t="str">
        <f>'RSD (DEA)'!AJ136&amp;"_"&amp;'RSD (DEA)'!Z136</f>
        <v>RHAPA_HP_ELC_10</v>
      </c>
      <c r="C633" s="318"/>
      <c r="D633" s="235" t="str">
        <f t="shared" si="149"/>
        <v>RHAPA_HP_ELC_10</v>
      </c>
      <c r="E633" s="235" t="str">
        <f>'RSD (DEA)'!Q136</f>
        <v>Electric heat pumps</v>
      </c>
      <c r="F633" s="242" t="s">
        <v>239</v>
      </c>
      <c r="G633" s="242" t="s">
        <v>240</v>
      </c>
      <c r="H633" s="235">
        <f>'RSD (DEA)'!S136</f>
        <v>160</v>
      </c>
      <c r="I633" s="235" t="str">
        <f>IF(OR(RIGHT('RSD (DEA)'!AH136,3)="BIO",RIGHT(AD641,3)="BOA"),LEFT('RSD (DEA)'!AH136,3)&amp;"BFW",'RSD (DEA)'!AH136)</f>
        <v>RSDELC</v>
      </c>
      <c r="J633" s="182" t="str">
        <f>'RSD (DEA)'!AI136</f>
        <v>RSDGEO</v>
      </c>
      <c r="K633" s="235" t="str">
        <f>'RSD (DEA)'!AK136</f>
        <v>RWAPA</v>
      </c>
      <c r="L633" s="244"/>
      <c r="M633" s="182">
        <f t="shared" si="148"/>
        <v>2019</v>
      </c>
      <c r="N633" s="182">
        <f>'RSD (DEA)'!X136</f>
        <v>2030</v>
      </c>
      <c r="O633" s="182">
        <f>IF(N633&lt;2019,2019,N633)</f>
        <v>2030</v>
      </c>
      <c r="P633" s="183">
        <f>'RSD (DEA)'!AZ136</f>
        <v>4.5</v>
      </c>
      <c r="Q633" s="183">
        <f>'RSD (DEA)'!BA136</f>
        <v>5.2</v>
      </c>
      <c r="R633" s="182">
        <f>'RSD (DEA)'!BR136/'RSD (DEA)'!S136</f>
        <v>11.6625</v>
      </c>
      <c r="S633" s="182">
        <f>'RSD (DEA)'!BS136/X_RSD_HeatingDemand!$AA$8</f>
        <v>0.12291666666666666</v>
      </c>
      <c r="T633" s="252">
        <f>'RSD (DEA)'!BK128*X_RSD_HeatingDemand!$AA$9/'RSD (DEA)'!S128</f>
        <v>2500</v>
      </c>
      <c r="U633" s="182">
        <f>'RSD (DEA)'!BI136</f>
        <v>20</v>
      </c>
      <c r="V633" s="252" t="str">
        <f t="shared" si="150"/>
        <v/>
      </c>
      <c r="W633" s="236">
        <f>'RSD (DEA)'!AM136</f>
        <v>31.536000000000001</v>
      </c>
    </row>
    <row r="634" spans="1:23" x14ac:dyDescent="0.3">
      <c r="A634" s="316"/>
      <c r="B634" s="235"/>
      <c r="C634" s="318"/>
      <c r="D634" s="235"/>
      <c r="E634" s="235"/>
      <c r="F634" s="242"/>
      <c r="G634" s="242"/>
      <c r="H634" s="235"/>
      <c r="I634" s="235"/>
      <c r="J634" s="182" t="str">
        <f>J633</f>
        <v>RSDGEO</v>
      </c>
      <c r="K634" s="235"/>
      <c r="L634" s="244" t="str">
        <f>$AA$11</f>
        <v>ACT</v>
      </c>
      <c r="M634" s="182" t="str">
        <f t="shared" si="148"/>
        <v/>
      </c>
      <c r="N634" s="182"/>
      <c r="O634" s="182"/>
      <c r="P634" s="183"/>
      <c r="Q634" s="183"/>
      <c r="R634" s="182"/>
      <c r="S634" s="182"/>
      <c r="T634" s="252"/>
      <c r="U634" s="182"/>
      <c r="V634" s="252">
        <f t="shared" si="150"/>
        <v>1</v>
      </c>
      <c r="W634" s="236"/>
    </row>
    <row r="635" spans="1:23" x14ac:dyDescent="0.3">
      <c r="A635" s="316"/>
      <c r="B635" s="235"/>
      <c r="C635" s="318"/>
      <c r="D635" s="235"/>
      <c r="E635" s="235"/>
      <c r="F635" s="242"/>
      <c r="G635" s="242"/>
      <c r="H635" s="235"/>
      <c r="I635" s="235"/>
      <c r="J635" s="182" t="str">
        <f>J634</f>
        <v>RSDGEO</v>
      </c>
      <c r="K635" s="235"/>
      <c r="L635" s="244" t="str">
        <f t="shared" ref="L635:L695" si="152">I633</f>
        <v>RSDELC</v>
      </c>
      <c r="M635" s="182" t="str">
        <f t="shared" si="148"/>
        <v/>
      </c>
      <c r="N635" s="182"/>
      <c r="O635" s="182"/>
      <c r="P635" s="183"/>
      <c r="Q635" s="183"/>
      <c r="R635" s="182"/>
      <c r="S635" s="182"/>
      <c r="T635" s="252"/>
      <c r="U635" s="182"/>
      <c r="V635" s="252">
        <f t="shared" si="150"/>
        <v>-1</v>
      </c>
      <c r="W635" s="236"/>
    </row>
    <row r="636" spans="1:23" x14ac:dyDescent="0.3">
      <c r="A636" s="316"/>
      <c r="B636" s="235" t="str">
        <f>'RSD (DEA)'!AJ137&amp;"_"&amp;'RSD (DEA)'!Z137</f>
        <v>RHAPA_HP_ELC_10</v>
      </c>
      <c r="C636" s="318"/>
      <c r="D636" s="235" t="str">
        <f t="shared" si="149"/>
        <v>RHAPA_HP_ELC_10</v>
      </c>
      <c r="E636" s="235" t="str">
        <f>'RSD (DEA)'!Q137</f>
        <v>Electric heat pumps</v>
      </c>
      <c r="F636" s="242" t="s">
        <v>239</v>
      </c>
      <c r="G636" s="242" t="s">
        <v>240</v>
      </c>
      <c r="H636" s="235">
        <f>'RSD (DEA)'!S137</f>
        <v>160</v>
      </c>
      <c r="I636" s="235" t="str">
        <f>IF(OR(RIGHT('RSD (DEA)'!AH137,3)="BIO",RIGHT(AD644,3)="BOA"),LEFT('RSD (DEA)'!AH137,3)&amp;"BFW",'RSD (DEA)'!AH137)</f>
        <v>RSDELC</v>
      </c>
      <c r="J636" s="182" t="str">
        <f>'RSD (DEA)'!AI137</f>
        <v>RSDGEO</v>
      </c>
      <c r="K636" s="235" t="str">
        <f>'RSD (DEA)'!AK137</f>
        <v>RWAPA</v>
      </c>
      <c r="L636" s="244"/>
      <c r="M636" s="182">
        <f t="shared" si="148"/>
        <v>2019</v>
      </c>
      <c r="N636" s="182">
        <f>'RSD (DEA)'!X137</f>
        <v>2050</v>
      </c>
      <c r="O636" s="182">
        <f>IF(N636&lt;2019,2019,N636)</f>
        <v>2050</v>
      </c>
      <c r="P636" s="183">
        <f>'RSD (DEA)'!AZ137</f>
        <v>4.5999999999999996</v>
      </c>
      <c r="Q636" s="183">
        <f>'RSD (DEA)'!BA137</f>
        <v>5.4</v>
      </c>
      <c r="R636" s="182">
        <f>'RSD (DEA)'!BR137/'RSD (DEA)'!S137</f>
        <v>15.06875</v>
      </c>
      <c r="S636" s="182">
        <f>'RSD (DEA)'!BS137/X_RSD_HeatingDemand!$AA$8</f>
        <v>0.12291666666666666</v>
      </c>
      <c r="T636" s="252">
        <f>'RSD (DEA)'!BK129*X_RSD_HeatingDemand!$AA$9/'RSD (DEA)'!S129</f>
        <v>2250</v>
      </c>
      <c r="U636" s="182">
        <f>'RSD (DEA)'!BI137</f>
        <v>20</v>
      </c>
      <c r="V636" s="252" t="str">
        <f t="shared" si="150"/>
        <v/>
      </c>
      <c r="W636" s="236">
        <f>'RSD (DEA)'!AM137</f>
        <v>31.536000000000001</v>
      </c>
    </row>
    <row r="637" spans="1:23" x14ac:dyDescent="0.3">
      <c r="A637" s="316"/>
      <c r="B637" s="235"/>
      <c r="C637" s="318"/>
      <c r="D637" s="235"/>
      <c r="E637" s="235"/>
      <c r="F637" s="242"/>
      <c r="G637" s="242"/>
      <c r="H637" s="235"/>
      <c r="I637" s="235"/>
      <c r="J637" s="182" t="str">
        <f>J636</f>
        <v>RSDGEO</v>
      </c>
      <c r="K637" s="235"/>
      <c r="L637" s="244" t="str">
        <f>$AA$11</f>
        <v>ACT</v>
      </c>
      <c r="M637" s="182" t="str">
        <f t="shared" si="148"/>
        <v/>
      </c>
      <c r="N637" s="182"/>
      <c r="O637" s="182"/>
      <c r="P637" s="183"/>
      <c r="Q637" s="183"/>
      <c r="R637" s="182"/>
      <c r="S637" s="182"/>
      <c r="T637" s="252"/>
      <c r="U637" s="182"/>
      <c r="V637" s="252">
        <f t="shared" si="150"/>
        <v>1</v>
      </c>
      <c r="W637" s="236"/>
    </row>
    <row r="638" spans="1:23" x14ac:dyDescent="0.3">
      <c r="A638" s="316"/>
      <c r="B638" s="235"/>
      <c r="C638" s="318"/>
      <c r="D638" s="235"/>
      <c r="E638" s="235"/>
      <c r="F638" s="242"/>
      <c r="G638" s="242"/>
      <c r="H638" s="235"/>
      <c r="I638" s="235"/>
      <c r="J638" s="182" t="str">
        <f>J637</f>
        <v>RSDGEO</v>
      </c>
      <c r="K638" s="235"/>
      <c r="L638" s="244" t="str">
        <f t="shared" si="151"/>
        <v>RSDELC</v>
      </c>
      <c r="M638" s="182" t="str">
        <f t="shared" si="148"/>
        <v/>
      </c>
      <c r="N638" s="182"/>
      <c r="O638" s="182"/>
      <c r="P638" s="183"/>
      <c r="Q638" s="183"/>
      <c r="R638" s="182"/>
      <c r="S638" s="182"/>
      <c r="T638" s="252"/>
      <c r="U638" s="182"/>
      <c r="V638" s="252">
        <f t="shared" si="150"/>
        <v>-1</v>
      </c>
      <c r="W638" s="236"/>
    </row>
    <row r="639" spans="1:23" x14ac:dyDescent="0.3">
      <c r="A639" s="316"/>
      <c r="B639" s="235" t="str">
        <f>'RSD (DEA)'!AJ138&amp;"_"&amp;'RSD (DEA)'!Z138</f>
        <v>RHHSC_HP_ELC_03</v>
      </c>
      <c r="C639" s="318"/>
      <c r="D639" s="235" t="str">
        <f t="shared" si="149"/>
        <v>RHHSC_HP_ELC_03</v>
      </c>
      <c r="E639" s="235" t="str">
        <f>'RSD (DEA)'!Q138</f>
        <v>Electric heat pumps</v>
      </c>
      <c r="F639" s="242" t="s">
        <v>239</v>
      </c>
      <c r="G639" s="242" t="s">
        <v>240</v>
      </c>
      <c r="H639" s="235">
        <f>'RSD (DEA)'!S138</f>
        <v>10</v>
      </c>
      <c r="I639" s="235" t="str">
        <f>IF(OR(RIGHT('RSD (DEA)'!AH138,3)="BIO",RIGHT(AD647,3)="BOA"),LEFT('RSD (DEA)'!AH138,3)&amp;"BFW",'RSD (DEA)'!AH138)</f>
        <v>RSDELC</v>
      </c>
      <c r="J639" s="182" t="str">
        <f>'RSD (DEA)'!AI138</f>
        <v>RSDAHT</v>
      </c>
      <c r="K639" s="235" t="str">
        <f>'RSD (DEA)'!AK138</f>
        <v>RWHSC</v>
      </c>
      <c r="L639" s="244"/>
      <c r="M639" s="182">
        <f t="shared" si="148"/>
        <v>2019</v>
      </c>
      <c r="N639" s="182">
        <f>'RSD (DEA)'!X138</f>
        <v>2015</v>
      </c>
      <c r="O639" s="182">
        <f>IF(N639&lt;2019,2019,N639)</f>
        <v>2019</v>
      </c>
      <c r="P639" s="183">
        <f>'RSD (DEA)'!AZ138</f>
        <v>3.25</v>
      </c>
      <c r="Q639" s="183">
        <f>'RSD (DEA)'!BA138</f>
        <v>3.3</v>
      </c>
      <c r="R639" s="182">
        <f>'RSD (DEA)'!BR138/'RSD (DEA)'!S138</f>
        <v>29.1</v>
      </c>
      <c r="S639" s="182">
        <f>'RSD (DEA)'!BS138/X_RSD_HeatingDemand!$AA$8</f>
        <v>0</v>
      </c>
      <c r="T639" s="252">
        <f>'RSD (DEA)'!BK130*X_RSD_HeatingDemand!$AA$9/'RSD (DEA)'!S130</f>
        <v>662.5</v>
      </c>
      <c r="U639" s="182">
        <f>'RSD (DEA)'!BI138</f>
        <v>18</v>
      </c>
      <c r="V639" s="252" t="str">
        <f t="shared" si="150"/>
        <v/>
      </c>
      <c r="W639" s="236">
        <f>'RSD (DEA)'!AM138</f>
        <v>31.536000000000001</v>
      </c>
    </row>
    <row r="640" spans="1:23" x14ac:dyDescent="0.3">
      <c r="A640" s="316"/>
      <c r="B640" s="235"/>
      <c r="C640" s="318"/>
      <c r="D640" s="235"/>
      <c r="E640" s="235"/>
      <c r="F640" s="242"/>
      <c r="G640" s="242"/>
      <c r="H640" s="235"/>
      <c r="I640" s="235"/>
      <c r="J640" s="182" t="str">
        <f>J639</f>
        <v>RSDAHT</v>
      </c>
      <c r="K640" s="235"/>
      <c r="L640" s="244" t="str">
        <f>$AA$11</f>
        <v>ACT</v>
      </c>
      <c r="M640" s="182" t="str">
        <f t="shared" si="148"/>
        <v/>
      </c>
      <c r="N640" s="182"/>
      <c r="O640" s="182"/>
      <c r="P640" s="183"/>
      <c r="Q640" s="183"/>
      <c r="R640" s="182"/>
      <c r="S640" s="182"/>
      <c r="T640" s="252"/>
      <c r="U640" s="182"/>
      <c r="V640" s="252">
        <f t="shared" si="150"/>
        <v>1</v>
      </c>
      <c r="W640" s="236"/>
    </row>
    <row r="641" spans="1:23" x14ac:dyDescent="0.3">
      <c r="A641" s="316"/>
      <c r="B641" s="235"/>
      <c r="C641" s="318"/>
      <c r="D641" s="235"/>
      <c r="E641" s="235"/>
      <c r="F641" s="242"/>
      <c r="G641" s="242"/>
      <c r="H641" s="235"/>
      <c r="I641" s="235"/>
      <c r="J641" s="182" t="str">
        <f>J640</f>
        <v>RSDAHT</v>
      </c>
      <c r="K641" s="235"/>
      <c r="L641" s="244" t="str">
        <f t="shared" si="152"/>
        <v>RSDELC</v>
      </c>
      <c r="M641" s="182" t="str">
        <f t="shared" si="148"/>
        <v/>
      </c>
      <c r="N641" s="182"/>
      <c r="O641" s="182"/>
      <c r="P641" s="183"/>
      <c r="Q641" s="183"/>
      <c r="R641" s="182"/>
      <c r="S641" s="182"/>
      <c r="T641" s="252"/>
      <c r="U641" s="182"/>
      <c r="V641" s="252">
        <f t="shared" si="150"/>
        <v>-1</v>
      </c>
      <c r="W641" s="236"/>
    </row>
    <row r="642" spans="1:23" x14ac:dyDescent="0.3">
      <c r="A642" s="316"/>
      <c r="B642" s="235" t="str">
        <f>'RSD (DEA)'!AJ139&amp;"_"&amp;'RSD (DEA)'!Z139</f>
        <v>RHHSC_HP_ELC_03</v>
      </c>
      <c r="C642" s="318"/>
      <c r="D642" s="235" t="str">
        <f t="shared" si="149"/>
        <v>RHHSC_HP_ELC_03</v>
      </c>
      <c r="E642" s="235" t="str">
        <f>'RSD (DEA)'!Q139</f>
        <v>Electric heat pumps</v>
      </c>
      <c r="F642" s="242" t="s">
        <v>239</v>
      </c>
      <c r="G642" s="242" t="s">
        <v>240</v>
      </c>
      <c r="H642" s="235">
        <f>'RSD (DEA)'!S139</f>
        <v>10</v>
      </c>
      <c r="I642" s="235" t="str">
        <f>IF(OR(RIGHT('RSD (DEA)'!AH139,3)="BIO",RIGHT(AD650,3)="BOA"),LEFT('RSD (DEA)'!AH139,3)&amp;"BFW",'RSD (DEA)'!AH139)</f>
        <v>RSDELC</v>
      </c>
      <c r="J642" s="182" t="str">
        <f>'RSD (DEA)'!AI139</f>
        <v>RSDAHT</v>
      </c>
      <c r="K642" s="235" t="str">
        <f>'RSD (DEA)'!AK139</f>
        <v>RWHSC</v>
      </c>
      <c r="L642" s="244"/>
      <c r="M642" s="182">
        <f t="shared" si="148"/>
        <v>2019</v>
      </c>
      <c r="N642" s="182">
        <f>'RSD (DEA)'!X139</f>
        <v>2020</v>
      </c>
      <c r="O642" s="182">
        <f>IF(N642&lt;2019,2019,N642)</f>
        <v>2020</v>
      </c>
      <c r="P642" s="183">
        <f>'RSD (DEA)'!AZ139</f>
        <v>3.35</v>
      </c>
      <c r="Q642" s="183">
        <f>'RSD (DEA)'!BA139</f>
        <v>3.4</v>
      </c>
      <c r="R642" s="182">
        <f>'RSD (DEA)'!BR139/'RSD (DEA)'!S139</f>
        <v>27.8</v>
      </c>
      <c r="S642" s="182">
        <f>'RSD (DEA)'!BS139/X_RSD_HeatingDemand!$AA$8</f>
        <v>0</v>
      </c>
      <c r="T642" s="252">
        <f>'RSD (DEA)'!BK131*X_RSD_HeatingDemand!$AA$9/'RSD (DEA)'!S131</f>
        <v>622.5</v>
      </c>
      <c r="U642" s="182">
        <f>'RSD (DEA)'!BI139</f>
        <v>18</v>
      </c>
      <c r="V642" s="252" t="str">
        <f t="shared" si="150"/>
        <v/>
      </c>
      <c r="W642" s="236">
        <f>'RSD (DEA)'!AM139</f>
        <v>31.536000000000001</v>
      </c>
    </row>
    <row r="643" spans="1:23" x14ac:dyDescent="0.3">
      <c r="A643" s="316"/>
      <c r="B643" s="235"/>
      <c r="C643" s="318"/>
      <c r="D643" s="235"/>
      <c r="E643" s="235"/>
      <c r="F643" s="242"/>
      <c r="G643" s="242"/>
      <c r="H643" s="235"/>
      <c r="I643" s="235"/>
      <c r="J643" s="182" t="str">
        <f>J642</f>
        <v>RSDAHT</v>
      </c>
      <c r="K643" s="235"/>
      <c r="L643" s="244" t="str">
        <f>$AA$11</f>
        <v>ACT</v>
      </c>
      <c r="M643" s="182" t="str">
        <f t="shared" si="148"/>
        <v/>
      </c>
      <c r="N643" s="182"/>
      <c r="O643" s="182"/>
      <c r="P643" s="183"/>
      <c r="Q643" s="183"/>
      <c r="R643" s="182"/>
      <c r="S643" s="182"/>
      <c r="T643" s="252"/>
      <c r="U643" s="182"/>
      <c r="V643" s="252">
        <f t="shared" si="150"/>
        <v>1</v>
      </c>
      <c r="W643" s="236"/>
    </row>
    <row r="644" spans="1:23" x14ac:dyDescent="0.3">
      <c r="A644" s="316"/>
      <c r="B644" s="235"/>
      <c r="C644" s="318"/>
      <c r="D644" s="235"/>
      <c r="E644" s="235"/>
      <c r="F644" s="242"/>
      <c r="G644" s="242"/>
      <c r="H644" s="235"/>
      <c r="I644" s="235"/>
      <c r="J644" s="182" t="str">
        <f>J643</f>
        <v>RSDAHT</v>
      </c>
      <c r="K644" s="235"/>
      <c r="L644" s="244" t="str">
        <f t="shared" si="151"/>
        <v>RSDELC</v>
      </c>
      <c r="M644" s="182" t="str">
        <f t="shared" si="148"/>
        <v/>
      </c>
      <c r="N644" s="182"/>
      <c r="O644" s="182"/>
      <c r="P644" s="183"/>
      <c r="Q644" s="183"/>
      <c r="R644" s="182"/>
      <c r="S644" s="182"/>
      <c r="T644" s="252"/>
      <c r="U644" s="182"/>
      <c r="V644" s="252">
        <f t="shared" si="150"/>
        <v>-1</v>
      </c>
      <c r="W644" s="236"/>
    </row>
    <row r="645" spans="1:23" x14ac:dyDescent="0.3">
      <c r="A645" s="316"/>
      <c r="B645" s="235" t="str">
        <f>'RSD (DEA)'!AJ140&amp;"_"&amp;'RSD (DEA)'!Z140</f>
        <v>RHHSC_HP_ELC_03</v>
      </c>
      <c r="C645" s="318"/>
      <c r="D645" s="235" t="str">
        <f t="shared" si="149"/>
        <v>RHHSC_HP_ELC_03</v>
      </c>
      <c r="E645" s="235" t="str">
        <f>'RSD (DEA)'!Q140</f>
        <v>Electric heat pumps</v>
      </c>
      <c r="F645" s="242" t="s">
        <v>239</v>
      </c>
      <c r="G645" s="242" t="s">
        <v>240</v>
      </c>
      <c r="H645" s="235">
        <f>'RSD (DEA)'!S140</f>
        <v>10</v>
      </c>
      <c r="I645" s="235" t="str">
        <f>IF(OR(RIGHT('RSD (DEA)'!AH140,3)="BIO",RIGHT(AD653,3)="BOA"),LEFT('RSD (DEA)'!AH140,3)&amp;"BFW",'RSD (DEA)'!AH140)</f>
        <v>RSDELC</v>
      </c>
      <c r="J645" s="182" t="str">
        <f>'RSD (DEA)'!AI140</f>
        <v>RSDAHT</v>
      </c>
      <c r="K645" s="235" t="str">
        <f>'RSD (DEA)'!AK140</f>
        <v>RWHSC</v>
      </c>
      <c r="L645" s="244"/>
      <c r="M645" s="182">
        <f t="shared" si="148"/>
        <v>2019</v>
      </c>
      <c r="N645" s="182">
        <f>'RSD (DEA)'!X140</f>
        <v>2030</v>
      </c>
      <c r="O645" s="182">
        <f>IF(N645&lt;2019,2019,N645)</f>
        <v>2030</v>
      </c>
      <c r="P645" s="183">
        <f>'RSD (DEA)'!AZ140</f>
        <v>3.55</v>
      </c>
      <c r="Q645" s="183">
        <f>'RSD (DEA)'!BA140</f>
        <v>3.6</v>
      </c>
      <c r="R645" s="182">
        <f>'RSD (DEA)'!BR140/'RSD (DEA)'!S140</f>
        <v>25.5</v>
      </c>
      <c r="S645" s="182">
        <f>'RSD (DEA)'!BS140/X_RSD_HeatingDemand!$AA$8</f>
        <v>0</v>
      </c>
      <c r="T645" s="252">
        <f>'RSD (DEA)'!BK132*X_RSD_HeatingDemand!$AA$9/'RSD (DEA)'!S132</f>
        <v>560</v>
      </c>
      <c r="U645" s="182">
        <f>'RSD (DEA)'!BI140</f>
        <v>18</v>
      </c>
      <c r="V645" s="252" t="str">
        <f t="shared" si="150"/>
        <v/>
      </c>
      <c r="W645" s="236">
        <f>'RSD (DEA)'!AM140</f>
        <v>31.536000000000001</v>
      </c>
    </row>
    <row r="646" spans="1:23" x14ac:dyDescent="0.3">
      <c r="A646" s="316"/>
      <c r="B646" s="235"/>
      <c r="C646" s="318"/>
      <c r="D646" s="235"/>
      <c r="E646" s="235"/>
      <c r="F646" s="242"/>
      <c r="G646" s="242"/>
      <c r="H646" s="235"/>
      <c r="I646" s="235"/>
      <c r="J646" s="182" t="str">
        <f>J645</f>
        <v>RSDAHT</v>
      </c>
      <c r="K646" s="235"/>
      <c r="L646" s="244" t="str">
        <f>$AA$11</f>
        <v>ACT</v>
      </c>
      <c r="M646" s="182" t="str">
        <f t="shared" ref="M646:M709" si="153">IF(ISBLANK(B646),"",$AA$14)</f>
        <v/>
      </c>
      <c r="N646" s="182"/>
      <c r="O646" s="182"/>
      <c r="P646" s="183"/>
      <c r="Q646" s="183"/>
      <c r="R646" s="182"/>
      <c r="S646" s="182"/>
      <c r="T646" s="252"/>
      <c r="U646" s="182"/>
      <c r="V646" s="252">
        <f t="shared" si="150"/>
        <v>1</v>
      </c>
      <c r="W646" s="236"/>
    </row>
    <row r="647" spans="1:23" x14ac:dyDescent="0.3">
      <c r="A647" s="316"/>
      <c r="B647" s="235"/>
      <c r="C647" s="318"/>
      <c r="D647" s="235"/>
      <c r="E647" s="235"/>
      <c r="F647" s="242"/>
      <c r="G647" s="242"/>
      <c r="H647" s="235"/>
      <c r="I647" s="235"/>
      <c r="J647" s="182" t="str">
        <f>J646</f>
        <v>RSDAHT</v>
      </c>
      <c r="K647" s="235"/>
      <c r="L647" s="244" t="str">
        <f t="shared" si="152"/>
        <v>RSDELC</v>
      </c>
      <c r="M647" s="182" t="str">
        <f t="shared" si="153"/>
        <v/>
      </c>
      <c r="N647" s="182"/>
      <c r="O647" s="182"/>
      <c r="P647" s="183"/>
      <c r="Q647" s="183"/>
      <c r="R647" s="182"/>
      <c r="S647" s="182"/>
      <c r="T647" s="252"/>
      <c r="U647" s="182"/>
      <c r="V647" s="252">
        <f t="shared" si="150"/>
        <v>-1</v>
      </c>
      <c r="W647" s="236"/>
    </row>
    <row r="648" spans="1:23" x14ac:dyDescent="0.3">
      <c r="A648" s="316"/>
      <c r="B648" s="235" t="str">
        <f>'RSD (DEA)'!AJ141&amp;"_"&amp;'RSD (DEA)'!Z141</f>
        <v>RHHSC_HP_ELC_03</v>
      </c>
      <c r="C648" s="318"/>
      <c r="D648" s="235" t="str">
        <f t="shared" ref="D648:D711" si="154">IF(B648=B647,LEFT(B648,LEN(B648)-2)&amp;IF(RIGHT(D647)+1&lt;9,"0"&amp;RIGHT(D647)+1,RIGHT(D647)+1),B648)</f>
        <v>RHHSC_HP_ELC_03</v>
      </c>
      <c r="E648" s="235" t="str">
        <f>'RSD (DEA)'!Q141</f>
        <v>Electric heat pumps</v>
      </c>
      <c r="F648" s="242" t="s">
        <v>239</v>
      </c>
      <c r="G648" s="242" t="s">
        <v>240</v>
      </c>
      <c r="H648" s="235">
        <f>'RSD (DEA)'!S141</f>
        <v>10</v>
      </c>
      <c r="I648" s="235" t="str">
        <f>IF(OR(RIGHT('RSD (DEA)'!AH141,3)="BIO",RIGHT(AD656,3)="BOA"),LEFT('RSD (DEA)'!AH141,3)&amp;"BFW",'RSD (DEA)'!AH141)</f>
        <v>RSDELC</v>
      </c>
      <c r="J648" s="182" t="str">
        <f>'RSD (DEA)'!AI141</f>
        <v>RSDAHT</v>
      </c>
      <c r="K648" s="235" t="str">
        <f>'RSD (DEA)'!AK141</f>
        <v>RWHSC</v>
      </c>
      <c r="L648" s="244"/>
      <c r="M648" s="182">
        <f t="shared" si="153"/>
        <v>2019</v>
      </c>
      <c r="N648" s="182">
        <f>'RSD (DEA)'!X141</f>
        <v>2050</v>
      </c>
      <c r="O648" s="182">
        <f>IF(N648&lt;2019,2019,N648)</f>
        <v>2050</v>
      </c>
      <c r="P648" s="183">
        <f>'RSD (DEA)'!AZ141</f>
        <v>3.7</v>
      </c>
      <c r="Q648" s="183">
        <f>'RSD (DEA)'!BA141</f>
        <v>3.8</v>
      </c>
      <c r="R648" s="182">
        <f>'RSD (DEA)'!BR141/'RSD (DEA)'!S141</f>
        <v>23.9</v>
      </c>
      <c r="S648" s="182">
        <f>'RSD (DEA)'!BS141/X_RSD_HeatingDemand!$AA$8</f>
        <v>0</v>
      </c>
      <c r="T648" s="252">
        <f>'RSD (DEA)'!BK133*X_RSD_HeatingDemand!$AA$9/'RSD (DEA)'!S133</f>
        <v>505</v>
      </c>
      <c r="U648" s="182">
        <f>'RSD (DEA)'!BI141</f>
        <v>18</v>
      </c>
      <c r="V648" s="252" t="str">
        <f t="shared" si="150"/>
        <v/>
      </c>
      <c r="W648" s="236">
        <f>'RSD (DEA)'!AM141</f>
        <v>31.536000000000001</v>
      </c>
    </row>
    <row r="649" spans="1:23" x14ac:dyDescent="0.3">
      <c r="A649" s="316"/>
      <c r="B649" s="235"/>
      <c r="C649" s="318"/>
      <c r="D649" s="235"/>
      <c r="E649" s="235"/>
      <c r="F649" s="242"/>
      <c r="G649" s="242"/>
      <c r="H649" s="235"/>
      <c r="I649" s="235"/>
      <c r="J649" s="182" t="str">
        <f>J648</f>
        <v>RSDAHT</v>
      </c>
      <c r="K649" s="235"/>
      <c r="L649" s="244" t="str">
        <f>$AA$11</f>
        <v>ACT</v>
      </c>
      <c r="M649" s="182" t="str">
        <f t="shared" si="153"/>
        <v/>
      </c>
      <c r="N649" s="182"/>
      <c r="O649" s="182"/>
      <c r="P649" s="183"/>
      <c r="Q649" s="183"/>
      <c r="R649" s="182"/>
      <c r="S649" s="182"/>
      <c r="T649" s="252"/>
      <c r="U649" s="182"/>
      <c r="V649" s="252">
        <f t="shared" si="150"/>
        <v>1</v>
      </c>
      <c r="W649" s="236"/>
    </row>
    <row r="650" spans="1:23" x14ac:dyDescent="0.3">
      <c r="A650" s="316"/>
      <c r="B650" s="235"/>
      <c r="C650" s="318"/>
      <c r="D650" s="235"/>
      <c r="E650" s="235"/>
      <c r="F650" s="242"/>
      <c r="G650" s="242"/>
      <c r="H650" s="235"/>
      <c r="I650" s="235"/>
      <c r="J650" s="182" t="str">
        <f>J649</f>
        <v>RSDAHT</v>
      </c>
      <c r="K650" s="235"/>
      <c r="L650" s="244" t="str">
        <f t="shared" si="151"/>
        <v>RSDELC</v>
      </c>
      <c r="M650" s="182" t="str">
        <f t="shared" si="153"/>
        <v/>
      </c>
      <c r="N650" s="182"/>
      <c r="O650" s="182"/>
      <c r="P650" s="183"/>
      <c r="Q650" s="183"/>
      <c r="R650" s="182"/>
      <c r="S650" s="182"/>
      <c r="T650" s="252"/>
      <c r="U650" s="182"/>
      <c r="V650" s="252">
        <f t="shared" si="150"/>
        <v>-1</v>
      </c>
      <c r="W650" s="236"/>
    </row>
    <row r="651" spans="1:23" x14ac:dyDescent="0.3">
      <c r="A651" s="316"/>
      <c r="B651" s="235" t="str">
        <f>'RSD (DEA)'!AJ142&amp;"_"&amp;'RSD (DEA)'!Z142</f>
        <v>RHHSA_HP_ELC_04</v>
      </c>
      <c r="C651" s="318"/>
      <c r="D651" s="235" t="str">
        <f t="shared" si="154"/>
        <v>RHHSA_HP_ELC_04</v>
      </c>
      <c r="E651" s="235" t="str">
        <f>'RSD (DEA)'!Q142</f>
        <v>Electric heat pumps</v>
      </c>
      <c r="F651" s="242" t="s">
        <v>239</v>
      </c>
      <c r="G651" s="242" t="s">
        <v>240</v>
      </c>
      <c r="H651" s="235">
        <f>'RSD (DEA)'!S142</f>
        <v>4</v>
      </c>
      <c r="I651" s="235" t="str">
        <f>IF(OR(RIGHT('RSD (DEA)'!AH142,3)="BIO",RIGHT(AD659,3)="BOA"),LEFT('RSD (DEA)'!AH142,3)&amp;"BFW",'RSD (DEA)'!AH142)</f>
        <v>RSDELC</v>
      </c>
      <c r="J651" s="182" t="str">
        <f>'RSD (DEA)'!AI142</f>
        <v>RSDAHT</v>
      </c>
      <c r="K651" s="235" t="str">
        <f>'RSD (DEA)'!AK142</f>
        <v>RWHSA</v>
      </c>
      <c r="L651" s="244"/>
      <c r="M651" s="182">
        <f t="shared" si="153"/>
        <v>2019</v>
      </c>
      <c r="N651" s="182">
        <f>'RSD (DEA)'!X142</f>
        <v>2015</v>
      </c>
      <c r="O651" s="182">
        <f>IF(N651&lt;2019,2019,N651)</f>
        <v>2019</v>
      </c>
      <c r="P651" s="183">
        <f>'RSD (DEA)'!AZ142</f>
        <v>2.85</v>
      </c>
      <c r="Q651" s="183">
        <f>'RSD (DEA)'!BA142</f>
        <v>3</v>
      </c>
      <c r="R651" s="182">
        <f>'RSD (DEA)'!BR142/'RSD (DEA)'!S142</f>
        <v>72.75</v>
      </c>
      <c r="S651" s="182">
        <f>'RSD (DEA)'!BS142/X_RSD_HeatingDemand!$AA$8</f>
        <v>0</v>
      </c>
      <c r="T651" s="252">
        <f>'RSD (DEA)'!BK134*X_RSD_HeatingDemand!$AA$9/'RSD (DEA)'!S134</f>
        <v>593.75</v>
      </c>
      <c r="U651" s="182">
        <f>'RSD (DEA)'!BI142</f>
        <v>18</v>
      </c>
      <c r="V651" s="252" t="str">
        <f t="shared" si="150"/>
        <v/>
      </c>
      <c r="W651" s="236">
        <f>'RSD (DEA)'!AM142</f>
        <v>31.536000000000001</v>
      </c>
    </row>
    <row r="652" spans="1:23" x14ac:dyDescent="0.3">
      <c r="A652" s="316"/>
      <c r="B652" s="235"/>
      <c r="C652" s="318"/>
      <c r="D652" s="235"/>
      <c r="E652" s="235"/>
      <c r="F652" s="242"/>
      <c r="G652" s="242"/>
      <c r="H652" s="235"/>
      <c r="I652" s="235"/>
      <c r="J652" s="182" t="str">
        <f>J651</f>
        <v>RSDAHT</v>
      </c>
      <c r="K652" s="235"/>
      <c r="L652" s="244" t="str">
        <f>$AA$11</f>
        <v>ACT</v>
      </c>
      <c r="M652" s="182" t="str">
        <f t="shared" si="153"/>
        <v/>
      </c>
      <c r="N652" s="182"/>
      <c r="O652" s="182"/>
      <c r="P652" s="183"/>
      <c r="Q652" s="183"/>
      <c r="R652" s="182"/>
      <c r="S652" s="182"/>
      <c r="T652" s="252"/>
      <c r="U652" s="182"/>
      <c r="V652" s="252">
        <f t="shared" si="150"/>
        <v>1</v>
      </c>
      <c r="W652" s="236"/>
    </row>
    <row r="653" spans="1:23" x14ac:dyDescent="0.3">
      <c r="A653" s="316"/>
      <c r="B653" s="235"/>
      <c r="C653" s="318"/>
      <c r="D653" s="235"/>
      <c r="E653" s="235"/>
      <c r="F653" s="242"/>
      <c r="G653" s="242"/>
      <c r="H653" s="235"/>
      <c r="I653" s="235"/>
      <c r="J653" s="182" t="str">
        <f>J652</f>
        <v>RSDAHT</v>
      </c>
      <c r="K653" s="235"/>
      <c r="L653" s="244" t="str">
        <f t="shared" si="152"/>
        <v>RSDELC</v>
      </c>
      <c r="M653" s="182" t="str">
        <f t="shared" si="153"/>
        <v/>
      </c>
      <c r="N653" s="182"/>
      <c r="O653" s="182"/>
      <c r="P653" s="183"/>
      <c r="Q653" s="183"/>
      <c r="R653" s="182"/>
      <c r="S653" s="182"/>
      <c r="T653" s="252"/>
      <c r="U653" s="182"/>
      <c r="V653" s="252">
        <f t="shared" si="150"/>
        <v>-1</v>
      </c>
      <c r="W653" s="236"/>
    </row>
    <row r="654" spans="1:23" x14ac:dyDescent="0.3">
      <c r="A654" s="316"/>
      <c r="B654" s="235" t="str">
        <f>'RSD (DEA)'!AJ143&amp;"_"&amp;'RSD (DEA)'!Z143</f>
        <v>RHHSA_HP_ELC_04</v>
      </c>
      <c r="C654" s="318"/>
      <c r="D654" s="235" t="str">
        <f t="shared" si="154"/>
        <v>RHHSA_HP_ELC_04</v>
      </c>
      <c r="E654" s="235" t="str">
        <f>'RSD (DEA)'!Q143</f>
        <v>Electric heat pumps</v>
      </c>
      <c r="F654" s="242" t="s">
        <v>239</v>
      </c>
      <c r="G654" s="242" t="s">
        <v>240</v>
      </c>
      <c r="H654" s="235">
        <f>'RSD (DEA)'!S143</f>
        <v>4</v>
      </c>
      <c r="I654" s="235" t="str">
        <f>IF(OR(RIGHT('RSD (DEA)'!AH143,3)="BIO",RIGHT(AD662,3)="BOA"),LEFT('RSD (DEA)'!AH143,3)&amp;"BFW",'RSD (DEA)'!AH143)</f>
        <v>RSDELC</v>
      </c>
      <c r="J654" s="182" t="str">
        <f>'RSD (DEA)'!AI143</f>
        <v>RSDAHT</v>
      </c>
      <c r="K654" s="235" t="str">
        <f>'RSD (DEA)'!AK143</f>
        <v>RWHSA</v>
      </c>
      <c r="L654" s="244"/>
      <c r="M654" s="182">
        <f t="shared" si="153"/>
        <v>2019</v>
      </c>
      <c r="N654" s="182">
        <f>'RSD (DEA)'!X143</f>
        <v>2020</v>
      </c>
      <c r="O654" s="182">
        <f>IF(N654&lt;2019,2019,N654)</f>
        <v>2020</v>
      </c>
      <c r="P654" s="183">
        <f>'RSD (DEA)'!AZ143</f>
        <v>3.05</v>
      </c>
      <c r="Q654" s="183">
        <f>'RSD (DEA)'!BA143</f>
        <v>3.2</v>
      </c>
      <c r="R654" s="182">
        <f>'RSD (DEA)'!BR143/'RSD (DEA)'!S143</f>
        <v>69.5</v>
      </c>
      <c r="S654" s="182">
        <f>'RSD (DEA)'!BS143/X_RSD_HeatingDemand!$AA$8</f>
        <v>0</v>
      </c>
      <c r="T654" s="252">
        <f>'RSD (DEA)'!BK135*X_RSD_HeatingDemand!$AA$9/'RSD (DEA)'!S135</f>
        <v>556.25</v>
      </c>
      <c r="U654" s="182">
        <f>'RSD (DEA)'!BI143</f>
        <v>18</v>
      </c>
      <c r="V654" s="252" t="str">
        <f t="shared" si="150"/>
        <v/>
      </c>
      <c r="W654" s="236">
        <f>'RSD (DEA)'!AM143</f>
        <v>31.536000000000001</v>
      </c>
    </row>
    <row r="655" spans="1:23" x14ac:dyDescent="0.3">
      <c r="A655" s="316"/>
      <c r="B655" s="235"/>
      <c r="C655" s="318"/>
      <c r="D655" s="235"/>
      <c r="E655" s="235"/>
      <c r="F655" s="242"/>
      <c r="G655" s="242"/>
      <c r="H655" s="235"/>
      <c r="I655" s="235"/>
      <c r="J655" s="182" t="str">
        <f>J654</f>
        <v>RSDAHT</v>
      </c>
      <c r="K655" s="235"/>
      <c r="L655" s="244" t="str">
        <f>$AA$11</f>
        <v>ACT</v>
      </c>
      <c r="M655" s="182" t="str">
        <f t="shared" si="153"/>
        <v/>
      </c>
      <c r="N655" s="182"/>
      <c r="O655" s="182"/>
      <c r="P655" s="183"/>
      <c r="Q655" s="183"/>
      <c r="R655" s="182"/>
      <c r="S655" s="182"/>
      <c r="T655" s="252"/>
      <c r="U655" s="182"/>
      <c r="V655" s="252">
        <f t="shared" si="150"/>
        <v>1</v>
      </c>
      <c r="W655" s="236"/>
    </row>
    <row r="656" spans="1:23" x14ac:dyDescent="0.3">
      <c r="A656" s="316"/>
      <c r="B656" s="235"/>
      <c r="C656" s="318"/>
      <c r="D656" s="235"/>
      <c r="E656" s="235"/>
      <c r="F656" s="242"/>
      <c r="G656" s="242"/>
      <c r="H656" s="235"/>
      <c r="I656" s="235"/>
      <c r="J656" s="182" t="str">
        <f>J655</f>
        <v>RSDAHT</v>
      </c>
      <c r="K656" s="235"/>
      <c r="L656" s="244" t="str">
        <f t="shared" si="151"/>
        <v>RSDELC</v>
      </c>
      <c r="M656" s="182" t="str">
        <f t="shared" si="153"/>
        <v/>
      </c>
      <c r="N656" s="182"/>
      <c r="O656" s="182"/>
      <c r="P656" s="183"/>
      <c r="Q656" s="183"/>
      <c r="R656" s="182"/>
      <c r="S656" s="182"/>
      <c r="T656" s="252"/>
      <c r="U656" s="182"/>
      <c r="V656" s="252">
        <f t="shared" si="150"/>
        <v>-1</v>
      </c>
      <c r="W656" s="236"/>
    </row>
    <row r="657" spans="1:23" x14ac:dyDescent="0.3">
      <c r="A657" s="316"/>
      <c r="B657" s="235" t="str">
        <f>'RSD (DEA)'!AJ144&amp;"_"&amp;'RSD (DEA)'!Z144</f>
        <v>RHHSA_HP_ELC_04</v>
      </c>
      <c r="C657" s="318"/>
      <c r="D657" s="235" t="str">
        <f t="shared" si="154"/>
        <v>RHHSA_HP_ELC_04</v>
      </c>
      <c r="E657" s="235" t="str">
        <f>'RSD (DEA)'!Q144</f>
        <v>Electric heat pumps</v>
      </c>
      <c r="F657" s="242" t="s">
        <v>239</v>
      </c>
      <c r="G657" s="242" t="s">
        <v>240</v>
      </c>
      <c r="H657" s="235">
        <f>'RSD (DEA)'!S144</f>
        <v>4</v>
      </c>
      <c r="I657" s="235" t="str">
        <f>IF(OR(RIGHT('RSD (DEA)'!AH144,3)="BIO",RIGHT(AD665,3)="BOA"),LEFT('RSD (DEA)'!AH144,3)&amp;"BFW",'RSD (DEA)'!AH144)</f>
        <v>RSDELC</v>
      </c>
      <c r="J657" s="182" t="str">
        <f>'RSD (DEA)'!AI144</f>
        <v>RSDAHT</v>
      </c>
      <c r="K657" s="235" t="str">
        <f>'RSD (DEA)'!AK144</f>
        <v>RWHSA</v>
      </c>
      <c r="L657" s="244"/>
      <c r="M657" s="182">
        <f t="shared" si="153"/>
        <v>2019</v>
      </c>
      <c r="N657" s="182">
        <f>'RSD (DEA)'!X144</f>
        <v>2030</v>
      </c>
      <c r="O657" s="182">
        <f>IF(N657&lt;2019,2019,N657)</f>
        <v>2030</v>
      </c>
      <c r="P657" s="183">
        <f>'RSD (DEA)'!AZ144</f>
        <v>3.2</v>
      </c>
      <c r="Q657" s="183">
        <f>'RSD (DEA)'!BA144</f>
        <v>3.4</v>
      </c>
      <c r="R657" s="182">
        <f>'RSD (DEA)'!BR144/'RSD (DEA)'!S144</f>
        <v>63.75</v>
      </c>
      <c r="S657" s="182">
        <f>'RSD (DEA)'!BS144/X_RSD_HeatingDemand!$AA$8</f>
        <v>0</v>
      </c>
      <c r="T657" s="252">
        <f>'RSD (DEA)'!BK136*X_RSD_HeatingDemand!$AA$9/'RSD (DEA)'!S136</f>
        <v>500</v>
      </c>
      <c r="U657" s="182">
        <f>'RSD (DEA)'!BI144</f>
        <v>18</v>
      </c>
      <c r="V657" s="252" t="str">
        <f t="shared" si="150"/>
        <v/>
      </c>
      <c r="W657" s="236">
        <f>'RSD (DEA)'!AM144</f>
        <v>31.536000000000001</v>
      </c>
    </row>
    <row r="658" spans="1:23" x14ac:dyDescent="0.3">
      <c r="A658" s="316"/>
      <c r="B658" s="235"/>
      <c r="C658" s="318"/>
      <c r="D658" s="235"/>
      <c r="E658" s="235"/>
      <c r="F658" s="242"/>
      <c r="G658" s="242"/>
      <c r="H658" s="235"/>
      <c r="I658" s="235"/>
      <c r="J658" s="182" t="str">
        <f>J657</f>
        <v>RSDAHT</v>
      </c>
      <c r="K658" s="235"/>
      <c r="L658" s="244" t="str">
        <f>$AA$11</f>
        <v>ACT</v>
      </c>
      <c r="M658" s="182" t="str">
        <f t="shared" si="153"/>
        <v/>
      </c>
      <c r="N658" s="182"/>
      <c r="O658" s="182"/>
      <c r="P658" s="183"/>
      <c r="Q658" s="183"/>
      <c r="R658" s="182"/>
      <c r="S658" s="182"/>
      <c r="T658" s="252"/>
      <c r="U658" s="182"/>
      <c r="V658" s="252">
        <f t="shared" si="150"/>
        <v>1</v>
      </c>
      <c r="W658" s="236"/>
    </row>
    <row r="659" spans="1:23" x14ac:dyDescent="0.3">
      <c r="A659" s="316"/>
      <c r="B659" s="235"/>
      <c r="C659" s="318"/>
      <c r="D659" s="235"/>
      <c r="E659" s="235"/>
      <c r="F659" s="242"/>
      <c r="G659" s="242"/>
      <c r="H659" s="235"/>
      <c r="I659" s="235"/>
      <c r="J659" s="182" t="str">
        <f>J658</f>
        <v>RSDAHT</v>
      </c>
      <c r="K659" s="235"/>
      <c r="L659" s="244" t="str">
        <f t="shared" si="152"/>
        <v>RSDELC</v>
      </c>
      <c r="M659" s="182" t="str">
        <f t="shared" si="153"/>
        <v/>
      </c>
      <c r="N659" s="182"/>
      <c r="O659" s="182"/>
      <c r="P659" s="183"/>
      <c r="Q659" s="183"/>
      <c r="R659" s="182"/>
      <c r="S659" s="182"/>
      <c r="T659" s="252"/>
      <c r="U659" s="182"/>
      <c r="V659" s="252">
        <f t="shared" si="150"/>
        <v>-1</v>
      </c>
      <c r="W659" s="236"/>
    </row>
    <row r="660" spans="1:23" x14ac:dyDescent="0.3">
      <c r="A660" s="316"/>
      <c r="B660" s="235" t="str">
        <f>'RSD (DEA)'!AJ145&amp;"_"&amp;'RSD (DEA)'!Z145</f>
        <v>RHHSA_HP_ELC_04</v>
      </c>
      <c r="C660" s="318"/>
      <c r="D660" s="235" t="str">
        <f t="shared" si="154"/>
        <v>RHHSA_HP_ELC_04</v>
      </c>
      <c r="E660" s="235" t="str">
        <f>'RSD (DEA)'!Q145</f>
        <v>Electric heat pumps</v>
      </c>
      <c r="F660" s="242" t="s">
        <v>239</v>
      </c>
      <c r="G660" s="242" t="s">
        <v>240</v>
      </c>
      <c r="H660" s="235">
        <f>'RSD (DEA)'!S145</f>
        <v>4</v>
      </c>
      <c r="I660" s="235" t="str">
        <f>IF(OR(RIGHT('RSD (DEA)'!AH145,3)="BIO",RIGHT(AD668,3)="BOA"),LEFT('RSD (DEA)'!AH145,3)&amp;"BFW",'RSD (DEA)'!AH145)</f>
        <v>RSDELC</v>
      </c>
      <c r="J660" s="182" t="str">
        <f>'RSD (DEA)'!AI145</f>
        <v>RSDAHT</v>
      </c>
      <c r="K660" s="235" t="str">
        <f>'RSD (DEA)'!AK145</f>
        <v>RWHSA</v>
      </c>
      <c r="L660" s="244"/>
      <c r="M660" s="182">
        <f t="shared" si="153"/>
        <v>2019</v>
      </c>
      <c r="N660" s="182">
        <f>'RSD (DEA)'!X145</f>
        <v>2050</v>
      </c>
      <c r="O660" s="182">
        <f>IF(N660&lt;2019,2019,N660)</f>
        <v>2050</v>
      </c>
      <c r="P660" s="183">
        <f>'RSD (DEA)'!AZ145</f>
        <v>3.35</v>
      </c>
      <c r="Q660" s="183">
        <f>'RSD (DEA)'!BA145</f>
        <v>3.55</v>
      </c>
      <c r="R660" s="182">
        <f>'RSD (DEA)'!BR145/'RSD (DEA)'!S145</f>
        <v>59.75</v>
      </c>
      <c r="S660" s="182">
        <f>'RSD (DEA)'!BS145/X_RSD_HeatingDemand!$AA$8</f>
        <v>0</v>
      </c>
      <c r="T660" s="252">
        <f>'RSD (DEA)'!BK137*X_RSD_HeatingDemand!$AA$9/'RSD (DEA)'!S137</f>
        <v>450</v>
      </c>
      <c r="U660" s="182">
        <f>'RSD (DEA)'!BI145</f>
        <v>18</v>
      </c>
      <c r="V660" s="252" t="str">
        <f t="shared" ref="V660:V723" si="155">IF(L660="ACT",1,IF(LEFT(L660,3)="RSD",-1,""))</f>
        <v/>
      </c>
      <c r="W660" s="236">
        <f>'RSD (DEA)'!AM145</f>
        <v>31.536000000000001</v>
      </c>
    </row>
    <row r="661" spans="1:23" x14ac:dyDescent="0.3">
      <c r="A661" s="316"/>
      <c r="B661" s="235"/>
      <c r="C661" s="318"/>
      <c r="D661" s="235"/>
      <c r="E661" s="235"/>
      <c r="F661" s="242"/>
      <c r="G661" s="242"/>
      <c r="H661" s="235"/>
      <c r="I661" s="235"/>
      <c r="J661" s="182" t="str">
        <f>J660</f>
        <v>RSDAHT</v>
      </c>
      <c r="K661" s="235"/>
      <c r="L661" s="244" t="str">
        <f>$AA$11</f>
        <v>ACT</v>
      </c>
      <c r="M661" s="182" t="str">
        <f t="shared" si="153"/>
        <v/>
      </c>
      <c r="N661" s="182"/>
      <c r="O661" s="182"/>
      <c r="P661" s="183"/>
      <c r="Q661" s="183"/>
      <c r="R661" s="182"/>
      <c r="S661" s="182"/>
      <c r="T661" s="252"/>
      <c r="U661" s="182"/>
      <c r="V661" s="252">
        <f t="shared" si="155"/>
        <v>1</v>
      </c>
      <c r="W661" s="236"/>
    </row>
    <row r="662" spans="1:23" x14ac:dyDescent="0.3">
      <c r="A662" s="316"/>
      <c r="B662" s="235"/>
      <c r="C662" s="318"/>
      <c r="D662" s="235"/>
      <c r="E662" s="235"/>
      <c r="F662" s="242"/>
      <c r="G662" s="242"/>
      <c r="H662" s="235"/>
      <c r="I662" s="235"/>
      <c r="J662" s="182" t="str">
        <f>J661</f>
        <v>RSDAHT</v>
      </c>
      <c r="K662" s="235"/>
      <c r="L662" s="244" t="str">
        <f t="shared" si="151"/>
        <v>RSDELC</v>
      </c>
      <c r="M662" s="182" t="str">
        <f t="shared" si="153"/>
        <v/>
      </c>
      <c r="N662" s="182"/>
      <c r="O662" s="182"/>
      <c r="P662" s="183"/>
      <c r="Q662" s="183"/>
      <c r="R662" s="182"/>
      <c r="S662" s="182"/>
      <c r="T662" s="252"/>
      <c r="U662" s="182"/>
      <c r="V662" s="252">
        <f t="shared" si="155"/>
        <v>-1</v>
      </c>
      <c r="W662" s="236"/>
    </row>
    <row r="663" spans="1:23" x14ac:dyDescent="0.3">
      <c r="A663" s="316"/>
      <c r="B663" s="235" t="str">
        <f>'RSD (DEA)'!AJ146&amp;"_"&amp;'RSD (DEA)'!Z146</f>
        <v>RHAPC_HP_ELC_05</v>
      </c>
      <c r="C663" s="318"/>
      <c r="D663" s="235" t="str">
        <f t="shared" si="154"/>
        <v>RHAPC_HP_ELC_05</v>
      </c>
      <c r="E663" s="235" t="str">
        <f>'RSD (DEA)'!Q146</f>
        <v>Electric heat pumps</v>
      </c>
      <c r="F663" s="242" t="s">
        <v>239</v>
      </c>
      <c r="G663" s="242" t="s">
        <v>240</v>
      </c>
      <c r="H663" s="235">
        <f>'RSD (DEA)'!S146</f>
        <v>400</v>
      </c>
      <c r="I663" s="235" t="str">
        <f>IF(OR(RIGHT('RSD (DEA)'!AH146,3)="BIO",RIGHT(AD671,3)="BOA"),LEFT('RSD (DEA)'!AH146,3)&amp;"BFW",'RSD (DEA)'!AH146)</f>
        <v>RSDELC</v>
      </c>
      <c r="J663" s="182" t="str">
        <f>'RSD (DEA)'!AI146</f>
        <v>RSDAHT</v>
      </c>
      <c r="K663" s="235" t="str">
        <f>'RSD (DEA)'!AK146</f>
        <v>RWAPC</v>
      </c>
      <c r="L663" s="244"/>
      <c r="M663" s="182">
        <f t="shared" si="153"/>
        <v>2019</v>
      </c>
      <c r="N663" s="182">
        <f>'RSD (DEA)'!X146</f>
        <v>2015</v>
      </c>
      <c r="O663" s="182">
        <f>IF(N663&lt;2019,2019,N663)</f>
        <v>2019</v>
      </c>
      <c r="P663" s="183">
        <f>'RSD (DEA)'!AZ146</f>
        <v>3.65</v>
      </c>
      <c r="Q663" s="183">
        <f>'RSD (DEA)'!BA146</f>
        <v>3.8</v>
      </c>
      <c r="R663" s="182">
        <f>'RSD (DEA)'!BR146/'RSD (DEA)'!S146</f>
        <v>4.0999999999999996</v>
      </c>
      <c r="S663" s="182">
        <f>'RSD (DEA)'!BS146/X_RSD_HeatingDemand!$AA$8</f>
        <v>0.12291666666666666</v>
      </c>
      <c r="T663" s="252">
        <f>'RSD (DEA)'!BK138*X_RSD_HeatingDemand!$AA$9/'RSD (DEA)'!S138</f>
        <v>1000</v>
      </c>
      <c r="U663" s="182">
        <f>'RSD (DEA)'!BI146</f>
        <v>20</v>
      </c>
      <c r="V663" s="252" t="str">
        <f t="shared" si="155"/>
        <v/>
      </c>
      <c r="W663" s="236">
        <f>'RSD (DEA)'!AM146</f>
        <v>31.536000000000001</v>
      </c>
    </row>
    <row r="664" spans="1:23" x14ac:dyDescent="0.3">
      <c r="A664" s="316"/>
      <c r="B664" s="235"/>
      <c r="C664" s="318"/>
      <c r="D664" s="235"/>
      <c r="E664" s="235"/>
      <c r="F664" s="242"/>
      <c r="G664" s="242"/>
      <c r="H664" s="235"/>
      <c r="I664" s="235"/>
      <c r="J664" s="182" t="str">
        <f>J663</f>
        <v>RSDAHT</v>
      </c>
      <c r="K664" s="235"/>
      <c r="L664" s="244" t="str">
        <f>$AA$11</f>
        <v>ACT</v>
      </c>
      <c r="M664" s="182" t="str">
        <f t="shared" si="153"/>
        <v/>
      </c>
      <c r="N664" s="182"/>
      <c r="O664" s="182"/>
      <c r="P664" s="183"/>
      <c r="Q664" s="183"/>
      <c r="R664" s="182"/>
      <c r="S664" s="182"/>
      <c r="T664" s="252"/>
      <c r="U664" s="182"/>
      <c r="V664" s="252">
        <f t="shared" si="155"/>
        <v>1</v>
      </c>
      <c r="W664" s="236"/>
    </row>
    <row r="665" spans="1:23" x14ac:dyDescent="0.3">
      <c r="A665" s="316"/>
      <c r="B665" s="235"/>
      <c r="C665" s="318"/>
      <c r="D665" s="235"/>
      <c r="E665" s="235"/>
      <c r="F665" s="242"/>
      <c r="G665" s="242"/>
      <c r="H665" s="235"/>
      <c r="I665" s="235"/>
      <c r="J665" s="182" t="str">
        <f>J664</f>
        <v>RSDAHT</v>
      </c>
      <c r="K665" s="235"/>
      <c r="L665" s="244" t="str">
        <f t="shared" si="152"/>
        <v>RSDELC</v>
      </c>
      <c r="M665" s="182" t="str">
        <f t="shared" si="153"/>
        <v/>
      </c>
      <c r="N665" s="182"/>
      <c r="O665" s="182"/>
      <c r="P665" s="183"/>
      <c r="Q665" s="183"/>
      <c r="R665" s="182"/>
      <c r="S665" s="182"/>
      <c r="T665" s="252"/>
      <c r="U665" s="182"/>
      <c r="V665" s="252">
        <f t="shared" si="155"/>
        <v>-1</v>
      </c>
      <c r="W665" s="236"/>
    </row>
    <row r="666" spans="1:23" x14ac:dyDescent="0.3">
      <c r="A666" s="316"/>
      <c r="B666" s="235" t="str">
        <f>'RSD (DEA)'!AJ147&amp;"_"&amp;'RSD (DEA)'!Z147</f>
        <v>RHAPC_HP_ELC_05</v>
      </c>
      <c r="C666" s="318"/>
      <c r="D666" s="235" t="str">
        <f t="shared" si="154"/>
        <v>RHAPC_HP_ELC_05</v>
      </c>
      <c r="E666" s="235" t="str">
        <f>'RSD (DEA)'!Q147</f>
        <v>Electric heat pumps</v>
      </c>
      <c r="F666" s="242" t="s">
        <v>239</v>
      </c>
      <c r="G666" s="242" t="s">
        <v>240</v>
      </c>
      <c r="H666" s="235">
        <f>'RSD (DEA)'!S147</f>
        <v>400</v>
      </c>
      <c r="I666" s="235" t="str">
        <f>IF(OR(RIGHT('RSD (DEA)'!AH147,3)="BIO",RIGHT(AD674,3)="BOA"),LEFT('RSD (DEA)'!AH147,3)&amp;"BFW",'RSD (DEA)'!AH147)</f>
        <v>RSDELC</v>
      </c>
      <c r="J666" s="182" t="str">
        <f>'RSD (DEA)'!AI147</f>
        <v>RSDAHT</v>
      </c>
      <c r="K666" s="235" t="str">
        <f>'RSD (DEA)'!AK147</f>
        <v>RWAPC</v>
      </c>
      <c r="L666" s="244"/>
      <c r="M666" s="182">
        <f t="shared" si="153"/>
        <v>2019</v>
      </c>
      <c r="N666" s="182">
        <f>'RSD (DEA)'!X147</f>
        <v>2020</v>
      </c>
      <c r="O666" s="182">
        <f>IF(N666&lt;2019,2019,N666)</f>
        <v>2020</v>
      </c>
      <c r="P666" s="183">
        <f>'RSD (DEA)'!AZ147</f>
        <v>3.75</v>
      </c>
      <c r="Q666" s="183">
        <f>'RSD (DEA)'!BA147</f>
        <v>3.9</v>
      </c>
      <c r="R666" s="182">
        <f>'RSD (DEA)'!BR147/'RSD (DEA)'!S147</f>
        <v>4.125</v>
      </c>
      <c r="S666" s="182">
        <f>'RSD (DEA)'!BS147/X_RSD_HeatingDemand!$AA$8</f>
        <v>0.12291666666666666</v>
      </c>
      <c r="T666" s="252">
        <f>'RSD (DEA)'!BK139*X_RSD_HeatingDemand!$AA$9/'RSD (DEA)'!S139</f>
        <v>900</v>
      </c>
      <c r="U666" s="182">
        <f>'RSD (DEA)'!BI147</f>
        <v>20</v>
      </c>
      <c r="V666" s="252" t="str">
        <f t="shared" si="155"/>
        <v/>
      </c>
      <c r="W666" s="236">
        <f>'RSD (DEA)'!AM147</f>
        <v>31.536000000000001</v>
      </c>
    </row>
    <row r="667" spans="1:23" x14ac:dyDescent="0.3">
      <c r="A667" s="316"/>
      <c r="B667" s="235"/>
      <c r="C667" s="318"/>
      <c r="D667" s="235"/>
      <c r="E667" s="235"/>
      <c r="F667" s="242"/>
      <c r="G667" s="242"/>
      <c r="H667" s="235"/>
      <c r="I667" s="235"/>
      <c r="J667" s="182" t="str">
        <f>J666</f>
        <v>RSDAHT</v>
      </c>
      <c r="K667" s="235"/>
      <c r="L667" s="244" t="str">
        <f>$AA$11</f>
        <v>ACT</v>
      </c>
      <c r="M667" s="182" t="str">
        <f t="shared" si="153"/>
        <v/>
      </c>
      <c r="N667" s="182"/>
      <c r="O667" s="182"/>
      <c r="P667" s="183"/>
      <c r="Q667" s="183"/>
      <c r="R667" s="182"/>
      <c r="S667" s="182"/>
      <c r="T667" s="252"/>
      <c r="U667" s="182"/>
      <c r="V667" s="252">
        <f t="shared" si="155"/>
        <v>1</v>
      </c>
      <c r="W667" s="236"/>
    </row>
    <row r="668" spans="1:23" x14ac:dyDescent="0.3">
      <c r="A668" s="316"/>
      <c r="B668" s="235"/>
      <c r="C668" s="318"/>
      <c r="D668" s="235"/>
      <c r="E668" s="235"/>
      <c r="F668" s="242"/>
      <c r="G668" s="242"/>
      <c r="H668" s="235"/>
      <c r="I668" s="235"/>
      <c r="J668" s="182" t="str">
        <f>J667</f>
        <v>RSDAHT</v>
      </c>
      <c r="K668" s="235"/>
      <c r="L668" s="244" t="str">
        <f t="shared" si="151"/>
        <v>RSDELC</v>
      </c>
      <c r="M668" s="182" t="str">
        <f t="shared" si="153"/>
        <v/>
      </c>
      <c r="N668" s="182"/>
      <c r="O668" s="182"/>
      <c r="P668" s="183"/>
      <c r="Q668" s="183"/>
      <c r="R668" s="182"/>
      <c r="S668" s="182"/>
      <c r="T668" s="252"/>
      <c r="U668" s="182"/>
      <c r="V668" s="252">
        <f t="shared" si="155"/>
        <v>-1</v>
      </c>
      <c r="W668" s="236"/>
    </row>
    <row r="669" spans="1:23" x14ac:dyDescent="0.3">
      <c r="A669" s="316"/>
      <c r="B669" s="235" t="str">
        <f>'RSD (DEA)'!AJ148&amp;"_"&amp;'RSD (DEA)'!Z148</f>
        <v>RHAPC_HP_ELC_05</v>
      </c>
      <c r="C669" s="318"/>
      <c r="D669" s="235" t="str">
        <f t="shared" si="154"/>
        <v>RHAPC_HP_ELC_05</v>
      </c>
      <c r="E669" s="235" t="str">
        <f>'RSD (DEA)'!Q148</f>
        <v>Electric heat pumps</v>
      </c>
      <c r="F669" s="242" t="s">
        <v>239</v>
      </c>
      <c r="G669" s="242" t="s">
        <v>240</v>
      </c>
      <c r="H669" s="235">
        <f>'RSD (DEA)'!S148</f>
        <v>400</v>
      </c>
      <c r="I669" s="235" t="str">
        <f>IF(OR(RIGHT('RSD (DEA)'!AH148,3)="BIO",RIGHT(AD677,3)="BOA"),LEFT('RSD (DEA)'!AH148,3)&amp;"BFW",'RSD (DEA)'!AH148)</f>
        <v>RSDELC</v>
      </c>
      <c r="J669" s="182" t="str">
        <f>'RSD (DEA)'!AI148</f>
        <v>RSDAHT</v>
      </c>
      <c r="K669" s="235" t="str">
        <f>'RSD (DEA)'!AK148</f>
        <v>RWAPC</v>
      </c>
      <c r="L669" s="244"/>
      <c r="M669" s="182">
        <f t="shared" si="153"/>
        <v>2019</v>
      </c>
      <c r="N669" s="182">
        <f>'RSD (DEA)'!X148</f>
        <v>2030</v>
      </c>
      <c r="O669" s="182">
        <f>IF(N669&lt;2019,2019,N669)</f>
        <v>2030</v>
      </c>
      <c r="P669" s="183">
        <f>'RSD (DEA)'!AZ148</f>
        <v>3.9</v>
      </c>
      <c r="Q669" s="183">
        <f>'RSD (DEA)'!BA148</f>
        <v>4</v>
      </c>
      <c r="R669" s="182">
        <f>'RSD (DEA)'!BR148/'RSD (DEA)'!S148</f>
        <v>4.665</v>
      </c>
      <c r="S669" s="182">
        <f>'RSD (DEA)'!BS148/X_RSD_HeatingDemand!$AA$8</f>
        <v>0.12291666666666666</v>
      </c>
      <c r="T669" s="252">
        <f>'RSD (DEA)'!BK140*X_RSD_HeatingDemand!$AA$9/'RSD (DEA)'!S140</f>
        <v>900</v>
      </c>
      <c r="U669" s="182">
        <f>'RSD (DEA)'!BI148</f>
        <v>20</v>
      </c>
      <c r="V669" s="252" t="str">
        <f t="shared" si="155"/>
        <v/>
      </c>
      <c r="W669" s="236">
        <f>'RSD (DEA)'!AM148</f>
        <v>31.536000000000001</v>
      </c>
    </row>
    <row r="670" spans="1:23" x14ac:dyDescent="0.3">
      <c r="A670" s="316"/>
      <c r="B670" s="235"/>
      <c r="C670" s="318"/>
      <c r="D670" s="235"/>
      <c r="E670" s="235"/>
      <c r="F670" s="242"/>
      <c r="G670" s="242"/>
      <c r="H670" s="235"/>
      <c r="I670" s="235"/>
      <c r="J670" s="182" t="str">
        <f>J669</f>
        <v>RSDAHT</v>
      </c>
      <c r="K670" s="235"/>
      <c r="L670" s="244" t="str">
        <f>$AA$11</f>
        <v>ACT</v>
      </c>
      <c r="M670" s="182" t="str">
        <f t="shared" si="153"/>
        <v/>
      </c>
      <c r="N670" s="182"/>
      <c r="O670" s="182"/>
      <c r="P670" s="183"/>
      <c r="Q670" s="183"/>
      <c r="R670" s="182"/>
      <c r="S670" s="182"/>
      <c r="T670" s="252"/>
      <c r="U670" s="182"/>
      <c r="V670" s="252">
        <f t="shared" si="155"/>
        <v>1</v>
      </c>
      <c r="W670" s="236"/>
    </row>
    <row r="671" spans="1:23" x14ac:dyDescent="0.3">
      <c r="A671" s="316"/>
      <c r="B671" s="235"/>
      <c r="C671" s="318"/>
      <c r="D671" s="235"/>
      <c r="E671" s="235"/>
      <c r="F671" s="242"/>
      <c r="G671" s="242"/>
      <c r="H671" s="235"/>
      <c r="I671" s="235"/>
      <c r="J671" s="182" t="str">
        <f>J670</f>
        <v>RSDAHT</v>
      </c>
      <c r="K671" s="235"/>
      <c r="L671" s="244" t="str">
        <f t="shared" si="152"/>
        <v>RSDELC</v>
      </c>
      <c r="M671" s="182" t="str">
        <f t="shared" si="153"/>
        <v/>
      </c>
      <c r="N671" s="182"/>
      <c r="O671" s="182"/>
      <c r="P671" s="183"/>
      <c r="Q671" s="183"/>
      <c r="R671" s="182"/>
      <c r="S671" s="182"/>
      <c r="T671" s="252"/>
      <c r="U671" s="182"/>
      <c r="V671" s="252">
        <f t="shared" si="155"/>
        <v>-1</v>
      </c>
      <c r="W671" s="236"/>
    </row>
    <row r="672" spans="1:23" x14ac:dyDescent="0.3">
      <c r="A672" s="316"/>
      <c r="B672" s="235" t="str">
        <f>'RSD (DEA)'!AJ149&amp;"_"&amp;'RSD (DEA)'!Z149</f>
        <v>RHAPC_HP_ELC_05</v>
      </c>
      <c r="C672" s="318"/>
      <c r="D672" s="235" t="str">
        <f t="shared" si="154"/>
        <v>RHAPC_HP_ELC_05</v>
      </c>
      <c r="E672" s="235" t="str">
        <f>'RSD (DEA)'!Q149</f>
        <v>Electric heat pumps</v>
      </c>
      <c r="F672" s="242" t="s">
        <v>239</v>
      </c>
      <c r="G672" s="242" t="s">
        <v>240</v>
      </c>
      <c r="H672" s="235">
        <f>'RSD (DEA)'!S149</f>
        <v>400</v>
      </c>
      <c r="I672" s="235" t="str">
        <f>IF(OR(RIGHT('RSD (DEA)'!AH149,3)="BIO",RIGHT(AD680,3)="BOA"),LEFT('RSD (DEA)'!AH149,3)&amp;"BFW",'RSD (DEA)'!AH149)</f>
        <v>RSDELC</v>
      </c>
      <c r="J672" s="182" t="str">
        <f>'RSD (DEA)'!AI149</f>
        <v>RSDAHT</v>
      </c>
      <c r="K672" s="235" t="str">
        <f>'RSD (DEA)'!AK149</f>
        <v>RWAPC</v>
      </c>
      <c r="L672" s="244"/>
      <c r="M672" s="182">
        <f t="shared" si="153"/>
        <v>2019</v>
      </c>
      <c r="N672" s="182">
        <f>'RSD (DEA)'!X149</f>
        <v>2050</v>
      </c>
      <c r="O672" s="182">
        <f>IF(N672&lt;2019,2019,N672)</f>
        <v>2050</v>
      </c>
      <c r="P672" s="183">
        <f>'RSD (DEA)'!AZ149</f>
        <v>4.05</v>
      </c>
      <c r="Q672" s="183">
        <f>'RSD (DEA)'!BA149</f>
        <v>4.1500000000000004</v>
      </c>
      <c r="R672" s="182">
        <f>'RSD (DEA)'!BR149/'RSD (DEA)'!S149</f>
        <v>6.0274999999999999</v>
      </c>
      <c r="S672" s="182">
        <f>'RSD (DEA)'!BS149/X_RSD_HeatingDemand!$AA$8</f>
        <v>0.12291666666666666</v>
      </c>
      <c r="T672" s="252">
        <f>'RSD (DEA)'!BK141*X_RSD_HeatingDemand!$AA$9/'RSD (DEA)'!S141</f>
        <v>800</v>
      </c>
      <c r="U672" s="182">
        <f>'RSD (DEA)'!BI149</f>
        <v>20</v>
      </c>
      <c r="V672" s="252" t="str">
        <f t="shared" si="155"/>
        <v/>
      </c>
      <c r="W672" s="236">
        <f>'RSD (DEA)'!AM149</f>
        <v>31.536000000000001</v>
      </c>
    </row>
    <row r="673" spans="1:23" x14ac:dyDescent="0.3">
      <c r="A673" s="316"/>
      <c r="B673" s="235"/>
      <c r="C673" s="318"/>
      <c r="D673" s="235"/>
      <c r="E673" s="235"/>
      <c r="F673" s="242"/>
      <c r="G673" s="242"/>
      <c r="H673" s="235"/>
      <c r="I673" s="235"/>
      <c r="J673" s="182" t="str">
        <f>J672</f>
        <v>RSDAHT</v>
      </c>
      <c r="K673" s="235"/>
      <c r="L673" s="244" t="str">
        <f>$AA$11</f>
        <v>ACT</v>
      </c>
      <c r="M673" s="182" t="str">
        <f t="shared" si="153"/>
        <v/>
      </c>
      <c r="N673" s="182"/>
      <c r="O673" s="182"/>
      <c r="P673" s="183"/>
      <c r="Q673" s="183"/>
      <c r="R673" s="182"/>
      <c r="S673" s="182"/>
      <c r="T673" s="252"/>
      <c r="U673" s="182"/>
      <c r="V673" s="252">
        <f t="shared" si="155"/>
        <v>1</v>
      </c>
      <c r="W673" s="236"/>
    </row>
    <row r="674" spans="1:23" x14ac:dyDescent="0.3">
      <c r="A674" s="316"/>
      <c r="B674" s="235"/>
      <c r="C674" s="318"/>
      <c r="D674" s="235"/>
      <c r="E674" s="235"/>
      <c r="F674" s="242"/>
      <c r="G674" s="242"/>
      <c r="H674" s="235"/>
      <c r="I674" s="235"/>
      <c r="J674" s="182" t="str">
        <f>J673</f>
        <v>RSDAHT</v>
      </c>
      <c r="K674" s="235"/>
      <c r="L674" s="244" t="str">
        <f t="shared" si="151"/>
        <v>RSDELC</v>
      </c>
      <c r="M674" s="182" t="str">
        <f t="shared" si="153"/>
        <v/>
      </c>
      <c r="N674" s="182"/>
      <c r="O674" s="182"/>
      <c r="P674" s="183"/>
      <c r="Q674" s="183"/>
      <c r="R674" s="182"/>
      <c r="S674" s="182"/>
      <c r="T674" s="252"/>
      <c r="U674" s="182"/>
      <c r="V674" s="252">
        <f t="shared" si="155"/>
        <v>-1</v>
      </c>
      <c r="W674" s="236"/>
    </row>
    <row r="675" spans="1:23" x14ac:dyDescent="0.3">
      <c r="A675" s="316"/>
      <c r="B675" s="235" t="str">
        <f>'RSD (DEA)'!AJ150&amp;"_"&amp;'RSD (DEA)'!Z150</f>
        <v>RHAPA_HP_ELC_06</v>
      </c>
      <c r="C675" s="318"/>
      <c r="D675" s="235" t="str">
        <f t="shared" si="154"/>
        <v>RHAPA_HP_ELC_06</v>
      </c>
      <c r="E675" s="235" t="str">
        <f>'RSD (DEA)'!Q150</f>
        <v>Electric heat pumps</v>
      </c>
      <c r="F675" s="242" t="s">
        <v>239</v>
      </c>
      <c r="G675" s="242" t="s">
        <v>240</v>
      </c>
      <c r="H675" s="235">
        <f>'RSD (DEA)'!S150</f>
        <v>160</v>
      </c>
      <c r="I675" s="235" t="str">
        <f>IF(OR(RIGHT('RSD (DEA)'!AH150,3)="BIO",RIGHT(AD683,3)="BOA"),LEFT('RSD (DEA)'!AH150,3)&amp;"BFW",'RSD (DEA)'!AH150)</f>
        <v>RSDELC</v>
      </c>
      <c r="J675" s="182" t="str">
        <f>'RSD (DEA)'!AI150</f>
        <v>RSDAHT</v>
      </c>
      <c r="K675" s="235" t="str">
        <f>'RSD (DEA)'!AK150</f>
        <v>RWAPA</v>
      </c>
      <c r="L675" s="244"/>
      <c r="M675" s="182">
        <f t="shared" si="153"/>
        <v>2019</v>
      </c>
      <c r="N675" s="182">
        <f>'RSD (DEA)'!X150</f>
        <v>2015</v>
      </c>
      <c r="O675" s="182">
        <f>IF(N675&lt;2019,2019,N675)</f>
        <v>2019</v>
      </c>
      <c r="P675" s="183">
        <f>'RSD (DEA)'!AZ150</f>
        <v>3.7</v>
      </c>
      <c r="Q675" s="183">
        <f>'RSD (DEA)'!BA150</f>
        <v>4.2</v>
      </c>
      <c r="R675" s="182">
        <f>'RSD (DEA)'!BR150/'RSD (DEA)'!S150</f>
        <v>10.25</v>
      </c>
      <c r="S675" s="182">
        <f>'RSD (DEA)'!BS150/X_RSD_HeatingDemand!$AA$8</f>
        <v>0.12291666666666666</v>
      </c>
      <c r="T675" s="252">
        <f>'RSD (DEA)'!BK142*X_RSD_HeatingDemand!$AA$9/'RSD (DEA)'!S142</f>
        <v>1750</v>
      </c>
      <c r="U675" s="182">
        <f>'RSD (DEA)'!BI150</f>
        <v>20</v>
      </c>
      <c r="V675" s="252" t="str">
        <f t="shared" si="155"/>
        <v/>
      </c>
      <c r="W675" s="236">
        <f>'RSD (DEA)'!AM150</f>
        <v>31.536000000000001</v>
      </c>
    </row>
    <row r="676" spans="1:23" x14ac:dyDescent="0.3">
      <c r="A676" s="316"/>
      <c r="B676" s="235"/>
      <c r="C676" s="318"/>
      <c r="D676" s="235"/>
      <c r="E676" s="235"/>
      <c r="F676" s="242"/>
      <c r="G676" s="242"/>
      <c r="H676" s="235"/>
      <c r="I676" s="235"/>
      <c r="J676" s="182" t="str">
        <f>J675</f>
        <v>RSDAHT</v>
      </c>
      <c r="K676" s="235"/>
      <c r="L676" s="244" t="str">
        <f>$AA$11</f>
        <v>ACT</v>
      </c>
      <c r="M676" s="182" t="str">
        <f t="shared" si="153"/>
        <v/>
      </c>
      <c r="N676" s="182"/>
      <c r="O676" s="182"/>
      <c r="P676" s="183"/>
      <c r="Q676" s="183"/>
      <c r="R676" s="182"/>
      <c r="S676" s="182"/>
      <c r="T676" s="252"/>
      <c r="U676" s="182"/>
      <c r="V676" s="252">
        <f t="shared" si="155"/>
        <v>1</v>
      </c>
      <c r="W676" s="236"/>
    </row>
    <row r="677" spans="1:23" x14ac:dyDescent="0.3">
      <c r="A677" s="316"/>
      <c r="B677" s="235"/>
      <c r="C677" s="318"/>
      <c r="D677" s="235"/>
      <c r="E677" s="235"/>
      <c r="F677" s="242"/>
      <c r="G677" s="242"/>
      <c r="H677" s="235"/>
      <c r="I677" s="235"/>
      <c r="J677" s="182" t="str">
        <f>J676</f>
        <v>RSDAHT</v>
      </c>
      <c r="K677" s="235"/>
      <c r="L677" s="244" t="str">
        <f t="shared" si="152"/>
        <v>RSDELC</v>
      </c>
      <c r="M677" s="182" t="str">
        <f t="shared" si="153"/>
        <v/>
      </c>
      <c r="N677" s="182"/>
      <c r="O677" s="182"/>
      <c r="P677" s="183"/>
      <c r="Q677" s="183"/>
      <c r="R677" s="182"/>
      <c r="S677" s="182"/>
      <c r="T677" s="252"/>
      <c r="U677" s="182"/>
      <c r="V677" s="252">
        <f t="shared" si="155"/>
        <v>-1</v>
      </c>
      <c r="W677" s="236"/>
    </row>
    <row r="678" spans="1:23" x14ac:dyDescent="0.3">
      <c r="A678" s="316"/>
      <c r="B678" s="235" t="str">
        <f>'RSD (DEA)'!AJ151&amp;"_"&amp;'RSD (DEA)'!Z151</f>
        <v>RHAPA_HP_ELC_06</v>
      </c>
      <c r="C678" s="318"/>
      <c r="D678" s="235" t="str">
        <f t="shared" si="154"/>
        <v>RHAPA_HP_ELC_06</v>
      </c>
      <c r="E678" s="235" t="str">
        <f>'RSD (DEA)'!Q151</f>
        <v>Electric heat pumps</v>
      </c>
      <c r="F678" s="242" t="s">
        <v>239</v>
      </c>
      <c r="G678" s="242" t="s">
        <v>240</v>
      </c>
      <c r="H678" s="235">
        <f>'RSD (DEA)'!S151</f>
        <v>160</v>
      </c>
      <c r="I678" s="235" t="str">
        <f>IF(OR(RIGHT('RSD (DEA)'!AH151,3)="BIO",RIGHT(AD686,3)="BOA"),LEFT('RSD (DEA)'!AH151,3)&amp;"BFW",'RSD (DEA)'!AH151)</f>
        <v>RSDELC</v>
      </c>
      <c r="J678" s="182" t="str">
        <f>'RSD (DEA)'!AI151</f>
        <v>RSDAHT</v>
      </c>
      <c r="K678" s="235" t="str">
        <f>'RSD (DEA)'!AK151</f>
        <v>RWAPA</v>
      </c>
      <c r="L678" s="244"/>
      <c r="M678" s="182">
        <f t="shared" si="153"/>
        <v>2019</v>
      </c>
      <c r="N678" s="182">
        <f>'RSD (DEA)'!X151</f>
        <v>2020</v>
      </c>
      <c r="O678" s="182">
        <f>IF(N678&lt;2019,2019,N678)</f>
        <v>2020</v>
      </c>
      <c r="P678" s="183">
        <f>'RSD (DEA)'!AZ151</f>
        <v>3.8</v>
      </c>
      <c r="Q678" s="183">
        <f>'RSD (DEA)'!BA151</f>
        <v>4.3</v>
      </c>
      <c r="R678" s="182">
        <f>'RSD (DEA)'!BR151/'RSD (DEA)'!S151</f>
        <v>10.3125</v>
      </c>
      <c r="S678" s="182">
        <f>'RSD (DEA)'!BS151/X_RSD_HeatingDemand!$AA$8</f>
        <v>0.12291666666666666</v>
      </c>
      <c r="T678" s="252">
        <f>'RSD (DEA)'!BK143*X_RSD_HeatingDemand!$AA$9/'RSD (DEA)'!S143</f>
        <v>1750</v>
      </c>
      <c r="U678" s="182">
        <f>'RSD (DEA)'!BI151</f>
        <v>20</v>
      </c>
      <c r="V678" s="252" t="str">
        <f t="shared" si="155"/>
        <v/>
      </c>
      <c r="W678" s="236">
        <f>'RSD (DEA)'!AM151</f>
        <v>31.536000000000001</v>
      </c>
    </row>
    <row r="679" spans="1:23" x14ac:dyDescent="0.3">
      <c r="A679" s="316"/>
      <c r="B679" s="235"/>
      <c r="C679" s="318"/>
      <c r="D679" s="235"/>
      <c r="E679" s="235"/>
      <c r="F679" s="242"/>
      <c r="G679" s="242"/>
      <c r="H679" s="235"/>
      <c r="I679" s="235"/>
      <c r="J679" s="182" t="str">
        <f>J678</f>
        <v>RSDAHT</v>
      </c>
      <c r="K679" s="235"/>
      <c r="L679" s="244" t="str">
        <f>$AA$11</f>
        <v>ACT</v>
      </c>
      <c r="M679" s="182" t="str">
        <f t="shared" si="153"/>
        <v/>
      </c>
      <c r="N679" s="182"/>
      <c r="O679" s="182"/>
      <c r="P679" s="183"/>
      <c r="Q679" s="183"/>
      <c r="R679" s="182"/>
      <c r="S679" s="182"/>
      <c r="T679" s="252"/>
      <c r="U679" s="182"/>
      <c r="V679" s="252">
        <f t="shared" si="155"/>
        <v>1</v>
      </c>
      <c r="W679" s="236"/>
    </row>
    <row r="680" spans="1:23" x14ac:dyDescent="0.3">
      <c r="A680" s="316"/>
      <c r="B680" s="235"/>
      <c r="C680" s="318"/>
      <c r="D680" s="235"/>
      <c r="E680" s="235"/>
      <c r="F680" s="242"/>
      <c r="G680" s="242"/>
      <c r="H680" s="235"/>
      <c r="I680" s="235"/>
      <c r="J680" s="182" t="str">
        <f>J679</f>
        <v>RSDAHT</v>
      </c>
      <c r="K680" s="235"/>
      <c r="L680" s="244" t="str">
        <f t="shared" si="151"/>
        <v>RSDELC</v>
      </c>
      <c r="M680" s="182" t="str">
        <f t="shared" si="153"/>
        <v/>
      </c>
      <c r="N680" s="182"/>
      <c r="O680" s="182"/>
      <c r="P680" s="183"/>
      <c r="Q680" s="183"/>
      <c r="R680" s="182"/>
      <c r="S680" s="182"/>
      <c r="T680" s="252"/>
      <c r="U680" s="182"/>
      <c r="V680" s="252">
        <f t="shared" si="155"/>
        <v>-1</v>
      </c>
      <c r="W680" s="236"/>
    </row>
    <row r="681" spans="1:23" x14ac:dyDescent="0.3">
      <c r="A681" s="316"/>
      <c r="B681" s="235" t="str">
        <f>'RSD (DEA)'!AJ152&amp;"_"&amp;'RSD (DEA)'!Z152</f>
        <v>RHAPA_HP_ELC_06</v>
      </c>
      <c r="C681" s="318"/>
      <c r="D681" s="235" t="str">
        <f t="shared" si="154"/>
        <v>RHAPA_HP_ELC_06</v>
      </c>
      <c r="E681" s="235" t="str">
        <f>'RSD (DEA)'!Q152</f>
        <v>Electric heat pumps</v>
      </c>
      <c r="F681" s="242" t="s">
        <v>239</v>
      </c>
      <c r="G681" s="242" t="s">
        <v>240</v>
      </c>
      <c r="H681" s="235">
        <f>'RSD (DEA)'!S152</f>
        <v>160</v>
      </c>
      <c r="I681" s="235" t="str">
        <f>IF(OR(RIGHT('RSD (DEA)'!AH152,3)="BIO",RIGHT(AD689,3)="BOA"),LEFT('RSD (DEA)'!AH152,3)&amp;"BFW",'RSD (DEA)'!AH152)</f>
        <v>RSDELC</v>
      </c>
      <c r="J681" s="182" t="str">
        <f>'RSD (DEA)'!AI152</f>
        <v>RSDAHT</v>
      </c>
      <c r="K681" s="235" t="str">
        <f>'RSD (DEA)'!AK152</f>
        <v>RWAPA</v>
      </c>
      <c r="L681" s="244"/>
      <c r="M681" s="182">
        <f t="shared" si="153"/>
        <v>2019</v>
      </c>
      <c r="N681" s="182">
        <f>'RSD (DEA)'!X152</f>
        <v>2030</v>
      </c>
      <c r="O681" s="182">
        <f>IF(N681&lt;2019,2019,N681)</f>
        <v>2030</v>
      </c>
      <c r="P681" s="183">
        <f>'RSD (DEA)'!AZ152</f>
        <v>3.9</v>
      </c>
      <c r="Q681" s="183">
        <f>'RSD (DEA)'!BA152</f>
        <v>4.4000000000000004</v>
      </c>
      <c r="R681" s="182">
        <f>'RSD (DEA)'!BR152/'RSD (DEA)'!S152</f>
        <v>11.6625</v>
      </c>
      <c r="S681" s="182">
        <f>'RSD (DEA)'!BS152/X_RSD_HeatingDemand!$AA$8</f>
        <v>0.12291666666666666</v>
      </c>
      <c r="T681" s="252">
        <f>'RSD (DEA)'!BK144*X_RSD_HeatingDemand!$AA$9/'RSD (DEA)'!S144</f>
        <v>1500</v>
      </c>
      <c r="U681" s="182">
        <f>'RSD (DEA)'!BI152</f>
        <v>20</v>
      </c>
      <c r="V681" s="252" t="str">
        <f t="shared" si="155"/>
        <v/>
      </c>
      <c r="W681" s="236">
        <f>'RSD (DEA)'!AM152</f>
        <v>31.536000000000001</v>
      </c>
    </row>
    <row r="682" spans="1:23" x14ac:dyDescent="0.3">
      <c r="A682" s="316"/>
      <c r="B682" s="235"/>
      <c r="C682" s="318"/>
      <c r="D682" s="235"/>
      <c r="E682" s="235"/>
      <c r="F682" s="242"/>
      <c r="G682" s="242"/>
      <c r="H682" s="235"/>
      <c r="I682" s="235"/>
      <c r="J682" s="182" t="str">
        <f>J681</f>
        <v>RSDAHT</v>
      </c>
      <c r="K682" s="235"/>
      <c r="L682" s="244" t="str">
        <f>$AA$11</f>
        <v>ACT</v>
      </c>
      <c r="M682" s="182" t="str">
        <f t="shared" si="153"/>
        <v/>
      </c>
      <c r="N682" s="182"/>
      <c r="O682" s="182"/>
      <c r="P682" s="183"/>
      <c r="Q682" s="183"/>
      <c r="R682" s="182"/>
      <c r="S682" s="182"/>
      <c r="T682" s="252"/>
      <c r="U682" s="182"/>
      <c r="V682" s="252">
        <f t="shared" si="155"/>
        <v>1</v>
      </c>
      <c r="W682" s="236"/>
    </row>
    <row r="683" spans="1:23" x14ac:dyDescent="0.3">
      <c r="A683" s="316"/>
      <c r="B683" s="235"/>
      <c r="C683" s="318"/>
      <c r="D683" s="235"/>
      <c r="E683" s="235"/>
      <c r="F683" s="242"/>
      <c r="G683" s="242"/>
      <c r="H683" s="235"/>
      <c r="I683" s="235"/>
      <c r="J683" s="182" t="str">
        <f>J682</f>
        <v>RSDAHT</v>
      </c>
      <c r="K683" s="235"/>
      <c r="L683" s="244" t="str">
        <f t="shared" si="152"/>
        <v>RSDELC</v>
      </c>
      <c r="M683" s="182" t="str">
        <f t="shared" si="153"/>
        <v/>
      </c>
      <c r="N683" s="182"/>
      <c r="O683" s="182"/>
      <c r="P683" s="183"/>
      <c r="Q683" s="183"/>
      <c r="R683" s="182"/>
      <c r="S683" s="182"/>
      <c r="T683" s="252"/>
      <c r="U683" s="182"/>
      <c r="V683" s="252">
        <f t="shared" si="155"/>
        <v>-1</v>
      </c>
      <c r="W683" s="236"/>
    </row>
    <row r="684" spans="1:23" x14ac:dyDescent="0.3">
      <c r="A684" s="316"/>
      <c r="B684" s="235" t="str">
        <f>'RSD (DEA)'!AJ153&amp;"_"&amp;'RSD (DEA)'!Z153</f>
        <v>RHAPA_HP_ELC_06</v>
      </c>
      <c r="C684" s="318"/>
      <c r="D684" s="235" t="str">
        <f t="shared" si="154"/>
        <v>RHAPA_HP_ELC_06</v>
      </c>
      <c r="E684" s="235" t="str">
        <f>'RSD (DEA)'!Q153</f>
        <v>Electric heat pumps</v>
      </c>
      <c r="F684" s="242" t="s">
        <v>239</v>
      </c>
      <c r="G684" s="242" t="s">
        <v>240</v>
      </c>
      <c r="H684" s="235">
        <f>'RSD (DEA)'!S153</f>
        <v>160</v>
      </c>
      <c r="I684" s="235" t="str">
        <f>IF(OR(RIGHT('RSD (DEA)'!AH153,3)="BIO",RIGHT(AD692,3)="BOA"),LEFT('RSD (DEA)'!AH153,3)&amp;"BFW",'RSD (DEA)'!AH153)</f>
        <v>RSDELC</v>
      </c>
      <c r="J684" s="182" t="str">
        <f>'RSD (DEA)'!AI153</f>
        <v>RSDAHT</v>
      </c>
      <c r="K684" s="235" t="str">
        <f>'RSD (DEA)'!AK153</f>
        <v>RWAPA</v>
      </c>
      <c r="L684" s="244"/>
      <c r="M684" s="182">
        <f t="shared" si="153"/>
        <v>2019</v>
      </c>
      <c r="N684" s="182">
        <f>'RSD (DEA)'!X153</f>
        <v>2050</v>
      </c>
      <c r="O684" s="182">
        <f>IF(N684&lt;2019,2019,N684)</f>
        <v>2050</v>
      </c>
      <c r="P684" s="183">
        <f>'RSD (DEA)'!AZ153</f>
        <v>4.05</v>
      </c>
      <c r="Q684" s="183">
        <f>'RSD (DEA)'!BA153</f>
        <v>4.5999999999999996</v>
      </c>
      <c r="R684" s="182">
        <f>'RSD (DEA)'!BR153/'RSD (DEA)'!S153</f>
        <v>15.06875</v>
      </c>
      <c r="S684" s="182">
        <f>'RSD (DEA)'!BS153/X_RSD_HeatingDemand!$AA$8</f>
        <v>0.12291666666666666</v>
      </c>
      <c r="T684" s="252">
        <f>'RSD (DEA)'!BK145*X_RSD_HeatingDemand!$AA$9/'RSD (DEA)'!S145</f>
        <v>1250</v>
      </c>
      <c r="U684" s="182">
        <f>'RSD (DEA)'!BI153</f>
        <v>20</v>
      </c>
      <c r="V684" s="252" t="str">
        <f t="shared" si="155"/>
        <v/>
      </c>
      <c r="W684" s="236">
        <f>'RSD (DEA)'!AM153</f>
        <v>31.536000000000001</v>
      </c>
    </row>
    <row r="685" spans="1:23" x14ac:dyDescent="0.3">
      <c r="A685" s="316"/>
      <c r="B685" s="235"/>
      <c r="C685" s="318"/>
      <c r="D685" s="235"/>
      <c r="E685" s="235"/>
      <c r="F685" s="242"/>
      <c r="G685" s="242"/>
      <c r="H685" s="235"/>
      <c r="I685" s="235"/>
      <c r="J685" s="182" t="str">
        <f>J684</f>
        <v>RSDAHT</v>
      </c>
      <c r="K685" s="235"/>
      <c r="L685" s="244" t="str">
        <f>$AA$11</f>
        <v>ACT</v>
      </c>
      <c r="M685" s="182" t="str">
        <f t="shared" si="153"/>
        <v/>
      </c>
      <c r="N685" s="182"/>
      <c r="O685" s="182"/>
      <c r="P685" s="183"/>
      <c r="Q685" s="183"/>
      <c r="R685" s="182"/>
      <c r="S685" s="182"/>
      <c r="T685" s="252"/>
      <c r="U685" s="182"/>
      <c r="V685" s="252">
        <f t="shared" si="155"/>
        <v>1</v>
      </c>
      <c r="W685" s="236"/>
    </row>
    <row r="686" spans="1:23" x14ac:dyDescent="0.3">
      <c r="A686" s="316"/>
      <c r="B686" s="235"/>
      <c r="C686" s="318"/>
      <c r="D686" s="235"/>
      <c r="E686" s="235"/>
      <c r="F686" s="242"/>
      <c r="G686" s="242"/>
      <c r="H686" s="235"/>
      <c r="I686" s="235"/>
      <c r="J686" s="182" t="str">
        <f>J685</f>
        <v>RSDAHT</v>
      </c>
      <c r="K686" s="235"/>
      <c r="L686" s="244" t="str">
        <f t="shared" si="151"/>
        <v>RSDELC</v>
      </c>
      <c r="M686" s="182" t="str">
        <f t="shared" si="153"/>
        <v/>
      </c>
      <c r="N686" s="182"/>
      <c r="O686" s="182"/>
      <c r="P686" s="183"/>
      <c r="Q686" s="183"/>
      <c r="R686" s="182"/>
      <c r="S686" s="182"/>
      <c r="T686" s="252"/>
      <c r="U686" s="182"/>
      <c r="V686" s="252">
        <f t="shared" si="155"/>
        <v>-1</v>
      </c>
      <c r="W686" s="236"/>
    </row>
    <row r="687" spans="1:23" x14ac:dyDescent="0.3">
      <c r="A687" s="316"/>
      <c r="B687" s="235" t="str">
        <f>'RSD (DEA)'!AJ154&amp;"_"&amp;'RSD (DEA)'!Z154</f>
        <v>RHHSC_HP_ELC_07</v>
      </c>
      <c r="C687" s="318"/>
      <c r="D687" s="235" t="str">
        <f t="shared" si="154"/>
        <v>RHHSC_HP_ELC_07</v>
      </c>
      <c r="E687" s="235" t="str">
        <f>'RSD (DEA)'!Q154</f>
        <v>Electric heat pumps</v>
      </c>
      <c r="F687" s="242" t="s">
        <v>239</v>
      </c>
      <c r="G687" s="242" t="s">
        <v>240</v>
      </c>
      <c r="H687" s="235">
        <f>'RSD (DEA)'!S154</f>
        <v>10</v>
      </c>
      <c r="I687" s="235" t="str">
        <f>IF(OR(RIGHT('RSD (DEA)'!AH154,3)="BIO",RIGHT(AD695,3)="BOA"),LEFT('RSD (DEA)'!AH154,3)&amp;"BFW",'RSD (DEA)'!AH154)</f>
        <v>RSDELC</v>
      </c>
      <c r="J687" s="182" t="str">
        <f>'RSD (DEA)'!AI154</f>
        <v>RSDGEO</v>
      </c>
      <c r="K687" s="235" t="str">
        <f>'RSD (DEA)'!AK154</f>
        <v>RWHSC</v>
      </c>
      <c r="L687" s="244"/>
      <c r="M687" s="182">
        <f t="shared" si="153"/>
        <v>2019</v>
      </c>
      <c r="N687" s="182">
        <f>'RSD (DEA)'!X154</f>
        <v>2015</v>
      </c>
      <c r="O687" s="182">
        <f>IF(N687&lt;2019,2019,N687)</f>
        <v>2019</v>
      </c>
      <c r="P687" s="183">
        <f>'RSD (DEA)'!AZ154</f>
        <v>3.6</v>
      </c>
      <c r="Q687" s="183">
        <f>'RSD (DEA)'!BA154</f>
        <v>3.7</v>
      </c>
      <c r="R687" s="182">
        <f>'RSD (DEA)'!BR154/'RSD (DEA)'!S154</f>
        <v>29.1</v>
      </c>
      <c r="S687" s="182">
        <f>'RSD (DEA)'!BS154/X_RSD_HeatingDemand!$AA$8</f>
        <v>0</v>
      </c>
      <c r="T687" s="252">
        <f>'RSD (DEA)'!BK146*X_RSD_HeatingDemand!$AA$9/'RSD (DEA)'!S146</f>
        <v>375</v>
      </c>
      <c r="U687" s="182">
        <f>'RSD (DEA)'!BI154</f>
        <v>20</v>
      </c>
      <c r="V687" s="252" t="str">
        <f t="shared" si="155"/>
        <v/>
      </c>
      <c r="W687" s="236">
        <f>'RSD (DEA)'!AM154</f>
        <v>31.536000000000001</v>
      </c>
    </row>
    <row r="688" spans="1:23" x14ac:dyDescent="0.3">
      <c r="A688" s="316"/>
      <c r="B688" s="235"/>
      <c r="C688" s="318"/>
      <c r="D688" s="235"/>
      <c r="E688" s="235"/>
      <c r="F688" s="242"/>
      <c r="G688" s="242"/>
      <c r="H688" s="235"/>
      <c r="I688" s="235"/>
      <c r="J688" s="182" t="str">
        <f>J687</f>
        <v>RSDGEO</v>
      </c>
      <c r="K688" s="235"/>
      <c r="L688" s="244" t="str">
        <f>$AA$11</f>
        <v>ACT</v>
      </c>
      <c r="M688" s="182" t="str">
        <f t="shared" si="153"/>
        <v/>
      </c>
      <c r="N688" s="182"/>
      <c r="O688" s="182"/>
      <c r="P688" s="183"/>
      <c r="Q688" s="183"/>
      <c r="R688" s="182"/>
      <c r="S688" s="182"/>
      <c r="T688" s="252"/>
      <c r="U688" s="182"/>
      <c r="V688" s="252">
        <f t="shared" si="155"/>
        <v>1</v>
      </c>
      <c r="W688" s="236"/>
    </row>
    <row r="689" spans="1:23" x14ac:dyDescent="0.3">
      <c r="A689" s="316"/>
      <c r="B689" s="235"/>
      <c r="C689" s="318"/>
      <c r="D689" s="235"/>
      <c r="E689" s="235"/>
      <c r="F689" s="242"/>
      <c r="G689" s="242"/>
      <c r="H689" s="235"/>
      <c r="I689" s="235"/>
      <c r="J689" s="182" t="str">
        <f>J688</f>
        <v>RSDGEO</v>
      </c>
      <c r="K689" s="235"/>
      <c r="L689" s="244" t="str">
        <f t="shared" si="152"/>
        <v>RSDELC</v>
      </c>
      <c r="M689" s="182" t="str">
        <f t="shared" si="153"/>
        <v/>
      </c>
      <c r="N689" s="182"/>
      <c r="O689" s="182"/>
      <c r="P689" s="183"/>
      <c r="Q689" s="183"/>
      <c r="R689" s="182"/>
      <c r="S689" s="182"/>
      <c r="T689" s="252"/>
      <c r="U689" s="182"/>
      <c r="V689" s="252">
        <f t="shared" si="155"/>
        <v>-1</v>
      </c>
      <c r="W689" s="236"/>
    </row>
    <row r="690" spans="1:23" x14ac:dyDescent="0.3">
      <c r="A690" s="316"/>
      <c r="B690" s="235" t="str">
        <f>'RSD (DEA)'!AJ155&amp;"_"&amp;'RSD (DEA)'!Z155</f>
        <v>RHHSC_HP_ELC_07</v>
      </c>
      <c r="C690" s="318"/>
      <c r="D690" s="235" t="str">
        <f t="shared" si="154"/>
        <v>RHHSC_HP_ELC_07</v>
      </c>
      <c r="E690" s="235" t="str">
        <f>'RSD (DEA)'!Q155</f>
        <v>Electric heat pumps</v>
      </c>
      <c r="F690" s="242" t="s">
        <v>239</v>
      </c>
      <c r="G690" s="242" t="s">
        <v>240</v>
      </c>
      <c r="H690" s="235">
        <f>'RSD (DEA)'!S155</f>
        <v>10</v>
      </c>
      <c r="I690" s="235" t="str">
        <f>IF(OR(RIGHT('RSD (DEA)'!AH155,3)="BIO",RIGHT(AD698,3)="BOA"),LEFT('RSD (DEA)'!AH155,3)&amp;"BFW",'RSD (DEA)'!AH155)</f>
        <v>RSDELC</v>
      </c>
      <c r="J690" s="182" t="str">
        <f>'RSD (DEA)'!AI155</f>
        <v>RSDGEO</v>
      </c>
      <c r="K690" s="235" t="str">
        <f>'RSD (DEA)'!AK155</f>
        <v>RWHSC</v>
      </c>
      <c r="L690" s="244"/>
      <c r="M690" s="182">
        <f t="shared" si="153"/>
        <v>2019</v>
      </c>
      <c r="N690" s="182">
        <f>'RSD (DEA)'!X155</f>
        <v>2020</v>
      </c>
      <c r="O690" s="182">
        <f>IF(N690&lt;2019,2019,N690)</f>
        <v>2020</v>
      </c>
      <c r="P690" s="183">
        <f>'RSD (DEA)'!AZ155</f>
        <v>3.7</v>
      </c>
      <c r="Q690" s="183">
        <f>'RSD (DEA)'!BA155</f>
        <v>3.8</v>
      </c>
      <c r="R690" s="182">
        <f>'RSD (DEA)'!BR155/'RSD (DEA)'!S155</f>
        <v>27.8</v>
      </c>
      <c r="S690" s="182">
        <f>'RSD (DEA)'!BS155/X_RSD_HeatingDemand!$AA$8</f>
        <v>0</v>
      </c>
      <c r="T690" s="252">
        <f>'RSD (DEA)'!BK147*X_RSD_HeatingDemand!$AA$9/'RSD (DEA)'!S147</f>
        <v>352.5</v>
      </c>
      <c r="U690" s="182">
        <f>'RSD (DEA)'!BI155</f>
        <v>20</v>
      </c>
      <c r="V690" s="252" t="str">
        <f t="shared" si="155"/>
        <v/>
      </c>
      <c r="W690" s="236">
        <f>'RSD (DEA)'!AM155</f>
        <v>31.536000000000001</v>
      </c>
    </row>
    <row r="691" spans="1:23" x14ac:dyDescent="0.3">
      <c r="A691" s="316"/>
      <c r="B691" s="235"/>
      <c r="C691" s="318"/>
      <c r="D691" s="235"/>
      <c r="E691" s="235"/>
      <c r="F691" s="242"/>
      <c r="G691" s="242"/>
      <c r="H691" s="235"/>
      <c r="I691" s="235"/>
      <c r="J691" s="182" t="str">
        <f>J690</f>
        <v>RSDGEO</v>
      </c>
      <c r="K691" s="235"/>
      <c r="L691" s="244" t="str">
        <f>$AA$11</f>
        <v>ACT</v>
      </c>
      <c r="M691" s="182" t="str">
        <f t="shared" si="153"/>
        <v/>
      </c>
      <c r="N691" s="182"/>
      <c r="O691" s="182"/>
      <c r="P691" s="183"/>
      <c r="Q691" s="183"/>
      <c r="R691" s="182"/>
      <c r="S691" s="182"/>
      <c r="T691" s="252"/>
      <c r="U691" s="182"/>
      <c r="V691" s="252">
        <f t="shared" si="155"/>
        <v>1</v>
      </c>
      <c r="W691" s="236"/>
    </row>
    <row r="692" spans="1:23" x14ac:dyDescent="0.3">
      <c r="A692" s="316"/>
      <c r="B692" s="235"/>
      <c r="C692" s="318"/>
      <c r="D692" s="235"/>
      <c r="E692" s="235"/>
      <c r="F692" s="242"/>
      <c r="G692" s="242"/>
      <c r="H692" s="235"/>
      <c r="I692" s="235"/>
      <c r="J692" s="182" t="str">
        <f>J691</f>
        <v>RSDGEO</v>
      </c>
      <c r="K692" s="235"/>
      <c r="L692" s="244" t="str">
        <f t="shared" si="151"/>
        <v>RSDELC</v>
      </c>
      <c r="M692" s="182" t="str">
        <f t="shared" si="153"/>
        <v/>
      </c>
      <c r="N692" s="182"/>
      <c r="O692" s="182"/>
      <c r="P692" s="183"/>
      <c r="Q692" s="183"/>
      <c r="R692" s="182"/>
      <c r="S692" s="182"/>
      <c r="T692" s="252"/>
      <c r="U692" s="182"/>
      <c r="V692" s="252">
        <f t="shared" si="155"/>
        <v>-1</v>
      </c>
      <c r="W692" s="236"/>
    </row>
    <row r="693" spans="1:23" x14ac:dyDescent="0.3">
      <c r="A693" s="316"/>
      <c r="B693" s="235" t="str">
        <f>'RSD (DEA)'!AJ156&amp;"_"&amp;'RSD (DEA)'!Z156</f>
        <v>RHHSC_HP_ELC_07</v>
      </c>
      <c r="C693" s="318"/>
      <c r="D693" s="235" t="str">
        <f t="shared" si="154"/>
        <v>RHHSC_HP_ELC_07</v>
      </c>
      <c r="E693" s="235" t="str">
        <f>'RSD (DEA)'!Q156</f>
        <v>Electric heat pumps</v>
      </c>
      <c r="F693" s="242" t="s">
        <v>239</v>
      </c>
      <c r="G693" s="242" t="s">
        <v>240</v>
      </c>
      <c r="H693" s="235">
        <f>'RSD (DEA)'!S156</f>
        <v>10</v>
      </c>
      <c r="I693" s="235" t="str">
        <f>IF(OR(RIGHT('RSD (DEA)'!AH156,3)="BIO",RIGHT(AD701,3)="BOA"),LEFT('RSD (DEA)'!AH156,3)&amp;"BFW",'RSD (DEA)'!AH156)</f>
        <v>RSDELC</v>
      </c>
      <c r="J693" s="182" t="str">
        <f>'RSD (DEA)'!AI156</f>
        <v>RSDGEO</v>
      </c>
      <c r="K693" s="235" t="str">
        <f>'RSD (DEA)'!AK156</f>
        <v>RWHSC</v>
      </c>
      <c r="L693" s="244"/>
      <c r="M693" s="182">
        <f t="shared" si="153"/>
        <v>2019</v>
      </c>
      <c r="N693" s="182">
        <f>'RSD (DEA)'!X156</f>
        <v>2030</v>
      </c>
      <c r="O693" s="182">
        <f>IF(N693&lt;2019,2019,N693)</f>
        <v>2030</v>
      </c>
      <c r="P693" s="183">
        <f>'RSD (DEA)'!AZ156</f>
        <v>3.8</v>
      </c>
      <c r="Q693" s="183">
        <f>'RSD (DEA)'!BA156</f>
        <v>3.9</v>
      </c>
      <c r="R693" s="182">
        <f>'RSD (DEA)'!BR156/'RSD (DEA)'!S156</f>
        <v>25.5</v>
      </c>
      <c r="S693" s="182">
        <f>'RSD (DEA)'!BS156/X_RSD_HeatingDemand!$AA$8</f>
        <v>0</v>
      </c>
      <c r="T693" s="252">
        <f>'RSD (DEA)'!BK148*X_RSD_HeatingDemand!$AA$9/'RSD (DEA)'!S148</f>
        <v>317.5</v>
      </c>
      <c r="U693" s="182">
        <f>'RSD (DEA)'!BI156</f>
        <v>20</v>
      </c>
      <c r="V693" s="252" t="str">
        <f t="shared" si="155"/>
        <v/>
      </c>
      <c r="W693" s="236">
        <f>'RSD (DEA)'!AM156</f>
        <v>31.536000000000001</v>
      </c>
    </row>
    <row r="694" spans="1:23" x14ac:dyDescent="0.3">
      <c r="A694" s="316"/>
      <c r="B694" s="235"/>
      <c r="C694" s="318"/>
      <c r="D694" s="235"/>
      <c r="E694" s="235"/>
      <c r="F694" s="242"/>
      <c r="G694" s="242"/>
      <c r="H694" s="235"/>
      <c r="I694" s="235"/>
      <c r="J694" s="182" t="str">
        <f>J693</f>
        <v>RSDGEO</v>
      </c>
      <c r="K694" s="235"/>
      <c r="L694" s="244" t="str">
        <f>$AA$11</f>
        <v>ACT</v>
      </c>
      <c r="M694" s="182" t="str">
        <f t="shared" si="153"/>
        <v/>
      </c>
      <c r="N694" s="182"/>
      <c r="O694" s="182"/>
      <c r="P694" s="183"/>
      <c r="Q694" s="183"/>
      <c r="R694" s="182"/>
      <c r="S694" s="182"/>
      <c r="T694" s="252"/>
      <c r="U694" s="182"/>
      <c r="V694" s="252">
        <f t="shared" si="155"/>
        <v>1</v>
      </c>
      <c r="W694" s="236"/>
    </row>
    <row r="695" spans="1:23" x14ac:dyDescent="0.3">
      <c r="A695" s="316"/>
      <c r="B695" s="235"/>
      <c r="C695" s="318"/>
      <c r="D695" s="235"/>
      <c r="E695" s="235"/>
      <c r="F695" s="242"/>
      <c r="G695" s="242"/>
      <c r="H695" s="235"/>
      <c r="I695" s="235"/>
      <c r="J695" s="182" t="str">
        <f>J694</f>
        <v>RSDGEO</v>
      </c>
      <c r="K695" s="235"/>
      <c r="L695" s="244" t="str">
        <f t="shared" si="152"/>
        <v>RSDELC</v>
      </c>
      <c r="M695" s="182" t="str">
        <f t="shared" si="153"/>
        <v/>
      </c>
      <c r="N695" s="182"/>
      <c r="O695" s="182"/>
      <c r="P695" s="183"/>
      <c r="Q695" s="183"/>
      <c r="R695" s="182"/>
      <c r="S695" s="182"/>
      <c r="T695" s="252"/>
      <c r="U695" s="182"/>
      <c r="V695" s="252">
        <f t="shared" si="155"/>
        <v>-1</v>
      </c>
      <c r="W695" s="236"/>
    </row>
    <row r="696" spans="1:23" x14ac:dyDescent="0.3">
      <c r="A696" s="316"/>
      <c r="B696" s="235" t="str">
        <f>'RSD (DEA)'!AJ157&amp;"_"&amp;'RSD (DEA)'!Z157</f>
        <v>RHHSC_HP_ELC_07</v>
      </c>
      <c r="C696" s="318"/>
      <c r="D696" s="235" t="str">
        <f t="shared" si="154"/>
        <v>RHHSC_HP_ELC_07</v>
      </c>
      <c r="E696" s="235" t="str">
        <f>'RSD (DEA)'!Q157</f>
        <v>Electric heat pumps</v>
      </c>
      <c r="F696" s="242" t="s">
        <v>239</v>
      </c>
      <c r="G696" s="242" t="s">
        <v>240</v>
      </c>
      <c r="H696" s="235">
        <f>'RSD (DEA)'!S157</f>
        <v>10</v>
      </c>
      <c r="I696" s="235" t="str">
        <f>IF(OR(RIGHT('RSD (DEA)'!AH157,3)="BIO",RIGHT(AD704,3)="BOA"),LEFT('RSD (DEA)'!AH157,3)&amp;"BFW",'RSD (DEA)'!AH157)</f>
        <v>RSDELC</v>
      </c>
      <c r="J696" s="182" t="str">
        <f>'RSD (DEA)'!AI157</f>
        <v>RSDGEO</v>
      </c>
      <c r="K696" s="235" t="str">
        <f>'RSD (DEA)'!AK157</f>
        <v>RWHSC</v>
      </c>
      <c r="L696" s="244"/>
      <c r="M696" s="182">
        <f t="shared" si="153"/>
        <v>2019</v>
      </c>
      <c r="N696" s="182">
        <f>'RSD (DEA)'!X157</f>
        <v>2050</v>
      </c>
      <c r="O696" s="182">
        <f>IF(N696&lt;2019,2019,N696)</f>
        <v>2050</v>
      </c>
      <c r="P696" s="183">
        <f>'RSD (DEA)'!AZ157</f>
        <v>3.95</v>
      </c>
      <c r="Q696" s="183">
        <f>'RSD (DEA)'!BA157</f>
        <v>4.05</v>
      </c>
      <c r="R696" s="182">
        <f>'RSD (DEA)'!BR157/'RSD (DEA)'!S157</f>
        <v>23.9</v>
      </c>
      <c r="S696" s="182">
        <f>'RSD (DEA)'!BS157/X_RSD_HeatingDemand!$AA$8</f>
        <v>0</v>
      </c>
      <c r="T696" s="252">
        <f>'RSD (DEA)'!BK149*X_RSD_HeatingDemand!$AA$9/'RSD (DEA)'!S149</f>
        <v>285</v>
      </c>
      <c r="U696" s="182">
        <f>'RSD (DEA)'!BI157</f>
        <v>20</v>
      </c>
      <c r="V696" s="252" t="str">
        <f t="shared" si="155"/>
        <v/>
      </c>
      <c r="W696" s="236">
        <f>'RSD (DEA)'!AM157</f>
        <v>31.536000000000001</v>
      </c>
    </row>
    <row r="697" spans="1:23" x14ac:dyDescent="0.3">
      <c r="A697" s="316"/>
      <c r="B697" s="235"/>
      <c r="C697" s="318"/>
      <c r="D697" s="235"/>
      <c r="E697" s="235"/>
      <c r="F697" s="242"/>
      <c r="G697" s="242"/>
      <c r="H697" s="235"/>
      <c r="I697" s="235"/>
      <c r="J697" s="182" t="str">
        <f>J696</f>
        <v>RSDGEO</v>
      </c>
      <c r="K697" s="235"/>
      <c r="L697" s="244" t="str">
        <f>$AA$11</f>
        <v>ACT</v>
      </c>
      <c r="M697" s="182" t="str">
        <f t="shared" si="153"/>
        <v/>
      </c>
      <c r="N697" s="182"/>
      <c r="O697" s="182"/>
      <c r="P697" s="183"/>
      <c r="Q697" s="183"/>
      <c r="R697" s="182"/>
      <c r="S697" s="182"/>
      <c r="T697" s="252"/>
      <c r="U697" s="182"/>
      <c r="V697" s="252">
        <f t="shared" si="155"/>
        <v>1</v>
      </c>
      <c r="W697" s="236"/>
    </row>
    <row r="698" spans="1:23" x14ac:dyDescent="0.3">
      <c r="A698" s="316"/>
      <c r="B698" s="235"/>
      <c r="C698" s="318"/>
      <c r="D698" s="235"/>
      <c r="E698" s="235"/>
      <c r="F698" s="242"/>
      <c r="G698" s="242"/>
      <c r="H698" s="235"/>
      <c r="I698" s="235"/>
      <c r="J698" s="182" t="str">
        <f>J697</f>
        <v>RSDGEO</v>
      </c>
      <c r="K698" s="235"/>
      <c r="L698" s="244" t="str">
        <f t="shared" ref="L698:L758" si="156">I696</f>
        <v>RSDELC</v>
      </c>
      <c r="M698" s="182" t="str">
        <f t="shared" si="153"/>
        <v/>
      </c>
      <c r="N698" s="182"/>
      <c r="O698" s="182"/>
      <c r="P698" s="183"/>
      <c r="Q698" s="183"/>
      <c r="R698" s="182"/>
      <c r="S698" s="182"/>
      <c r="T698" s="252"/>
      <c r="U698" s="182"/>
      <c r="V698" s="252">
        <f t="shared" si="155"/>
        <v>-1</v>
      </c>
      <c r="W698" s="236"/>
    </row>
    <row r="699" spans="1:23" x14ac:dyDescent="0.3">
      <c r="A699" s="316"/>
      <c r="B699" s="235" t="str">
        <f>'RSD (DEA)'!AJ158&amp;"_"&amp;'RSD (DEA)'!Z158</f>
        <v>RHHSA_HP_ELC_08</v>
      </c>
      <c r="C699" s="318"/>
      <c r="D699" s="235" t="str">
        <f t="shared" si="154"/>
        <v>RHHSA_HP_ELC_08</v>
      </c>
      <c r="E699" s="235" t="str">
        <f>'RSD (DEA)'!Q158</f>
        <v>Electric heat pumps</v>
      </c>
      <c r="F699" s="242" t="s">
        <v>239</v>
      </c>
      <c r="G699" s="242" t="s">
        <v>240</v>
      </c>
      <c r="H699" s="235">
        <f>'RSD (DEA)'!S158</f>
        <v>4</v>
      </c>
      <c r="I699" s="235" t="str">
        <f>IF(OR(RIGHT('RSD (DEA)'!AH158,3)="BIO",RIGHT(AD707,3)="BOA"),LEFT('RSD (DEA)'!AH158,3)&amp;"BFW",'RSD (DEA)'!AH158)</f>
        <v>RSDELC</v>
      </c>
      <c r="J699" s="182" t="str">
        <f>'RSD (DEA)'!AI158</f>
        <v>RSDGEO</v>
      </c>
      <c r="K699" s="235" t="str">
        <f>'RSD (DEA)'!AK158</f>
        <v>RWHSA</v>
      </c>
      <c r="L699" s="244"/>
      <c r="M699" s="182">
        <f t="shared" si="153"/>
        <v>2019</v>
      </c>
      <c r="N699" s="182">
        <f>'RSD (DEA)'!X158</f>
        <v>2015</v>
      </c>
      <c r="O699" s="182">
        <f>IF(N699&lt;2019,2019,N699)</f>
        <v>2019</v>
      </c>
      <c r="P699" s="183">
        <f>'RSD (DEA)'!AZ158</f>
        <v>2.95</v>
      </c>
      <c r="Q699" s="183">
        <f>'RSD (DEA)'!BA158</f>
        <v>3.1</v>
      </c>
      <c r="R699" s="182">
        <f>'RSD (DEA)'!BR158/'RSD (DEA)'!S158</f>
        <v>72.75</v>
      </c>
      <c r="S699" s="182">
        <f>'RSD (DEA)'!BS158/X_RSD_HeatingDemand!$AA$8</f>
        <v>0</v>
      </c>
      <c r="T699" s="252">
        <f>'RSD (DEA)'!BK150*X_RSD_HeatingDemand!$AA$9/'RSD (DEA)'!S150</f>
        <v>468.75</v>
      </c>
      <c r="U699" s="182">
        <f>'RSD (DEA)'!BI158</f>
        <v>20</v>
      </c>
      <c r="V699" s="252" t="str">
        <f t="shared" si="155"/>
        <v/>
      </c>
      <c r="W699" s="236">
        <f>'RSD (DEA)'!AM158</f>
        <v>31.536000000000001</v>
      </c>
    </row>
    <row r="700" spans="1:23" x14ac:dyDescent="0.3">
      <c r="A700" s="316"/>
      <c r="B700" s="235"/>
      <c r="C700" s="318"/>
      <c r="D700" s="235"/>
      <c r="E700" s="235"/>
      <c r="F700" s="242"/>
      <c r="G700" s="242"/>
      <c r="H700" s="235"/>
      <c r="I700" s="235"/>
      <c r="J700" s="182" t="str">
        <f>J699</f>
        <v>RSDGEO</v>
      </c>
      <c r="K700" s="235"/>
      <c r="L700" s="244" t="str">
        <f>$AA$11</f>
        <v>ACT</v>
      </c>
      <c r="M700" s="182" t="str">
        <f t="shared" si="153"/>
        <v/>
      </c>
      <c r="N700" s="182"/>
      <c r="O700" s="182"/>
      <c r="P700" s="183"/>
      <c r="Q700" s="183"/>
      <c r="R700" s="182"/>
      <c r="S700" s="182"/>
      <c r="T700" s="252"/>
      <c r="U700" s="182"/>
      <c r="V700" s="252">
        <f t="shared" si="155"/>
        <v>1</v>
      </c>
      <c r="W700" s="236"/>
    </row>
    <row r="701" spans="1:23" x14ac:dyDescent="0.3">
      <c r="A701" s="316"/>
      <c r="B701" s="235"/>
      <c r="C701" s="318"/>
      <c r="D701" s="235"/>
      <c r="E701" s="235"/>
      <c r="F701" s="242"/>
      <c r="G701" s="242"/>
      <c r="H701" s="235"/>
      <c r="I701" s="235"/>
      <c r="J701" s="182" t="str">
        <f>J700</f>
        <v>RSDGEO</v>
      </c>
      <c r="K701" s="235"/>
      <c r="L701" s="244" t="str">
        <f t="shared" ref="L701:L761" si="157">I699</f>
        <v>RSDELC</v>
      </c>
      <c r="M701" s="182" t="str">
        <f t="shared" si="153"/>
        <v/>
      </c>
      <c r="N701" s="182"/>
      <c r="O701" s="182"/>
      <c r="P701" s="183"/>
      <c r="Q701" s="183"/>
      <c r="R701" s="182"/>
      <c r="S701" s="182"/>
      <c r="T701" s="252"/>
      <c r="U701" s="182"/>
      <c r="V701" s="252">
        <f t="shared" si="155"/>
        <v>-1</v>
      </c>
      <c r="W701" s="236"/>
    </row>
    <row r="702" spans="1:23" x14ac:dyDescent="0.3">
      <c r="A702" s="316"/>
      <c r="B702" s="235" t="str">
        <f>'RSD (DEA)'!AJ159&amp;"_"&amp;'RSD (DEA)'!Z159</f>
        <v>RHHSA_HP_ELC_08</v>
      </c>
      <c r="C702" s="318"/>
      <c r="D702" s="235" t="str">
        <f t="shared" si="154"/>
        <v>RHHSA_HP_ELC_08</v>
      </c>
      <c r="E702" s="235" t="str">
        <f>'RSD (DEA)'!Q159</f>
        <v>Electric heat pumps</v>
      </c>
      <c r="F702" s="242" t="s">
        <v>239</v>
      </c>
      <c r="G702" s="242" t="s">
        <v>240</v>
      </c>
      <c r="H702" s="235">
        <f>'RSD (DEA)'!S159</f>
        <v>4</v>
      </c>
      <c r="I702" s="235" t="str">
        <f>IF(OR(RIGHT('RSD (DEA)'!AH159,3)="BIO",RIGHT(AD710,3)="BOA"),LEFT('RSD (DEA)'!AH159,3)&amp;"BFW",'RSD (DEA)'!AH159)</f>
        <v>RSDELC</v>
      </c>
      <c r="J702" s="182" t="str">
        <f>'RSD (DEA)'!AI159</f>
        <v>RSDGEO</v>
      </c>
      <c r="K702" s="235" t="str">
        <f>'RSD (DEA)'!AK159</f>
        <v>RWHSA</v>
      </c>
      <c r="L702" s="244"/>
      <c r="M702" s="182">
        <f t="shared" si="153"/>
        <v>2019</v>
      </c>
      <c r="N702" s="182">
        <f>'RSD (DEA)'!X159</f>
        <v>2020</v>
      </c>
      <c r="O702" s="182">
        <f>IF(N702&lt;2019,2019,N702)</f>
        <v>2020</v>
      </c>
      <c r="P702" s="183">
        <f>'RSD (DEA)'!AZ159</f>
        <v>3.05</v>
      </c>
      <c r="Q702" s="183">
        <f>'RSD (DEA)'!BA159</f>
        <v>3.2</v>
      </c>
      <c r="R702" s="182">
        <f>'RSD (DEA)'!BR159/'RSD (DEA)'!S159</f>
        <v>69.5</v>
      </c>
      <c r="S702" s="182">
        <f>'RSD (DEA)'!BS159/X_RSD_HeatingDemand!$AA$8</f>
        <v>0</v>
      </c>
      <c r="T702" s="252">
        <f>'RSD (DEA)'!BK151*X_RSD_HeatingDemand!$AA$9/'RSD (DEA)'!S151</f>
        <v>443.75</v>
      </c>
      <c r="U702" s="182">
        <f>'RSD (DEA)'!BI159</f>
        <v>20</v>
      </c>
      <c r="V702" s="252" t="str">
        <f t="shared" si="155"/>
        <v/>
      </c>
      <c r="W702" s="236">
        <f>'RSD (DEA)'!AM159</f>
        <v>31.536000000000001</v>
      </c>
    </row>
    <row r="703" spans="1:23" x14ac:dyDescent="0.3">
      <c r="A703" s="316"/>
      <c r="B703" s="235"/>
      <c r="C703" s="318"/>
      <c r="D703" s="235"/>
      <c r="E703" s="235"/>
      <c r="F703" s="242"/>
      <c r="G703" s="242"/>
      <c r="H703" s="235"/>
      <c r="I703" s="235"/>
      <c r="J703" s="182" t="str">
        <f>J702</f>
        <v>RSDGEO</v>
      </c>
      <c r="K703" s="235"/>
      <c r="L703" s="244" t="str">
        <f>$AA$11</f>
        <v>ACT</v>
      </c>
      <c r="M703" s="182" t="str">
        <f t="shared" si="153"/>
        <v/>
      </c>
      <c r="N703" s="182"/>
      <c r="O703" s="182"/>
      <c r="P703" s="183"/>
      <c r="Q703" s="183"/>
      <c r="R703" s="182"/>
      <c r="S703" s="182"/>
      <c r="T703" s="252"/>
      <c r="U703" s="182"/>
      <c r="V703" s="252">
        <f t="shared" si="155"/>
        <v>1</v>
      </c>
      <c r="W703" s="236"/>
    </row>
    <row r="704" spans="1:23" x14ac:dyDescent="0.3">
      <c r="A704" s="316"/>
      <c r="B704" s="235"/>
      <c r="C704" s="318"/>
      <c r="D704" s="235"/>
      <c r="E704" s="235"/>
      <c r="F704" s="242"/>
      <c r="G704" s="242"/>
      <c r="H704" s="235"/>
      <c r="I704" s="235"/>
      <c r="J704" s="182" t="str">
        <f>J703</f>
        <v>RSDGEO</v>
      </c>
      <c r="K704" s="235"/>
      <c r="L704" s="244" t="str">
        <f t="shared" si="156"/>
        <v>RSDELC</v>
      </c>
      <c r="M704" s="182" t="str">
        <f t="shared" si="153"/>
        <v/>
      </c>
      <c r="N704" s="182"/>
      <c r="O704" s="182"/>
      <c r="P704" s="183"/>
      <c r="Q704" s="183"/>
      <c r="R704" s="182"/>
      <c r="S704" s="182"/>
      <c r="T704" s="252"/>
      <c r="U704" s="182"/>
      <c r="V704" s="252">
        <f t="shared" si="155"/>
        <v>-1</v>
      </c>
      <c r="W704" s="236"/>
    </row>
    <row r="705" spans="1:23" x14ac:dyDescent="0.3">
      <c r="A705" s="316"/>
      <c r="B705" s="235" t="str">
        <f>'RSD (DEA)'!AJ160&amp;"_"&amp;'RSD (DEA)'!Z160</f>
        <v>RHHSA_HP_ELC_08</v>
      </c>
      <c r="C705" s="318"/>
      <c r="D705" s="235" t="str">
        <f t="shared" si="154"/>
        <v>RHHSA_HP_ELC_08</v>
      </c>
      <c r="E705" s="235" t="str">
        <f>'RSD (DEA)'!Q160</f>
        <v>Electric heat pumps</v>
      </c>
      <c r="F705" s="242" t="s">
        <v>239</v>
      </c>
      <c r="G705" s="242" t="s">
        <v>240</v>
      </c>
      <c r="H705" s="235">
        <f>'RSD (DEA)'!S160</f>
        <v>4</v>
      </c>
      <c r="I705" s="235" t="str">
        <f>IF(OR(RIGHT('RSD (DEA)'!AH160,3)="BIO",RIGHT(AD713,3)="BOA"),LEFT('RSD (DEA)'!AH160,3)&amp;"BFW",'RSD (DEA)'!AH160)</f>
        <v>RSDELC</v>
      </c>
      <c r="J705" s="182" t="str">
        <f>'RSD (DEA)'!AI160</f>
        <v>RSDGEO</v>
      </c>
      <c r="K705" s="235" t="str">
        <f>'RSD (DEA)'!AK160</f>
        <v>RWHSA</v>
      </c>
      <c r="L705" s="244"/>
      <c r="M705" s="182">
        <f t="shared" si="153"/>
        <v>2019</v>
      </c>
      <c r="N705" s="182">
        <f>'RSD (DEA)'!X160</f>
        <v>2030</v>
      </c>
      <c r="O705" s="182">
        <f>IF(N705&lt;2019,2019,N705)</f>
        <v>2030</v>
      </c>
      <c r="P705" s="183">
        <f>'RSD (DEA)'!AZ160</f>
        <v>3.15</v>
      </c>
      <c r="Q705" s="183">
        <f>'RSD (DEA)'!BA160</f>
        <v>3.3</v>
      </c>
      <c r="R705" s="182">
        <f>'RSD (DEA)'!BR160/'RSD (DEA)'!S160</f>
        <v>63.75</v>
      </c>
      <c r="S705" s="182">
        <f>'RSD (DEA)'!BS160/X_RSD_HeatingDemand!$AA$8</f>
        <v>0</v>
      </c>
      <c r="T705" s="252">
        <f>'RSD (DEA)'!BK152*X_RSD_HeatingDemand!$AA$9/'RSD (DEA)'!S152</f>
        <v>393.75</v>
      </c>
      <c r="U705" s="182">
        <f>'RSD (DEA)'!BI160</f>
        <v>20</v>
      </c>
      <c r="V705" s="252" t="str">
        <f t="shared" si="155"/>
        <v/>
      </c>
      <c r="W705" s="236">
        <f>'RSD (DEA)'!AM160</f>
        <v>31.536000000000001</v>
      </c>
    </row>
    <row r="706" spans="1:23" x14ac:dyDescent="0.3">
      <c r="A706" s="316"/>
      <c r="B706" s="235"/>
      <c r="C706" s="318"/>
      <c r="D706" s="235"/>
      <c r="E706" s="235"/>
      <c r="F706" s="242"/>
      <c r="G706" s="242"/>
      <c r="H706" s="235"/>
      <c r="I706" s="235"/>
      <c r="J706" s="182" t="str">
        <f>J705</f>
        <v>RSDGEO</v>
      </c>
      <c r="K706" s="235"/>
      <c r="L706" s="244" t="str">
        <f>$AA$11</f>
        <v>ACT</v>
      </c>
      <c r="M706" s="182" t="str">
        <f t="shared" si="153"/>
        <v/>
      </c>
      <c r="N706" s="182"/>
      <c r="O706" s="182"/>
      <c r="P706" s="183"/>
      <c r="Q706" s="183"/>
      <c r="R706" s="182"/>
      <c r="S706" s="182"/>
      <c r="T706" s="252"/>
      <c r="U706" s="182"/>
      <c r="V706" s="252">
        <f t="shared" si="155"/>
        <v>1</v>
      </c>
      <c r="W706" s="236"/>
    </row>
    <row r="707" spans="1:23" x14ac:dyDescent="0.3">
      <c r="A707" s="316"/>
      <c r="B707" s="235"/>
      <c r="C707" s="318"/>
      <c r="D707" s="235"/>
      <c r="E707" s="235"/>
      <c r="F707" s="242"/>
      <c r="G707" s="242"/>
      <c r="H707" s="235"/>
      <c r="I707" s="235"/>
      <c r="J707" s="182" t="str">
        <f>J706</f>
        <v>RSDGEO</v>
      </c>
      <c r="K707" s="235"/>
      <c r="L707" s="244" t="str">
        <f t="shared" si="157"/>
        <v>RSDELC</v>
      </c>
      <c r="M707" s="182" t="str">
        <f t="shared" si="153"/>
        <v/>
      </c>
      <c r="N707" s="182"/>
      <c r="O707" s="182"/>
      <c r="P707" s="183"/>
      <c r="Q707" s="183"/>
      <c r="R707" s="182"/>
      <c r="S707" s="182"/>
      <c r="T707" s="252"/>
      <c r="U707" s="182"/>
      <c r="V707" s="252">
        <f t="shared" si="155"/>
        <v>-1</v>
      </c>
      <c r="W707" s="236"/>
    </row>
    <row r="708" spans="1:23" x14ac:dyDescent="0.3">
      <c r="A708" s="316"/>
      <c r="B708" s="235" t="str">
        <f>'RSD (DEA)'!AJ161&amp;"_"&amp;'RSD (DEA)'!Z161</f>
        <v>RHHSA_HP_ELC_08</v>
      </c>
      <c r="C708" s="318"/>
      <c r="D708" s="235" t="str">
        <f t="shared" si="154"/>
        <v>RHHSA_HP_ELC_08</v>
      </c>
      <c r="E708" s="235" t="str">
        <f>'RSD (DEA)'!Q161</f>
        <v>Electric heat pumps</v>
      </c>
      <c r="F708" s="242" t="s">
        <v>239</v>
      </c>
      <c r="G708" s="242" t="s">
        <v>240</v>
      </c>
      <c r="H708" s="235">
        <f>'RSD (DEA)'!S161</f>
        <v>4</v>
      </c>
      <c r="I708" s="235" t="str">
        <f>IF(OR(RIGHT('RSD (DEA)'!AH161,3)="BIO",RIGHT(AD716,3)="BOA"),LEFT('RSD (DEA)'!AH161,3)&amp;"BFW",'RSD (DEA)'!AH161)</f>
        <v>RSDELC</v>
      </c>
      <c r="J708" s="182" t="str">
        <f>'RSD (DEA)'!AI161</f>
        <v>RSDGEO</v>
      </c>
      <c r="K708" s="235" t="str">
        <f>'RSD (DEA)'!AK161</f>
        <v>RWHSA</v>
      </c>
      <c r="L708" s="244"/>
      <c r="M708" s="182">
        <f t="shared" si="153"/>
        <v>2019</v>
      </c>
      <c r="N708" s="182">
        <f>'RSD (DEA)'!X161</f>
        <v>2050</v>
      </c>
      <c r="O708" s="182">
        <f>IF(N708&lt;2019,2019,N708)</f>
        <v>2050</v>
      </c>
      <c r="P708" s="183">
        <f>'RSD (DEA)'!AZ161</f>
        <v>3.3</v>
      </c>
      <c r="Q708" s="183">
        <f>'RSD (DEA)'!BA161</f>
        <v>3.45</v>
      </c>
      <c r="R708" s="182">
        <f>'RSD (DEA)'!BR161/'RSD (DEA)'!S161</f>
        <v>59.75</v>
      </c>
      <c r="S708" s="182">
        <f>'RSD (DEA)'!BS161/X_RSD_HeatingDemand!$AA$8</f>
        <v>0</v>
      </c>
      <c r="T708" s="252">
        <f>'RSD (DEA)'!BK153*X_RSD_HeatingDemand!$AA$9/'RSD (DEA)'!S153</f>
        <v>356.25</v>
      </c>
      <c r="U708" s="182">
        <f>'RSD (DEA)'!BI161</f>
        <v>20</v>
      </c>
      <c r="V708" s="252" t="str">
        <f t="shared" si="155"/>
        <v/>
      </c>
      <c r="W708" s="236">
        <f>'RSD (DEA)'!AM161</f>
        <v>31.536000000000001</v>
      </c>
    </row>
    <row r="709" spans="1:23" x14ac:dyDescent="0.3">
      <c r="A709" s="316"/>
      <c r="B709" s="235"/>
      <c r="C709" s="318"/>
      <c r="D709" s="235"/>
      <c r="E709" s="235"/>
      <c r="F709" s="242"/>
      <c r="G709" s="242"/>
      <c r="H709" s="235"/>
      <c r="I709" s="235"/>
      <c r="J709" s="182" t="str">
        <f>J708</f>
        <v>RSDGEO</v>
      </c>
      <c r="K709" s="235"/>
      <c r="L709" s="244" t="str">
        <f>$AA$11</f>
        <v>ACT</v>
      </c>
      <c r="M709" s="182" t="str">
        <f t="shared" si="153"/>
        <v/>
      </c>
      <c r="N709" s="182"/>
      <c r="O709" s="182"/>
      <c r="P709" s="183"/>
      <c r="Q709" s="183"/>
      <c r="R709" s="182"/>
      <c r="S709" s="182"/>
      <c r="T709" s="252"/>
      <c r="U709" s="182"/>
      <c r="V709" s="252">
        <f t="shared" si="155"/>
        <v>1</v>
      </c>
      <c r="W709" s="236"/>
    </row>
    <row r="710" spans="1:23" x14ac:dyDescent="0.3">
      <c r="A710" s="316"/>
      <c r="B710" s="235"/>
      <c r="C710" s="318"/>
      <c r="D710" s="235"/>
      <c r="E710" s="235"/>
      <c r="F710" s="242"/>
      <c r="G710" s="242"/>
      <c r="H710" s="235"/>
      <c r="I710" s="235"/>
      <c r="J710" s="182" t="str">
        <f>J709</f>
        <v>RSDGEO</v>
      </c>
      <c r="K710" s="235"/>
      <c r="L710" s="244" t="str">
        <f t="shared" si="156"/>
        <v>RSDELC</v>
      </c>
      <c r="M710" s="182" t="str">
        <f t="shared" ref="M710:M773" si="158">IF(ISBLANK(B710),"",$AA$14)</f>
        <v/>
      </c>
      <c r="N710" s="182"/>
      <c r="O710" s="182"/>
      <c r="P710" s="183"/>
      <c r="Q710" s="183"/>
      <c r="R710" s="182"/>
      <c r="S710" s="182"/>
      <c r="T710" s="252"/>
      <c r="U710" s="182"/>
      <c r="V710" s="252">
        <f t="shared" si="155"/>
        <v>-1</v>
      </c>
      <c r="W710" s="236"/>
    </row>
    <row r="711" spans="1:23" x14ac:dyDescent="0.3">
      <c r="A711" s="316"/>
      <c r="B711" s="235" t="str">
        <f>'RSD (DEA)'!AJ162&amp;"_"&amp;'RSD (DEA)'!Z162</f>
        <v>RHAPC_HP_ELC_09</v>
      </c>
      <c r="C711" s="318"/>
      <c r="D711" s="235" t="str">
        <f t="shared" si="154"/>
        <v>RHAPC_HP_ELC_09</v>
      </c>
      <c r="E711" s="235" t="str">
        <f>'RSD (DEA)'!Q162</f>
        <v>Electric heat pumps</v>
      </c>
      <c r="F711" s="242" t="s">
        <v>239</v>
      </c>
      <c r="G711" s="242" t="s">
        <v>240</v>
      </c>
      <c r="H711" s="235">
        <f>'RSD (DEA)'!S162</f>
        <v>400</v>
      </c>
      <c r="I711" s="235" t="str">
        <f>IF(OR(RIGHT('RSD (DEA)'!AH162,3)="BIO",RIGHT(AD719,3)="BOA"),LEFT('RSD (DEA)'!AH162,3)&amp;"BFW",'RSD (DEA)'!AH162)</f>
        <v>RSDELC</v>
      </c>
      <c r="J711" s="182" t="str">
        <f>'RSD (DEA)'!AI162</f>
        <v>RSDGEO</v>
      </c>
      <c r="K711" s="235" t="str">
        <f>'RSD (DEA)'!AK162</f>
        <v>RWAPC</v>
      </c>
      <c r="L711" s="244"/>
      <c r="M711" s="182">
        <f t="shared" si="158"/>
        <v>2019</v>
      </c>
      <c r="N711" s="182">
        <f>'RSD (DEA)'!X162</f>
        <v>2015</v>
      </c>
      <c r="O711" s="182">
        <f>IF(N711&lt;2019,2019,N711)</f>
        <v>2019</v>
      </c>
      <c r="P711" s="183">
        <f>'RSD (DEA)'!AZ162</f>
        <v>4</v>
      </c>
      <c r="Q711" s="183">
        <f>'RSD (DEA)'!BA162</f>
        <v>4.2</v>
      </c>
      <c r="R711" s="182">
        <f>'RSD (DEA)'!BR162/'RSD (DEA)'!S162</f>
        <v>4.0999999999999996</v>
      </c>
      <c r="S711" s="182">
        <f>'RSD (DEA)'!BS162/X_RSD_HeatingDemand!$AA$8</f>
        <v>0.12291666666666666</v>
      </c>
      <c r="T711" s="252">
        <f>'RSD (DEA)'!BK154*X_RSD_HeatingDemand!$AA$9/'RSD (DEA)'!S154</f>
        <v>1600</v>
      </c>
      <c r="U711" s="182">
        <f>'RSD (DEA)'!BI162</f>
        <v>20</v>
      </c>
      <c r="V711" s="252" t="str">
        <f t="shared" si="155"/>
        <v/>
      </c>
      <c r="W711" s="236">
        <f>'RSD (DEA)'!AM162</f>
        <v>31.536000000000001</v>
      </c>
    </row>
    <row r="712" spans="1:23" x14ac:dyDescent="0.3">
      <c r="A712" s="316"/>
      <c r="B712" s="235"/>
      <c r="C712" s="318"/>
      <c r="D712" s="235"/>
      <c r="E712" s="235"/>
      <c r="F712" s="242"/>
      <c r="G712" s="242"/>
      <c r="H712" s="235"/>
      <c r="I712" s="235"/>
      <c r="J712" s="182" t="str">
        <f>J711</f>
        <v>RSDGEO</v>
      </c>
      <c r="K712" s="235"/>
      <c r="L712" s="244" t="str">
        <f>$AA$11</f>
        <v>ACT</v>
      </c>
      <c r="M712" s="182" t="str">
        <f t="shared" si="158"/>
        <v/>
      </c>
      <c r="N712" s="182"/>
      <c r="O712" s="182"/>
      <c r="P712" s="183"/>
      <c r="Q712" s="183"/>
      <c r="R712" s="182"/>
      <c r="S712" s="182"/>
      <c r="T712" s="252"/>
      <c r="U712" s="182"/>
      <c r="V712" s="252">
        <f t="shared" si="155"/>
        <v>1</v>
      </c>
      <c r="W712" s="236"/>
    </row>
    <row r="713" spans="1:23" x14ac:dyDescent="0.3">
      <c r="A713" s="316"/>
      <c r="B713" s="235"/>
      <c r="C713" s="318"/>
      <c r="D713" s="235"/>
      <c r="E713" s="235"/>
      <c r="F713" s="242"/>
      <c r="G713" s="242"/>
      <c r="H713" s="235"/>
      <c r="I713" s="235"/>
      <c r="J713" s="182" t="str">
        <f>J712</f>
        <v>RSDGEO</v>
      </c>
      <c r="K713" s="235"/>
      <c r="L713" s="244" t="str">
        <f t="shared" si="157"/>
        <v>RSDELC</v>
      </c>
      <c r="M713" s="182" t="str">
        <f t="shared" si="158"/>
        <v/>
      </c>
      <c r="N713" s="182"/>
      <c r="O713" s="182"/>
      <c r="P713" s="183"/>
      <c r="Q713" s="183"/>
      <c r="R713" s="182"/>
      <c r="S713" s="182"/>
      <c r="T713" s="252"/>
      <c r="U713" s="182"/>
      <c r="V713" s="252">
        <f t="shared" si="155"/>
        <v>-1</v>
      </c>
      <c r="W713" s="236"/>
    </row>
    <row r="714" spans="1:23" x14ac:dyDescent="0.3">
      <c r="A714" s="316"/>
      <c r="B714" s="235" t="str">
        <f>'RSD (DEA)'!AJ163&amp;"_"&amp;'RSD (DEA)'!Z163</f>
        <v>RHAPC_HP_ELC_09</v>
      </c>
      <c r="C714" s="318"/>
      <c r="D714" s="235" t="str">
        <f t="shared" ref="D714:D774" si="159">IF(B714=B713,LEFT(B714,LEN(B714)-2)&amp;IF(RIGHT(D713)+1&lt;9,"0"&amp;RIGHT(D713)+1,RIGHT(D713)+1),B714)</f>
        <v>RHAPC_HP_ELC_09</v>
      </c>
      <c r="E714" s="235" t="str">
        <f>'RSD (DEA)'!Q163</f>
        <v>Electric heat pumps</v>
      </c>
      <c r="F714" s="242" t="s">
        <v>239</v>
      </c>
      <c r="G714" s="242" t="s">
        <v>240</v>
      </c>
      <c r="H714" s="235">
        <f>'RSD (DEA)'!S163</f>
        <v>400</v>
      </c>
      <c r="I714" s="235" t="str">
        <f>IF(OR(RIGHT('RSD (DEA)'!AH163,3)="BIO",RIGHT(AD722,3)="BOA"),LEFT('RSD (DEA)'!AH163,3)&amp;"BFW",'RSD (DEA)'!AH163)</f>
        <v>RSDELC</v>
      </c>
      <c r="J714" s="182" t="str">
        <f>'RSD (DEA)'!AI163</f>
        <v>RSDGEO</v>
      </c>
      <c r="K714" s="235" t="str">
        <f>'RSD (DEA)'!AK163</f>
        <v>RWAPC</v>
      </c>
      <c r="L714" s="244"/>
      <c r="M714" s="182">
        <f t="shared" si="158"/>
        <v>2019</v>
      </c>
      <c r="N714" s="182">
        <f>'RSD (DEA)'!X163</f>
        <v>2020</v>
      </c>
      <c r="O714" s="182">
        <f>IF(N714&lt;2019,2019,N714)</f>
        <v>2020</v>
      </c>
      <c r="P714" s="183">
        <f>'RSD (DEA)'!AZ163</f>
        <v>4.0999999999999996</v>
      </c>
      <c r="Q714" s="183">
        <f>'RSD (DEA)'!BA163</f>
        <v>4.3</v>
      </c>
      <c r="R714" s="182">
        <f>'RSD (DEA)'!BR163/'RSD (DEA)'!S163</f>
        <v>4.125</v>
      </c>
      <c r="S714" s="182">
        <f>'RSD (DEA)'!BS163/X_RSD_HeatingDemand!$AA$8</f>
        <v>0.12291666666666666</v>
      </c>
      <c r="T714" s="252">
        <f>'RSD (DEA)'!BK155*X_RSD_HeatingDemand!$AA$9/'RSD (DEA)'!S155</f>
        <v>1500</v>
      </c>
      <c r="U714" s="182">
        <f>'RSD (DEA)'!BI163</f>
        <v>20</v>
      </c>
      <c r="V714" s="252" t="str">
        <f t="shared" si="155"/>
        <v/>
      </c>
      <c r="W714" s="236">
        <f>'RSD (DEA)'!AM163</f>
        <v>31.536000000000001</v>
      </c>
    </row>
    <row r="715" spans="1:23" x14ac:dyDescent="0.3">
      <c r="A715" s="316"/>
      <c r="B715" s="235"/>
      <c r="C715" s="318"/>
      <c r="D715" s="235"/>
      <c r="E715" s="235"/>
      <c r="F715" s="242"/>
      <c r="G715" s="242"/>
      <c r="H715" s="235"/>
      <c r="I715" s="235"/>
      <c r="J715" s="182" t="str">
        <f>J714</f>
        <v>RSDGEO</v>
      </c>
      <c r="K715" s="235"/>
      <c r="L715" s="244" t="str">
        <f>$AA$11</f>
        <v>ACT</v>
      </c>
      <c r="M715" s="182" t="str">
        <f t="shared" si="158"/>
        <v/>
      </c>
      <c r="N715" s="182"/>
      <c r="O715" s="182"/>
      <c r="P715" s="183"/>
      <c r="Q715" s="183"/>
      <c r="R715" s="182"/>
      <c r="S715" s="182"/>
      <c r="T715" s="252"/>
      <c r="U715" s="182"/>
      <c r="V715" s="252">
        <f t="shared" si="155"/>
        <v>1</v>
      </c>
      <c r="W715" s="236"/>
    </row>
    <row r="716" spans="1:23" x14ac:dyDescent="0.3">
      <c r="A716" s="316"/>
      <c r="B716" s="235"/>
      <c r="C716" s="318"/>
      <c r="D716" s="235"/>
      <c r="E716" s="235"/>
      <c r="F716" s="242"/>
      <c r="G716" s="242"/>
      <c r="H716" s="235"/>
      <c r="I716" s="235"/>
      <c r="J716" s="182" t="str">
        <f>J715</f>
        <v>RSDGEO</v>
      </c>
      <c r="K716" s="235"/>
      <c r="L716" s="244" t="str">
        <f t="shared" si="156"/>
        <v>RSDELC</v>
      </c>
      <c r="M716" s="182" t="str">
        <f t="shared" si="158"/>
        <v/>
      </c>
      <c r="N716" s="182"/>
      <c r="O716" s="182"/>
      <c r="P716" s="183"/>
      <c r="Q716" s="183"/>
      <c r="R716" s="182"/>
      <c r="S716" s="182"/>
      <c r="T716" s="252"/>
      <c r="U716" s="182"/>
      <c r="V716" s="252">
        <f t="shared" si="155"/>
        <v>-1</v>
      </c>
      <c r="W716" s="236"/>
    </row>
    <row r="717" spans="1:23" x14ac:dyDescent="0.3">
      <c r="A717" s="316"/>
      <c r="B717" s="235" t="str">
        <f>'RSD (DEA)'!AJ164&amp;"_"&amp;'RSD (DEA)'!Z164</f>
        <v>RHAPC_HP_ELC_09</v>
      </c>
      <c r="C717" s="318"/>
      <c r="D717" s="235" t="str">
        <f t="shared" si="159"/>
        <v>RHAPC_HP_ELC_09</v>
      </c>
      <c r="E717" s="235" t="str">
        <f>'RSD (DEA)'!Q164</f>
        <v>Electric heat pumps</v>
      </c>
      <c r="F717" s="242" t="s">
        <v>239</v>
      </c>
      <c r="G717" s="242" t="s">
        <v>240</v>
      </c>
      <c r="H717" s="235">
        <f>'RSD (DEA)'!S164</f>
        <v>400</v>
      </c>
      <c r="I717" s="235" t="str">
        <f>IF(OR(RIGHT('RSD (DEA)'!AH164,3)="BIO",RIGHT(AD725,3)="BOA"),LEFT('RSD (DEA)'!AH164,3)&amp;"BFW",'RSD (DEA)'!AH164)</f>
        <v>RSDELC</v>
      </c>
      <c r="J717" s="182" t="str">
        <f>'RSD (DEA)'!AI164</f>
        <v>RSDGEO</v>
      </c>
      <c r="K717" s="235" t="str">
        <f>'RSD (DEA)'!AK164</f>
        <v>RWAPC</v>
      </c>
      <c r="L717" s="244"/>
      <c r="M717" s="182">
        <f t="shared" si="158"/>
        <v>2019</v>
      </c>
      <c r="N717" s="182">
        <f>'RSD (DEA)'!X164</f>
        <v>2030</v>
      </c>
      <c r="O717" s="182">
        <f>IF(N717&lt;2019,2019,N717)</f>
        <v>2030</v>
      </c>
      <c r="P717" s="183">
        <f>'RSD (DEA)'!AZ164</f>
        <v>4.2</v>
      </c>
      <c r="Q717" s="183">
        <f>'RSD (DEA)'!BA164</f>
        <v>4.4000000000000004</v>
      </c>
      <c r="R717" s="182">
        <f>'RSD (DEA)'!BR164/'RSD (DEA)'!S164</f>
        <v>4.665</v>
      </c>
      <c r="S717" s="182">
        <f>'RSD (DEA)'!BS164/X_RSD_HeatingDemand!$AA$8</f>
        <v>0.12291666666666666</v>
      </c>
      <c r="T717" s="252">
        <f>'RSD (DEA)'!BK156*X_RSD_HeatingDemand!$AA$9/'RSD (DEA)'!S156</f>
        <v>1400</v>
      </c>
      <c r="U717" s="182">
        <f>'RSD (DEA)'!BI164</f>
        <v>20</v>
      </c>
      <c r="V717" s="252" t="str">
        <f t="shared" si="155"/>
        <v/>
      </c>
      <c r="W717" s="236">
        <f>'RSD (DEA)'!AM164</f>
        <v>31.536000000000001</v>
      </c>
    </row>
    <row r="718" spans="1:23" x14ac:dyDescent="0.3">
      <c r="A718" s="316"/>
      <c r="B718" s="235"/>
      <c r="C718" s="318"/>
      <c r="D718" s="235"/>
      <c r="E718" s="235"/>
      <c r="F718" s="242"/>
      <c r="G718" s="242"/>
      <c r="H718" s="235"/>
      <c r="I718" s="235"/>
      <c r="J718" s="182" t="str">
        <f>J717</f>
        <v>RSDGEO</v>
      </c>
      <c r="K718" s="235"/>
      <c r="L718" s="244" t="str">
        <f>$AA$11</f>
        <v>ACT</v>
      </c>
      <c r="M718" s="182" t="str">
        <f t="shared" si="158"/>
        <v/>
      </c>
      <c r="N718" s="182"/>
      <c r="O718" s="182"/>
      <c r="P718" s="183"/>
      <c r="Q718" s="183"/>
      <c r="R718" s="182"/>
      <c r="S718" s="182"/>
      <c r="T718" s="252"/>
      <c r="U718" s="182"/>
      <c r="V718" s="252">
        <f t="shared" si="155"/>
        <v>1</v>
      </c>
      <c r="W718" s="236"/>
    </row>
    <row r="719" spans="1:23" x14ac:dyDescent="0.3">
      <c r="A719" s="316"/>
      <c r="B719" s="235"/>
      <c r="C719" s="318"/>
      <c r="D719" s="235"/>
      <c r="E719" s="235"/>
      <c r="F719" s="242"/>
      <c r="G719" s="242"/>
      <c r="H719" s="235"/>
      <c r="I719" s="235"/>
      <c r="J719" s="182" t="str">
        <f>J718</f>
        <v>RSDGEO</v>
      </c>
      <c r="K719" s="235"/>
      <c r="L719" s="244" t="str">
        <f t="shared" si="157"/>
        <v>RSDELC</v>
      </c>
      <c r="M719" s="182" t="str">
        <f t="shared" si="158"/>
        <v/>
      </c>
      <c r="N719" s="182"/>
      <c r="O719" s="182"/>
      <c r="P719" s="183"/>
      <c r="Q719" s="183"/>
      <c r="R719" s="182"/>
      <c r="S719" s="182"/>
      <c r="T719" s="252"/>
      <c r="U719" s="182"/>
      <c r="V719" s="252">
        <f t="shared" si="155"/>
        <v>-1</v>
      </c>
      <c r="W719" s="236"/>
    </row>
    <row r="720" spans="1:23" x14ac:dyDescent="0.3">
      <c r="A720" s="316"/>
      <c r="B720" s="235" t="str">
        <f>'RSD (DEA)'!AJ165&amp;"_"&amp;'RSD (DEA)'!Z165</f>
        <v>RHAPC_HP_ELC_09</v>
      </c>
      <c r="C720" s="318"/>
      <c r="D720" s="235" t="str">
        <f t="shared" si="159"/>
        <v>RHAPC_HP_ELC_09</v>
      </c>
      <c r="E720" s="235" t="str">
        <f>'RSD (DEA)'!Q165</f>
        <v>Electric heat pumps</v>
      </c>
      <c r="F720" s="242" t="s">
        <v>239</v>
      </c>
      <c r="G720" s="242" t="s">
        <v>240</v>
      </c>
      <c r="H720" s="235">
        <f>'RSD (DEA)'!S165</f>
        <v>400</v>
      </c>
      <c r="I720" s="235" t="str">
        <f>IF(OR(RIGHT('RSD (DEA)'!AH165,3)="BIO",RIGHT(AD728,3)="BOA"),LEFT('RSD (DEA)'!AH165,3)&amp;"BFW",'RSD (DEA)'!AH165)</f>
        <v>RSDELC</v>
      </c>
      <c r="J720" s="182" t="str">
        <f>'RSD (DEA)'!AI165</f>
        <v>RSDGEO</v>
      </c>
      <c r="K720" s="235" t="str">
        <f>'RSD (DEA)'!AK165</f>
        <v>RWAPC</v>
      </c>
      <c r="L720" s="244"/>
      <c r="M720" s="182">
        <f t="shared" si="158"/>
        <v>2019</v>
      </c>
      <c r="N720" s="182">
        <f>'RSD (DEA)'!X165</f>
        <v>2050</v>
      </c>
      <c r="O720" s="182">
        <f>IF(N720&lt;2019,2019,N720)</f>
        <v>2050</v>
      </c>
      <c r="P720" s="183">
        <f>'RSD (DEA)'!AZ165</f>
        <v>4.4000000000000004</v>
      </c>
      <c r="Q720" s="183">
        <f>'RSD (DEA)'!BA165</f>
        <v>4.5999999999999996</v>
      </c>
      <c r="R720" s="182">
        <f>'RSD (DEA)'!BR165/'RSD (DEA)'!S165</f>
        <v>6.0274999999999999</v>
      </c>
      <c r="S720" s="182">
        <f>'RSD (DEA)'!BS165/X_RSD_HeatingDemand!$AA$8</f>
        <v>0.12291666666666666</v>
      </c>
      <c r="T720" s="252">
        <f>'RSD (DEA)'!BK157*X_RSD_HeatingDemand!$AA$9/'RSD (DEA)'!S157</f>
        <v>1200</v>
      </c>
      <c r="U720" s="182">
        <f>'RSD (DEA)'!BI165</f>
        <v>20</v>
      </c>
      <c r="V720" s="252" t="str">
        <f t="shared" si="155"/>
        <v/>
      </c>
      <c r="W720" s="236">
        <f>'RSD (DEA)'!AM165</f>
        <v>31.536000000000001</v>
      </c>
    </row>
    <row r="721" spans="1:23" x14ac:dyDescent="0.3">
      <c r="A721" s="316"/>
      <c r="B721" s="235"/>
      <c r="C721" s="318"/>
      <c r="D721" s="235"/>
      <c r="E721" s="235"/>
      <c r="F721" s="242"/>
      <c r="G721" s="242"/>
      <c r="H721" s="235"/>
      <c r="I721" s="235"/>
      <c r="J721" s="182" t="str">
        <f>J720</f>
        <v>RSDGEO</v>
      </c>
      <c r="K721" s="235"/>
      <c r="L721" s="244" t="str">
        <f>$AA$11</f>
        <v>ACT</v>
      </c>
      <c r="M721" s="182" t="str">
        <f t="shared" si="158"/>
        <v/>
      </c>
      <c r="N721" s="182"/>
      <c r="O721" s="182"/>
      <c r="P721" s="183"/>
      <c r="Q721" s="183"/>
      <c r="R721" s="182"/>
      <c r="S721" s="182"/>
      <c r="T721" s="252"/>
      <c r="U721" s="182"/>
      <c r="V721" s="252">
        <f t="shared" si="155"/>
        <v>1</v>
      </c>
      <c r="W721" s="236"/>
    </row>
    <row r="722" spans="1:23" x14ac:dyDescent="0.3">
      <c r="A722" s="316"/>
      <c r="B722" s="235"/>
      <c r="C722" s="318"/>
      <c r="D722" s="235"/>
      <c r="E722" s="235"/>
      <c r="F722" s="242"/>
      <c r="G722" s="242"/>
      <c r="H722" s="235"/>
      <c r="I722" s="235"/>
      <c r="J722" s="182" t="str">
        <f>J721</f>
        <v>RSDGEO</v>
      </c>
      <c r="K722" s="235"/>
      <c r="L722" s="244" t="str">
        <f t="shared" si="156"/>
        <v>RSDELC</v>
      </c>
      <c r="M722" s="182" t="str">
        <f t="shared" si="158"/>
        <v/>
      </c>
      <c r="N722" s="182"/>
      <c r="O722" s="182"/>
      <c r="P722" s="183"/>
      <c r="Q722" s="183"/>
      <c r="R722" s="182"/>
      <c r="S722" s="182"/>
      <c r="T722" s="252"/>
      <c r="U722" s="182"/>
      <c r="V722" s="252">
        <f t="shared" si="155"/>
        <v>-1</v>
      </c>
      <c r="W722" s="236"/>
    </row>
    <row r="723" spans="1:23" x14ac:dyDescent="0.3">
      <c r="A723" s="316"/>
      <c r="B723" s="235" t="str">
        <f>'RSD (DEA)'!AJ166&amp;"_"&amp;'RSD (DEA)'!Z166</f>
        <v>RHAPA_HP_ELC_10</v>
      </c>
      <c r="C723" s="318"/>
      <c r="D723" s="235" t="str">
        <f t="shared" si="159"/>
        <v>RHAPA_HP_ELC_10</v>
      </c>
      <c r="E723" s="235" t="str">
        <f>'RSD (DEA)'!Q166</f>
        <v>Electric heat pumps</v>
      </c>
      <c r="F723" s="242" t="s">
        <v>239</v>
      </c>
      <c r="G723" s="242" t="s">
        <v>240</v>
      </c>
      <c r="H723" s="235">
        <f>'RSD (DEA)'!S166</f>
        <v>160</v>
      </c>
      <c r="I723" s="235" t="str">
        <f>IF(OR(RIGHT('RSD (DEA)'!AH166,3)="BIO",RIGHT(AD731,3)="BOA"),LEFT('RSD (DEA)'!AH166,3)&amp;"BFW",'RSD (DEA)'!AH166)</f>
        <v>RSDELC</v>
      </c>
      <c r="J723" s="182" t="str">
        <f>'RSD (DEA)'!AI166</f>
        <v>RSDGEO</v>
      </c>
      <c r="K723" s="235" t="str">
        <f>'RSD (DEA)'!AK166</f>
        <v>RWAPA</v>
      </c>
      <c r="L723" s="244"/>
      <c r="M723" s="182">
        <f t="shared" si="158"/>
        <v>2019</v>
      </c>
      <c r="N723" s="182">
        <f>'RSD (DEA)'!X166</f>
        <v>2015</v>
      </c>
      <c r="O723" s="182">
        <f>IF(N723&lt;2019,2019,N723)</f>
        <v>2019</v>
      </c>
      <c r="P723" s="183">
        <f>'RSD (DEA)'!AZ166</f>
        <v>4.2</v>
      </c>
      <c r="Q723" s="183">
        <f>'RSD (DEA)'!BA166</f>
        <v>4.8</v>
      </c>
      <c r="R723" s="182">
        <f>'RSD (DEA)'!BR166/'RSD (DEA)'!S166</f>
        <v>10.25</v>
      </c>
      <c r="S723" s="182">
        <f>'RSD (DEA)'!BS166/X_RSD_HeatingDemand!$AA$8</f>
        <v>0.12291666666666666</v>
      </c>
      <c r="T723" s="252">
        <f>'RSD (DEA)'!BK158*X_RSD_HeatingDemand!$AA$9/'RSD (DEA)'!S158</f>
        <v>3000</v>
      </c>
      <c r="U723" s="182">
        <f>'RSD (DEA)'!BI166</f>
        <v>20</v>
      </c>
      <c r="V723" s="252" t="str">
        <f t="shared" si="155"/>
        <v/>
      </c>
      <c r="W723" s="236">
        <f>'RSD (DEA)'!AM166</f>
        <v>31.536000000000001</v>
      </c>
    </row>
    <row r="724" spans="1:23" x14ac:dyDescent="0.3">
      <c r="A724" s="316"/>
      <c r="B724" s="235"/>
      <c r="C724" s="318"/>
      <c r="D724" s="235"/>
      <c r="E724" s="235"/>
      <c r="F724" s="242"/>
      <c r="G724" s="242"/>
      <c r="H724" s="235"/>
      <c r="I724" s="235"/>
      <c r="J724" s="182" t="str">
        <f>J723</f>
        <v>RSDGEO</v>
      </c>
      <c r="K724" s="235"/>
      <c r="L724" s="244" t="str">
        <f>$AA$11</f>
        <v>ACT</v>
      </c>
      <c r="M724" s="182" t="str">
        <f t="shared" si="158"/>
        <v/>
      </c>
      <c r="N724" s="182"/>
      <c r="O724" s="182"/>
      <c r="P724" s="183"/>
      <c r="Q724" s="183"/>
      <c r="R724" s="182"/>
      <c r="S724" s="182"/>
      <c r="T724" s="252"/>
      <c r="U724" s="182"/>
      <c r="V724" s="252">
        <f t="shared" ref="V724:V787" si="160">IF(L724="ACT",1,IF(LEFT(L724,3)="RSD",-1,""))</f>
        <v>1</v>
      </c>
      <c r="W724" s="236"/>
    </row>
    <row r="725" spans="1:23" x14ac:dyDescent="0.3">
      <c r="A725" s="316"/>
      <c r="B725" s="235"/>
      <c r="C725" s="318"/>
      <c r="D725" s="235"/>
      <c r="E725" s="235"/>
      <c r="F725" s="242"/>
      <c r="G725" s="242"/>
      <c r="H725" s="235"/>
      <c r="I725" s="235"/>
      <c r="J725" s="182" t="str">
        <f>J724</f>
        <v>RSDGEO</v>
      </c>
      <c r="K725" s="235"/>
      <c r="L725" s="244" t="str">
        <f t="shared" si="157"/>
        <v>RSDELC</v>
      </c>
      <c r="M725" s="182" t="str">
        <f t="shared" si="158"/>
        <v/>
      </c>
      <c r="N725" s="182"/>
      <c r="O725" s="182"/>
      <c r="P725" s="183"/>
      <c r="Q725" s="183"/>
      <c r="R725" s="182"/>
      <c r="S725" s="182"/>
      <c r="T725" s="252"/>
      <c r="U725" s="182"/>
      <c r="V725" s="252">
        <f t="shared" si="160"/>
        <v>-1</v>
      </c>
      <c r="W725" s="236"/>
    </row>
    <row r="726" spans="1:23" x14ac:dyDescent="0.3">
      <c r="A726" s="316"/>
      <c r="B726" s="235" t="str">
        <f>'RSD (DEA)'!AJ167&amp;"_"&amp;'RSD (DEA)'!Z167</f>
        <v>RHAPA_HP_ELC_10</v>
      </c>
      <c r="C726" s="318"/>
      <c r="D726" s="235" t="str">
        <f t="shared" si="159"/>
        <v>RHAPA_HP_ELC_10</v>
      </c>
      <c r="E726" s="235" t="str">
        <f>'RSD (DEA)'!Q167</f>
        <v>Electric heat pumps</v>
      </c>
      <c r="F726" s="242" t="s">
        <v>239</v>
      </c>
      <c r="G726" s="242" t="s">
        <v>240</v>
      </c>
      <c r="H726" s="235">
        <f>'RSD (DEA)'!S167</f>
        <v>160</v>
      </c>
      <c r="I726" s="235" t="str">
        <f>IF(OR(RIGHT('RSD (DEA)'!AH167,3)="BIO",RIGHT(AD734,3)="BOA"),LEFT('RSD (DEA)'!AH167,3)&amp;"BFW",'RSD (DEA)'!AH167)</f>
        <v>RSDELC</v>
      </c>
      <c r="J726" s="182" t="str">
        <f>'RSD (DEA)'!AI167</f>
        <v>RSDGEO</v>
      </c>
      <c r="K726" s="235" t="str">
        <f>'RSD (DEA)'!AK167</f>
        <v>RWAPA</v>
      </c>
      <c r="L726" s="244"/>
      <c r="M726" s="182">
        <f t="shared" si="158"/>
        <v>2019</v>
      </c>
      <c r="N726" s="182">
        <f>'RSD (DEA)'!X167</f>
        <v>2020</v>
      </c>
      <c r="O726" s="182">
        <f>IF(N726&lt;2019,2019,N726)</f>
        <v>2020</v>
      </c>
      <c r="P726" s="183">
        <f>'RSD (DEA)'!AZ167</f>
        <v>4.3</v>
      </c>
      <c r="Q726" s="183">
        <f>'RSD (DEA)'!BA167</f>
        <v>4.9000000000000004</v>
      </c>
      <c r="R726" s="182">
        <f>'RSD (DEA)'!BR167/'RSD (DEA)'!S167</f>
        <v>10.3125</v>
      </c>
      <c r="S726" s="182">
        <f>'RSD (DEA)'!BS167/X_RSD_HeatingDemand!$AA$8</f>
        <v>0.12291666666666666</v>
      </c>
      <c r="T726" s="252">
        <f>'RSD (DEA)'!BK159*X_RSD_HeatingDemand!$AA$9/'RSD (DEA)'!S159</f>
        <v>2750</v>
      </c>
      <c r="U726" s="182">
        <f>'RSD (DEA)'!BI167</f>
        <v>20</v>
      </c>
      <c r="V726" s="252" t="str">
        <f t="shared" si="160"/>
        <v/>
      </c>
      <c r="W726" s="236">
        <f>'RSD (DEA)'!AM167</f>
        <v>31.536000000000001</v>
      </c>
    </row>
    <row r="727" spans="1:23" x14ac:dyDescent="0.3">
      <c r="A727" s="316"/>
      <c r="B727" s="235"/>
      <c r="C727" s="318"/>
      <c r="D727" s="235"/>
      <c r="E727" s="235"/>
      <c r="F727" s="242"/>
      <c r="G727" s="242"/>
      <c r="H727" s="235"/>
      <c r="I727" s="235"/>
      <c r="J727" s="182" t="str">
        <f>J726</f>
        <v>RSDGEO</v>
      </c>
      <c r="K727" s="235"/>
      <c r="L727" s="244" t="str">
        <f>$AA$11</f>
        <v>ACT</v>
      </c>
      <c r="M727" s="182" t="str">
        <f t="shared" si="158"/>
        <v/>
      </c>
      <c r="N727" s="182"/>
      <c r="O727" s="182"/>
      <c r="P727" s="183"/>
      <c r="Q727" s="183"/>
      <c r="R727" s="182"/>
      <c r="S727" s="182"/>
      <c r="T727" s="252"/>
      <c r="U727" s="182"/>
      <c r="V727" s="252">
        <f t="shared" si="160"/>
        <v>1</v>
      </c>
      <c r="W727" s="236"/>
    </row>
    <row r="728" spans="1:23" x14ac:dyDescent="0.3">
      <c r="A728" s="316"/>
      <c r="B728" s="235"/>
      <c r="C728" s="318"/>
      <c r="D728" s="235"/>
      <c r="E728" s="235"/>
      <c r="F728" s="242"/>
      <c r="G728" s="242"/>
      <c r="H728" s="235"/>
      <c r="I728" s="235"/>
      <c r="J728" s="182" t="str">
        <f>J727</f>
        <v>RSDGEO</v>
      </c>
      <c r="K728" s="235"/>
      <c r="L728" s="244" t="str">
        <f t="shared" si="156"/>
        <v>RSDELC</v>
      </c>
      <c r="M728" s="182" t="str">
        <f t="shared" si="158"/>
        <v/>
      </c>
      <c r="N728" s="182"/>
      <c r="O728" s="182"/>
      <c r="P728" s="183"/>
      <c r="Q728" s="183"/>
      <c r="R728" s="182"/>
      <c r="S728" s="182"/>
      <c r="T728" s="252"/>
      <c r="U728" s="182"/>
      <c r="V728" s="252">
        <f t="shared" si="160"/>
        <v>-1</v>
      </c>
      <c r="W728" s="236"/>
    </row>
    <row r="729" spans="1:23" x14ac:dyDescent="0.3">
      <c r="A729" s="316"/>
      <c r="B729" s="235" t="str">
        <f>'RSD (DEA)'!AJ168&amp;"_"&amp;'RSD (DEA)'!Z168</f>
        <v>RHAPA_HP_ELC_10</v>
      </c>
      <c r="C729" s="318"/>
      <c r="D729" s="235" t="str">
        <f t="shared" si="159"/>
        <v>RHAPA_HP_ELC_10</v>
      </c>
      <c r="E729" s="235" t="str">
        <f>'RSD (DEA)'!Q168</f>
        <v>Electric heat pumps</v>
      </c>
      <c r="F729" s="242" t="s">
        <v>239</v>
      </c>
      <c r="G729" s="242" t="s">
        <v>240</v>
      </c>
      <c r="H729" s="235">
        <f>'RSD (DEA)'!S168</f>
        <v>160</v>
      </c>
      <c r="I729" s="235" t="str">
        <f>IF(OR(RIGHT('RSD (DEA)'!AH168,3)="BIO",RIGHT(AD737,3)="BOA"),LEFT('RSD (DEA)'!AH168,3)&amp;"BFW",'RSD (DEA)'!AH168)</f>
        <v>RSDELC</v>
      </c>
      <c r="J729" s="182" t="str">
        <f>'RSD (DEA)'!AI168</f>
        <v>RSDGEO</v>
      </c>
      <c r="K729" s="235" t="str">
        <f>'RSD (DEA)'!AK168</f>
        <v>RWAPA</v>
      </c>
      <c r="L729" s="244"/>
      <c r="M729" s="182">
        <f t="shared" si="158"/>
        <v>2019</v>
      </c>
      <c r="N729" s="182">
        <f>'RSD (DEA)'!X168</f>
        <v>2030</v>
      </c>
      <c r="O729" s="182">
        <f>IF(N729&lt;2019,2019,N729)</f>
        <v>2030</v>
      </c>
      <c r="P729" s="183">
        <f>'RSD (DEA)'!AZ168</f>
        <v>4.4000000000000004</v>
      </c>
      <c r="Q729" s="183">
        <f>'RSD (DEA)'!BA168</f>
        <v>5</v>
      </c>
      <c r="R729" s="182">
        <f>'RSD (DEA)'!BR168/'RSD (DEA)'!S168</f>
        <v>11.6625</v>
      </c>
      <c r="S729" s="182">
        <f>'RSD (DEA)'!BS168/X_RSD_HeatingDemand!$AA$8</f>
        <v>0.12291666666666666</v>
      </c>
      <c r="T729" s="252">
        <f>'RSD (DEA)'!BK160*X_RSD_HeatingDemand!$AA$9/'RSD (DEA)'!S160</f>
        <v>2500</v>
      </c>
      <c r="U729" s="182">
        <f>'RSD (DEA)'!BI168</f>
        <v>20</v>
      </c>
      <c r="V729" s="252" t="str">
        <f t="shared" si="160"/>
        <v/>
      </c>
      <c r="W729" s="236">
        <f>'RSD (DEA)'!AM168</f>
        <v>31.536000000000001</v>
      </c>
    </row>
    <row r="730" spans="1:23" x14ac:dyDescent="0.3">
      <c r="A730" s="316"/>
      <c r="B730" s="235"/>
      <c r="C730" s="318"/>
      <c r="D730" s="235"/>
      <c r="E730" s="235"/>
      <c r="F730" s="242"/>
      <c r="G730" s="242"/>
      <c r="H730" s="235"/>
      <c r="I730" s="235"/>
      <c r="J730" s="182" t="str">
        <f>J729</f>
        <v>RSDGEO</v>
      </c>
      <c r="K730" s="235"/>
      <c r="L730" s="244" t="str">
        <f>$AA$11</f>
        <v>ACT</v>
      </c>
      <c r="M730" s="182" t="str">
        <f t="shared" si="158"/>
        <v/>
      </c>
      <c r="N730" s="182"/>
      <c r="O730" s="182"/>
      <c r="P730" s="183"/>
      <c r="Q730" s="183"/>
      <c r="R730" s="182"/>
      <c r="S730" s="182"/>
      <c r="T730" s="252"/>
      <c r="U730" s="182"/>
      <c r="V730" s="252">
        <f t="shared" si="160"/>
        <v>1</v>
      </c>
      <c r="W730" s="236"/>
    </row>
    <row r="731" spans="1:23" x14ac:dyDescent="0.3">
      <c r="A731" s="316"/>
      <c r="B731" s="235"/>
      <c r="C731" s="318"/>
      <c r="D731" s="235"/>
      <c r="E731" s="235"/>
      <c r="F731" s="242"/>
      <c r="G731" s="242"/>
      <c r="H731" s="235"/>
      <c r="I731" s="235"/>
      <c r="J731" s="182" t="str">
        <f>J730</f>
        <v>RSDGEO</v>
      </c>
      <c r="K731" s="235"/>
      <c r="L731" s="244" t="str">
        <f t="shared" si="157"/>
        <v>RSDELC</v>
      </c>
      <c r="M731" s="182" t="str">
        <f t="shared" si="158"/>
        <v/>
      </c>
      <c r="N731" s="182"/>
      <c r="O731" s="182"/>
      <c r="P731" s="183"/>
      <c r="Q731" s="183"/>
      <c r="R731" s="182"/>
      <c r="S731" s="182"/>
      <c r="T731" s="252"/>
      <c r="U731" s="182"/>
      <c r="V731" s="252">
        <f t="shared" si="160"/>
        <v>-1</v>
      </c>
      <c r="W731" s="236"/>
    </row>
    <row r="732" spans="1:23" x14ac:dyDescent="0.3">
      <c r="A732" s="316"/>
      <c r="B732" s="235" t="str">
        <f>'RSD (DEA)'!AJ169&amp;"_"&amp;'RSD (DEA)'!Z169</f>
        <v>RHAPA_HP_ELC_10</v>
      </c>
      <c r="C732" s="318"/>
      <c r="D732" s="235" t="str">
        <f t="shared" si="159"/>
        <v>RHAPA_HP_ELC_10</v>
      </c>
      <c r="E732" s="235" t="str">
        <f>'RSD (DEA)'!Q169</f>
        <v>Electric heat pumps</v>
      </c>
      <c r="F732" s="242" t="s">
        <v>239</v>
      </c>
      <c r="G732" s="242" t="s">
        <v>240</v>
      </c>
      <c r="H732" s="235">
        <f>'RSD (DEA)'!S169</f>
        <v>160</v>
      </c>
      <c r="I732" s="235" t="str">
        <f>IF(OR(RIGHT('RSD (DEA)'!AH169,3)="BIO",RIGHT(AD740,3)="BOA"),LEFT('RSD (DEA)'!AH169,3)&amp;"BFW",'RSD (DEA)'!AH169)</f>
        <v>RSDELC</v>
      </c>
      <c r="J732" s="182" t="str">
        <f>'RSD (DEA)'!AI169</f>
        <v>RSDGEO</v>
      </c>
      <c r="K732" s="235" t="str">
        <f>'RSD (DEA)'!AK169</f>
        <v>RWAPA</v>
      </c>
      <c r="L732" s="244"/>
      <c r="M732" s="182">
        <f t="shared" si="158"/>
        <v>2019</v>
      </c>
      <c r="N732" s="182">
        <f>'RSD (DEA)'!X169</f>
        <v>2050</v>
      </c>
      <c r="O732" s="182">
        <f>IF(N732&lt;2019,2019,N732)</f>
        <v>2050</v>
      </c>
      <c r="P732" s="183">
        <f>'RSD (DEA)'!AZ169</f>
        <v>4.55</v>
      </c>
      <c r="Q732" s="183">
        <f>'RSD (DEA)'!BA169</f>
        <v>5.2</v>
      </c>
      <c r="R732" s="182">
        <f>'RSD (DEA)'!BR169/'RSD (DEA)'!S169</f>
        <v>15.06875</v>
      </c>
      <c r="S732" s="182">
        <f>'RSD (DEA)'!BS169/X_RSD_HeatingDemand!$AA$8</f>
        <v>0.12291666666666666</v>
      </c>
      <c r="T732" s="252">
        <f>'RSD (DEA)'!BK161*X_RSD_HeatingDemand!$AA$9/'RSD (DEA)'!S161</f>
        <v>2250</v>
      </c>
      <c r="U732" s="182">
        <f>'RSD (DEA)'!BI169</f>
        <v>20</v>
      </c>
      <c r="V732" s="252" t="str">
        <f t="shared" si="160"/>
        <v/>
      </c>
      <c r="W732" s="236">
        <f>'RSD (DEA)'!AM169</f>
        <v>31.536000000000001</v>
      </c>
    </row>
    <row r="733" spans="1:23" x14ac:dyDescent="0.3">
      <c r="A733" s="316"/>
      <c r="B733" s="235"/>
      <c r="C733" s="318"/>
      <c r="D733" s="235"/>
      <c r="E733" s="235"/>
      <c r="F733" s="242"/>
      <c r="G733" s="242"/>
      <c r="H733" s="235"/>
      <c r="I733" s="235"/>
      <c r="J733" s="182" t="str">
        <f>J732</f>
        <v>RSDGEO</v>
      </c>
      <c r="K733" s="235"/>
      <c r="L733" s="244" t="str">
        <f>$AA$11</f>
        <v>ACT</v>
      </c>
      <c r="M733" s="182" t="str">
        <f t="shared" si="158"/>
        <v/>
      </c>
      <c r="N733" s="182"/>
      <c r="O733" s="182"/>
      <c r="P733" s="183"/>
      <c r="Q733" s="183"/>
      <c r="R733" s="182"/>
      <c r="S733" s="182"/>
      <c r="T733" s="252"/>
      <c r="U733" s="182"/>
      <c r="V733" s="252">
        <f t="shared" si="160"/>
        <v>1</v>
      </c>
      <c r="W733" s="236"/>
    </row>
    <row r="734" spans="1:23" x14ac:dyDescent="0.3">
      <c r="A734" s="316"/>
      <c r="B734" s="235"/>
      <c r="C734" s="318"/>
      <c r="D734" s="235"/>
      <c r="E734" s="235"/>
      <c r="F734" s="242"/>
      <c r="G734" s="242"/>
      <c r="H734" s="235"/>
      <c r="I734" s="235"/>
      <c r="J734" s="182" t="str">
        <f>J733</f>
        <v>RSDGEO</v>
      </c>
      <c r="K734" s="235"/>
      <c r="L734" s="244" t="str">
        <f t="shared" si="156"/>
        <v>RSDELC</v>
      </c>
      <c r="M734" s="182" t="str">
        <f t="shared" si="158"/>
        <v/>
      </c>
      <c r="N734" s="182"/>
      <c r="O734" s="182"/>
      <c r="P734" s="183"/>
      <c r="Q734" s="183"/>
      <c r="R734" s="182"/>
      <c r="S734" s="182"/>
      <c r="T734" s="252"/>
      <c r="U734" s="182"/>
      <c r="V734" s="252">
        <f t="shared" si="160"/>
        <v>-1</v>
      </c>
      <c r="W734" s="236"/>
    </row>
    <row r="735" spans="1:23" x14ac:dyDescent="0.3">
      <c r="A735" s="316"/>
      <c r="B735" s="235" t="str">
        <f>'RSD (DEA)'!AJ170&amp;"_"&amp;'RSD (DEA)'!Z170</f>
        <v>RHHSA_HP_ELC_11</v>
      </c>
      <c r="C735" s="318"/>
      <c r="D735" s="235" t="str">
        <f t="shared" si="159"/>
        <v>RHHSA_HP_ELC_11</v>
      </c>
      <c r="E735" s="235" t="str">
        <f>'RSD (DEA)'!Q170</f>
        <v>Electric heat pumps</v>
      </c>
      <c r="F735" s="242" t="s">
        <v>239</v>
      </c>
      <c r="G735" s="242" t="s">
        <v>240</v>
      </c>
      <c r="H735" s="235">
        <f>'RSD (DEA)'!S170</f>
        <v>2</v>
      </c>
      <c r="I735" s="235" t="str">
        <f>IF(OR(RIGHT('RSD (DEA)'!AH170,3)="BIO",RIGHT(AD743,3)="BOA"),LEFT('RSD (DEA)'!AH170,3)&amp;"BFW",'RSD (DEA)'!AH170)</f>
        <v>RSDELC</v>
      </c>
      <c r="J735" s="182" t="str">
        <f>'RSD (DEA)'!AI170</f>
        <v>RSDAHT</v>
      </c>
      <c r="K735" s="235" t="str">
        <f>'RSD (DEA)'!AK170</f>
        <v>RWHSA</v>
      </c>
      <c r="L735" s="244"/>
      <c r="M735" s="182">
        <f t="shared" si="158"/>
        <v>2019</v>
      </c>
      <c r="N735" s="182">
        <f>'RSD (DEA)'!X170</f>
        <v>2015</v>
      </c>
      <c r="O735" s="182">
        <f>IF(N735&lt;2019,2019,N735)</f>
        <v>2019</v>
      </c>
      <c r="P735" s="183">
        <f>'RSD (DEA)'!AZ170</f>
        <v>3.15</v>
      </c>
      <c r="Q735" s="183">
        <f>'RSD (DEA)'!BA170</f>
        <v>3.2</v>
      </c>
      <c r="R735" s="182">
        <f>'RSD (DEA)'!BR170/'RSD (DEA)'!S170</f>
        <v>101</v>
      </c>
      <c r="S735" s="182">
        <f>'RSD (DEA)'!BS170/X_RSD_HeatingDemand!$AA$8</f>
        <v>0</v>
      </c>
      <c r="T735" s="252">
        <f>'RSD (DEA)'!BK162*X_RSD_HeatingDemand!$AA$9/'RSD (DEA)'!S162</f>
        <v>662.5</v>
      </c>
      <c r="U735" s="182">
        <f>'RSD (DEA)'!BI170</f>
        <v>20</v>
      </c>
      <c r="V735" s="252" t="str">
        <f t="shared" si="160"/>
        <v/>
      </c>
      <c r="W735" s="236">
        <f>'RSD (DEA)'!AM170</f>
        <v>31.536000000000001</v>
      </c>
    </row>
    <row r="736" spans="1:23" x14ac:dyDescent="0.3">
      <c r="A736" s="316"/>
      <c r="B736" s="235"/>
      <c r="C736" s="318"/>
      <c r="D736" s="235"/>
      <c r="E736" s="235"/>
      <c r="F736" s="242"/>
      <c r="G736" s="242"/>
      <c r="H736" s="235"/>
      <c r="I736" s="235"/>
      <c r="J736" s="182" t="str">
        <f>J735</f>
        <v>RSDAHT</v>
      </c>
      <c r="K736" s="235"/>
      <c r="L736" s="244" t="str">
        <f>$AA$11</f>
        <v>ACT</v>
      </c>
      <c r="M736" s="182" t="str">
        <f t="shared" si="158"/>
        <v/>
      </c>
      <c r="N736" s="182"/>
      <c r="O736" s="182"/>
      <c r="P736" s="183"/>
      <c r="Q736" s="183"/>
      <c r="R736" s="182"/>
      <c r="S736" s="182"/>
      <c r="T736" s="252"/>
      <c r="U736" s="182"/>
      <c r="V736" s="252">
        <f t="shared" si="160"/>
        <v>1</v>
      </c>
      <c r="W736" s="236"/>
    </row>
    <row r="737" spans="1:23" x14ac:dyDescent="0.3">
      <c r="A737" s="316"/>
      <c r="B737" s="235"/>
      <c r="C737" s="318"/>
      <c r="D737" s="235"/>
      <c r="E737" s="235"/>
      <c r="F737" s="242"/>
      <c r="G737" s="242"/>
      <c r="H737" s="235"/>
      <c r="I737" s="235"/>
      <c r="J737" s="182" t="str">
        <f>J736</f>
        <v>RSDAHT</v>
      </c>
      <c r="K737" s="235"/>
      <c r="L737" s="244" t="str">
        <f t="shared" si="157"/>
        <v>RSDELC</v>
      </c>
      <c r="M737" s="182" t="str">
        <f t="shared" si="158"/>
        <v/>
      </c>
      <c r="N737" s="182"/>
      <c r="O737" s="182"/>
      <c r="P737" s="183"/>
      <c r="Q737" s="183"/>
      <c r="R737" s="182"/>
      <c r="S737" s="182"/>
      <c r="T737" s="252"/>
      <c r="U737" s="182"/>
      <c r="V737" s="252">
        <f t="shared" si="160"/>
        <v>-1</v>
      </c>
      <c r="W737" s="236"/>
    </row>
    <row r="738" spans="1:23" x14ac:dyDescent="0.3">
      <c r="A738" s="316"/>
      <c r="B738" s="235" t="str">
        <f>'RSD (DEA)'!AJ171&amp;"_"&amp;'RSD (DEA)'!Z171</f>
        <v>RHHSA_HP_ELC_11</v>
      </c>
      <c r="C738" s="318"/>
      <c r="D738" s="235" t="str">
        <f t="shared" si="159"/>
        <v>RHHSA_HP_ELC_11</v>
      </c>
      <c r="E738" s="235" t="str">
        <f>'RSD (DEA)'!Q171</f>
        <v>Electric heat pumps</v>
      </c>
      <c r="F738" s="242" t="s">
        <v>239</v>
      </c>
      <c r="G738" s="242" t="s">
        <v>240</v>
      </c>
      <c r="H738" s="235">
        <f>'RSD (DEA)'!S171</f>
        <v>2</v>
      </c>
      <c r="I738" s="235" t="str">
        <f>IF(OR(RIGHT('RSD (DEA)'!AH171,3)="BIO",RIGHT(AD746,3)="BOA"),LEFT('RSD (DEA)'!AH171,3)&amp;"BFW",'RSD (DEA)'!AH171)</f>
        <v>RSDELC</v>
      </c>
      <c r="J738" s="182" t="str">
        <f>'RSD (DEA)'!AI171</f>
        <v>RSDAHT</v>
      </c>
      <c r="K738" s="235" t="str">
        <f>'RSD (DEA)'!AK171</f>
        <v>RWHSA</v>
      </c>
      <c r="L738" s="244"/>
      <c r="M738" s="182">
        <f t="shared" si="158"/>
        <v>2019</v>
      </c>
      <c r="N738" s="182">
        <f>'RSD (DEA)'!X171</f>
        <v>2020</v>
      </c>
      <c r="O738" s="182">
        <f>IF(N738&lt;2019,2019,N738)</f>
        <v>2020</v>
      </c>
      <c r="P738" s="183">
        <f>'RSD (DEA)'!AZ171</f>
        <v>3.25</v>
      </c>
      <c r="Q738" s="183">
        <f>'RSD (DEA)'!BA171</f>
        <v>3.3</v>
      </c>
      <c r="R738" s="182">
        <f>'RSD (DEA)'!BR171/'RSD (DEA)'!S171</f>
        <v>95</v>
      </c>
      <c r="S738" s="182">
        <f>'RSD (DEA)'!BS171/X_RSD_HeatingDemand!$AA$8</f>
        <v>0</v>
      </c>
      <c r="T738" s="252">
        <f>'RSD (DEA)'!BK163*X_RSD_HeatingDemand!$AA$9/'RSD (DEA)'!S163</f>
        <v>622.5</v>
      </c>
      <c r="U738" s="182">
        <f>'RSD (DEA)'!BI171</f>
        <v>20</v>
      </c>
      <c r="V738" s="252" t="str">
        <f t="shared" si="160"/>
        <v/>
      </c>
      <c r="W738" s="236">
        <f>'RSD (DEA)'!AM171</f>
        <v>31.536000000000001</v>
      </c>
    </row>
    <row r="739" spans="1:23" x14ac:dyDescent="0.3">
      <c r="A739" s="316"/>
      <c r="B739" s="235"/>
      <c r="C739" s="318"/>
      <c r="D739" s="235"/>
      <c r="E739" s="235"/>
      <c r="F739" s="242"/>
      <c r="G739" s="242"/>
      <c r="H739" s="235"/>
      <c r="I739" s="235"/>
      <c r="J739" s="182" t="str">
        <f>J738</f>
        <v>RSDAHT</v>
      </c>
      <c r="K739" s="235"/>
      <c r="L739" s="244" t="str">
        <f>$AA$11</f>
        <v>ACT</v>
      </c>
      <c r="M739" s="182" t="str">
        <f t="shared" si="158"/>
        <v/>
      </c>
      <c r="N739" s="182"/>
      <c r="O739" s="182"/>
      <c r="P739" s="183"/>
      <c r="Q739" s="183"/>
      <c r="R739" s="182"/>
      <c r="S739" s="182"/>
      <c r="T739" s="252"/>
      <c r="U739" s="182"/>
      <c r="V739" s="252">
        <f t="shared" si="160"/>
        <v>1</v>
      </c>
      <c r="W739" s="236"/>
    </row>
    <row r="740" spans="1:23" x14ac:dyDescent="0.3">
      <c r="A740" s="316"/>
      <c r="B740" s="235"/>
      <c r="C740" s="318"/>
      <c r="D740" s="235"/>
      <c r="E740" s="235"/>
      <c r="F740" s="242"/>
      <c r="G740" s="242"/>
      <c r="H740" s="235"/>
      <c r="I740" s="235"/>
      <c r="J740" s="182" t="str">
        <f>J739</f>
        <v>RSDAHT</v>
      </c>
      <c r="K740" s="235"/>
      <c r="L740" s="244" t="str">
        <f t="shared" si="156"/>
        <v>RSDELC</v>
      </c>
      <c r="M740" s="182" t="str">
        <f t="shared" si="158"/>
        <v/>
      </c>
      <c r="N740" s="182"/>
      <c r="O740" s="182"/>
      <c r="P740" s="183"/>
      <c r="Q740" s="183"/>
      <c r="R740" s="182"/>
      <c r="S740" s="182"/>
      <c r="T740" s="252"/>
      <c r="U740" s="182"/>
      <c r="V740" s="252">
        <f t="shared" si="160"/>
        <v>-1</v>
      </c>
      <c r="W740" s="236"/>
    </row>
    <row r="741" spans="1:23" x14ac:dyDescent="0.3">
      <c r="A741" s="316"/>
      <c r="B741" s="235" t="str">
        <f>'RSD (DEA)'!AJ172&amp;"_"&amp;'RSD (DEA)'!Z172</f>
        <v>RHHSA_HP_ELC_11</v>
      </c>
      <c r="C741" s="318"/>
      <c r="D741" s="235" t="str">
        <f t="shared" si="159"/>
        <v>RHHSA_HP_ELC_11</v>
      </c>
      <c r="E741" s="235" t="str">
        <f>'RSD (DEA)'!Q172</f>
        <v>Electric heat pumps</v>
      </c>
      <c r="F741" s="242" t="s">
        <v>239</v>
      </c>
      <c r="G741" s="242" t="s">
        <v>240</v>
      </c>
      <c r="H741" s="235">
        <f>'RSD (DEA)'!S172</f>
        <v>3</v>
      </c>
      <c r="I741" s="235" t="str">
        <f>IF(OR(RIGHT('RSD (DEA)'!AH172,3)="BIO",RIGHT(AD749,3)="BOA"),LEFT('RSD (DEA)'!AH172,3)&amp;"BFW",'RSD (DEA)'!AH172)</f>
        <v>RSDELC</v>
      </c>
      <c r="J741" s="182" t="str">
        <f>'RSD (DEA)'!AI172</f>
        <v>RSDAHT</v>
      </c>
      <c r="K741" s="235" t="str">
        <f>'RSD (DEA)'!AK172</f>
        <v>RWHSA</v>
      </c>
      <c r="L741" s="244"/>
      <c r="M741" s="182">
        <f t="shared" si="158"/>
        <v>2019</v>
      </c>
      <c r="N741" s="182">
        <f>'RSD (DEA)'!X172</f>
        <v>2030</v>
      </c>
      <c r="O741" s="182">
        <f>IF(N741&lt;2019,2019,N741)</f>
        <v>2030</v>
      </c>
      <c r="P741" s="183">
        <f>'RSD (DEA)'!AZ172</f>
        <v>3.45</v>
      </c>
      <c r="Q741" s="183">
        <f>'RSD (DEA)'!BA172</f>
        <v>3.5</v>
      </c>
      <c r="R741" s="182">
        <f>'RSD (DEA)'!BR172/'RSD (DEA)'!S172</f>
        <v>57.333333333333336</v>
      </c>
      <c r="S741" s="182">
        <f>'RSD (DEA)'!BS172/X_RSD_HeatingDemand!$AA$8</f>
        <v>0</v>
      </c>
      <c r="T741" s="252">
        <f>'RSD (DEA)'!BK164*X_RSD_HeatingDemand!$AA$9/'RSD (DEA)'!S164</f>
        <v>560</v>
      </c>
      <c r="U741" s="182">
        <f>'RSD (DEA)'!BI172</f>
        <v>20</v>
      </c>
      <c r="V741" s="252" t="str">
        <f t="shared" si="160"/>
        <v/>
      </c>
      <c r="W741" s="236">
        <f>'RSD (DEA)'!AM172</f>
        <v>31.536000000000001</v>
      </c>
    </row>
    <row r="742" spans="1:23" x14ac:dyDescent="0.3">
      <c r="A742" s="316"/>
      <c r="B742" s="235"/>
      <c r="C742" s="318"/>
      <c r="D742" s="235"/>
      <c r="E742" s="235"/>
      <c r="F742" s="242"/>
      <c r="G742" s="242"/>
      <c r="H742" s="235"/>
      <c r="I742" s="235"/>
      <c r="J742" s="182" t="str">
        <f>J741</f>
        <v>RSDAHT</v>
      </c>
      <c r="K742" s="235"/>
      <c r="L742" s="244" t="str">
        <f>$AA$11</f>
        <v>ACT</v>
      </c>
      <c r="M742" s="182" t="str">
        <f t="shared" si="158"/>
        <v/>
      </c>
      <c r="N742" s="182"/>
      <c r="O742" s="182"/>
      <c r="P742" s="183"/>
      <c r="Q742" s="183"/>
      <c r="R742" s="182"/>
      <c r="S742" s="182"/>
      <c r="T742" s="252"/>
      <c r="U742" s="182"/>
      <c r="V742" s="252">
        <f t="shared" si="160"/>
        <v>1</v>
      </c>
      <c r="W742" s="236"/>
    </row>
    <row r="743" spans="1:23" x14ac:dyDescent="0.3">
      <c r="A743" s="316"/>
      <c r="B743" s="235"/>
      <c r="C743" s="318"/>
      <c r="D743" s="235"/>
      <c r="E743" s="235"/>
      <c r="F743" s="242"/>
      <c r="G743" s="242"/>
      <c r="H743" s="235"/>
      <c r="I743" s="235"/>
      <c r="J743" s="182" t="str">
        <f>J742</f>
        <v>RSDAHT</v>
      </c>
      <c r="K743" s="235"/>
      <c r="L743" s="244" t="str">
        <f t="shared" si="157"/>
        <v>RSDELC</v>
      </c>
      <c r="M743" s="182" t="str">
        <f t="shared" si="158"/>
        <v/>
      </c>
      <c r="N743" s="182"/>
      <c r="O743" s="182"/>
      <c r="P743" s="183"/>
      <c r="Q743" s="183"/>
      <c r="R743" s="182"/>
      <c r="S743" s="182"/>
      <c r="T743" s="252"/>
      <c r="U743" s="182"/>
      <c r="V743" s="252">
        <f t="shared" si="160"/>
        <v>-1</v>
      </c>
      <c r="W743" s="236"/>
    </row>
    <row r="744" spans="1:23" x14ac:dyDescent="0.3">
      <c r="A744" s="316"/>
      <c r="B744" s="235" t="str">
        <f>'RSD (DEA)'!AJ173&amp;"_"&amp;'RSD (DEA)'!Z173</f>
        <v>RHHSA_HP_ELC_11</v>
      </c>
      <c r="C744" s="318"/>
      <c r="D744" s="235" t="str">
        <f t="shared" si="159"/>
        <v>RHHSA_HP_ELC_11</v>
      </c>
      <c r="E744" s="235" t="str">
        <f>'RSD (DEA)'!Q173</f>
        <v>Electric heat pumps</v>
      </c>
      <c r="F744" s="242" t="s">
        <v>239</v>
      </c>
      <c r="G744" s="242" t="s">
        <v>240</v>
      </c>
      <c r="H744" s="235">
        <f>'RSD (DEA)'!S173</f>
        <v>3</v>
      </c>
      <c r="I744" s="235" t="str">
        <f>IF(OR(RIGHT('RSD (DEA)'!AH173,3)="BIO",RIGHT(AD752,3)="BOA"),LEFT('RSD (DEA)'!AH173,3)&amp;"BFW",'RSD (DEA)'!AH173)</f>
        <v>RSDELC</v>
      </c>
      <c r="J744" s="182" t="str">
        <f>'RSD (DEA)'!AI173</f>
        <v>RSDAHT</v>
      </c>
      <c r="K744" s="235" t="str">
        <f>'RSD (DEA)'!AK173</f>
        <v>RWHSA</v>
      </c>
      <c r="L744" s="244"/>
      <c r="M744" s="182">
        <f t="shared" si="158"/>
        <v>2019</v>
      </c>
      <c r="N744" s="182">
        <f>'RSD (DEA)'!X173</f>
        <v>2050</v>
      </c>
      <c r="O744" s="182">
        <f>IF(N744&lt;2019,2019,N744)</f>
        <v>2050</v>
      </c>
      <c r="P744" s="183">
        <f>'RSD (DEA)'!AZ173</f>
        <v>3.65</v>
      </c>
      <c r="Q744" s="183">
        <f>'RSD (DEA)'!BA173</f>
        <v>3.7</v>
      </c>
      <c r="R744" s="182">
        <f>'RSD (DEA)'!BR173/'RSD (DEA)'!S173</f>
        <v>52.333333333333336</v>
      </c>
      <c r="S744" s="182">
        <f>'RSD (DEA)'!BS173/X_RSD_HeatingDemand!$AA$8</f>
        <v>0</v>
      </c>
      <c r="T744" s="252">
        <f>'RSD (DEA)'!BK165*X_RSD_HeatingDemand!$AA$9/'RSD (DEA)'!S165</f>
        <v>505</v>
      </c>
      <c r="U744" s="182">
        <f>'RSD (DEA)'!BI173</f>
        <v>20</v>
      </c>
      <c r="V744" s="252" t="str">
        <f t="shared" si="160"/>
        <v/>
      </c>
      <c r="W744" s="236">
        <f>'RSD (DEA)'!AM173</f>
        <v>31.536000000000001</v>
      </c>
    </row>
    <row r="745" spans="1:23" x14ac:dyDescent="0.3">
      <c r="A745" s="316"/>
      <c r="B745" s="235"/>
      <c r="C745" s="318"/>
      <c r="D745" s="235"/>
      <c r="E745" s="235"/>
      <c r="F745" s="242"/>
      <c r="G745" s="242"/>
      <c r="H745" s="235"/>
      <c r="I745" s="235"/>
      <c r="J745" s="182" t="str">
        <f>J744</f>
        <v>RSDAHT</v>
      </c>
      <c r="K745" s="235"/>
      <c r="L745" s="244" t="str">
        <f>$AA$11</f>
        <v>ACT</v>
      </c>
      <c r="M745" s="182" t="str">
        <f t="shared" si="158"/>
        <v/>
      </c>
      <c r="N745" s="182"/>
      <c r="O745" s="182"/>
      <c r="P745" s="183"/>
      <c r="Q745" s="183"/>
      <c r="R745" s="182"/>
      <c r="S745" s="182"/>
      <c r="T745" s="252"/>
      <c r="U745" s="182"/>
      <c r="V745" s="252">
        <f t="shared" si="160"/>
        <v>1</v>
      </c>
      <c r="W745" s="236"/>
    </row>
    <row r="746" spans="1:23" x14ac:dyDescent="0.3">
      <c r="A746" s="316"/>
      <c r="B746" s="235"/>
      <c r="C746" s="318"/>
      <c r="D746" s="235"/>
      <c r="E746" s="235"/>
      <c r="F746" s="242"/>
      <c r="G746" s="242"/>
      <c r="H746" s="235"/>
      <c r="I746" s="235"/>
      <c r="J746" s="182" t="str">
        <f>J745</f>
        <v>RSDAHT</v>
      </c>
      <c r="K746" s="235"/>
      <c r="L746" s="244" t="str">
        <f t="shared" si="156"/>
        <v>RSDELC</v>
      </c>
      <c r="M746" s="182" t="str">
        <f t="shared" si="158"/>
        <v/>
      </c>
      <c r="N746" s="182"/>
      <c r="O746" s="182"/>
      <c r="P746" s="183"/>
      <c r="Q746" s="183"/>
      <c r="R746" s="182"/>
      <c r="S746" s="182"/>
      <c r="T746" s="252"/>
      <c r="U746" s="182"/>
      <c r="V746" s="252">
        <f t="shared" si="160"/>
        <v>-1</v>
      </c>
      <c r="W746" s="236"/>
    </row>
    <row r="747" spans="1:23" x14ac:dyDescent="0.3">
      <c r="A747" s="316"/>
      <c r="B747" s="235" t="str">
        <f>'RSD (DEA)'!AJ174&amp;"_"&amp;'RSD (DEA)'!Z174</f>
        <v>RHAPA_HP_ELC_12</v>
      </c>
      <c r="C747" s="318"/>
      <c r="D747" s="235" t="str">
        <f t="shared" si="159"/>
        <v>RHAPA_HP_ELC_12</v>
      </c>
      <c r="E747" s="235" t="str">
        <f>'RSD (DEA)'!Q174</f>
        <v>Electric heat pumps</v>
      </c>
      <c r="F747" s="242" t="s">
        <v>239</v>
      </c>
      <c r="G747" s="242" t="s">
        <v>240</v>
      </c>
      <c r="H747" s="235">
        <f>'RSD (DEA)'!S174</f>
        <v>160</v>
      </c>
      <c r="I747" s="235" t="str">
        <f>IF(OR(RIGHT('RSD (DEA)'!AH174,3)="BIO",RIGHT(AD755,3)="BOA"),LEFT('RSD (DEA)'!AH174,3)&amp;"BFW",'RSD (DEA)'!AH174)</f>
        <v>RSDELC</v>
      </c>
      <c r="J747" s="182" t="str">
        <f>'RSD (DEA)'!AI174</f>
        <v>RSDAHT</v>
      </c>
      <c r="K747" s="235" t="str">
        <f>'RSD (DEA)'!AK174</f>
        <v>RWAPA</v>
      </c>
      <c r="L747" s="244"/>
      <c r="M747" s="182">
        <f t="shared" si="158"/>
        <v>2019</v>
      </c>
      <c r="N747" s="182">
        <f>'RSD (DEA)'!X174</f>
        <v>2015</v>
      </c>
      <c r="O747" s="182">
        <f>IF(N747&lt;2019,2019,N747)</f>
        <v>2019</v>
      </c>
      <c r="P747" s="183">
        <f>'RSD (DEA)'!AZ174</f>
        <v>5.3</v>
      </c>
      <c r="Q747" s="183">
        <f>'RSD (DEA)'!BA174</f>
        <v>5.5</v>
      </c>
      <c r="R747" s="182">
        <f>'RSD (DEA)'!BR174/'RSD (DEA)'!S174</f>
        <v>7.46875</v>
      </c>
      <c r="S747" s="182">
        <f>'RSD (DEA)'!BS174/X_RSD_HeatingDemand!$AA$8</f>
        <v>0.12291666666666666</v>
      </c>
      <c r="T747" s="252">
        <f>'RSD (DEA)'!BK166*X_RSD_HeatingDemand!$AA$9/'RSD (DEA)'!S166</f>
        <v>593.75</v>
      </c>
      <c r="U747" s="182">
        <f>'RSD (DEA)'!BI174</f>
        <v>20</v>
      </c>
      <c r="V747" s="252" t="str">
        <f t="shared" si="160"/>
        <v/>
      </c>
      <c r="W747" s="236">
        <f>'RSD (DEA)'!AM174</f>
        <v>31.536000000000001</v>
      </c>
    </row>
    <row r="748" spans="1:23" x14ac:dyDescent="0.3">
      <c r="A748" s="316"/>
      <c r="B748" s="235"/>
      <c r="C748" s="318"/>
      <c r="D748" s="235"/>
      <c r="E748" s="235"/>
      <c r="F748" s="242"/>
      <c r="G748" s="242"/>
      <c r="H748" s="235"/>
      <c r="I748" s="235"/>
      <c r="J748" s="182" t="str">
        <f>J747</f>
        <v>RSDAHT</v>
      </c>
      <c r="K748" s="235"/>
      <c r="L748" s="244" t="str">
        <f>$AA$11</f>
        <v>ACT</v>
      </c>
      <c r="M748" s="182" t="str">
        <f t="shared" si="158"/>
        <v/>
      </c>
      <c r="N748" s="182"/>
      <c r="O748" s="182"/>
      <c r="P748" s="183"/>
      <c r="Q748" s="183"/>
      <c r="R748" s="182"/>
      <c r="S748" s="182"/>
      <c r="T748" s="252"/>
      <c r="U748" s="182"/>
      <c r="V748" s="252">
        <f t="shared" si="160"/>
        <v>1</v>
      </c>
      <c r="W748" s="236"/>
    </row>
    <row r="749" spans="1:23" x14ac:dyDescent="0.3">
      <c r="A749" s="316"/>
      <c r="B749" s="235"/>
      <c r="C749" s="318"/>
      <c r="D749" s="235"/>
      <c r="E749" s="235"/>
      <c r="F749" s="242"/>
      <c r="G749" s="242"/>
      <c r="H749" s="235"/>
      <c r="I749" s="235"/>
      <c r="J749" s="182" t="str">
        <f>J748</f>
        <v>RSDAHT</v>
      </c>
      <c r="K749" s="235"/>
      <c r="L749" s="244" t="str">
        <f t="shared" si="157"/>
        <v>RSDELC</v>
      </c>
      <c r="M749" s="182" t="str">
        <f t="shared" si="158"/>
        <v/>
      </c>
      <c r="N749" s="182"/>
      <c r="O749" s="182"/>
      <c r="P749" s="183"/>
      <c r="Q749" s="183"/>
      <c r="R749" s="182"/>
      <c r="S749" s="182"/>
      <c r="T749" s="252"/>
      <c r="U749" s="182"/>
      <c r="V749" s="252">
        <f t="shared" si="160"/>
        <v>-1</v>
      </c>
      <c r="W749" s="236"/>
    </row>
    <row r="750" spans="1:23" x14ac:dyDescent="0.3">
      <c r="A750" s="316"/>
      <c r="B750" s="235" t="str">
        <f>'RSD (DEA)'!AJ175&amp;"_"&amp;'RSD (DEA)'!Z175</f>
        <v>RHAPA_HP_ELC_12</v>
      </c>
      <c r="C750" s="318"/>
      <c r="D750" s="235" t="str">
        <f t="shared" si="159"/>
        <v>RHAPA_HP_ELC_12</v>
      </c>
      <c r="E750" s="235" t="str">
        <f>'RSD (DEA)'!Q175</f>
        <v>Electric heat pumps</v>
      </c>
      <c r="F750" s="242" t="s">
        <v>239</v>
      </c>
      <c r="G750" s="242" t="s">
        <v>240</v>
      </c>
      <c r="H750" s="235">
        <f>'RSD (DEA)'!S175</f>
        <v>160</v>
      </c>
      <c r="I750" s="235" t="str">
        <f>IF(OR(RIGHT('RSD (DEA)'!AH175,3)="BIO",RIGHT(AD758,3)="BOA"),LEFT('RSD (DEA)'!AH175,3)&amp;"BFW",'RSD (DEA)'!AH175)</f>
        <v>RSDELC</v>
      </c>
      <c r="J750" s="182" t="str">
        <f>'RSD (DEA)'!AI175</f>
        <v>RSDAHT</v>
      </c>
      <c r="K750" s="235" t="str">
        <f>'RSD (DEA)'!AK175</f>
        <v>RWAPA</v>
      </c>
      <c r="L750" s="244"/>
      <c r="M750" s="182">
        <f t="shared" si="158"/>
        <v>2019</v>
      </c>
      <c r="N750" s="182">
        <f>'RSD (DEA)'!X175</f>
        <v>2020</v>
      </c>
      <c r="O750" s="182">
        <f>IF(N750&lt;2019,2019,N750)</f>
        <v>2020</v>
      </c>
      <c r="P750" s="183">
        <f>'RSD (DEA)'!AZ175</f>
        <v>5.4</v>
      </c>
      <c r="Q750" s="183">
        <f>'RSD (DEA)'!BA175</f>
        <v>5.6</v>
      </c>
      <c r="R750" s="182">
        <f>'RSD (DEA)'!BR175/'RSD (DEA)'!S175</f>
        <v>7.1875</v>
      </c>
      <c r="S750" s="182">
        <f>'RSD (DEA)'!BS175/X_RSD_HeatingDemand!$AA$8</f>
        <v>0.12291666666666666</v>
      </c>
      <c r="T750" s="252">
        <f>'RSD (DEA)'!BK167*X_RSD_HeatingDemand!$AA$9/'RSD (DEA)'!S167</f>
        <v>556.25</v>
      </c>
      <c r="U750" s="182">
        <f>'RSD (DEA)'!BI175</f>
        <v>20</v>
      </c>
      <c r="V750" s="252" t="str">
        <f t="shared" si="160"/>
        <v/>
      </c>
      <c r="W750" s="236">
        <f>'RSD (DEA)'!AM175</f>
        <v>31.536000000000001</v>
      </c>
    </row>
    <row r="751" spans="1:23" x14ac:dyDescent="0.3">
      <c r="A751" s="316"/>
      <c r="B751" s="235"/>
      <c r="C751" s="318"/>
      <c r="D751" s="235"/>
      <c r="E751" s="235"/>
      <c r="F751" s="242"/>
      <c r="G751" s="242"/>
      <c r="H751" s="235"/>
      <c r="I751" s="235"/>
      <c r="J751" s="182" t="str">
        <f>J750</f>
        <v>RSDAHT</v>
      </c>
      <c r="K751" s="235"/>
      <c r="L751" s="244" t="str">
        <f>$AA$11</f>
        <v>ACT</v>
      </c>
      <c r="M751" s="182" t="str">
        <f t="shared" si="158"/>
        <v/>
      </c>
      <c r="N751" s="182"/>
      <c r="O751" s="182"/>
      <c r="P751" s="183"/>
      <c r="Q751" s="183"/>
      <c r="R751" s="182"/>
      <c r="S751" s="182"/>
      <c r="T751" s="252"/>
      <c r="U751" s="182"/>
      <c r="V751" s="252">
        <f t="shared" si="160"/>
        <v>1</v>
      </c>
      <c r="W751" s="236"/>
    </row>
    <row r="752" spans="1:23" x14ac:dyDescent="0.3">
      <c r="A752" s="316"/>
      <c r="B752" s="235"/>
      <c r="C752" s="318"/>
      <c r="D752" s="235"/>
      <c r="E752" s="235"/>
      <c r="F752" s="242"/>
      <c r="G752" s="242"/>
      <c r="H752" s="235"/>
      <c r="I752" s="235"/>
      <c r="J752" s="182" t="str">
        <f>J751</f>
        <v>RSDAHT</v>
      </c>
      <c r="K752" s="235"/>
      <c r="L752" s="244" t="str">
        <f t="shared" si="156"/>
        <v>RSDELC</v>
      </c>
      <c r="M752" s="182" t="str">
        <f t="shared" si="158"/>
        <v/>
      </c>
      <c r="N752" s="182"/>
      <c r="O752" s="182"/>
      <c r="P752" s="183"/>
      <c r="Q752" s="183"/>
      <c r="R752" s="182"/>
      <c r="S752" s="182"/>
      <c r="T752" s="252"/>
      <c r="U752" s="182"/>
      <c r="V752" s="252">
        <f t="shared" si="160"/>
        <v>-1</v>
      </c>
      <c r="W752" s="236"/>
    </row>
    <row r="753" spans="1:23" x14ac:dyDescent="0.3">
      <c r="A753" s="316"/>
      <c r="B753" s="235" t="str">
        <f>'RSD (DEA)'!AJ176&amp;"_"&amp;'RSD (DEA)'!Z176</f>
        <v>RHAPA_HP_ELC_12</v>
      </c>
      <c r="C753" s="318"/>
      <c r="D753" s="235" t="str">
        <f t="shared" si="159"/>
        <v>RHAPA_HP_ELC_12</v>
      </c>
      <c r="E753" s="235" t="str">
        <f>'RSD (DEA)'!Q176</f>
        <v>Electric heat pumps</v>
      </c>
      <c r="F753" s="242" t="s">
        <v>239</v>
      </c>
      <c r="G753" s="242" t="s">
        <v>240</v>
      </c>
      <c r="H753" s="235">
        <f>'RSD (DEA)'!S176</f>
        <v>160</v>
      </c>
      <c r="I753" s="235" t="str">
        <f>IF(OR(RIGHT('RSD (DEA)'!AH176,3)="BIO",RIGHT(AD761,3)="BOA"),LEFT('RSD (DEA)'!AH176,3)&amp;"BFW",'RSD (DEA)'!AH176)</f>
        <v>RSDELC</v>
      </c>
      <c r="J753" s="182" t="str">
        <f>'RSD (DEA)'!AI176</f>
        <v>RSDAHT</v>
      </c>
      <c r="K753" s="235" t="str">
        <f>'RSD (DEA)'!AK176</f>
        <v>RWAPA</v>
      </c>
      <c r="L753" s="244"/>
      <c r="M753" s="182">
        <f t="shared" si="158"/>
        <v>2019</v>
      </c>
      <c r="N753" s="182">
        <f>'RSD (DEA)'!X176</f>
        <v>2030</v>
      </c>
      <c r="O753" s="182">
        <f>IF(N753&lt;2019,2019,N753)</f>
        <v>2030</v>
      </c>
      <c r="P753" s="183">
        <f>'RSD (DEA)'!AZ176</f>
        <v>5.5</v>
      </c>
      <c r="Q753" s="183">
        <f>'RSD (DEA)'!BA176</f>
        <v>5.7</v>
      </c>
      <c r="R753" s="182">
        <f>'RSD (DEA)'!BR176/'RSD (DEA)'!S176</f>
        <v>7.1937499999999996</v>
      </c>
      <c r="S753" s="182">
        <f>'RSD (DEA)'!BS176/X_RSD_HeatingDemand!$AA$8</f>
        <v>0.12291666666666666</v>
      </c>
      <c r="T753" s="252">
        <f>'RSD (DEA)'!BK168*X_RSD_HeatingDemand!$AA$9/'RSD (DEA)'!S168</f>
        <v>500</v>
      </c>
      <c r="U753" s="182">
        <f>'RSD (DEA)'!BI176</f>
        <v>20</v>
      </c>
      <c r="V753" s="252" t="str">
        <f t="shared" si="160"/>
        <v/>
      </c>
      <c r="W753" s="236">
        <f>'RSD (DEA)'!AM176</f>
        <v>31.536000000000001</v>
      </c>
    </row>
    <row r="754" spans="1:23" x14ac:dyDescent="0.3">
      <c r="A754" s="316"/>
      <c r="B754" s="235"/>
      <c r="C754" s="318"/>
      <c r="D754" s="235"/>
      <c r="E754" s="235"/>
      <c r="F754" s="242"/>
      <c r="G754" s="242"/>
      <c r="H754" s="235"/>
      <c r="I754" s="235"/>
      <c r="J754" s="182" t="str">
        <f>J753</f>
        <v>RSDAHT</v>
      </c>
      <c r="K754" s="235"/>
      <c r="L754" s="244" t="str">
        <f>$AA$11</f>
        <v>ACT</v>
      </c>
      <c r="M754" s="182" t="str">
        <f t="shared" si="158"/>
        <v/>
      </c>
      <c r="N754" s="182"/>
      <c r="O754" s="182"/>
      <c r="P754" s="183"/>
      <c r="Q754" s="183"/>
      <c r="R754" s="182"/>
      <c r="S754" s="182"/>
      <c r="T754" s="252"/>
      <c r="U754" s="182"/>
      <c r="V754" s="252">
        <f t="shared" si="160"/>
        <v>1</v>
      </c>
      <c r="W754" s="236"/>
    </row>
    <row r="755" spans="1:23" x14ac:dyDescent="0.3">
      <c r="A755" s="316"/>
      <c r="B755" s="235"/>
      <c r="C755" s="318"/>
      <c r="D755" s="235"/>
      <c r="E755" s="235"/>
      <c r="F755" s="242"/>
      <c r="G755" s="242"/>
      <c r="H755" s="235"/>
      <c r="I755" s="235"/>
      <c r="J755" s="182" t="str">
        <f>J754</f>
        <v>RSDAHT</v>
      </c>
      <c r="K755" s="235"/>
      <c r="L755" s="244" t="str">
        <f t="shared" si="157"/>
        <v>RSDELC</v>
      </c>
      <c r="M755" s="182" t="str">
        <f t="shared" si="158"/>
        <v/>
      </c>
      <c r="N755" s="182"/>
      <c r="O755" s="182"/>
      <c r="P755" s="183"/>
      <c r="Q755" s="183"/>
      <c r="R755" s="182"/>
      <c r="S755" s="182"/>
      <c r="T755" s="252"/>
      <c r="U755" s="182"/>
      <c r="V755" s="252">
        <f t="shared" si="160"/>
        <v>-1</v>
      </c>
      <c r="W755" s="236"/>
    </row>
    <row r="756" spans="1:23" x14ac:dyDescent="0.3">
      <c r="A756" s="316"/>
      <c r="B756" s="235" t="str">
        <f>'RSD (DEA)'!AJ177&amp;"_"&amp;'RSD (DEA)'!Z177</f>
        <v>RHAPA_HP_ELC_12</v>
      </c>
      <c r="C756" s="318"/>
      <c r="D756" s="235" t="str">
        <f t="shared" si="159"/>
        <v>RHAPA_HP_ELC_12</v>
      </c>
      <c r="E756" s="235" t="str">
        <f>'RSD (DEA)'!Q177</f>
        <v>Electric heat pumps</v>
      </c>
      <c r="F756" s="242" t="s">
        <v>239</v>
      </c>
      <c r="G756" s="242" t="s">
        <v>240</v>
      </c>
      <c r="H756" s="235">
        <f>'RSD (DEA)'!S177</f>
        <v>160</v>
      </c>
      <c r="I756" s="235" t="str">
        <f>IF(OR(RIGHT('RSD (DEA)'!AH177,3)="BIO",RIGHT(AD764,3)="BOA"),LEFT('RSD (DEA)'!AH177,3)&amp;"BFW",'RSD (DEA)'!AH177)</f>
        <v>RSDELC</v>
      </c>
      <c r="J756" s="182" t="str">
        <f>'RSD (DEA)'!AI177</f>
        <v>RSDAHT</v>
      </c>
      <c r="K756" s="235" t="str">
        <f>'RSD (DEA)'!AK177</f>
        <v>RWAPA</v>
      </c>
      <c r="L756" s="244"/>
      <c r="M756" s="182">
        <f t="shared" si="158"/>
        <v>2019</v>
      </c>
      <c r="N756" s="182">
        <f>'RSD (DEA)'!X177</f>
        <v>2050</v>
      </c>
      <c r="O756" s="182">
        <f>IF(N756&lt;2019,2019,N756)</f>
        <v>2050</v>
      </c>
      <c r="P756" s="183">
        <f>'RSD (DEA)'!AZ177</f>
        <v>5.7</v>
      </c>
      <c r="Q756" s="183">
        <f>'RSD (DEA)'!BA177</f>
        <v>5.9</v>
      </c>
      <c r="R756" s="182">
        <f>'RSD (DEA)'!BR177/'RSD (DEA)'!S177</f>
        <v>7.85</v>
      </c>
      <c r="S756" s="182">
        <f>'RSD (DEA)'!BS177/X_RSD_HeatingDemand!$AA$8</f>
        <v>0.12291666666666666</v>
      </c>
      <c r="T756" s="252">
        <f>'RSD (DEA)'!BK169*X_RSD_HeatingDemand!$AA$9/'RSD (DEA)'!S169</f>
        <v>450</v>
      </c>
      <c r="U756" s="182">
        <f>'RSD (DEA)'!BI177</f>
        <v>20</v>
      </c>
      <c r="V756" s="252" t="str">
        <f t="shared" si="160"/>
        <v/>
      </c>
      <c r="W756" s="236">
        <f>'RSD (DEA)'!AM177</f>
        <v>31.536000000000001</v>
      </c>
    </row>
    <row r="757" spans="1:23" x14ac:dyDescent="0.3">
      <c r="A757" s="316"/>
      <c r="B757" s="235"/>
      <c r="C757" s="318"/>
      <c r="D757" s="235"/>
      <c r="E757" s="235"/>
      <c r="F757" s="242"/>
      <c r="G757" s="242"/>
      <c r="H757" s="235"/>
      <c r="I757" s="235"/>
      <c r="J757" s="182" t="str">
        <f>J756</f>
        <v>RSDAHT</v>
      </c>
      <c r="K757" s="235"/>
      <c r="L757" s="244" t="str">
        <f>$AA$11</f>
        <v>ACT</v>
      </c>
      <c r="M757" s="182" t="str">
        <f t="shared" si="158"/>
        <v/>
      </c>
      <c r="N757" s="182"/>
      <c r="O757" s="182"/>
      <c r="P757" s="183"/>
      <c r="Q757" s="183"/>
      <c r="R757" s="182"/>
      <c r="S757" s="182"/>
      <c r="T757" s="252"/>
      <c r="U757" s="182"/>
      <c r="V757" s="252">
        <f t="shared" si="160"/>
        <v>1</v>
      </c>
      <c r="W757" s="236"/>
    </row>
    <row r="758" spans="1:23" x14ac:dyDescent="0.3">
      <c r="A758" s="316"/>
      <c r="B758" s="235"/>
      <c r="C758" s="318"/>
      <c r="D758" s="235"/>
      <c r="E758" s="235"/>
      <c r="F758" s="242"/>
      <c r="G758" s="242"/>
      <c r="H758" s="235"/>
      <c r="I758" s="235"/>
      <c r="J758" s="182" t="str">
        <f>J757</f>
        <v>RSDAHT</v>
      </c>
      <c r="K758" s="235"/>
      <c r="L758" s="244" t="str">
        <f t="shared" si="156"/>
        <v>RSDELC</v>
      </c>
      <c r="M758" s="182" t="str">
        <f t="shared" si="158"/>
        <v/>
      </c>
      <c r="N758" s="182"/>
      <c r="O758" s="182"/>
      <c r="P758" s="183"/>
      <c r="Q758" s="183"/>
      <c r="R758" s="182"/>
      <c r="S758" s="182"/>
      <c r="T758" s="252"/>
      <c r="U758" s="182"/>
      <c r="V758" s="252">
        <f t="shared" si="160"/>
        <v>-1</v>
      </c>
      <c r="W758" s="236"/>
    </row>
    <row r="759" spans="1:23" x14ac:dyDescent="0.3">
      <c r="A759" s="316"/>
      <c r="B759" s="235" t="str">
        <f>'RSD (DEA)'!AJ178&amp;"_"&amp;'RSD (DEA)'!Z178</f>
        <v>RHHSC_HP_GAS_01</v>
      </c>
      <c r="C759" s="318"/>
      <c r="D759" s="235" t="str">
        <f t="shared" si="159"/>
        <v>RHHSC_HP_GAS_01</v>
      </c>
      <c r="E759" s="235" t="str">
        <f>'RSD (DEA)'!Q178</f>
        <v>Gas driven absorption heat pumps</v>
      </c>
      <c r="F759" s="242" t="s">
        <v>239</v>
      </c>
      <c r="G759" s="242" t="s">
        <v>240</v>
      </c>
      <c r="H759" s="235">
        <f>'RSD (DEA)'!S178</f>
        <v>18</v>
      </c>
      <c r="I759" s="235" t="str">
        <f>IF(OR(RIGHT('RSD (DEA)'!AH178,3)="BIO",RIGHT(AD767,3)="BOA"),LEFT('RSD (DEA)'!AH178,3)&amp;"BFW",'RSD (DEA)'!AH178)</f>
        <v>RSDGAS</v>
      </c>
      <c r="J759" s="182" t="str">
        <f>'RSD (DEA)'!AI178</f>
        <v>RSDAHT</v>
      </c>
      <c r="K759" s="235" t="str">
        <f>'RSD (DEA)'!AK178</f>
        <v>RWHSC</v>
      </c>
      <c r="L759" s="244"/>
      <c r="M759" s="182">
        <f t="shared" si="158"/>
        <v>2019</v>
      </c>
      <c r="N759" s="182">
        <f>'RSD (DEA)'!X178</f>
        <v>2015</v>
      </c>
      <c r="O759" s="182">
        <f>IF(N759&lt;2019,2019,N759)</f>
        <v>2019</v>
      </c>
      <c r="P759" s="183">
        <f>'RSD (DEA)'!AZ178</f>
        <v>1.35</v>
      </c>
      <c r="Q759" s="183">
        <f>'RSD (DEA)'!BA178</f>
        <v>0</v>
      </c>
      <c r="R759" s="182">
        <f>'RSD (DEA)'!BR178/'RSD (DEA)'!S178</f>
        <v>13.055555555555555</v>
      </c>
      <c r="S759" s="182">
        <f>'RSD (DEA)'!BS178/X_RSD_HeatingDemand!$AA$8</f>
        <v>0</v>
      </c>
      <c r="T759" s="252">
        <f>'RSD (DEA)'!BK170*X_RSD_HeatingDemand!$AA$9/'RSD (DEA)'!S170</f>
        <v>1000</v>
      </c>
      <c r="U759" s="182">
        <f>'RSD (DEA)'!BI178</f>
        <v>20</v>
      </c>
      <c r="V759" s="252" t="str">
        <f t="shared" si="160"/>
        <v/>
      </c>
      <c r="W759" s="236">
        <f>'RSD (DEA)'!AM178</f>
        <v>31.536000000000001</v>
      </c>
    </row>
    <row r="760" spans="1:23" x14ac:dyDescent="0.3">
      <c r="A760" s="316"/>
      <c r="B760" s="235"/>
      <c r="C760" s="318"/>
      <c r="D760" s="235"/>
      <c r="E760" s="235"/>
      <c r="F760" s="242"/>
      <c r="G760" s="242"/>
      <c r="H760" s="235"/>
      <c r="I760" s="235"/>
      <c r="J760" s="182" t="str">
        <f>J759</f>
        <v>RSDAHT</v>
      </c>
      <c r="K760" s="235"/>
      <c r="L760" s="244" t="str">
        <f>$AA$11</f>
        <v>ACT</v>
      </c>
      <c r="M760" s="182" t="str">
        <f t="shared" si="158"/>
        <v/>
      </c>
      <c r="N760" s="182"/>
      <c r="O760" s="182"/>
      <c r="P760" s="183"/>
      <c r="Q760" s="183"/>
      <c r="R760" s="182"/>
      <c r="S760" s="182"/>
      <c r="T760" s="252"/>
      <c r="U760" s="182"/>
      <c r="V760" s="252">
        <f t="shared" si="160"/>
        <v>1</v>
      </c>
      <c r="W760" s="236"/>
    </row>
    <row r="761" spans="1:23" x14ac:dyDescent="0.3">
      <c r="A761" s="316"/>
      <c r="B761" s="235"/>
      <c r="C761" s="318"/>
      <c r="D761" s="235"/>
      <c r="E761" s="235"/>
      <c r="F761" s="242"/>
      <c r="G761" s="242"/>
      <c r="H761" s="235"/>
      <c r="I761" s="235"/>
      <c r="J761" s="182" t="str">
        <f>J760</f>
        <v>RSDAHT</v>
      </c>
      <c r="K761" s="235"/>
      <c r="L761" s="244" t="str">
        <f t="shared" si="157"/>
        <v>RSDGAS</v>
      </c>
      <c r="M761" s="182" t="str">
        <f t="shared" si="158"/>
        <v/>
      </c>
      <c r="N761" s="182"/>
      <c r="O761" s="182"/>
      <c r="P761" s="183"/>
      <c r="Q761" s="183"/>
      <c r="R761" s="182"/>
      <c r="S761" s="182"/>
      <c r="T761" s="252"/>
      <c r="U761" s="182"/>
      <c r="V761" s="252">
        <f t="shared" si="160"/>
        <v>-1</v>
      </c>
      <c r="W761" s="236"/>
    </row>
    <row r="762" spans="1:23" x14ac:dyDescent="0.3">
      <c r="A762" s="316"/>
      <c r="B762" s="235" t="str">
        <f>'RSD (DEA)'!AJ179&amp;"_"&amp;'RSD (DEA)'!Z179</f>
        <v>RHHSC_HP_GAS_01</v>
      </c>
      <c r="C762" s="318"/>
      <c r="D762" s="235" t="str">
        <f t="shared" si="159"/>
        <v>RHHSC_HP_GAS_01</v>
      </c>
      <c r="E762" s="235" t="str">
        <f>'RSD (DEA)'!Q179</f>
        <v>Gas driven absorption heat pumps</v>
      </c>
      <c r="F762" s="242" t="s">
        <v>239</v>
      </c>
      <c r="G762" s="242" t="s">
        <v>240</v>
      </c>
      <c r="H762" s="235">
        <f>'RSD (DEA)'!S179</f>
        <v>30</v>
      </c>
      <c r="I762" s="235" t="str">
        <f>IF(OR(RIGHT('RSD (DEA)'!AH179,3)="BIO",RIGHT(AD770,3)="BOA"),LEFT('RSD (DEA)'!AH179,3)&amp;"BFW",'RSD (DEA)'!AH179)</f>
        <v>RSDGAS</v>
      </c>
      <c r="J762" s="182" t="str">
        <f>'RSD (DEA)'!AI179</f>
        <v>RSDAHT</v>
      </c>
      <c r="K762" s="235" t="str">
        <f>'RSD (DEA)'!AK179</f>
        <v>RWHSC</v>
      </c>
      <c r="L762" s="244"/>
      <c r="M762" s="182">
        <f t="shared" si="158"/>
        <v>2019</v>
      </c>
      <c r="N762" s="182">
        <f>'RSD (DEA)'!X179</f>
        <v>2020</v>
      </c>
      <c r="O762" s="182">
        <f>IF(N762&lt;2019,2019,N762)</f>
        <v>2020</v>
      </c>
      <c r="P762" s="183">
        <f>'RSD (DEA)'!AZ179</f>
        <v>1.45</v>
      </c>
      <c r="Q762" s="183">
        <f>'RSD (DEA)'!BA179</f>
        <v>0</v>
      </c>
      <c r="R762" s="182">
        <f>'RSD (DEA)'!BR179/'RSD (DEA)'!S179</f>
        <v>7.833333333333333</v>
      </c>
      <c r="S762" s="182">
        <f>'RSD (DEA)'!BS179/X_RSD_HeatingDemand!$AA$8</f>
        <v>0</v>
      </c>
      <c r="T762" s="252">
        <f>'RSD (DEA)'!BK171*X_RSD_HeatingDemand!$AA$9/'RSD (DEA)'!S171</f>
        <v>1000</v>
      </c>
      <c r="U762" s="182">
        <f>'RSD (DEA)'!BI179</f>
        <v>20</v>
      </c>
      <c r="V762" s="252" t="str">
        <f t="shared" si="160"/>
        <v/>
      </c>
      <c r="W762" s="236">
        <f>'RSD (DEA)'!AM179</f>
        <v>31.536000000000001</v>
      </c>
    </row>
    <row r="763" spans="1:23" x14ac:dyDescent="0.3">
      <c r="A763" s="316"/>
      <c r="B763" s="235"/>
      <c r="C763" s="318"/>
      <c r="D763" s="235"/>
      <c r="E763" s="235"/>
      <c r="F763" s="242"/>
      <c r="G763" s="242"/>
      <c r="H763" s="235"/>
      <c r="I763" s="235"/>
      <c r="J763" s="182" t="str">
        <f>J762</f>
        <v>RSDAHT</v>
      </c>
      <c r="K763" s="235"/>
      <c r="L763" s="244" t="str">
        <f>$AA$11</f>
        <v>ACT</v>
      </c>
      <c r="M763" s="182" t="str">
        <f t="shared" si="158"/>
        <v/>
      </c>
      <c r="N763" s="182"/>
      <c r="O763" s="182"/>
      <c r="P763" s="183"/>
      <c r="Q763" s="183"/>
      <c r="R763" s="182"/>
      <c r="S763" s="182"/>
      <c r="T763" s="252"/>
      <c r="U763" s="182"/>
      <c r="V763" s="252">
        <f t="shared" si="160"/>
        <v>1</v>
      </c>
      <c r="W763" s="236"/>
    </row>
    <row r="764" spans="1:23" x14ac:dyDescent="0.3">
      <c r="A764" s="316"/>
      <c r="B764" s="235"/>
      <c r="C764" s="318"/>
      <c r="D764" s="235"/>
      <c r="E764" s="235"/>
      <c r="F764" s="242"/>
      <c r="G764" s="242"/>
      <c r="H764" s="235"/>
      <c r="I764" s="235"/>
      <c r="J764" s="182" t="str">
        <f>J763</f>
        <v>RSDAHT</v>
      </c>
      <c r="K764" s="235"/>
      <c r="L764" s="244" t="str">
        <f t="shared" ref="L764:L824" si="161">I762</f>
        <v>RSDGAS</v>
      </c>
      <c r="M764" s="182" t="str">
        <f t="shared" si="158"/>
        <v/>
      </c>
      <c r="N764" s="182"/>
      <c r="O764" s="182"/>
      <c r="P764" s="183"/>
      <c r="Q764" s="183"/>
      <c r="R764" s="182"/>
      <c r="S764" s="182"/>
      <c r="T764" s="252"/>
      <c r="U764" s="182"/>
      <c r="V764" s="252">
        <f t="shared" si="160"/>
        <v>-1</v>
      </c>
      <c r="W764" s="236"/>
    </row>
    <row r="765" spans="1:23" x14ac:dyDescent="0.3">
      <c r="A765" s="316"/>
      <c r="B765" s="235" t="str">
        <f>'RSD (DEA)'!AJ180&amp;"_"&amp;'RSD (DEA)'!Z180</f>
        <v>RHHSC_HP_GAS_01</v>
      </c>
      <c r="C765" s="318"/>
      <c r="D765" s="235" t="str">
        <f t="shared" si="159"/>
        <v>RHHSC_HP_GAS_01</v>
      </c>
      <c r="E765" s="235" t="str">
        <f>'RSD (DEA)'!Q180</f>
        <v>Gas driven absorption heat pumps</v>
      </c>
      <c r="F765" s="242" t="s">
        <v>239</v>
      </c>
      <c r="G765" s="242" t="s">
        <v>240</v>
      </c>
      <c r="H765" s="235">
        <f>'RSD (DEA)'!S180</f>
        <v>30</v>
      </c>
      <c r="I765" s="235" t="str">
        <f>IF(OR(RIGHT('RSD (DEA)'!AH180,3)="BIO",RIGHT(AD773,3)="BOA"),LEFT('RSD (DEA)'!AH180,3)&amp;"BFW",'RSD (DEA)'!AH180)</f>
        <v>RSDGAS</v>
      </c>
      <c r="J765" s="182" t="str">
        <f>'RSD (DEA)'!AI180</f>
        <v>RSDAHT</v>
      </c>
      <c r="K765" s="235" t="str">
        <f>'RSD (DEA)'!AK180</f>
        <v>RWHSC</v>
      </c>
      <c r="L765" s="244"/>
      <c r="M765" s="182">
        <f t="shared" si="158"/>
        <v>2019</v>
      </c>
      <c r="N765" s="182">
        <f>'RSD (DEA)'!X180</f>
        <v>2030</v>
      </c>
      <c r="O765" s="182">
        <f>IF(N765&lt;2019,2019,N765)</f>
        <v>2030</v>
      </c>
      <c r="P765" s="183">
        <f>'RSD (DEA)'!AZ180</f>
        <v>1.7</v>
      </c>
      <c r="Q765" s="183">
        <f>'RSD (DEA)'!BA180</f>
        <v>0</v>
      </c>
      <c r="R765" s="182">
        <f>'RSD (DEA)'!BR180/'RSD (DEA)'!S180</f>
        <v>7.833333333333333</v>
      </c>
      <c r="S765" s="182">
        <f>'RSD (DEA)'!BS180/X_RSD_HeatingDemand!$AA$8</f>
        <v>0</v>
      </c>
      <c r="T765" s="252">
        <f>'RSD (DEA)'!BK172*X_RSD_HeatingDemand!$AA$9/'RSD (DEA)'!S172</f>
        <v>666.66666666666663</v>
      </c>
      <c r="U765" s="182">
        <f>'RSD (DEA)'!BI180</f>
        <v>20</v>
      </c>
      <c r="V765" s="252" t="str">
        <f t="shared" si="160"/>
        <v/>
      </c>
      <c r="W765" s="236">
        <f>'RSD (DEA)'!AM180</f>
        <v>31.536000000000001</v>
      </c>
    </row>
    <row r="766" spans="1:23" x14ac:dyDescent="0.3">
      <c r="A766" s="316"/>
      <c r="B766" s="235"/>
      <c r="C766" s="318"/>
      <c r="D766" s="235"/>
      <c r="E766" s="235"/>
      <c r="F766" s="242"/>
      <c r="G766" s="242"/>
      <c r="H766" s="235"/>
      <c r="I766" s="235"/>
      <c r="J766" s="182" t="str">
        <f>J765</f>
        <v>RSDAHT</v>
      </c>
      <c r="K766" s="235"/>
      <c r="L766" s="244" t="str">
        <f>$AA$11</f>
        <v>ACT</v>
      </c>
      <c r="M766" s="182" t="str">
        <f t="shared" si="158"/>
        <v/>
      </c>
      <c r="N766" s="182"/>
      <c r="O766" s="182"/>
      <c r="P766" s="183"/>
      <c r="Q766" s="183"/>
      <c r="R766" s="182"/>
      <c r="S766" s="182"/>
      <c r="T766" s="252"/>
      <c r="U766" s="182"/>
      <c r="V766" s="252">
        <f t="shared" si="160"/>
        <v>1</v>
      </c>
      <c r="W766" s="236"/>
    </row>
    <row r="767" spans="1:23" x14ac:dyDescent="0.3">
      <c r="A767" s="316"/>
      <c r="B767" s="235"/>
      <c r="C767" s="318"/>
      <c r="D767" s="235"/>
      <c r="E767" s="235"/>
      <c r="F767" s="242"/>
      <c r="G767" s="242"/>
      <c r="H767" s="235"/>
      <c r="I767" s="235"/>
      <c r="J767" s="182" t="str">
        <f>J766</f>
        <v>RSDAHT</v>
      </c>
      <c r="K767" s="235"/>
      <c r="L767" s="244" t="str">
        <f t="shared" ref="L767:L827" si="162">I765</f>
        <v>RSDGAS</v>
      </c>
      <c r="M767" s="182" t="str">
        <f t="shared" si="158"/>
        <v/>
      </c>
      <c r="N767" s="182"/>
      <c r="O767" s="182"/>
      <c r="P767" s="183"/>
      <c r="Q767" s="183"/>
      <c r="R767" s="182"/>
      <c r="S767" s="182"/>
      <c r="T767" s="252"/>
      <c r="U767" s="182"/>
      <c r="V767" s="252">
        <f t="shared" si="160"/>
        <v>-1</v>
      </c>
      <c r="W767" s="236"/>
    </row>
    <row r="768" spans="1:23" x14ac:dyDescent="0.3">
      <c r="A768" s="316"/>
      <c r="B768" s="235" t="str">
        <f>'RSD (DEA)'!AJ181&amp;"_"&amp;'RSD (DEA)'!Z181</f>
        <v>RHHSC_HP_GAS_01</v>
      </c>
      <c r="C768" s="318"/>
      <c r="D768" s="235" t="str">
        <f t="shared" si="159"/>
        <v>RHHSC_HP_GAS_01</v>
      </c>
      <c r="E768" s="235" t="str">
        <f>'RSD (DEA)'!Q181</f>
        <v>Gas driven absorption heat pumps</v>
      </c>
      <c r="F768" s="242" t="s">
        <v>239</v>
      </c>
      <c r="G768" s="242" t="s">
        <v>240</v>
      </c>
      <c r="H768" s="235">
        <f>'RSD (DEA)'!S181</f>
        <v>30</v>
      </c>
      <c r="I768" s="235" t="str">
        <f>IF(OR(RIGHT('RSD (DEA)'!AH181,3)="BIO",RIGHT(AD776,3)="BOA"),LEFT('RSD (DEA)'!AH181,3)&amp;"BFW",'RSD (DEA)'!AH181)</f>
        <v>RSDGAS</v>
      </c>
      <c r="J768" s="182" t="str">
        <f>'RSD (DEA)'!AI181</f>
        <v>RSDAHT</v>
      </c>
      <c r="K768" s="235" t="str">
        <f>'RSD (DEA)'!AK181</f>
        <v>RWHSC</v>
      </c>
      <c r="L768" s="244"/>
      <c r="M768" s="182">
        <f t="shared" si="158"/>
        <v>2019</v>
      </c>
      <c r="N768" s="182">
        <f>'RSD (DEA)'!X181</f>
        <v>2050</v>
      </c>
      <c r="O768" s="182">
        <f>IF(N768&lt;2019,2019,N768)</f>
        <v>2050</v>
      </c>
      <c r="P768" s="183">
        <f>'RSD (DEA)'!AZ181</f>
        <v>1.7</v>
      </c>
      <c r="Q768" s="183">
        <f>'RSD (DEA)'!BA181</f>
        <v>0</v>
      </c>
      <c r="R768" s="182">
        <f>'RSD (DEA)'!BR181/'RSD (DEA)'!S181</f>
        <v>7.833333333333333</v>
      </c>
      <c r="S768" s="182">
        <f>'RSD (DEA)'!BS181/X_RSD_HeatingDemand!$AA$8</f>
        <v>0</v>
      </c>
      <c r="T768" s="252">
        <f>'RSD (DEA)'!BK173*X_RSD_HeatingDemand!$AA$9/'RSD (DEA)'!S173</f>
        <v>666.66666666666663</v>
      </c>
      <c r="U768" s="182">
        <f>'RSD (DEA)'!BI181</f>
        <v>20</v>
      </c>
      <c r="V768" s="252" t="str">
        <f t="shared" si="160"/>
        <v/>
      </c>
      <c r="W768" s="236">
        <f>'RSD (DEA)'!AM181</f>
        <v>31.536000000000001</v>
      </c>
    </row>
    <row r="769" spans="1:23" x14ac:dyDescent="0.3">
      <c r="A769" s="316"/>
      <c r="B769" s="235"/>
      <c r="C769" s="318"/>
      <c r="D769" s="235"/>
      <c r="E769" s="235"/>
      <c r="F769" s="242"/>
      <c r="G769" s="242"/>
      <c r="H769" s="235"/>
      <c r="I769" s="235"/>
      <c r="J769" s="182" t="str">
        <f>J768</f>
        <v>RSDAHT</v>
      </c>
      <c r="K769" s="235"/>
      <c r="L769" s="244" t="str">
        <f>$AA$11</f>
        <v>ACT</v>
      </c>
      <c r="M769" s="182" t="str">
        <f t="shared" si="158"/>
        <v/>
      </c>
      <c r="N769" s="182"/>
      <c r="O769" s="182"/>
      <c r="P769" s="183"/>
      <c r="Q769" s="183"/>
      <c r="R769" s="182"/>
      <c r="S769" s="182"/>
      <c r="T769" s="252"/>
      <c r="U769" s="182"/>
      <c r="V769" s="252">
        <f t="shared" si="160"/>
        <v>1</v>
      </c>
      <c r="W769" s="236"/>
    </row>
    <row r="770" spans="1:23" x14ac:dyDescent="0.3">
      <c r="A770" s="316"/>
      <c r="B770" s="235"/>
      <c r="C770" s="318"/>
      <c r="D770" s="235"/>
      <c r="E770" s="235"/>
      <c r="F770" s="242"/>
      <c r="G770" s="242"/>
      <c r="H770" s="235"/>
      <c r="I770" s="235"/>
      <c r="J770" s="182" t="str">
        <f>J769</f>
        <v>RSDAHT</v>
      </c>
      <c r="K770" s="235"/>
      <c r="L770" s="244" t="str">
        <f t="shared" si="161"/>
        <v>RSDGAS</v>
      </c>
      <c r="M770" s="182" t="str">
        <f t="shared" si="158"/>
        <v/>
      </c>
      <c r="N770" s="182"/>
      <c r="O770" s="182"/>
      <c r="P770" s="183"/>
      <c r="Q770" s="183"/>
      <c r="R770" s="182"/>
      <c r="S770" s="182"/>
      <c r="T770" s="252"/>
      <c r="U770" s="182"/>
      <c r="V770" s="252">
        <f t="shared" si="160"/>
        <v>-1</v>
      </c>
      <c r="W770" s="236"/>
    </row>
    <row r="771" spans="1:23" x14ac:dyDescent="0.3">
      <c r="A771" s="316"/>
      <c r="B771" s="235" t="str">
        <f>'RSD (DEA)'!AJ182&amp;"_"&amp;'RSD (DEA)'!Z182</f>
        <v>RHHSC_HP_GAS_02</v>
      </c>
      <c r="C771" s="318"/>
      <c r="D771" s="235" t="str">
        <f t="shared" si="159"/>
        <v>RHHSC_HP_GAS_02</v>
      </c>
      <c r="E771" s="235" t="str">
        <f>'RSD (DEA)'!Q182</f>
        <v>Gas driven absorption heat pumps</v>
      </c>
      <c r="F771" s="242" t="s">
        <v>239</v>
      </c>
      <c r="G771" s="242" t="s">
        <v>240</v>
      </c>
      <c r="H771" s="235">
        <f>'RSD (DEA)'!S182</f>
        <v>18</v>
      </c>
      <c r="I771" s="235" t="str">
        <f>IF(OR(RIGHT('RSD (DEA)'!AH182,3)="BIO",RIGHT(AD779,3)="BOA"),LEFT('RSD (DEA)'!AH182,3)&amp;"BFW",'RSD (DEA)'!AH182)</f>
        <v>RSDGAS</v>
      </c>
      <c r="J771" s="182" t="str">
        <f>'RSD (DEA)'!AI182</f>
        <v>RSDAHT</v>
      </c>
      <c r="K771" s="235" t="str">
        <f>'RSD (DEA)'!AK182</f>
        <v>RWHSC</v>
      </c>
      <c r="L771" s="244"/>
      <c r="M771" s="182">
        <f t="shared" si="158"/>
        <v>2019</v>
      </c>
      <c r="N771" s="182">
        <f>'RSD (DEA)'!X182</f>
        <v>2015</v>
      </c>
      <c r="O771" s="182">
        <f>IF(N771&lt;2019,2019,N771)</f>
        <v>2019</v>
      </c>
      <c r="P771" s="183">
        <f>'RSD (DEA)'!AZ182</f>
        <v>1.35</v>
      </c>
      <c r="Q771" s="183">
        <f>'RSD (DEA)'!BA182</f>
        <v>0</v>
      </c>
      <c r="R771" s="182">
        <f>'RSD (DEA)'!BR182/'RSD (DEA)'!S182</f>
        <v>13.055555555555555</v>
      </c>
      <c r="S771" s="182">
        <f>'RSD (DEA)'!BS182/X_RSD_HeatingDemand!$AA$8</f>
        <v>0</v>
      </c>
      <c r="T771" s="252">
        <f>'RSD (DEA)'!BK174*X_RSD_HeatingDemand!$AA$9/'RSD (DEA)'!S174</f>
        <v>468.75</v>
      </c>
      <c r="U771" s="182">
        <f>'RSD (DEA)'!BI182</f>
        <v>20</v>
      </c>
      <c r="V771" s="252" t="str">
        <f t="shared" si="160"/>
        <v/>
      </c>
      <c r="W771" s="236">
        <f>'RSD (DEA)'!AM182</f>
        <v>31.536000000000001</v>
      </c>
    </row>
    <row r="772" spans="1:23" x14ac:dyDescent="0.3">
      <c r="A772" s="316"/>
      <c r="B772" s="235"/>
      <c r="C772" s="318"/>
      <c r="D772" s="235"/>
      <c r="E772" s="235"/>
      <c r="F772" s="242"/>
      <c r="G772" s="242"/>
      <c r="H772" s="235"/>
      <c r="I772" s="235"/>
      <c r="J772" s="182" t="str">
        <f>J771</f>
        <v>RSDAHT</v>
      </c>
      <c r="K772" s="235"/>
      <c r="L772" s="244" t="str">
        <f>$AA$11</f>
        <v>ACT</v>
      </c>
      <c r="M772" s="182" t="str">
        <f t="shared" si="158"/>
        <v/>
      </c>
      <c r="N772" s="182"/>
      <c r="O772" s="182"/>
      <c r="P772" s="183"/>
      <c r="Q772" s="183"/>
      <c r="R772" s="182"/>
      <c r="S772" s="182"/>
      <c r="T772" s="252"/>
      <c r="U772" s="182"/>
      <c r="V772" s="252">
        <f t="shared" si="160"/>
        <v>1</v>
      </c>
      <c r="W772" s="236"/>
    </row>
    <row r="773" spans="1:23" x14ac:dyDescent="0.3">
      <c r="A773" s="316"/>
      <c r="B773" s="235"/>
      <c r="C773" s="318"/>
      <c r="D773" s="235"/>
      <c r="E773" s="235"/>
      <c r="F773" s="242"/>
      <c r="G773" s="242"/>
      <c r="H773" s="235"/>
      <c r="I773" s="235"/>
      <c r="J773" s="182" t="str">
        <f>J772</f>
        <v>RSDAHT</v>
      </c>
      <c r="K773" s="235"/>
      <c r="L773" s="244" t="str">
        <f t="shared" si="162"/>
        <v>RSDGAS</v>
      </c>
      <c r="M773" s="182" t="str">
        <f t="shared" si="158"/>
        <v/>
      </c>
      <c r="N773" s="182"/>
      <c r="O773" s="182"/>
      <c r="P773" s="183"/>
      <c r="Q773" s="183"/>
      <c r="R773" s="182"/>
      <c r="S773" s="182"/>
      <c r="T773" s="252"/>
      <c r="U773" s="182"/>
      <c r="V773" s="252">
        <f t="shared" si="160"/>
        <v>-1</v>
      </c>
      <c r="W773" s="236"/>
    </row>
    <row r="774" spans="1:23" x14ac:dyDescent="0.3">
      <c r="A774" s="316"/>
      <c r="B774" s="235" t="str">
        <f>'RSD (DEA)'!AJ183&amp;"_"&amp;'RSD (DEA)'!Z183</f>
        <v>RHHSC_HP_GAS_02</v>
      </c>
      <c r="C774" s="318"/>
      <c r="D774" s="235" t="str">
        <f t="shared" si="159"/>
        <v>RHHSC_HP_GAS_02</v>
      </c>
      <c r="E774" s="235" t="str">
        <f>'RSD (DEA)'!Q183</f>
        <v>Gas driven absorption heat pumps</v>
      </c>
      <c r="F774" s="242" t="s">
        <v>239</v>
      </c>
      <c r="G774" s="242" t="s">
        <v>240</v>
      </c>
      <c r="H774" s="235">
        <f>'RSD (DEA)'!S183</f>
        <v>30</v>
      </c>
      <c r="I774" s="235" t="str">
        <f>IF(OR(RIGHT('RSD (DEA)'!AH183,3)="BIO",RIGHT(AD782,3)="BOA"),LEFT('RSD (DEA)'!AH183,3)&amp;"BFW",'RSD (DEA)'!AH183)</f>
        <v>RSDGAS</v>
      </c>
      <c r="J774" s="182" t="str">
        <f>'RSD (DEA)'!AI183</f>
        <v>RSDAHT</v>
      </c>
      <c r="K774" s="235" t="str">
        <f>'RSD (DEA)'!AK183</f>
        <v>RWHSC</v>
      </c>
      <c r="L774" s="244"/>
      <c r="M774" s="182">
        <f t="shared" ref="M774:M838" si="163">IF(ISBLANK(B774),"",$AA$14)</f>
        <v>2019</v>
      </c>
      <c r="N774" s="182">
        <f>'RSD (DEA)'!X183</f>
        <v>2020</v>
      </c>
      <c r="O774" s="182">
        <f>IF(N774&lt;2019,2019,N774)</f>
        <v>2020</v>
      </c>
      <c r="P774" s="183">
        <f>'RSD (DEA)'!AZ183</f>
        <v>1.45</v>
      </c>
      <c r="Q774" s="183">
        <f>'RSD (DEA)'!BA183</f>
        <v>0</v>
      </c>
      <c r="R774" s="182">
        <f>'RSD (DEA)'!BR183/'RSD (DEA)'!S183</f>
        <v>7.833333333333333</v>
      </c>
      <c r="S774" s="182">
        <f>'RSD (DEA)'!BS183/X_RSD_HeatingDemand!$AA$8</f>
        <v>0</v>
      </c>
      <c r="T774" s="252">
        <f>'RSD (DEA)'!BK175*X_RSD_HeatingDemand!$AA$9/'RSD (DEA)'!S175</f>
        <v>443.75</v>
      </c>
      <c r="U774" s="182">
        <f>'RSD (DEA)'!BI183</f>
        <v>20</v>
      </c>
      <c r="V774" s="252" t="str">
        <f t="shared" si="160"/>
        <v/>
      </c>
      <c r="W774" s="236">
        <f>'RSD (DEA)'!AM183</f>
        <v>31.536000000000001</v>
      </c>
    </row>
    <row r="775" spans="1:23" x14ac:dyDescent="0.3">
      <c r="A775" s="316"/>
      <c r="B775" s="235"/>
      <c r="C775" s="318"/>
      <c r="D775" s="235"/>
      <c r="E775" s="235"/>
      <c r="F775" s="242"/>
      <c r="G775" s="242"/>
      <c r="H775" s="235"/>
      <c r="I775" s="235"/>
      <c r="J775" s="182" t="str">
        <f>J774</f>
        <v>RSDAHT</v>
      </c>
      <c r="K775" s="235"/>
      <c r="L775" s="244" t="str">
        <f>$AA$11</f>
        <v>ACT</v>
      </c>
      <c r="M775" s="182" t="str">
        <f t="shared" si="163"/>
        <v/>
      </c>
      <c r="N775" s="182"/>
      <c r="O775" s="182"/>
      <c r="P775" s="183"/>
      <c r="Q775" s="183"/>
      <c r="R775" s="182"/>
      <c r="S775" s="182"/>
      <c r="T775" s="252"/>
      <c r="U775" s="182"/>
      <c r="V775" s="252">
        <f t="shared" si="160"/>
        <v>1</v>
      </c>
      <c r="W775" s="236"/>
    </row>
    <row r="776" spans="1:23" x14ac:dyDescent="0.3">
      <c r="A776" s="316"/>
      <c r="B776" s="235"/>
      <c r="C776" s="318"/>
      <c r="D776" s="235"/>
      <c r="E776" s="235"/>
      <c r="F776" s="242"/>
      <c r="G776" s="242"/>
      <c r="H776" s="235"/>
      <c r="I776" s="235"/>
      <c r="J776" s="182" t="str">
        <f>J775</f>
        <v>RSDAHT</v>
      </c>
      <c r="K776" s="235"/>
      <c r="L776" s="244" t="str">
        <f t="shared" si="161"/>
        <v>RSDGAS</v>
      </c>
      <c r="M776" s="182" t="str">
        <f t="shared" si="163"/>
        <v/>
      </c>
      <c r="N776" s="182"/>
      <c r="O776" s="182"/>
      <c r="P776" s="183"/>
      <c r="Q776" s="183"/>
      <c r="R776" s="182"/>
      <c r="S776" s="182"/>
      <c r="T776" s="252"/>
      <c r="U776" s="182"/>
      <c r="V776" s="252">
        <f t="shared" si="160"/>
        <v>-1</v>
      </c>
      <c r="W776" s="236"/>
    </row>
    <row r="777" spans="1:23" x14ac:dyDescent="0.3">
      <c r="A777" s="316"/>
      <c r="B777" s="235" t="str">
        <f>'RSD (DEA)'!AJ184&amp;"_"&amp;'RSD (DEA)'!Z184</f>
        <v>RHHSC_HP_GAS_02</v>
      </c>
      <c r="C777" s="318"/>
      <c r="D777" s="235" t="str">
        <f t="shared" ref="D777:D837" si="164">IF(B777=B776,LEFT(B777,LEN(B777)-2)&amp;IF(RIGHT(D776)+1&lt;9,"0"&amp;RIGHT(D776)+1,RIGHT(D776)+1),B777)</f>
        <v>RHHSC_HP_GAS_02</v>
      </c>
      <c r="E777" s="235" t="str">
        <f>'RSD (DEA)'!Q184</f>
        <v>Gas driven absorption heat pumps</v>
      </c>
      <c r="F777" s="242" t="s">
        <v>239</v>
      </c>
      <c r="G777" s="242" t="s">
        <v>240</v>
      </c>
      <c r="H777" s="235">
        <f>'RSD (DEA)'!S184</f>
        <v>30</v>
      </c>
      <c r="I777" s="235" t="str">
        <f>IF(OR(RIGHT('RSD (DEA)'!AH184,3)="BIO",RIGHT(AD785,3)="BOA"),LEFT('RSD (DEA)'!AH184,3)&amp;"BFW",'RSD (DEA)'!AH184)</f>
        <v>RSDGAS</v>
      </c>
      <c r="J777" s="182" t="str">
        <f>'RSD (DEA)'!AI184</f>
        <v>RSDAHT</v>
      </c>
      <c r="K777" s="235" t="str">
        <f>'RSD (DEA)'!AK184</f>
        <v>RWHSC</v>
      </c>
      <c r="L777" s="244"/>
      <c r="M777" s="182">
        <f t="shared" si="163"/>
        <v>2019</v>
      </c>
      <c r="N777" s="182">
        <f>'RSD (DEA)'!X184</f>
        <v>2030</v>
      </c>
      <c r="O777" s="182">
        <f>IF(N777&lt;2019,2019,N777)</f>
        <v>2030</v>
      </c>
      <c r="P777" s="183">
        <f>'RSD (DEA)'!AZ184</f>
        <v>1.7</v>
      </c>
      <c r="Q777" s="183">
        <f>'RSD (DEA)'!BA184</f>
        <v>0</v>
      </c>
      <c r="R777" s="182">
        <f>'RSD (DEA)'!BR184/'RSD (DEA)'!S184</f>
        <v>7.833333333333333</v>
      </c>
      <c r="S777" s="182">
        <f>'RSD (DEA)'!BS184/X_RSD_HeatingDemand!$AA$8</f>
        <v>0</v>
      </c>
      <c r="T777" s="252">
        <f>'RSD (DEA)'!BK176*X_RSD_HeatingDemand!$AA$9/'RSD (DEA)'!S176</f>
        <v>393.75</v>
      </c>
      <c r="U777" s="182">
        <f>'RSD (DEA)'!BI184</f>
        <v>20</v>
      </c>
      <c r="V777" s="252" t="str">
        <f t="shared" si="160"/>
        <v/>
      </c>
      <c r="W777" s="236">
        <f>'RSD (DEA)'!AM184</f>
        <v>31.536000000000001</v>
      </c>
    </row>
    <row r="778" spans="1:23" x14ac:dyDescent="0.3">
      <c r="A778" s="316"/>
      <c r="B778" s="235"/>
      <c r="C778" s="318"/>
      <c r="D778" s="235"/>
      <c r="E778" s="235"/>
      <c r="F778" s="242"/>
      <c r="G778" s="242"/>
      <c r="H778" s="235"/>
      <c r="I778" s="235"/>
      <c r="J778" s="182" t="str">
        <f>J777</f>
        <v>RSDAHT</v>
      </c>
      <c r="K778" s="235"/>
      <c r="L778" s="244" t="str">
        <f>$AA$11</f>
        <v>ACT</v>
      </c>
      <c r="M778" s="182" t="str">
        <f t="shared" si="163"/>
        <v/>
      </c>
      <c r="N778" s="182"/>
      <c r="O778" s="182"/>
      <c r="P778" s="183"/>
      <c r="Q778" s="183"/>
      <c r="R778" s="182"/>
      <c r="S778" s="182"/>
      <c r="T778" s="252"/>
      <c r="U778" s="182"/>
      <c r="V778" s="252">
        <f t="shared" si="160"/>
        <v>1</v>
      </c>
      <c r="W778" s="236"/>
    </row>
    <row r="779" spans="1:23" x14ac:dyDescent="0.3">
      <c r="A779" s="316"/>
      <c r="B779" s="235"/>
      <c r="C779" s="318"/>
      <c r="D779" s="235"/>
      <c r="E779" s="235"/>
      <c r="F779" s="242"/>
      <c r="G779" s="242"/>
      <c r="H779" s="235"/>
      <c r="I779" s="235"/>
      <c r="J779" s="182" t="str">
        <f>J778</f>
        <v>RSDAHT</v>
      </c>
      <c r="K779" s="235"/>
      <c r="L779" s="244" t="str">
        <f t="shared" si="162"/>
        <v>RSDGAS</v>
      </c>
      <c r="M779" s="182" t="str">
        <f t="shared" si="163"/>
        <v/>
      </c>
      <c r="N779" s="182"/>
      <c r="O779" s="182"/>
      <c r="P779" s="183"/>
      <c r="Q779" s="183"/>
      <c r="R779" s="182"/>
      <c r="S779" s="182"/>
      <c r="T779" s="252"/>
      <c r="U779" s="182"/>
      <c r="V779" s="252">
        <f t="shared" si="160"/>
        <v>-1</v>
      </c>
      <c r="W779" s="236"/>
    </row>
    <row r="780" spans="1:23" x14ac:dyDescent="0.3">
      <c r="A780" s="316"/>
      <c r="B780" s="235" t="str">
        <f>'RSD (DEA)'!AJ185&amp;"_"&amp;'RSD (DEA)'!Z185</f>
        <v>RHHSC_HP_GAS_02</v>
      </c>
      <c r="C780" s="318"/>
      <c r="D780" s="235" t="str">
        <f t="shared" si="164"/>
        <v>RHHSC_HP_GAS_02</v>
      </c>
      <c r="E780" s="235" t="str">
        <f>'RSD (DEA)'!Q185</f>
        <v>Gas driven absorption heat pumps</v>
      </c>
      <c r="F780" s="242" t="s">
        <v>239</v>
      </c>
      <c r="G780" s="242" t="s">
        <v>240</v>
      </c>
      <c r="H780" s="235">
        <f>'RSD (DEA)'!S185</f>
        <v>30</v>
      </c>
      <c r="I780" s="235" t="str">
        <f>IF(OR(RIGHT('RSD (DEA)'!AH185,3)="BIO",RIGHT(AD788,3)="BOA"),LEFT('RSD (DEA)'!AH185,3)&amp;"BFW",'RSD (DEA)'!AH185)</f>
        <v>RSDGAS</v>
      </c>
      <c r="J780" s="182" t="str">
        <f>'RSD (DEA)'!AI185</f>
        <v>RSDAHT</v>
      </c>
      <c r="K780" s="235" t="str">
        <f>'RSD (DEA)'!AK185</f>
        <v>RWHSC</v>
      </c>
      <c r="L780" s="244"/>
      <c r="M780" s="182">
        <f t="shared" si="163"/>
        <v>2019</v>
      </c>
      <c r="N780" s="182">
        <f>'RSD (DEA)'!X185</f>
        <v>2050</v>
      </c>
      <c r="O780" s="182">
        <f>IF(N780&lt;2019,2019,N780)</f>
        <v>2050</v>
      </c>
      <c r="P780" s="183">
        <f>'RSD (DEA)'!AZ185</f>
        <v>1.7</v>
      </c>
      <c r="Q780" s="183">
        <f>'RSD (DEA)'!BA185</f>
        <v>0</v>
      </c>
      <c r="R780" s="182">
        <f>'RSD (DEA)'!BR185/'RSD (DEA)'!S185</f>
        <v>7.833333333333333</v>
      </c>
      <c r="S780" s="182">
        <f>'RSD (DEA)'!BS185/X_RSD_HeatingDemand!$AA$8</f>
        <v>0</v>
      </c>
      <c r="T780" s="252">
        <f>'RSD (DEA)'!BK177*X_RSD_HeatingDemand!$AA$9/'RSD (DEA)'!S177</f>
        <v>356.25</v>
      </c>
      <c r="U780" s="182">
        <f>'RSD (DEA)'!BI185</f>
        <v>20</v>
      </c>
      <c r="V780" s="252" t="str">
        <f t="shared" si="160"/>
        <v/>
      </c>
      <c r="W780" s="236">
        <f>'RSD (DEA)'!AM185</f>
        <v>31.536000000000001</v>
      </c>
    </row>
    <row r="781" spans="1:23" x14ac:dyDescent="0.3">
      <c r="A781" s="316"/>
      <c r="B781" s="235"/>
      <c r="C781" s="318"/>
      <c r="D781" s="235"/>
      <c r="E781" s="235"/>
      <c r="F781" s="242"/>
      <c r="G781" s="242"/>
      <c r="H781" s="235"/>
      <c r="I781" s="235"/>
      <c r="J781" s="182" t="str">
        <f>J780</f>
        <v>RSDAHT</v>
      </c>
      <c r="K781" s="235"/>
      <c r="L781" s="244" t="str">
        <f>$AA$11</f>
        <v>ACT</v>
      </c>
      <c r="M781" s="182" t="str">
        <f t="shared" si="163"/>
        <v/>
      </c>
      <c r="N781" s="182"/>
      <c r="O781" s="182"/>
      <c r="P781" s="183"/>
      <c r="Q781" s="183"/>
      <c r="R781" s="182"/>
      <c r="S781" s="182"/>
      <c r="T781" s="252"/>
      <c r="U781" s="182"/>
      <c r="V781" s="252">
        <f t="shared" si="160"/>
        <v>1</v>
      </c>
      <c r="W781" s="236"/>
    </row>
    <row r="782" spans="1:23" x14ac:dyDescent="0.3">
      <c r="A782" s="316"/>
      <c r="B782" s="235"/>
      <c r="C782" s="318"/>
      <c r="D782" s="235"/>
      <c r="E782" s="235"/>
      <c r="F782" s="242"/>
      <c r="G782" s="242"/>
      <c r="H782" s="235"/>
      <c r="I782" s="235"/>
      <c r="J782" s="182" t="str">
        <f>J781</f>
        <v>RSDAHT</v>
      </c>
      <c r="K782" s="235"/>
      <c r="L782" s="244" t="str">
        <f t="shared" si="161"/>
        <v>RSDGAS</v>
      </c>
      <c r="M782" s="182" t="str">
        <f t="shared" si="163"/>
        <v/>
      </c>
      <c r="N782" s="182"/>
      <c r="O782" s="182"/>
      <c r="P782" s="183"/>
      <c r="Q782" s="183"/>
      <c r="R782" s="182"/>
      <c r="S782" s="182"/>
      <c r="T782" s="252"/>
      <c r="U782" s="182"/>
      <c r="V782" s="252">
        <f t="shared" si="160"/>
        <v>-1</v>
      </c>
      <c r="W782" s="236"/>
    </row>
    <row r="783" spans="1:23" x14ac:dyDescent="0.3">
      <c r="A783" s="316"/>
      <c r="B783" s="235" t="str">
        <f>'RSD (DEA)'!AJ186&amp;"_"&amp;'RSD (DEA)'!Z186</f>
        <v>RHAPC_HP_GAS_03</v>
      </c>
      <c r="C783" s="318"/>
      <c r="D783" s="235" t="str">
        <f t="shared" si="164"/>
        <v>RHAPC_HP_GAS_03</v>
      </c>
      <c r="E783" s="235" t="str">
        <f>'RSD (DEA)'!Q186</f>
        <v>Gas driven absorption heat pumps</v>
      </c>
      <c r="F783" s="242" t="s">
        <v>239</v>
      </c>
      <c r="G783" s="242" t="s">
        <v>240</v>
      </c>
      <c r="H783" s="235">
        <f>'RSD (DEA)'!S186</f>
        <v>44</v>
      </c>
      <c r="I783" s="235" t="str">
        <f>IF(OR(RIGHT('RSD (DEA)'!AH186,3)="BIO",RIGHT(AD791,3)="BOA"),LEFT('RSD (DEA)'!AH186,3)&amp;"BFW",'RSD (DEA)'!AH186)</f>
        <v>RSDGAS</v>
      </c>
      <c r="J783" s="182" t="str">
        <f>'RSD (DEA)'!AI186</f>
        <v>RSDAHT</v>
      </c>
      <c r="K783" s="235" t="str">
        <f>'RSD (DEA)'!AK186</f>
        <v>RWAPC</v>
      </c>
      <c r="L783" s="244"/>
      <c r="M783" s="182">
        <f t="shared" si="163"/>
        <v>2019</v>
      </c>
      <c r="N783" s="182">
        <f>'RSD (DEA)'!X186</f>
        <v>2015</v>
      </c>
      <c r="O783" s="182">
        <f>IF(N783&lt;2019,2019,N783)</f>
        <v>2019</v>
      </c>
      <c r="P783" s="183">
        <f>'RSD (DEA)'!AZ186</f>
        <v>1.35</v>
      </c>
      <c r="Q783" s="183">
        <f>'RSD (DEA)'!BA186</f>
        <v>0</v>
      </c>
      <c r="R783" s="182">
        <f>'RSD (DEA)'!BR186/'RSD (DEA)'!S186</f>
        <v>5.3409090909090908</v>
      </c>
      <c r="S783" s="182">
        <f>'RSD (DEA)'!BS186/X_RSD_HeatingDemand!$AA$8</f>
        <v>0</v>
      </c>
      <c r="T783" s="252">
        <f>'RSD (DEA)'!BK178*X_RSD_HeatingDemand!$AA$9/'RSD (DEA)'!S178</f>
        <v>833.33333333333337</v>
      </c>
      <c r="U783" s="182">
        <f>'RSD (DEA)'!BI186</f>
        <v>20</v>
      </c>
      <c r="V783" s="252" t="str">
        <f t="shared" si="160"/>
        <v/>
      </c>
      <c r="W783" s="236">
        <f>'RSD (DEA)'!AM186</f>
        <v>31.536000000000001</v>
      </c>
    </row>
    <row r="784" spans="1:23" x14ac:dyDescent="0.3">
      <c r="A784" s="316"/>
      <c r="B784" s="235"/>
      <c r="C784" s="318"/>
      <c r="D784" s="235"/>
      <c r="E784" s="235"/>
      <c r="F784" s="242"/>
      <c r="G784" s="242"/>
      <c r="H784" s="235"/>
      <c r="I784" s="235"/>
      <c r="J784" s="182" t="str">
        <f>J783</f>
        <v>RSDAHT</v>
      </c>
      <c r="K784" s="235"/>
      <c r="L784" s="244" t="str">
        <f>$AA$11</f>
        <v>ACT</v>
      </c>
      <c r="M784" s="182" t="str">
        <f t="shared" si="163"/>
        <v/>
      </c>
      <c r="N784" s="182"/>
      <c r="O784" s="182"/>
      <c r="P784" s="183"/>
      <c r="Q784" s="183"/>
      <c r="R784" s="182"/>
      <c r="S784" s="182"/>
      <c r="T784" s="252"/>
      <c r="U784" s="182"/>
      <c r="V784" s="252">
        <f t="shared" si="160"/>
        <v>1</v>
      </c>
      <c r="W784" s="236"/>
    </row>
    <row r="785" spans="1:23" x14ac:dyDescent="0.3">
      <c r="A785" s="316"/>
      <c r="B785" s="235"/>
      <c r="C785" s="318"/>
      <c r="D785" s="235"/>
      <c r="E785" s="235"/>
      <c r="F785" s="242"/>
      <c r="G785" s="242"/>
      <c r="H785" s="235"/>
      <c r="I785" s="235"/>
      <c r="J785" s="182" t="str">
        <f>J784</f>
        <v>RSDAHT</v>
      </c>
      <c r="K785" s="235"/>
      <c r="L785" s="244" t="str">
        <f t="shared" si="162"/>
        <v>RSDGAS</v>
      </c>
      <c r="M785" s="182" t="str">
        <f t="shared" si="163"/>
        <v/>
      </c>
      <c r="N785" s="182"/>
      <c r="O785" s="182"/>
      <c r="P785" s="183"/>
      <c r="Q785" s="183"/>
      <c r="R785" s="182"/>
      <c r="S785" s="182"/>
      <c r="T785" s="252"/>
      <c r="U785" s="182"/>
      <c r="V785" s="252">
        <f t="shared" si="160"/>
        <v>-1</v>
      </c>
      <c r="W785" s="236"/>
    </row>
    <row r="786" spans="1:23" x14ac:dyDescent="0.3">
      <c r="A786" s="316"/>
      <c r="B786" s="235" t="str">
        <f>'RSD (DEA)'!AJ187&amp;"_"&amp;'RSD (DEA)'!Z187</f>
        <v>RHAPC_HP_GAS_03</v>
      </c>
      <c r="C786" s="318"/>
      <c r="D786" s="235" t="str">
        <f t="shared" si="164"/>
        <v>RHAPC_HP_GAS_03</v>
      </c>
      <c r="E786" s="235" t="str">
        <f>'RSD (DEA)'!Q187</f>
        <v>Gas driven absorption heat pumps</v>
      </c>
      <c r="F786" s="242" t="s">
        <v>239</v>
      </c>
      <c r="G786" s="242" t="s">
        <v>240</v>
      </c>
      <c r="H786" s="235">
        <f>'RSD (DEA)'!S187</f>
        <v>80</v>
      </c>
      <c r="I786" s="235" t="str">
        <f>IF(OR(RIGHT('RSD (DEA)'!AH187,3)="BIO",RIGHT(AD794,3)="BOA"),LEFT('RSD (DEA)'!AH187,3)&amp;"BFW",'RSD (DEA)'!AH187)</f>
        <v>RSDGAS</v>
      </c>
      <c r="J786" s="182" t="str">
        <f>'RSD (DEA)'!AI187</f>
        <v>RSDAHT</v>
      </c>
      <c r="K786" s="235" t="str">
        <f>'RSD (DEA)'!AK187</f>
        <v>RWAPC</v>
      </c>
      <c r="L786" s="244"/>
      <c r="M786" s="182">
        <f t="shared" si="163"/>
        <v>2019</v>
      </c>
      <c r="N786" s="182">
        <f>'RSD (DEA)'!X187</f>
        <v>2020</v>
      </c>
      <c r="O786" s="182">
        <f>IF(N786&lt;2019,2019,N786)</f>
        <v>2020</v>
      </c>
      <c r="P786" s="183">
        <f>'RSD (DEA)'!AZ187</f>
        <v>1.45</v>
      </c>
      <c r="Q786" s="183">
        <f>'RSD (DEA)'!BA187</f>
        <v>0</v>
      </c>
      <c r="R786" s="182">
        <f>'RSD (DEA)'!BR187/'RSD (DEA)'!S187</f>
        <v>2.9375</v>
      </c>
      <c r="S786" s="182">
        <f>'RSD (DEA)'!BS187/X_RSD_HeatingDemand!$AA$8</f>
        <v>0</v>
      </c>
      <c r="T786" s="252">
        <f>'RSD (DEA)'!BK179*X_RSD_HeatingDemand!$AA$9/'RSD (DEA)'!S179</f>
        <v>466.66666666666669</v>
      </c>
      <c r="U786" s="182">
        <f>'RSD (DEA)'!BI187</f>
        <v>20</v>
      </c>
      <c r="V786" s="252" t="str">
        <f t="shared" si="160"/>
        <v/>
      </c>
      <c r="W786" s="236">
        <f>'RSD (DEA)'!AM187</f>
        <v>31.536000000000001</v>
      </c>
    </row>
    <row r="787" spans="1:23" x14ac:dyDescent="0.3">
      <c r="A787" s="316"/>
      <c r="B787" s="235"/>
      <c r="C787" s="318"/>
      <c r="D787" s="235"/>
      <c r="E787" s="235"/>
      <c r="F787" s="242"/>
      <c r="G787" s="242"/>
      <c r="H787" s="235"/>
      <c r="I787" s="235"/>
      <c r="J787" s="182" t="str">
        <f>J786</f>
        <v>RSDAHT</v>
      </c>
      <c r="K787" s="235"/>
      <c r="L787" s="244" t="str">
        <f>$AA$11</f>
        <v>ACT</v>
      </c>
      <c r="M787" s="182" t="str">
        <f t="shared" si="163"/>
        <v/>
      </c>
      <c r="N787" s="182"/>
      <c r="O787" s="182"/>
      <c r="P787" s="183"/>
      <c r="Q787" s="183"/>
      <c r="R787" s="182"/>
      <c r="S787" s="182"/>
      <c r="T787" s="252"/>
      <c r="U787" s="182"/>
      <c r="V787" s="252">
        <f t="shared" si="160"/>
        <v>1</v>
      </c>
      <c r="W787" s="236"/>
    </row>
    <row r="788" spans="1:23" x14ac:dyDescent="0.3">
      <c r="A788" s="316"/>
      <c r="B788" s="235"/>
      <c r="C788" s="318"/>
      <c r="D788" s="235"/>
      <c r="E788" s="235"/>
      <c r="F788" s="242"/>
      <c r="G788" s="242"/>
      <c r="H788" s="235"/>
      <c r="I788" s="235"/>
      <c r="J788" s="182" t="str">
        <f>J787</f>
        <v>RSDAHT</v>
      </c>
      <c r="K788" s="235"/>
      <c r="L788" s="244" t="str">
        <f t="shared" si="161"/>
        <v>RSDGAS</v>
      </c>
      <c r="M788" s="182" t="str">
        <f t="shared" si="163"/>
        <v/>
      </c>
      <c r="N788" s="182"/>
      <c r="O788" s="182"/>
      <c r="P788" s="183"/>
      <c r="Q788" s="183"/>
      <c r="R788" s="182"/>
      <c r="S788" s="182"/>
      <c r="T788" s="252"/>
      <c r="U788" s="182"/>
      <c r="V788" s="252">
        <f t="shared" ref="V788:V842" si="165">IF(L788="ACT",1,IF(LEFT(L788,3)="RSD",-1,""))</f>
        <v>-1</v>
      </c>
      <c r="W788" s="236"/>
    </row>
    <row r="789" spans="1:23" x14ac:dyDescent="0.3">
      <c r="A789" s="316"/>
      <c r="B789" s="235" t="str">
        <f>'RSD (DEA)'!AJ188&amp;"_"&amp;'RSD (DEA)'!Z188</f>
        <v>RHAPC_HP_GAS_03</v>
      </c>
      <c r="C789" s="318"/>
      <c r="D789" s="235" t="str">
        <f t="shared" si="164"/>
        <v>RHAPC_HP_GAS_03</v>
      </c>
      <c r="E789" s="235" t="str">
        <f>'RSD (DEA)'!Q188</f>
        <v>Gas driven absorption heat pumps</v>
      </c>
      <c r="F789" s="242" t="s">
        <v>239</v>
      </c>
      <c r="G789" s="242" t="s">
        <v>240</v>
      </c>
      <c r="H789" s="235">
        <f>'RSD (DEA)'!S188</f>
        <v>80</v>
      </c>
      <c r="I789" s="235" t="str">
        <f>IF(OR(RIGHT('RSD (DEA)'!AH188,3)="BIO",RIGHT(AD797,3)="BOA"),LEFT('RSD (DEA)'!AH188,3)&amp;"BFW",'RSD (DEA)'!AH188)</f>
        <v>RSDGAS</v>
      </c>
      <c r="J789" s="182" t="str">
        <f>'RSD (DEA)'!AI188</f>
        <v>RSDAHT</v>
      </c>
      <c r="K789" s="235" t="str">
        <f>'RSD (DEA)'!AK188</f>
        <v>RWAPC</v>
      </c>
      <c r="L789" s="244"/>
      <c r="M789" s="182">
        <f t="shared" si="163"/>
        <v>2019</v>
      </c>
      <c r="N789" s="182">
        <f>'RSD (DEA)'!X188</f>
        <v>2030</v>
      </c>
      <c r="O789" s="182">
        <f>IF(N789&lt;2019,2019,N789)</f>
        <v>2030</v>
      </c>
      <c r="P789" s="183">
        <f>'RSD (DEA)'!AZ188</f>
        <v>1.7</v>
      </c>
      <c r="Q789" s="183">
        <f>'RSD (DEA)'!BA188</f>
        <v>0</v>
      </c>
      <c r="R789" s="182">
        <f>'RSD (DEA)'!BR188/'RSD (DEA)'!S188</f>
        <v>2.9375</v>
      </c>
      <c r="S789" s="182">
        <f>'RSD (DEA)'!BS188/X_RSD_HeatingDemand!$AA$8</f>
        <v>0</v>
      </c>
      <c r="T789" s="252">
        <f>'RSD (DEA)'!BK180*X_RSD_HeatingDemand!$AA$9/'RSD (DEA)'!S180</f>
        <v>433.33333333333331</v>
      </c>
      <c r="U789" s="182">
        <f>'RSD (DEA)'!BI188</f>
        <v>20</v>
      </c>
      <c r="V789" s="252" t="str">
        <f t="shared" si="165"/>
        <v/>
      </c>
      <c r="W789" s="236">
        <f>'RSD (DEA)'!AM188</f>
        <v>31.536000000000001</v>
      </c>
    </row>
    <row r="790" spans="1:23" x14ac:dyDescent="0.3">
      <c r="A790" s="316"/>
      <c r="B790" s="235"/>
      <c r="C790" s="318"/>
      <c r="D790" s="235"/>
      <c r="E790" s="235"/>
      <c r="F790" s="242"/>
      <c r="G790" s="242"/>
      <c r="H790" s="235"/>
      <c r="I790" s="235"/>
      <c r="J790" s="182" t="str">
        <f>J789</f>
        <v>RSDAHT</v>
      </c>
      <c r="K790" s="235"/>
      <c r="L790" s="244" t="str">
        <f>$AA$11</f>
        <v>ACT</v>
      </c>
      <c r="M790" s="182" t="str">
        <f t="shared" si="163"/>
        <v/>
      </c>
      <c r="N790" s="182"/>
      <c r="O790" s="182"/>
      <c r="P790" s="183"/>
      <c r="Q790" s="183"/>
      <c r="R790" s="182"/>
      <c r="S790" s="182"/>
      <c r="T790" s="252"/>
      <c r="U790" s="182"/>
      <c r="V790" s="252">
        <f t="shared" si="165"/>
        <v>1</v>
      </c>
      <c r="W790" s="236"/>
    </row>
    <row r="791" spans="1:23" x14ac:dyDescent="0.3">
      <c r="A791" s="316"/>
      <c r="B791" s="235"/>
      <c r="C791" s="318"/>
      <c r="D791" s="235"/>
      <c r="E791" s="235"/>
      <c r="F791" s="242"/>
      <c r="G791" s="242"/>
      <c r="H791" s="235"/>
      <c r="I791" s="235"/>
      <c r="J791" s="182" t="str">
        <f>J790</f>
        <v>RSDAHT</v>
      </c>
      <c r="K791" s="235"/>
      <c r="L791" s="244" t="str">
        <f t="shared" si="162"/>
        <v>RSDGAS</v>
      </c>
      <c r="M791" s="182" t="str">
        <f t="shared" si="163"/>
        <v/>
      </c>
      <c r="N791" s="182"/>
      <c r="O791" s="182"/>
      <c r="P791" s="183"/>
      <c r="Q791" s="183"/>
      <c r="R791" s="182"/>
      <c r="S791" s="182"/>
      <c r="T791" s="252"/>
      <c r="U791" s="182"/>
      <c r="V791" s="252">
        <f t="shared" si="165"/>
        <v>-1</v>
      </c>
      <c r="W791" s="236"/>
    </row>
    <row r="792" spans="1:23" x14ac:dyDescent="0.3">
      <c r="A792" s="316"/>
      <c r="B792" s="235" t="str">
        <f>'RSD (DEA)'!AJ189&amp;"_"&amp;'RSD (DEA)'!Z189</f>
        <v>RHAPC_HP_GAS_03</v>
      </c>
      <c r="C792" s="318"/>
      <c r="D792" s="235" t="str">
        <f t="shared" si="164"/>
        <v>RHAPC_HP_GAS_03</v>
      </c>
      <c r="E792" s="235" t="str">
        <f>'RSD (DEA)'!Q189</f>
        <v>Gas driven absorption heat pumps</v>
      </c>
      <c r="F792" s="242" t="s">
        <v>239</v>
      </c>
      <c r="G792" s="242" t="s">
        <v>240</v>
      </c>
      <c r="H792" s="235">
        <f>'RSD (DEA)'!S189</f>
        <v>80</v>
      </c>
      <c r="I792" s="235" t="str">
        <f>IF(OR(RIGHT('RSD (DEA)'!AH189,3)="BIO",RIGHT(AD800,3)="BOA"),LEFT('RSD (DEA)'!AH189,3)&amp;"BFW",'RSD (DEA)'!AH189)</f>
        <v>RSDGAS</v>
      </c>
      <c r="J792" s="182" t="str">
        <f>'RSD (DEA)'!AI189</f>
        <v>RSDAHT</v>
      </c>
      <c r="K792" s="235" t="str">
        <f>'RSD (DEA)'!AK189</f>
        <v>RWAPC</v>
      </c>
      <c r="L792" s="244"/>
      <c r="M792" s="182">
        <f t="shared" si="163"/>
        <v>2019</v>
      </c>
      <c r="N792" s="182">
        <f>'RSD (DEA)'!X189</f>
        <v>2050</v>
      </c>
      <c r="O792" s="182">
        <f>IF(N792&lt;2019,2019,N792)</f>
        <v>2050</v>
      </c>
      <c r="P792" s="183">
        <f>'RSD (DEA)'!AZ189</f>
        <v>1.7</v>
      </c>
      <c r="Q792" s="183">
        <f>'RSD (DEA)'!BA189</f>
        <v>0</v>
      </c>
      <c r="R792" s="182">
        <f>'RSD (DEA)'!BR189/'RSD (DEA)'!S189</f>
        <v>2.9375</v>
      </c>
      <c r="S792" s="182">
        <f>'RSD (DEA)'!BS189/X_RSD_HeatingDemand!$AA$8</f>
        <v>0</v>
      </c>
      <c r="T792" s="252">
        <f>'RSD (DEA)'!BK181*X_RSD_HeatingDemand!$AA$9/'RSD (DEA)'!S181</f>
        <v>400</v>
      </c>
      <c r="U792" s="182">
        <f>'RSD (DEA)'!BI189</f>
        <v>20</v>
      </c>
      <c r="V792" s="252" t="str">
        <f t="shared" si="165"/>
        <v/>
      </c>
      <c r="W792" s="236">
        <f>'RSD (DEA)'!AM189</f>
        <v>31.536000000000001</v>
      </c>
    </row>
    <row r="793" spans="1:23" x14ac:dyDescent="0.3">
      <c r="A793" s="316"/>
      <c r="B793" s="235"/>
      <c r="C793" s="318"/>
      <c r="D793" s="235"/>
      <c r="E793" s="235"/>
      <c r="F793" s="242"/>
      <c r="G793" s="242"/>
      <c r="H793" s="235"/>
      <c r="I793" s="235"/>
      <c r="J793" s="182" t="str">
        <f>J792</f>
        <v>RSDAHT</v>
      </c>
      <c r="K793" s="235"/>
      <c r="L793" s="244" t="str">
        <f>$AA$11</f>
        <v>ACT</v>
      </c>
      <c r="M793" s="182" t="str">
        <f t="shared" si="163"/>
        <v/>
      </c>
      <c r="N793" s="182"/>
      <c r="O793" s="182"/>
      <c r="P793" s="183"/>
      <c r="Q793" s="183"/>
      <c r="R793" s="182"/>
      <c r="S793" s="182"/>
      <c r="T793" s="252"/>
      <c r="U793" s="182"/>
      <c r="V793" s="252">
        <f t="shared" si="165"/>
        <v>1</v>
      </c>
      <c r="W793" s="236"/>
    </row>
    <row r="794" spans="1:23" x14ac:dyDescent="0.3">
      <c r="A794" s="316"/>
      <c r="B794" s="235"/>
      <c r="C794" s="318"/>
      <c r="D794" s="235"/>
      <c r="E794" s="235"/>
      <c r="F794" s="242"/>
      <c r="G794" s="242"/>
      <c r="H794" s="235"/>
      <c r="I794" s="235"/>
      <c r="J794" s="182" t="str">
        <f>J793</f>
        <v>RSDAHT</v>
      </c>
      <c r="K794" s="235"/>
      <c r="L794" s="244" t="str">
        <f t="shared" si="161"/>
        <v>RSDGAS</v>
      </c>
      <c r="M794" s="182" t="str">
        <f t="shared" si="163"/>
        <v/>
      </c>
      <c r="N794" s="182"/>
      <c r="O794" s="182"/>
      <c r="P794" s="183"/>
      <c r="Q794" s="183"/>
      <c r="R794" s="182"/>
      <c r="S794" s="182"/>
      <c r="T794" s="252"/>
      <c r="U794" s="182"/>
      <c r="V794" s="252">
        <f t="shared" si="165"/>
        <v>-1</v>
      </c>
      <c r="W794" s="236"/>
    </row>
    <row r="795" spans="1:23" x14ac:dyDescent="0.3">
      <c r="A795" s="316"/>
      <c r="B795" s="235" t="str">
        <f>'RSD (DEA)'!AJ190&amp;"_"&amp;'RSD (DEA)'!Z190</f>
        <v>RHAPC_HP_GAS_04</v>
      </c>
      <c r="C795" s="318"/>
      <c r="D795" s="235" t="str">
        <f t="shared" si="164"/>
        <v>RHAPC_HP_GAS_04</v>
      </c>
      <c r="E795" s="235" t="str">
        <f>'RSD (DEA)'!Q190</f>
        <v>Gas driven absorption heat pumps</v>
      </c>
      <c r="F795" s="242" t="s">
        <v>239</v>
      </c>
      <c r="G795" s="242" t="s">
        <v>240</v>
      </c>
      <c r="H795" s="235">
        <f>'RSD (DEA)'!S190</f>
        <v>44</v>
      </c>
      <c r="I795" s="235" t="str">
        <f>IF(OR(RIGHT('RSD (DEA)'!AH190,3)="BIO",RIGHT(AD803,3)="BOA"),LEFT('RSD (DEA)'!AH190,3)&amp;"BFW",'RSD (DEA)'!AH190)</f>
        <v>RSDGAS</v>
      </c>
      <c r="J795" s="182" t="str">
        <f>'RSD (DEA)'!AI190</f>
        <v>RSDAHT</v>
      </c>
      <c r="K795" s="235" t="str">
        <f>'RSD (DEA)'!AK190</f>
        <v>RWAPC</v>
      </c>
      <c r="L795" s="244"/>
      <c r="M795" s="182">
        <f t="shared" si="163"/>
        <v>2019</v>
      </c>
      <c r="N795" s="182">
        <f>'RSD (DEA)'!X190</f>
        <v>2015</v>
      </c>
      <c r="O795" s="182">
        <f>IF(N795&lt;2019,2019,N795)</f>
        <v>2019</v>
      </c>
      <c r="P795" s="183">
        <f>'RSD (DEA)'!AZ190</f>
        <v>1.35</v>
      </c>
      <c r="Q795" s="183">
        <f>'RSD (DEA)'!BA190</f>
        <v>0</v>
      </c>
      <c r="R795" s="182">
        <f>'RSD (DEA)'!BR190/'RSD (DEA)'!S190</f>
        <v>5.3409090909090908</v>
      </c>
      <c r="S795" s="182">
        <f>'RSD (DEA)'!BS190/X_RSD_HeatingDemand!$AA$8</f>
        <v>0</v>
      </c>
      <c r="T795" s="252">
        <f>'RSD (DEA)'!BK182*X_RSD_HeatingDemand!$AA$9/'RSD (DEA)'!S182</f>
        <v>1222.2222222222222</v>
      </c>
      <c r="U795" s="182">
        <f>'RSD (DEA)'!BI190</f>
        <v>20</v>
      </c>
      <c r="V795" s="252" t="str">
        <f t="shared" si="165"/>
        <v/>
      </c>
      <c r="W795" s="236">
        <f>'RSD (DEA)'!AM190</f>
        <v>31.536000000000001</v>
      </c>
    </row>
    <row r="796" spans="1:23" x14ac:dyDescent="0.3">
      <c r="A796" s="316"/>
      <c r="B796" s="235"/>
      <c r="C796" s="318"/>
      <c r="D796" s="235"/>
      <c r="E796" s="235"/>
      <c r="F796" s="242"/>
      <c r="G796" s="242"/>
      <c r="H796" s="235"/>
      <c r="I796" s="235"/>
      <c r="J796" s="182" t="str">
        <f>J795</f>
        <v>RSDAHT</v>
      </c>
      <c r="K796" s="235"/>
      <c r="L796" s="244" t="str">
        <f>$AA$11</f>
        <v>ACT</v>
      </c>
      <c r="M796" s="182" t="str">
        <f t="shared" si="163"/>
        <v/>
      </c>
      <c r="N796" s="182"/>
      <c r="O796" s="182"/>
      <c r="P796" s="183"/>
      <c r="Q796" s="183"/>
      <c r="R796" s="182"/>
      <c r="S796" s="182"/>
      <c r="T796" s="252"/>
      <c r="U796" s="182"/>
      <c r="V796" s="252">
        <f t="shared" si="165"/>
        <v>1</v>
      </c>
      <c r="W796" s="236"/>
    </row>
    <row r="797" spans="1:23" x14ac:dyDescent="0.3">
      <c r="A797" s="316"/>
      <c r="B797" s="235"/>
      <c r="C797" s="318"/>
      <c r="D797" s="235"/>
      <c r="E797" s="235"/>
      <c r="F797" s="242"/>
      <c r="G797" s="242"/>
      <c r="H797" s="235"/>
      <c r="I797" s="235"/>
      <c r="J797" s="182" t="str">
        <f>J796</f>
        <v>RSDAHT</v>
      </c>
      <c r="K797" s="235"/>
      <c r="L797" s="244" t="str">
        <f t="shared" si="162"/>
        <v>RSDGAS</v>
      </c>
      <c r="M797" s="182" t="str">
        <f t="shared" si="163"/>
        <v/>
      </c>
      <c r="N797" s="182"/>
      <c r="O797" s="182"/>
      <c r="P797" s="183"/>
      <c r="Q797" s="183"/>
      <c r="R797" s="182"/>
      <c r="S797" s="182"/>
      <c r="T797" s="252"/>
      <c r="U797" s="182"/>
      <c r="V797" s="252">
        <f t="shared" si="165"/>
        <v>-1</v>
      </c>
      <c r="W797" s="236"/>
    </row>
    <row r="798" spans="1:23" x14ac:dyDescent="0.3">
      <c r="A798" s="316"/>
      <c r="B798" s="235" t="str">
        <f>'RSD (DEA)'!AJ191&amp;"_"&amp;'RSD (DEA)'!Z191</f>
        <v>RHAPC_HP_GAS_04</v>
      </c>
      <c r="C798" s="318"/>
      <c r="D798" s="235" t="str">
        <f t="shared" si="164"/>
        <v>RHAPC_HP_GAS_04</v>
      </c>
      <c r="E798" s="235" t="str">
        <f>'RSD (DEA)'!Q191</f>
        <v>Gas driven absorption heat pumps</v>
      </c>
      <c r="F798" s="242" t="s">
        <v>239</v>
      </c>
      <c r="G798" s="242" t="s">
        <v>240</v>
      </c>
      <c r="H798" s="235">
        <f>'RSD (DEA)'!S191</f>
        <v>80</v>
      </c>
      <c r="I798" s="235" t="str">
        <f>IF(OR(RIGHT('RSD (DEA)'!AH191,3)="BIO",RIGHT(AD806,3)="BOA"),LEFT('RSD (DEA)'!AH191,3)&amp;"BFW",'RSD (DEA)'!AH191)</f>
        <v>RSDGAS</v>
      </c>
      <c r="J798" s="182" t="str">
        <f>'RSD (DEA)'!AI191</f>
        <v>RSDAHT</v>
      </c>
      <c r="K798" s="235" t="str">
        <f>'RSD (DEA)'!AK191</f>
        <v>RWAPC</v>
      </c>
      <c r="L798" s="244"/>
      <c r="M798" s="182">
        <f t="shared" si="163"/>
        <v>2019</v>
      </c>
      <c r="N798" s="182">
        <f>'RSD (DEA)'!X191</f>
        <v>2020</v>
      </c>
      <c r="O798" s="182">
        <f>IF(N798&lt;2019,2019,N798)</f>
        <v>2020</v>
      </c>
      <c r="P798" s="183">
        <f>'RSD (DEA)'!AZ191</f>
        <v>1.45</v>
      </c>
      <c r="Q798" s="183">
        <f>'RSD (DEA)'!BA191</f>
        <v>0</v>
      </c>
      <c r="R798" s="182">
        <f>'RSD (DEA)'!BR191/'RSD (DEA)'!S191</f>
        <v>2.9375</v>
      </c>
      <c r="S798" s="182">
        <f>'RSD (DEA)'!BS191/X_RSD_HeatingDemand!$AA$8</f>
        <v>0</v>
      </c>
      <c r="T798" s="252">
        <f>'RSD (DEA)'!BK183*X_RSD_HeatingDemand!$AA$9/'RSD (DEA)'!S183</f>
        <v>700</v>
      </c>
      <c r="U798" s="182">
        <f>'RSD (DEA)'!BI191</f>
        <v>20</v>
      </c>
      <c r="V798" s="252" t="str">
        <f t="shared" si="165"/>
        <v/>
      </c>
      <c r="W798" s="236">
        <f>'RSD (DEA)'!AM191</f>
        <v>31.536000000000001</v>
      </c>
    </row>
    <row r="799" spans="1:23" x14ac:dyDescent="0.3">
      <c r="A799" s="316"/>
      <c r="B799" s="235"/>
      <c r="C799" s="318"/>
      <c r="D799" s="235"/>
      <c r="E799" s="235"/>
      <c r="F799" s="242"/>
      <c r="G799" s="242"/>
      <c r="H799" s="235"/>
      <c r="I799" s="235"/>
      <c r="J799" s="182" t="str">
        <f>J798</f>
        <v>RSDAHT</v>
      </c>
      <c r="K799" s="235"/>
      <c r="L799" s="244" t="str">
        <f>$AA$11</f>
        <v>ACT</v>
      </c>
      <c r="M799" s="182" t="str">
        <f t="shared" si="163"/>
        <v/>
      </c>
      <c r="N799" s="182"/>
      <c r="O799" s="182"/>
      <c r="P799" s="183"/>
      <c r="Q799" s="183"/>
      <c r="R799" s="182"/>
      <c r="S799" s="182"/>
      <c r="T799" s="252"/>
      <c r="U799" s="182"/>
      <c r="V799" s="252">
        <f t="shared" si="165"/>
        <v>1</v>
      </c>
      <c r="W799" s="236"/>
    </row>
    <row r="800" spans="1:23" x14ac:dyDescent="0.3">
      <c r="A800" s="316"/>
      <c r="B800" s="235"/>
      <c r="C800" s="318"/>
      <c r="D800" s="235"/>
      <c r="E800" s="235"/>
      <c r="F800" s="242"/>
      <c r="G800" s="242"/>
      <c r="H800" s="235"/>
      <c r="I800" s="235"/>
      <c r="J800" s="182" t="str">
        <f>J799</f>
        <v>RSDAHT</v>
      </c>
      <c r="K800" s="235"/>
      <c r="L800" s="244" t="str">
        <f t="shared" si="161"/>
        <v>RSDGAS</v>
      </c>
      <c r="M800" s="182" t="str">
        <f t="shared" si="163"/>
        <v/>
      </c>
      <c r="N800" s="182"/>
      <c r="O800" s="182"/>
      <c r="P800" s="183"/>
      <c r="Q800" s="183"/>
      <c r="R800" s="182"/>
      <c r="S800" s="182"/>
      <c r="T800" s="252"/>
      <c r="U800" s="182"/>
      <c r="V800" s="252">
        <f t="shared" si="165"/>
        <v>-1</v>
      </c>
      <c r="W800" s="236"/>
    </row>
    <row r="801" spans="1:23" x14ac:dyDescent="0.3">
      <c r="A801" s="316"/>
      <c r="B801" s="235" t="str">
        <f>'RSD (DEA)'!AJ192&amp;"_"&amp;'RSD (DEA)'!Z192</f>
        <v>RHAPC_HP_GAS_04</v>
      </c>
      <c r="C801" s="318"/>
      <c r="D801" s="235" t="str">
        <f t="shared" si="164"/>
        <v>RHAPC_HP_GAS_04</v>
      </c>
      <c r="E801" s="235" t="str">
        <f>'RSD (DEA)'!Q192</f>
        <v>Gas driven absorption heat pumps</v>
      </c>
      <c r="F801" s="242" t="s">
        <v>239</v>
      </c>
      <c r="G801" s="242" t="s">
        <v>240</v>
      </c>
      <c r="H801" s="235">
        <f>'RSD (DEA)'!S192</f>
        <v>80</v>
      </c>
      <c r="I801" s="235" t="str">
        <f>IF(OR(RIGHT('RSD (DEA)'!AH192,3)="BIO",RIGHT(AD809,3)="BOA"),LEFT('RSD (DEA)'!AH192,3)&amp;"BFW",'RSD (DEA)'!AH192)</f>
        <v>RSDGAS</v>
      </c>
      <c r="J801" s="182" t="str">
        <f>'RSD (DEA)'!AI192</f>
        <v>RSDAHT</v>
      </c>
      <c r="K801" s="235" t="str">
        <f>'RSD (DEA)'!AK192</f>
        <v>RWAPC</v>
      </c>
      <c r="L801" s="244"/>
      <c r="M801" s="182">
        <f t="shared" si="163"/>
        <v>2019</v>
      </c>
      <c r="N801" s="182">
        <f>'RSD (DEA)'!X192</f>
        <v>2030</v>
      </c>
      <c r="O801" s="182">
        <f>IF(N801&lt;2019,2019,N801)</f>
        <v>2030</v>
      </c>
      <c r="P801" s="183">
        <f>'RSD (DEA)'!AZ192</f>
        <v>1.7</v>
      </c>
      <c r="Q801" s="183">
        <f>'RSD (DEA)'!BA192</f>
        <v>0</v>
      </c>
      <c r="R801" s="182">
        <f>'RSD (DEA)'!BR192/'RSD (DEA)'!S192</f>
        <v>2.9375</v>
      </c>
      <c r="S801" s="182">
        <f>'RSD (DEA)'!BS192/X_RSD_HeatingDemand!$AA$8</f>
        <v>0</v>
      </c>
      <c r="T801" s="252">
        <f>'RSD (DEA)'!BK184*X_RSD_HeatingDemand!$AA$9/'RSD (DEA)'!S184</f>
        <v>666.66666666666663</v>
      </c>
      <c r="U801" s="182">
        <f>'RSD (DEA)'!BI192</f>
        <v>20</v>
      </c>
      <c r="V801" s="252" t="str">
        <f t="shared" si="165"/>
        <v/>
      </c>
      <c r="W801" s="236">
        <f>'RSD (DEA)'!AM192</f>
        <v>31.536000000000001</v>
      </c>
    </row>
    <row r="802" spans="1:23" x14ac:dyDescent="0.3">
      <c r="A802" s="316"/>
      <c r="B802" s="235"/>
      <c r="C802" s="318"/>
      <c r="D802" s="235"/>
      <c r="E802" s="235"/>
      <c r="F802" s="242"/>
      <c r="G802" s="242"/>
      <c r="H802" s="235"/>
      <c r="I802" s="235"/>
      <c r="J802" s="182" t="str">
        <f>J801</f>
        <v>RSDAHT</v>
      </c>
      <c r="K802" s="235"/>
      <c r="L802" s="244" t="str">
        <f>$AA$11</f>
        <v>ACT</v>
      </c>
      <c r="M802" s="182" t="str">
        <f t="shared" si="163"/>
        <v/>
      </c>
      <c r="N802" s="182"/>
      <c r="O802" s="182"/>
      <c r="P802" s="183"/>
      <c r="Q802" s="183"/>
      <c r="R802" s="182"/>
      <c r="S802" s="182"/>
      <c r="T802" s="252"/>
      <c r="U802" s="182"/>
      <c r="V802" s="252">
        <f t="shared" si="165"/>
        <v>1</v>
      </c>
      <c r="W802" s="236"/>
    </row>
    <row r="803" spans="1:23" x14ac:dyDescent="0.3">
      <c r="A803" s="316"/>
      <c r="B803" s="235"/>
      <c r="C803" s="318"/>
      <c r="D803" s="235"/>
      <c r="E803" s="235"/>
      <c r="F803" s="242"/>
      <c r="G803" s="242"/>
      <c r="H803" s="235"/>
      <c r="I803" s="235"/>
      <c r="J803" s="182" t="str">
        <f>J802</f>
        <v>RSDAHT</v>
      </c>
      <c r="K803" s="235"/>
      <c r="L803" s="244" t="str">
        <f t="shared" si="162"/>
        <v>RSDGAS</v>
      </c>
      <c r="M803" s="182" t="str">
        <f t="shared" si="163"/>
        <v/>
      </c>
      <c r="N803" s="182"/>
      <c r="O803" s="182"/>
      <c r="P803" s="183"/>
      <c r="Q803" s="183"/>
      <c r="R803" s="182"/>
      <c r="S803" s="182"/>
      <c r="T803" s="252"/>
      <c r="U803" s="182"/>
      <c r="V803" s="252">
        <f t="shared" si="165"/>
        <v>-1</v>
      </c>
      <c r="W803" s="236"/>
    </row>
    <row r="804" spans="1:23" x14ac:dyDescent="0.3">
      <c r="A804" s="316"/>
      <c r="B804" s="235" t="str">
        <f>'RSD (DEA)'!AJ193&amp;"_"&amp;'RSD (DEA)'!Z193</f>
        <v>RHAPC_HP_GAS_04</v>
      </c>
      <c r="C804" s="318"/>
      <c r="D804" s="235" t="str">
        <f t="shared" si="164"/>
        <v>RHAPC_HP_GAS_04</v>
      </c>
      <c r="E804" s="235" t="str">
        <f>'RSD (DEA)'!Q193</f>
        <v>Gas driven absorption heat pumps</v>
      </c>
      <c r="F804" s="242" t="s">
        <v>239</v>
      </c>
      <c r="G804" s="242" t="s">
        <v>240</v>
      </c>
      <c r="H804" s="235">
        <f>'RSD (DEA)'!S193</f>
        <v>80</v>
      </c>
      <c r="I804" s="235" t="str">
        <f>IF(OR(RIGHT('RSD (DEA)'!AH193,3)="BIO",RIGHT(AD812,3)="BOA"),LEFT('RSD (DEA)'!AH193,3)&amp;"BFW",'RSD (DEA)'!AH193)</f>
        <v>RSDGAS</v>
      </c>
      <c r="J804" s="182" t="str">
        <f>'RSD (DEA)'!AI193</f>
        <v>RSDAHT</v>
      </c>
      <c r="K804" s="235" t="str">
        <f>'RSD (DEA)'!AK193</f>
        <v>RWAPC</v>
      </c>
      <c r="L804" s="244"/>
      <c r="M804" s="182">
        <f t="shared" si="163"/>
        <v>2019</v>
      </c>
      <c r="N804" s="182">
        <f>'RSD (DEA)'!X193</f>
        <v>2050</v>
      </c>
      <c r="O804" s="182">
        <f>IF(N804&lt;2019,2019,N804)</f>
        <v>2050</v>
      </c>
      <c r="P804" s="183">
        <f>'RSD (DEA)'!AZ193</f>
        <v>1.7</v>
      </c>
      <c r="Q804" s="183">
        <f>'RSD (DEA)'!BA193</f>
        <v>0</v>
      </c>
      <c r="R804" s="182">
        <f>'RSD (DEA)'!BR193/'RSD (DEA)'!S193</f>
        <v>2.9375</v>
      </c>
      <c r="S804" s="182">
        <f>'RSD (DEA)'!BS193/X_RSD_HeatingDemand!$AA$8</f>
        <v>0</v>
      </c>
      <c r="T804" s="252">
        <f>'RSD (DEA)'!BK185*X_RSD_HeatingDemand!$AA$9/'RSD (DEA)'!S185</f>
        <v>600</v>
      </c>
      <c r="U804" s="182">
        <f>'RSD (DEA)'!BI193</f>
        <v>20</v>
      </c>
      <c r="V804" s="252" t="str">
        <f t="shared" si="165"/>
        <v/>
      </c>
      <c r="W804" s="236">
        <f>'RSD (DEA)'!AM193</f>
        <v>31.536000000000001</v>
      </c>
    </row>
    <row r="805" spans="1:23" x14ac:dyDescent="0.3">
      <c r="A805" s="316"/>
      <c r="B805" s="235"/>
      <c r="C805" s="318"/>
      <c r="D805" s="235"/>
      <c r="E805" s="235"/>
      <c r="F805" s="242"/>
      <c r="G805" s="242"/>
      <c r="H805" s="235"/>
      <c r="I805" s="235"/>
      <c r="J805" s="182" t="str">
        <f>J804</f>
        <v>RSDAHT</v>
      </c>
      <c r="K805" s="235"/>
      <c r="L805" s="244" t="str">
        <f>$AA$11</f>
        <v>ACT</v>
      </c>
      <c r="M805" s="182" t="str">
        <f t="shared" si="163"/>
        <v/>
      </c>
      <c r="N805" s="182"/>
      <c r="O805" s="182"/>
      <c r="P805" s="183"/>
      <c r="Q805" s="183"/>
      <c r="R805" s="182"/>
      <c r="S805" s="182"/>
      <c r="T805" s="252"/>
      <c r="U805" s="182"/>
      <c r="V805" s="252">
        <f t="shared" si="165"/>
        <v>1</v>
      </c>
      <c r="W805" s="236"/>
    </row>
    <row r="806" spans="1:23" x14ac:dyDescent="0.3">
      <c r="A806" s="316"/>
      <c r="B806" s="235"/>
      <c r="C806" s="318"/>
      <c r="D806" s="235"/>
      <c r="E806" s="235"/>
      <c r="F806" s="242"/>
      <c r="G806" s="242"/>
      <c r="H806" s="235"/>
      <c r="I806" s="235"/>
      <c r="J806" s="182" t="str">
        <f>J805</f>
        <v>RSDAHT</v>
      </c>
      <c r="K806" s="235"/>
      <c r="L806" s="244" t="str">
        <f t="shared" si="161"/>
        <v>RSDGAS</v>
      </c>
      <c r="M806" s="182" t="str">
        <f t="shared" si="163"/>
        <v/>
      </c>
      <c r="N806" s="182"/>
      <c r="O806" s="182"/>
      <c r="P806" s="183"/>
      <c r="Q806" s="183"/>
      <c r="R806" s="182"/>
      <c r="S806" s="182"/>
      <c r="T806" s="252"/>
      <c r="U806" s="182"/>
      <c r="V806" s="252">
        <f t="shared" si="165"/>
        <v>-1</v>
      </c>
      <c r="W806" s="236"/>
    </row>
    <row r="807" spans="1:23" x14ac:dyDescent="0.3">
      <c r="A807" s="316"/>
      <c r="B807" s="235" t="str">
        <f>'RSD (DEA)'!AJ194&amp;"_"&amp;'RSD (DEA)'!Z194</f>
        <v>RHAPC_HP_GAS_05</v>
      </c>
      <c r="C807" s="318"/>
      <c r="D807" s="235" t="str">
        <f t="shared" si="164"/>
        <v>RHAPC_HP_GAS_05</v>
      </c>
      <c r="E807" s="235" t="str">
        <f>'RSD (DEA)'!Q194</f>
        <v>Gas engine driven heat pump</v>
      </c>
      <c r="F807" s="242" t="s">
        <v>239</v>
      </c>
      <c r="G807" s="242" t="s">
        <v>240</v>
      </c>
      <c r="H807" s="235">
        <f>'RSD (DEA)'!S194</f>
        <v>50</v>
      </c>
      <c r="I807" s="235" t="str">
        <f>IF(OR(RIGHT('RSD (DEA)'!AH194,3)="BIO",RIGHT(AD815,3)="BOA"),LEFT('RSD (DEA)'!AH194,3)&amp;"BFW",'RSD (DEA)'!AH194)</f>
        <v>RSDGAS</v>
      </c>
      <c r="J807" s="182" t="str">
        <f>'RSD (DEA)'!AI194</f>
        <v>RSDAHT</v>
      </c>
      <c r="K807" s="235" t="str">
        <f>'RSD (DEA)'!AK194</f>
        <v>RWAPC</v>
      </c>
      <c r="L807" s="244"/>
      <c r="M807" s="182">
        <f t="shared" si="163"/>
        <v>2019</v>
      </c>
      <c r="N807" s="182">
        <f>'RSD (DEA)'!X194</f>
        <v>2015</v>
      </c>
      <c r="O807" s="182">
        <f>IF(N807&lt;2019,2019,N807)</f>
        <v>2019</v>
      </c>
      <c r="P807" s="183">
        <f>'RSD (DEA)'!AZ194</f>
        <v>1.5</v>
      </c>
      <c r="Q807" s="183">
        <f>'RSD (DEA)'!BA194</f>
        <v>0</v>
      </c>
      <c r="R807" s="182">
        <f>'RSD (DEA)'!BR194/'RSD (DEA)'!S194</f>
        <v>4.7</v>
      </c>
      <c r="S807" s="182">
        <f>'RSD (DEA)'!BS194/X_RSD_HeatingDemand!$AA$8</f>
        <v>0</v>
      </c>
      <c r="T807" s="252">
        <f>'RSD (DEA)'!BK186*X_RSD_HeatingDemand!$AA$9/'RSD (DEA)'!S186</f>
        <v>445.45454545454544</v>
      </c>
      <c r="U807" s="182">
        <f>'RSD (DEA)'!BI194</f>
        <v>15</v>
      </c>
      <c r="V807" s="252" t="str">
        <f t="shared" si="165"/>
        <v/>
      </c>
      <c r="W807" s="236">
        <f>'RSD (DEA)'!AM194</f>
        <v>31.536000000000001</v>
      </c>
    </row>
    <row r="808" spans="1:23" x14ac:dyDescent="0.3">
      <c r="A808" s="316"/>
      <c r="B808" s="235"/>
      <c r="C808" s="318"/>
      <c r="D808" s="235"/>
      <c r="E808" s="235"/>
      <c r="F808" s="242"/>
      <c r="G808" s="242"/>
      <c r="H808" s="235"/>
      <c r="I808" s="235"/>
      <c r="J808" s="182" t="str">
        <f>J807</f>
        <v>RSDAHT</v>
      </c>
      <c r="K808" s="235"/>
      <c r="L808" s="244" t="str">
        <f>$AA$11</f>
        <v>ACT</v>
      </c>
      <c r="M808" s="182" t="str">
        <f t="shared" si="163"/>
        <v/>
      </c>
      <c r="N808" s="182"/>
      <c r="O808" s="182"/>
      <c r="P808" s="183"/>
      <c r="Q808" s="183"/>
      <c r="R808" s="182"/>
      <c r="S808" s="182"/>
      <c r="T808" s="252"/>
      <c r="U808" s="182"/>
      <c r="V808" s="252">
        <f t="shared" si="165"/>
        <v>1</v>
      </c>
      <c r="W808" s="236"/>
    </row>
    <row r="809" spans="1:23" x14ac:dyDescent="0.3">
      <c r="A809" s="316"/>
      <c r="B809" s="235"/>
      <c r="C809" s="318"/>
      <c r="D809" s="235"/>
      <c r="E809" s="235"/>
      <c r="F809" s="242"/>
      <c r="G809" s="242"/>
      <c r="H809" s="235"/>
      <c r="I809" s="235"/>
      <c r="J809" s="182" t="str">
        <f>J808</f>
        <v>RSDAHT</v>
      </c>
      <c r="K809" s="235"/>
      <c r="L809" s="244" t="str">
        <f t="shared" si="162"/>
        <v>RSDGAS</v>
      </c>
      <c r="M809" s="182" t="str">
        <f t="shared" si="163"/>
        <v/>
      </c>
      <c r="N809" s="182"/>
      <c r="O809" s="182"/>
      <c r="P809" s="183"/>
      <c r="Q809" s="183"/>
      <c r="R809" s="182"/>
      <c r="S809" s="182"/>
      <c r="T809" s="252"/>
      <c r="U809" s="182"/>
      <c r="V809" s="252">
        <f t="shared" si="165"/>
        <v>-1</v>
      </c>
      <c r="W809" s="236"/>
    </row>
    <row r="810" spans="1:23" x14ac:dyDescent="0.3">
      <c r="A810" s="316"/>
      <c r="B810" s="235" t="str">
        <f>'RSD (DEA)'!AJ195&amp;"_"&amp;'RSD (DEA)'!Z195</f>
        <v>RHAPC_HP_GAS_05</v>
      </c>
      <c r="C810" s="318"/>
      <c r="D810" s="235" t="str">
        <f t="shared" si="164"/>
        <v>RHAPC_HP_GAS_05</v>
      </c>
      <c r="E810" s="235" t="str">
        <f>'RSD (DEA)'!Q195</f>
        <v>Gas engine driven heat pump</v>
      </c>
      <c r="F810" s="242" t="s">
        <v>239</v>
      </c>
      <c r="G810" s="242" t="s">
        <v>240</v>
      </c>
      <c r="H810" s="235">
        <f>'RSD (DEA)'!S195</f>
        <v>50</v>
      </c>
      <c r="I810" s="235" t="str">
        <f>IF(OR(RIGHT('RSD (DEA)'!AH195,3)="BIO",RIGHT(AD818,3)="BOA"),LEFT('RSD (DEA)'!AH195,3)&amp;"BFW",'RSD (DEA)'!AH195)</f>
        <v>RSDGAS</v>
      </c>
      <c r="J810" s="182" t="str">
        <f>'RSD (DEA)'!AI195</f>
        <v>RSDAHT</v>
      </c>
      <c r="K810" s="235" t="str">
        <f>'RSD (DEA)'!AK195</f>
        <v>RWAPC</v>
      </c>
      <c r="L810" s="244"/>
      <c r="M810" s="182">
        <f t="shared" si="163"/>
        <v>2019</v>
      </c>
      <c r="N810" s="182">
        <f>'RSD (DEA)'!X195</f>
        <v>2020</v>
      </c>
      <c r="O810" s="182">
        <f>IF(N810&lt;2019,2019,N810)</f>
        <v>2020</v>
      </c>
      <c r="P810" s="183">
        <f>'RSD (DEA)'!AZ195</f>
        <v>1.55</v>
      </c>
      <c r="Q810" s="183">
        <f>'RSD (DEA)'!BA195</f>
        <v>0</v>
      </c>
      <c r="R810" s="182">
        <f>'RSD (DEA)'!BR195/'RSD (DEA)'!S195</f>
        <v>4.7</v>
      </c>
      <c r="S810" s="182">
        <f>'RSD (DEA)'!BS195/X_RSD_HeatingDemand!$AA$8</f>
        <v>0</v>
      </c>
      <c r="T810" s="252">
        <f>'RSD (DEA)'!BK187*X_RSD_HeatingDemand!$AA$9/'RSD (DEA)'!S187</f>
        <v>237.5</v>
      </c>
      <c r="U810" s="182">
        <f>'RSD (DEA)'!BI195</f>
        <v>20</v>
      </c>
      <c r="V810" s="252" t="str">
        <f t="shared" si="165"/>
        <v/>
      </c>
      <c r="W810" s="236">
        <f>'RSD (DEA)'!AM195</f>
        <v>31.536000000000001</v>
      </c>
    </row>
    <row r="811" spans="1:23" x14ac:dyDescent="0.3">
      <c r="A811" s="316"/>
      <c r="B811" s="235"/>
      <c r="C811" s="318"/>
      <c r="D811" s="235"/>
      <c r="E811" s="235"/>
      <c r="F811" s="242"/>
      <c r="G811" s="242"/>
      <c r="H811" s="235"/>
      <c r="I811" s="235"/>
      <c r="J811" s="182" t="str">
        <f>J810</f>
        <v>RSDAHT</v>
      </c>
      <c r="K811" s="235"/>
      <c r="L811" s="244" t="str">
        <f>$AA$11</f>
        <v>ACT</v>
      </c>
      <c r="M811" s="182" t="str">
        <f t="shared" si="163"/>
        <v/>
      </c>
      <c r="N811" s="182"/>
      <c r="O811" s="182"/>
      <c r="P811" s="183"/>
      <c r="Q811" s="183"/>
      <c r="R811" s="182"/>
      <c r="S811" s="182"/>
      <c r="T811" s="252"/>
      <c r="U811" s="182"/>
      <c r="V811" s="252">
        <f t="shared" si="165"/>
        <v>1</v>
      </c>
      <c r="W811" s="236"/>
    </row>
    <row r="812" spans="1:23" x14ac:dyDescent="0.3">
      <c r="A812" s="316"/>
      <c r="B812" s="235"/>
      <c r="C812" s="318"/>
      <c r="D812" s="235"/>
      <c r="E812" s="235"/>
      <c r="F812" s="242"/>
      <c r="G812" s="242"/>
      <c r="H812" s="235"/>
      <c r="I812" s="235"/>
      <c r="J812" s="182" t="str">
        <f>J811</f>
        <v>RSDAHT</v>
      </c>
      <c r="K812" s="235"/>
      <c r="L812" s="244" t="str">
        <f t="shared" si="161"/>
        <v>RSDGAS</v>
      </c>
      <c r="M812" s="182" t="str">
        <f t="shared" si="163"/>
        <v/>
      </c>
      <c r="N812" s="182"/>
      <c r="O812" s="182"/>
      <c r="P812" s="183"/>
      <c r="Q812" s="183"/>
      <c r="R812" s="182"/>
      <c r="S812" s="182"/>
      <c r="T812" s="252"/>
      <c r="U812" s="182"/>
      <c r="V812" s="252">
        <f t="shared" si="165"/>
        <v>-1</v>
      </c>
      <c r="W812" s="236"/>
    </row>
    <row r="813" spans="1:23" x14ac:dyDescent="0.3">
      <c r="A813" s="316"/>
      <c r="B813" s="235" t="str">
        <f>'RSD (DEA)'!AJ196&amp;"_"&amp;'RSD (DEA)'!Z196</f>
        <v>RHAPC_HP_GAS_05</v>
      </c>
      <c r="C813" s="318"/>
      <c r="D813" s="235" t="str">
        <f t="shared" si="164"/>
        <v>RHAPC_HP_GAS_05</v>
      </c>
      <c r="E813" s="235" t="str">
        <f>'RSD (DEA)'!Q196</f>
        <v>Gas engine driven heat pump</v>
      </c>
      <c r="F813" s="242" t="s">
        <v>239</v>
      </c>
      <c r="G813" s="242" t="s">
        <v>240</v>
      </c>
      <c r="H813" s="235">
        <f>'RSD (DEA)'!S196</f>
        <v>50</v>
      </c>
      <c r="I813" s="235" t="str">
        <f>IF(OR(RIGHT('RSD (DEA)'!AH196,3)="BIO",RIGHT(AD821,3)="BOA"),LEFT('RSD (DEA)'!AH196,3)&amp;"BFW",'RSD (DEA)'!AH196)</f>
        <v>RSDGAS</v>
      </c>
      <c r="J813" s="182" t="str">
        <f>'RSD (DEA)'!AI196</f>
        <v>RSDAHT</v>
      </c>
      <c r="K813" s="235" t="str">
        <f>'RSD (DEA)'!AK196</f>
        <v>RWAPC</v>
      </c>
      <c r="L813" s="244"/>
      <c r="M813" s="182">
        <f t="shared" si="163"/>
        <v>2019</v>
      </c>
      <c r="N813" s="182">
        <f>'RSD (DEA)'!X196</f>
        <v>2030</v>
      </c>
      <c r="O813" s="182">
        <f>IF(N813&lt;2019,2019,N813)</f>
        <v>2030</v>
      </c>
      <c r="P813" s="183">
        <f>'RSD (DEA)'!AZ196</f>
        <v>1.55</v>
      </c>
      <c r="Q813" s="183">
        <f>'RSD (DEA)'!BA196</f>
        <v>0</v>
      </c>
      <c r="R813" s="182">
        <f>'RSD (DEA)'!BR196/'RSD (DEA)'!S196</f>
        <v>4.7</v>
      </c>
      <c r="S813" s="182">
        <f>'RSD (DEA)'!BS196/X_RSD_HeatingDemand!$AA$8</f>
        <v>0</v>
      </c>
      <c r="T813" s="252">
        <f>'RSD (DEA)'!BK188*X_RSD_HeatingDemand!$AA$9/'RSD (DEA)'!S188</f>
        <v>212.5</v>
      </c>
      <c r="U813" s="182">
        <f>'RSD (DEA)'!BI196</f>
        <v>20</v>
      </c>
      <c r="V813" s="252" t="str">
        <f t="shared" si="165"/>
        <v/>
      </c>
      <c r="W813" s="236">
        <f>'RSD (DEA)'!AM196</f>
        <v>31.536000000000001</v>
      </c>
    </row>
    <row r="814" spans="1:23" x14ac:dyDescent="0.3">
      <c r="A814" s="316"/>
      <c r="B814" s="235"/>
      <c r="C814" s="318"/>
      <c r="D814" s="235"/>
      <c r="E814" s="235"/>
      <c r="F814" s="242"/>
      <c r="G814" s="242"/>
      <c r="H814" s="235"/>
      <c r="I814" s="235"/>
      <c r="J814" s="182" t="str">
        <f>J813</f>
        <v>RSDAHT</v>
      </c>
      <c r="K814" s="235"/>
      <c r="L814" s="244" t="str">
        <f>$AA$11</f>
        <v>ACT</v>
      </c>
      <c r="M814" s="182" t="str">
        <f t="shared" si="163"/>
        <v/>
      </c>
      <c r="N814" s="182"/>
      <c r="O814" s="182"/>
      <c r="P814" s="183"/>
      <c r="Q814" s="183"/>
      <c r="R814" s="182"/>
      <c r="S814" s="182"/>
      <c r="T814" s="252"/>
      <c r="U814" s="182"/>
      <c r="V814" s="252">
        <f t="shared" si="165"/>
        <v>1</v>
      </c>
      <c r="W814" s="236"/>
    </row>
    <row r="815" spans="1:23" x14ac:dyDescent="0.3">
      <c r="A815" s="316"/>
      <c r="B815" s="235"/>
      <c r="C815" s="318"/>
      <c r="D815" s="235"/>
      <c r="E815" s="235"/>
      <c r="F815" s="242"/>
      <c r="G815" s="242"/>
      <c r="H815" s="235"/>
      <c r="I815" s="235"/>
      <c r="J815" s="182" t="str">
        <f>J814</f>
        <v>RSDAHT</v>
      </c>
      <c r="K815" s="235"/>
      <c r="L815" s="244" t="str">
        <f t="shared" si="162"/>
        <v>RSDGAS</v>
      </c>
      <c r="M815" s="182" t="str">
        <f t="shared" si="163"/>
        <v/>
      </c>
      <c r="N815" s="182"/>
      <c r="O815" s="182"/>
      <c r="P815" s="183"/>
      <c r="Q815" s="183"/>
      <c r="R815" s="182"/>
      <c r="S815" s="182"/>
      <c r="T815" s="252"/>
      <c r="U815" s="182"/>
      <c r="V815" s="252">
        <f t="shared" si="165"/>
        <v>-1</v>
      </c>
      <c r="W815" s="236"/>
    </row>
    <row r="816" spans="1:23" x14ac:dyDescent="0.3">
      <c r="A816" s="316"/>
      <c r="B816" s="235" t="str">
        <f>'RSD (DEA)'!AJ197&amp;"_"&amp;'RSD (DEA)'!Z197</f>
        <v>RHAPC_HP_GAS_05</v>
      </c>
      <c r="C816" s="318"/>
      <c r="D816" s="235" t="str">
        <f t="shared" si="164"/>
        <v>RHAPC_HP_GAS_05</v>
      </c>
      <c r="E816" s="235" t="str">
        <f>'RSD (DEA)'!Q197</f>
        <v>Gas engine driven heat pump</v>
      </c>
      <c r="F816" s="242" t="s">
        <v>239</v>
      </c>
      <c r="G816" s="242" t="s">
        <v>240</v>
      </c>
      <c r="H816" s="235">
        <f>'RSD (DEA)'!S197</f>
        <v>50</v>
      </c>
      <c r="I816" s="235" t="str">
        <f>IF(OR(RIGHT('RSD (DEA)'!AH197,3)="BIO",RIGHT(AD824,3)="BOA"),LEFT('RSD (DEA)'!AH197,3)&amp;"BFW",'RSD (DEA)'!AH197)</f>
        <v>RSDGAS</v>
      </c>
      <c r="J816" s="182" t="str">
        <f>'RSD (DEA)'!AI197</f>
        <v>RSDAHT</v>
      </c>
      <c r="K816" s="235" t="str">
        <f>'RSD (DEA)'!AK197</f>
        <v>RWAPC</v>
      </c>
      <c r="L816" s="244"/>
      <c r="M816" s="182">
        <f t="shared" si="163"/>
        <v>2019</v>
      </c>
      <c r="N816" s="182">
        <f>'RSD (DEA)'!X197</f>
        <v>2050</v>
      </c>
      <c r="O816" s="182">
        <f>IF(N816&lt;2019,2019,N816)</f>
        <v>2050</v>
      </c>
      <c r="P816" s="183">
        <f>'RSD (DEA)'!AZ197</f>
        <v>1.6</v>
      </c>
      <c r="Q816" s="183">
        <f>'RSD (DEA)'!BA197</f>
        <v>0</v>
      </c>
      <c r="R816" s="182">
        <f>'RSD (DEA)'!BR197/'RSD (DEA)'!S197</f>
        <v>4.7</v>
      </c>
      <c r="S816" s="182">
        <f>'RSD (DEA)'!BS197/X_RSD_HeatingDemand!$AA$8</f>
        <v>0</v>
      </c>
      <c r="T816" s="252">
        <f>'RSD (DEA)'!BK189*X_RSD_HeatingDemand!$AA$9/'RSD (DEA)'!S189</f>
        <v>200</v>
      </c>
      <c r="U816" s="182">
        <f>'RSD (DEA)'!BI197</f>
        <v>20</v>
      </c>
      <c r="V816" s="252" t="str">
        <f t="shared" si="165"/>
        <v/>
      </c>
      <c r="W816" s="236">
        <f>'RSD (DEA)'!AM197</f>
        <v>31.536000000000001</v>
      </c>
    </row>
    <row r="817" spans="1:23" x14ac:dyDescent="0.3">
      <c r="A817" s="316"/>
      <c r="B817" s="235"/>
      <c r="C817" s="318"/>
      <c r="D817" s="235"/>
      <c r="E817" s="235"/>
      <c r="F817" s="242"/>
      <c r="G817" s="242"/>
      <c r="H817" s="235"/>
      <c r="I817" s="235"/>
      <c r="J817" s="182" t="str">
        <f>J816</f>
        <v>RSDAHT</v>
      </c>
      <c r="K817" s="235"/>
      <c r="L817" s="244" t="str">
        <f>$AA$11</f>
        <v>ACT</v>
      </c>
      <c r="M817" s="182" t="str">
        <f t="shared" si="163"/>
        <v/>
      </c>
      <c r="N817" s="182"/>
      <c r="O817" s="182"/>
      <c r="P817" s="183"/>
      <c r="Q817" s="183"/>
      <c r="R817" s="182"/>
      <c r="S817" s="182"/>
      <c r="T817" s="252"/>
      <c r="U817" s="182"/>
      <c r="V817" s="252">
        <f t="shared" si="165"/>
        <v>1</v>
      </c>
      <c r="W817" s="236"/>
    </row>
    <row r="818" spans="1:23" x14ac:dyDescent="0.3">
      <c r="A818" s="316"/>
      <c r="B818" s="235"/>
      <c r="C818" s="318"/>
      <c r="D818" s="235"/>
      <c r="E818" s="235"/>
      <c r="F818" s="242"/>
      <c r="G818" s="242"/>
      <c r="H818" s="235"/>
      <c r="I818" s="235"/>
      <c r="J818" s="182" t="str">
        <f>J817</f>
        <v>RSDAHT</v>
      </c>
      <c r="K818" s="235"/>
      <c r="L818" s="244" t="str">
        <f t="shared" si="161"/>
        <v>RSDGAS</v>
      </c>
      <c r="M818" s="182" t="str">
        <f t="shared" si="163"/>
        <v/>
      </c>
      <c r="N818" s="182"/>
      <c r="O818" s="182"/>
      <c r="P818" s="183"/>
      <c r="Q818" s="183"/>
      <c r="R818" s="182"/>
      <c r="S818" s="182"/>
      <c r="T818" s="252"/>
      <c r="U818" s="182"/>
      <c r="V818" s="252">
        <f t="shared" si="165"/>
        <v>-1</v>
      </c>
      <c r="W818" s="236"/>
    </row>
    <row r="819" spans="1:23" x14ac:dyDescent="0.3">
      <c r="A819" s="316"/>
      <c r="B819" s="235" t="str">
        <f>'RSD (DEA)'!AJ198&amp;"_"&amp;'RSD (DEA)'!Z198</f>
        <v>RHAPC_HP_GAS_06</v>
      </c>
      <c r="C819" s="318"/>
      <c r="D819" s="235" t="str">
        <f t="shared" si="164"/>
        <v>RHAPC_HP_GAS_06</v>
      </c>
      <c r="E819" s="235" t="str">
        <f>'RSD (DEA)'!Q198</f>
        <v>Gas engine driven heat pump</v>
      </c>
      <c r="F819" s="242" t="s">
        <v>239</v>
      </c>
      <c r="G819" s="242" t="s">
        <v>240</v>
      </c>
      <c r="H819" s="235">
        <f>'RSD (DEA)'!S198</f>
        <v>50</v>
      </c>
      <c r="I819" s="235" t="str">
        <f>IF(OR(RIGHT('RSD (DEA)'!AH198,3)="BIO",RIGHT(AD1035,3)="BOA"),LEFT('RSD (DEA)'!AH198,3)&amp;"BFW",'RSD (DEA)'!AH198)</f>
        <v>RSDGAS</v>
      </c>
      <c r="J819" s="182" t="str">
        <f>'RSD (DEA)'!AI198</f>
        <v>RSDAHT</v>
      </c>
      <c r="K819" s="235" t="str">
        <f>'RSD (DEA)'!AK198</f>
        <v>RWAPC</v>
      </c>
      <c r="L819" s="244"/>
      <c r="M819" s="182">
        <f t="shared" si="163"/>
        <v>2019</v>
      </c>
      <c r="N819" s="182">
        <f>'RSD (DEA)'!X198</f>
        <v>2015</v>
      </c>
      <c r="O819" s="182">
        <f>IF(N819&lt;2019,2019,N819)</f>
        <v>2019</v>
      </c>
      <c r="P819" s="183">
        <f>'RSD (DEA)'!AZ198</f>
        <v>1.5</v>
      </c>
      <c r="Q819" s="183">
        <f>'RSD (DEA)'!BA198</f>
        <v>0</v>
      </c>
      <c r="R819" s="182">
        <f>'RSD (DEA)'!BR198/'RSD (DEA)'!S198</f>
        <v>4.7</v>
      </c>
      <c r="S819" s="182">
        <f>'RSD (DEA)'!BS198/X_RSD_HeatingDemand!$AA$8</f>
        <v>0</v>
      </c>
      <c r="T819" s="252">
        <f>'RSD (DEA)'!BK190*X_RSD_HeatingDemand!$AA$9/'RSD (DEA)'!S190</f>
        <v>1309.090909090909</v>
      </c>
      <c r="U819" s="182">
        <f>'RSD (DEA)'!BI198</f>
        <v>15</v>
      </c>
      <c r="V819" s="252" t="str">
        <f t="shared" si="165"/>
        <v/>
      </c>
      <c r="W819" s="236">
        <f>'RSD (DEA)'!AM198</f>
        <v>31.536000000000001</v>
      </c>
    </row>
    <row r="820" spans="1:23" x14ac:dyDescent="0.3">
      <c r="A820" s="316"/>
      <c r="B820" s="235"/>
      <c r="C820" s="318"/>
      <c r="D820" s="235"/>
      <c r="E820" s="235"/>
      <c r="F820" s="242"/>
      <c r="G820" s="242"/>
      <c r="H820" s="235"/>
      <c r="I820" s="235"/>
      <c r="J820" s="182" t="str">
        <f>J819</f>
        <v>RSDAHT</v>
      </c>
      <c r="K820" s="235"/>
      <c r="L820" s="244" t="str">
        <f>$AA$11</f>
        <v>ACT</v>
      </c>
      <c r="M820" s="182" t="str">
        <f t="shared" si="163"/>
        <v/>
      </c>
      <c r="N820" s="182"/>
      <c r="O820" s="182"/>
      <c r="P820" s="183"/>
      <c r="Q820" s="183"/>
      <c r="R820" s="182"/>
      <c r="S820" s="182"/>
      <c r="T820" s="252"/>
      <c r="U820" s="182"/>
      <c r="V820" s="252">
        <f t="shared" si="165"/>
        <v>1</v>
      </c>
      <c r="W820" s="236"/>
    </row>
    <row r="821" spans="1:23" x14ac:dyDescent="0.3">
      <c r="A821" s="316"/>
      <c r="B821" s="235"/>
      <c r="C821" s="318"/>
      <c r="D821" s="235"/>
      <c r="E821" s="235"/>
      <c r="F821" s="242"/>
      <c r="G821" s="242"/>
      <c r="H821" s="235"/>
      <c r="I821" s="235"/>
      <c r="J821" s="182" t="str">
        <f>J820</f>
        <v>RSDAHT</v>
      </c>
      <c r="K821" s="235"/>
      <c r="L821" s="244" t="str">
        <f t="shared" si="162"/>
        <v>RSDGAS</v>
      </c>
      <c r="M821" s="182" t="str">
        <f t="shared" si="163"/>
        <v/>
      </c>
      <c r="N821" s="182"/>
      <c r="O821" s="182"/>
      <c r="P821" s="183"/>
      <c r="Q821" s="183"/>
      <c r="R821" s="182"/>
      <c r="S821" s="182"/>
      <c r="T821" s="252"/>
      <c r="U821" s="182"/>
      <c r="V821" s="252">
        <f t="shared" si="165"/>
        <v>-1</v>
      </c>
      <c r="W821" s="236"/>
    </row>
    <row r="822" spans="1:23" x14ac:dyDescent="0.3">
      <c r="A822" s="316"/>
      <c r="B822" s="235" t="str">
        <f>'RSD (DEA)'!AJ199&amp;"_"&amp;'RSD (DEA)'!Z199</f>
        <v>RHAPC_HP_GAS_06</v>
      </c>
      <c r="C822" s="318"/>
      <c r="D822" s="235" t="str">
        <f t="shared" si="164"/>
        <v>RHAPC_HP_GAS_06</v>
      </c>
      <c r="E822" s="235" t="str">
        <f>'RSD (DEA)'!Q199</f>
        <v>Gas engine driven heat pump</v>
      </c>
      <c r="F822" s="242" t="s">
        <v>239</v>
      </c>
      <c r="G822" s="242" t="s">
        <v>240</v>
      </c>
      <c r="H822" s="235">
        <f>'RSD (DEA)'!S199</f>
        <v>50</v>
      </c>
      <c r="I822" s="235" t="str">
        <f>IF(OR(RIGHT('RSD (DEA)'!AH199,3)="BIO",RIGHT(AD1038,3)="BOA"),LEFT('RSD (DEA)'!AH199,3)&amp;"BFW",'RSD (DEA)'!AH199)</f>
        <v>RSDGAS</v>
      </c>
      <c r="J822" s="182" t="str">
        <f>'RSD (DEA)'!AI199</f>
        <v>RSDAHT</v>
      </c>
      <c r="K822" s="235" t="str">
        <f>'RSD (DEA)'!AK199</f>
        <v>RWAPC</v>
      </c>
      <c r="L822" s="244"/>
      <c r="M822" s="182">
        <f t="shared" si="163"/>
        <v>2019</v>
      </c>
      <c r="N822" s="182">
        <f>'RSD (DEA)'!X199</f>
        <v>2020</v>
      </c>
      <c r="O822" s="182">
        <f>IF(N822&lt;2019,2019,N822)</f>
        <v>2020</v>
      </c>
      <c r="P822" s="183">
        <f>'RSD (DEA)'!AZ199</f>
        <v>1.55</v>
      </c>
      <c r="Q822" s="183">
        <f>'RSD (DEA)'!BA199</f>
        <v>0</v>
      </c>
      <c r="R822" s="182">
        <f>'RSD (DEA)'!BR199/'RSD (DEA)'!S199</f>
        <v>4.7</v>
      </c>
      <c r="S822" s="182">
        <f>'RSD (DEA)'!BS199/X_RSD_HeatingDemand!$AA$8</f>
        <v>0</v>
      </c>
      <c r="T822" s="252">
        <f>'RSD (DEA)'!BK191*X_RSD_HeatingDemand!$AA$9/'RSD (DEA)'!S191</f>
        <v>700</v>
      </c>
      <c r="U822" s="182">
        <f>'RSD (DEA)'!BI199</f>
        <v>20</v>
      </c>
      <c r="V822" s="252" t="str">
        <f t="shared" si="165"/>
        <v/>
      </c>
      <c r="W822" s="236">
        <f>'RSD (DEA)'!AM199</f>
        <v>31.536000000000001</v>
      </c>
    </row>
    <row r="823" spans="1:23" x14ac:dyDescent="0.3">
      <c r="A823" s="316"/>
      <c r="B823" s="235"/>
      <c r="C823" s="318"/>
      <c r="D823" s="235"/>
      <c r="E823" s="235"/>
      <c r="F823" s="242"/>
      <c r="G823" s="242"/>
      <c r="H823" s="235"/>
      <c r="I823" s="235"/>
      <c r="J823" s="182" t="str">
        <f>J822</f>
        <v>RSDAHT</v>
      </c>
      <c r="K823" s="235"/>
      <c r="L823" s="244" t="str">
        <f>$AA$11</f>
        <v>ACT</v>
      </c>
      <c r="M823" s="182" t="str">
        <f t="shared" si="163"/>
        <v/>
      </c>
      <c r="N823" s="182"/>
      <c r="O823" s="182"/>
      <c r="P823" s="183"/>
      <c r="Q823" s="183"/>
      <c r="R823" s="182"/>
      <c r="S823" s="182"/>
      <c r="T823" s="252"/>
      <c r="U823" s="182"/>
      <c r="V823" s="252">
        <f t="shared" si="165"/>
        <v>1</v>
      </c>
      <c r="W823" s="236"/>
    </row>
    <row r="824" spans="1:23" x14ac:dyDescent="0.3">
      <c r="A824" s="316"/>
      <c r="B824" s="235"/>
      <c r="C824" s="318"/>
      <c r="D824" s="235"/>
      <c r="E824" s="235"/>
      <c r="F824" s="242"/>
      <c r="G824" s="242"/>
      <c r="H824" s="235"/>
      <c r="I824" s="235"/>
      <c r="J824" s="182" t="str">
        <f>J823</f>
        <v>RSDAHT</v>
      </c>
      <c r="K824" s="235"/>
      <c r="L824" s="244" t="str">
        <f t="shared" si="161"/>
        <v>RSDGAS</v>
      </c>
      <c r="M824" s="182" t="str">
        <f t="shared" si="163"/>
        <v/>
      </c>
      <c r="N824" s="182"/>
      <c r="O824" s="182"/>
      <c r="P824" s="183"/>
      <c r="Q824" s="183"/>
      <c r="R824" s="182"/>
      <c r="S824" s="182"/>
      <c r="T824" s="252"/>
      <c r="U824" s="182"/>
      <c r="V824" s="252">
        <f t="shared" si="165"/>
        <v>-1</v>
      </c>
      <c r="W824" s="236"/>
    </row>
    <row r="825" spans="1:23" x14ac:dyDescent="0.3">
      <c r="A825" s="316"/>
      <c r="B825" s="235" t="str">
        <f>'RSD (DEA)'!AJ200&amp;"_"&amp;'RSD (DEA)'!Z200</f>
        <v>RHAPC_HP_GAS_06</v>
      </c>
      <c r="C825" s="318"/>
      <c r="D825" s="235" t="str">
        <f t="shared" si="164"/>
        <v>RHAPC_HP_GAS_06</v>
      </c>
      <c r="E825" s="235" t="str">
        <f>'RSD (DEA)'!Q200</f>
        <v>Gas engine driven heat pump</v>
      </c>
      <c r="F825" s="242" t="s">
        <v>239</v>
      </c>
      <c r="G825" s="242" t="s">
        <v>240</v>
      </c>
      <c r="H825" s="235">
        <f>'RSD (DEA)'!S200</f>
        <v>50</v>
      </c>
      <c r="I825" s="235" t="str">
        <f>IF(OR(RIGHT('RSD (DEA)'!AH200,3)="BIO",RIGHT(AD1041,3)="BOA"),LEFT('RSD (DEA)'!AH200,3)&amp;"BFW",'RSD (DEA)'!AH200)</f>
        <v>RSDGAS</v>
      </c>
      <c r="J825" s="182" t="str">
        <f>'RSD (DEA)'!AI200</f>
        <v>RSDAHT</v>
      </c>
      <c r="K825" s="235" t="str">
        <f>'RSD (DEA)'!AK200</f>
        <v>RWAPC</v>
      </c>
      <c r="L825" s="244"/>
      <c r="M825" s="182">
        <f t="shared" si="163"/>
        <v>2019</v>
      </c>
      <c r="N825" s="182">
        <f>'RSD (DEA)'!X200</f>
        <v>2030</v>
      </c>
      <c r="O825" s="182">
        <f>IF(N825&lt;2019,2019,N825)</f>
        <v>2030</v>
      </c>
      <c r="P825" s="183">
        <f>'RSD (DEA)'!AZ200</f>
        <v>1.55</v>
      </c>
      <c r="Q825" s="183">
        <f>'RSD (DEA)'!BA200</f>
        <v>0</v>
      </c>
      <c r="R825" s="182">
        <f>'RSD (DEA)'!BR200/'RSD (DEA)'!S200</f>
        <v>4.7</v>
      </c>
      <c r="S825" s="182">
        <f>'RSD (DEA)'!BS200/X_RSD_HeatingDemand!$AA$8</f>
        <v>0</v>
      </c>
      <c r="T825" s="252">
        <f>'RSD (DEA)'!BK192*X_RSD_HeatingDemand!$AA$9/'RSD (DEA)'!S192</f>
        <v>662.5</v>
      </c>
      <c r="U825" s="182">
        <f>'RSD (DEA)'!BI200</f>
        <v>20</v>
      </c>
      <c r="V825" s="252" t="str">
        <f t="shared" si="165"/>
        <v/>
      </c>
      <c r="W825" s="236">
        <f>'RSD (DEA)'!AM200</f>
        <v>31.536000000000001</v>
      </c>
    </row>
    <row r="826" spans="1:23" x14ac:dyDescent="0.3">
      <c r="A826" s="316"/>
      <c r="B826" s="235"/>
      <c r="C826" s="318"/>
      <c r="D826" s="235"/>
      <c r="E826" s="235"/>
      <c r="F826" s="242"/>
      <c r="G826" s="242"/>
      <c r="H826" s="235"/>
      <c r="I826" s="235"/>
      <c r="J826" s="182" t="str">
        <f>J825</f>
        <v>RSDAHT</v>
      </c>
      <c r="K826" s="235"/>
      <c r="L826" s="244" t="str">
        <f>$AA$11</f>
        <v>ACT</v>
      </c>
      <c r="M826" s="182" t="str">
        <f t="shared" si="163"/>
        <v/>
      </c>
      <c r="N826" s="182"/>
      <c r="O826" s="182"/>
      <c r="P826" s="183"/>
      <c r="Q826" s="183"/>
      <c r="R826" s="182"/>
      <c r="S826" s="182"/>
      <c r="T826" s="252"/>
      <c r="U826" s="182"/>
      <c r="V826" s="252">
        <f t="shared" si="165"/>
        <v>1</v>
      </c>
      <c r="W826" s="236"/>
    </row>
    <row r="827" spans="1:23" x14ac:dyDescent="0.3">
      <c r="A827" s="316"/>
      <c r="B827" s="235"/>
      <c r="C827" s="318"/>
      <c r="D827" s="235"/>
      <c r="E827" s="235"/>
      <c r="F827" s="242"/>
      <c r="G827" s="242"/>
      <c r="H827" s="235"/>
      <c r="I827" s="235"/>
      <c r="J827" s="182" t="str">
        <f>J826</f>
        <v>RSDAHT</v>
      </c>
      <c r="K827" s="235"/>
      <c r="L827" s="244" t="str">
        <f t="shared" si="162"/>
        <v>RSDGAS</v>
      </c>
      <c r="M827" s="182" t="str">
        <f t="shared" si="163"/>
        <v/>
      </c>
      <c r="N827" s="182"/>
      <c r="O827" s="182"/>
      <c r="P827" s="183"/>
      <c r="Q827" s="183"/>
      <c r="R827" s="182"/>
      <c r="S827" s="182"/>
      <c r="T827" s="252"/>
      <c r="U827" s="182"/>
      <c r="V827" s="252">
        <f t="shared" si="165"/>
        <v>-1</v>
      </c>
      <c r="W827" s="236"/>
    </row>
    <row r="828" spans="1:23" x14ac:dyDescent="0.3">
      <c r="A828" s="316"/>
      <c r="B828" s="235" t="str">
        <f>'RSD (DEA)'!AJ201&amp;"_"&amp;'RSD (DEA)'!Z201</f>
        <v>RHAPC_HP_GAS_06</v>
      </c>
      <c r="C828" s="318"/>
      <c r="D828" s="235" t="str">
        <f t="shared" si="164"/>
        <v>RHAPC_HP_GAS_06</v>
      </c>
      <c r="E828" s="235" t="str">
        <f>'RSD (DEA)'!Q201</f>
        <v>Gas engine driven heat pump</v>
      </c>
      <c r="F828" s="242" t="s">
        <v>239</v>
      </c>
      <c r="G828" s="242" t="s">
        <v>240</v>
      </c>
      <c r="H828" s="235">
        <f>'RSD (DEA)'!S201</f>
        <v>50</v>
      </c>
      <c r="I828" s="235" t="str">
        <f>IF(OR(RIGHT('RSD (DEA)'!AH201,3)="BIO",RIGHT(AD1044,3)="BOA"),LEFT('RSD (DEA)'!AH201,3)&amp;"BFW",'RSD (DEA)'!AH201)</f>
        <v>RSDGAS</v>
      </c>
      <c r="J828" s="182" t="str">
        <f>'RSD (DEA)'!AI201</f>
        <v>RSDAHT</v>
      </c>
      <c r="K828" s="235" t="str">
        <f>'RSD (DEA)'!AK201</f>
        <v>RWAPC</v>
      </c>
      <c r="L828" s="244"/>
      <c r="M828" s="182">
        <f t="shared" si="163"/>
        <v>2019</v>
      </c>
      <c r="N828" s="182">
        <f>'RSD (DEA)'!X201</f>
        <v>2050</v>
      </c>
      <c r="O828" s="182">
        <f>IF(N828&lt;2019,2019,N828)</f>
        <v>2050</v>
      </c>
      <c r="P828" s="183">
        <f>'RSD (DEA)'!AZ201</f>
        <v>1.6</v>
      </c>
      <c r="Q828" s="183">
        <f>'RSD (DEA)'!BA201</f>
        <v>0</v>
      </c>
      <c r="R828" s="182">
        <f>'RSD (DEA)'!BR201/'RSD (DEA)'!S201</f>
        <v>4.7</v>
      </c>
      <c r="S828" s="182">
        <f>'RSD (DEA)'!BS201/X_RSD_HeatingDemand!$AA$8</f>
        <v>0</v>
      </c>
      <c r="T828" s="252">
        <f>'RSD (DEA)'!BK193*X_RSD_HeatingDemand!$AA$9/'RSD (DEA)'!S193</f>
        <v>625</v>
      </c>
      <c r="U828" s="182">
        <f>'RSD (DEA)'!BI201</f>
        <v>20</v>
      </c>
      <c r="V828" s="252" t="str">
        <f t="shared" si="165"/>
        <v/>
      </c>
      <c r="W828" s="236">
        <f>'RSD (DEA)'!AM201</f>
        <v>31.536000000000001</v>
      </c>
    </row>
    <row r="829" spans="1:23" x14ac:dyDescent="0.3">
      <c r="A829" s="316"/>
      <c r="B829" s="235"/>
      <c r="C829" s="318"/>
      <c r="D829" s="235"/>
      <c r="E829" s="235"/>
      <c r="F829" s="242"/>
      <c r="G829" s="242"/>
      <c r="H829" s="235"/>
      <c r="I829" s="235"/>
      <c r="J829" s="182" t="str">
        <f>J828</f>
        <v>RSDAHT</v>
      </c>
      <c r="K829" s="235"/>
      <c r="L829" s="244" t="str">
        <f>$AA$11</f>
        <v>ACT</v>
      </c>
      <c r="M829" s="182" t="str">
        <f t="shared" si="163"/>
        <v/>
      </c>
      <c r="N829" s="182"/>
      <c r="O829" s="182"/>
      <c r="P829" s="183"/>
      <c r="Q829" s="183"/>
      <c r="R829" s="182"/>
      <c r="S829" s="182"/>
      <c r="T829" s="252"/>
      <c r="U829" s="182"/>
      <c r="V829" s="252">
        <f t="shared" si="165"/>
        <v>1</v>
      </c>
      <c r="W829" s="236"/>
    </row>
    <row r="830" spans="1:23" x14ac:dyDescent="0.3">
      <c r="A830" s="316"/>
      <c r="B830" s="235"/>
      <c r="C830" s="318"/>
      <c r="D830" s="235"/>
      <c r="E830" s="235"/>
      <c r="F830" s="242"/>
      <c r="G830" s="242"/>
      <c r="H830" s="235"/>
      <c r="I830" s="235"/>
      <c r="J830" s="182" t="str">
        <f>J829</f>
        <v>RSDAHT</v>
      </c>
      <c r="K830" s="235"/>
      <c r="L830" s="244" t="str">
        <f t="shared" ref="L830:L842" si="166">I828</f>
        <v>RSDGAS</v>
      </c>
      <c r="M830" s="182" t="str">
        <f t="shared" si="163"/>
        <v/>
      </c>
      <c r="N830" s="182"/>
      <c r="O830" s="182"/>
      <c r="P830" s="183"/>
      <c r="Q830" s="183"/>
      <c r="R830" s="182"/>
      <c r="S830" s="182"/>
      <c r="T830" s="252"/>
      <c r="U830" s="182"/>
      <c r="V830" s="252">
        <f t="shared" si="165"/>
        <v>-1</v>
      </c>
      <c r="W830" s="236"/>
    </row>
    <row r="831" spans="1:23" x14ac:dyDescent="0.3">
      <c r="A831" s="316"/>
      <c r="B831" s="235" t="str">
        <f>'RSD (DEA)'!AJ202&amp;"_"&amp;'RSD (DEA)'!Z202</f>
        <v>RHHSC_HP_GAS_07</v>
      </c>
      <c r="C831" s="318"/>
      <c r="D831" s="235" t="str">
        <f t="shared" si="164"/>
        <v>RHHSC_HP_GAS_07</v>
      </c>
      <c r="E831" s="235" t="str">
        <f>'RSD (DEA)'!Q202</f>
        <v>Gas driven adsorption heat pumps</v>
      </c>
      <c r="F831" s="242" t="s">
        <v>239</v>
      </c>
      <c r="G831" s="242" t="s">
        <v>240</v>
      </c>
      <c r="H831" s="235">
        <f>'RSD (DEA)'!S202</f>
        <v>10</v>
      </c>
      <c r="I831" s="235" t="str">
        <f>IF(OR(RIGHT('RSD (DEA)'!AH202,3)="BIO",RIGHT(AD1047,3)="BOA"),LEFT('RSD (DEA)'!AH202,3)&amp;"BFW",'RSD (DEA)'!AH202)</f>
        <v>RSDGAS</v>
      </c>
      <c r="J831" s="182" t="str">
        <f>'RSD (DEA)'!AI202</f>
        <v>RSDAHT</v>
      </c>
      <c r="K831" s="235" t="str">
        <f>'RSD (DEA)'!AK202</f>
        <v>RWHSC</v>
      </c>
      <c r="L831" s="244"/>
      <c r="M831" s="182">
        <f t="shared" si="163"/>
        <v>2019</v>
      </c>
      <c r="N831" s="182">
        <f>'RSD (DEA)'!X202</f>
        <v>2015</v>
      </c>
      <c r="O831" s="182">
        <f>IF(N831&lt;2019,2019,N831)</f>
        <v>2019</v>
      </c>
      <c r="P831" s="183">
        <f>'RSD (DEA)'!AZ202</f>
        <v>1.35</v>
      </c>
      <c r="Q831" s="183">
        <f>'RSD (DEA)'!BA202</f>
        <v>0</v>
      </c>
      <c r="R831" s="182">
        <f>'RSD (DEA)'!BR202/'RSD (DEA)'!S202</f>
        <v>23.5</v>
      </c>
      <c r="S831" s="182">
        <f>'RSD (DEA)'!BS202/X_RSD_HeatingDemand!$AA$8</f>
        <v>0</v>
      </c>
      <c r="T831" s="252">
        <f>'RSD (DEA)'!BK194*X_RSD_HeatingDemand!$AA$9/'RSD (DEA)'!S194</f>
        <v>112</v>
      </c>
      <c r="U831" s="182">
        <f>'RSD (DEA)'!BI202</f>
        <v>20</v>
      </c>
      <c r="V831" s="252" t="str">
        <f t="shared" si="165"/>
        <v/>
      </c>
      <c r="W831" s="236">
        <f>'RSD (DEA)'!AM202</f>
        <v>31.536000000000001</v>
      </c>
    </row>
    <row r="832" spans="1:23" x14ac:dyDescent="0.3">
      <c r="A832" s="316"/>
      <c r="B832" s="235"/>
      <c r="C832" s="318"/>
      <c r="D832" s="235"/>
      <c r="E832" s="235"/>
      <c r="F832" s="242"/>
      <c r="G832" s="242"/>
      <c r="H832" s="235"/>
      <c r="I832" s="235"/>
      <c r="J832" s="182" t="str">
        <f>J831</f>
        <v>RSDAHT</v>
      </c>
      <c r="K832" s="235"/>
      <c r="L832" s="244" t="str">
        <f>$AA$11</f>
        <v>ACT</v>
      </c>
      <c r="M832" s="182" t="str">
        <f t="shared" si="163"/>
        <v/>
      </c>
      <c r="N832" s="182"/>
      <c r="O832" s="182"/>
      <c r="P832" s="183"/>
      <c r="Q832" s="183"/>
      <c r="R832" s="182"/>
      <c r="S832" s="182"/>
      <c r="T832" s="252"/>
      <c r="U832" s="182"/>
      <c r="V832" s="252">
        <f t="shared" si="165"/>
        <v>1</v>
      </c>
      <c r="W832" s="236"/>
    </row>
    <row r="833" spans="1:23" x14ac:dyDescent="0.3">
      <c r="A833" s="316"/>
      <c r="B833" s="235"/>
      <c r="C833" s="318"/>
      <c r="D833" s="235"/>
      <c r="E833" s="235"/>
      <c r="F833" s="242"/>
      <c r="G833" s="242"/>
      <c r="H833" s="235"/>
      <c r="I833" s="235"/>
      <c r="J833" s="182" t="str">
        <f>J832</f>
        <v>RSDAHT</v>
      </c>
      <c r="K833" s="235"/>
      <c r="L833" s="244" t="str">
        <f t="shared" ref="L833:L839" si="167">I831</f>
        <v>RSDGAS</v>
      </c>
      <c r="M833" s="182" t="str">
        <f t="shared" si="163"/>
        <v/>
      </c>
      <c r="N833" s="182"/>
      <c r="O833" s="182"/>
      <c r="P833" s="183"/>
      <c r="Q833" s="183"/>
      <c r="R833" s="182"/>
      <c r="S833" s="182"/>
      <c r="T833" s="252"/>
      <c r="U833" s="182"/>
      <c r="V833" s="252">
        <f t="shared" si="165"/>
        <v>-1</v>
      </c>
      <c r="W833" s="236"/>
    </row>
    <row r="834" spans="1:23" x14ac:dyDescent="0.3">
      <c r="A834" s="316"/>
      <c r="B834" s="235" t="str">
        <f>'RSD (DEA)'!AJ203&amp;"_"&amp;'RSD (DEA)'!Z203</f>
        <v>RHHSC_HP_GAS_07</v>
      </c>
      <c r="C834" s="318"/>
      <c r="D834" s="235" t="str">
        <f t="shared" si="164"/>
        <v>RHHSC_HP_GAS_07</v>
      </c>
      <c r="E834" s="235" t="str">
        <f>'RSD (DEA)'!Q203</f>
        <v>Gas driven adsorption heat pumps</v>
      </c>
      <c r="F834" s="242" t="s">
        <v>239</v>
      </c>
      <c r="G834" s="242" t="s">
        <v>240</v>
      </c>
      <c r="H834" s="235">
        <f>'RSD (DEA)'!S203</f>
        <v>10</v>
      </c>
      <c r="I834" s="235" t="str">
        <f>IF(OR(RIGHT('RSD (DEA)'!AH203,3)="BIO",RIGHT(AD1050,3)="BOA"),LEFT('RSD (DEA)'!AH203,3)&amp;"BFW",'RSD (DEA)'!AH203)</f>
        <v>RSDGAS</v>
      </c>
      <c r="J834" s="182" t="str">
        <f>'RSD (DEA)'!AI203</f>
        <v>RSDAHT</v>
      </c>
      <c r="K834" s="235" t="str">
        <f>'RSD (DEA)'!AK203</f>
        <v>RWHSC</v>
      </c>
      <c r="L834" s="244"/>
      <c r="M834" s="182">
        <f t="shared" si="163"/>
        <v>2019</v>
      </c>
      <c r="N834" s="182">
        <f>'RSD (DEA)'!X203</f>
        <v>2020</v>
      </c>
      <c r="O834" s="182">
        <f>IF(N834&lt;2019,2019,N834)</f>
        <v>2020</v>
      </c>
      <c r="P834" s="183">
        <f>'RSD (DEA)'!AZ203</f>
        <v>1.35</v>
      </c>
      <c r="Q834" s="183">
        <f>'RSD (DEA)'!BA203</f>
        <v>0</v>
      </c>
      <c r="R834" s="182">
        <f>'RSD (DEA)'!BR203/'RSD (DEA)'!S203</f>
        <v>23.5</v>
      </c>
      <c r="S834" s="182">
        <f>'RSD (DEA)'!BS203/X_RSD_HeatingDemand!$AA$8</f>
        <v>0</v>
      </c>
      <c r="T834" s="252">
        <f>'RSD (DEA)'!BK195*X_RSD_HeatingDemand!$AA$9/'RSD (DEA)'!S195</f>
        <v>112</v>
      </c>
      <c r="U834" s="182">
        <f>'RSD (DEA)'!BI203</f>
        <v>20</v>
      </c>
      <c r="V834" s="252" t="str">
        <f t="shared" si="165"/>
        <v/>
      </c>
      <c r="W834" s="236">
        <f>'RSD (DEA)'!AM203</f>
        <v>31.536000000000001</v>
      </c>
    </row>
    <row r="835" spans="1:23" x14ac:dyDescent="0.3">
      <c r="A835" s="316"/>
      <c r="B835" s="235"/>
      <c r="C835" s="318"/>
      <c r="D835" s="235"/>
      <c r="E835" s="235"/>
      <c r="F835" s="242"/>
      <c r="G835" s="242"/>
      <c r="H835" s="235"/>
      <c r="I835" s="235"/>
      <c r="J835" s="182" t="str">
        <f>J834</f>
        <v>RSDAHT</v>
      </c>
      <c r="K835" s="235"/>
      <c r="L835" s="244" t="str">
        <f>$AA$11</f>
        <v>ACT</v>
      </c>
      <c r="M835" s="182" t="str">
        <f t="shared" si="163"/>
        <v/>
      </c>
      <c r="N835" s="182"/>
      <c r="O835" s="182"/>
      <c r="P835" s="183"/>
      <c r="Q835" s="183"/>
      <c r="R835" s="182"/>
      <c r="S835" s="182"/>
      <c r="T835" s="252"/>
      <c r="U835" s="182"/>
      <c r="V835" s="252">
        <f t="shared" si="165"/>
        <v>1</v>
      </c>
      <c r="W835" s="236"/>
    </row>
    <row r="836" spans="1:23" x14ac:dyDescent="0.3">
      <c r="A836" s="316"/>
      <c r="B836" s="235"/>
      <c r="C836" s="318"/>
      <c r="D836" s="235"/>
      <c r="E836" s="235"/>
      <c r="F836" s="242"/>
      <c r="G836" s="242"/>
      <c r="H836" s="235"/>
      <c r="I836" s="235"/>
      <c r="J836" s="182" t="str">
        <f>J835</f>
        <v>RSDAHT</v>
      </c>
      <c r="K836" s="235"/>
      <c r="L836" s="244" t="str">
        <f t="shared" si="166"/>
        <v>RSDGAS</v>
      </c>
      <c r="M836" s="182" t="str">
        <f t="shared" si="163"/>
        <v/>
      </c>
      <c r="N836" s="182"/>
      <c r="O836" s="182"/>
      <c r="P836" s="183"/>
      <c r="Q836" s="183"/>
      <c r="R836" s="182"/>
      <c r="S836" s="182"/>
      <c r="T836" s="252"/>
      <c r="U836" s="182"/>
      <c r="V836" s="252">
        <f t="shared" si="165"/>
        <v>-1</v>
      </c>
      <c r="W836" s="236"/>
    </row>
    <row r="837" spans="1:23" x14ac:dyDescent="0.3">
      <c r="A837" s="316"/>
      <c r="B837" s="235" t="str">
        <f>'RSD (DEA)'!AJ204&amp;"_"&amp;'RSD (DEA)'!Z204</f>
        <v>RHHSC_HP_GAS_07</v>
      </c>
      <c r="C837" s="318"/>
      <c r="D837" s="235" t="str">
        <f t="shared" si="164"/>
        <v>RHHSC_HP_GAS_07</v>
      </c>
      <c r="E837" s="235" t="str">
        <f>'RSD (DEA)'!Q204</f>
        <v>Gas driven adsorption heat pumps</v>
      </c>
      <c r="F837" s="242" t="s">
        <v>239</v>
      </c>
      <c r="G837" s="242" t="s">
        <v>240</v>
      </c>
      <c r="H837" s="235">
        <f>'RSD (DEA)'!S204</f>
        <v>10</v>
      </c>
      <c r="I837" s="235" t="str">
        <f>IF(OR(RIGHT('RSD (DEA)'!AH204,3)="BIO",RIGHT(AD1053,3)="BOA"),LEFT('RSD (DEA)'!AH204,3)&amp;"BFW",'RSD (DEA)'!AH204)</f>
        <v>RSDGAS</v>
      </c>
      <c r="J837" s="182" t="str">
        <f>'RSD (DEA)'!AI204</f>
        <v>RSDAHT</v>
      </c>
      <c r="K837" s="235" t="str">
        <f>'RSD (DEA)'!AK204</f>
        <v>RWHSC</v>
      </c>
      <c r="L837" s="244"/>
      <c r="M837" s="182">
        <f t="shared" si="163"/>
        <v>2019</v>
      </c>
      <c r="N837" s="182">
        <f>'RSD (DEA)'!X204</f>
        <v>2030</v>
      </c>
      <c r="O837" s="182">
        <f>IF(N837&lt;2019,2019,N837)</f>
        <v>2030</v>
      </c>
      <c r="P837" s="183">
        <f>'RSD (DEA)'!AZ204</f>
        <v>1.35</v>
      </c>
      <c r="Q837" s="183">
        <f>'RSD (DEA)'!BA204</f>
        <v>0</v>
      </c>
      <c r="R837" s="182">
        <f>'RSD (DEA)'!BR204/'RSD (DEA)'!S204</f>
        <v>23.5</v>
      </c>
      <c r="S837" s="182">
        <f>'RSD (DEA)'!BS204/X_RSD_HeatingDemand!$AA$8</f>
        <v>0</v>
      </c>
      <c r="T837" s="252">
        <f>'RSD (DEA)'!BK196*X_RSD_HeatingDemand!$AA$9/'RSD (DEA)'!S196</f>
        <v>100</v>
      </c>
      <c r="U837" s="182">
        <f>'RSD (DEA)'!BI204</f>
        <v>20</v>
      </c>
      <c r="V837" s="252" t="str">
        <f t="shared" si="165"/>
        <v/>
      </c>
      <c r="W837" s="236">
        <f>'RSD (DEA)'!AM204</f>
        <v>31.536000000000001</v>
      </c>
    </row>
    <row r="838" spans="1:23" x14ac:dyDescent="0.3">
      <c r="A838" s="316"/>
      <c r="B838" s="235"/>
      <c r="C838" s="318"/>
      <c r="D838" s="235"/>
      <c r="E838" s="235"/>
      <c r="F838" s="242"/>
      <c r="G838" s="242"/>
      <c r="H838" s="235"/>
      <c r="I838" s="235"/>
      <c r="J838" s="182" t="str">
        <f>J837</f>
        <v>RSDAHT</v>
      </c>
      <c r="K838" s="235"/>
      <c r="L838" s="244" t="str">
        <f>$AA$11</f>
        <v>ACT</v>
      </c>
      <c r="M838" s="182" t="str">
        <f t="shared" si="163"/>
        <v/>
      </c>
      <c r="N838" s="182"/>
      <c r="O838" s="182"/>
      <c r="P838" s="183"/>
      <c r="Q838" s="183"/>
      <c r="R838" s="182"/>
      <c r="S838" s="182"/>
      <c r="T838" s="252"/>
      <c r="U838" s="182"/>
      <c r="V838" s="252">
        <f t="shared" si="165"/>
        <v>1</v>
      </c>
      <c r="W838" s="236"/>
    </row>
    <row r="839" spans="1:23" x14ac:dyDescent="0.3">
      <c r="A839" s="316"/>
      <c r="B839" s="235"/>
      <c r="C839" s="318"/>
      <c r="D839" s="235"/>
      <c r="E839" s="235"/>
      <c r="F839" s="242"/>
      <c r="G839" s="242"/>
      <c r="H839" s="235"/>
      <c r="I839" s="235"/>
      <c r="J839" s="182" t="str">
        <f>J838</f>
        <v>RSDAHT</v>
      </c>
      <c r="K839" s="235"/>
      <c r="L839" s="244" t="str">
        <f t="shared" si="167"/>
        <v>RSDGAS</v>
      </c>
      <c r="M839" s="182" t="str">
        <f t="shared" ref="M839:M871" si="168">IF(ISBLANK(B839),"",$AA$14)</f>
        <v/>
      </c>
      <c r="N839" s="182"/>
      <c r="O839" s="182"/>
      <c r="P839" s="183"/>
      <c r="Q839" s="183"/>
      <c r="R839" s="182"/>
      <c r="S839" s="182"/>
      <c r="T839" s="252"/>
      <c r="U839" s="182"/>
      <c r="V839" s="252">
        <f t="shared" si="165"/>
        <v>-1</v>
      </c>
      <c r="W839" s="236"/>
    </row>
    <row r="840" spans="1:23" x14ac:dyDescent="0.3">
      <c r="A840" s="316"/>
      <c r="B840" s="235" t="str">
        <f>'RSD (DEA)'!AJ205&amp;"_"&amp;'RSD (DEA)'!Z205</f>
        <v>RHHSC_HP_GAS_07</v>
      </c>
      <c r="C840" s="318"/>
      <c r="D840" s="235" t="str">
        <f t="shared" ref="D840:D871" si="169">IF(B840=B839,LEFT(B840,LEN(B840)-2)&amp;IF(RIGHT(D839)+1&lt;9,"0"&amp;RIGHT(D839)+1,RIGHT(D839)+1),B840)</f>
        <v>RHHSC_HP_GAS_07</v>
      </c>
      <c r="E840" s="235" t="str">
        <f>'RSD (DEA)'!Q205</f>
        <v>Gas driven adsorption heat pumps</v>
      </c>
      <c r="F840" s="242" t="s">
        <v>239</v>
      </c>
      <c r="G840" s="242" t="s">
        <v>240</v>
      </c>
      <c r="H840" s="235">
        <f>'RSD (DEA)'!S205</f>
        <v>10</v>
      </c>
      <c r="I840" s="235" t="str">
        <f>IF(OR(RIGHT('RSD (DEA)'!AH205,3)="BIO",RIGHT(AD1056,3)="BOA"),LEFT('RSD (DEA)'!AH205,3)&amp;"BFW",'RSD (DEA)'!AH205)</f>
        <v>RSDGAS</v>
      </c>
      <c r="J840" s="182" t="str">
        <f>'RSD (DEA)'!AI205</f>
        <v>RSDAHT</v>
      </c>
      <c r="K840" s="235" t="str">
        <f>'RSD (DEA)'!AK205</f>
        <v>RWHSC</v>
      </c>
      <c r="L840" s="244"/>
      <c r="M840" s="182">
        <f t="shared" si="168"/>
        <v>2019</v>
      </c>
      <c r="N840" s="182">
        <f>'RSD (DEA)'!X205</f>
        <v>2050</v>
      </c>
      <c r="O840" s="182">
        <f>IF(N840&lt;2019,2019,N840)</f>
        <v>2050</v>
      </c>
      <c r="P840" s="183">
        <f>'RSD (DEA)'!AZ205</f>
        <v>1.35</v>
      </c>
      <c r="Q840" s="183">
        <f>'RSD (DEA)'!BA205</f>
        <v>0</v>
      </c>
      <c r="R840" s="182">
        <f>'RSD (DEA)'!BR205/'RSD (DEA)'!S205</f>
        <v>23.5</v>
      </c>
      <c r="S840" s="182">
        <f>'RSD (DEA)'!BS205/X_RSD_HeatingDemand!$AA$8</f>
        <v>0</v>
      </c>
      <c r="T840" s="252">
        <f>'RSD (DEA)'!BK197*X_RSD_HeatingDemand!$AA$9/'RSD (DEA)'!S197</f>
        <v>100</v>
      </c>
      <c r="U840" s="182">
        <f>'RSD (DEA)'!BI205</f>
        <v>20</v>
      </c>
      <c r="V840" s="252" t="str">
        <f t="shared" si="165"/>
        <v/>
      </c>
      <c r="W840" s="236">
        <f>'RSD (DEA)'!AM205</f>
        <v>31.536000000000001</v>
      </c>
    </row>
    <row r="841" spans="1:23" x14ac:dyDescent="0.3">
      <c r="A841" s="316"/>
      <c r="B841" s="235"/>
      <c r="C841" s="318"/>
      <c r="D841" s="235"/>
      <c r="E841" s="235"/>
      <c r="F841" s="242"/>
      <c r="G841" s="242"/>
      <c r="H841" s="235"/>
      <c r="I841" s="235"/>
      <c r="J841" s="182" t="str">
        <f>J840</f>
        <v>RSDAHT</v>
      </c>
      <c r="K841" s="235"/>
      <c r="L841" s="244" t="str">
        <f>$AA$11</f>
        <v>ACT</v>
      </c>
      <c r="M841" s="182" t="str">
        <f t="shared" si="168"/>
        <v/>
      </c>
      <c r="N841" s="182"/>
      <c r="O841" s="182"/>
      <c r="P841" s="183"/>
      <c r="Q841" s="183"/>
      <c r="R841" s="182"/>
      <c r="S841" s="182"/>
      <c r="T841" s="252"/>
      <c r="U841" s="182"/>
      <c r="V841" s="252">
        <f t="shared" si="165"/>
        <v>1</v>
      </c>
      <c r="W841" s="236"/>
    </row>
    <row r="842" spans="1:23" x14ac:dyDescent="0.3">
      <c r="A842" s="316"/>
      <c r="B842" s="235"/>
      <c r="C842" s="318"/>
      <c r="D842" s="235"/>
      <c r="E842" s="235"/>
      <c r="F842" s="242"/>
      <c r="G842" s="242"/>
      <c r="H842" s="235"/>
      <c r="I842" s="235"/>
      <c r="J842" s="182" t="str">
        <f>J841</f>
        <v>RSDAHT</v>
      </c>
      <c r="K842" s="235"/>
      <c r="L842" s="244" t="str">
        <f t="shared" si="166"/>
        <v>RSDGAS</v>
      </c>
      <c r="M842" s="182" t="str">
        <f t="shared" si="168"/>
        <v/>
      </c>
      <c r="N842" s="182"/>
      <c r="O842" s="182"/>
      <c r="P842" s="183"/>
      <c r="Q842" s="183"/>
      <c r="R842" s="182"/>
      <c r="S842" s="182"/>
      <c r="T842" s="252"/>
      <c r="U842" s="182"/>
      <c r="V842" s="252">
        <f t="shared" si="165"/>
        <v>-1</v>
      </c>
      <c r="W842" s="236"/>
    </row>
    <row r="843" spans="1:23" x14ac:dyDescent="0.3">
      <c r="A843" s="316"/>
      <c r="B843" s="235" t="str">
        <f>'RSD (DEA)'!AJ206&amp;"_"&amp;'RSD (DEA)'!Z206</f>
        <v>RHHSC_T_SOL_01</v>
      </c>
      <c r="C843" s="318"/>
      <c r="D843" s="235" t="str">
        <f t="shared" si="169"/>
        <v>RHHSC_T_SOL_01</v>
      </c>
      <c r="E843" s="235" t="str">
        <f>'RSD (DEA)'!Q206</f>
        <v>Solar heating</v>
      </c>
      <c r="F843" s="242" t="s">
        <v>239</v>
      </c>
      <c r="G843" s="242" t="s">
        <v>240</v>
      </c>
      <c r="H843" s="235">
        <f>'RSD (DEA)'!S206</f>
        <v>4.2</v>
      </c>
      <c r="I843" s="235" t="str">
        <f>IF(OR(RIGHT('RSD (DEA)'!AH206,3)="BIO",RIGHT(AD851,3)="BOA"),LEFT('RSD (DEA)'!AH206,3)&amp;"BFW",'RSD (DEA)'!AH206)</f>
        <v>RSDSOL</v>
      </c>
      <c r="J843" s="182" t="str">
        <f>'RSD (DEA)'!AI206</f>
        <v/>
      </c>
      <c r="K843" s="235" t="str">
        <f>'RSD (DEA)'!AK206</f>
        <v>RWHSC</v>
      </c>
      <c r="L843" s="235"/>
      <c r="M843" s="182">
        <f t="shared" si="168"/>
        <v>2019</v>
      </c>
      <c r="N843" s="182">
        <f>'RSD (DEA)'!X206</f>
        <v>2015</v>
      </c>
      <c r="O843" s="182">
        <f t="shared" ref="O843:O871" si="170">IF(N843&lt;2019,2019,N843)</f>
        <v>2019</v>
      </c>
      <c r="P843" s="311">
        <f t="shared" ref="P843:Q862" si="171">$AC$6</f>
        <v>0.65</v>
      </c>
      <c r="Q843" s="311">
        <f t="shared" si="171"/>
        <v>0.65</v>
      </c>
      <c r="R843" s="182">
        <f>'RSD (DEA)'!BR206/'RSD (DEA)'!S206</f>
        <v>16.535714285714285</v>
      </c>
      <c r="S843" s="182">
        <f>'RSD (DEA)'!BS206/X_RSD_HeatingDemand!$AA$8</f>
        <v>0</v>
      </c>
      <c r="T843" s="252">
        <f>'RSD (DEA)'!BK198*X_RSD_HeatingDemand!$AA$9/'RSD (DEA)'!S198</f>
        <v>872</v>
      </c>
      <c r="U843" s="182">
        <f>'RSD (DEA)'!BI206</f>
        <v>20</v>
      </c>
      <c r="V843" s="182"/>
      <c r="W843" s="236">
        <f>'RSD (DEA)'!AM206</f>
        <v>31.536000000000001</v>
      </c>
    </row>
    <row r="844" spans="1:23" x14ac:dyDescent="0.3">
      <c r="A844" s="316"/>
      <c r="B844" s="235" t="str">
        <f>'RSD (DEA)'!AJ207&amp;"_"&amp;'RSD (DEA)'!Z207</f>
        <v>RHHSC_T_SOL_01</v>
      </c>
      <c r="C844" s="318"/>
      <c r="D844" s="235" t="str">
        <f t="shared" si="169"/>
        <v>RHHSC_T_SOL_02</v>
      </c>
      <c r="E844" s="235" t="str">
        <f>'RSD (DEA)'!Q207</f>
        <v>Solar heating</v>
      </c>
      <c r="F844" s="242" t="s">
        <v>239</v>
      </c>
      <c r="G844" s="242" t="s">
        <v>240</v>
      </c>
      <c r="H844" s="235">
        <f>'RSD (DEA)'!S207</f>
        <v>4.2</v>
      </c>
      <c r="I844" s="235" t="str">
        <f>IF(OR(RIGHT('RSD (DEA)'!AH207,3)="BIO",RIGHT(AD852,3)="BOA"),LEFT('RSD (DEA)'!AH207,3)&amp;"BFW",'RSD (DEA)'!AH207)</f>
        <v>RSDSOL</v>
      </c>
      <c r="J844" s="182" t="str">
        <f>'RSD (DEA)'!AI207</f>
        <v/>
      </c>
      <c r="K844" s="235" t="str">
        <f>'RSD (DEA)'!AK207</f>
        <v>RWHSC</v>
      </c>
      <c r="L844" s="235"/>
      <c r="M844" s="182">
        <f t="shared" si="168"/>
        <v>2019</v>
      </c>
      <c r="N844" s="182">
        <f>'RSD (DEA)'!X207</f>
        <v>2020</v>
      </c>
      <c r="O844" s="182">
        <f t="shared" si="170"/>
        <v>2020</v>
      </c>
      <c r="P844" s="311">
        <f t="shared" si="171"/>
        <v>0.65</v>
      </c>
      <c r="Q844" s="311">
        <f t="shared" si="171"/>
        <v>0.65</v>
      </c>
      <c r="R844" s="182">
        <f>'RSD (DEA)'!BR207/'RSD (DEA)'!S207</f>
        <v>16.19047619047619</v>
      </c>
      <c r="S844" s="182">
        <f>'RSD (DEA)'!BS207/X_RSD_HeatingDemand!$AA$8</f>
        <v>0</v>
      </c>
      <c r="T844" s="252">
        <f>'RSD (DEA)'!BK199*X_RSD_HeatingDemand!$AA$9/'RSD (DEA)'!S199</f>
        <v>840</v>
      </c>
      <c r="U844" s="182">
        <f>'RSD (DEA)'!BI207</f>
        <v>25</v>
      </c>
      <c r="V844" s="182"/>
      <c r="W844" s="236">
        <f>'RSD (DEA)'!AM207</f>
        <v>31.536000000000001</v>
      </c>
    </row>
    <row r="845" spans="1:23" x14ac:dyDescent="0.3">
      <c r="A845" s="316"/>
      <c r="B845" s="235" t="str">
        <f>'RSD (DEA)'!AJ208&amp;"_"&amp;'RSD (DEA)'!Z208</f>
        <v>RHHSC_T_SOL_01</v>
      </c>
      <c r="C845" s="318"/>
      <c r="D845" s="235" t="str">
        <f t="shared" si="169"/>
        <v>RHHSC_T_SOL_03</v>
      </c>
      <c r="E845" s="235" t="str">
        <f>'RSD (DEA)'!Q208</f>
        <v>Solar heating</v>
      </c>
      <c r="F845" s="242" t="s">
        <v>239</v>
      </c>
      <c r="G845" s="242" t="s">
        <v>240</v>
      </c>
      <c r="H845" s="235">
        <f>'RSD (DEA)'!S208</f>
        <v>4.2</v>
      </c>
      <c r="I845" s="235" t="str">
        <f>IF(OR(RIGHT('RSD (DEA)'!AH208,3)="BIO",RIGHT(AD853,3)="BOA"),LEFT('RSD (DEA)'!AH208,3)&amp;"BFW",'RSD (DEA)'!AH208)</f>
        <v>RSDSOL</v>
      </c>
      <c r="J845" s="182" t="str">
        <f>'RSD (DEA)'!AI208</f>
        <v/>
      </c>
      <c r="K845" s="235" t="str">
        <f>'RSD (DEA)'!AK208</f>
        <v>RWHSC</v>
      </c>
      <c r="L845" s="235"/>
      <c r="M845" s="182">
        <f t="shared" si="168"/>
        <v>2019</v>
      </c>
      <c r="N845" s="182">
        <f>'RSD (DEA)'!X208</f>
        <v>2030</v>
      </c>
      <c r="O845" s="182">
        <f t="shared" si="170"/>
        <v>2030</v>
      </c>
      <c r="P845" s="311">
        <f t="shared" si="171"/>
        <v>0.65</v>
      </c>
      <c r="Q845" s="311">
        <f t="shared" si="171"/>
        <v>0.65</v>
      </c>
      <c r="R845" s="182">
        <f>'RSD (DEA)'!BR208/'RSD (DEA)'!S208</f>
        <v>16.535714285714285</v>
      </c>
      <c r="S845" s="182">
        <f>'RSD (DEA)'!BS208/X_RSD_HeatingDemand!$AA$8</f>
        <v>0</v>
      </c>
      <c r="T845" s="252">
        <f>'RSD (DEA)'!BK200*X_RSD_HeatingDemand!$AA$9/'RSD (DEA)'!S200</f>
        <v>820</v>
      </c>
      <c r="U845" s="182">
        <f>'RSD (DEA)'!BI208</f>
        <v>30</v>
      </c>
      <c r="V845" s="182"/>
      <c r="W845" s="236">
        <f>'RSD (DEA)'!AM208</f>
        <v>31.536000000000001</v>
      </c>
    </row>
    <row r="846" spans="1:23" x14ac:dyDescent="0.3">
      <c r="A846" s="316"/>
      <c r="B846" s="235" t="str">
        <f>'RSD (DEA)'!AJ209&amp;"_"&amp;'RSD (DEA)'!Z209</f>
        <v>RHHSC_T_SOL_01</v>
      </c>
      <c r="C846" s="318"/>
      <c r="D846" s="235" t="str">
        <f t="shared" si="169"/>
        <v>RHHSC_T_SOL_04</v>
      </c>
      <c r="E846" s="235" t="str">
        <f>'RSD (DEA)'!Q209</f>
        <v>Solar heating</v>
      </c>
      <c r="F846" s="242" t="s">
        <v>239</v>
      </c>
      <c r="G846" s="242" t="s">
        <v>240</v>
      </c>
      <c r="H846" s="235">
        <f>'RSD (DEA)'!S209</f>
        <v>4.2</v>
      </c>
      <c r="I846" s="235" t="str">
        <f>IF(OR(RIGHT('RSD (DEA)'!AH209,3)="BIO",RIGHT(AD854,3)="BOA"),LEFT('RSD (DEA)'!AH209,3)&amp;"BFW",'RSD (DEA)'!AH209)</f>
        <v>RSDSOL</v>
      </c>
      <c r="J846" s="182" t="str">
        <f>'RSD (DEA)'!AI209</f>
        <v/>
      </c>
      <c r="K846" s="235" t="str">
        <f>'RSD (DEA)'!AK209</f>
        <v>RWHSC</v>
      </c>
      <c r="L846" s="235"/>
      <c r="M846" s="182">
        <f t="shared" si="168"/>
        <v>2019</v>
      </c>
      <c r="N846" s="182">
        <f>'RSD (DEA)'!X209</f>
        <v>2050</v>
      </c>
      <c r="O846" s="182">
        <f t="shared" si="170"/>
        <v>2050</v>
      </c>
      <c r="P846" s="311">
        <f t="shared" si="171"/>
        <v>0.65</v>
      </c>
      <c r="Q846" s="311">
        <f t="shared" si="171"/>
        <v>0.65</v>
      </c>
      <c r="R846" s="182">
        <f>'RSD (DEA)'!BR209/'RSD (DEA)'!S209</f>
        <v>15</v>
      </c>
      <c r="S846" s="182">
        <f>'RSD (DEA)'!BS209/X_RSD_HeatingDemand!$AA$8</f>
        <v>0</v>
      </c>
      <c r="T846" s="252">
        <f>'RSD (DEA)'!BK201*X_RSD_HeatingDemand!$AA$9/'RSD (DEA)'!S201</f>
        <v>780</v>
      </c>
      <c r="U846" s="182">
        <f>'RSD (DEA)'!BI209</f>
        <v>30</v>
      </c>
      <c r="V846" s="182"/>
      <c r="W846" s="236">
        <f>'RSD (DEA)'!AM209</f>
        <v>31.536000000000001</v>
      </c>
    </row>
    <row r="847" spans="1:23" x14ac:dyDescent="0.3">
      <c r="A847" s="316"/>
      <c r="B847" s="235" t="str">
        <f>'RSD (DEA)'!AJ210&amp;"_"&amp;'RSD (DEA)'!Z210</f>
        <v>RHHSB_T_SOL_02</v>
      </c>
      <c r="C847" s="318"/>
      <c r="D847" s="235" t="str">
        <f t="shared" si="169"/>
        <v>RHHSB_T_SOL_02</v>
      </c>
      <c r="E847" s="235" t="str">
        <f>'RSD (DEA)'!Q210</f>
        <v>Solar heating</v>
      </c>
      <c r="F847" s="242" t="s">
        <v>239</v>
      </c>
      <c r="G847" s="242" t="s">
        <v>240</v>
      </c>
      <c r="H847" s="235">
        <f>'RSD (DEA)'!S210</f>
        <v>4.2</v>
      </c>
      <c r="I847" s="235" t="str">
        <f>IF(OR(RIGHT('RSD (DEA)'!AH210,3)="BIO",RIGHT(AD855,3)="BOA"),LEFT('RSD (DEA)'!AH210,3)&amp;"BFW",'RSD (DEA)'!AH210)</f>
        <v>RSDSOL</v>
      </c>
      <c r="J847" s="182" t="str">
        <f>'RSD (DEA)'!AI210</f>
        <v/>
      </c>
      <c r="K847" s="235" t="str">
        <f>'RSD (DEA)'!AK210</f>
        <v>RWHSB</v>
      </c>
      <c r="L847" s="235"/>
      <c r="M847" s="182">
        <f t="shared" si="168"/>
        <v>2019</v>
      </c>
      <c r="N847" s="182">
        <f>'RSD (DEA)'!X210</f>
        <v>2015</v>
      </c>
      <c r="O847" s="182">
        <f t="shared" si="170"/>
        <v>2019</v>
      </c>
      <c r="P847" s="311">
        <f t="shared" si="171"/>
        <v>0.65</v>
      </c>
      <c r="Q847" s="311">
        <f t="shared" si="171"/>
        <v>0.65</v>
      </c>
      <c r="R847" s="182">
        <f>'RSD (DEA)'!BR210/'RSD (DEA)'!S210</f>
        <v>16.535714285714285</v>
      </c>
      <c r="S847" s="182">
        <f>'RSD (DEA)'!BS210/X_RSD_HeatingDemand!$AA$8</f>
        <v>0</v>
      </c>
      <c r="T847" s="252">
        <f>'RSD (DEA)'!BK202*X_RSD_HeatingDemand!$AA$9/'RSD (DEA)'!S202</f>
        <v>1560</v>
      </c>
      <c r="U847" s="182">
        <f>'RSD (DEA)'!BI210</f>
        <v>20</v>
      </c>
      <c r="V847" s="182"/>
      <c r="W847" s="236">
        <f>'RSD (DEA)'!AM210</f>
        <v>31.536000000000001</v>
      </c>
    </row>
    <row r="848" spans="1:23" x14ac:dyDescent="0.3">
      <c r="A848" s="316"/>
      <c r="B848" s="235" t="str">
        <f>'RSD (DEA)'!AJ211&amp;"_"&amp;'RSD (DEA)'!Z211</f>
        <v>RHHSB_T_SOL_02</v>
      </c>
      <c r="C848" s="318"/>
      <c r="D848" s="235" t="str">
        <f t="shared" si="169"/>
        <v>RHHSB_T_SOL_03</v>
      </c>
      <c r="E848" s="235" t="str">
        <f>'RSD (DEA)'!Q211</f>
        <v>Solar heating</v>
      </c>
      <c r="F848" s="242" t="s">
        <v>239</v>
      </c>
      <c r="G848" s="242" t="s">
        <v>240</v>
      </c>
      <c r="H848" s="235">
        <f>'RSD (DEA)'!S211</f>
        <v>4.2</v>
      </c>
      <c r="I848" s="235" t="str">
        <f>IF(OR(RIGHT('RSD (DEA)'!AH211,3)="BIO",RIGHT(AD856,3)="BOA"),LEFT('RSD (DEA)'!AH211,3)&amp;"BFW",'RSD (DEA)'!AH211)</f>
        <v>RSDSOL</v>
      </c>
      <c r="J848" s="182" t="str">
        <f>'RSD (DEA)'!AI211</f>
        <v/>
      </c>
      <c r="K848" s="235" t="str">
        <f>'RSD (DEA)'!AK211</f>
        <v>RWHSB</v>
      </c>
      <c r="L848" s="235"/>
      <c r="M848" s="182">
        <f t="shared" si="168"/>
        <v>2019</v>
      </c>
      <c r="N848" s="182">
        <f>'RSD (DEA)'!X211</f>
        <v>2020</v>
      </c>
      <c r="O848" s="182">
        <f t="shared" si="170"/>
        <v>2020</v>
      </c>
      <c r="P848" s="311">
        <f t="shared" si="171"/>
        <v>0.65</v>
      </c>
      <c r="Q848" s="311">
        <f t="shared" si="171"/>
        <v>0.65</v>
      </c>
      <c r="R848" s="182">
        <f>'RSD (DEA)'!BR211/'RSD (DEA)'!S211</f>
        <v>16.19047619047619</v>
      </c>
      <c r="S848" s="182">
        <f>'RSD (DEA)'!BS211/X_RSD_HeatingDemand!$AA$8</f>
        <v>0</v>
      </c>
      <c r="T848" s="252">
        <f>'RSD (DEA)'!BK203*X_RSD_HeatingDemand!$AA$9/'RSD (DEA)'!S203</f>
        <v>1500</v>
      </c>
      <c r="U848" s="182">
        <f>'RSD (DEA)'!BI211</f>
        <v>25</v>
      </c>
      <c r="V848" s="182"/>
      <c r="W848" s="236">
        <f>'RSD (DEA)'!AM211</f>
        <v>31.536000000000001</v>
      </c>
    </row>
    <row r="849" spans="1:23" x14ac:dyDescent="0.3">
      <c r="A849" s="316"/>
      <c r="B849" s="235" t="str">
        <f>'RSD (DEA)'!AJ212&amp;"_"&amp;'RSD (DEA)'!Z212</f>
        <v>RHHSB_T_SOL_02</v>
      </c>
      <c r="C849" s="318"/>
      <c r="D849" s="235" t="str">
        <f t="shared" si="169"/>
        <v>RHHSB_T_SOL_04</v>
      </c>
      <c r="E849" s="235" t="str">
        <f>'RSD (DEA)'!Q212</f>
        <v>Solar heating</v>
      </c>
      <c r="F849" s="242" t="s">
        <v>239</v>
      </c>
      <c r="G849" s="242" t="s">
        <v>240</v>
      </c>
      <c r="H849" s="235">
        <f>'RSD (DEA)'!S212</f>
        <v>4.2</v>
      </c>
      <c r="I849" s="235" t="str">
        <f>IF(OR(RIGHT('RSD (DEA)'!AH212,3)="BIO",RIGHT(AD857,3)="BOA"),LEFT('RSD (DEA)'!AH212,3)&amp;"BFW",'RSD (DEA)'!AH212)</f>
        <v>RSDSOL</v>
      </c>
      <c r="J849" s="182" t="str">
        <f>'RSD (DEA)'!AI212</f>
        <v/>
      </c>
      <c r="K849" s="235" t="str">
        <f>'RSD (DEA)'!AK212</f>
        <v>RWHSB</v>
      </c>
      <c r="L849" s="235"/>
      <c r="M849" s="182">
        <f t="shared" si="168"/>
        <v>2019</v>
      </c>
      <c r="N849" s="182">
        <f>'RSD (DEA)'!X212</f>
        <v>2030</v>
      </c>
      <c r="O849" s="182">
        <f t="shared" si="170"/>
        <v>2030</v>
      </c>
      <c r="P849" s="311">
        <f t="shared" si="171"/>
        <v>0.65</v>
      </c>
      <c r="Q849" s="311">
        <f t="shared" si="171"/>
        <v>0.65</v>
      </c>
      <c r="R849" s="182">
        <f>'RSD (DEA)'!BR212/'RSD (DEA)'!S212</f>
        <v>16.535714285714285</v>
      </c>
      <c r="S849" s="182">
        <f>'RSD (DEA)'!BS212/X_RSD_HeatingDemand!$AA$8</f>
        <v>0</v>
      </c>
      <c r="T849" s="252">
        <f>'RSD (DEA)'!BK204*X_RSD_HeatingDemand!$AA$9/'RSD (DEA)'!S204</f>
        <v>1300</v>
      </c>
      <c r="U849" s="182">
        <f>'RSD (DEA)'!BI212</f>
        <v>30</v>
      </c>
      <c r="V849" s="182"/>
      <c r="W849" s="236">
        <f>'RSD (DEA)'!AM212</f>
        <v>31.536000000000001</v>
      </c>
    </row>
    <row r="850" spans="1:23" x14ac:dyDescent="0.3">
      <c r="A850" s="316"/>
      <c r="B850" s="235" t="str">
        <f>'RSD (DEA)'!AJ213&amp;"_"&amp;'RSD (DEA)'!Z213</f>
        <v>RHHSB_T_SOL_02</v>
      </c>
      <c r="C850" s="318"/>
      <c r="D850" s="235" t="str">
        <f t="shared" si="169"/>
        <v>RHHSB_T_SOL_05</v>
      </c>
      <c r="E850" s="235" t="str">
        <f>'RSD (DEA)'!Q213</f>
        <v>Solar heating</v>
      </c>
      <c r="F850" s="242" t="s">
        <v>239</v>
      </c>
      <c r="G850" s="242" t="s">
        <v>240</v>
      </c>
      <c r="H850" s="235">
        <f>'RSD (DEA)'!S213</f>
        <v>4.2</v>
      </c>
      <c r="I850" s="235" t="str">
        <f>IF(OR(RIGHT('RSD (DEA)'!AH213,3)="BIO",RIGHT(AD858,3)="BOA"),LEFT('RSD (DEA)'!AH213,3)&amp;"BFW",'RSD (DEA)'!AH213)</f>
        <v>RSDSOL</v>
      </c>
      <c r="J850" s="182" t="str">
        <f>'RSD (DEA)'!AI213</f>
        <v/>
      </c>
      <c r="K850" s="235" t="str">
        <f>'RSD (DEA)'!AK213</f>
        <v>RWHSB</v>
      </c>
      <c r="L850" s="235"/>
      <c r="M850" s="182">
        <f t="shared" si="168"/>
        <v>2019</v>
      </c>
      <c r="N850" s="182">
        <f>'RSD (DEA)'!X213</f>
        <v>2050</v>
      </c>
      <c r="O850" s="182">
        <f t="shared" si="170"/>
        <v>2050</v>
      </c>
      <c r="P850" s="311">
        <f t="shared" si="171"/>
        <v>0.65</v>
      </c>
      <c r="Q850" s="311">
        <f t="shared" si="171"/>
        <v>0.65</v>
      </c>
      <c r="R850" s="182">
        <f>'RSD (DEA)'!BR213/'RSD (DEA)'!S213</f>
        <v>15</v>
      </c>
      <c r="S850" s="182">
        <f>'RSD (DEA)'!BS213/X_RSD_HeatingDemand!$AA$8</f>
        <v>0</v>
      </c>
      <c r="T850" s="252">
        <f>'RSD (DEA)'!BK205*X_RSD_HeatingDemand!$AA$9/'RSD (DEA)'!S205</f>
        <v>1200</v>
      </c>
      <c r="U850" s="182">
        <f>'RSD (DEA)'!BI213</f>
        <v>30</v>
      </c>
      <c r="V850" s="182"/>
      <c r="W850" s="236">
        <f>'RSD (DEA)'!AM213</f>
        <v>31.536000000000001</v>
      </c>
    </row>
    <row r="851" spans="1:23" x14ac:dyDescent="0.3">
      <c r="A851" s="316"/>
      <c r="B851" s="235" t="str">
        <f>'RSD (DEA)'!AJ214&amp;"_"&amp;'RSD (DEA)'!Z214</f>
        <v>RHHSA_T_SOL_03</v>
      </c>
      <c r="C851" s="318"/>
      <c r="D851" s="235" t="str">
        <f t="shared" si="169"/>
        <v>RHHSA_T_SOL_03</v>
      </c>
      <c r="E851" s="235" t="str">
        <f>'RSD (DEA)'!Q214</f>
        <v>Solar heating</v>
      </c>
      <c r="F851" s="242" t="s">
        <v>239</v>
      </c>
      <c r="G851" s="242" t="s">
        <v>240</v>
      </c>
      <c r="H851" s="235">
        <f>'RSD (DEA)'!S214</f>
        <v>4.2</v>
      </c>
      <c r="I851" s="235" t="str">
        <f>IF(OR(RIGHT('RSD (DEA)'!AH214,3)="BIO",RIGHT(AD859,3)="BOA"),LEFT('RSD (DEA)'!AH214,3)&amp;"BFW",'RSD (DEA)'!AH214)</f>
        <v>RSDSOL</v>
      </c>
      <c r="J851" s="182" t="str">
        <f>'RSD (DEA)'!AI214</f>
        <v/>
      </c>
      <c r="K851" s="235" t="str">
        <f>'RSD (DEA)'!AK214</f>
        <v>RWHSA</v>
      </c>
      <c r="L851" s="235"/>
      <c r="M851" s="182">
        <f t="shared" si="168"/>
        <v>2019</v>
      </c>
      <c r="N851" s="182">
        <f>'RSD (DEA)'!X214</f>
        <v>2015</v>
      </c>
      <c r="O851" s="182">
        <f t="shared" si="170"/>
        <v>2019</v>
      </c>
      <c r="P851" s="311">
        <f t="shared" si="171"/>
        <v>0.65</v>
      </c>
      <c r="Q851" s="311">
        <f t="shared" si="171"/>
        <v>0.65</v>
      </c>
      <c r="R851" s="182">
        <f>'RSD (DEA)'!BR214/'RSD (DEA)'!S214</f>
        <v>16.535714285714285</v>
      </c>
      <c r="S851" s="182">
        <f>'RSD (DEA)'!BS214/X_RSD_HeatingDemand!$AA$8</f>
        <v>0</v>
      </c>
      <c r="T851" s="252">
        <f>'RSD (DEA)'!BK206*X_RSD_HeatingDemand!$AA$9/'RSD (DEA)'!S206</f>
        <v>958.77277085330763</v>
      </c>
      <c r="U851" s="182">
        <f>'RSD (DEA)'!BI214</f>
        <v>20</v>
      </c>
      <c r="V851" s="182"/>
      <c r="W851" s="236">
        <f>'RSD (DEA)'!AM214</f>
        <v>31.536000000000001</v>
      </c>
    </row>
    <row r="852" spans="1:23" x14ac:dyDescent="0.3">
      <c r="A852" s="316"/>
      <c r="B852" s="235" t="str">
        <f>'RSD (DEA)'!AJ215&amp;"_"&amp;'RSD (DEA)'!Z215</f>
        <v>RHHSA_T_SOL_03</v>
      </c>
      <c r="C852" s="318"/>
      <c r="D852" s="235" t="str">
        <f t="shared" si="169"/>
        <v>RHHSA_T_SOL_04</v>
      </c>
      <c r="E852" s="235" t="str">
        <f>'RSD (DEA)'!Q215</f>
        <v>Solar heating</v>
      </c>
      <c r="F852" s="242" t="s">
        <v>239</v>
      </c>
      <c r="G852" s="242" t="s">
        <v>240</v>
      </c>
      <c r="H852" s="235">
        <f>'RSD (DEA)'!S215</f>
        <v>4.2</v>
      </c>
      <c r="I852" s="235" t="str">
        <f>IF(OR(RIGHT('RSD (DEA)'!AH215,3)="BIO",RIGHT(AD860,3)="BOA"),LEFT('RSD (DEA)'!AH215,3)&amp;"BFW",'RSD (DEA)'!AH215)</f>
        <v>RSDSOL</v>
      </c>
      <c r="J852" s="182" t="str">
        <f>'RSD (DEA)'!AI215</f>
        <v/>
      </c>
      <c r="K852" s="235" t="str">
        <f>'RSD (DEA)'!AK215</f>
        <v>RWHSA</v>
      </c>
      <c r="L852" s="235"/>
      <c r="M852" s="182">
        <f t="shared" si="168"/>
        <v>2019</v>
      </c>
      <c r="N852" s="182">
        <f>'RSD (DEA)'!X215</f>
        <v>2020</v>
      </c>
      <c r="O852" s="182">
        <f t="shared" si="170"/>
        <v>2020</v>
      </c>
      <c r="P852" s="311">
        <f t="shared" si="171"/>
        <v>0.65</v>
      </c>
      <c r="Q852" s="311">
        <f t="shared" si="171"/>
        <v>0.65</v>
      </c>
      <c r="R852" s="182">
        <f>'RSD (DEA)'!BR215/'RSD (DEA)'!S215</f>
        <v>16.19047619047619</v>
      </c>
      <c r="S852" s="182">
        <f>'RSD (DEA)'!BS215/X_RSD_HeatingDemand!$AA$8</f>
        <v>0</v>
      </c>
      <c r="T852" s="252">
        <f>'RSD (DEA)'!BK207*X_RSD_HeatingDemand!$AA$9/'RSD (DEA)'!S207</f>
        <v>958.77277085330763</v>
      </c>
      <c r="U852" s="182">
        <f>'RSD (DEA)'!BI215</f>
        <v>25</v>
      </c>
      <c r="V852" s="182"/>
      <c r="W852" s="236">
        <f>'RSD (DEA)'!AM215</f>
        <v>31.536000000000001</v>
      </c>
    </row>
    <row r="853" spans="1:23" x14ac:dyDescent="0.3">
      <c r="A853" s="316"/>
      <c r="B853" s="235" t="str">
        <f>'RSD (DEA)'!AJ216&amp;"_"&amp;'RSD (DEA)'!Z216</f>
        <v>RHHSA_T_SOL_03</v>
      </c>
      <c r="C853" s="318"/>
      <c r="D853" s="235" t="str">
        <f t="shared" si="169"/>
        <v>RHHSA_T_SOL_05</v>
      </c>
      <c r="E853" s="235" t="str">
        <f>'RSD (DEA)'!Q216</f>
        <v>Solar heating</v>
      </c>
      <c r="F853" s="242" t="s">
        <v>239</v>
      </c>
      <c r="G853" s="242" t="s">
        <v>240</v>
      </c>
      <c r="H853" s="235">
        <f>'RSD (DEA)'!S216</f>
        <v>4.2</v>
      </c>
      <c r="I853" s="235" t="str">
        <f>IF(OR(RIGHT('RSD (DEA)'!AH216,3)="BIO",RIGHT(AD861,3)="BOA"),LEFT('RSD (DEA)'!AH216,3)&amp;"BFW",'RSD (DEA)'!AH216)</f>
        <v>RSDSOL</v>
      </c>
      <c r="J853" s="182" t="str">
        <f>'RSD (DEA)'!AI216</f>
        <v/>
      </c>
      <c r="K853" s="235" t="str">
        <f>'RSD (DEA)'!AK216</f>
        <v>RWHSA</v>
      </c>
      <c r="L853" s="235"/>
      <c r="M853" s="182">
        <f t="shared" si="168"/>
        <v>2019</v>
      </c>
      <c r="N853" s="182">
        <f>'RSD (DEA)'!X216</f>
        <v>2030</v>
      </c>
      <c r="O853" s="182">
        <f t="shared" si="170"/>
        <v>2030</v>
      </c>
      <c r="P853" s="311">
        <f t="shared" si="171"/>
        <v>0.65</v>
      </c>
      <c r="Q853" s="311">
        <f t="shared" si="171"/>
        <v>0.65</v>
      </c>
      <c r="R853" s="182">
        <f>'RSD (DEA)'!BR216/'RSD (DEA)'!S216</f>
        <v>16.535714285714285</v>
      </c>
      <c r="S853" s="182">
        <f>'RSD (DEA)'!BS216/X_RSD_HeatingDemand!$AA$8</f>
        <v>0</v>
      </c>
      <c r="T853" s="252">
        <f>'RSD (DEA)'!BK208*X_RSD_HeatingDemand!$AA$9/'RSD (DEA)'!S208</f>
        <v>714.28571428571422</v>
      </c>
      <c r="U853" s="182">
        <f>'RSD (DEA)'!BI216</f>
        <v>30</v>
      </c>
      <c r="V853" s="182"/>
      <c r="W853" s="236">
        <f>'RSD (DEA)'!AM216</f>
        <v>31.536000000000001</v>
      </c>
    </row>
    <row r="854" spans="1:23" x14ac:dyDescent="0.3">
      <c r="A854" s="316"/>
      <c r="B854" s="235" t="str">
        <f>'RSD (DEA)'!AJ217&amp;"_"&amp;'RSD (DEA)'!Z217</f>
        <v>RHHSA_T_SOL_03</v>
      </c>
      <c r="C854" s="318"/>
      <c r="D854" s="235" t="str">
        <f t="shared" si="169"/>
        <v>RHHSA_T_SOL_06</v>
      </c>
      <c r="E854" s="235" t="str">
        <f>'RSD (DEA)'!Q217</f>
        <v>Solar heating</v>
      </c>
      <c r="F854" s="242" t="s">
        <v>239</v>
      </c>
      <c r="G854" s="242" t="s">
        <v>240</v>
      </c>
      <c r="H854" s="235">
        <f>'RSD (DEA)'!S217</f>
        <v>4.2</v>
      </c>
      <c r="I854" s="235" t="str">
        <f>IF(OR(RIGHT('RSD (DEA)'!AH217,3)="BIO",RIGHT(AD862,3)="BOA"),LEFT('RSD (DEA)'!AH217,3)&amp;"BFW",'RSD (DEA)'!AH217)</f>
        <v>RSDSOL</v>
      </c>
      <c r="J854" s="182" t="str">
        <f>'RSD (DEA)'!AI217</f>
        <v/>
      </c>
      <c r="K854" s="235" t="str">
        <f>'RSD (DEA)'!AK217</f>
        <v>RWHSA</v>
      </c>
      <c r="L854" s="235"/>
      <c r="M854" s="182">
        <f t="shared" si="168"/>
        <v>2019</v>
      </c>
      <c r="N854" s="182">
        <f>'RSD (DEA)'!X217</f>
        <v>2050</v>
      </c>
      <c r="O854" s="182">
        <f t="shared" si="170"/>
        <v>2050</v>
      </c>
      <c r="P854" s="311">
        <f t="shared" si="171"/>
        <v>0.65</v>
      </c>
      <c r="Q854" s="311">
        <f t="shared" si="171"/>
        <v>0.65</v>
      </c>
      <c r="R854" s="182">
        <f>'RSD (DEA)'!BR217/'RSD (DEA)'!S217</f>
        <v>15</v>
      </c>
      <c r="S854" s="182">
        <f>'RSD (DEA)'!BS217/X_RSD_HeatingDemand!$AA$8</f>
        <v>0</v>
      </c>
      <c r="T854" s="252">
        <f>'RSD (DEA)'!BK209*X_RSD_HeatingDemand!$AA$9/'RSD (DEA)'!S209</f>
        <v>714.28571428571422</v>
      </c>
      <c r="U854" s="182">
        <f>'RSD (DEA)'!BI217</f>
        <v>30</v>
      </c>
      <c r="V854" s="182"/>
      <c r="W854" s="236">
        <f>'RSD (DEA)'!AM217</f>
        <v>31.536000000000001</v>
      </c>
    </row>
    <row r="855" spans="1:23" x14ac:dyDescent="0.3">
      <c r="A855" s="316"/>
      <c r="B855" s="235" t="str">
        <f>'RSD (DEA)'!AJ218&amp;"_"&amp;'RSD (DEA)'!Z218</f>
        <v>RHAPC_T_SOL_04</v>
      </c>
      <c r="C855" s="318"/>
      <c r="D855" s="235" t="str">
        <f t="shared" si="169"/>
        <v>RHAPC_T_SOL_04</v>
      </c>
      <c r="E855" s="235" t="str">
        <f>'RSD (DEA)'!Q218</f>
        <v>Solar heating</v>
      </c>
      <c r="F855" s="242" t="s">
        <v>239</v>
      </c>
      <c r="G855" s="242" t="s">
        <v>240</v>
      </c>
      <c r="H855" s="235">
        <f>'RSD (DEA)'!S218</f>
        <v>140</v>
      </c>
      <c r="I855" s="235" t="str">
        <f>IF(OR(RIGHT('RSD (DEA)'!AH218,3)="BIO",RIGHT(AD863,3)="BOA"),LEFT('RSD (DEA)'!AH218,3)&amp;"BFW",'RSD (DEA)'!AH218)</f>
        <v>RSDSOL</v>
      </c>
      <c r="J855" s="182" t="str">
        <f>'RSD (DEA)'!AI218</f>
        <v/>
      </c>
      <c r="K855" s="235" t="str">
        <f>'RSD (DEA)'!AK218</f>
        <v>RWAPC</v>
      </c>
      <c r="L855" s="235"/>
      <c r="M855" s="182">
        <f t="shared" si="168"/>
        <v>2019</v>
      </c>
      <c r="N855" s="182">
        <f>'RSD (DEA)'!X218</f>
        <v>2015</v>
      </c>
      <c r="O855" s="182">
        <f t="shared" si="170"/>
        <v>2019</v>
      </c>
      <c r="P855" s="311">
        <f t="shared" si="171"/>
        <v>0.65</v>
      </c>
      <c r="Q855" s="311">
        <f t="shared" si="171"/>
        <v>0.65</v>
      </c>
      <c r="R855" s="182">
        <f>'RSD (DEA)'!BR218/'RSD (DEA)'!S218</f>
        <v>2.7785714285714285</v>
      </c>
      <c r="S855" s="182">
        <f>'RSD (DEA)'!BS218/X_RSD_HeatingDemand!$AA$8</f>
        <v>0</v>
      </c>
      <c r="T855" s="252">
        <f>'RSD (DEA)'!BK210*X_RSD_HeatingDemand!$AA$9/'RSD (DEA)'!S210</f>
        <v>798.97730904442312</v>
      </c>
      <c r="U855" s="182">
        <f>'RSD (DEA)'!BI218</f>
        <v>20</v>
      </c>
      <c r="V855" s="182"/>
      <c r="W855" s="236">
        <f>'RSD (DEA)'!AM218</f>
        <v>31.536000000000001</v>
      </c>
    </row>
    <row r="856" spans="1:23" x14ac:dyDescent="0.3">
      <c r="A856" s="316"/>
      <c r="B856" s="235" t="str">
        <f>'RSD (DEA)'!AJ219&amp;"_"&amp;'RSD (DEA)'!Z219</f>
        <v>RHAPC_T_SOL_04</v>
      </c>
      <c r="C856" s="318"/>
      <c r="D856" s="235" t="str">
        <f t="shared" si="169"/>
        <v>RHAPC_T_SOL_05</v>
      </c>
      <c r="E856" s="235" t="str">
        <f>'RSD (DEA)'!Q219</f>
        <v>Solar heating</v>
      </c>
      <c r="F856" s="242" t="s">
        <v>239</v>
      </c>
      <c r="G856" s="242" t="s">
        <v>240</v>
      </c>
      <c r="H856" s="235">
        <f>'RSD (DEA)'!S219</f>
        <v>140</v>
      </c>
      <c r="I856" s="235" t="str">
        <f>IF(OR(RIGHT('RSD (DEA)'!AH219,3)="BIO",RIGHT(AD864,3)="BOA"),LEFT('RSD (DEA)'!AH219,3)&amp;"BFW",'RSD (DEA)'!AH219)</f>
        <v>RSDSOL</v>
      </c>
      <c r="J856" s="182" t="str">
        <f>'RSD (DEA)'!AI219</f>
        <v/>
      </c>
      <c r="K856" s="235" t="str">
        <f>'RSD (DEA)'!AK219</f>
        <v>RWAPC</v>
      </c>
      <c r="L856" s="235"/>
      <c r="M856" s="182">
        <f t="shared" si="168"/>
        <v>2019</v>
      </c>
      <c r="N856" s="182">
        <f>'RSD (DEA)'!X219</f>
        <v>2020</v>
      </c>
      <c r="O856" s="182">
        <f t="shared" si="170"/>
        <v>2020</v>
      </c>
      <c r="P856" s="311">
        <f t="shared" si="171"/>
        <v>0.65</v>
      </c>
      <c r="Q856" s="311">
        <f t="shared" si="171"/>
        <v>0.65</v>
      </c>
      <c r="R856" s="182">
        <f>'RSD (DEA)'!BR219/'RSD (DEA)'!S219</f>
        <v>2.7714285714285714</v>
      </c>
      <c r="S856" s="182">
        <f>'RSD (DEA)'!BS219/X_RSD_HeatingDemand!$AA$8</f>
        <v>0</v>
      </c>
      <c r="T856" s="252">
        <f>'RSD (DEA)'!BK211*X_RSD_HeatingDemand!$AA$9/'RSD (DEA)'!S211</f>
        <v>798.97730904442312</v>
      </c>
      <c r="U856" s="182">
        <f>'RSD (DEA)'!BI219</f>
        <v>25</v>
      </c>
      <c r="V856" s="182"/>
      <c r="W856" s="236">
        <f>'RSD (DEA)'!AM219</f>
        <v>31.536000000000001</v>
      </c>
    </row>
    <row r="857" spans="1:23" x14ac:dyDescent="0.3">
      <c r="A857" s="316"/>
      <c r="B857" s="235" t="str">
        <f>'RSD (DEA)'!AJ220&amp;"_"&amp;'RSD (DEA)'!Z220</f>
        <v>RHAPC_T_SOL_04</v>
      </c>
      <c r="C857" s="318"/>
      <c r="D857" s="235" t="str">
        <f t="shared" si="169"/>
        <v>RHAPC_T_SOL_06</v>
      </c>
      <c r="E857" s="235" t="str">
        <f>'RSD (DEA)'!Q220</f>
        <v>Solar heating</v>
      </c>
      <c r="F857" s="242" t="s">
        <v>239</v>
      </c>
      <c r="G857" s="242" t="s">
        <v>240</v>
      </c>
      <c r="H857" s="235">
        <f>'RSD (DEA)'!S220</f>
        <v>140</v>
      </c>
      <c r="I857" s="235" t="str">
        <f>IF(OR(RIGHT('RSD (DEA)'!AH220,3)="BIO",RIGHT(AD865,3)="BOA"),LEFT('RSD (DEA)'!AH220,3)&amp;"BFW",'RSD (DEA)'!AH220)</f>
        <v>RSDSOL</v>
      </c>
      <c r="J857" s="182" t="str">
        <f>'RSD (DEA)'!AI220</f>
        <v/>
      </c>
      <c r="K857" s="235" t="str">
        <f>'RSD (DEA)'!AK220</f>
        <v>RWAPC</v>
      </c>
      <c r="L857" s="235"/>
      <c r="M857" s="182">
        <f t="shared" si="168"/>
        <v>2019</v>
      </c>
      <c r="N857" s="182">
        <f>'RSD (DEA)'!X220</f>
        <v>2030</v>
      </c>
      <c r="O857" s="182">
        <f t="shared" si="170"/>
        <v>2030</v>
      </c>
      <c r="P857" s="311">
        <f t="shared" si="171"/>
        <v>0.65</v>
      </c>
      <c r="Q857" s="311">
        <f t="shared" si="171"/>
        <v>0.65</v>
      </c>
      <c r="R857" s="182">
        <f>'RSD (DEA)'!BR220/'RSD (DEA)'!S220</f>
        <v>3.1285714285714286</v>
      </c>
      <c r="S857" s="182">
        <f>'RSD (DEA)'!BS220/X_RSD_HeatingDemand!$AA$8</f>
        <v>0</v>
      </c>
      <c r="T857" s="252">
        <f>'RSD (DEA)'!BK212*X_RSD_HeatingDemand!$AA$9/'RSD (DEA)'!S212</f>
        <v>798.97730904442312</v>
      </c>
      <c r="U857" s="182">
        <f>'RSD (DEA)'!BI220</f>
        <v>30</v>
      </c>
      <c r="V857" s="182"/>
      <c r="W857" s="236">
        <f>'RSD (DEA)'!AM220</f>
        <v>31.536000000000001</v>
      </c>
    </row>
    <row r="858" spans="1:23" x14ac:dyDescent="0.3">
      <c r="A858" s="316"/>
      <c r="B858" s="235" t="str">
        <f>'RSD (DEA)'!AJ221&amp;"_"&amp;'RSD (DEA)'!Z221</f>
        <v>RHAPC_T_SOL_04</v>
      </c>
      <c r="C858" s="318"/>
      <c r="D858" s="235" t="str">
        <f t="shared" si="169"/>
        <v>RHAPC_T_SOL_07</v>
      </c>
      <c r="E858" s="235" t="str">
        <f>'RSD (DEA)'!Q221</f>
        <v>Solar heating</v>
      </c>
      <c r="F858" s="242" t="s">
        <v>239</v>
      </c>
      <c r="G858" s="242" t="s">
        <v>240</v>
      </c>
      <c r="H858" s="235">
        <f>'RSD (DEA)'!S221</f>
        <v>140</v>
      </c>
      <c r="I858" s="235" t="str">
        <f>IF(OR(RIGHT('RSD (DEA)'!AH221,3)="BIO",RIGHT(AD866,3)="BOA"),LEFT('RSD (DEA)'!AH221,3)&amp;"BFW",'RSD (DEA)'!AH221)</f>
        <v>RSDSOL</v>
      </c>
      <c r="J858" s="182" t="str">
        <f>'RSD (DEA)'!AI221</f>
        <v/>
      </c>
      <c r="K858" s="235" t="str">
        <f>'RSD (DEA)'!AK221</f>
        <v>RWAPC</v>
      </c>
      <c r="L858" s="235"/>
      <c r="M858" s="182">
        <f t="shared" si="168"/>
        <v>2019</v>
      </c>
      <c r="N858" s="182">
        <f>'RSD (DEA)'!X221</f>
        <v>2050</v>
      </c>
      <c r="O858" s="182">
        <f t="shared" si="170"/>
        <v>2050</v>
      </c>
      <c r="P858" s="311">
        <f t="shared" si="171"/>
        <v>0.65</v>
      </c>
      <c r="Q858" s="311">
        <f t="shared" si="171"/>
        <v>0.65</v>
      </c>
      <c r="R858" s="182">
        <f>'RSD (DEA)'!BR221/'RSD (DEA)'!S221</f>
        <v>2.8857142857142857</v>
      </c>
      <c r="S858" s="182">
        <f>'RSD (DEA)'!BS221/X_RSD_HeatingDemand!$AA$8</f>
        <v>0</v>
      </c>
      <c r="T858" s="252">
        <f>'RSD (DEA)'!BK213*X_RSD_HeatingDemand!$AA$9/'RSD (DEA)'!S213</f>
        <v>476.19047619047615</v>
      </c>
      <c r="U858" s="182">
        <f>'RSD (DEA)'!BI221</f>
        <v>30</v>
      </c>
      <c r="V858" s="182"/>
      <c r="W858" s="236">
        <f>'RSD (DEA)'!AM221</f>
        <v>31.536000000000001</v>
      </c>
    </row>
    <row r="859" spans="1:23" x14ac:dyDescent="0.3">
      <c r="A859" s="316"/>
      <c r="B859" s="235" t="str">
        <f>'RSD (DEA)'!AJ222&amp;"_"&amp;'RSD (DEA)'!Z222</f>
        <v>RHAPA_T_SOL_05</v>
      </c>
      <c r="C859" s="318"/>
      <c r="D859" s="235" t="str">
        <f t="shared" si="169"/>
        <v>RHAPA_T_SOL_05</v>
      </c>
      <c r="E859" s="235" t="str">
        <f>'RSD (DEA)'!Q222</f>
        <v>Solar heating</v>
      </c>
      <c r="F859" s="242" t="s">
        <v>239</v>
      </c>
      <c r="G859" s="242" t="s">
        <v>240</v>
      </c>
      <c r="H859" s="235">
        <f>'RSD (DEA)'!S222</f>
        <v>140</v>
      </c>
      <c r="I859" s="235" t="str">
        <f>IF(OR(RIGHT('RSD (DEA)'!AH222,3)="BIO",RIGHT(AD867,3)="BOA"),LEFT('RSD (DEA)'!AH222,3)&amp;"BFW",'RSD (DEA)'!AH222)</f>
        <v>RSDSOL</v>
      </c>
      <c r="J859" s="182" t="str">
        <f>'RSD (DEA)'!AI222</f>
        <v/>
      </c>
      <c r="K859" s="235" t="str">
        <f>'RSD (DEA)'!AK222</f>
        <v>RWAPA</v>
      </c>
      <c r="L859" s="235"/>
      <c r="M859" s="182">
        <f t="shared" si="168"/>
        <v>2019</v>
      </c>
      <c r="N859" s="182">
        <f>'RSD (DEA)'!X222</f>
        <v>2015</v>
      </c>
      <c r="O859" s="182">
        <f t="shared" si="170"/>
        <v>2019</v>
      </c>
      <c r="P859" s="311">
        <f t="shared" si="171"/>
        <v>0.65</v>
      </c>
      <c r="Q859" s="311">
        <f t="shared" si="171"/>
        <v>0.65</v>
      </c>
      <c r="R859" s="182">
        <f>'RSD (DEA)'!BR222/'RSD (DEA)'!S222</f>
        <v>2.7785714285714285</v>
      </c>
      <c r="S859" s="182">
        <f>'RSD (DEA)'!BS222/X_RSD_HeatingDemand!$AA$8</f>
        <v>0</v>
      </c>
      <c r="T859" s="252">
        <f>'RSD (DEA)'!BK214*X_RSD_HeatingDemand!$AA$9/'RSD (DEA)'!S214</f>
        <v>639.1818472355385</v>
      </c>
      <c r="U859" s="182">
        <f>'RSD (DEA)'!BI222</f>
        <v>20</v>
      </c>
      <c r="V859" s="182"/>
      <c r="W859" s="236">
        <f>'RSD (DEA)'!AM222</f>
        <v>31.536000000000001</v>
      </c>
    </row>
    <row r="860" spans="1:23" x14ac:dyDescent="0.3">
      <c r="A860" s="316"/>
      <c r="B860" s="235" t="str">
        <f>'RSD (DEA)'!AJ223&amp;"_"&amp;'RSD (DEA)'!Z223</f>
        <v>RHAPA_T_SOL_05</v>
      </c>
      <c r="C860" s="318"/>
      <c r="D860" s="235" t="str">
        <f t="shared" si="169"/>
        <v>RHAPA_T_SOL_06</v>
      </c>
      <c r="E860" s="235" t="str">
        <f>'RSD (DEA)'!Q223</f>
        <v>Solar heating</v>
      </c>
      <c r="F860" s="242" t="s">
        <v>239</v>
      </c>
      <c r="G860" s="242" t="s">
        <v>240</v>
      </c>
      <c r="H860" s="235">
        <f>'RSD (DEA)'!S223</f>
        <v>140</v>
      </c>
      <c r="I860" s="235" t="str">
        <f>IF(OR(RIGHT('RSD (DEA)'!AH223,3)="BIO",RIGHT(AD868,3)="BOA"),LEFT('RSD (DEA)'!AH223,3)&amp;"BFW",'RSD (DEA)'!AH223)</f>
        <v>RSDSOL</v>
      </c>
      <c r="J860" s="182" t="str">
        <f>'RSD (DEA)'!AI223</f>
        <v/>
      </c>
      <c r="K860" s="235" t="str">
        <f>'RSD (DEA)'!AK223</f>
        <v>RWAPA</v>
      </c>
      <c r="L860" s="235"/>
      <c r="M860" s="182">
        <f t="shared" si="168"/>
        <v>2019</v>
      </c>
      <c r="N860" s="182">
        <f>'RSD (DEA)'!X223</f>
        <v>2020</v>
      </c>
      <c r="O860" s="182">
        <f t="shared" si="170"/>
        <v>2020</v>
      </c>
      <c r="P860" s="311">
        <f t="shared" si="171"/>
        <v>0.65</v>
      </c>
      <c r="Q860" s="311">
        <f t="shared" si="171"/>
        <v>0.65</v>
      </c>
      <c r="R860" s="182">
        <f>'RSD (DEA)'!BR223/'RSD (DEA)'!S223</f>
        <v>2.7714285714285714</v>
      </c>
      <c r="S860" s="182">
        <f>'RSD (DEA)'!BS223/X_RSD_HeatingDemand!$AA$8</f>
        <v>0</v>
      </c>
      <c r="T860" s="252">
        <f>'RSD (DEA)'!BK215*X_RSD_HeatingDemand!$AA$9/'RSD (DEA)'!S215</f>
        <v>476.19047619047615</v>
      </c>
      <c r="U860" s="182">
        <f>'RSD (DEA)'!BI223</f>
        <v>25</v>
      </c>
      <c r="V860" s="182"/>
      <c r="W860" s="236">
        <f>'RSD (DEA)'!AM223</f>
        <v>31.536000000000001</v>
      </c>
    </row>
    <row r="861" spans="1:23" x14ac:dyDescent="0.3">
      <c r="A861" s="316"/>
      <c r="B861" s="235" t="str">
        <f>'RSD (DEA)'!AJ224&amp;"_"&amp;'RSD (DEA)'!Z224</f>
        <v>RHAPA_T_SOL_05</v>
      </c>
      <c r="C861" s="318"/>
      <c r="D861" s="235" t="str">
        <f t="shared" si="169"/>
        <v>RHAPA_T_SOL_07</v>
      </c>
      <c r="E861" s="235" t="str">
        <f>'RSD (DEA)'!Q224</f>
        <v>Solar heating</v>
      </c>
      <c r="F861" s="242" t="s">
        <v>239</v>
      </c>
      <c r="G861" s="242" t="s">
        <v>240</v>
      </c>
      <c r="H861" s="235">
        <f>'RSD (DEA)'!S224</f>
        <v>140</v>
      </c>
      <c r="I861" s="235" t="str">
        <f>IF(OR(RIGHT('RSD (DEA)'!AH224,3)="BIO",RIGHT(AD869,3)="BOA"),LEFT('RSD (DEA)'!AH224,3)&amp;"BFW",'RSD (DEA)'!AH224)</f>
        <v>RSDSOL</v>
      </c>
      <c r="J861" s="182" t="str">
        <f>'RSD (DEA)'!AI224</f>
        <v/>
      </c>
      <c r="K861" s="235" t="str">
        <f>'RSD (DEA)'!AK224</f>
        <v>RWAPA</v>
      </c>
      <c r="L861" s="235"/>
      <c r="M861" s="182">
        <f t="shared" si="168"/>
        <v>2019</v>
      </c>
      <c r="N861" s="182">
        <f>'RSD (DEA)'!X224</f>
        <v>2030</v>
      </c>
      <c r="O861" s="182">
        <f t="shared" si="170"/>
        <v>2030</v>
      </c>
      <c r="P861" s="311">
        <f t="shared" si="171"/>
        <v>0.65</v>
      </c>
      <c r="Q861" s="311">
        <f t="shared" si="171"/>
        <v>0.65</v>
      </c>
      <c r="R861" s="182">
        <f>'RSD (DEA)'!BR224/'RSD (DEA)'!S224</f>
        <v>3.1285714285714286</v>
      </c>
      <c r="S861" s="182">
        <f>'RSD (DEA)'!BS224/X_RSD_HeatingDemand!$AA$8</f>
        <v>0</v>
      </c>
      <c r="T861" s="252">
        <f>'RSD (DEA)'!BK216*X_RSD_HeatingDemand!$AA$9/'RSD (DEA)'!S216</f>
        <v>476.19047619047615</v>
      </c>
      <c r="U861" s="182">
        <f>'RSD (DEA)'!BI224</f>
        <v>30</v>
      </c>
      <c r="V861" s="182"/>
      <c r="W861" s="236">
        <f>'RSD (DEA)'!AM224</f>
        <v>31.536000000000001</v>
      </c>
    </row>
    <row r="862" spans="1:23" x14ac:dyDescent="0.3">
      <c r="A862" s="316"/>
      <c r="B862" s="235" t="str">
        <f>'RSD (DEA)'!AJ225&amp;"_"&amp;'RSD (DEA)'!Z225</f>
        <v>RHAPA_T_SOL_05</v>
      </c>
      <c r="C862" s="318"/>
      <c r="D862" s="235" t="str">
        <f t="shared" si="169"/>
        <v>RHAPA_T_SOL_08</v>
      </c>
      <c r="E862" s="235" t="str">
        <f>'RSD (DEA)'!Q225</f>
        <v>Solar heating</v>
      </c>
      <c r="F862" s="242" t="s">
        <v>239</v>
      </c>
      <c r="G862" s="242" t="s">
        <v>240</v>
      </c>
      <c r="H862" s="235">
        <f>'RSD (DEA)'!S225</f>
        <v>140</v>
      </c>
      <c r="I862" s="235" t="str">
        <f>IF(OR(RIGHT('RSD (DEA)'!AH225,3)="BIO",RIGHT(AD870,3)="BOA"),LEFT('RSD (DEA)'!AH225,3)&amp;"BFW",'RSD (DEA)'!AH225)</f>
        <v>RSDSOL</v>
      </c>
      <c r="J862" s="182" t="str">
        <f>'RSD (DEA)'!AI225</f>
        <v/>
      </c>
      <c r="K862" s="235" t="str">
        <f>'RSD (DEA)'!AK225</f>
        <v>RWAPA</v>
      </c>
      <c r="L862" s="235"/>
      <c r="M862" s="182">
        <f t="shared" si="168"/>
        <v>2019</v>
      </c>
      <c r="N862" s="182">
        <f>'RSD (DEA)'!X225</f>
        <v>2050</v>
      </c>
      <c r="O862" s="182">
        <f t="shared" si="170"/>
        <v>2050</v>
      </c>
      <c r="P862" s="311">
        <f t="shared" si="171"/>
        <v>0.65</v>
      </c>
      <c r="Q862" s="311">
        <f t="shared" si="171"/>
        <v>0.65</v>
      </c>
      <c r="R862" s="182">
        <f>'RSD (DEA)'!BR225/'RSD (DEA)'!S225</f>
        <v>2.8857142857142857</v>
      </c>
      <c r="S862" s="182">
        <f>'RSD (DEA)'!BS225/X_RSD_HeatingDemand!$AA$8</f>
        <v>0</v>
      </c>
      <c r="T862" s="252">
        <f>'RSD (DEA)'!BK217*X_RSD_HeatingDemand!$AA$9/'RSD (DEA)'!S217</f>
        <v>476.19047619047615</v>
      </c>
      <c r="U862" s="182">
        <f>'RSD (DEA)'!BI225</f>
        <v>30</v>
      </c>
      <c r="V862" s="182"/>
      <c r="W862" s="236">
        <f>'RSD (DEA)'!AM225</f>
        <v>31.536000000000001</v>
      </c>
    </row>
    <row r="863" spans="1:23" x14ac:dyDescent="0.3">
      <c r="A863" s="316"/>
      <c r="B863" s="235" t="str">
        <f>'RSD (DEA)'!AJ226&amp;"_"&amp;'RSD (DEA)'!Z226</f>
        <v>RHHSA_R_ELC_01</v>
      </c>
      <c r="C863" s="318"/>
      <c r="D863" s="235" t="str">
        <f t="shared" si="169"/>
        <v>RHHSA_R_ELC_01</v>
      </c>
      <c r="E863" s="235" t="str">
        <f>'RSD (DEA)'!Q226</f>
        <v>Electric heating</v>
      </c>
      <c r="F863" s="242" t="s">
        <v>239</v>
      </c>
      <c r="G863" s="242" t="s">
        <v>240</v>
      </c>
      <c r="H863" s="235">
        <f>'RSD (DEA)'!S226</f>
        <v>3</v>
      </c>
      <c r="I863" s="235" t="str">
        <f>IF(OR(RIGHT('RSD (DEA)'!AH226,3)="BIO",RIGHT(AD871,3)="BOA"),LEFT('RSD (DEA)'!AH226,3)&amp;"BFW",'RSD (DEA)'!AH226)</f>
        <v>RSDELC</v>
      </c>
      <c r="J863" s="182" t="str">
        <f>'RSD (DEA)'!AI226</f>
        <v/>
      </c>
      <c r="K863" s="235" t="str">
        <f>'RSD (DEA)'!AK226</f>
        <v>RWHSA</v>
      </c>
      <c r="L863" s="235"/>
      <c r="M863" s="182">
        <f t="shared" si="168"/>
        <v>2019</v>
      </c>
      <c r="N863" s="182">
        <f>'RSD (DEA)'!X226</f>
        <v>2015</v>
      </c>
      <c r="O863" s="182">
        <f t="shared" si="170"/>
        <v>2019</v>
      </c>
      <c r="P863" s="183">
        <f>'RSD (DEA)'!AZ226</f>
        <v>1</v>
      </c>
      <c r="Q863" s="183">
        <f>'RSD (DEA)'!BA226</f>
        <v>1</v>
      </c>
      <c r="R863" s="182">
        <f>'RSD (DEA)'!BR226/'RSD (DEA)'!S226</f>
        <v>8.3333333333333339</v>
      </c>
      <c r="S863" s="182">
        <f>'RSD (DEA)'!BS226/X_RSD_HeatingDemand!$AA$8</f>
        <v>0</v>
      </c>
      <c r="T863" s="252">
        <f>'RSD (DEA)'!BK218*X_RSD_HeatingDemand!$AA$9/'RSD (DEA)'!S218</f>
        <v>613.61457334611691</v>
      </c>
      <c r="U863" s="182">
        <f>'RSD (DEA)'!BI226</f>
        <v>30</v>
      </c>
      <c r="V863" s="182"/>
      <c r="W863" s="236">
        <f>'RSD (DEA)'!AM226</f>
        <v>31.536000000000001</v>
      </c>
    </row>
    <row r="864" spans="1:23" x14ac:dyDescent="0.3">
      <c r="A864" s="316"/>
      <c r="B864" s="235" t="str">
        <f>'RSD (DEA)'!AJ227&amp;"_"&amp;'RSD (DEA)'!Z227</f>
        <v>RHAPA_R_ELC_02</v>
      </c>
      <c r="C864" s="318"/>
      <c r="D864" s="235" t="str">
        <f t="shared" si="169"/>
        <v>RHAPA_R_ELC_02</v>
      </c>
      <c r="E864" s="235" t="str">
        <f>'RSD (DEA)'!Q227</f>
        <v>Electric heating</v>
      </c>
      <c r="F864" s="242" t="s">
        <v>239</v>
      </c>
      <c r="G864" s="242" t="s">
        <v>240</v>
      </c>
      <c r="H864" s="235">
        <f>'RSD (DEA)'!S227</f>
        <v>160</v>
      </c>
      <c r="I864" s="235" t="str">
        <f>IF(OR(RIGHT('RSD (DEA)'!AH227,3)="BIO",RIGHT(AD872,3)="BOA"),LEFT('RSD (DEA)'!AH227,3)&amp;"BFW",'RSD (DEA)'!AH227)</f>
        <v>RSDELC</v>
      </c>
      <c r="J864" s="182" t="str">
        <f>'RSD (DEA)'!AI227</f>
        <v/>
      </c>
      <c r="K864" s="235" t="str">
        <f>'RSD (DEA)'!AK227</f>
        <v>RWAPA</v>
      </c>
      <c r="L864" s="235"/>
      <c r="M864" s="182">
        <f t="shared" si="168"/>
        <v>2019</v>
      </c>
      <c r="N864" s="182">
        <f>'RSD (DEA)'!X227</f>
        <v>2015</v>
      </c>
      <c r="O864" s="182">
        <f t="shared" si="170"/>
        <v>2019</v>
      </c>
      <c r="P864" s="183">
        <f>'RSD (DEA)'!AZ227</f>
        <v>1</v>
      </c>
      <c r="Q864" s="183">
        <f>'RSD (DEA)'!BA227</f>
        <v>1</v>
      </c>
      <c r="R864" s="182">
        <f>'RSD (DEA)'!BR227/'RSD (DEA)'!S227</f>
        <v>0.3125</v>
      </c>
      <c r="S864" s="182">
        <f>'RSD (DEA)'!BS227/X_RSD_HeatingDemand!$AA$8</f>
        <v>0</v>
      </c>
      <c r="T864" s="252">
        <f>'RSD (DEA)'!BK219*X_RSD_HeatingDemand!$AA$9/'RSD (DEA)'!S219</f>
        <v>578.57142857142856</v>
      </c>
      <c r="U864" s="182">
        <f>'RSD (DEA)'!BI227</f>
        <v>30</v>
      </c>
      <c r="V864" s="182"/>
      <c r="W864" s="236">
        <f>'RSD (DEA)'!AM227</f>
        <v>31.536000000000001</v>
      </c>
    </row>
    <row r="865" spans="1:23" x14ac:dyDescent="0.3">
      <c r="A865" s="316"/>
      <c r="B865" s="235" t="str">
        <f>'RSD (DEA)'!AJ228&amp;"_"&amp;'RSD (DEA)'!Z228</f>
        <v>RHAPA_R_ELC_02</v>
      </c>
      <c r="C865" s="318"/>
      <c r="D865" s="235" t="str">
        <f t="shared" si="169"/>
        <v>RHAPA_R_ELC_03</v>
      </c>
      <c r="E865" s="235" t="str">
        <f>'RSD (DEA)'!Q228</f>
        <v>Electric heating</v>
      </c>
      <c r="F865" s="242" t="s">
        <v>239</v>
      </c>
      <c r="G865" s="242" t="s">
        <v>240</v>
      </c>
      <c r="H865" s="235">
        <f>'RSD (DEA)'!S228</f>
        <v>160</v>
      </c>
      <c r="I865" s="235" t="str">
        <f>IF(OR(RIGHT('RSD (DEA)'!AH228,3)="BIO",RIGHT(AD873,3)="BOA"),LEFT('RSD (DEA)'!AH228,3)&amp;"BFW",'RSD (DEA)'!AH228)</f>
        <v>RSDELC</v>
      </c>
      <c r="J865" s="182" t="str">
        <f>'RSD (DEA)'!AI228</f>
        <v/>
      </c>
      <c r="K865" s="235" t="str">
        <f>'RSD (DEA)'!AK228</f>
        <v>RWAPA</v>
      </c>
      <c r="L865" s="235"/>
      <c r="M865" s="182">
        <f t="shared" si="168"/>
        <v>2019</v>
      </c>
      <c r="N865" s="182">
        <f>'RSD (DEA)'!X228</f>
        <v>2020</v>
      </c>
      <c r="O865" s="182">
        <f t="shared" si="170"/>
        <v>2020</v>
      </c>
      <c r="P865" s="183">
        <f>'RSD (DEA)'!AZ228</f>
        <v>1</v>
      </c>
      <c r="Q865" s="183">
        <f>'RSD (DEA)'!BA228</f>
        <v>1</v>
      </c>
      <c r="R865" s="182">
        <f>'RSD (DEA)'!BR228/'RSD (DEA)'!S228</f>
        <v>0.30625000000000002</v>
      </c>
      <c r="S865" s="182">
        <f>'RSD (DEA)'!BS228/X_RSD_HeatingDemand!$AA$8</f>
        <v>0</v>
      </c>
      <c r="T865" s="252">
        <f>'RSD (DEA)'!BK220*X_RSD_HeatingDemand!$AA$9/'RSD (DEA)'!S220</f>
        <v>528.57142857142856</v>
      </c>
      <c r="U865" s="182">
        <f>'RSD (DEA)'!BI228</f>
        <v>30</v>
      </c>
      <c r="V865" s="182"/>
      <c r="W865" s="236">
        <f>'RSD (DEA)'!AM228</f>
        <v>31.536000000000001</v>
      </c>
    </row>
    <row r="866" spans="1:23" x14ac:dyDescent="0.3">
      <c r="A866" s="316"/>
      <c r="B866" s="235" t="str">
        <f>'RSD (DEA)'!AJ229&amp;"_"&amp;'RSD (DEA)'!Z229</f>
        <v>RHAPA_R_ELC_02</v>
      </c>
      <c r="C866" s="318"/>
      <c r="D866" s="235" t="str">
        <f t="shared" si="169"/>
        <v>RHAPA_R_ELC_04</v>
      </c>
      <c r="E866" s="235" t="str">
        <f>'RSD (DEA)'!Q229</f>
        <v>Electric heating</v>
      </c>
      <c r="F866" s="242" t="s">
        <v>239</v>
      </c>
      <c r="G866" s="242" t="s">
        <v>240</v>
      </c>
      <c r="H866" s="235">
        <f>'RSD (DEA)'!S229</f>
        <v>160</v>
      </c>
      <c r="I866" s="235" t="str">
        <f>IF(OR(RIGHT('RSD (DEA)'!AH229,3)="BIO",RIGHT(AD874,3)="BOA"),LEFT('RSD (DEA)'!AH229,3)&amp;"BFW",'RSD (DEA)'!AH229)</f>
        <v>RSDELC</v>
      </c>
      <c r="J866" s="182" t="str">
        <f>'RSD (DEA)'!AI229</f>
        <v/>
      </c>
      <c r="K866" s="235" t="str">
        <f>'RSD (DEA)'!AK229</f>
        <v>RWAPA</v>
      </c>
      <c r="L866" s="235"/>
      <c r="M866" s="182">
        <f t="shared" si="168"/>
        <v>2019</v>
      </c>
      <c r="N866" s="182">
        <f>'RSD (DEA)'!X229</f>
        <v>2030</v>
      </c>
      <c r="O866" s="182">
        <f t="shared" si="170"/>
        <v>2030</v>
      </c>
      <c r="P866" s="183">
        <f>'RSD (DEA)'!AZ229</f>
        <v>1</v>
      </c>
      <c r="Q866" s="183">
        <f>'RSD (DEA)'!BA229</f>
        <v>1</v>
      </c>
      <c r="R866" s="182">
        <f>'RSD (DEA)'!BR229/'RSD (DEA)'!S229</f>
        <v>0.28749999999999998</v>
      </c>
      <c r="S866" s="182">
        <f>'RSD (DEA)'!BS229/X_RSD_HeatingDemand!$AA$8</f>
        <v>0</v>
      </c>
      <c r="T866" s="252">
        <f>'RSD (DEA)'!BK221*X_RSD_HeatingDemand!$AA$9/'RSD (DEA)'!S221</f>
        <v>478.57142857142856</v>
      </c>
      <c r="U866" s="182">
        <f>'RSD (DEA)'!BI229</f>
        <v>30</v>
      </c>
      <c r="V866" s="182"/>
      <c r="W866" s="236">
        <f>'RSD (DEA)'!AM229</f>
        <v>31.536000000000001</v>
      </c>
    </row>
    <row r="867" spans="1:23" x14ac:dyDescent="0.3">
      <c r="A867" s="316"/>
      <c r="B867" s="235" t="str">
        <f>'RSD (DEA)'!AJ230&amp;"_"&amp;'RSD (DEA)'!Z230</f>
        <v>RHAPA_R_ELC_02</v>
      </c>
      <c r="C867" s="318"/>
      <c r="D867" s="235" t="str">
        <f t="shared" si="169"/>
        <v>RHAPA_R_ELC_05</v>
      </c>
      <c r="E867" s="235" t="str">
        <f>'RSD (DEA)'!Q230</f>
        <v>Electric heating</v>
      </c>
      <c r="F867" s="242" t="s">
        <v>239</v>
      </c>
      <c r="G867" s="242" t="s">
        <v>240</v>
      </c>
      <c r="H867" s="235">
        <f>'RSD (DEA)'!S230</f>
        <v>160</v>
      </c>
      <c r="I867" s="235" t="str">
        <f>IF(OR(RIGHT('RSD (DEA)'!AH230,3)="BIO",RIGHT(AD875,3)="BOA"),LEFT('RSD (DEA)'!AH230,3)&amp;"BFW",'RSD (DEA)'!AH230)</f>
        <v>RSDELC</v>
      </c>
      <c r="J867" s="182" t="str">
        <f>'RSD (DEA)'!AI230</f>
        <v/>
      </c>
      <c r="K867" s="235" t="str">
        <f>'RSD (DEA)'!AK230</f>
        <v>RWAPA</v>
      </c>
      <c r="L867" s="235"/>
      <c r="M867" s="182">
        <f t="shared" si="168"/>
        <v>2019</v>
      </c>
      <c r="N867" s="182">
        <f>'RSD (DEA)'!X230</f>
        <v>2050</v>
      </c>
      <c r="O867" s="182">
        <f t="shared" si="170"/>
        <v>2050</v>
      </c>
      <c r="P867" s="183">
        <f>'RSD (DEA)'!AZ230</f>
        <v>1</v>
      </c>
      <c r="Q867" s="183">
        <f>'RSD (DEA)'!BA230</f>
        <v>1</v>
      </c>
      <c r="R867" s="182">
        <f>'RSD (DEA)'!BR230/'RSD (DEA)'!S230</f>
        <v>0.26250000000000001</v>
      </c>
      <c r="S867" s="182">
        <f>'RSD (DEA)'!BS230/X_RSD_HeatingDemand!$AA$8</f>
        <v>0</v>
      </c>
      <c r="T867" s="252">
        <f>'RSD (DEA)'!BK222*X_RSD_HeatingDemand!$AA$9/'RSD (DEA)'!S222</f>
        <v>575.26366251198465</v>
      </c>
      <c r="U867" s="182">
        <f>'RSD (DEA)'!BI230</f>
        <v>30</v>
      </c>
      <c r="V867" s="182"/>
      <c r="W867" s="236">
        <f>'RSD (DEA)'!AM230</f>
        <v>31.536000000000001</v>
      </c>
    </row>
    <row r="868" spans="1:23" x14ac:dyDescent="0.3">
      <c r="A868" s="316"/>
      <c r="B868" s="235" t="str">
        <f>'RSD (DEA)'!AJ231&amp;"_"&amp;'RSD (DEA)'!Z231</f>
        <v>RHHSC_FC_mCHP_01</v>
      </c>
      <c r="C868" s="318"/>
      <c r="D868" s="235" t="str">
        <f t="shared" si="169"/>
        <v>RHHSC_FC_mCHP_01</v>
      </c>
      <c r="E868" s="235" t="str">
        <f>'RSD (DEA)'!Q231</f>
        <v>SOFC mCHP</v>
      </c>
      <c r="F868" s="242" t="s">
        <v>239</v>
      </c>
      <c r="G868" s="242" t="s">
        <v>240</v>
      </c>
      <c r="H868" s="235">
        <f>'RSD (DEA)'!S231</f>
        <v>0.66956521739130426</v>
      </c>
      <c r="I868" s="235" t="str">
        <f>IF(OR(RIGHT('RSD (DEA)'!AH231,3)="BIO",RIGHT(AD876,3)="BOA"),LEFT('RSD (DEA)'!AH231,3)&amp;"BFW",'RSD (DEA)'!AH231)</f>
        <v>RSDGAS</v>
      </c>
      <c r="J868" s="182" t="str">
        <f>'RSD (DEA)'!AI231</f>
        <v/>
      </c>
      <c r="K868" s="235" t="str">
        <f>'RSD (DEA)'!AK231</f>
        <v>RWHSC</v>
      </c>
      <c r="L868" s="235"/>
      <c r="M868" s="182">
        <f t="shared" si="168"/>
        <v>2019</v>
      </c>
      <c r="N868" s="182">
        <f>'RSD (DEA)'!X231</f>
        <v>2015</v>
      </c>
      <c r="O868" s="182">
        <f t="shared" si="170"/>
        <v>2019</v>
      </c>
      <c r="P868" s="183">
        <f>'RSD (DEA)'!AZ231</f>
        <v>0.9</v>
      </c>
      <c r="Q868" s="183">
        <f>'RSD (DEA)'!BA231</f>
        <v>0.44</v>
      </c>
      <c r="R868" s="182">
        <f>'RSD (DEA)'!BR231/'RSD (DEA)'!S231</f>
        <v>2016.2337662337666</v>
      </c>
      <c r="S868" s="182">
        <f>'RSD (DEA)'!BS231/X_RSD_HeatingDemand!$AA$8</f>
        <v>0</v>
      </c>
      <c r="T868" s="252">
        <f>'RSD (DEA)'!BK223*X_RSD_HeatingDemand!$AA$9/'RSD (DEA)'!S223</f>
        <v>528.57142857142856</v>
      </c>
      <c r="U868" s="182">
        <f>'RSD (DEA)'!BI231</f>
        <v>10</v>
      </c>
      <c r="V868" s="182"/>
      <c r="W868" s="236">
        <f>'RSD (DEA)'!AM231</f>
        <v>31.536000000000001</v>
      </c>
    </row>
    <row r="869" spans="1:23" x14ac:dyDescent="0.3">
      <c r="A869" s="316"/>
      <c r="B869" s="235" t="str">
        <f>'RSD (DEA)'!AJ232&amp;"_"&amp;'RSD (DEA)'!Z232</f>
        <v>RHHSC_FC_mCHP_01</v>
      </c>
      <c r="C869" s="318"/>
      <c r="D869" s="235" t="str">
        <f t="shared" si="169"/>
        <v>RHHSC_FC_mCHP_02</v>
      </c>
      <c r="E869" s="235" t="str">
        <f>'RSD (DEA)'!Q232</f>
        <v>SOFC mCHP</v>
      </c>
      <c r="F869" s="242" t="s">
        <v>239</v>
      </c>
      <c r="G869" s="242" t="s">
        <v>240</v>
      </c>
      <c r="H869" s="235">
        <f>'RSD (DEA)'!S232</f>
        <v>0.56000000000000005</v>
      </c>
      <c r="I869" s="235" t="str">
        <f>IF(OR(RIGHT('RSD (DEA)'!AH232,3)="BIO",RIGHT(AD877,3)="BOA"),LEFT('RSD (DEA)'!AH232,3)&amp;"BFW",'RSD (DEA)'!AH232)</f>
        <v>RSDGAS</v>
      </c>
      <c r="J869" s="182" t="str">
        <f>'RSD (DEA)'!AI232</f>
        <v/>
      </c>
      <c r="K869" s="235" t="str">
        <f>'RSD (DEA)'!AK232</f>
        <v>RWHSC</v>
      </c>
      <c r="L869" s="235"/>
      <c r="M869" s="182">
        <f t="shared" si="168"/>
        <v>2019</v>
      </c>
      <c r="N869" s="182">
        <f>'RSD (DEA)'!X232</f>
        <v>2020</v>
      </c>
      <c r="O869" s="182">
        <f t="shared" si="170"/>
        <v>2020</v>
      </c>
      <c r="P869" s="183">
        <f>'RSD (DEA)'!AZ232</f>
        <v>0.9</v>
      </c>
      <c r="Q869" s="183">
        <f>'RSD (DEA)'!BA232</f>
        <v>0.4</v>
      </c>
      <c r="R869" s="182">
        <f>'RSD (DEA)'!BR232/'RSD (DEA)'!S232</f>
        <v>1874.9999999999998</v>
      </c>
      <c r="S869" s="182">
        <f>'RSD (DEA)'!BS232/X_RSD_HeatingDemand!$AA$8</f>
        <v>0</v>
      </c>
      <c r="T869" s="252">
        <f>'RSD (DEA)'!BK224*X_RSD_HeatingDemand!$AA$9/'RSD (DEA)'!S224</f>
        <v>478.57142857142856</v>
      </c>
      <c r="U869" s="182">
        <f>'RSD (DEA)'!BI232</f>
        <v>20</v>
      </c>
      <c r="V869" s="182"/>
      <c r="W869" s="236">
        <f>'RSD (DEA)'!AM232</f>
        <v>31.536000000000001</v>
      </c>
    </row>
    <row r="870" spans="1:23" x14ac:dyDescent="0.3">
      <c r="A870" s="316"/>
      <c r="B870" s="235" t="str">
        <f>'RSD (DEA)'!AJ233&amp;"_"&amp;'RSD (DEA)'!Z233</f>
        <v>RHHSC_FC_mCHP_01</v>
      </c>
      <c r="C870" s="318"/>
      <c r="D870" s="235" t="str">
        <f t="shared" si="169"/>
        <v>RHHSC_FC_mCHP_03</v>
      </c>
      <c r="E870" s="235" t="str">
        <f>'RSD (DEA)'!Q233</f>
        <v>SOFC mCHP</v>
      </c>
      <c r="F870" s="242" t="s">
        <v>239</v>
      </c>
      <c r="G870" s="242" t="s">
        <v>240</v>
      </c>
      <c r="H870" s="235">
        <f>'RSD (DEA)'!S233</f>
        <v>0.56000000000000005</v>
      </c>
      <c r="I870" s="235" t="str">
        <f>IF(OR(RIGHT('RSD (DEA)'!AH233,3)="BIO",RIGHT(AD878,3)="BOA"),LEFT('RSD (DEA)'!AH233,3)&amp;"BFW",'RSD (DEA)'!AH233)</f>
        <v>RSDGAS</v>
      </c>
      <c r="J870" s="182" t="str">
        <f>'RSD (DEA)'!AI233</f>
        <v/>
      </c>
      <c r="K870" s="235" t="str">
        <f>'RSD (DEA)'!AK233</f>
        <v>RWHSC</v>
      </c>
      <c r="L870" s="235"/>
      <c r="M870" s="182">
        <f t="shared" si="168"/>
        <v>2019</v>
      </c>
      <c r="N870" s="182">
        <f>'RSD (DEA)'!X233</f>
        <v>2030</v>
      </c>
      <c r="O870" s="182">
        <f t="shared" si="170"/>
        <v>2030</v>
      </c>
      <c r="P870" s="183">
        <f>'RSD (DEA)'!AZ233</f>
        <v>0.9</v>
      </c>
      <c r="Q870" s="183">
        <f>'RSD (DEA)'!BA233</f>
        <v>0.4</v>
      </c>
      <c r="R870" s="182">
        <f>'RSD (DEA)'!BR233/'RSD (DEA)'!S233</f>
        <v>1428.5714285714284</v>
      </c>
      <c r="S870" s="182">
        <f>'RSD (DEA)'!BS233/X_RSD_HeatingDemand!$AA$8</f>
        <v>0</v>
      </c>
      <c r="T870" s="252">
        <f>'RSD (DEA)'!BK225*X_RSD_HeatingDemand!$AA$9/'RSD (DEA)'!S225</f>
        <v>428.57142857142856</v>
      </c>
      <c r="U870" s="182">
        <f>'RSD (DEA)'!BI233</f>
        <v>20</v>
      </c>
      <c r="V870" s="182"/>
      <c r="W870" s="236">
        <f>'RSD (DEA)'!AM233</f>
        <v>31.536000000000001</v>
      </c>
    </row>
    <row r="871" spans="1:23" x14ac:dyDescent="0.3">
      <c r="A871" s="316"/>
      <c r="B871" s="235" t="str">
        <f>'RSD (DEA)'!AJ234&amp;"_"&amp;'RSD (DEA)'!Z234</f>
        <v>RHHSC_FC_mCHP_01</v>
      </c>
      <c r="C871" s="318"/>
      <c r="D871" s="235" t="str">
        <f t="shared" si="169"/>
        <v>RHHSC_FC_mCHP_04</v>
      </c>
      <c r="E871" s="235" t="str">
        <f>'RSD (DEA)'!Q234</f>
        <v>SOFC mCHP</v>
      </c>
      <c r="F871" s="242" t="s">
        <v>239</v>
      </c>
      <c r="G871" s="242" t="s">
        <v>240</v>
      </c>
      <c r="H871" s="235">
        <f>'RSD (DEA)'!S234</f>
        <v>0.56000000000000005</v>
      </c>
      <c r="I871" s="235" t="str">
        <f>IF(OR(RIGHT('RSD (DEA)'!AH234,3)="BIO",RIGHT(AD879,3)="BOA"),LEFT('RSD (DEA)'!AH234,3)&amp;"BFW",'RSD (DEA)'!AH234)</f>
        <v>RSDGAS</v>
      </c>
      <c r="J871" s="182" t="str">
        <f>'RSD (DEA)'!AI234</f>
        <v/>
      </c>
      <c r="K871" s="235" t="str">
        <f>'RSD (DEA)'!AK234</f>
        <v>RWHSC</v>
      </c>
      <c r="L871" s="235"/>
      <c r="M871" s="182">
        <f t="shared" si="168"/>
        <v>2019</v>
      </c>
      <c r="N871" s="182">
        <f>'RSD (DEA)'!X234</f>
        <v>2050</v>
      </c>
      <c r="O871" s="182">
        <f t="shared" si="170"/>
        <v>2050</v>
      </c>
      <c r="P871" s="183">
        <f>'RSD (DEA)'!AZ234</f>
        <v>0.9</v>
      </c>
      <c r="Q871" s="183">
        <f>'RSD (DEA)'!BA234</f>
        <v>0.4</v>
      </c>
      <c r="R871" s="182">
        <f>'RSD (DEA)'!BR234/'RSD (DEA)'!S234</f>
        <v>982.142857142857</v>
      </c>
      <c r="S871" s="182">
        <f>'RSD (DEA)'!BS234/X_RSD_HeatingDemand!$AA$8</f>
        <v>0</v>
      </c>
      <c r="T871" s="252">
        <f>'RSD (DEA)'!BK226*X_RSD_HeatingDemand!$AA$9/'RSD (DEA)'!S226</f>
        <v>1000</v>
      </c>
      <c r="U871" s="182">
        <f>'RSD (DEA)'!BI234</f>
        <v>20</v>
      </c>
      <c r="V871" s="182"/>
      <c r="W871" s="236">
        <f>'RSD (DEA)'!AM234</f>
        <v>31.536000000000001</v>
      </c>
    </row>
    <row r="872" spans="1:23" x14ac:dyDescent="0.3">
      <c r="B872" s="235"/>
      <c r="C872" s="318"/>
      <c r="D872" s="235"/>
      <c r="E872" s="235"/>
      <c r="F872" s="242"/>
      <c r="G872" s="242"/>
      <c r="H872" s="235"/>
      <c r="I872" s="235"/>
      <c r="J872" s="182"/>
      <c r="K872" s="235"/>
      <c r="L872" s="235"/>
      <c r="M872" s="182"/>
      <c r="N872" s="182"/>
      <c r="O872" s="182"/>
      <c r="P872" s="183"/>
      <c r="Q872" s="183"/>
      <c r="R872" s="182"/>
      <c r="S872" s="182"/>
      <c r="T872" s="182"/>
      <c r="U872" s="182"/>
      <c r="V872" s="182"/>
      <c r="W872" s="236"/>
    </row>
    <row r="873" spans="1:23" x14ac:dyDescent="0.3">
      <c r="B873" s="235"/>
      <c r="C873" s="318"/>
      <c r="D873" s="235"/>
      <c r="E873" s="235"/>
      <c r="F873" s="242"/>
      <c r="G873" s="242"/>
      <c r="H873" s="235"/>
      <c r="I873" s="235"/>
      <c r="J873" s="182"/>
      <c r="K873" s="235"/>
      <c r="L873" s="235"/>
      <c r="M873" s="182"/>
      <c r="N873" s="182"/>
      <c r="O873" s="182"/>
      <c r="P873" s="183"/>
      <c r="Q873" s="183"/>
      <c r="R873" s="182"/>
      <c r="S873" s="182"/>
      <c r="T873" s="182"/>
      <c r="U873" s="182"/>
      <c r="V873" s="182"/>
      <c r="W873" s="236"/>
    </row>
    <row r="874" spans="1:23" x14ac:dyDescent="0.3">
      <c r="B874" s="235"/>
      <c r="C874" s="318"/>
      <c r="D874" s="235"/>
      <c r="E874" s="235"/>
      <c r="F874" s="242"/>
      <c r="G874" s="242"/>
      <c r="H874" s="235"/>
      <c r="I874" s="235"/>
      <c r="J874" s="182"/>
      <c r="K874" s="235"/>
      <c r="L874" s="235"/>
      <c r="M874" s="182"/>
      <c r="N874" s="182"/>
      <c r="O874" s="182"/>
      <c r="P874" s="183"/>
      <c r="Q874" s="183"/>
      <c r="R874" s="182"/>
      <c r="S874" s="182"/>
      <c r="T874" s="182"/>
      <c r="U874" s="182"/>
      <c r="V874" s="182"/>
      <c r="W874" s="236"/>
    </row>
    <row r="875" spans="1:23" x14ac:dyDescent="0.3">
      <c r="B875" s="235"/>
      <c r="C875" s="318"/>
      <c r="D875" s="235"/>
      <c r="E875" s="235"/>
      <c r="F875" s="242"/>
      <c r="G875" s="242"/>
      <c r="H875" s="235"/>
      <c r="I875" s="235"/>
      <c r="J875" s="182"/>
      <c r="K875" s="244"/>
      <c r="L875" s="244"/>
      <c r="M875" s="182"/>
      <c r="N875" s="182"/>
      <c r="O875" s="182"/>
      <c r="P875" s="183"/>
      <c r="Q875" s="183"/>
      <c r="R875" s="182"/>
      <c r="S875" s="182"/>
      <c r="T875" s="182"/>
      <c r="U875" s="182"/>
      <c r="V875" s="182"/>
      <c r="W875" s="236"/>
    </row>
    <row r="876" spans="1:23" x14ac:dyDescent="0.3">
      <c r="B876" s="235"/>
      <c r="C876" s="318"/>
      <c r="D876" s="235"/>
      <c r="E876" s="235"/>
      <c r="F876" s="242"/>
      <c r="G876" s="242"/>
      <c r="H876" s="235"/>
      <c r="I876" s="235"/>
      <c r="J876" s="182"/>
      <c r="K876" s="244"/>
      <c r="L876" s="244"/>
      <c r="M876" s="182"/>
      <c r="N876" s="182"/>
      <c r="O876" s="182"/>
      <c r="P876" s="183"/>
      <c r="Q876" s="183"/>
      <c r="R876" s="182"/>
      <c r="S876" s="182"/>
      <c r="T876" s="182"/>
      <c r="U876" s="182"/>
      <c r="V876" s="182"/>
      <c r="W876" s="236"/>
    </row>
    <row r="877" spans="1:23" x14ac:dyDescent="0.3">
      <c r="B877" s="235"/>
      <c r="C877" s="318"/>
      <c r="D877" s="235"/>
      <c r="E877" s="235"/>
      <c r="F877" s="242"/>
      <c r="G877" s="242"/>
      <c r="H877" s="235"/>
      <c r="I877" s="235"/>
      <c r="J877" s="182"/>
      <c r="K877" s="244"/>
      <c r="L877" s="244"/>
      <c r="M877" s="182"/>
      <c r="N877" s="182"/>
      <c r="O877" s="182"/>
      <c r="P877" s="183"/>
      <c r="Q877" s="183"/>
      <c r="R877" s="182"/>
      <c r="S877" s="182"/>
      <c r="T877" s="182"/>
      <c r="U877" s="182"/>
      <c r="V877" s="182"/>
      <c r="W877" s="236"/>
    </row>
    <row r="878" spans="1:23" x14ac:dyDescent="0.3">
      <c r="B878" s="235"/>
      <c r="C878" s="318"/>
      <c r="D878" s="235"/>
      <c r="E878" s="235"/>
      <c r="F878" s="242"/>
      <c r="G878" s="242"/>
      <c r="H878" s="235"/>
      <c r="I878" s="235"/>
      <c r="J878" s="182"/>
      <c r="K878" s="244"/>
      <c r="L878" s="244"/>
      <c r="M878" s="182"/>
      <c r="N878" s="182"/>
      <c r="O878" s="182"/>
      <c r="P878" s="183"/>
      <c r="Q878" s="183"/>
      <c r="R878" s="182"/>
      <c r="S878" s="182"/>
      <c r="T878" s="182"/>
      <c r="U878" s="182"/>
      <c r="V878" s="182"/>
      <c r="W878" s="236"/>
    </row>
    <row r="879" spans="1:23" x14ac:dyDescent="0.3">
      <c r="B879" s="235"/>
      <c r="C879" s="318"/>
      <c r="D879" s="235"/>
      <c r="E879" s="235"/>
      <c r="F879" s="242"/>
      <c r="G879" s="242"/>
      <c r="H879" s="235"/>
      <c r="I879" s="235"/>
      <c r="J879" s="182"/>
      <c r="K879" s="244"/>
      <c r="L879" s="244"/>
      <c r="M879" s="182"/>
      <c r="N879" s="182"/>
      <c r="O879" s="182"/>
      <c r="P879" s="183"/>
      <c r="Q879" s="183"/>
      <c r="R879" s="182"/>
      <c r="S879" s="182"/>
      <c r="T879" s="182"/>
      <c r="U879" s="182"/>
      <c r="V879" s="182"/>
      <c r="W879" s="236"/>
    </row>
    <row r="880" spans="1:23" x14ac:dyDescent="0.3">
      <c r="B880" s="235"/>
      <c r="C880" s="318"/>
      <c r="D880" s="235"/>
      <c r="E880" s="235"/>
      <c r="F880" s="242"/>
      <c r="G880" s="242"/>
      <c r="H880" s="235"/>
      <c r="I880" s="235"/>
      <c r="J880" s="182"/>
      <c r="K880" s="235"/>
      <c r="L880" s="235"/>
      <c r="M880" s="182"/>
      <c r="N880" s="182"/>
      <c r="O880" s="182"/>
      <c r="P880" s="183"/>
      <c r="Q880" s="183"/>
      <c r="R880" s="182"/>
      <c r="S880" s="182"/>
      <c r="T880" s="182"/>
      <c r="U880" s="182"/>
      <c r="V880" s="182"/>
      <c r="W880" s="236"/>
    </row>
    <row r="881" spans="2:23" x14ac:dyDescent="0.3">
      <c r="B881" s="235"/>
      <c r="C881" s="318"/>
      <c r="D881" s="235"/>
      <c r="E881" s="235"/>
      <c r="F881" s="242"/>
      <c r="G881" s="242"/>
      <c r="H881" s="235"/>
      <c r="I881" s="235"/>
      <c r="J881" s="182"/>
      <c r="K881" s="235"/>
      <c r="L881" s="235"/>
      <c r="M881" s="182"/>
      <c r="N881" s="182"/>
      <c r="O881" s="182"/>
      <c r="P881" s="183"/>
      <c r="Q881" s="183"/>
      <c r="R881" s="182"/>
      <c r="S881" s="182"/>
      <c r="T881" s="182"/>
      <c r="U881" s="182"/>
      <c r="V881" s="182"/>
      <c r="W881" s="236"/>
    </row>
    <row r="882" spans="2:23" x14ac:dyDescent="0.3">
      <c r="B882" s="235"/>
      <c r="C882" s="318"/>
      <c r="D882" s="235"/>
      <c r="E882" s="235"/>
      <c r="F882" s="242"/>
      <c r="G882" s="242"/>
      <c r="H882" s="235"/>
      <c r="I882" s="235"/>
      <c r="J882" s="182"/>
      <c r="K882" s="235"/>
      <c r="L882" s="235"/>
      <c r="M882" s="182"/>
      <c r="N882" s="182"/>
      <c r="O882" s="182"/>
      <c r="P882" s="183"/>
      <c r="Q882" s="183"/>
      <c r="R882" s="182"/>
      <c r="S882" s="182"/>
      <c r="T882" s="182"/>
      <c r="U882" s="182"/>
      <c r="V882" s="182"/>
      <c r="W882" s="236"/>
    </row>
    <row r="883" spans="2:23" x14ac:dyDescent="0.3">
      <c r="B883" s="235"/>
      <c r="C883" s="318"/>
      <c r="D883" s="235"/>
      <c r="E883" s="235"/>
      <c r="F883" s="242"/>
      <c r="G883" s="242"/>
      <c r="H883" s="235"/>
      <c r="I883" s="235"/>
      <c r="J883" s="182"/>
      <c r="K883" s="235"/>
      <c r="L883" s="235"/>
      <c r="M883" s="182"/>
      <c r="N883" s="182"/>
      <c r="O883" s="182"/>
      <c r="P883" s="183"/>
      <c r="Q883" s="183"/>
      <c r="R883" s="182"/>
      <c r="S883" s="182"/>
      <c r="T883" s="182"/>
      <c r="U883" s="182"/>
      <c r="V883" s="182"/>
      <c r="W883" s="236"/>
    </row>
    <row r="884" spans="2:23" x14ac:dyDescent="0.3">
      <c r="B884" s="235"/>
      <c r="C884" s="318"/>
      <c r="D884" s="235"/>
      <c r="E884" s="235"/>
      <c r="F884" s="242"/>
      <c r="G884" s="242"/>
      <c r="H884" s="235"/>
      <c r="I884" s="235"/>
      <c r="J884" s="182"/>
      <c r="K884" s="235"/>
      <c r="L884" s="235"/>
      <c r="M884" s="182"/>
      <c r="N884" s="182"/>
      <c r="O884" s="182"/>
      <c r="P884" s="183"/>
      <c r="Q884" s="183"/>
      <c r="R884" s="182"/>
      <c r="S884" s="182"/>
      <c r="T884" s="182"/>
      <c r="U884" s="182"/>
      <c r="V884" s="182"/>
      <c r="W884" s="236"/>
    </row>
    <row r="885" spans="2:23" x14ac:dyDescent="0.3">
      <c r="B885" s="235"/>
      <c r="C885" s="318"/>
      <c r="D885" s="235"/>
      <c r="E885" s="235"/>
      <c r="F885" s="242"/>
      <c r="G885" s="242"/>
      <c r="H885" s="235"/>
      <c r="I885" s="235"/>
      <c r="J885" s="182"/>
      <c r="K885" s="235"/>
      <c r="L885" s="235"/>
      <c r="M885" s="182"/>
      <c r="N885" s="182"/>
      <c r="O885" s="182"/>
      <c r="P885" s="183"/>
      <c r="Q885" s="183"/>
      <c r="R885" s="182"/>
      <c r="S885" s="182"/>
      <c r="T885" s="182"/>
      <c r="U885" s="182"/>
      <c r="V885" s="182"/>
      <c r="W885" s="236"/>
    </row>
    <row r="886" spans="2:23" x14ac:dyDescent="0.3">
      <c r="B886" s="235"/>
      <c r="C886" s="318"/>
      <c r="D886" s="235"/>
      <c r="E886" s="235"/>
      <c r="F886" s="242"/>
      <c r="G886" s="242"/>
      <c r="H886" s="235"/>
      <c r="I886" s="235"/>
      <c r="J886" s="182"/>
      <c r="K886" s="235"/>
      <c r="L886" s="235"/>
      <c r="M886" s="182"/>
      <c r="N886" s="182"/>
      <c r="O886" s="182"/>
      <c r="P886" s="183"/>
      <c r="Q886" s="183"/>
      <c r="R886" s="182"/>
      <c r="S886" s="182"/>
      <c r="T886" s="182"/>
      <c r="U886" s="182"/>
      <c r="V886" s="182"/>
      <c r="W886" s="236"/>
    </row>
    <row r="887" spans="2:23" x14ac:dyDescent="0.3">
      <c r="B887" s="235"/>
      <c r="C887" s="318"/>
      <c r="D887" s="235"/>
      <c r="E887" s="235"/>
      <c r="F887" s="242"/>
      <c r="G887" s="242"/>
      <c r="H887" s="235"/>
      <c r="I887" s="235"/>
      <c r="J887" s="182"/>
      <c r="K887" s="235"/>
      <c r="L887" s="235"/>
      <c r="M887" s="182"/>
      <c r="N887" s="182"/>
      <c r="O887" s="182"/>
      <c r="P887" s="183"/>
      <c r="Q887" s="183"/>
      <c r="R887" s="182"/>
      <c r="S887" s="182"/>
      <c r="T887" s="182"/>
      <c r="U887" s="182"/>
      <c r="V887" s="182"/>
      <c r="W887" s="236"/>
    </row>
    <row r="888" spans="2:23" x14ac:dyDescent="0.3">
      <c r="B888" s="235"/>
      <c r="C888" s="318"/>
      <c r="D888" s="235"/>
      <c r="E888" s="235"/>
      <c r="F888" s="242"/>
      <c r="G888" s="242"/>
      <c r="H888" s="235"/>
      <c r="I888" s="235"/>
      <c r="J888" s="182"/>
      <c r="K888" s="235"/>
      <c r="L888" s="235"/>
      <c r="M888" s="182"/>
      <c r="N888" s="182"/>
      <c r="O888" s="182"/>
      <c r="P888" s="183"/>
      <c r="Q888" s="183"/>
      <c r="R888" s="182"/>
      <c r="S888" s="182"/>
      <c r="T888" s="182"/>
      <c r="U888" s="182"/>
      <c r="V888" s="182"/>
      <c r="W888" s="236"/>
    </row>
    <row r="889" spans="2:23" x14ac:dyDescent="0.3">
      <c r="B889" s="235"/>
      <c r="C889" s="318"/>
      <c r="D889" s="235"/>
      <c r="E889" s="235"/>
      <c r="F889" s="242"/>
      <c r="G889" s="242"/>
      <c r="H889" s="235"/>
      <c r="I889" s="235"/>
      <c r="J889" s="182"/>
      <c r="K889" s="235"/>
      <c r="L889" s="235"/>
      <c r="M889" s="182"/>
      <c r="N889" s="182"/>
      <c r="O889" s="182"/>
      <c r="P889" s="183"/>
      <c r="Q889" s="183"/>
      <c r="R889" s="182"/>
      <c r="S889" s="182"/>
      <c r="T889" s="182"/>
      <c r="U889" s="182"/>
      <c r="V889" s="182"/>
      <c r="W889" s="236"/>
    </row>
    <row r="890" spans="2:23" x14ac:dyDescent="0.3">
      <c r="B890" s="235"/>
      <c r="C890" s="318"/>
      <c r="D890" s="235"/>
      <c r="E890" s="235"/>
      <c r="F890" s="242"/>
      <c r="G890" s="242"/>
      <c r="H890" s="235"/>
      <c r="I890" s="235"/>
      <c r="J890" s="182"/>
      <c r="K890" s="235"/>
      <c r="L890" s="235"/>
      <c r="M890" s="182"/>
      <c r="N890" s="182"/>
      <c r="O890" s="182"/>
      <c r="P890" s="183"/>
      <c r="Q890" s="183"/>
      <c r="R890" s="182"/>
      <c r="S890" s="182"/>
      <c r="T890" s="182"/>
      <c r="U890" s="182"/>
      <c r="V890" s="182"/>
      <c r="W890" s="236"/>
    </row>
    <row r="891" spans="2:23" x14ac:dyDescent="0.3">
      <c r="B891" s="235"/>
      <c r="C891" s="318"/>
      <c r="D891" s="235"/>
      <c r="E891" s="235"/>
      <c r="F891" s="242"/>
      <c r="G891" s="242"/>
      <c r="H891" s="235"/>
      <c r="I891" s="235"/>
      <c r="J891" s="182"/>
      <c r="K891" s="235"/>
      <c r="L891" s="235"/>
      <c r="M891" s="182"/>
      <c r="N891" s="182"/>
      <c r="O891" s="182"/>
      <c r="P891" s="183"/>
      <c r="Q891" s="183"/>
      <c r="R891" s="182"/>
      <c r="S891" s="182"/>
      <c r="T891" s="182"/>
      <c r="U891" s="182"/>
      <c r="V891" s="182"/>
      <c r="W891" s="236"/>
    </row>
    <row r="892" spans="2:23" x14ac:dyDescent="0.3">
      <c r="B892" s="235"/>
      <c r="C892" s="318"/>
      <c r="D892" s="235"/>
      <c r="E892" s="235"/>
      <c r="F892" s="242"/>
      <c r="G892" s="242"/>
      <c r="H892" s="235"/>
      <c r="I892" s="235"/>
      <c r="J892" s="182"/>
      <c r="K892" s="235"/>
      <c r="L892" s="235"/>
      <c r="M892" s="182"/>
      <c r="N892" s="182"/>
      <c r="O892" s="182"/>
      <c r="P892" s="183"/>
      <c r="Q892" s="183"/>
      <c r="R892" s="182"/>
      <c r="S892" s="182"/>
      <c r="T892" s="182"/>
      <c r="U892" s="182"/>
      <c r="V892" s="182"/>
      <c r="W892" s="236"/>
    </row>
    <row r="893" spans="2:23" x14ac:dyDescent="0.3">
      <c r="B893" s="235"/>
      <c r="C893" s="318"/>
      <c r="D893" s="235"/>
      <c r="E893" s="235"/>
      <c r="F893" s="242"/>
      <c r="G893" s="242"/>
      <c r="H893" s="235"/>
      <c r="I893" s="235"/>
      <c r="J893" s="182"/>
      <c r="K893" s="235"/>
      <c r="L893" s="235"/>
      <c r="M893" s="182"/>
      <c r="N893" s="182"/>
      <c r="O893" s="182"/>
      <c r="P893" s="183"/>
      <c r="Q893" s="183"/>
      <c r="R893" s="182"/>
      <c r="S893" s="182"/>
      <c r="T893" s="182"/>
      <c r="U893" s="182"/>
      <c r="V893" s="182"/>
      <c r="W893" s="236"/>
    </row>
    <row r="894" spans="2:23" x14ac:dyDescent="0.3">
      <c r="B894" s="235"/>
      <c r="C894" s="318"/>
      <c r="D894" s="235"/>
      <c r="E894" s="235"/>
      <c r="F894" s="242"/>
      <c r="G894" s="242"/>
      <c r="H894" s="235"/>
      <c r="I894" s="235"/>
      <c r="J894" s="182"/>
      <c r="K894" s="235"/>
      <c r="L894" s="235"/>
      <c r="M894" s="182"/>
      <c r="N894" s="182"/>
      <c r="O894" s="182"/>
      <c r="P894" s="183"/>
      <c r="Q894" s="183"/>
      <c r="R894" s="182"/>
      <c r="S894" s="182"/>
      <c r="T894" s="182"/>
      <c r="U894" s="182"/>
      <c r="V894" s="182"/>
      <c r="W894" s="236"/>
    </row>
    <row r="895" spans="2:23" x14ac:dyDescent="0.3">
      <c r="B895" s="235"/>
      <c r="C895" s="318"/>
      <c r="D895" s="235"/>
      <c r="E895" s="235"/>
      <c r="F895" s="242"/>
      <c r="G895" s="242"/>
      <c r="H895" s="235"/>
      <c r="I895" s="235"/>
      <c r="J895" s="182"/>
      <c r="K895" s="235"/>
      <c r="L895" s="235"/>
      <c r="M895" s="182"/>
      <c r="N895" s="182"/>
      <c r="O895" s="182"/>
      <c r="P895" s="183"/>
      <c r="Q895" s="183"/>
      <c r="R895" s="182"/>
      <c r="S895" s="182"/>
      <c r="T895" s="182"/>
      <c r="U895" s="182"/>
      <c r="V895" s="182"/>
      <c r="W895" s="236"/>
    </row>
    <row r="896" spans="2:23" x14ac:dyDescent="0.3">
      <c r="B896" s="235"/>
      <c r="C896" s="318"/>
      <c r="D896" s="235"/>
      <c r="E896" s="235"/>
      <c r="F896" s="242"/>
      <c r="G896" s="242"/>
      <c r="H896" s="235"/>
      <c r="I896" s="235"/>
      <c r="J896" s="182"/>
      <c r="K896" s="235"/>
      <c r="L896" s="235"/>
      <c r="M896" s="182"/>
      <c r="N896" s="182"/>
      <c r="O896" s="182"/>
      <c r="P896" s="183"/>
      <c r="Q896" s="183"/>
      <c r="R896" s="182"/>
      <c r="S896" s="182"/>
      <c r="T896" s="182"/>
      <c r="U896" s="182"/>
      <c r="V896" s="182"/>
      <c r="W896" s="236"/>
    </row>
    <row r="897" spans="2:23" x14ac:dyDescent="0.3">
      <c r="B897" s="235"/>
      <c r="C897" s="318"/>
      <c r="D897" s="235"/>
      <c r="E897" s="235"/>
      <c r="F897" s="242"/>
      <c r="G897" s="242"/>
      <c r="H897" s="235"/>
      <c r="I897" s="235"/>
      <c r="J897" s="182"/>
      <c r="K897" s="235"/>
      <c r="L897" s="235"/>
      <c r="M897" s="182"/>
      <c r="N897" s="182"/>
      <c r="O897" s="182"/>
      <c r="P897" s="183"/>
      <c r="Q897" s="183"/>
      <c r="R897" s="182"/>
      <c r="S897" s="182"/>
      <c r="T897" s="182"/>
      <c r="U897" s="182"/>
      <c r="V897" s="182"/>
      <c r="W897" s="236"/>
    </row>
    <row r="898" spans="2:23" x14ac:dyDescent="0.3">
      <c r="B898" s="235"/>
      <c r="C898" s="318"/>
      <c r="D898" s="235"/>
      <c r="E898" s="235"/>
      <c r="F898" s="242"/>
      <c r="G898" s="242"/>
      <c r="H898" s="235"/>
      <c r="I898" s="235"/>
      <c r="J898" s="182"/>
      <c r="K898" s="235"/>
      <c r="L898" s="235"/>
      <c r="M898" s="182"/>
      <c r="N898" s="182"/>
      <c r="O898" s="182"/>
      <c r="P898" s="183"/>
      <c r="Q898" s="183"/>
      <c r="R898" s="182"/>
      <c r="S898" s="182"/>
      <c r="T898" s="182"/>
      <c r="U898" s="182"/>
      <c r="V898" s="182"/>
      <c r="W898" s="236"/>
    </row>
    <row r="899" spans="2:23" x14ac:dyDescent="0.3">
      <c r="B899" s="235"/>
      <c r="C899" s="318"/>
      <c r="D899" s="235"/>
      <c r="E899" s="235"/>
      <c r="F899" s="242"/>
      <c r="G899" s="242"/>
      <c r="H899" s="235"/>
      <c r="I899" s="235"/>
      <c r="J899" s="182"/>
      <c r="K899" s="235"/>
      <c r="L899" s="235"/>
      <c r="M899" s="182"/>
      <c r="N899" s="182"/>
      <c r="O899" s="182"/>
      <c r="P899" s="183"/>
      <c r="Q899" s="183"/>
      <c r="R899" s="182"/>
      <c r="S899" s="182"/>
      <c r="T899" s="182"/>
      <c r="U899" s="182"/>
      <c r="V899" s="182"/>
      <c r="W899" s="236"/>
    </row>
  </sheetData>
  <autoFilter ref="D4:W871" xr:uid="{5D58F98D-64D9-4F4C-8BA0-A5A607AA80B6}"/>
  <sortState xmlns:xlrd2="http://schemas.microsoft.com/office/spreadsheetml/2017/richdata2" ref="B532:X842">
    <sortCondition ref="X531:X842"/>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RSD_HeatingDemand</vt:lpstr>
      <vt:lpstr>RSD_Otherdemands_HS_AP</vt:lpstr>
      <vt:lpstr>RSD_INSULATION_HS_AP</vt:lpstr>
      <vt:lpstr>RSD_Process</vt:lpstr>
      <vt:lpstr>KEY_RSD_AF</vt:lpstr>
      <vt:lpstr>RSD (DEA)</vt:lpstr>
      <vt:lpstr>Source_Info</vt:lpstr>
      <vt:lpstr>Source_Comments to datasets</vt:lpstr>
      <vt:lpstr>KEY_Processes</vt:lpstr>
      <vt:lpstr>KEY_Technology</vt:lpstr>
      <vt:lpstr>KEY_Sectors</vt:lpstr>
      <vt:lpstr>KEY_FUELS</vt:lpstr>
      <vt:lpstr>KEY_TRL</vt:lpstr>
      <vt:lpstr>KEY_Other</vt:lpstr>
      <vt:lpstr>X_RSD_HeatingDemand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Parvathy Sobha</dc:creator>
  <cp:keywords/>
  <dc:description/>
  <cp:lastModifiedBy>Parvathy Sobha</cp:lastModifiedBy>
  <cp:revision/>
  <dcterms:created xsi:type="dcterms:W3CDTF">2022-01-27T10:48:02Z</dcterms:created>
  <dcterms:modified xsi:type="dcterms:W3CDTF">2022-09-26T05:23:08Z</dcterms:modified>
  <cp:category/>
  <cp:contentStatus/>
</cp:coreProperties>
</file>